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omments1.xml" ContentType="application/vnd.openxmlformats-officedocument.spreadsheetml.comments+xml"/>
  <Override PartName="/xl/charts/chart3.xml" ContentType="application/vnd.openxmlformats-officedocument.drawingml.chart+xml"/>
  <Override PartName="/xl/drawings/drawing5.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drawings/drawing6.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omments5.xml" ContentType="application/vnd.openxmlformats-officedocument.spreadsheetml.comments+xml"/>
  <Override PartName="/xl/drawings/drawing13.xml" ContentType="application/vnd.openxmlformats-officedocument.drawing+xml"/>
  <Override PartName="/xl/comments6.xml" ContentType="application/vnd.openxmlformats-officedocument.spreadsheetml.comments+xml"/>
  <Override PartName="/xl/drawings/drawing14.xml" ContentType="application/vnd.openxmlformats-officedocument.drawing+xml"/>
  <Override PartName="/xl/comments7.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comments8.xml" ContentType="application/vnd.openxmlformats-officedocument.spreadsheetml.comments+xml"/>
  <Override PartName="/xl/drawings/drawing17.xml" ContentType="application/vnd.openxmlformats-officedocument.drawing+xml"/>
  <Override PartName="/xl/comments9.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omments10.xml" ContentType="application/vnd.openxmlformats-officedocument.spreadsheetml.comments+xml"/>
  <Override PartName="/xl/drawings/drawing20.xml" ContentType="application/vnd.openxmlformats-officedocument.drawing+xml"/>
  <Override PartName="/xl/comments11.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omments12.xml" ContentType="application/vnd.openxmlformats-officedocument.spreadsheetml.comments+xml"/>
  <Override PartName="/xl/drawings/drawing23.xml" ContentType="application/vnd.openxmlformats-officedocument.drawing+xml"/>
  <Override PartName="/xl/comments13.xml" ContentType="application/vnd.openxmlformats-officedocument.spreadsheetml.comments+xml"/>
  <Override PartName="/xl/drawings/drawing24.xml" ContentType="application/vnd.openxmlformats-officedocument.drawing+xml"/>
  <Override PartName="/xl/comments14.xml" ContentType="application/vnd.openxmlformats-officedocument.spreadsheetml.comments+xml"/>
  <Override PartName="/xl/drawings/drawing25.xml" ContentType="application/vnd.openxmlformats-officedocument.drawing+xml"/>
  <Override PartName="/xl/comments15.xml" ContentType="application/vnd.openxmlformats-officedocument.spreadsheetml.comments+xml"/>
  <Override PartName="/xl/drawings/drawing26.xml" ContentType="application/vnd.openxmlformats-officedocument.drawing+xml"/>
  <Override PartName="/xl/drawings/drawing27.xml" ContentType="application/vnd.openxmlformats-officedocument.drawing+xml"/>
  <Override PartName="/xl/comments16.xml" ContentType="application/vnd.openxmlformats-officedocument.spreadsheetml.comments+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omments17.xml" ContentType="application/vnd.openxmlformats-officedocument.spreadsheetml.comments+xml"/>
  <Override PartName="/xl/drawings/drawing31.xml" ContentType="application/vnd.openxmlformats-officedocument.drawing+xml"/>
  <Override PartName="/xl/drawings/drawing32.xml" ContentType="application/vnd.openxmlformats-officedocument.drawing+xml"/>
  <Override PartName="/xl/comments18.xml" ContentType="application/vnd.openxmlformats-officedocument.spreadsheetml.comments+xml"/>
  <Override PartName="/xl/drawings/drawing33.xml" ContentType="application/vnd.openxmlformats-officedocument.drawing+xml"/>
  <Override PartName="/xl/comments19.xml" ContentType="application/vnd.openxmlformats-officedocument.spreadsheetml.comments+xml"/>
  <Override PartName="/xl/drawings/drawing34.xml" ContentType="application/vnd.openxmlformats-officedocument.drawing+xml"/>
  <Override PartName="/xl/comments20.xml" ContentType="application/vnd.openxmlformats-officedocument.spreadsheetml.comments+xml"/>
  <Override PartName="/xl/drawings/drawing35.xml" ContentType="application/vnd.openxmlformats-officedocument.drawing+xml"/>
  <Override PartName="/xl/comments21.xml" ContentType="application/vnd.openxmlformats-officedocument.spreadsheetml.comments+xml"/>
  <Override PartName="/xl/drawings/drawing36.xml" ContentType="application/vnd.openxmlformats-officedocument.drawing+xml"/>
  <Override PartName="/xl/comments22.xml" ContentType="application/vnd.openxmlformats-officedocument.spreadsheetml.comments+xml"/>
  <Override PartName="/xl/drawings/drawing37.xml" ContentType="application/vnd.openxmlformats-officedocument.drawing+xml"/>
  <Override PartName="/xl/comments23.xml" ContentType="application/vnd.openxmlformats-officedocument.spreadsheetml.comments+xml"/>
  <Override PartName="/xl/drawings/drawing38.xml" ContentType="application/vnd.openxmlformats-officedocument.drawing+xml"/>
  <Override PartName="/xl/comments24.xml" ContentType="application/vnd.openxmlformats-officedocument.spreadsheetml.comments+xml"/>
  <Override PartName="/xl/drawings/drawing39.xml" ContentType="application/vnd.openxmlformats-officedocument.drawing+xml"/>
  <Override PartName="/xl/comments25.xml" ContentType="application/vnd.openxmlformats-officedocument.spreadsheetml.comments+xml"/>
  <Override PartName="/xl/drawings/drawing40.xml" ContentType="application/vnd.openxmlformats-officedocument.drawing+xml"/>
  <Override PartName="/xl/comments26.xml" ContentType="application/vnd.openxmlformats-officedocument.spreadsheetml.comments+xml"/>
  <Override PartName="/xl/drawings/drawing41.xml" ContentType="application/vnd.openxmlformats-officedocument.drawing+xml"/>
  <Override PartName="/xl/drawings/drawing42.xml" ContentType="application/vnd.openxmlformats-officedocument.drawing+xml"/>
  <Override PartName="/xl/comments27.xml" ContentType="application/vnd.openxmlformats-officedocument.spreadsheetml.comments+xml"/>
  <Override PartName="/xl/drawings/drawing43.xml" ContentType="application/vnd.openxmlformats-officedocument.drawing+xml"/>
  <Override PartName="/xl/drawings/drawing44.xml" ContentType="application/vnd.openxmlformats-officedocument.drawing+xml"/>
  <Override PartName="/xl/comments28.xml" ContentType="application/vnd.openxmlformats-officedocument.spreadsheetml.comments+xml"/>
  <Override PartName="/xl/drawings/drawing45.xml" ContentType="application/vnd.openxmlformats-officedocument.drawing+xml"/>
  <Override PartName="/xl/comments29.xml" ContentType="application/vnd.openxmlformats-officedocument.spreadsheetml.comments+xml"/>
  <Override PartName="/xl/drawings/drawing46.xml" ContentType="application/vnd.openxmlformats-officedocument.drawing+xml"/>
  <Override PartName="/xl/drawings/drawing47.xml" ContentType="application/vnd.openxmlformats-officedocument.drawing+xml"/>
  <Override PartName="/xl/comments30.xml" ContentType="application/vnd.openxmlformats-officedocument.spreadsheetml.comments+xml"/>
  <Override PartName="/xl/drawings/drawing48.xml" ContentType="application/vnd.openxmlformats-officedocument.drawing+xml"/>
  <Override PartName="/xl/comments31.xml" ContentType="application/vnd.openxmlformats-officedocument.spreadsheetml.comments+xml"/>
  <Override PartName="/xl/drawings/drawing49.xml" ContentType="application/vnd.openxmlformats-officedocument.drawing+xml"/>
  <Override PartName="/xl/comments32.xml" ContentType="application/vnd.openxmlformats-officedocument.spreadsheetml.comments+xml"/>
  <Override PartName="/xl/drawings/drawing50.xml" ContentType="application/vnd.openxmlformats-officedocument.drawing+xml"/>
  <Override PartName="/xl/comments33.xml" ContentType="application/vnd.openxmlformats-officedocument.spreadsheetml.comments+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comments34.xml" ContentType="application/vnd.openxmlformats-officedocument.spreadsheetml.comments+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comments35.xml" ContentType="application/vnd.openxmlformats-officedocument.spreadsheetml.comments+xml"/>
  <Override PartName="/xl/drawings/drawing57.xml" ContentType="application/vnd.openxmlformats-officedocument.drawing+xml"/>
  <Override PartName="/xl/comments36.xml" ContentType="application/vnd.openxmlformats-officedocument.spreadsheetml.comments+xml"/>
  <Override PartName="/xl/drawings/drawing58.xml" ContentType="application/vnd.openxmlformats-officedocument.drawing+xml"/>
  <Override PartName="/xl/comments37.xml" ContentType="application/vnd.openxmlformats-officedocument.spreadsheetml.comments+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comments38.xml" ContentType="application/vnd.openxmlformats-officedocument.spreadsheetml.comments+xml"/>
  <Override PartName="/xl/drawings/drawing63.xml" ContentType="application/vnd.openxmlformats-officedocument.drawing+xml"/>
  <Override PartName="/xl/comments39.xml" ContentType="application/vnd.openxmlformats-officedocument.spreadsheetml.comments+xml"/>
  <Override PartName="/xl/drawings/drawing64.xml" ContentType="application/vnd.openxmlformats-officedocument.drawing+xml"/>
  <Override PartName="/xl/comments40.xml" ContentType="application/vnd.openxmlformats-officedocument.spreadsheetml.comments+xml"/>
  <Override PartName="/xl/drawings/drawing65.xml" ContentType="application/vnd.openxmlformats-officedocument.drawing+xml"/>
  <Override PartName="/xl/comments41.xml" ContentType="application/vnd.openxmlformats-officedocument.spreadsheetml.comments+xml"/>
  <Override PartName="/xl/drawings/drawing66.xml" ContentType="application/vnd.openxmlformats-officedocument.drawing+xml"/>
  <Override PartName="/xl/comments42.xml" ContentType="application/vnd.openxmlformats-officedocument.spreadsheetml.comments+xml"/>
  <Override PartName="/xl/drawings/drawing6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6621"/>
  <workbookPr saveExternalLinkValues="0" codeName="ThisWorkbook" autoCompressPictures="0"/>
  <bookViews>
    <workbookView xWindow="0" yWindow="0" windowWidth="25600" windowHeight="15520" tabRatio="917" activeTab="1"/>
  </bookViews>
  <sheets>
    <sheet name="intro" sheetId="86" r:id="rId1"/>
    <sheet name="summary" sheetId="28" r:id="rId2"/>
    <sheet name="ef_carbon" sheetId="27" r:id="rId3"/>
    <sheet name="ef_crop" sheetId="30" r:id="rId4"/>
    <sheet name="ef_grazing" sheetId="110" r:id="rId5"/>
    <sheet name="ef_fish" sheetId="53" r:id="rId6"/>
    <sheet name="ef_forest_products" sheetId="26" r:id="rId7"/>
    <sheet name="ef_built" sheetId="46" r:id="rId8"/>
    <sheet name="biocap" sheetId="32" r:id="rId9"/>
    <sheet name="fossil_efp" sheetId="10" r:id="rId10"/>
    <sheet name="other_co2_efp" sheetId="108" r:id="rId11"/>
    <sheet name="carbon_efi_efe" sheetId="56" r:id="rId12"/>
    <sheet name="Int_transport" sheetId="16" r:id="rId13"/>
    <sheet name="electricity_trade" sheetId="181" r:id="rId14"/>
    <sheet name="carbon_intensity_n" sheetId="182" r:id="rId15"/>
    <sheet name="cnst_carbon" sheetId="13" r:id="rId16"/>
    <sheet name="crop_efp" sheetId="1" r:id="rId17"/>
    <sheet name="crop_efi_efe" sheetId="75" r:id="rId18"/>
    <sheet name="crop_intensity" sheetId="107" r:id="rId19"/>
    <sheet name="constant_crop_factor" sheetId="189" r:id="rId20"/>
    <sheet name="grazing_efp" sheetId="158" r:id="rId21"/>
    <sheet name="feed_demand_n" sheetId="102" r:id="rId22"/>
    <sheet name="market_feed_supply_n" sheetId="101" r:id="rId23"/>
    <sheet name="grass_supply_n" sheetId="64" r:id="rId24"/>
    <sheet name="residue_supply_n" sheetId="100" r:id="rId25"/>
    <sheet name="prodstat_livestock_n" sheetId="80" r:id="rId26"/>
    <sheet name="resourcestat_livestock_n" sheetId="103" r:id="rId27"/>
    <sheet name="cnst_grazing" sheetId="67" r:id="rId28"/>
    <sheet name="livestock_efi_efe" sheetId="71" r:id="rId29"/>
    <sheet name="livestock_intensity" sheetId="140" r:id="rId30"/>
    <sheet name="livestock_feed_ef_n" sheetId="157" r:id="rId31"/>
    <sheet name="feed_intensity_w" sheetId="69" r:id="rId32"/>
    <sheet name="feed_mix_w" sheetId="106" r:id="rId33"/>
    <sheet name="crop_feed_cnst" sheetId="183" r:id="rId34"/>
    <sheet name="constant_ag_extr" sheetId="187" r:id="rId35"/>
    <sheet name="const_grazing_npp" sheetId="194" r:id="rId36"/>
    <sheet name="constant_feed_region" sheetId="193" r:id="rId37"/>
    <sheet name="constant_livestock_residue" sheetId="192" r:id="rId38"/>
    <sheet name="constant_livestock_demand" sheetId="191" r:id="rId39"/>
    <sheet name="fish_efp" sheetId="144" r:id="rId40"/>
    <sheet name="fish_efi_efe" sheetId="146" r:id="rId41"/>
    <sheet name="fish_commodity_yield_n" sheetId="149" r:id="rId42"/>
    <sheet name="fish_group_yield_n" sheetId="175" r:id="rId43"/>
    <sheet name="fish_group_yield_w" sheetId="174" r:id="rId44"/>
    <sheet name="aquaculture_yields" sheetId="173" r:id="rId45"/>
    <sheet name="fish_feed_group_yield_n" sheetId="167" r:id="rId46"/>
    <sheet name="fish_feed_group_yield_w" sheetId="169" r:id="rId47"/>
    <sheet name="fishmeal_fishes" sheetId="170" r:id="rId48"/>
    <sheet name="aquaculture_production_n" sheetId="171" r:id="rId49"/>
    <sheet name="aquaculture_production_w" sheetId="172" r:id="rId50"/>
    <sheet name="cnst_fish" sheetId="148" r:id="rId51"/>
    <sheet name="constant_aquafeed_factors" sheetId="198" r:id="rId52"/>
    <sheet name="constant_fish_extr" sheetId="185" r:id="rId53"/>
    <sheet name="constant_fish_trophic" sheetId="184" r:id="rId54"/>
    <sheet name="forest_efp" sheetId="124" r:id="rId55"/>
    <sheet name="forest_efi_efe" sheetId="125" r:id="rId56"/>
    <sheet name="constant_forest_extr" sheetId="190" r:id="rId57"/>
    <sheet name="constant_forest_increment" sheetId="186" r:id="rId58"/>
    <sheet name="infrastructure_efp" sheetId="45" r:id="rId59"/>
    <sheet name="eqf" sheetId="8" r:id="rId60"/>
    <sheet name="yf" sheetId="31" r:id="rId61"/>
    <sheet name="iyf" sheetId="200" r:id="rId62"/>
    <sheet name="bioproductive_area" sheetId="97" r:id="rId63"/>
    <sheet name="const_npp_EEZ_shelf_area" sheetId="202" r:id="rId64"/>
    <sheet name="popstat" sheetId="84" r:id="rId65"/>
    <sheet name="world_data" sheetId="197" state="hidden" r:id="rId66"/>
  </sheets>
  <definedNames>
    <definedName name="_xlnm._FilterDatabase" localSheetId="52" hidden="1">constant_fish_extr!$A$5:$C$5</definedName>
    <definedName name="_xlnm._FilterDatabase" localSheetId="17" hidden="1">crop_efi_efe!#REF!</definedName>
    <definedName name="_xlnm._FilterDatabase" localSheetId="41" hidden="1">fish_commodity_yield_n!$A$6:$J$6</definedName>
    <definedName name="_xlnm._FilterDatabase" localSheetId="40" hidden="1">fish_efi_efe!$A$6:$N$6</definedName>
    <definedName name="_xlnm._FilterDatabase" localSheetId="39" hidden="1">fish_efp!$A$6:$T$1947</definedName>
    <definedName name="_xlnm._FilterDatabase" localSheetId="28" hidden="1">livestock_efi_efe!$Q$1:$Q$4</definedName>
    <definedName name="_xlnm._FilterDatabase" localSheetId="29" hidden="1">livestock_intensity!$A$5:$E$6</definedName>
    <definedName name="_xlnm._FilterDatabase" localSheetId="24" hidden="1">residue_supply_n!$B$5:$B$74</definedName>
    <definedName name="_xlnm._FilterDatabase" localSheetId="65" hidden="1">world_data!#REF!</definedName>
    <definedName name="_Key1" hidden="1">#REF!</definedName>
    <definedName name="_Order1" hidden="1">255</definedName>
    <definedName name="_Sort" hidden="1">#REF!</definedName>
    <definedName name="constant_ag_extr">constant_ag_extr!$B$7:$O$594</definedName>
    <definedName name="constant_aquafeed_factors">constant_aquafeed_factors!$C$7:$F$489</definedName>
    <definedName name="constant_area_shelf">const_npp_EEZ_shelf_area!$B$8:$G$295</definedName>
    <definedName name="constant_crop_factor">constant_crop_factor!$B$6:$D$323</definedName>
    <definedName name="constant_feed_region">constant_feed_region!$A$6:$C$252</definedName>
    <definedName name="constant_fish_extr">constant_fish_extr!$B$6:$C$263</definedName>
    <definedName name="constant_fish_trophic">constant_fish_trophic!$B$7:$D$2062</definedName>
    <definedName name="constant_forest_extr">constant_forest_extr!$B$7:$F$61</definedName>
    <definedName name="constant_forest_increment">constant_forest_increment!$B$7:$C$8</definedName>
    <definedName name="constant_grazing_npp">const_grazing_npp!$B$6:$D$248</definedName>
    <definedName name="constant_livestock_demand">constant_livestock_demand!$B$5:$K$18</definedName>
    <definedName name="constant_livestock_residue">constant_livestock_residue!$B$5:$L$55</definedName>
    <definedName name="COUNTRY">intro!$C$9</definedName>
    <definedName name="country_code">intro!$C$10</definedName>
    <definedName name="crop_efp">crop_efp!$B$7:$M$183</definedName>
    <definedName name="crop_trade">crop_efi_efe!$B$7:$M$426</definedName>
    <definedName name="ef_grazing">ef_grazing!$A$3:$E$4</definedName>
    <definedName name="eqf">eqf!$A$7:$B$13</definedName>
    <definedName name="feed_intensity_w">feed_intensity_w!$A$7:$K$26</definedName>
    <definedName name="feed_mix_n">feed_mix_w!$B$7:$AC$28</definedName>
    <definedName name="fish_commodity_yield">fish_commodity_yield_n!$B$7:$J$278</definedName>
    <definedName name="fish_efp">fish_efp!$C$7:$T$1947</definedName>
    <definedName name="forest_extr_headings">constant_forest_extr!$B$5:$F$5</definedName>
    <definedName name="fossil_efp">fossil_efp!$A$8:$F$57</definedName>
    <definedName name="iyf">iyf!$A$7:$B$12</definedName>
    <definedName name="livestock_demand_headings">constant_livestock_demand!$B$5:$K$5</definedName>
    <definedName name="livestock_intensity_w">livestock_efi_efe!$B$7:$AS$172</definedName>
    <definedName name="population_n">popstat!$E$7</definedName>
    <definedName name="prodstat_livestock_n">prodstat_livestock_n!$B$7:$D$47</definedName>
    <definedName name="regional_tfr">constant_livestock_demand!$B$26:$K$50</definedName>
    <definedName name="resourcestat_livestock">resourcestat_livestock_n!$B$7:$D$22</definedName>
    <definedName name="tbl_aquaculture_n">aquaculture_production_n!$A$5:$D$576</definedName>
    <definedName name="tbl_aquaculture_w">aquaculture_production_w!$A$5:$D$576</definedName>
    <definedName name="tbl_area_corine">bioproductive_area!$A$7:$D$11</definedName>
    <definedName name="tbl_area_fao">bioproductive_area!$A$13:$E$18</definedName>
    <definedName name="tbl_area_glc">bioproductive_area!$A$22:$E$22</definedName>
    <definedName name="tbl_area_sage">bioproductive_area!#REF!</definedName>
    <definedName name="tbl_capture">fish_efp!$C$7:$M$1947</definedName>
    <definedName name="tbl_cdiac_CO2">fossil_efp!$A$62:$B$62</definedName>
    <definedName name="tbl_comtrade_n">carbon_efi_efe!$A$7:$D$631</definedName>
    <definedName name="tbl_eqf">eqf!$A$5:$B$10</definedName>
    <definedName name="tbl_figis_commodity">fish_efi_efe!$B$7:$D$264</definedName>
    <definedName name="tbl_forest_prod_n">forest_efp!$A$7:$D$56</definedName>
    <definedName name="tbl_forest_trade_n">forest_efi_efe!$A$7:$E$56</definedName>
    <definedName name="tbl_iea_CO2">fossil_efp!$A$8:$B$45</definedName>
    <definedName name="tbl_iea_ipcc_co2">fossil_efp!$A$46:$B$57</definedName>
    <definedName name="tbl_iyf">iyf!$A$5:$B$11</definedName>
    <definedName name="tbl_liveweight">cnst_grazing!$A$10:$H$25</definedName>
    <definedName name="tbl_liveweight_n">cnst_grazing!$A$28:$D$41</definedName>
    <definedName name="tbl_market_feed">market_feed_supply_n!$B$5:$G$102</definedName>
    <definedName name="tbl_nai_n">constant_forest_increment!$A$7:$C$7</definedName>
    <definedName name="tbl_nai_w">constant_forest_increment!$A$8:$C$8</definedName>
    <definedName name="tbl_popstat_n">popstat!$A$7:$E$7</definedName>
    <definedName name="tbl_popstat_w">popstat!$A$8:$E$8</definedName>
    <definedName name="tbl_prodstat_crop_n">crop_efp!$A$7:$P$183</definedName>
    <definedName name="tbl_prodstat_crop_w">crop_efp!$A$7:$Q$183</definedName>
    <definedName name="tbl_prodstat_livestock_n">prodstat_livestock_n!$A$5:$D$47</definedName>
    <definedName name="tbl_resourcestat_livestock">resourcestat_livestock_n!$A$5:$D$22</definedName>
    <definedName name="tbl_TFR">feed_mix_w!$A$7:$I$28</definedName>
    <definedName name="tbl_TFR_n">livestock_feed_ef_n!$A$13:$D$34</definedName>
    <definedName name="tbl_tradestat_crop_n">crop_efi_efe!$A$7:$E$426</definedName>
    <definedName name="tbl_tradestat_crop_w">crop_efi_efe!$A$7:$M$426</definedName>
    <definedName name="tbl_tradestat_livestock_i">livestock_efi_efe!$A$7:$E$172</definedName>
    <definedName name="val_bunker_emissions">Int_transport!$A$6:$C$6</definedName>
    <definedName name="val_crop_unharvested_n">crop_intensity!$A$7:$D$7</definedName>
    <definedName name="val_elect_heat_intensity_n">cnst_carbon!$A$9:$C$9</definedName>
    <definedName name="val_elect_heat_intensity_w">cnst_carbon!$A$10:$C$10</definedName>
    <definedName name="val_electricity_exports">electricity_trade!$A$8:$B$8</definedName>
    <definedName name="val_electricity_imports">electricity_trade!$A$7:$B$7</definedName>
    <definedName name="val_electricity_prod">electricity_trade!$A$9:$B$9</definedName>
    <definedName name="val_GAEZ_built_area">bioproductive_area!$C$20:$E$20</definedName>
    <definedName name="val_iea_other_CO2">other_co2_efp!$A$6:$C$7</definedName>
    <definedName name="val_ocean_co2_uptk">cnst_carbon!$A$8:$C$8</definedName>
    <definedName name="val_tpes_intensity_w">cnst_carbon!$A$11:$C$11</definedName>
    <definedName name="val_tpes_n">cnst_carbon!$A$12:$C$12</definedName>
    <definedName name="world_results">world_data!$B$2:$E$54</definedName>
    <definedName name="YEAR">intro!$C$11</definedName>
    <definedName name="yf">yf!$A$5:$D$12</definedName>
  </definedNames>
  <calcPr calcId="171027" calcMode="manual" calcCompleted="0" calcOnSave="0" concurrentCalc="0"/>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H7" i="146" l="1"/>
  <c r="H63" i="146"/>
  <c r="H197" i="146"/>
  <c r="H189" i="146"/>
  <c r="H180" i="146"/>
  <c r="H161" i="146"/>
  <c r="H149" i="146"/>
  <c r="H112" i="146"/>
  <c r="H72" i="146"/>
  <c r="H169" i="146"/>
  <c r="H158" i="146"/>
  <c r="H97" i="146"/>
  <c r="H146" i="146"/>
  <c r="H121" i="146"/>
  <c r="H100" i="146"/>
  <c r="H210" i="146"/>
  <c r="H68" i="146"/>
  <c r="H47" i="146"/>
  <c r="H224" i="146"/>
  <c r="H214" i="146"/>
  <c r="H166" i="146"/>
  <c r="H118" i="146"/>
  <c r="H106" i="146"/>
  <c r="H24" i="146"/>
  <c r="H32" i="146"/>
  <c r="H40" i="146"/>
  <c r="H53" i="146"/>
  <c r="H55" i="146"/>
  <c r="H57" i="146"/>
  <c r="H73" i="146"/>
  <c r="H86" i="146"/>
  <c r="H99" i="146"/>
  <c r="H101" i="146"/>
  <c r="H103" i="146"/>
  <c r="H105" i="146"/>
  <c r="H122" i="146"/>
  <c r="H124" i="146"/>
  <c r="H126" i="146"/>
  <c r="H136" i="146"/>
  <c r="H144" i="146"/>
  <c r="H26" i="146"/>
  <c r="H28" i="146"/>
  <c r="H30" i="146"/>
  <c r="H34" i="146"/>
  <c r="H36" i="146"/>
  <c r="H38" i="146"/>
  <c r="H42" i="146"/>
  <c r="H44" i="146"/>
  <c r="H48" i="146"/>
  <c r="H59" i="146"/>
  <c r="H69" i="146"/>
  <c r="H71" i="146"/>
  <c r="H75" i="146"/>
  <c r="H77" i="146"/>
  <c r="H79" i="146"/>
  <c r="H81" i="146"/>
  <c r="H94" i="146"/>
  <c r="H107" i="146"/>
  <c r="H109" i="146"/>
  <c r="H111" i="146"/>
  <c r="H113" i="146"/>
  <c r="H150" i="146"/>
  <c r="H154" i="146"/>
  <c r="H156" i="146"/>
  <c r="H160" i="146"/>
  <c r="H168" i="146"/>
  <c r="H46" i="146"/>
  <c r="H56" i="146"/>
  <c r="H67" i="146"/>
  <c r="H25" i="146"/>
  <c r="H33" i="146"/>
  <c r="H50" i="146"/>
  <c r="H52" i="146"/>
  <c r="H54" i="146"/>
  <c r="H64" i="146"/>
  <c r="H83" i="146"/>
  <c r="H85" i="146"/>
  <c r="H87" i="146"/>
  <c r="H89" i="146"/>
  <c r="H102" i="146"/>
  <c r="H115" i="146"/>
  <c r="H125" i="146"/>
  <c r="H127" i="146"/>
  <c r="H129" i="146"/>
  <c r="H137" i="146"/>
  <c r="H145" i="146"/>
  <c r="H29" i="146"/>
  <c r="H31" i="146"/>
  <c r="H37" i="146"/>
  <c r="H39" i="146"/>
  <c r="H41" i="146"/>
  <c r="H58" i="146"/>
  <c r="H60" i="146"/>
  <c r="H62" i="146"/>
  <c r="H84" i="146"/>
  <c r="H88" i="146"/>
  <c r="H91" i="146"/>
  <c r="H128" i="146"/>
  <c r="H134" i="146"/>
  <c r="H171" i="146"/>
  <c r="H176" i="146"/>
  <c r="H178" i="146"/>
  <c r="H185" i="146"/>
  <c r="H195" i="146"/>
  <c r="H203" i="146"/>
  <c r="H205" i="146"/>
  <c r="H207" i="146"/>
  <c r="H209" i="146"/>
  <c r="H226" i="146"/>
  <c r="H228" i="146"/>
  <c r="H230" i="146"/>
  <c r="H49" i="146"/>
  <c r="H104" i="146"/>
  <c r="H119" i="146"/>
  <c r="H131" i="146"/>
  <c r="H141" i="146"/>
  <c r="H147" i="146"/>
  <c r="H164" i="146"/>
  <c r="H187" i="146"/>
  <c r="H213" i="146"/>
  <c r="H215" i="146"/>
  <c r="H217" i="146"/>
  <c r="H234" i="146"/>
  <c r="H27" i="146"/>
  <c r="H35" i="146"/>
  <c r="H65" i="146"/>
  <c r="H74" i="146"/>
  <c r="H92" i="146"/>
  <c r="H95" i="146"/>
  <c r="H98" i="146"/>
  <c r="H110" i="146"/>
  <c r="H116" i="146"/>
  <c r="H135" i="146"/>
  <c r="H138" i="146"/>
  <c r="H159" i="146"/>
  <c r="H167" i="146"/>
  <c r="H172" i="146"/>
  <c r="H174" i="146"/>
  <c r="H183" i="146"/>
  <c r="H192" i="146"/>
  <c r="H200" i="146"/>
  <c r="H211" i="146"/>
  <c r="H10" i="146"/>
  <c r="H43" i="146"/>
  <c r="H66" i="146"/>
  <c r="H70" i="146"/>
  <c r="H78" i="146"/>
  <c r="H120" i="146"/>
  <c r="H132" i="146"/>
  <c r="H148" i="146"/>
  <c r="H151" i="146"/>
  <c r="H162" i="146"/>
  <c r="H170" i="146"/>
  <c r="H181" i="146"/>
  <c r="H188" i="146"/>
  <c r="H190" i="146"/>
  <c r="H194" i="146"/>
  <c r="H196" i="146"/>
  <c r="H198" i="146"/>
  <c r="H202" i="146"/>
  <c r="H204" i="146"/>
  <c r="H208" i="146"/>
  <c r="H219" i="146"/>
  <c r="H221" i="146"/>
  <c r="H223" i="146"/>
  <c r="H225" i="146"/>
  <c r="H8" i="146"/>
  <c r="H61" i="146"/>
  <c r="H82" i="146"/>
  <c r="H96" i="146"/>
  <c r="H108" i="146"/>
  <c r="H117" i="146"/>
  <c r="H123" i="146"/>
  <c r="H142" i="146"/>
  <c r="H157" i="146"/>
  <c r="H165" i="146"/>
  <c r="H177" i="146"/>
  <c r="H184" i="146"/>
  <c r="H186" i="146"/>
  <c r="H206" i="146"/>
  <c r="H216" i="146"/>
  <c r="H229" i="146"/>
  <c r="H231" i="146"/>
  <c r="H233" i="146"/>
  <c r="H179" i="146"/>
  <c r="H45" i="146"/>
  <c r="H51" i="146"/>
  <c r="H90" i="146"/>
  <c r="H93" i="146"/>
  <c r="H114" i="146"/>
  <c r="H133" i="146"/>
  <c r="H139" i="146"/>
  <c r="H152" i="146"/>
  <c r="H175" i="146"/>
  <c r="H232" i="146"/>
  <c r="H227" i="146"/>
  <c r="H220" i="146"/>
  <c r="H11" i="146"/>
  <c r="H218" i="146"/>
  <c r="H201" i="146"/>
  <c r="H193" i="146"/>
  <c r="H155" i="146"/>
  <c r="H143" i="146"/>
  <c r="H130" i="146"/>
  <c r="H80" i="146"/>
  <c r="H9" i="146"/>
  <c r="H222" i="146"/>
  <c r="H199" i="146"/>
  <c r="H191" i="146"/>
  <c r="H173" i="146"/>
  <c r="H163" i="146"/>
  <c r="H153" i="146"/>
  <c r="H140" i="146"/>
  <c r="H212" i="146"/>
  <c r="H182" i="146"/>
  <c r="H76" i="146"/>
  <c r="A1" i="28"/>
  <c r="C14" i="86"/>
  <c r="B7" i="86"/>
  <c r="P94" i="101"/>
  <c r="E12" i="149"/>
  <c r="E28" i="149"/>
  <c r="E21" i="149"/>
  <c r="E8" i="149"/>
  <c r="B24" i="169"/>
  <c r="E107" i="149"/>
  <c r="E57" i="149"/>
  <c r="E23" i="149"/>
  <c r="E82" i="149"/>
  <c r="E55" i="149"/>
  <c r="E30" i="149"/>
  <c r="E124" i="149"/>
  <c r="E63" i="149"/>
  <c r="E20" i="149"/>
  <c r="E122" i="149"/>
  <c r="E70" i="149"/>
  <c r="E19" i="149"/>
  <c r="E78" i="149"/>
  <c r="E52" i="149"/>
  <c r="E27" i="149"/>
  <c r="E115" i="149"/>
  <c r="E97" i="149"/>
  <c r="E77" i="149"/>
  <c r="E68" i="149"/>
  <c r="E60" i="149"/>
  <c r="E51" i="149"/>
  <c r="E42" i="149"/>
  <c r="E34" i="149"/>
  <c r="E26" i="149"/>
  <c r="E17" i="149"/>
  <c r="E9" i="149"/>
  <c r="E131" i="149"/>
  <c r="E74" i="149"/>
  <c r="E48" i="149"/>
  <c r="E31" i="149"/>
  <c r="E14" i="149"/>
  <c r="E130" i="149"/>
  <c r="E73" i="149"/>
  <c r="E46" i="149"/>
  <c r="E13" i="149"/>
  <c r="E105" i="149"/>
  <c r="E72" i="149"/>
  <c r="E45" i="149"/>
  <c r="E29" i="149"/>
  <c r="E79" i="149"/>
  <c r="E53" i="149"/>
  <c r="E36" i="149"/>
  <c r="E11" i="149"/>
  <c r="E98" i="149"/>
  <c r="E61" i="149"/>
  <c r="E43" i="149"/>
  <c r="E10" i="149"/>
  <c r="B24" i="167"/>
  <c r="E7" i="149"/>
  <c r="E114" i="149"/>
  <c r="E91" i="149"/>
  <c r="E76" i="149"/>
  <c r="E67" i="149"/>
  <c r="E59" i="149"/>
  <c r="E50" i="149"/>
  <c r="E41" i="149"/>
  <c r="E33" i="149"/>
  <c r="E25" i="149"/>
  <c r="E16" i="149"/>
  <c r="E89" i="149"/>
  <c r="E65" i="149"/>
  <c r="E39" i="149"/>
  <c r="E106" i="149"/>
  <c r="E64" i="149"/>
  <c r="E38" i="149"/>
  <c r="E80" i="149"/>
  <c r="E54" i="149"/>
  <c r="E37" i="149"/>
  <c r="E99" i="149"/>
  <c r="E62" i="149"/>
  <c r="E44" i="149"/>
  <c r="E137" i="149"/>
  <c r="H137" i="149"/>
  <c r="E143" i="149"/>
  <c r="H143" i="149"/>
  <c r="E153" i="149"/>
  <c r="H153" i="149"/>
  <c r="E160" i="149"/>
  <c r="H160" i="149"/>
  <c r="E167" i="149"/>
  <c r="H167" i="149"/>
  <c r="E180" i="149"/>
  <c r="H180" i="149"/>
  <c r="E186" i="149"/>
  <c r="H186" i="149"/>
  <c r="E192" i="149"/>
  <c r="H192" i="149"/>
  <c r="E196" i="149"/>
  <c r="H196" i="149"/>
  <c r="E215" i="149"/>
  <c r="E222" i="149"/>
  <c r="H222" i="149"/>
  <c r="E228" i="149"/>
  <c r="H228" i="149"/>
  <c r="E235" i="149"/>
  <c r="H235" i="149"/>
  <c r="E243" i="149"/>
  <c r="H243" i="149"/>
  <c r="E250" i="149"/>
  <c r="H250" i="149"/>
  <c r="E257" i="149"/>
  <c r="H257" i="149"/>
  <c r="E262" i="149"/>
  <c r="H262" i="149"/>
  <c r="E268" i="149"/>
  <c r="H268" i="149"/>
  <c r="E274" i="149"/>
  <c r="H274" i="149"/>
  <c r="E138" i="149"/>
  <c r="H138" i="149"/>
  <c r="E148" i="149"/>
  <c r="E154" i="149"/>
  <c r="H154" i="149"/>
  <c r="E168" i="149"/>
  <c r="H168" i="149"/>
  <c r="E174" i="149"/>
  <c r="H174" i="149"/>
  <c r="E181" i="149"/>
  <c r="H181" i="149"/>
  <c r="E187" i="149"/>
  <c r="H187" i="149"/>
  <c r="E197" i="149"/>
  <c r="H197" i="149"/>
  <c r="E204" i="149"/>
  <c r="H204" i="149"/>
  <c r="E210" i="149"/>
  <c r="H210" i="149"/>
  <c r="E216" i="149"/>
  <c r="E223" i="149"/>
  <c r="H223" i="149"/>
  <c r="E229" i="149"/>
  <c r="H229" i="149"/>
  <c r="E236" i="149"/>
  <c r="H236" i="149"/>
  <c r="E244" i="149"/>
  <c r="H244" i="149"/>
  <c r="E258" i="149"/>
  <c r="H258" i="149"/>
  <c r="E269" i="149"/>
  <c r="H269" i="149"/>
  <c r="E275" i="149"/>
  <c r="H275" i="149"/>
  <c r="E254" i="149"/>
  <c r="H254" i="149"/>
  <c r="E272" i="149"/>
  <c r="H272" i="149"/>
  <c r="E147" i="149"/>
  <c r="E185" i="149"/>
  <c r="H185" i="149"/>
  <c r="E202" i="149"/>
  <c r="H202" i="149"/>
  <c r="E213" i="149"/>
  <c r="H213" i="149"/>
  <c r="E220" i="149"/>
  <c r="H220" i="149"/>
  <c r="E227" i="149"/>
  <c r="H227" i="149"/>
  <c r="E233" i="149"/>
  <c r="H233" i="149"/>
  <c r="E241" i="149"/>
  <c r="H241" i="149"/>
  <c r="E249" i="149"/>
  <c r="H249" i="149"/>
  <c r="E261" i="149"/>
  <c r="H261" i="149"/>
  <c r="E273" i="149"/>
  <c r="H273" i="149"/>
  <c r="E173" i="149"/>
  <c r="H173" i="149"/>
  <c r="E139" i="149"/>
  <c r="H139" i="149"/>
  <c r="E144" i="149"/>
  <c r="H144" i="149"/>
  <c r="E155" i="149"/>
  <c r="H155" i="149"/>
  <c r="E161" i="149"/>
  <c r="H161" i="149"/>
  <c r="E175" i="149"/>
  <c r="H175" i="149"/>
  <c r="E182" i="149"/>
  <c r="H182" i="149"/>
  <c r="E188" i="149"/>
  <c r="H188" i="149"/>
  <c r="E193" i="149"/>
  <c r="H193" i="149"/>
  <c r="E198" i="149"/>
  <c r="H198" i="149"/>
  <c r="E205" i="149"/>
  <c r="H205" i="149"/>
  <c r="E211" i="149"/>
  <c r="H211" i="149"/>
  <c r="E217" i="149"/>
  <c r="E230" i="149"/>
  <c r="H230" i="149"/>
  <c r="E237" i="149"/>
  <c r="H237" i="149"/>
  <c r="E245" i="149"/>
  <c r="H245" i="149"/>
  <c r="E251" i="149"/>
  <c r="H251" i="149"/>
  <c r="E263" i="149"/>
  <c r="H263" i="149"/>
  <c r="E270" i="149"/>
  <c r="H270" i="149"/>
  <c r="E145" i="149"/>
  <c r="H145" i="149"/>
  <c r="E150" i="149"/>
  <c r="E157" i="149"/>
  <c r="H157" i="149"/>
  <c r="E163" i="149"/>
  <c r="H163" i="149"/>
  <c r="E170" i="149"/>
  <c r="H170" i="149"/>
  <c r="E177" i="149"/>
  <c r="H177" i="149"/>
  <c r="E207" i="149"/>
  <c r="H207" i="149"/>
  <c r="E218" i="149"/>
  <c r="H218" i="149"/>
  <c r="E232" i="149"/>
  <c r="H232" i="149"/>
  <c r="E247" i="149"/>
  <c r="H247" i="149"/>
  <c r="E164" i="149"/>
  <c r="H164" i="149"/>
  <c r="E171" i="149"/>
  <c r="H171" i="149"/>
  <c r="E219" i="149"/>
  <c r="H219" i="149"/>
  <c r="E226" i="149"/>
  <c r="H226" i="149"/>
  <c r="E191" i="149"/>
  <c r="H191" i="149"/>
  <c r="E266" i="149"/>
  <c r="H266" i="149"/>
  <c r="E152" i="149"/>
  <c r="H152" i="149"/>
  <c r="E166" i="149"/>
  <c r="H166" i="149"/>
  <c r="E234" i="149"/>
  <c r="H234" i="149"/>
  <c r="E242" i="149"/>
  <c r="H242" i="149"/>
  <c r="E256" i="149"/>
  <c r="H256" i="149"/>
  <c r="E267" i="149"/>
  <c r="H267" i="149"/>
  <c r="E140" i="149"/>
  <c r="H140" i="149"/>
  <c r="E149" i="149"/>
  <c r="E156" i="149"/>
  <c r="H156" i="149"/>
  <c r="E162" i="149"/>
  <c r="H162" i="149"/>
  <c r="E169" i="149"/>
  <c r="H169" i="149"/>
  <c r="E176" i="149"/>
  <c r="H176" i="149"/>
  <c r="E183" i="149"/>
  <c r="H183" i="149"/>
  <c r="E189" i="149"/>
  <c r="H189" i="149"/>
  <c r="E194" i="149"/>
  <c r="E199" i="149"/>
  <c r="H199" i="149"/>
  <c r="E206" i="149"/>
  <c r="H206" i="149"/>
  <c r="E224" i="149"/>
  <c r="H224" i="149"/>
  <c r="E231" i="149"/>
  <c r="H231" i="149"/>
  <c r="E238" i="149"/>
  <c r="H238" i="149"/>
  <c r="E246" i="149"/>
  <c r="H246" i="149"/>
  <c r="E252" i="149"/>
  <c r="H252" i="149"/>
  <c r="E259" i="149"/>
  <c r="H259" i="149"/>
  <c r="E264" i="149"/>
  <c r="H264" i="149"/>
  <c r="E276" i="149"/>
  <c r="H276" i="149"/>
  <c r="E200" i="149"/>
  <c r="H200" i="149"/>
  <c r="E212" i="149"/>
  <c r="H212" i="149"/>
  <c r="E225" i="149"/>
  <c r="H225" i="149"/>
  <c r="E239" i="149"/>
  <c r="H239" i="149"/>
  <c r="E253" i="149"/>
  <c r="H253" i="149"/>
  <c r="E265" i="149"/>
  <c r="H265" i="149"/>
  <c r="E271" i="149"/>
  <c r="H271" i="149"/>
  <c r="E277" i="149"/>
  <c r="H277" i="149"/>
  <c r="E141" i="149"/>
  <c r="H141" i="149"/>
  <c r="E146" i="149"/>
  <c r="H146" i="149"/>
  <c r="E151" i="149"/>
  <c r="H151" i="149"/>
  <c r="E184" i="149"/>
  <c r="H184" i="149"/>
  <c r="E190" i="149"/>
  <c r="H190" i="149"/>
  <c r="E195" i="149"/>
  <c r="E201" i="149"/>
  <c r="H201" i="149"/>
  <c r="E208" i="149"/>
  <c r="H208" i="149"/>
  <c r="E240" i="149"/>
  <c r="H240" i="149"/>
  <c r="E248" i="149"/>
  <c r="H248" i="149"/>
  <c r="E260" i="149"/>
  <c r="H260" i="149"/>
  <c r="E158" i="149"/>
  <c r="H158" i="149"/>
  <c r="E165" i="149"/>
  <c r="H165" i="149"/>
  <c r="E172" i="149"/>
  <c r="H172" i="149"/>
  <c r="E178" i="149"/>
  <c r="H178" i="149"/>
  <c r="E255" i="149"/>
  <c r="H255" i="149"/>
  <c r="E142" i="149"/>
  <c r="H142" i="149"/>
  <c r="E159" i="149"/>
  <c r="H159" i="149"/>
  <c r="E179" i="149"/>
  <c r="H179" i="149"/>
  <c r="E203" i="149"/>
  <c r="H203" i="149"/>
  <c r="E209" i="149"/>
  <c r="H209" i="149"/>
  <c r="E214" i="149"/>
  <c r="H214" i="149"/>
  <c r="E221" i="149"/>
  <c r="H221" i="149"/>
  <c r="E22" i="149"/>
  <c r="H22" i="149"/>
  <c r="E86" i="149"/>
  <c r="E123" i="149"/>
  <c r="E81" i="149"/>
  <c r="E47" i="149"/>
  <c r="H47" i="149"/>
  <c r="E71" i="149"/>
  <c r="H71" i="149"/>
  <c r="E56" i="149"/>
  <c r="H56" i="149"/>
  <c r="E121" i="149"/>
  <c r="E69" i="149"/>
  <c r="E35" i="149"/>
  <c r="E18" i="149"/>
  <c r="E132" i="149"/>
  <c r="E113" i="149"/>
  <c r="E90" i="149"/>
  <c r="E75" i="149"/>
  <c r="E66" i="149"/>
  <c r="E58" i="149"/>
  <c r="E49" i="149"/>
  <c r="E40" i="149"/>
  <c r="E32" i="149"/>
  <c r="E24" i="149"/>
  <c r="E15" i="149"/>
  <c r="B21" i="169"/>
  <c r="E120" i="149"/>
  <c r="E136" i="149"/>
  <c r="E128" i="149"/>
  <c r="E119" i="149"/>
  <c r="E111" i="149"/>
  <c r="E103" i="149"/>
  <c r="E95" i="149"/>
  <c r="E87" i="149"/>
  <c r="E129" i="149"/>
  <c r="E96" i="149"/>
  <c r="E278" i="149"/>
  <c r="E135" i="149"/>
  <c r="E127" i="149"/>
  <c r="E118" i="149"/>
  <c r="E110" i="149"/>
  <c r="E102" i="149"/>
  <c r="E94" i="149"/>
  <c r="E85" i="149"/>
  <c r="E104" i="149"/>
  <c r="E134" i="149"/>
  <c r="E126" i="149"/>
  <c r="E117" i="149"/>
  <c r="E109" i="149"/>
  <c r="E101" i="149"/>
  <c r="E93" i="149"/>
  <c r="E84" i="149"/>
  <c r="B21" i="167"/>
  <c r="E112" i="149"/>
  <c r="E88" i="149"/>
  <c r="E133" i="149"/>
  <c r="E125" i="149"/>
  <c r="E116" i="149"/>
  <c r="E108" i="149"/>
  <c r="E100" i="149"/>
  <c r="E92" i="149"/>
  <c r="E83" i="149"/>
  <c r="F216" i="149"/>
  <c r="H216" i="149"/>
  <c r="I216" i="149"/>
  <c r="K184" i="146"/>
  <c r="J216" i="149"/>
  <c r="L184" i="146"/>
  <c r="G216" i="149"/>
  <c r="J149" i="149"/>
  <c r="L126" i="146"/>
  <c r="I149" i="149"/>
  <c r="K126" i="146"/>
  <c r="H149" i="149"/>
  <c r="I148" i="149"/>
  <c r="H148" i="149"/>
  <c r="J148" i="149"/>
  <c r="F147" i="149"/>
  <c r="H147" i="149"/>
  <c r="G147" i="149"/>
  <c r="J147" i="149"/>
  <c r="L125" i="146"/>
  <c r="I147" i="149"/>
  <c r="K125" i="146"/>
  <c r="J86" i="149"/>
  <c r="L73" i="146"/>
  <c r="H86" i="149"/>
  <c r="I86" i="149"/>
  <c r="K73" i="146"/>
  <c r="J195" i="149"/>
  <c r="L168" i="146"/>
  <c r="H195" i="149"/>
  <c r="I195" i="149"/>
  <c r="K168" i="146"/>
  <c r="H194" i="149"/>
  <c r="I194" i="149"/>
  <c r="K167" i="146"/>
  <c r="J194" i="149"/>
  <c r="L167" i="146"/>
  <c r="I150" i="149"/>
  <c r="K127" i="146"/>
  <c r="J150" i="149"/>
  <c r="L127" i="146"/>
  <c r="H150" i="149"/>
  <c r="G217" i="149"/>
  <c r="H217" i="149"/>
  <c r="J217" i="149"/>
  <c r="L185" i="146"/>
  <c r="I217" i="149"/>
  <c r="K185" i="146"/>
  <c r="F217" i="149"/>
  <c r="J81" i="149"/>
  <c r="L69" i="146"/>
  <c r="I81" i="149"/>
  <c r="K69" i="146"/>
  <c r="H81" i="149"/>
  <c r="I123" i="149"/>
  <c r="K103" i="146"/>
  <c r="H123" i="149"/>
  <c r="J123" i="149"/>
  <c r="L103" i="146"/>
  <c r="J215" i="149"/>
  <c r="L183" i="146"/>
  <c r="F215" i="149"/>
  <c r="I215" i="149"/>
  <c r="K183" i="146"/>
  <c r="H215" i="149"/>
  <c r="G215" i="149"/>
  <c r="H9" i="149"/>
  <c r="H7" i="149"/>
  <c r="H8" i="149"/>
  <c r="H11" i="149"/>
  <c r="H12" i="149"/>
  <c r="H13" i="149"/>
  <c r="H14" i="149"/>
  <c r="H17" i="149"/>
  <c r="H20" i="149"/>
  <c r="H25" i="149"/>
  <c r="H26" i="149"/>
  <c r="H30" i="149"/>
  <c r="H31" i="149"/>
  <c r="H33" i="149"/>
  <c r="H34" i="149"/>
  <c r="H35" i="149"/>
  <c r="H36" i="149"/>
  <c r="H37" i="149"/>
  <c r="H38" i="149"/>
  <c r="H39" i="149"/>
  <c r="H41" i="149"/>
  <c r="H42" i="149"/>
  <c r="H43" i="149"/>
  <c r="H44" i="149"/>
  <c r="H48" i="149"/>
  <c r="H49" i="149"/>
  <c r="H50" i="149"/>
  <c r="H51" i="149"/>
  <c r="H52" i="149"/>
  <c r="H58" i="149"/>
  <c r="H59" i="149"/>
  <c r="H60" i="149"/>
  <c r="H65" i="149"/>
  <c r="H68" i="149"/>
  <c r="H72" i="149"/>
  <c r="H76" i="149"/>
  <c r="H77" i="149"/>
  <c r="H79" i="149"/>
  <c r="H83" i="149"/>
  <c r="H91" i="149"/>
  <c r="H96" i="149"/>
  <c r="H97" i="149"/>
  <c r="H98" i="149"/>
  <c r="H99" i="149"/>
  <c r="H102" i="149"/>
  <c r="H103" i="149"/>
  <c r="H104" i="149"/>
  <c r="H107" i="149"/>
  <c r="H108" i="149"/>
  <c r="H109" i="149"/>
  <c r="H111" i="149"/>
  <c r="H112" i="149"/>
  <c r="H118" i="149"/>
  <c r="H119" i="149"/>
  <c r="H120" i="149"/>
  <c r="H121" i="149"/>
  <c r="H129" i="149"/>
  <c r="H130" i="149"/>
  <c r="H133" i="149"/>
  <c r="H134" i="149"/>
  <c r="G90" i="149"/>
  <c r="H90" i="149"/>
  <c r="J41" i="149"/>
  <c r="L39" i="146"/>
  <c r="I41" i="149"/>
  <c r="K39" i="146"/>
  <c r="J83" i="149"/>
  <c r="L71" i="146"/>
  <c r="I83" i="149"/>
  <c r="K71" i="146"/>
  <c r="I39" i="149"/>
  <c r="K38" i="146"/>
  <c r="J91" i="149"/>
  <c r="L79" i="146"/>
  <c r="I91" i="149"/>
  <c r="K79" i="146"/>
  <c r="G91" i="149"/>
  <c r="F91" i="149"/>
  <c r="J79" i="149"/>
  <c r="L68" i="146"/>
  <c r="J39" i="149"/>
  <c r="L38" i="146"/>
  <c r="I90" i="149"/>
  <c r="K78" i="146"/>
  <c r="I79" i="149"/>
  <c r="K68" i="146"/>
  <c r="F90" i="149"/>
  <c r="J90" i="149"/>
  <c r="L78" i="146"/>
  <c r="R1947" i="144"/>
  <c r="Q1947" i="144"/>
  <c r="P1947" i="144"/>
  <c r="R1946" i="144"/>
  <c r="Q1946" i="144"/>
  <c r="P1946" i="144"/>
  <c r="R1945" i="144"/>
  <c r="Q1945" i="144"/>
  <c r="P1945" i="144"/>
  <c r="R1944" i="144"/>
  <c r="Q1944" i="144"/>
  <c r="P1944" i="144"/>
  <c r="R1943" i="144"/>
  <c r="Q1943" i="144"/>
  <c r="P1943" i="144"/>
  <c r="R1942" i="144"/>
  <c r="Q1942" i="144"/>
  <c r="P1942" i="144"/>
  <c r="R1941" i="144"/>
  <c r="Q1941" i="144"/>
  <c r="P1941" i="144"/>
  <c r="R1940" i="144"/>
  <c r="Q1940" i="144"/>
  <c r="P1940" i="144"/>
  <c r="R1939" i="144"/>
  <c r="Q1939" i="144"/>
  <c r="P1939" i="144"/>
  <c r="R1938" i="144"/>
  <c r="Q1938" i="144"/>
  <c r="P1938" i="144"/>
  <c r="R1937" i="144"/>
  <c r="Q1937" i="144"/>
  <c r="P1937" i="144"/>
  <c r="R1936" i="144"/>
  <c r="Q1936" i="144"/>
  <c r="P1936" i="144"/>
  <c r="R1935" i="144"/>
  <c r="Q1935" i="144"/>
  <c r="P1935" i="144"/>
  <c r="R1934" i="144"/>
  <c r="Q1934" i="144"/>
  <c r="P1934" i="144"/>
  <c r="R1933" i="144"/>
  <c r="Q1933" i="144"/>
  <c r="P1933" i="144"/>
  <c r="R1932" i="144"/>
  <c r="Q1932" i="144"/>
  <c r="P1932" i="144"/>
  <c r="R1931" i="144"/>
  <c r="Q1931" i="144"/>
  <c r="P1931" i="144"/>
  <c r="R1930" i="144"/>
  <c r="Q1930" i="144"/>
  <c r="P1930" i="144"/>
  <c r="R1929" i="144"/>
  <c r="Q1929" i="144"/>
  <c r="P1929" i="144"/>
  <c r="R1928" i="144"/>
  <c r="Q1928" i="144"/>
  <c r="P1928" i="144"/>
  <c r="R1927" i="144"/>
  <c r="Q1927" i="144"/>
  <c r="P1927" i="144"/>
  <c r="R1926" i="144"/>
  <c r="Q1926" i="144"/>
  <c r="P1926" i="144"/>
  <c r="R1925" i="144"/>
  <c r="Q1925" i="144"/>
  <c r="P1925" i="144"/>
  <c r="R1924" i="144"/>
  <c r="Q1924" i="144"/>
  <c r="P1924" i="144"/>
  <c r="R1923" i="144"/>
  <c r="Q1923" i="144"/>
  <c r="P1923" i="144"/>
  <c r="R1922" i="144"/>
  <c r="Q1922" i="144"/>
  <c r="P1922" i="144"/>
  <c r="R1921" i="144"/>
  <c r="Q1921" i="144"/>
  <c r="P1921" i="144"/>
  <c r="R1920" i="144"/>
  <c r="Q1920" i="144"/>
  <c r="P1920" i="144"/>
  <c r="R1919" i="144"/>
  <c r="Q1919" i="144"/>
  <c r="P1919" i="144"/>
  <c r="R1918" i="144"/>
  <c r="Q1918" i="144"/>
  <c r="P1918" i="144"/>
  <c r="R1917" i="144"/>
  <c r="Q1917" i="144"/>
  <c r="P1917" i="144"/>
  <c r="R1916" i="144"/>
  <c r="Q1916" i="144"/>
  <c r="P1916" i="144"/>
  <c r="R1915" i="144"/>
  <c r="Q1915" i="144"/>
  <c r="P1915" i="144"/>
  <c r="R1914" i="144"/>
  <c r="Q1914" i="144"/>
  <c r="P1914" i="144"/>
  <c r="R1913" i="144"/>
  <c r="Q1913" i="144"/>
  <c r="P1913" i="144"/>
  <c r="R1912" i="144"/>
  <c r="Q1912" i="144"/>
  <c r="P1912" i="144"/>
  <c r="R1911" i="144"/>
  <c r="Q1911" i="144"/>
  <c r="P1911" i="144"/>
  <c r="R1910" i="144"/>
  <c r="Q1910" i="144"/>
  <c r="P1910" i="144"/>
  <c r="R1909" i="144"/>
  <c r="Q1909" i="144"/>
  <c r="P1909" i="144"/>
  <c r="R1908" i="144"/>
  <c r="Q1908" i="144"/>
  <c r="P1908" i="144"/>
  <c r="R1907" i="144"/>
  <c r="Q1907" i="144"/>
  <c r="P1907" i="144"/>
  <c r="R1906" i="144"/>
  <c r="Q1906" i="144"/>
  <c r="P1906" i="144"/>
  <c r="R1905" i="144"/>
  <c r="Q1905" i="144"/>
  <c r="P1905" i="144"/>
  <c r="R1904" i="144"/>
  <c r="Q1904" i="144"/>
  <c r="P1904" i="144"/>
  <c r="R1903" i="144"/>
  <c r="Q1903" i="144"/>
  <c r="P1903" i="144"/>
  <c r="R1902" i="144"/>
  <c r="Q1902" i="144"/>
  <c r="P1902" i="144"/>
  <c r="R1901" i="144"/>
  <c r="Q1901" i="144"/>
  <c r="P1901" i="144"/>
  <c r="R1900" i="144"/>
  <c r="Q1900" i="144"/>
  <c r="P1900" i="144"/>
  <c r="R1899" i="144"/>
  <c r="Q1899" i="144"/>
  <c r="P1899" i="144"/>
  <c r="R1898" i="144"/>
  <c r="Q1898" i="144"/>
  <c r="P1898" i="144"/>
  <c r="R1897" i="144"/>
  <c r="Q1897" i="144"/>
  <c r="P1897" i="144"/>
  <c r="R1896" i="144"/>
  <c r="Q1896" i="144"/>
  <c r="P1896" i="144"/>
  <c r="R1895" i="144"/>
  <c r="Q1895" i="144"/>
  <c r="P1895" i="144"/>
  <c r="R1894" i="144"/>
  <c r="Q1894" i="144"/>
  <c r="P1894" i="144"/>
  <c r="R1893" i="144"/>
  <c r="Q1893" i="144"/>
  <c r="P1893" i="144"/>
  <c r="R1892" i="144"/>
  <c r="Q1892" i="144"/>
  <c r="P1892" i="144"/>
  <c r="R1891" i="144"/>
  <c r="Q1891" i="144"/>
  <c r="P1891" i="144"/>
  <c r="R1890" i="144"/>
  <c r="Q1890" i="144"/>
  <c r="P1890" i="144"/>
  <c r="R1889" i="144"/>
  <c r="Q1889" i="144"/>
  <c r="P1889" i="144"/>
  <c r="R1888" i="144"/>
  <c r="Q1888" i="144"/>
  <c r="P1888" i="144"/>
  <c r="R1887" i="144"/>
  <c r="Q1887" i="144"/>
  <c r="P1887" i="144"/>
  <c r="R1886" i="144"/>
  <c r="Q1886" i="144"/>
  <c r="P1886" i="144"/>
  <c r="R1885" i="144"/>
  <c r="Q1885" i="144"/>
  <c r="P1885" i="144"/>
  <c r="R1884" i="144"/>
  <c r="Q1884" i="144"/>
  <c r="P1884" i="144"/>
  <c r="R1883" i="144"/>
  <c r="Q1883" i="144"/>
  <c r="P1883" i="144"/>
  <c r="R1882" i="144"/>
  <c r="Q1882" i="144"/>
  <c r="P1882" i="144"/>
  <c r="R1881" i="144"/>
  <c r="Q1881" i="144"/>
  <c r="P1881" i="144"/>
  <c r="R1880" i="144"/>
  <c r="Q1880" i="144"/>
  <c r="P1880" i="144"/>
  <c r="R1879" i="144"/>
  <c r="Q1879" i="144"/>
  <c r="P1879" i="144"/>
  <c r="R1878" i="144"/>
  <c r="Q1878" i="144"/>
  <c r="P1878" i="144"/>
  <c r="R1877" i="144"/>
  <c r="Q1877" i="144"/>
  <c r="P1877" i="144"/>
  <c r="R1876" i="144"/>
  <c r="Q1876" i="144"/>
  <c r="P1876" i="144"/>
  <c r="R1875" i="144"/>
  <c r="Q1875" i="144"/>
  <c r="P1875" i="144"/>
  <c r="R1874" i="144"/>
  <c r="Q1874" i="144"/>
  <c r="P1874" i="144"/>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B7" i="186"/>
  <c r="B6" i="27"/>
  <c r="Y8" i="71"/>
  <c r="G8" i="71"/>
  <c r="Y9" i="71"/>
  <c r="G9" i="71"/>
  <c r="Y10" i="71"/>
  <c r="G10" i="71"/>
  <c r="Y11" i="71"/>
  <c r="G11" i="71"/>
  <c r="Y12" i="71"/>
  <c r="G12" i="71"/>
  <c r="Y13" i="71"/>
  <c r="G13" i="71"/>
  <c r="Y14" i="71"/>
  <c r="Y15" i="71"/>
  <c r="G15" i="71"/>
  <c r="Y16" i="71"/>
  <c r="G16" i="71"/>
  <c r="Y17" i="71"/>
  <c r="G17" i="71"/>
  <c r="Y18" i="71"/>
  <c r="G18" i="71"/>
  <c r="Y19" i="71"/>
  <c r="G19" i="71"/>
  <c r="Y20" i="71"/>
  <c r="G20" i="71"/>
  <c r="Y21" i="71"/>
  <c r="G21" i="71"/>
  <c r="Y22" i="71"/>
  <c r="Y23" i="71"/>
  <c r="G23" i="71"/>
  <c r="Y24" i="71"/>
  <c r="G24" i="71"/>
  <c r="Y25" i="71"/>
  <c r="G25" i="71"/>
  <c r="Y26" i="71"/>
  <c r="G26" i="71"/>
  <c r="Y27" i="71"/>
  <c r="G27" i="71"/>
  <c r="Y28" i="71"/>
  <c r="G28" i="71"/>
  <c r="Y29" i="71"/>
  <c r="G29" i="71"/>
  <c r="Y30" i="71"/>
  <c r="Y31" i="71"/>
  <c r="G31" i="71"/>
  <c r="Y32" i="71"/>
  <c r="G32" i="71"/>
  <c r="Y33" i="71"/>
  <c r="G33" i="71"/>
  <c r="Y34" i="71"/>
  <c r="G34" i="71"/>
  <c r="Y35" i="71"/>
  <c r="G35" i="71"/>
  <c r="Y36" i="71"/>
  <c r="G36" i="71"/>
  <c r="Y37" i="71"/>
  <c r="G37" i="71"/>
  <c r="Y38" i="71"/>
  <c r="Y39" i="71"/>
  <c r="G39" i="71"/>
  <c r="Y40" i="71"/>
  <c r="G40" i="71"/>
  <c r="Y41" i="71"/>
  <c r="G41" i="71"/>
  <c r="Y42" i="71"/>
  <c r="G42" i="71"/>
  <c r="Y43" i="71"/>
  <c r="G43" i="71"/>
  <c r="Y44" i="71"/>
  <c r="G44" i="71"/>
  <c r="Y45" i="71"/>
  <c r="G45" i="71"/>
  <c r="Y46" i="71"/>
  <c r="Y47" i="71"/>
  <c r="G47" i="71"/>
  <c r="Y48" i="71"/>
  <c r="G48" i="71"/>
  <c r="Y49" i="71"/>
  <c r="G49" i="71"/>
  <c r="Y50" i="71"/>
  <c r="G50" i="71"/>
  <c r="Y51" i="71"/>
  <c r="G51" i="71"/>
  <c r="Y52" i="71"/>
  <c r="G52" i="71"/>
  <c r="Y53" i="71"/>
  <c r="G53" i="71"/>
  <c r="Y54" i="71"/>
  <c r="Y55" i="71"/>
  <c r="G55" i="71"/>
  <c r="Y56" i="71"/>
  <c r="G56" i="71"/>
  <c r="Y57" i="71"/>
  <c r="G57" i="71"/>
  <c r="Y58" i="71"/>
  <c r="G58" i="71"/>
  <c r="Y59" i="71"/>
  <c r="G59" i="71"/>
  <c r="Y60" i="71"/>
  <c r="G60" i="71"/>
  <c r="Y61" i="71"/>
  <c r="G61" i="71"/>
  <c r="Y62" i="71"/>
  <c r="Y63" i="71"/>
  <c r="G63" i="71"/>
  <c r="Y64" i="71"/>
  <c r="G64" i="71"/>
  <c r="Y65" i="71"/>
  <c r="G65" i="71"/>
  <c r="Y66" i="71"/>
  <c r="G66" i="71"/>
  <c r="Y67" i="71"/>
  <c r="G67" i="71"/>
  <c r="Y68" i="71"/>
  <c r="G68" i="71"/>
  <c r="Y69" i="71"/>
  <c r="G69" i="71"/>
  <c r="Y70" i="71"/>
  <c r="Y71" i="71"/>
  <c r="G71" i="71"/>
  <c r="Y72" i="71"/>
  <c r="G72" i="71"/>
  <c r="Y73" i="71"/>
  <c r="G73" i="71"/>
  <c r="Y74" i="71"/>
  <c r="G74" i="71"/>
  <c r="Y75" i="71"/>
  <c r="G75" i="71"/>
  <c r="Y76" i="71"/>
  <c r="G76" i="71"/>
  <c r="Y77" i="71"/>
  <c r="G77" i="71"/>
  <c r="Y78" i="71"/>
  <c r="Y79" i="71"/>
  <c r="G79" i="71"/>
  <c r="Y80" i="71"/>
  <c r="G80" i="71"/>
  <c r="Y81" i="71"/>
  <c r="G81" i="71"/>
  <c r="Y82" i="71"/>
  <c r="G82" i="71"/>
  <c r="Y83" i="71"/>
  <c r="G83" i="71"/>
  <c r="Y84" i="71"/>
  <c r="G84" i="71"/>
  <c r="Y85" i="71"/>
  <c r="G85" i="71"/>
  <c r="Y86" i="71"/>
  <c r="Y87" i="71"/>
  <c r="G87" i="71"/>
  <c r="Y88" i="71"/>
  <c r="G88" i="71"/>
  <c r="Y89" i="71"/>
  <c r="G89" i="71"/>
  <c r="Y90" i="71"/>
  <c r="G90" i="71"/>
  <c r="Y91" i="71"/>
  <c r="G91" i="71"/>
  <c r="Y92" i="71"/>
  <c r="G92" i="71"/>
  <c r="Y93" i="71"/>
  <c r="G93" i="71"/>
  <c r="Y94" i="71"/>
  <c r="Y95" i="71"/>
  <c r="G95" i="71"/>
  <c r="Y96" i="71"/>
  <c r="G96" i="71"/>
  <c r="Y97" i="71"/>
  <c r="G97" i="71"/>
  <c r="Y98" i="71"/>
  <c r="G98" i="71"/>
  <c r="Y99" i="71"/>
  <c r="G99" i="71"/>
  <c r="Y100" i="71"/>
  <c r="G100" i="71"/>
  <c r="Y101" i="71"/>
  <c r="G101" i="71"/>
  <c r="Y102" i="71"/>
  <c r="Y103" i="71"/>
  <c r="G103" i="71"/>
  <c r="Y104" i="71"/>
  <c r="G104" i="71"/>
  <c r="Y105" i="71"/>
  <c r="G105" i="71"/>
  <c r="Y106" i="71"/>
  <c r="G106" i="71"/>
  <c r="Y107" i="71"/>
  <c r="G107" i="71"/>
  <c r="Y108" i="71"/>
  <c r="G108" i="71"/>
  <c r="Y109" i="71"/>
  <c r="G109" i="71"/>
  <c r="Y110" i="71"/>
  <c r="Y111" i="71"/>
  <c r="G111" i="71"/>
  <c r="Y112" i="71"/>
  <c r="Y113" i="71"/>
  <c r="G113" i="71"/>
  <c r="Y114" i="71"/>
  <c r="G114" i="71"/>
  <c r="Y115" i="71"/>
  <c r="G115" i="71"/>
  <c r="Y116" i="71"/>
  <c r="G116" i="71"/>
  <c r="Y117" i="71"/>
  <c r="G117" i="71"/>
  <c r="Y118" i="71"/>
  <c r="Y119" i="71"/>
  <c r="G119" i="71"/>
  <c r="Y120" i="71"/>
  <c r="G120" i="71"/>
  <c r="Y121" i="71"/>
  <c r="G121" i="71"/>
  <c r="Y122" i="71"/>
  <c r="G122" i="71"/>
  <c r="Y123" i="71"/>
  <c r="G123" i="71"/>
  <c r="Y124" i="71"/>
  <c r="G124" i="71"/>
  <c r="Y125" i="71"/>
  <c r="G125" i="71"/>
  <c r="Y126" i="71"/>
  <c r="Y127" i="71"/>
  <c r="G127" i="71"/>
  <c r="Y128" i="71"/>
  <c r="G128" i="71"/>
  <c r="Y129" i="71"/>
  <c r="G129" i="71"/>
  <c r="Y130" i="71"/>
  <c r="G130" i="71"/>
  <c r="Y131" i="71"/>
  <c r="G131" i="71"/>
  <c r="Y132" i="71"/>
  <c r="G132" i="71"/>
  <c r="Y133" i="71"/>
  <c r="G133" i="71"/>
  <c r="Y134" i="71"/>
  <c r="Y135" i="71"/>
  <c r="G135" i="71"/>
  <c r="Y136" i="71"/>
  <c r="G136" i="71"/>
  <c r="Y137" i="71"/>
  <c r="G137" i="71"/>
  <c r="Y138" i="71"/>
  <c r="G138" i="71"/>
  <c r="Y139" i="71"/>
  <c r="G139" i="71"/>
  <c r="Y140" i="71"/>
  <c r="G140" i="71"/>
  <c r="Y141" i="71"/>
  <c r="G141" i="71"/>
  <c r="Y142" i="71"/>
  <c r="Y143" i="71"/>
  <c r="G143" i="71"/>
  <c r="Y144" i="71"/>
  <c r="G144" i="71"/>
  <c r="Y145" i="71"/>
  <c r="G145" i="71"/>
  <c r="Y146" i="71"/>
  <c r="G146" i="71"/>
  <c r="Y147" i="71"/>
  <c r="G147" i="71"/>
  <c r="J147" i="71"/>
  <c r="Y148" i="71"/>
  <c r="G148" i="71"/>
  <c r="Y149" i="71"/>
  <c r="G149" i="71"/>
  <c r="Y150" i="71"/>
  <c r="Y151" i="71"/>
  <c r="G151" i="71"/>
  <c r="Y152" i="71"/>
  <c r="G152" i="71"/>
  <c r="Y153" i="71"/>
  <c r="G153" i="71"/>
  <c r="J153" i="71"/>
  <c r="Y154" i="71"/>
  <c r="G154" i="71"/>
  <c r="Y155" i="71"/>
  <c r="G155" i="71"/>
  <c r="Y156" i="71"/>
  <c r="G156" i="71"/>
  <c r="Y157" i="71"/>
  <c r="G157" i="71"/>
  <c r="Y158" i="71"/>
  <c r="Y159" i="71"/>
  <c r="G159" i="71"/>
  <c r="Y160" i="71"/>
  <c r="G160" i="71"/>
  <c r="Y161" i="71"/>
  <c r="G161" i="71"/>
  <c r="Y162" i="71"/>
  <c r="G162" i="71"/>
  <c r="Y163" i="71"/>
  <c r="G163" i="71"/>
  <c r="Y164" i="71"/>
  <c r="G164" i="71"/>
  <c r="Y165" i="71"/>
  <c r="G165" i="71"/>
  <c r="Y166" i="71"/>
  <c r="Y167" i="71"/>
  <c r="G167" i="71"/>
  <c r="Y168" i="71"/>
  <c r="G168" i="71"/>
  <c r="Y169" i="71"/>
  <c r="G169" i="71"/>
  <c r="Y170" i="71"/>
  <c r="G170" i="71"/>
  <c r="Y171" i="71"/>
  <c r="G171" i="71"/>
  <c r="M171" i="71"/>
  <c r="Y172" i="71"/>
  <c r="G172" i="71"/>
  <c r="X8" i="71"/>
  <c r="F8" i="71"/>
  <c r="X9" i="71"/>
  <c r="X10" i="71"/>
  <c r="F10" i="71"/>
  <c r="X11" i="71"/>
  <c r="F11" i="71"/>
  <c r="X12" i="71"/>
  <c r="F12" i="71"/>
  <c r="X13" i="71"/>
  <c r="F13" i="71"/>
  <c r="X14" i="71"/>
  <c r="F14" i="71"/>
  <c r="X15" i="71"/>
  <c r="F15" i="71"/>
  <c r="X16" i="71"/>
  <c r="F16" i="71"/>
  <c r="X17" i="71"/>
  <c r="X18" i="71"/>
  <c r="F18" i="71"/>
  <c r="X19" i="71"/>
  <c r="F19" i="71"/>
  <c r="X20" i="71"/>
  <c r="F20" i="71"/>
  <c r="X21" i="71"/>
  <c r="F21" i="71"/>
  <c r="X22" i="71"/>
  <c r="F22" i="71"/>
  <c r="X23" i="71"/>
  <c r="F23" i="71"/>
  <c r="X24" i="71"/>
  <c r="F24" i="71"/>
  <c r="X25" i="71"/>
  <c r="X26" i="71"/>
  <c r="X27" i="71"/>
  <c r="F27" i="71"/>
  <c r="X28" i="71"/>
  <c r="F28" i="71"/>
  <c r="X29" i="71"/>
  <c r="F29" i="71"/>
  <c r="X30" i="71"/>
  <c r="F30" i="71"/>
  <c r="X31" i="71"/>
  <c r="F31" i="71"/>
  <c r="X32" i="71"/>
  <c r="F32" i="71"/>
  <c r="X33" i="71"/>
  <c r="X34" i="71"/>
  <c r="F34" i="71"/>
  <c r="X35" i="71"/>
  <c r="F35" i="71"/>
  <c r="X36" i="71"/>
  <c r="F36" i="71"/>
  <c r="X37" i="71"/>
  <c r="F37" i="71"/>
  <c r="X38" i="71"/>
  <c r="F38" i="71"/>
  <c r="X39" i="71"/>
  <c r="F39" i="71"/>
  <c r="X40" i="71"/>
  <c r="F40" i="71"/>
  <c r="X41" i="71"/>
  <c r="X42" i="71"/>
  <c r="F42" i="71"/>
  <c r="X43" i="71"/>
  <c r="F43" i="71"/>
  <c r="X44" i="71"/>
  <c r="F44" i="71"/>
  <c r="X45" i="71"/>
  <c r="F45" i="71"/>
  <c r="X46" i="71"/>
  <c r="F46" i="71"/>
  <c r="X47" i="71"/>
  <c r="F47" i="71"/>
  <c r="X48" i="71"/>
  <c r="F48" i="71"/>
  <c r="X49" i="71"/>
  <c r="X50" i="71"/>
  <c r="F50" i="71"/>
  <c r="X51" i="71"/>
  <c r="F51" i="71"/>
  <c r="X52" i="71"/>
  <c r="F52" i="71"/>
  <c r="X53" i="71"/>
  <c r="F53" i="71"/>
  <c r="X54" i="71"/>
  <c r="F54" i="71"/>
  <c r="O8" i="140"/>
  <c r="X55" i="71"/>
  <c r="F55" i="71"/>
  <c r="X56" i="71"/>
  <c r="F56" i="71"/>
  <c r="X57" i="71"/>
  <c r="X58" i="71"/>
  <c r="F58" i="71"/>
  <c r="X59" i="71"/>
  <c r="F59" i="71"/>
  <c r="O20" i="140"/>
  <c r="X60" i="71"/>
  <c r="F60" i="71"/>
  <c r="X61" i="71"/>
  <c r="F61" i="71"/>
  <c r="X62" i="71"/>
  <c r="F62" i="71"/>
  <c r="X63" i="71"/>
  <c r="F63" i="71"/>
  <c r="X64" i="71"/>
  <c r="F64" i="71"/>
  <c r="X65" i="71"/>
  <c r="X66" i="71"/>
  <c r="F66" i="71"/>
  <c r="X67" i="71"/>
  <c r="F67" i="71"/>
  <c r="X68" i="71"/>
  <c r="F68" i="71"/>
  <c r="X69" i="71"/>
  <c r="F69" i="71"/>
  <c r="X70" i="71"/>
  <c r="F70" i="71"/>
  <c r="X71" i="71"/>
  <c r="F71" i="71"/>
  <c r="X72" i="71"/>
  <c r="F72" i="71"/>
  <c r="X73" i="71"/>
  <c r="X74" i="71"/>
  <c r="F74" i="71"/>
  <c r="X75" i="71"/>
  <c r="F75" i="71"/>
  <c r="X76" i="71"/>
  <c r="F76" i="71"/>
  <c r="X77" i="71"/>
  <c r="F77" i="71"/>
  <c r="X78" i="71"/>
  <c r="F78" i="71"/>
  <c r="X79" i="71"/>
  <c r="F79" i="71"/>
  <c r="X80" i="71"/>
  <c r="F80" i="71"/>
  <c r="X81" i="71"/>
  <c r="X82" i="71"/>
  <c r="F82" i="71"/>
  <c r="X83" i="71"/>
  <c r="F83" i="71"/>
  <c r="X84" i="71"/>
  <c r="F84" i="71"/>
  <c r="X85" i="71"/>
  <c r="F85" i="71"/>
  <c r="X86" i="71"/>
  <c r="F86" i="71"/>
  <c r="X87" i="71"/>
  <c r="F87" i="71"/>
  <c r="X88" i="71"/>
  <c r="F88" i="71"/>
  <c r="X89" i="71"/>
  <c r="X90" i="71"/>
  <c r="F90" i="71"/>
  <c r="X91" i="71"/>
  <c r="F91" i="71"/>
  <c r="X92" i="71"/>
  <c r="F92" i="71"/>
  <c r="X93" i="71"/>
  <c r="F93" i="71"/>
  <c r="X94" i="71"/>
  <c r="F94" i="71"/>
  <c r="X95" i="71"/>
  <c r="F95" i="71"/>
  <c r="X96" i="71"/>
  <c r="F96" i="71"/>
  <c r="X97" i="71"/>
  <c r="X98" i="71"/>
  <c r="F98" i="71"/>
  <c r="X99" i="71"/>
  <c r="F99" i="71"/>
  <c r="X100" i="71"/>
  <c r="F100" i="71"/>
  <c r="X101" i="71"/>
  <c r="F101" i="71"/>
  <c r="X102" i="71"/>
  <c r="F102" i="71"/>
  <c r="G11" i="140"/>
  <c r="X103" i="71"/>
  <c r="F103" i="71"/>
  <c r="X104" i="71"/>
  <c r="F104" i="71"/>
  <c r="X105" i="71"/>
  <c r="X106" i="71"/>
  <c r="F106" i="71"/>
  <c r="X107" i="71"/>
  <c r="X108" i="71"/>
  <c r="F108" i="71"/>
  <c r="X109" i="71"/>
  <c r="F109" i="71"/>
  <c r="X110" i="71"/>
  <c r="F110" i="71"/>
  <c r="X111" i="71"/>
  <c r="F111" i="71"/>
  <c r="X112" i="71"/>
  <c r="F112" i="71"/>
  <c r="G12" i="140"/>
  <c r="X113" i="71"/>
  <c r="X114" i="71"/>
  <c r="F114" i="71"/>
  <c r="X115" i="71"/>
  <c r="F115" i="71"/>
  <c r="X116" i="71"/>
  <c r="F116" i="71"/>
  <c r="X117" i="71"/>
  <c r="F117" i="71"/>
  <c r="X118" i="71"/>
  <c r="F118" i="71"/>
  <c r="K21" i="140"/>
  <c r="X119" i="71"/>
  <c r="F119" i="71"/>
  <c r="X120" i="71"/>
  <c r="F120" i="71"/>
  <c r="X121" i="71"/>
  <c r="X122" i="71"/>
  <c r="F122" i="71"/>
  <c r="X123" i="71"/>
  <c r="F123" i="71"/>
  <c r="X124" i="71"/>
  <c r="F124" i="71"/>
  <c r="X125" i="71"/>
  <c r="F125" i="71"/>
  <c r="X126" i="71"/>
  <c r="F126" i="71"/>
  <c r="X127" i="71"/>
  <c r="F127" i="71"/>
  <c r="X128" i="71"/>
  <c r="F128" i="71"/>
  <c r="X129" i="71"/>
  <c r="X130" i="71"/>
  <c r="F130" i="71"/>
  <c r="X131" i="71"/>
  <c r="F131" i="71"/>
  <c r="X132" i="71"/>
  <c r="F132" i="71"/>
  <c r="G16" i="140"/>
  <c r="X133" i="71"/>
  <c r="F133" i="71"/>
  <c r="X134" i="71"/>
  <c r="F134" i="71"/>
  <c r="X135" i="71"/>
  <c r="F135" i="71"/>
  <c r="X136" i="71"/>
  <c r="F136" i="71"/>
  <c r="X137" i="71"/>
  <c r="X138" i="71"/>
  <c r="F138" i="71"/>
  <c r="X139" i="71"/>
  <c r="F139" i="71"/>
  <c r="X140" i="71"/>
  <c r="F140" i="71"/>
  <c r="X141" i="71"/>
  <c r="F141" i="71"/>
  <c r="X142" i="71"/>
  <c r="F142" i="71"/>
  <c r="X143" i="71"/>
  <c r="F143" i="71"/>
  <c r="X144" i="71"/>
  <c r="F144" i="71"/>
  <c r="X145" i="71"/>
  <c r="X146" i="71"/>
  <c r="F146" i="71"/>
  <c r="X147" i="71"/>
  <c r="F147" i="71"/>
  <c r="X148" i="71"/>
  <c r="F148" i="71"/>
  <c r="X149" i="71"/>
  <c r="F149" i="71"/>
  <c r="X150" i="71"/>
  <c r="F150" i="71"/>
  <c r="X151" i="71"/>
  <c r="F151" i="71"/>
  <c r="X152" i="71"/>
  <c r="F152" i="71"/>
  <c r="X153" i="71"/>
  <c r="X154" i="71"/>
  <c r="F154" i="71"/>
  <c r="X155" i="71"/>
  <c r="F155" i="71"/>
  <c r="X156" i="71"/>
  <c r="F156" i="71"/>
  <c r="X157" i="71"/>
  <c r="F157" i="71"/>
  <c r="X158" i="71"/>
  <c r="F158" i="71"/>
  <c r="X159" i="71"/>
  <c r="F159" i="71"/>
  <c r="X160" i="71"/>
  <c r="F160" i="71"/>
  <c r="X161" i="71"/>
  <c r="X162" i="71"/>
  <c r="F162" i="71"/>
  <c r="X163" i="71"/>
  <c r="F163" i="71"/>
  <c r="X164" i="71"/>
  <c r="F164" i="71"/>
  <c r="X165" i="71"/>
  <c r="F165" i="71"/>
  <c r="X166" i="71"/>
  <c r="F166" i="71"/>
  <c r="X167" i="71"/>
  <c r="F167" i="71"/>
  <c r="X168" i="71"/>
  <c r="F168" i="71"/>
  <c r="X169" i="71"/>
  <c r="X170" i="71"/>
  <c r="F170" i="71"/>
  <c r="X171" i="71"/>
  <c r="F171" i="71"/>
  <c r="X172" i="71"/>
  <c r="F172" i="71"/>
  <c r="Y7" i="71"/>
  <c r="G7" i="71"/>
  <c r="X7" i="71"/>
  <c r="F7" i="71"/>
  <c r="E16" i="140"/>
  <c r="E17" i="140"/>
  <c r="E18" i="140"/>
  <c r="B4" i="32"/>
  <c r="R8" i="144"/>
  <c r="R9" i="144"/>
  <c r="R10" i="144"/>
  <c r="R11" i="144"/>
  <c r="R12" i="144"/>
  <c r="R13" i="144"/>
  <c r="R14" i="144"/>
  <c r="R15" i="144"/>
  <c r="R16" i="144"/>
  <c r="R17" i="144"/>
  <c r="R18" i="144"/>
  <c r="R19" i="144"/>
  <c r="R20" i="144"/>
  <c r="R21" i="144"/>
  <c r="R22" i="144"/>
  <c r="R23" i="144"/>
  <c r="R24" i="144"/>
  <c r="R25" i="144"/>
  <c r="R26" i="144"/>
  <c r="R27" i="144"/>
  <c r="R28" i="144"/>
  <c r="R29" i="144"/>
  <c r="R30" i="144"/>
  <c r="R31" i="144"/>
  <c r="R32" i="144"/>
  <c r="R33" i="144"/>
  <c r="R34" i="144"/>
  <c r="R35" i="144"/>
  <c r="R36" i="144"/>
  <c r="R37" i="144"/>
  <c r="R38" i="144"/>
  <c r="R39" i="144"/>
  <c r="R40" i="144"/>
  <c r="R41" i="144"/>
  <c r="R42" i="144"/>
  <c r="R43" i="144"/>
  <c r="R44" i="144"/>
  <c r="R45" i="144"/>
  <c r="R46" i="144"/>
  <c r="R47" i="144"/>
  <c r="R48" i="144"/>
  <c r="R49" i="144"/>
  <c r="R50" i="144"/>
  <c r="R51" i="144"/>
  <c r="R52" i="144"/>
  <c r="R53" i="144"/>
  <c r="R54" i="144"/>
  <c r="R55" i="144"/>
  <c r="R56" i="144"/>
  <c r="R57" i="144"/>
  <c r="R58" i="144"/>
  <c r="R59" i="144"/>
  <c r="R60" i="144"/>
  <c r="R61" i="144"/>
  <c r="R62" i="144"/>
  <c r="R63" i="144"/>
  <c r="R64" i="144"/>
  <c r="R65" i="144"/>
  <c r="R66" i="144"/>
  <c r="R67" i="144"/>
  <c r="R68" i="144"/>
  <c r="R69" i="144"/>
  <c r="R70" i="144"/>
  <c r="R71" i="144"/>
  <c r="R72" i="144"/>
  <c r="R73" i="144"/>
  <c r="R74" i="144"/>
  <c r="R75" i="144"/>
  <c r="R76" i="144"/>
  <c r="R77" i="144"/>
  <c r="R78" i="144"/>
  <c r="R79" i="144"/>
  <c r="R80" i="144"/>
  <c r="R81" i="144"/>
  <c r="R82" i="144"/>
  <c r="R83" i="144"/>
  <c r="R84" i="144"/>
  <c r="R85" i="144"/>
  <c r="R86" i="144"/>
  <c r="R87" i="144"/>
  <c r="R88" i="144"/>
  <c r="R89" i="144"/>
  <c r="R90" i="144"/>
  <c r="R91" i="144"/>
  <c r="R92" i="144"/>
  <c r="R93" i="144"/>
  <c r="R94" i="144"/>
  <c r="R95" i="144"/>
  <c r="R96" i="144"/>
  <c r="R97" i="144"/>
  <c r="R98" i="144"/>
  <c r="R99" i="144"/>
  <c r="R100" i="144"/>
  <c r="R101" i="144"/>
  <c r="R102" i="144"/>
  <c r="R103" i="144"/>
  <c r="R104" i="144"/>
  <c r="R105" i="144"/>
  <c r="R106" i="144"/>
  <c r="R107" i="144"/>
  <c r="R108" i="144"/>
  <c r="R109" i="144"/>
  <c r="R110" i="144"/>
  <c r="R111" i="144"/>
  <c r="R112" i="144"/>
  <c r="R113" i="144"/>
  <c r="R114" i="144"/>
  <c r="R115" i="144"/>
  <c r="R116" i="144"/>
  <c r="R117" i="144"/>
  <c r="R118" i="144"/>
  <c r="R119" i="144"/>
  <c r="R120" i="144"/>
  <c r="R121" i="144"/>
  <c r="R122" i="144"/>
  <c r="R123" i="144"/>
  <c r="R124" i="144"/>
  <c r="R125" i="144"/>
  <c r="R126" i="144"/>
  <c r="R127" i="144"/>
  <c r="R128" i="144"/>
  <c r="R129" i="144"/>
  <c r="R130" i="144"/>
  <c r="R131" i="144"/>
  <c r="R132" i="144"/>
  <c r="R133" i="144"/>
  <c r="R134" i="144"/>
  <c r="R135" i="144"/>
  <c r="R136" i="144"/>
  <c r="R137" i="144"/>
  <c r="R138" i="144"/>
  <c r="R139" i="144"/>
  <c r="R140" i="144"/>
  <c r="R141" i="144"/>
  <c r="R142" i="144"/>
  <c r="R143" i="144"/>
  <c r="R144" i="144"/>
  <c r="R145" i="144"/>
  <c r="R146" i="144"/>
  <c r="R147" i="144"/>
  <c r="R148" i="144"/>
  <c r="R149" i="144"/>
  <c r="R150" i="144"/>
  <c r="R151" i="144"/>
  <c r="R152" i="144"/>
  <c r="R153" i="144"/>
  <c r="R154" i="144"/>
  <c r="R155" i="144"/>
  <c r="R156" i="144"/>
  <c r="R157" i="144"/>
  <c r="R158" i="144"/>
  <c r="R159" i="144"/>
  <c r="R160" i="144"/>
  <c r="R161" i="144"/>
  <c r="R162" i="144"/>
  <c r="R163" i="144"/>
  <c r="R164" i="144"/>
  <c r="R165" i="144"/>
  <c r="R166" i="144"/>
  <c r="R167" i="144"/>
  <c r="R168" i="144"/>
  <c r="R169" i="144"/>
  <c r="R170" i="144"/>
  <c r="R171" i="144"/>
  <c r="R172" i="144"/>
  <c r="R173" i="144"/>
  <c r="R174" i="144"/>
  <c r="R175" i="144"/>
  <c r="R176" i="144"/>
  <c r="R177" i="144"/>
  <c r="R178" i="144"/>
  <c r="R179" i="144"/>
  <c r="R180" i="144"/>
  <c r="R181" i="144"/>
  <c r="R182" i="144"/>
  <c r="R183" i="144"/>
  <c r="R184" i="144"/>
  <c r="R185" i="144"/>
  <c r="R186" i="144"/>
  <c r="R187" i="144"/>
  <c r="R188" i="144"/>
  <c r="R189" i="144"/>
  <c r="R190" i="144"/>
  <c r="R191" i="144"/>
  <c r="R192" i="144"/>
  <c r="R193" i="144"/>
  <c r="R194" i="144"/>
  <c r="R195" i="144"/>
  <c r="R196" i="144"/>
  <c r="R197" i="144"/>
  <c r="R198" i="144"/>
  <c r="R199" i="144"/>
  <c r="R200" i="144"/>
  <c r="R201" i="144"/>
  <c r="R202" i="144"/>
  <c r="R203" i="144"/>
  <c r="R204" i="144"/>
  <c r="R205" i="144"/>
  <c r="R206" i="144"/>
  <c r="R207" i="144"/>
  <c r="R208" i="144"/>
  <c r="R209" i="144"/>
  <c r="R210" i="144"/>
  <c r="R211" i="144"/>
  <c r="R212" i="144"/>
  <c r="R213" i="144"/>
  <c r="R214" i="144"/>
  <c r="R215" i="144"/>
  <c r="R216" i="144"/>
  <c r="R217" i="144"/>
  <c r="R218" i="144"/>
  <c r="R219" i="144"/>
  <c r="R220" i="144"/>
  <c r="R221" i="144"/>
  <c r="R222" i="144"/>
  <c r="R223" i="144"/>
  <c r="R224" i="144"/>
  <c r="R225" i="144"/>
  <c r="R226" i="144"/>
  <c r="R227" i="144"/>
  <c r="R228" i="144"/>
  <c r="R229" i="144"/>
  <c r="R230" i="144"/>
  <c r="R231" i="144"/>
  <c r="R232" i="144"/>
  <c r="R233" i="144"/>
  <c r="R234" i="144"/>
  <c r="R235" i="144"/>
  <c r="R236" i="144"/>
  <c r="R237" i="144"/>
  <c r="R238" i="144"/>
  <c r="R239" i="144"/>
  <c r="R240" i="144"/>
  <c r="R241" i="144"/>
  <c r="R242" i="144"/>
  <c r="R243" i="144"/>
  <c r="R244" i="144"/>
  <c r="R245" i="144"/>
  <c r="R246" i="144"/>
  <c r="R247" i="144"/>
  <c r="R248" i="144"/>
  <c r="R249" i="144"/>
  <c r="R250" i="144"/>
  <c r="R251" i="144"/>
  <c r="R252" i="144"/>
  <c r="R253" i="144"/>
  <c r="R254" i="144"/>
  <c r="R255" i="144"/>
  <c r="R256" i="144"/>
  <c r="R257" i="144"/>
  <c r="R258" i="144"/>
  <c r="R259" i="144"/>
  <c r="R260" i="144"/>
  <c r="R261" i="144"/>
  <c r="R262" i="144"/>
  <c r="R263" i="144"/>
  <c r="R264" i="144"/>
  <c r="R265" i="144"/>
  <c r="R266" i="144"/>
  <c r="R267" i="144"/>
  <c r="R268" i="144"/>
  <c r="R269" i="144"/>
  <c r="R270" i="144"/>
  <c r="R271" i="144"/>
  <c r="R272" i="144"/>
  <c r="R273" i="144"/>
  <c r="R274" i="144"/>
  <c r="R275" i="144"/>
  <c r="R276" i="144"/>
  <c r="R277" i="144"/>
  <c r="R278" i="144"/>
  <c r="R279" i="144"/>
  <c r="R280" i="144"/>
  <c r="R281" i="144"/>
  <c r="R282" i="144"/>
  <c r="R283" i="144"/>
  <c r="R284" i="144"/>
  <c r="R285" i="144"/>
  <c r="R286" i="144"/>
  <c r="R287" i="144"/>
  <c r="R288" i="144"/>
  <c r="R289" i="144"/>
  <c r="R290" i="144"/>
  <c r="R291" i="144"/>
  <c r="R292" i="144"/>
  <c r="R293" i="144"/>
  <c r="R294" i="144"/>
  <c r="R295" i="144"/>
  <c r="R296" i="144"/>
  <c r="R297" i="144"/>
  <c r="R298" i="144"/>
  <c r="R299" i="144"/>
  <c r="R300" i="144"/>
  <c r="R301" i="144"/>
  <c r="R302" i="144"/>
  <c r="R303" i="144"/>
  <c r="R304" i="144"/>
  <c r="R305" i="144"/>
  <c r="R306" i="144"/>
  <c r="R307" i="144"/>
  <c r="R308" i="144"/>
  <c r="R309" i="144"/>
  <c r="R310" i="144"/>
  <c r="R311" i="144"/>
  <c r="R312" i="144"/>
  <c r="R313" i="144"/>
  <c r="R314" i="144"/>
  <c r="R315" i="144"/>
  <c r="R316" i="144"/>
  <c r="R317" i="144"/>
  <c r="R318" i="144"/>
  <c r="R319" i="144"/>
  <c r="R320" i="144"/>
  <c r="R321" i="144"/>
  <c r="R322" i="144"/>
  <c r="R323" i="144"/>
  <c r="R324" i="144"/>
  <c r="R325" i="144"/>
  <c r="R326" i="144"/>
  <c r="R327" i="144"/>
  <c r="R328" i="144"/>
  <c r="R329" i="144"/>
  <c r="R330" i="144"/>
  <c r="R331" i="144"/>
  <c r="R332" i="144"/>
  <c r="R333" i="144"/>
  <c r="R334" i="144"/>
  <c r="R335" i="144"/>
  <c r="R336" i="144"/>
  <c r="R337" i="144"/>
  <c r="R338" i="144"/>
  <c r="R339" i="144"/>
  <c r="R340" i="144"/>
  <c r="R341" i="144"/>
  <c r="R342" i="144"/>
  <c r="R343" i="144"/>
  <c r="R344" i="144"/>
  <c r="R345" i="144"/>
  <c r="R346" i="144"/>
  <c r="R347" i="144"/>
  <c r="R348" i="144"/>
  <c r="R349" i="144"/>
  <c r="R350" i="144"/>
  <c r="R351" i="144"/>
  <c r="R352" i="144"/>
  <c r="R353" i="144"/>
  <c r="R354" i="144"/>
  <c r="R355" i="144"/>
  <c r="R356" i="144"/>
  <c r="R357" i="144"/>
  <c r="R358" i="144"/>
  <c r="R359" i="144"/>
  <c r="R360" i="144"/>
  <c r="R361" i="144"/>
  <c r="R362" i="144"/>
  <c r="R363" i="144"/>
  <c r="R364" i="144"/>
  <c r="R365" i="144"/>
  <c r="R366" i="144"/>
  <c r="R367" i="144"/>
  <c r="R368" i="144"/>
  <c r="R369" i="144"/>
  <c r="R370" i="144"/>
  <c r="R371" i="144"/>
  <c r="R372" i="144"/>
  <c r="R373" i="144"/>
  <c r="R374" i="144"/>
  <c r="R375" i="144"/>
  <c r="R376" i="144"/>
  <c r="R377" i="144"/>
  <c r="R378" i="144"/>
  <c r="R379" i="144"/>
  <c r="R380" i="144"/>
  <c r="R381" i="144"/>
  <c r="R382" i="144"/>
  <c r="R383" i="144"/>
  <c r="R384" i="144"/>
  <c r="R385" i="144"/>
  <c r="R386" i="144"/>
  <c r="R387" i="144"/>
  <c r="R388" i="144"/>
  <c r="R389" i="144"/>
  <c r="R390" i="144"/>
  <c r="R391" i="144"/>
  <c r="R392" i="144"/>
  <c r="R393" i="144"/>
  <c r="R394" i="144"/>
  <c r="R395" i="144"/>
  <c r="R396" i="144"/>
  <c r="R397" i="144"/>
  <c r="R398" i="144"/>
  <c r="R399" i="144"/>
  <c r="R400" i="144"/>
  <c r="R401" i="144"/>
  <c r="R402" i="144"/>
  <c r="R403" i="144"/>
  <c r="R404" i="144"/>
  <c r="R405" i="144"/>
  <c r="R406" i="144"/>
  <c r="R407" i="144"/>
  <c r="R408" i="144"/>
  <c r="R409" i="144"/>
  <c r="R410" i="144"/>
  <c r="R411" i="144"/>
  <c r="R412" i="144"/>
  <c r="R413" i="144"/>
  <c r="R414" i="144"/>
  <c r="R415" i="144"/>
  <c r="R416" i="144"/>
  <c r="R417" i="144"/>
  <c r="R418" i="144"/>
  <c r="R419" i="144"/>
  <c r="R420" i="144"/>
  <c r="R421" i="144"/>
  <c r="R422" i="144"/>
  <c r="R423" i="144"/>
  <c r="R424" i="144"/>
  <c r="R425" i="144"/>
  <c r="R426" i="144"/>
  <c r="R427" i="144"/>
  <c r="R428" i="144"/>
  <c r="R429" i="144"/>
  <c r="R430" i="144"/>
  <c r="R431" i="144"/>
  <c r="R432" i="144"/>
  <c r="R433" i="144"/>
  <c r="R434" i="144"/>
  <c r="R435" i="144"/>
  <c r="R436" i="144"/>
  <c r="R437" i="144"/>
  <c r="R438" i="144"/>
  <c r="R439" i="144"/>
  <c r="R440" i="144"/>
  <c r="R441" i="144"/>
  <c r="R442" i="144"/>
  <c r="R443" i="144"/>
  <c r="R444" i="144"/>
  <c r="R445" i="144"/>
  <c r="R446" i="144"/>
  <c r="R447" i="144"/>
  <c r="R448" i="144"/>
  <c r="R449" i="144"/>
  <c r="R450" i="144"/>
  <c r="R451" i="144"/>
  <c r="R452" i="144"/>
  <c r="R453" i="144"/>
  <c r="R454" i="144"/>
  <c r="R455" i="144"/>
  <c r="R456" i="144"/>
  <c r="R457" i="144"/>
  <c r="R458" i="144"/>
  <c r="R459" i="144"/>
  <c r="R460" i="144"/>
  <c r="R461" i="144"/>
  <c r="R462" i="144"/>
  <c r="R463" i="144"/>
  <c r="R464" i="144"/>
  <c r="R465" i="144"/>
  <c r="R466" i="144"/>
  <c r="R467" i="144"/>
  <c r="R468" i="144"/>
  <c r="R469" i="144"/>
  <c r="R470" i="144"/>
  <c r="R471" i="144"/>
  <c r="R472" i="144"/>
  <c r="R473" i="144"/>
  <c r="R474" i="144"/>
  <c r="R475" i="144"/>
  <c r="R476" i="144"/>
  <c r="R477" i="144"/>
  <c r="R478" i="144"/>
  <c r="R479" i="144"/>
  <c r="R480" i="144"/>
  <c r="R481" i="144"/>
  <c r="R482" i="144"/>
  <c r="R483" i="144"/>
  <c r="R484" i="144"/>
  <c r="R485" i="144"/>
  <c r="R486" i="144"/>
  <c r="R487" i="144"/>
  <c r="R488" i="144"/>
  <c r="R489" i="144"/>
  <c r="R490" i="144"/>
  <c r="R491" i="144"/>
  <c r="R492" i="144"/>
  <c r="R493" i="144"/>
  <c r="R494" i="144"/>
  <c r="R495" i="144"/>
  <c r="R496" i="144"/>
  <c r="R497" i="144"/>
  <c r="R498" i="144"/>
  <c r="R499" i="144"/>
  <c r="R500" i="144"/>
  <c r="R501" i="144"/>
  <c r="R502" i="144"/>
  <c r="R503" i="144"/>
  <c r="R504" i="144"/>
  <c r="R505" i="144"/>
  <c r="R506" i="144"/>
  <c r="R507" i="144"/>
  <c r="R508" i="144"/>
  <c r="R509" i="144"/>
  <c r="R510" i="144"/>
  <c r="R511" i="144"/>
  <c r="R512" i="144"/>
  <c r="R513" i="144"/>
  <c r="R514" i="144"/>
  <c r="R515" i="144"/>
  <c r="R516" i="144"/>
  <c r="R517" i="144"/>
  <c r="R518" i="144"/>
  <c r="R519" i="144"/>
  <c r="R520" i="144"/>
  <c r="R521" i="144"/>
  <c r="R522" i="144"/>
  <c r="R523" i="144"/>
  <c r="R524" i="144"/>
  <c r="R525" i="144"/>
  <c r="R526" i="144"/>
  <c r="R527" i="144"/>
  <c r="R528" i="144"/>
  <c r="R529" i="144"/>
  <c r="R530" i="144"/>
  <c r="R531" i="144"/>
  <c r="R532" i="144"/>
  <c r="R533" i="144"/>
  <c r="R534" i="144"/>
  <c r="R535" i="144"/>
  <c r="R536" i="144"/>
  <c r="R537" i="144"/>
  <c r="R538" i="144"/>
  <c r="R539" i="144"/>
  <c r="R540" i="144"/>
  <c r="R541" i="144"/>
  <c r="R542" i="144"/>
  <c r="R543" i="144"/>
  <c r="R544" i="144"/>
  <c r="R545" i="144"/>
  <c r="R546" i="144"/>
  <c r="R547" i="144"/>
  <c r="R548" i="144"/>
  <c r="R549" i="144"/>
  <c r="R550" i="144"/>
  <c r="R551" i="144"/>
  <c r="R552" i="144"/>
  <c r="R553" i="144"/>
  <c r="R554" i="144"/>
  <c r="R555" i="144"/>
  <c r="R556" i="144"/>
  <c r="R557" i="144"/>
  <c r="R558" i="144"/>
  <c r="R559" i="144"/>
  <c r="R560" i="144"/>
  <c r="R561" i="144"/>
  <c r="R562" i="144"/>
  <c r="R563" i="144"/>
  <c r="R564" i="144"/>
  <c r="R565" i="144"/>
  <c r="R566" i="144"/>
  <c r="R567" i="144"/>
  <c r="R568" i="144"/>
  <c r="R569" i="144"/>
  <c r="R570" i="144"/>
  <c r="R571" i="144"/>
  <c r="R572" i="144"/>
  <c r="R573" i="144"/>
  <c r="R574" i="144"/>
  <c r="R575" i="144"/>
  <c r="R576" i="144"/>
  <c r="R577" i="144"/>
  <c r="R578" i="144"/>
  <c r="R579" i="144"/>
  <c r="R580" i="144"/>
  <c r="R581" i="144"/>
  <c r="R582" i="144"/>
  <c r="R583" i="144"/>
  <c r="R584" i="144"/>
  <c r="R585" i="144"/>
  <c r="R586" i="144"/>
  <c r="R587" i="144"/>
  <c r="R588" i="144"/>
  <c r="R589" i="144"/>
  <c r="R590" i="144"/>
  <c r="R591" i="144"/>
  <c r="R592" i="144"/>
  <c r="R593" i="144"/>
  <c r="R594" i="144"/>
  <c r="R595" i="144"/>
  <c r="R596" i="144"/>
  <c r="R597" i="144"/>
  <c r="R598" i="144"/>
  <c r="R599" i="144"/>
  <c r="R600" i="144"/>
  <c r="R601" i="144"/>
  <c r="R602" i="144"/>
  <c r="R603" i="144"/>
  <c r="R604" i="144"/>
  <c r="R605" i="144"/>
  <c r="R606" i="144"/>
  <c r="R607" i="144"/>
  <c r="R608" i="144"/>
  <c r="R609" i="144"/>
  <c r="R610" i="144"/>
  <c r="R611" i="144"/>
  <c r="R612" i="144"/>
  <c r="R613" i="144"/>
  <c r="R614" i="144"/>
  <c r="R615" i="144"/>
  <c r="R616" i="144"/>
  <c r="R617" i="144"/>
  <c r="R618" i="144"/>
  <c r="R619" i="144"/>
  <c r="R620" i="144"/>
  <c r="R621" i="144"/>
  <c r="R622" i="144"/>
  <c r="R623" i="144"/>
  <c r="R624" i="144"/>
  <c r="R625" i="144"/>
  <c r="R626" i="144"/>
  <c r="R627" i="144"/>
  <c r="R628" i="144"/>
  <c r="R629" i="144"/>
  <c r="R630" i="144"/>
  <c r="R631" i="144"/>
  <c r="R632" i="144"/>
  <c r="R633" i="144"/>
  <c r="R634" i="144"/>
  <c r="R635" i="144"/>
  <c r="R636" i="144"/>
  <c r="R637" i="144"/>
  <c r="R638" i="144"/>
  <c r="R639" i="144"/>
  <c r="R640" i="144"/>
  <c r="R641" i="144"/>
  <c r="R642" i="144"/>
  <c r="R643" i="144"/>
  <c r="R644" i="144"/>
  <c r="R645" i="144"/>
  <c r="R646" i="144"/>
  <c r="R647" i="144"/>
  <c r="R648" i="144"/>
  <c r="R649" i="144"/>
  <c r="R650" i="144"/>
  <c r="R651" i="144"/>
  <c r="R652" i="144"/>
  <c r="R653" i="144"/>
  <c r="R654" i="144"/>
  <c r="R655" i="144"/>
  <c r="R656" i="144"/>
  <c r="R657" i="144"/>
  <c r="R658" i="144"/>
  <c r="R659" i="144"/>
  <c r="R660" i="144"/>
  <c r="R661" i="144"/>
  <c r="R662" i="144"/>
  <c r="R663" i="144"/>
  <c r="R664" i="144"/>
  <c r="R665" i="144"/>
  <c r="R666" i="144"/>
  <c r="R667" i="144"/>
  <c r="R668" i="144"/>
  <c r="R669" i="144"/>
  <c r="R670" i="144"/>
  <c r="R671" i="144"/>
  <c r="R672" i="144"/>
  <c r="R673" i="144"/>
  <c r="R674" i="144"/>
  <c r="R675" i="144"/>
  <c r="R676" i="144"/>
  <c r="R677" i="144"/>
  <c r="R678" i="144"/>
  <c r="R679" i="144"/>
  <c r="R680" i="144"/>
  <c r="R681" i="144"/>
  <c r="R682" i="144"/>
  <c r="R683" i="144"/>
  <c r="R684" i="144"/>
  <c r="R685" i="144"/>
  <c r="R686" i="144"/>
  <c r="R687" i="144"/>
  <c r="R688" i="144"/>
  <c r="R689" i="144"/>
  <c r="R690" i="144"/>
  <c r="R691" i="144"/>
  <c r="R692" i="144"/>
  <c r="R693" i="144"/>
  <c r="R694" i="144"/>
  <c r="R695" i="144"/>
  <c r="R696" i="144"/>
  <c r="R697" i="144"/>
  <c r="R698" i="144"/>
  <c r="R699" i="144"/>
  <c r="R700" i="144"/>
  <c r="R701" i="144"/>
  <c r="R702" i="144"/>
  <c r="R703" i="144"/>
  <c r="R704" i="144"/>
  <c r="R705" i="144"/>
  <c r="R706" i="144"/>
  <c r="R707" i="144"/>
  <c r="R708" i="144"/>
  <c r="R709" i="144"/>
  <c r="R710" i="144"/>
  <c r="R711" i="144"/>
  <c r="R712" i="144"/>
  <c r="R713" i="144"/>
  <c r="R714" i="144"/>
  <c r="R715" i="144"/>
  <c r="R716" i="144"/>
  <c r="R717" i="144"/>
  <c r="R718" i="144"/>
  <c r="R719" i="144"/>
  <c r="R720" i="144"/>
  <c r="R721" i="144"/>
  <c r="R722" i="144"/>
  <c r="R723" i="144"/>
  <c r="R724" i="144"/>
  <c r="R725" i="144"/>
  <c r="R726" i="144"/>
  <c r="R727" i="144"/>
  <c r="R728" i="144"/>
  <c r="R729" i="144"/>
  <c r="R730" i="144"/>
  <c r="R731" i="144"/>
  <c r="R732" i="144"/>
  <c r="R733" i="144"/>
  <c r="R734" i="144"/>
  <c r="R735" i="144"/>
  <c r="R736" i="144"/>
  <c r="R737" i="144"/>
  <c r="R738" i="144"/>
  <c r="R739" i="144"/>
  <c r="R740" i="144"/>
  <c r="R741" i="144"/>
  <c r="R742" i="144"/>
  <c r="R743" i="144"/>
  <c r="R744" i="144"/>
  <c r="R745" i="144"/>
  <c r="R746" i="144"/>
  <c r="R747" i="144"/>
  <c r="R748" i="144"/>
  <c r="R749" i="144"/>
  <c r="R750" i="144"/>
  <c r="R751" i="144"/>
  <c r="R752" i="144"/>
  <c r="R753" i="144"/>
  <c r="R754" i="144"/>
  <c r="R755" i="144"/>
  <c r="R756" i="144"/>
  <c r="R757" i="144"/>
  <c r="R758" i="144"/>
  <c r="R759" i="144"/>
  <c r="R760" i="144"/>
  <c r="R761" i="144"/>
  <c r="R762" i="144"/>
  <c r="R763" i="144"/>
  <c r="R764" i="144"/>
  <c r="R765" i="144"/>
  <c r="R766" i="144"/>
  <c r="R767" i="144"/>
  <c r="R768" i="144"/>
  <c r="R769" i="144"/>
  <c r="R770" i="144"/>
  <c r="R771" i="144"/>
  <c r="R772" i="144"/>
  <c r="R773" i="144"/>
  <c r="R774" i="144"/>
  <c r="R775" i="144"/>
  <c r="R776" i="144"/>
  <c r="R777" i="144"/>
  <c r="R778" i="144"/>
  <c r="R779" i="144"/>
  <c r="R780" i="144"/>
  <c r="R781" i="144"/>
  <c r="R782" i="144"/>
  <c r="R783" i="144"/>
  <c r="R784" i="144"/>
  <c r="R785" i="144"/>
  <c r="R786" i="144"/>
  <c r="R787" i="144"/>
  <c r="R788" i="144"/>
  <c r="R789" i="144"/>
  <c r="R790" i="144"/>
  <c r="R791" i="144"/>
  <c r="R792" i="144"/>
  <c r="R793" i="144"/>
  <c r="R794" i="144"/>
  <c r="R795" i="144"/>
  <c r="R796" i="144"/>
  <c r="R797" i="144"/>
  <c r="R798" i="144"/>
  <c r="R799" i="144"/>
  <c r="R800" i="144"/>
  <c r="R801" i="144"/>
  <c r="R802" i="144"/>
  <c r="R803" i="144"/>
  <c r="R804" i="144"/>
  <c r="R805" i="144"/>
  <c r="R806" i="144"/>
  <c r="R807" i="144"/>
  <c r="R808" i="144"/>
  <c r="R809" i="144"/>
  <c r="R810" i="144"/>
  <c r="R811" i="144"/>
  <c r="R812" i="144"/>
  <c r="R813" i="144"/>
  <c r="R814" i="144"/>
  <c r="R815" i="144"/>
  <c r="R816" i="144"/>
  <c r="R817" i="144"/>
  <c r="R818" i="144"/>
  <c r="R819" i="144"/>
  <c r="R820" i="144"/>
  <c r="R821" i="144"/>
  <c r="R822" i="144"/>
  <c r="R823" i="144"/>
  <c r="R824" i="144"/>
  <c r="R825" i="144"/>
  <c r="R826" i="144"/>
  <c r="R827" i="144"/>
  <c r="R828" i="144"/>
  <c r="R829" i="144"/>
  <c r="R830" i="144"/>
  <c r="R831" i="144"/>
  <c r="R832" i="144"/>
  <c r="R833" i="144"/>
  <c r="R834" i="144"/>
  <c r="R835" i="144"/>
  <c r="R836" i="144"/>
  <c r="R837" i="144"/>
  <c r="R838" i="144"/>
  <c r="R839" i="144"/>
  <c r="R840" i="144"/>
  <c r="R841" i="144"/>
  <c r="R842" i="144"/>
  <c r="R843" i="144"/>
  <c r="R844" i="144"/>
  <c r="R845" i="144"/>
  <c r="R846" i="144"/>
  <c r="R847" i="144"/>
  <c r="R848" i="144"/>
  <c r="R849" i="144"/>
  <c r="R850" i="144"/>
  <c r="R851" i="144"/>
  <c r="R852" i="144"/>
  <c r="R853" i="144"/>
  <c r="R854" i="144"/>
  <c r="R855" i="144"/>
  <c r="R856" i="144"/>
  <c r="R857" i="144"/>
  <c r="R858" i="144"/>
  <c r="R859" i="144"/>
  <c r="R860" i="144"/>
  <c r="R861" i="144"/>
  <c r="R862" i="144"/>
  <c r="R863" i="144"/>
  <c r="R864" i="144"/>
  <c r="R865" i="144"/>
  <c r="R866" i="144"/>
  <c r="R867" i="144"/>
  <c r="R868" i="144"/>
  <c r="R869" i="144"/>
  <c r="R870" i="144"/>
  <c r="R871" i="144"/>
  <c r="R872" i="144"/>
  <c r="R873" i="144"/>
  <c r="R874" i="144"/>
  <c r="R875" i="144"/>
  <c r="R876" i="144"/>
  <c r="R877" i="144"/>
  <c r="R878" i="144"/>
  <c r="R879" i="144"/>
  <c r="R880" i="144"/>
  <c r="R881" i="144"/>
  <c r="R882" i="144"/>
  <c r="R883" i="144"/>
  <c r="R884" i="144"/>
  <c r="R885" i="144"/>
  <c r="R886" i="144"/>
  <c r="R887" i="144"/>
  <c r="R888" i="144"/>
  <c r="R889" i="144"/>
  <c r="R890" i="144"/>
  <c r="R891" i="144"/>
  <c r="R892" i="144"/>
  <c r="R893" i="144"/>
  <c r="R894" i="144"/>
  <c r="R895" i="144"/>
  <c r="R896" i="144"/>
  <c r="R897" i="144"/>
  <c r="R898" i="144"/>
  <c r="R899" i="144"/>
  <c r="R900" i="144"/>
  <c r="R901" i="144"/>
  <c r="R902" i="144"/>
  <c r="R903" i="144"/>
  <c r="R904" i="144"/>
  <c r="R905" i="144"/>
  <c r="R906" i="144"/>
  <c r="R907" i="144"/>
  <c r="R908" i="144"/>
  <c r="R909" i="144"/>
  <c r="R910" i="144"/>
  <c r="R911" i="144"/>
  <c r="R912" i="144"/>
  <c r="R913" i="144"/>
  <c r="R914" i="144"/>
  <c r="R915" i="144"/>
  <c r="R916" i="144"/>
  <c r="R917" i="144"/>
  <c r="R918" i="144"/>
  <c r="R919" i="144"/>
  <c r="R920" i="144"/>
  <c r="R921" i="144"/>
  <c r="R922" i="144"/>
  <c r="R923" i="144"/>
  <c r="R924" i="144"/>
  <c r="R925" i="144"/>
  <c r="R926" i="144"/>
  <c r="R927" i="144"/>
  <c r="R928" i="144"/>
  <c r="R929" i="144"/>
  <c r="R930" i="144"/>
  <c r="R931" i="144"/>
  <c r="R932" i="144"/>
  <c r="R933" i="144"/>
  <c r="R934" i="144"/>
  <c r="R935" i="144"/>
  <c r="R936" i="144"/>
  <c r="R937" i="144"/>
  <c r="R938" i="144"/>
  <c r="R939" i="144"/>
  <c r="R940" i="144"/>
  <c r="R941" i="144"/>
  <c r="R942" i="144"/>
  <c r="R943" i="144"/>
  <c r="R944" i="144"/>
  <c r="R945" i="144"/>
  <c r="R946" i="144"/>
  <c r="R947" i="144"/>
  <c r="R948" i="144"/>
  <c r="R949" i="144"/>
  <c r="R950" i="144"/>
  <c r="R951" i="144"/>
  <c r="R952" i="144"/>
  <c r="R953" i="144"/>
  <c r="R954" i="144"/>
  <c r="R955" i="144"/>
  <c r="R956" i="144"/>
  <c r="R957" i="144"/>
  <c r="R958" i="144"/>
  <c r="R959" i="144"/>
  <c r="R960" i="144"/>
  <c r="R961" i="144"/>
  <c r="R962" i="144"/>
  <c r="R963" i="144"/>
  <c r="R964" i="144"/>
  <c r="R965" i="144"/>
  <c r="R966" i="144"/>
  <c r="R967" i="144"/>
  <c r="R968" i="144"/>
  <c r="R969" i="144"/>
  <c r="R970" i="144"/>
  <c r="R971" i="144"/>
  <c r="R972" i="144"/>
  <c r="R973" i="144"/>
  <c r="R974" i="144"/>
  <c r="R975" i="144"/>
  <c r="R976" i="144"/>
  <c r="R977" i="144"/>
  <c r="R978" i="144"/>
  <c r="R979" i="144"/>
  <c r="R980" i="144"/>
  <c r="R981" i="144"/>
  <c r="R982" i="144"/>
  <c r="R983" i="144"/>
  <c r="R984" i="144"/>
  <c r="R985" i="144"/>
  <c r="R986" i="144"/>
  <c r="R987" i="144"/>
  <c r="R988" i="144"/>
  <c r="R989" i="144"/>
  <c r="R990" i="144"/>
  <c r="R991" i="144"/>
  <c r="R992" i="144"/>
  <c r="R993" i="144"/>
  <c r="R994" i="144"/>
  <c r="R995" i="144"/>
  <c r="R996" i="144"/>
  <c r="R997" i="144"/>
  <c r="R998" i="144"/>
  <c r="R999" i="144"/>
  <c r="R1000" i="144"/>
  <c r="R1001" i="144"/>
  <c r="R1002" i="144"/>
  <c r="R1003" i="144"/>
  <c r="R1004" i="144"/>
  <c r="R1005" i="144"/>
  <c r="R1006" i="144"/>
  <c r="R1007" i="144"/>
  <c r="R1008" i="144"/>
  <c r="R1009" i="144"/>
  <c r="R1010" i="144"/>
  <c r="R1011" i="144"/>
  <c r="R1012" i="144"/>
  <c r="R1013" i="144"/>
  <c r="R1014" i="144"/>
  <c r="R1015" i="144"/>
  <c r="R1016" i="144"/>
  <c r="R1017" i="144"/>
  <c r="R1018" i="144"/>
  <c r="R1019" i="144"/>
  <c r="R1020" i="144"/>
  <c r="R1021" i="144"/>
  <c r="R1022" i="144"/>
  <c r="R1023" i="144"/>
  <c r="R1024" i="144"/>
  <c r="R1025" i="144"/>
  <c r="R1026" i="144"/>
  <c r="R1027" i="144"/>
  <c r="R1028" i="144"/>
  <c r="R1029" i="144"/>
  <c r="R1030" i="144"/>
  <c r="R1031" i="144"/>
  <c r="R1032" i="144"/>
  <c r="R1033" i="144"/>
  <c r="R1034" i="144"/>
  <c r="R1035" i="144"/>
  <c r="R1036" i="144"/>
  <c r="R1037" i="144"/>
  <c r="R1038" i="144"/>
  <c r="R1039" i="144"/>
  <c r="R1040" i="144"/>
  <c r="R1041" i="144"/>
  <c r="R1042" i="144"/>
  <c r="R1043" i="144"/>
  <c r="R1044" i="144"/>
  <c r="R1045" i="144"/>
  <c r="R1046" i="144"/>
  <c r="R1047" i="144"/>
  <c r="R1048" i="144"/>
  <c r="R1049" i="144"/>
  <c r="R1050" i="144"/>
  <c r="R1051" i="144"/>
  <c r="R1052" i="144"/>
  <c r="R1053" i="144"/>
  <c r="R1054" i="144"/>
  <c r="R1055" i="144"/>
  <c r="R1056" i="144"/>
  <c r="R1057" i="144"/>
  <c r="R1058" i="144"/>
  <c r="R1059" i="144"/>
  <c r="R1060" i="144"/>
  <c r="R1061" i="144"/>
  <c r="R1062" i="144"/>
  <c r="R1063" i="144"/>
  <c r="R1064" i="144"/>
  <c r="R1065" i="144"/>
  <c r="R1066" i="144"/>
  <c r="R1067" i="144"/>
  <c r="R1068" i="144"/>
  <c r="R1069" i="144"/>
  <c r="R1070" i="144"/>
  <c r="R1071" i="144"/>
  <c r="R1072" i="144"/>
  <c r="R1073" i="144"/>
  <c r="R1074" i="144"/>
  <c r="R1075" i="144"/>
  <c r="R1076" i="144"/>
  <c r="R1077" i="144"/>
  <c r="R1078" i="144"/>
  <c r="R1079" i="144"/>
  <c r="R1080" i="144"/>
  <c r="R1081" i="144"/>
  <c r="R1082" i="144"/>
  <c r="R1083" i="144"/>
  <c r="R1084" i="144"/>
  <c r="R1085" i="144"/>
  <c r="R1086" i="144"/>
  <c r="R1087" i="144"/>
  <c r="R1088" i="144"/>
  <c r="R1089" i="144"/>
  <c r="R1090" i="144"/>
  <c r="R1091" i="144"/>
  <c r="R1092" i="144"/>
  <c r="R1093" i="144"/>
  <c r="R1094" i="144"/>
  <c r="R1095" i="144"/>
  <c r="R1096" i="144"/>
  <c r="R1097" i="144"/>
  <c r="R1098" i="144"/>
  <c r="R1099" i="144"/>
  <c r="R1100" i="144"/>
  <c r="R1101" i="144"/>
  <c r="R1102" i="144"/>
  <c r="R1103" i="144"/>
  <c r="R1104" i="144"/>
  <c r="R1105" i="144"/>
  <c r="R1106" i="144"/>
  <c r="R1107" i="144"/>
  <c r="R1108" i="144"/>
  <c r="R1109" i="144"/>
  <c r="R1110" i="144"/>
  <c r="R1111" i="144"/>
  <c r="R1112" i="144"/>
  <c r="R1113" i="144"/>
  <c r="R1114" i="144"/>
  <c r="R1115" i="144"/>
  <c r="R1116" i="144"/>
  <c r="R1117" i="144"/>
  <c r="R1118" i="144"/>
  <c r="R1119" i="144"/>
  <c r="R1120" i="144"/>
  <c r="R1121" i="144"/>
  <c r="R1122" i="144"/>
  <c r="R1123" i="144"/>
  <c r="R1124" i="144"/>
  <c r="R1125" i="144"/>
  <c r="R1126" i="144"/>
  <c r="R1127" i="144"/>
  <c r="R1128" i="144"/>
  <c r="R1129" i="144"/>
  <c r="R1130" i="144"/>
  <c r="R1131" i="144"/>
  <c r="R1132" i="144"/>
  <c r="R1133" i="144"/>
  <c r="R1134" i="144"/>
  <c r="R1135" i="144"/>
  <c r="R1136" i="144"/>
  <c r="R1137" i="144"/>
  <c r="R1138" i="144"/>
  <c r="R1139" i="144"/>
  <c r="R1140" i="144"/>
  <c r="R1141" i="144"/>
  <c r="R1142" i="144"/>
  <c r="R1143" i="144"/>
  <c r="R1144" i="144"/>
  <c r="R1145" i="144"/>
  <c r="R1146" i="144"/>
  <c r="R1147" i="144"/>
  <c r="R1148" i="144"/>
  <c r="R1149" i="144"/>
  <c r="R1150" i="144"/>
  <c r="R1151" i="144"/>
  <c r="R1152" i="144"/>
  <c r="R1153" i="144"/>
  <c r="R1154" i="144"/>
  <c r="R1155" i="144"/>
  <c r="R1156" i="144"/>
  <c r="R1157" i="144"/>
  <c r="R1158" i="144"/>
  <c r="R1159" i="144"/>
  <c r="R1160" i="144"/>
  <c r="R1161" i="144"/>
  <c r="R1162" i="144"/>
  <c r="R1163" i="144"/>
  <c r="R1164" i="144"/>
  <c r="R1165" i="144"/>
  <c r="R1166" i="144"/>
  <c r="R1167" i="144"/>
  <c r="R1168" i="144"/>
  <c r="R1169" i="144"/>
  <c r="R1170" i="144"/>
  <c r="R1171" i="144"/>
  <c r="R1172" i="144"/>
  <c r="R1173" i="144"/>
  <c r="R1174" i="144"/>
  <c r="R1175" i="144"/>
  <c r="R1176" i="144"/>
  <c r="R1177" i="144"/>
  <c r="R1178" i="144"/>
  <c r="R1179" i="144"/>
  <c r="R1180" i="144"/>
  <c r="R1181" i="144"/>
  <c r="R1182" i="144"/>
  <c r="R1183" i="144"/>
  <c r="R1184" i="144"/>
  <c r="R1185" i="144"/>
  <c r="R1186" i="144"/>
  <c r="R1187" i="144"/>
  <c r="R1188" i="144"/>
  <c r="R1189" i="144"/>
  <c r="R1190" i="144"/>
  <c r="R1191" i="144"/>
  <c r="R1192" i="144"/>
  <c r="R1193" i="144"/>
  <c r="R1194" i="144"/>
  <c r="R1195" i="144"/>
  <c r="R1196" i="144"/>
  <c r="R1197" i="144"/>
  <c r="R1198" i="144"/>
  <c r="R1199" i="144"/>
  <c r="R1200" i="144"/>
  <c r="R1201" i="144"/>
  <c r="R1202" i="144"/>
  <c r="R1203" i="144"/>
  <c r="R1204" i="144"/>
  <c r="R1205" i="144"/>
  <c r="R1206" i="144"/>
  <c r="R1207" i="144"/>
  <c r="R1208" i="144"/>
  <c r="R1209" i="144"/>
  <c r="R1210" i="144"/>
  <c r="R1211" i="144"/>
  <c r="R1212" i="144"/>
  <c r="R1213" i="144"/>
  <c r="R1214" i="144"/>
  <c r="R1215" i="144"/>
  <c r="R1216" i="144"/>
  <c r="R1217" i="144"/>
  <c r="R1218" i="144"/>
  <c r="R1219" i="144"/>
  <c r="R1220" i="144"/>
  <c r="R1221" i="144"/>
  <c r="R1222" i="144"/>
  <c r="R1223" i="144"/>
  <c r="R1224" i="144"/>
  <c r="R1225" i="144"/>
  <c r="R1226" i="144"/>
  <c r="R1227" i="144"/>
  <c r="R1228" i="144"/>
  <c r="R1229" i="144"/>
  <c r="R1230" i="144"/>
  <c r="R1231" i="144"/>
  <c r="R1232" i="144"/>
  <c r="R1233" i="144"/>
  <c r="R1234" i="144"/>
  <c r="R1235" i="144"/>
  <c r="R1236" i="144"/>
  <c r="R1237" i="144"/>
  <c r="R1238" i="144"/>
  <c r="R1239" i="144"/>
  <c r="R1240" i="144"/>
  <c r="R1241" i="144"/>
  <c r="R1242" i="144"/>
  <c r="R1243" i="144"/>
  <c r="R1244" i="144"/>
  <c r="R1245" i="144"/>
  <c r="R1246" i="144"/>
  <c r="R1247" i="144"/>
  <c r="R1248" i="144"/>
  <c r="R1249" i="144"/>
  <c r="R1250" i="144"/>
  <c r="R1251" i="144"/>
  <c r="R1252" i="144"/>
  <c r="R1253" i="144"/>
  <c r="R1254" i="144"/>
  <c r="R1255" i="144"/>
  <c r="R1256" i="144"/>
  <c r="R1257" i="144"/>
  <c r="R1258" i="144"/>
  <c r="R1259" i="144"/>
  <c r="R1260" i="144"/>
  <c r="R1261" i="144"/>
  <c r="R1262" i="144"/>
  <c r="R1263" i="144"/>
  <c r="R1264" i="144"/>
  <c r="R1265" i="144"/>
  <c r="R1266" i="144"/>
  <c r="R1267" i="144"/>
  <c r="R1268" i="144"/>
  <c r="R1269" i="144"/>
  <c r="R1270" i="144"/>
  <c r="R1271" i="144"/>
  <c r="R1272" i="144"/>
  <c r="R1273" i="144"/>
  <c r="R1274" i="144"/>
  <c r="R1275" i="144"/>
  <c r="R1276" i="144"/>
  <c r="R1277" i="144"/>
  <c r="R1278" i="144"/>
  <c r="R1279" i="144"/>
  <c r="R1280" i="144"/>
  <c r="R1281" i="144"/>
  <c r="R1282" i="144"/>
  <c r="R1283" i="144"/>
  <c r="R1284" i="144"/>
  <c r="R1285" i="144"/>
  <c r="R1286" i="144"/>
  <c r="R1287" i="144"/>
  <c r="R1288" i="144"/>
  <c r="R1289" i="144"/>
  <c r="R1290" i="144"/>
  <c r="R1291" i="144"/>
  <c r="R1292" i="144"/>
  <c r="R1293" i="144"/>
  <c r="R1294" i="144"/>
  <c r="R1295" i="144"/>
  <c r="R1296" i="144"/>
  <c r="R1297" i="144"/>
  <c r="R1298" i="144"/>
  <c r="R1299" i="144"/>
  <c r="R1300" i="144"/>
  <c r="R1301" i="144"/>
  <c r="R1302" i="144"/>
  <c r="R1303" i="144"/>
  <c r="R1304" i="144"/>
  <c r="R1305" i="144"/>
  <c r="R1306" i="144"/>
  <c r="R1307" i="144"/>
  <c r="R1308" i="144"/>
  <c r="R1309" i="144"/>
  <c r="R1310" i="144"/>
  <c r="R1311" i="144"/>
  <c r="R1312" i="144"/>
  <c r="R1313" i="144"/>
  <c r="R1314" i="144"/>
  <c r="R1315" i="144"/>
  <c r="R1316" i="144"/>
  <c r="R1317" i="144"/>
  <c r="R1318" i="144"/>
  <c r="R1319" i="144"/>
  <c r="R1320" i="144"/>
  <c r="R1321" i="144"/>
  <c r="R1322" i="144"/>
  <c r="R1323" i="144"/>
  <c r="R1324" i="144"/>
  <c r="R1325" i="144"/>
  <c r="R1326" i="144"/>
  <c r="R1327" i="144"/>
  <c r="R1328" i="144"/>
  <c r="R1329" i="144"/>
  <c r="R1330" i="144"/>
  <c r="R1331" i="144"/>
  <c r="R1332" i="144"/>
  <c r="R1333" i="144"/>
  <c r="R1334" i="144"/>
  <c r="R1335" i="144"/>
  <c r="R1336" i="144"/>
  <c r="R1337" i="144"/>
  <c r="R1338" i="144"/>
  <c r="R1339" i="144"/>
  <c r="R1340" i="144"/>
  <c r="R1341" i="144"/>
  <c r="R1342" i="144"/>
  <c r="R1343" i="144"/>
  <c r="R1344" i="144"/>
  <c r="R1345" i="144"/>
  <c r="R1346" i="144"/>
  <c r="R1347" i="144"/>
  <c r="R1348" i="144"/>
  <c r="R1349" i="144"/>
  <c r="R1350" i="144"/>
  <c r="R1351" i="144"/>
  <c r="R1352" i="144"/>
  <c r="R1353" i="144"/>
  <c r="R1354" i="144"/>
  <c r="R1355" i="144"/>
  <c r="R1356" i="144"/>
  <c r="R1357" i="144"/>
  <c r="R1358" i="144"/>
  <c r="R1359" i="144"/>
  <c r="R1360" i="144"/>
  <c r="R1361" i="144"/>
  <c r="R1362" i="144"/>
  <c r="R1363" i="144"/>
  <c r="R1364" i="144"/>
  <c r="R1365" i="144"/>
  <c r="R1366" i="144"/>
  <c r="R1367" i="144"/>
  <c r="R1368" i="144"/>
  <c r="R1369" i="144"/>
  <c r="R1370" i="144"/>
  <c r="R1371" i="144"/>
  <c r="R1372" i="144"/>
  <c r="R1373" i="144"/>
  <c r="R1374" i="144"/>
  <c r="R1375" i="144"/>
  <c r="R1376" i="144"/>
  <c r="R1377" i="144"/>
  <c r="R1378" i="144"/>
  <c r="R1379" i="144"/>
  <c r="R1380" i="144"/>
  <c r="R1381" i="144"/>
  <c r="R1382" i="144"/>
  <c r="R1383" i="144"/>
  <c r="R1384" i="144"/>
  <c r="R1385" i="144"/>
  <c r="R1386" i="144"/>
  <c r="R1387" i="144"/>
  <c r="R1388" i="144"/>
  <c r="R1389" i="144"/>
  <c r="R1390" i="144"/>
  <c r="R1391" i="144"/>
  <c r="R1392" i="144"/>
  <c r="R1393" i="144"/>
  <c r="R1394" i="144"/>
  <c r="R1395" i="144"/>
  <c r="R1396" i="144"/>
  <c r="R1397" i="144"/>
  <c r="R1398" i="144"/>
  <c r="R1399" i="144"/>
  <c r="R1400" i="144"/>
  <c r="R1401" i="144"/>
  <c r="R1402" i="144"/>
  <c r="R1403" i="144"/>
  <c r="R1404" i="144"/>
  <c r="R1405" i="144"/>
  <c r="R1406" i="144"/>
  <c r="R1407" i="144"/>
  <c r="R1408" i="144"/>
  <c r="R1409" i="144"/>
  <c r="R1410" i="144"/>
  <c r="R1411" i="144"/>
  <c r="R1412" i="144"/>
  <c r="R1413" i="144"/>
  <c r="R1414" i="144"/>
  <c r="R1415" i="144"/>
  <c r="R1416" i="144"/>
  <c r="R1417" i="144"/>
  <c r="R1418" i="144"/>
  <c r="R1419" i="144"/>
  <c r="R1420" i="144"/>
  <c r="R1421" i="144"/>
  <c r="R1422" i="144"/>
  <c r="R1423" i="144"/>
  <c r="R1424" i="144"/>
  <c r="R1425" i="144"/>
  <c r="R1426" i="144"/>
  <c r="R1427" i="144"/>
  <c r="R1428" i="144"/>
  <c r="R1429" i="144"/>
  <c r="R1430" i="144"/>
  <c r="R1431" i="144"/>
  <c r="R1432" i="144"/>
  <c r="R1433" i="144"/>
  <c r="R1434" i="144"/>
  <c r="R1435" i="144"/>
  <c r="R1436" i="144"/>
  <c r="R1437" i="144"/>
  <c r="R1438" i="144"/>
  <c r="R1439" i="144"/>
  <c r="R1440" i="144"/>
  <c r="R1441" i="144"/>
  <c r="R1442" i="144"/>
  <c r="R1443" i="144"/>
  <c r="R1444" i="144"/>
  <c r="R1445" i="144"/>
  <c r="R1446" i="144"/>
  <c r="R1447" i="144"/>
  <c r="R1448" i="144"/>
  <c r="R1449" i="144"/>
  <c r="R1450" i="144"/>
  <c r="R1451" i="144"/>
  <c r="R1452" i="144"/>
  <c r="R1453" i="144"/>
  <c r="R1454" i="144"/>
  <c r="R1455" i="144"/>
  <c r="R1456" i="144"/>
  <c r="R1457" i="144"/>
  <c r="R1458" i="144"/>
  <c r="R1459" i="144"/>
  <c r="R1460" i="144"/>
  <c r="R1461" i="144"/>
  <c r="R1462" i="144"/>
  <c r="R1463" i="144"/>
  <c r="R1464" i="144"/>
  <c r="R1465" i="144"/>
  <c r="R1466" i="144"/>
  <c r="R1467" i="144"/>
  <c r="R1468" i="144"/>
  <c r="R1469" i="144"/>
  <c r="R1470" i="144"/>
  <c r="R1471" i="144"/>
  <c r="R1472" i="144"/>
  <c r="R1473" i="144"/>
  <c r="R1474" i="144"/>
  <c r="R1475" i="144"/>
  <c r="R1476" i="144"/>
  <c r="R1477" i="144"/>
  <c r="R1478" i="144"/>
  <c r="R1479" i="144"/>
  <c r="R1480" i="144"/>
  <c r="R1481" i="144"/>
  <c r="R1482" i="144"/>
  <c r="R1483" i="144"/>
  <c r="R1484" i="144"/>
  <c r="R1485" i="144"/>
  <c r="R1486" i="144"/>
  <c r="R1487" i="144"/>
  <c r="R1488" i="144"/>
  <c r="R1489" i="144"/>
  <c r="R1490" i="144"/>
  <c r="R1491" i="144"/>
  <c r="R1492" i="144"/>
  <c r="R1493" i="144"/>
  <c r="R1494" i="144"/>
  <c r="R1495" i="144"/>
  <c r="R1496" i="144"/>
  <c r="R1497" i="144"/>
  <c r="R1498" i="144"/>
  <c r="R1499" i="144"/>
  <c r="R1500" i="144"/>
  <c r="R1501" i="144"/>
  <c r="R1502" i="144"/>
  <c r="R1503" i="144"/>
  <c r="R1504" i="144"/>
  <c r="R1505" i="144"/>
  <c r="R1506" i="144"/>
  <c r="R1507" i="144"/>
  <c r="R1508" i="144"/>
  <c r="R1509" i="144"/>
  <c r="R1510" i="144"/>
  <c r="R1511" i="144"/>
  <c r="R1512" i="144"/>
  <c r="R1513" i="144"/>
  <c r="R1514" i="144"/>
  <c r="R1515" i="144"/>
  <c r="R1516" i="144"/>
  <c r="R1517" i="144"/>
  <c r="R1518" i="144"/>
  <c r="R1519" i="144"/>
  <c r="R1520" i="144"/>
  <c r="R1521" i="144"/>
  <c r="R1522" i="144"/>
  <c r="R1523" i="144"/>
  <c r="R1524" i="144"/>
  <c r="R1525" i="144"/>
  <c r="R1526" i="144"/>
  <c r="R1527" i="144"/>
  <c r="R1528" i="144"/>
  <c r="R1529" i="144"/>
  <c r="R1530" i="144"/>
  <c r="R1531" i="144"/>
  <c r="R1532" i="144"/>
  <c r="R1533" i="144"/>
  <c r="R1534" i="144"/>
  <c r="R1535" i="144"/>
  <c r="R1536" i="144"/>
  <c r="R1537" i="144"/>
  <c r="R1538" i="144"/>
  <c r="R1539" i="144"/>
  <c r="R1540" i="144"/>
  <c r="R1541" i="144"/>
  <c r="R1542" i="144"/>
  <c r="R1543" i="144"/>
  <c r="R1544" i="144"/>
  <c r="R1545" i="144"/>
  <c r="R1546" i="144"/>
  <c r="R1547" i="144"/>
  <c r="R1548" i="144"/>
  <c r="R1549" i="144"/>
  <c r="R1550" i="144"/>
  <c r="R1551" i="144"/>
  <c r="R1552" i="144"/>
  <c r="R1553" i="144"/>
  <c r="R1554" i="144"/>
  <c r="R1555" i="144"/>
  <c r="R1556" i="144"/>
  <c r="R1557" i="144"/>
  <c r="R1558" i="144"/>
  <c r="R1559" i="144"/>
  <c r="R1560" i="144"/>
  <c r="R1561" i="144"/>
  <c r="R1562" i="144"/>
  <c r="R1563" i="144"/>
  <c r="R1564" i="144"/>
  <c r="R1565" i="144"/>
  <c r="R1566" i="144"/>
  <c r="R1567" i="144"/>
  <c r="R1568" i="144"/>
  <c r="R1569" i="144"/>
  <c r="R1570" i="144"/>
  <c r="R1571" i="144"/>
  <c r="R1572" i="144"/>
  <c r="R1573" i="144"/>
  <c r="R1574" i="144"/>
  <c r="R1575" i="144"/>
  <c r="R1576" i="144"/>
  <c r="R1577" i="144"/>
  <c r="R1578" i="144"/>
  <c r="R1579" i="144"/>
  <c r="R1580" i="144"/>
  <c r="R1581" i="144"/>
  <c r="R1582" i="144"/>
  <c r="R1583" i="144"/>
  <c r="R1584" i="144"/>
  <c r="R1585" i="144"/>
  <c r="R1586" i="144"/>
  <c r="R1587" i="144"/>
  <c r="R1588" i="144"/>
  <c r="R1589" i="144"/>
  <c r="R1590" i="144"/>
  <c r="R1591" i="144"/>
  <c r="R1592" i="144"/>
  <c r="R1593" i="144"/>
  <c r="R1594" i="144"/>
  <c r="R1595" i="144"/>
  <c r="R1596" i="144"/>
  <c r="R1597" i="144"/>
  <c r="R1598" i="144"/>
  <c r="R1599" i="144"/>
  <c r="R1600" i="144"/>
  <c r="R1601" i="144"/>
  <c r="R1602" i="144"/>
  <c r="R1603" i="144"/>
  <c r="R1604" i="144"/>
  <c r="R1605" i="144"/>
  <c r="R1606" i="144"/>
  <c r="R1607" i="144"/>
  <c r="R1608" i="144"/>
  <c r="R1609" i="144"/>
  <c r="R1610" i="144"/>
  <c r="R1611" i="144"/>
  <c r="R1612" i="144"/>
  <c r="R1613" i="144"/>
  <c r="R1614" i="144"/>
  <c r="R1615" i="144"/>
  <c r="R1616" i="144"/>
  <c r="R1617" i="144"/>
  <c r="R1618" i="144"/>
  <c r="R1619" i="144"/>
  <c r="R1620" i="144"/>
  <c r="R1621" i="144"/>
  <c r="R1622" i="144"/>
  <c r="R1623" i="144"/>
  <c r="R1624" i="144"/>
  <c r="R1625" i="144"/>
  <c r="R1626" i="144"/>
  <c r="R1627" i="144"/>
  <c r="R1628" i="144"/>
  <c r="R1629" i="144"/>
  <c r="S1629" i="144"/>
  <c r="F1629" i="144"/>
  <c r="R1630" i="144"/>
  <c r="R1631" i="144"/>
  <c r="R1632" i="144"/>
  <c r="R1633" i="144"/>
  <c r="R1634" i="144"/>
  <c r="R1635" i="144"/>
  <c r="R1636" i="144"/>
  <c r="R1637" i="144"/>
  <c r="R1638" i="144"/>
  <c r="R1639" i="144"/>
  <c r="R1640" i="144"/>
  <c r="R1641" i="144"/>
  <c r="R1642" i="144"/>
  <c r="R1643" i="144"/>
  <c r="R1644" i="144"/>
  <c r="R1645" i="144"/>
  <c r="S1645" i="144"/>
  <c r="F1645" i="144"/>
  <c r="R1646" i="144"/>
  <c r="R1647" i="144"/>
  <c r="R1648" i="144"/>
  <c r="R1649" i="144"/>
  <c r="R1650" i="144"/>
  <c r="R1651" i="144"/>
  <c r="R1652" i="144"/>
  <c r="R1653" i="144"/>
  <c r="R1654" i="144"/>
  <c r="R1655" i="144"/>
  <c r="R1656" i="144"/>
  <c r="R1657" i="144"/>
  <c r="R1658" i="144"/>
  <c r="R1659" i="144"/>
  <c r="R1660" i="144"/>
  <c r="R1661" i="144"/>
  <c r="R1662" i="144"/>
  <c r="R1663" i="144"/>
  <c r="R1664" i="144"/>
  <c r="R1665" i="144"/>
  <c r="R1666" i="144"/>
  <c r="R1667" i="144"/>
  <c r="R1668" i="144"/>
  <c r="R1669" i="144"/>
  <c r="S1669" i="144"/>
  <c r="F1669" i="144"/>
  <c r="R1670" i="144"/>
  <c r="R1671" i="144"/>
  <c r="R1672" i="144"/>
  <c r="R1673" i="144"/>
  <c r="R1674" i="144"/>
  <c r="R1675" i="144"/>
  <c r="R1676" i="144"/>
  <c r="R1677" i="144"/>
  <c r="R1678" i="144"/>
  <c r="R1679" i="144"/>
  <c r="R1680" i="144"/>
  <c r="R1681" i="144"/>
  <c r="R1682" i="144"/>
  <c r="R1683" i="144"/>
  <c r="R1684" i="144"/>
  <c r="R1685" i="144"/>
  <c r="R1686" i="144"/>
  <c r="R1687" i="144"/>
  <c r="R1688" i="144"/>
  <c r="R1689" i="144"/>
  <c r="R1690" i="144"/>
  <c r="R1691" i="144"/>
  <c r="R1692" i="144"/>
  <c r="R1693" i="144"/>
  <c r="R1694" i="144"/>
  <c r="R1695" i="144"/>
  <c r="R1696" i="144"/>
  <c r="R1697" i="144"/>
  <c r="R1698" i="144"/>
  <c r="R1699" i="144"/>
  <c r="R1700" i="144"/>
  <c r="R1701" i="144"/>
  <c r="R1702" i="144"/>
  <c r="R1703" i="144"/>
  <c r="R1704" i="144"/>
  <c r="R1705" i="144"/>
  <c r="R1706" i="144"/>
  <c r="R1707" i="144"/>
  <c r="R1708" i="144"/>
  <c r="R1709" i="144"/>
  <c r="R1710" i="144"/>
  <c r="R1711" i="144"/>
  <c r="R1712" i="144"/>
  <c r="R1713" i="144"/>
  <c r="R1714" i="144"/>
  <c r="R1715" i="144"/>
  <c r="R1716" i="144"/>
  <c r="R1717" i="144"/>
  <c r="R1718" i="144"/>
  <c r="R1719" i="144"/>
  <c r="R1720" i="144"/>
  <c r="R1721" i="144"/>
  <c r="R1722" i="144"/>
  <c r="R1723" i="144"/>
  <c r="R1724" i="144"/>
  <c r="R1725" i="144"/>
  <c r="R1726" i="144"/>
  <c r="R1727" i="144"/>
  <c r="R1728" i="144"/>
  <c r="R1729" i="144"/>
  <c r="R1730" i="144"/>
  <c r="R1731" i="144"/>
  <c r="R1732" i="144"/>
  <c r="S1732" i="144"/>
  <c r="F1732" i="144"/>
  <c r="R1733" i="144"/>
  <c r="S1733" i="144"/>
  <c r="F1733" i="144"/>
  <c r="R1734" i="144"/>
  <c r="R1735" i="144"/>
  <c r="R1736" i="144"/>
  <c r="R1737" i="144"/>
  <c r="R1738" i="144"/>
  <c r="R1739" i="144"/>
  <c r="R1740" i="144"/>
  <c r="R1741" i="144"/>
  <c r="R1742" i="144"/>
  <c r="R1743" i="144"/>
  <c r="R1744" i="144"/>
  <c r="R1745" i="144"/>
  <c r="R1746" i="144"/>
  <c r="R1747" i="144"/>
  <c r="R1748" i="144"/>
  <c r="R1749" i="144"/>
  <c r="S1749" i="144"/>
  <c r="F1749" i="144"/>
  <c r="R1750" i="144"/>
  <c r="R1751" i="144"/>
  <c r="R1752" i="144"/>
  <c r="R1753" i="144"/>
  <c r="R1754" i="144"/>
  <c r="R1755" i="144"/>
  <c r="R1756" i="144"/>
  <c r="R1757" i="144"/>
  <c r="R1758" i="144"/>
  <c r="R1759" i="144"/>
  <c r="R1760" i="144"/>
  <c r="R1761" i="144"/>
  <c r="R1762" i="144"/>
  <c r="R1763" i="144"/>
  <c r="R1764" i="144"/>
  <c r="R1765" i="144"/>
  <c r="R1766" i="144"/>
  <c r="R1767" i="144"/>
  <c r="R1768" i="144"/>
  <c r="R1769" i="144"/>
  <c r="R1770" i="144"/>
  <c r="R1771" i="144"/>
  <c r="R1772" i="144"/>
  <c r="R1773" i="144"/>
  <c r="S1773" i="144"/>
  <c r="F1773" i="144"/>
  <c r="R1774" i="144"/>
  <c r="R1775" i="144"/>
  <c r="R1776" i="144"/>
  <c r="R1777" i="144"/>
  <c r="R1778" i="144"/>
  <c r="R1779" i="144"/>
  <c r="R1780" i="144"/>
  <c r="R1781" i="144"/>
  <c r="R1782" i="144"/>
  <c r="R1783" i="144"/>
  <c r="R1784" i="144"/>
  <c r="R1785" i="144"/>
  <c r="R1786" i="144"/>
  <c r="R1787" i="144"/>
  <c r="R1788" i="144"/>
  <c r="R1789" i="144"/>
  <c r="S1789" i="144"/>
  <c r="F1789" i="144"/>
  <c r="R1790" i="144"/>
  <c r="R1791" i="144"/>
  <c r="R1792" i="144"/>
  <c r="R1793" i="144"/>
  <c r="R1794" i="144"/>
  <c r="R1795" i="144"/>
  <c r="R1796" i="144"/>
  <c r="R1797" i="144"/>
  <c r="R1798" i="144"/>
  <c r="R1799" i="144"/>
  <c r="R1800" i="144"/>
  <c r="R1801" i="144"/>
  <c r="R1802" i="144"/>
  <c r="R1803" i="144"/>
  <c r="R1804" i="144"/>
  <c r="R1805" i="144"/>
  <c r="R1806" i="144"/>
  <c r="R1807" i="144"/>
  <c r="R1808" i="144"/>
  <c r="R1809" i="144"/>
  <c r="R1810" i="144"/>
  <c r="R1811" i="144"/>
  <c r="R1812" i="144"/>
  <c r="R1813" i="144"/>
  <c r="R1814" i="144"/>
  <c r="R1815" i="144"/>
  <c r="R1816" i="144"/>
  <c r="R1817" i="144"/>
  <c r="R1818" i="144"/>
  <c r="R1819" i="144"/>
  <c r="R1820" i="144"/>
  <c r="R1821" i="144"/>
  <c r="S1821" i="144"/>
  <c r="F1821" i="144"/>
  <c r="R1822" i="144"/>
  <c r="R1823" i="144"/>
  <c r="R1824" i="144"/>
  <c r="R1825" i="144"/>
  <c r="R1826" i="144"/>
  <c r="R1827" i="144"/>
  <c r="R1828" i="144"/>
  <c r="R1829" i="144"/>
  <c r="R1830" i="144"/>
  <c r="R1831" i="144"/>
  <c r="R1832" i="144"/>
  <c r="R1833" i="144"/>
  <c r="R1834" i="144"/>
  <c r="R1835" i="144"/>
  <c r="R1836" i="144"/>
  <c r="R1837" i="144"/>
  <c r="S1837" i="144"/>
  <c r="F1837" i="144"/>
  <c r="R1838" i="144"/>
  <c r="R1839" i="144"/>
  <c r="R1840" i="144"/>
  <c r="R1841" i="144"/>
  <c r="R1842" i="144"/>
  <c r="R1843" i="144"/>
  <c r="R1844" i="144"/>
  <c r="R1845" i="144"/>
  <c r="R1846" i="144"/>
  <c r="R1847" i="144"/>
  <c r="R1848" i="144"/>
  <c r="R1849" i="144"/>
  <c r="R1850" i="144"/>
  <c r="R1851" i="144"/>
  <c r="R1852" i="144"/>
  <c r="R1853" i="144"/>
  <c r="R1854" i="144"/>
  <c r="R1855" i="144"/>
  <c r="R1856" i="144"/>
  <c r="R1857" i="144"/>
  <c r="R1858" i="144"/>
  <c r="R1859" i="144"/>
  <c r="R1860" i="144"/>
  <c r="R1861" i="144"/>
  <c r="S1861" i="144"/>
  <c r="F1861" i="144"/>
  <c r="R1862" i="144"/>
  <c r="R1863" i="144"/>
  <c r="R1864" i="144"/>
  <c r="R1865" i="144"/>
  <c r="R1866" i="144"/>
  <c r="R1867" i="144"/>
  <c r="R1868" i="144"/>
  <c r="R1869" i="144"/>
  <c r="R1870" i="144"/>
  <c r="R1871" i="144"/>
  <c r="R1872" i="144"/>
  <c r="R1873" i="144"/>
  <c r="R7" i="144"/>
  <c r="B7" i="45"/>
  <c r="E8" i="124"/>
  <c r="E9" i="124"/>
  <c r="E10" i="124"/>
  <c r="E11" i="124"/>
  <c r="E12" i="124"/>
  <c r="E13" i="124"/>
  <c r="E14" i="124"/>
  <c r="E15" i="124"/>
  <c r="E16" i="124"/>
  <c r="E17" i="124"/>
  <c r="E18" i="124"/>
  <c r="E19" i="124"/>
  <c r="E20" i="124"/>
  <c r="E21" i="124"/>
  <c r="E22" i="124"/>
  <c r="E23" i="124"/>
  <c r="E24" i="124"/>
  <c r="E25" i="124"/>
  <c r="E26" i="124"/>
  <c r="E27" i="124"/>
  <c r="E28" i="124"/>
  <c r="E29" i="124"/>
  <c r="E30" i="124"/>
  <c r="E31" i="124"/>
  <c r="E32" i="124"/>
  <c r="E33" i="124"/>
  <c r="E34" i="124"/>
  <c r="E35" i="124"/>
  <c r="E36" i="124"/>
  <c r="E37" i="124"/>
  <c r="E38" i="124"/>
  <c r="E39" i="124"/>
  <c r="E40" i="124"/>
  <c r="E41" i="124"/>
  <c r="E42" i="124"/>
  <c r="E43" i="124"/>
  <c r="E44" i="124"/>
  <c r="E45" i="124"/>
  <c r="E46" i="124"/>
  <c r="E47" i="124"/>
  <c r="E48" i="124"/>
  <c r="E49" i="124"/>
  <c r="E50" i="124"/>
  <c r="E51" i="124"/>
  <c r="E52" i="124"/>
  <c r="E53" i="124"/>
  <c r="E54" i="124"/>
  <c r="E55" i="124"/>
  <c r="E56" i="124"/>
  <c r="E7" i="124"/>
  <c r="F10" i="125"/>
  <c r="F11" i="125"/>
  <c r="F12" i="125"/>
  <c r="F13" i="125"/>
  <c r="F14" i="125"/>
  <c r="F15" i="125"/>
  <c r="F16" i="125"/>
  <c r="F17" i="125"/>
  <c r="F18" i="125"/>
  <c r="F19" i="125"/>
  <c r="F20" i="125"/>
  <c r="F21" i="125"/>
  <c r="F22" i="125"/>
  <c r="F23" i="125"/>
  <c r="F24" i="125"/>
  <c r="F25" i="125"/>
  <c r="F26" i="125"/>
  <c r="F27" i="125"/>
  <c r="F28" i="125"/>
  <c r="F29" i="125"/>
  <c r="F30" i="125"/>
  <c r="F31" i="125"/>
  <c r="F32" i="125"/>
  <c r="F33" i="125"/>
  <c r="F34" i="125"/>
  <c r="F35" i="125"/>
  <c r="F36" i="125"/>
  <c r="F37" i="125"/>
  <c r="F38" i="125"/>
  <c r="F39" i="125"/>
  <c r="F40" i="125"/>
  <c r="F41" i="125"/>
  <c r="F42" i="125"/>
  <c r="F43" i="125"/>
  <c r="F44" i="125"/>
  <c r="F45" i="125"/>
  <c r="F46" i="125"/>
  <c r="F47" i="125"/>
  <c r="F48" i="125"/>
  <c r="F49" i="125"/>
  <c r="F50" i="125"/>
  <c r="F51" i="125"/>
  <c r="F52" i="125"/>
  <c r="F53" i="125"/>
  <c r="F54" i="125"/>
  <c r="F55" i="125"/>
  <c r="F56" i="125"/>
  <c r="F8" i="125"/>
  <c r="F9" i="125"/>
  <c r="F7" i="125"/>
  <c r="H9" i="125"/>
  <c r="G8" i="125"/>
  <c r="C7" i="31"/>
  <c r="D53" i="100"/>
  <c r="D52" i="100"/>
  <c r="D51" i="100"/>
  <c r="D50" i="100"/>
  <c r="D49" i="100"/>
  <c r="D48" i="100"/>
  <c r="D47" i="100"/>
  <c r="D46" i="100"/>
  <c r="D45" i="100"/>
  <c r="D44" i="100"/>
  <c r="D43" i="100"/>
  <c r="D42" i="100"/>
  <c r="D40" i="100"/>
  <c r="D39" i="100"/>
  <c r="D38" i="100"/>
  <c r="D37" i="100"/>
  <c r="D36" i="100"/>
  <c r="D35" i="100"/>
  <c r="D34" i="100"/>
  <c r="D33" i="100"/>
  <c r="D32" i="100"/>
  <c r="D31" i="100"/>
  <c r="D30" i="100"/>
  <c r="D29" i="100"/>
  <c r="D28" i="100"/>
  <c r="D27" i="100"/>
  <c r="D26" i="100"/>
  <c r="D25" i="100"/>
  <c r="D24" i="100"/>
  <c r="D22" i="100"/>
  <c r="D21" i="100"/>
  <c r="D20" i="100"/>
  <c r="D19" i="100"/>
  <c r="D18" i="100"/>
  <c r="D17" i="100"/>
  <c r="D16" i="100"/>
  <c r="D15" i="100"/>
  <c r="D14" i="100"/>
  <c r="D13" i="100"/>
  <c r="D12" i="100"/>
  <c r="D10" i="100"/>
  <c r="D9" i="100"/>
  <c r="D8" i="100"/>
  <c r="D7" i="100"/>
  <c r="D8" i="64"/>
  <c r="D9" i="64"/>
  <c r="D10" i="64"/>
  <c r="D11" i="64"/>
  <c r="D12" i="64"/>
  <c r="D13" i="64"/>
  <c r="D14" i="64"/>
  <c r="D15" i="64"/>
  <c r="D16" i="64"/>
  <c r="D17" i="64"/>
  <c r="D18" i="64"/>
  <c r="D19" i="64"/>
  <c r="D20" i="64"/>
  <c r="D21" i="64"/>
  <c r="D22" i="64"/>
  <c r="D23" i="64"/>
  <c r="D24" i="64"/>
  <c r="D25" i="64"/>
  <c r="D26" i="64"/>
  <c r="D27" i="64"/>
  <c r="D28" i="64"/>
  <c r="D29" i="64"/>
  <c r="D30" i="64"/>
  <c r="D31" i="64"/>
  <c r="D32" i="64"/>
  <c r="D33" i="64"/>
  <c r="D34" i="64"/>
  <c r="D35" i="64"/>
  <c r="D7" i="64"/>
  <c r="D7" i="107"/>
  <c r="C7" i="107"/>
  <c r="G7" i="1"/>
  <c r="G8" i="1"/>
  <c r="D9" i="10"/>
  <c r="D8" i="10"/>
  <c r="D10" i="10"/>
  <c r="L190" i="1"/>
  <c r="J190" i="1"/>
  <c r="L185" i="1"/>
  <c r="K185" i="1"/>
  <c r="J185" i="1"/>
  <c r="D185" i="1"/>
  <c r="F183" i="1"/>
  <c r="N183" i="1"/>
  <c r="P183" i="1"/>
  <c r="F182" i="1"/>
  <c r="N182" i="1"/>
  <c r="F181" i="1"/>
  <c r="N181" i="1"/>
  <c r="F180" i="1"/>
  <c r="N180" i="1"/>
  <c r="F179" i="1"/>
  <c r="N179" i="1"/>
  <c r="P179" i="1"/>
  <c r="F178" i="1"/>
  <c r="N178" i="1"/>
  <c r="F177" i="1"/>
  <c r="N177" i="1"/>
  <c r="O177" i="1"/>
  <c r="F176" i="1"/>
  <c r="N176" i="1"/>
  <c r="O176" i="1"/>
  <c r="F175" i="1"/>
  <c r="N175" i="1"/>
  <c r="F174" i="1"/>
  <c r="N174" i="1"/>
  <c r="P174" i="1"/>
  <c r="F173" i="1"/>
  <c r="N173" i="1"/>
  <c r="F172" i="1"/>
  <c r="N172" i="1"/>
  <c r="F171" i="1"/>
  <c r="N171" i="1"/>
  <c r="F170" i="1"/>
  <c r="N170" i="1"/>
  <c r="P170" i="1"/>
  <c r="F169" i="1"/>
  <c r="N169" i="1"/>
  <c r="F168" i="1"/>
  <c r="N168" i="1"/>
  <c r="P168" i="1"/>
  <c r="F167" i="1"/>
  <c r="N167" i="1"/>
  <c r="O167" i="1"/>
  <c r="F166" i="1"/>
  <c r="N166" i="1"/>
  <c r="F165" i="1"/>
  <c r="N165" i="1"/>
  <c r="O165" i="1"/>
  <c r="F164" i="1"/>
  <c r="N164" i="1"/>
  <c r="O164" i="1"/>
  <c r="P164" i="1"/>
  <c r="F163" i="1"/>
  <c r="N163" i="1"/>
  <c r="O163" i="1"/>
  <c r="F162" i="1"/>
  <c r="N162" i="1"/>
  <c r="F161" i="1"/>
  <c r="N161" i="1"/>
  <c r="O161" i="1"/>
  <c r="F160" i="1"/>
  <c r="N160" i="1"/>
  <c r="O160" i="1"/>
  <c r="F159" i="1"/>
  <c r="N159" i="1"/>
  <c r="O159" i="1"/>
  <c r="F158" i="1"/>
  <c r="N158" i="1"/>
  <c r="P158" i="1"/>
  <c r="F157" i="1"/>
  <c r="N157" i="1"/>
  <c r="O157" i="1"/>
  <c r="F156" i="1"/>
  <c r="N156" i="1"/>
  <c r="O156" i="1"/>
  <c r="P156" i="1"/>
  <c r="F155" i="1"/>
  <c r="N155" i="1"/>
  <c r="P155" i="1"/>
  <c r="F154" i="1"/>
  <c r="N154" i="1"/>
  <c r="P154" i="1"/>
  <c r="F153" i="1"/>
  <c r="N153" i="1"/>
  <c r="F152" i="1"/>
  <c r="N152" i="1"/>
  <c r="P152" i="1"/>
  <c r="F151" i="1"/>
  <c r="N151" i="1"/>
  <c r="P151" i="1"/>
  <c r="F150" i="1"/>
  <c r="N150" i="1"/>
  <c r="O150" i="1"/>
  <c r="F149" i="1"/>
  <c r="N149" i="1"/>
  <c r="P149" i="1"/>
  <c r="F148" i="1"/>
  <c r="N148" i="1"/>
  <c r="O148" i="1"/>
  <c r="P148" i="1"/>
  <c r="F147" i="1"/>
  <c r="N147" i="1"/>
  <c r="O147" i="1"/>
  <c r="F146" i="1"/>
  <c r="N146" i="1"/>
  <c r="P146" i="1"/>
  <c r="F145" i="1"/>
  <c r="N145" i="1"/>
  <c r="F144" i="1"/>
  <c r="N144" i="1"/>
  <c r="P144" i="1"/>
  <c r="F143" i="1"/>
  <c r="N143" i="1"/>
  <c r="F142" i="1"/>
  <c r="N142" i="1"/>
  <c r="F141" i="1"/>
  <c r="N141" i="1"/>
  <c r="F140" i="1"/>
  <c r="N140" i="1"/>
  <c r="F139" i="1"/>
  <c r="N139" i="1"/>
  <c r="P139" i="1"/>
  <c r="F138" i="1"/>
  <c r="N138" i="1"/>
  <c r="F137" i="1"/>
  <c r="N137" i="1"/>
  <c r="F136" i="1"/>
  <c r="N136" i="1"/>
  <c r="P136" i="1"/>
  <c r="F135" i="1"/>
  <c r="N135" i="1"/>
  <c r="F134" i="1"/>
  <c r="N134" i="1"/>
  <c r="F133" i="1"/>
  <c r="N133" i="1"/>
  <c r="O133" i="1"/>
  <c r="F132" i="1"/>
  <c r="N132" i="1"/>
  <c r="P132" i="1"/>
  <c r="F131" i="1"/>
  <c r="N131" i="1"/>
  <c r="O131" i="1"/>
  <c r="P131" i="1"/>
  <c r="F130" i="1"/>
  <c r="N130" i="1"/>
  <c r="F129" i="1"/>
  <c r="N129" i="1"/>
  <c r="P129" i="1"/>
  <c r="F128" i="1"/>
  <c r="N128" i="1"/>
  <c r="F127" i="1"/>
  <c r="N127" i="1"/>
  <c r="F126" i="1"/>
  <c r="N126" i="1"/>
  <c r="F125" i="1"/>
  <c r="N125" i="1"/>
  <c r="O125" i="1"/>
  <c r="P125" i="1"/>
  <c r="F124" i="1"/>
  <c r="N124" i="1"/>
  <c r="F123" i="1"/>
  <c r="N123" i="1"/>
  <c r="F122" i="1"/>
  <c r="N122" i="1"/>
  <c r="P122" i="1"/>
  <c r="F121" i="1"/>
  <c r="N121" i="1"/>
  <c r="F120" i="1"/>
  <c r="N120" i="1"/>
  <c r="P120" i="1"/>
  <c r="F119" i="1"/>
  <c r="N119" i="1"/>
  <c r="P119" i="1"/>
  <c r="F118" i="1"/>
  <c r="N118" i="1"/>
  <c r="F117" i="1"/>
  <c r="N117" i="1"/>
  <c r="F116" i="1"/>
  <c r="N116" i="1"/>
  <c r="F115" i="1"/>
  <c r="N115" i="1"/>
  <c r="F114" i="1"/>
  <c r="N114" i="1"/>
  <c r="O114" i="1"/>
  <c r="F113" i="1"/>
  <c r="N113" i="1"/>
  <c r="P113" i="1"/>
  <c r="F112" i="1"/>
  <c r="N112" i="1"/>
  <c r="F111" i="1"/>
  <c r="N111" i="1"/>
  <c r="O111" i="1"/>
  <c r="F110" i="1"/>
  <c r="N110" i="1"/>
  <c r="F109" i="1"/>
  <c r="N109" i="1"/>
  <c r="F108" i="1"/>
  <c r="N108" i="1"/>
  <c r="O108" i="1"/>
  <c r="F107" i="1"/>
  <c r="N107" i="1"/>
  <c r="F106" i="1"/>
  <c r="N106" i="1"/>
  <c r="O106" i="1"/>
  <c r="F105" i="1"/>
  <c r="N105" i="1"/>
  <c r="F104" i="1"/>
  <c r="N104" i="1"/>
  <c r="O104" i="1"/>
  <c r="P104" i="1"/>
  <c r="F103" i="1"/>
  <c r="N103" i="1"/>
  <c r="F102" i="1"/>
  <c r="N102" i="1"/>
  <c r="F101" i="1"/>
  <c r="N101" i="1"/>
  <c r="F100" i="1"/>
  <c r="N100" i="1"/>
  <c r="F99" i="1"/>
  <c r="N99" i="1"/>
  <c r="P99" i="1"/>
  <c r="F98" i="1"/>
  <c r="N98" i="1"/>
  <c r="O98" i="1"/>
  <c r="P98" i="1"/>
  <c r="F97" i="1"/>
  <c r="N97" i="1"/>
  <c r="O97" i="1"/>
  <c r="P97" i="1"/>
  <c r="F96" i="1"/>
  <c r="N96" i="1"/>
  <c r="F95" i="1"/>
  <c r="N95" i="1"/>
  <c r="P95" i="1"/>
  <c r="F94" i="1"/>
  <c r="N94" i="1"/>
  <c r="F93" i="1"/>
  <c r="N93" i="1"/>
  <c r="P93" i="1"/>
  <c r="F92" i="1"/>
  <c r="N92" i="1"/>
  <c r="P92" i="1"/>
  <c r="F91" i="1"/>
  <c r="N91" i="1"/>
  <c r="O91" i="1"/>
  <c r="F90" i="1"/>
  <c r="N90" i="1"/>
  <c r="F89" i="1"/>
  <c r="N89" i="1"/>
  <c r="O89" i="1"/>
  <c r="F88" i="1"/>
  <c r="N88" i="1"/>
  <c r="P88" i="1"/>
  <c r="F87" i="1"/>
  <c r="N87" i="1"/>
  <c r="F86" i="1"/>
  <c r="N86" i="1"/>
  <c r="O86" i="1"/>
  <c r="F85" i="1"/>
  <c r="N85" i="1"/>
  <c r="O85" i="1"/>
  <c r="F84" i="1"/>
  <c r="N84" i="1"/>
  <c r="F83" i="1"/>
  <c r="N83" i="1"/>
  <c r="F82" i="1"/>
  <c r="N82" i="1"/>
  <c r="O82" i="1"/>
  <c r="F81" i="1"/>
  <c r="N81" i="1"/>
  <c r="O81" i="1"/>
  <c r="F80" i="1"/>
  <c r="N80" i="1"/>
  <c r="F79" i="1"/>
  <c r="N79" i="1"/>
  <c r="P79" i="1"/>
  <c r="F78" i="1"/>
  <c r="N78" i="1"/>
  <c r="P78" i="1"/>
  <c r="F77" i="1"/>
  <c r="N77" i="1"/>
  <c r="F76" i="1"/>
  <c r="N76" i="1"/>
  <c r="F75" i="1"/>
  <c r="N75" i="1"/>
  <c r="P75" i="1"/>
  <c r="F74" i="1"/>
  <c r="N74" i="1"/>
  <c r="F73" i="1"/>
  <c r="N73" i="1"/>
  <c r="F72" i="1"/>
  <c r="N72" i="1"/>
  <c r="P72" i="1"/>
  <c r="F71" i="1"/>
  <c r="N71" i="1"/>
  <c r="F70" i="1"/>
  <c r="N70" i="1"/>
  <c r="O70" i="1"/>
  <c r="F69" i="1"/>
  <c r="N69" i="1"/>
  <c r="P69" i="1"/>
  <c r="F68" i="1"/>
  <c r="N68" i="1"/>
  <c r="P68" i="1"/>
  <c r="F67" i="1"/>
  <c r="N67" i="1"/>
  <c r="P67" i="1"/>
  <c r="F66" i="1"/>
  <c r="N66" i="1"/>
  <c r="P66" i="1"/>
  <c r="F65" i="1"/>
  <c r="N65" i="1"/>
  <c r="F64" i="1"/>
  <c r="N64" i="1"/>
  <c r="F63" i="1"/>
  <c r="N63" i="1"/>
  <c r="P63" i="1"/>
  <c r="F62" i="1"/>
  <c r="N62" i="1"/>
  <c r="F61" i="1"/>
  <c r="N61" i="1"/>
  <c r="P61" i="1"/>
  <c r="F60" i="1"/>
  <c r="N60" i="1"/>
  <c r="O60" i="1"/>
  <c r="F59" i="1"/>
  <c r="N59" i="1"/>
  <c r="F58" i="1"/>
  <c r="N58" i="1"/>
  <c r="O58" i="1"/>
  <c r="F57" i="1"/>
  <c r="N57" i="1"/>
  <c r="F56" i="1"/>
  <c r="N56" i="1"/>
  <c r="F55" i="1"/>
  <c r="N55" i="1"/>
  <c r="F54" i="1"/>
  <c r="N54" i="1"/>
  <c r="O54" i="1"/>
  <c r="P54" i="1"/>
  <c r="F53" i="1"/>
  <c r="N53" i="1"/>
  <c r="F52" i="1"/>
  <c r="N52" i="1"/>
  <c r="F51" i="1"/>
  <c r="N51" i="1"/>
  <c r="P51" i="1"/>
  <c r="F50" i="1"/>
  <c r="N50" i="1"/>
  <c r="P50" i="1"/>
  <c r="F49" i="1"/>
  <c r="N49" i="1"/>
  <c r="F48" i="1"/>
  <c r="N48" i="1"/>
  <c r="F47" i="1"/>
  <c r="N47" i="1"/>
  <c r="F46" i="1"/>
  <c r="N46" i="1"/>
  <c r="F45" i="1"/>
  <c r="N45" i="1"/>
  <c r="P45" i="1"/>
  <c r="F44" i="1"/>
  <c r="N44" i="1"/>
  <c r="F43" i="1"/>
  <c r="N43" i="1"/>
  <c r="F42" i="1"/>
  <c r="N42" i="1"/>
  <c r="F41" i="1"/>
  <c r="N41" i="1"/>
  <c r="P41" i="1"/>
  <c r="F40" i="1"/>
  <c r="N40" i="1"/>
  <c r="F39" i="1"/>
  <c r="N39" i="1"/>
  <c r="F38" i="1"/>
  <c r="N38" i="1"/>
  <c r="F37" i="1"/>
  <c r="N37" i="1"/>
  <c r="F36" i="1"/>
  <c r="N36" i="1"/>
  <c r="F35" i="1"/>
  <c r="N35" i="1"/>
  <c r="F34" i="1"/>
  <c r="N34" i="1"/>
  <c r="F33" i="1"/>
  <c r="N33" i="1"/>
  <c r="F32" i="1"/>
  <c r="N32" i="1"/>
  <c r="O32" i="1"/>
  <c r="P32" i="1"/>
  <c r="F31" i="1"/>
  <c r="N31" i="1"/>
  <c r="O31" i="1"/>
  <c r="F30" i="1"/>
  <c r="N30" i="1"/>
  <c r="F29" i="1"/>
  <c r="N29" i="1"/>
  <c r="F28" i="1"/>
  <c r="N28" i="1"/>
  <c r="F27" i="1"/>
  <c r="N27" i="1"/>
  <c r="P27" i="1"/>
  <c r="F26" i="1"/>
  <c r="N26" i="1"/>
  <c r="F25" i="1"/>
  <c r="N25" i="1"/>
  <c r="O25" i="1"/>
  <c r="F24" i="1"/>
  <c r="N24" i="1"/>
  <c r="P24" i="1"/>
  <c r="F23" i="1"/>
  <c r="N23" i="1"/>
  <c r="F22" i="1"/>
  <c r="N22" i="1"/>
  <c r="O22" i="1"/>
  <c r="F21" i="1"/>
  <c r="N21" i="1"/>
  <c r="F20" i="1"/>
  <c r="N20" i="1"/>
  <c r="F19" i="1"/>
  <c r="N19" i="1"/>
  <c r="O19" i="1"/>
  <c r="F18" i="1"/>
  <c r="N18" i="1"/>
  <c r="P18" i="1"/>
  <c r="F17" i="1"/>
  <c r="N17" i="1"/>
  <c r="F16" i="1"/>
  <c r="N16" i="1"/>
  <c r="P16" i="1"/>
  <c r="F15" i="1"/>
  <c r="N15" i="1"/>
  <c r="F14" i="1"/>
  <c r="N14" i="1"/>
  <c r="O14" i="1"/>
  <c r="F13" i="1"/>
  <c r="N13" i="1"/>
  <c r="P13" i="1"/>
  <c r="F12" i="1"/>
  <c r="N12" i="1"/>
  <c r="F11" i="1"/>
  <c r="N11" i="1"/>
  <c r="F10" i="1"/>
  <c r="N10" i="1"/>
  <c r="O10" i="1"/>
  <c r="P10" i="1"/>
  <c r="F9" i="1"/>
  <c r="N9" i="1"/>
  <c r="P9" i="1"/>
  <c r="F8" i="1"/>
  <c r="N8" i="1"/>
  <c r="F7" i="1"/>
  <c r="N7" i="1"/>
  <c r="O78" i="1"/>
  <c r="O93" i="1"/>
  <c r="O129" i="1"/>
  <c r="O66" i="1"/>
  <c r="O149" i="1"/>
  <c r="O9" i="1"/>
  <c r="O13" i="1"/>
  <c r="O72" i="1"/>
  <c r="O95" i="1"/>
  <c r="O99" i="1"/>
  <c r="O119" i="1"/>
  <c r="O139" i="1"/>
  <c r="O179" i="1"/>
  <c r="O183" i="1"/>
  <c r="O16" i="1"/>
  <c r="P19" i="1"/>
  <c r="P25" i="1"/>
  <c r="O45" i="1"/>
  <c r="O61" i="1"/>
  <c r="O63" i="1"/>
  <c r="O67" i="1"/>
  <c r="O75" i="1"/>
  <c r="O79" i="1"/>
  <c r="O92" i="1"/>
  <c r="P114" i="1"/>
  <c r="O120" i="1"/>
  <c r="O122" i="1"/>
  <c r="O144" i="1"/>
  <c r="O146" i="1"/>
  <c r="O152" i="1"/>
  <c r="O154" i="1"/>
  <c r="O158" i="1"/>
  <c r="O168" i="1"/>
  <c r="O170" i="1"/>
  <c r="O174" i="1"/>
  <c r="G11" i="100"/>
  <c r="G23" i="100"/>
  <c r="G41" i="100"/>
  <c r="H15" i="149"/>
  <c r="H16" i="149"/>
  <c r="H18" i="149"/>
  <c r="H19" i="149"/>
  <c r="H21" i="149"/>
  <c r="H23" i="149"/>
  <c r="H24" i="149"/>
  <c r="H27" i="149"/>
  <c r="H28" i="149"/>
  <c r="H29" i="149"/>
  <c r="H32" i="149"/>
  <c r="F10" i="175"/>
  <c r="H40" i="149"/>
  <c r="H45" i="149"/>
  <c r="H46" i="149"/>
  <c r="H53" i="149"/>
  <c r="H54" i="149"/>
  <c r="H55" i="149"/>
  <c r="H57" i="149"/>
  <c r="H61" i="149"/>
  <c r="F13" i="175"/>
  <c r="H62" i="149"/>
  <c r="H63" i="149"/>
  <c r="H64" i="149"/>
  <c r="H66" i="149"/>
  <c r="H67" i="149"/>
  <c r="H69" i="149"/>
  <c r="H70" i="149"/>
  <c r="H73" i="149"/>
  <c r="H74" i="149"/>
  <c r="H75" i="149"/>
  <c r="H78" i="149"/>
  <c r="H84" i="149"/>
  <c r="H85" i="149"/>
  <c r="H87" i="149"/>
  <c r="H88" i="149"/>
  <c r="H89" i="149"/>
  <c r="H93" i="149"/>
  <c r="H94" i="149"/>
  <c r="H95" i="149"/>
  <c r="H100" i="149"/>
  <c r="H101" i="149"/>
  <c r="H105" i="149"/>
  <c r="H106" i="149"/>
  <c r="H113" i="149"/>
  <c r="H114" i="149"/>
  <c r="H115" i="149"/>
  <c r="H116" i="149"/>
  <c r="H117" i="149"/>
  <c r="H122" i="149"/>
  <c r="H124" i="149"/>
  <c r="H126" i="149"/>
  <c r="H125" i="149"/>
  <c r="H127" i="149"/>
  <c r="H128" i="149"/>
  <c r="H131" i="149"/>
  <c r="H135" i="149"/>
  <c r="H136" i="149"/>
  <c r="H278" i="149"/>
  <c r="I8" i="106"/>
  <c r="I9" i="106"/>
  <c r="I10" i="106"/>
  <c r="I11" i="106"/>
  <c r="I12" i="106"/>
  <c r="I13" i="106"/>
  <c r="I14" i="106"/>
  <c r="I15" i="106"/>
  <c r="I16" i="106"/>
  <c r="I17" i="106"/>
  <c r="I18" i="106"/>
  <c r="I19" i="106"/>
  <c r="I20" i="106"/>
  <c r="I21" i="106"/>
  <c r="O21" i="106"/>
  <c r="I22" i="106"/>
  <c r="I23" i="106"/>
  <c r="J23" i="106"/>
  <c r="I24" i="106"/>
  <c r="I25" i="106"/>
  <c r="I26" i="106"/>
  <c r="I27" i="106"/>
  <c r="I28" i="106"/>
  <c r="J28" i="106"/>
  <c r="I7" i="106"/>
  <c r="AB37" i="106"/>
  <c r="E325" i="202"/>
  <c r="F325" i="202"/>
  <c r="G326" i="202"/>
  <c r="G325" i="202"/>
  <c r="D294" i="202"/>
  <c r="D292" i="202"/>
  <c r="C292" i="202"/>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7" i="64"/>
  <c r="O198" i="187"/>
  <c r="Q198" i="75"/>
  <c r="G103" i="101"/>
  <c r="H85" i="101"/>
  <c r="H86" i="101"/>
  <c r="H87" i="101"/>
  <c r="H88" i="101"/>
  <c r="H89" i="101"/>
  <c r="H90" i="101"/>
  <c r="H91" i="101"/>
  <c r="H92" i="101"/>
  <c r="H93" i="101"/>
  <c r="H94" i="101"/>
  <c r="H95" i="101"/>
  <c r="H96" i="101"/>
  <c r="H97" i="101"/>
  <c r="H98" i="101"/>
  <c r="H99" i="101"/>
  <c r="H100" i="101"/>
  <c r="H101" i="101"/>
  <c r="H102" i="101"/>
  <c r="H7" i="101"/>
  <c r="H8" i="101"/>
  <c r="H9" i="101"/>
  <c r="H10" i="101"/>
  <c r="H11" i="101"/>
  <c r="H12" i="101"/>
  <c r="H13" i="101"/>
  <c r="H14" i="101"/>
  <c r="H15" i="101"/>
  <c r="H16" i="101"/>
  <c r="H17" i="101"/>
  <c r="H18" i="101"/>
  <c r="H19" i="101"/>
  <c r="H20" i="101"/>
  <c r="H21" i="101"/>
  <c r="H22" i="101"/>
  <c r="H23" i="101"/>
  <c r="H24" i="101"/>
  <c r="H25" i="101"/>
  <c r="H26" i="101"/>
  <c r="H27" i="101"/>
  <c r="H28" i="101"/>
  <c r="H29" i="101"/>
  <c r="H30" i="101"/>
  <c r="H31" i="101"/>
  <c r="H32" i="101"/>
  <c r="H33" i="101"/>
  <c r="H34" i="101"/>
  <c r="H35" i="101"/>
  <c r="H36" i="101"/>
  <c r="H37" i="101"/>
  <c r="H38" i="101"/>
  <c r="H39" i="101"/>
  <c r="H40" i="101"/>
  <c r="H41" i="101"/>
  <c r="H42" i="101"/>
  <c r="H43" i="101"/>
  <c r="H44" i="101"/>
  <c r="H45" i="101"/>
  <c r="H46" i="101"/>
  <c r="H47" i="101"/>
  <c r="H48" i="101"/>
  <c r="H49" i="101"/>
  <c r="H50" i="101"/>
  <c r="H51" i="101"/>
  <c r="H52" i="101"/>
  <c r="H53" i="101"/>
  <c r="H54" i="101"/>
  <c r="H55" i="101"/>
  <c r="H56" i="101"/>
  <c r="H57" i="101"/>
  <c r="H58" i="101"/>
  <c r="H59" i="101"/>
  <c r="H60" i="101"/>
  <c r="H61" i="101"/>
  <c r="H62" i="101"/>
  <c r="H63" i="101"/>
  <c r="H64" i="101"/>
  <c r="H65" i="101"/>
  <c r="H66" i="101"/>
  <c r="H67" i="101"/>
  <c r="H68" i="101"/>
  <c r="H69" i="101"/>
  <c r="H70" i="101"/>
  <c r="H71" i="101"/>
  <c r="H72" i="101"/>
  <c r="H73" i="101"/>
  <c r="H74" i="101"/>
  <c r="H75" i="101"/>
  <c r="H76" i="101"/>
  <c r="H77" i="101"/>
  <c r="H79" i="101"/>
  <c r="H80" i="101"/>
  <c r="H81" i="101"/>
  <c r="H82" i="101"/>
  <c r="H83" i="101"/>
  <c r="H84" i="101"/>
  <c r="P426" i="75"/>
  <c r="P425" i="75"/>
  <c r="O425" i="75"/>
  <c r="P424" i="75"/>
  <c r="P423" i="75"/>
  <c r="P422" i="75"/>
  <c r="P421" i="75"/>
  <c r="O421" i="75"/>
  <c r="P420" i="75"/>
  <c r="P419" i="75"/>
  <c r="O419" i="75"/>
  <c r="P418" i="75"/>
  <c r="P417" i="75"/>
  <c r="O417" i="75"/>
  <c r="P416" i="75"/>
  <c r="P415" i="75"/>
  <c r="P414" i="75"/>
  <c r="P413" i="75"/>
  <c r="P412" i="75"/>
  <c r="P411" i="75"/>
  <c r="P410" i="75"/>
  <c r="P409" i="75"/>
  <c r="O409" i="75"/>
  <c r="P408" i="75"/>
  <c r="O408" i="75"/>
  <c r="P407" i="75"/>
  <c r="P406" i="75"/>
  <c r="P405" i="75"/>
  <c r="P404" i="75"/>
  <c r="O404" i="75"/>
  <c r="P403" i="75"/>
  <c r="P402" i="75"/>
  <c r="O402" i="75"/>
  <c r="P401" i="75"/>
  <c r="O401" i="75"/>
  <c r="P400" i="75"/>
  <c r="P399" i="75"/>
  <c r="P398" i="75"/>
  <c r="P397" i="75"/>
  <c r="O397" i="75"/>
  <c r="P396" i="75"/>
  <c r="O396" i="75"/>
  <c r="P395" i="75"/>
  <c r="P394" i="75"/>
  <c r="O394" i="75"/>
  <c r="P393" i="75"/>
  <c r="O393" i="75"/>
  <c r="P392" i="75"/>
  <c r="O392" i="75"/>
  <c r="P391" i="75"/>
  <c r="P390" i="75"/>
  <c r="O390" i="75"/>
  <c r="P389" i="75"/>
  <c r="P388" i="75"/>
  <c r="P387" i="75"/>
  <c r="O387" i="75"/>
  <c r="P386" i="75"/>
  <c r="O386" i="75"/>
  <c r="P385" i="75"/>
  <c r="O385" i="75"/>
  <c r="P384" i="75"/>
  <c r="O384" i="75"/>
  <c r="P383" i="75"/>
  <c r="P382" i="75"/>
  <c r="P381" i="75"/>
  <c r="O381" i="75"/>
  <c r="P380" i="75"/>
  <c r="O380" i="75"/>
  <c r="P379" i="75"/>
  <c r="P378" i="75"/>
  <c r="O378" i="75"/>
  <c r="P377" i="75"/>
  <c r="P376" i="75"/>
  <c r="O376" i="75"/>
  <c r="P375" i="75"/>
  <c r="P374" i="75"/>
  <c r="P373" i="75"/>
  <c r="P372" i="75"/>
  <c r="P371" i="75"/>
  <c r="O371" i="75"/>
  <c r="P370" i="75"/>
  <c r="O370" i="75"/>
  <c r="P369" i="75"/>
  <c r="O369" i="75"/>
  <c r="P368" i="75"/>
  <c r="O368" i="75"/>
  <c r="P367" i="75"/>
  <c r="P366" i="75"/>
  <c r="P365" i="75"/>
  <c r="P364" i="75"/>
  <c r="P363" i="75"/>
  <c r="P362" i="75"/>
  <c r="O362" i="75"/>
  <c r="P361" i="75"/>
  <c r="O361" i="75"/>
  <c r="P360" i="75"/>
  <c r="O360" i="75"/>
  <c r="P359" i="75"/>
  <c r="P358" i="75"/>
  <c r="P357" i="75"/>
  <c r="O357" i="75"/>
  <c r="P356" i="75"/>
  <c r="O356" i="75"/>
  <c r="P355" i="75"/>
  <c r="P354" i="75"/>
  <c r="O354" i="75"/>
  <c r="P353" i="75"/>
  <c r="O353" i="75"/>
  <c r="P352" i="75"/>
  <c r="O352" i="75"/>
  <c r="P351" i="75"/>
  <c r="P350" i="75"/>
  <c r="P349" i="75"/>
  <c r="O349" i="75"/>
  <c r="P348" i="75"/>
  <c r="P347" i="75"/>
  <c r="O347" i="75"/>
  <c r="P346" i="75"/>
  <c r="P345" i="75"/>
  <c r="O345" i="75"/>
  <c r="P344" i="75"/>
  <c r="P343" i="75"/>
  <c r="P342" i="75"/>
  <c r="P341" i="75"/>
  <c r="P340" i="75"/>
  <c r="O340" i="75"/>
  <c r="P339" i="75"/>
  <c r="O339" i="75"/>
  <c r="P338" i="75"/>
  <c r="O338" i="75"/>
  <c r="P337" i="75"/>
  <c r="O337" i="75"/>
  <c r="P336" i="75"/>
  <c r="O336" i="75"/>
  <c r="P335" i="75"/>
  <c r="P334" i="75"/>
  <c r="P333" i="75"/>
  <c r="P332" i="75"/>
  <c r="P331" i="75"/>
  <c r="O331" i="75"/>
  <c r="P330" i="75"/>
  <c r="O330" i="75"/>
  <c r="P329" i="75"/>
  <c r="P328" i="75"/>
  <c r="O328" i="75"/>
  <c r="P327" i="75"/>
  <c r="P326" i="75"/>
  <c r="P325" i="75"/>
  <c r="O325" i="75"/>
  <c r="P324" i="75"/>
  <c r="P323" i="75"/>
  <c r="O323" i="75"/>
  <c r="P322" i="75"/>
  <c r="O322" i="75"/>
  <c r="P321" i="75"/>
  <c r="O321" i="75"/>
  <c r="P320" i="75"/>
  <c r="O320" i="75"/>
  <c r="P319" i="75"/>
  <c r="P318" i="75"/>
  <c r="P317" i="75"/>
  <c r="P316" i="75"/>
  <c r="O316" i="75"/>
  <c r="P315" i="75"/>
  <c r="O315" i="75"/>
  <c r="P314" i="75"/>
  <c r="O314" i="75"/>
  <c r="P313" i="75"/>
  <c r="O313" i="75"/>
  <c r="P312" i="75"/>
  <c r="O312" i="75"/>
  <c r="P311" i="75"/>
  <c r="P310" i="75"/>
  <c r="P309" i="75"/>
  <c r="P308" i="75"/>
  <c r="P307" i="75"/>
  <c r="P306" i="75"/>
  <c r="O306" i="75"/>
  <c r="P305" i="75"/>
  <c r="P304" i="75"/>
  <c r="O304" i="75"/>
  <c r="P303" i="75"/>
  <c r="P302" i="75"/>
  <c r="P301" i="75"/>
  <c r="P300" i="75"/>
  <c r="O300" i="75"/>
  <c r="P299" i="75"/>
  <c r="O299" i="75"/>
  <c r="P298" i="75"/>
  <c r="O298" i="75"/>
  <c r="P297" i="75"/>
  <c r="O297" i="75"/>
  <c r="P296" i="75"/>
  <c r="O296" i="75"/>
  <c r="P295" i="75"/>
  <c r="P294" i="75"/>
  <c r="P293" i="75"/>
  <c r="O293" i="75"/>
  <c r="P292" i="75"/>
  <c r="P291" i="75"/>
  <c r="O291" i="75"/>
  <c r="P290" i="75"/>
  <c r="O290" i="75"/>
  <c r="P289" i="75"/>
  <c r="O289" i="75"/>
  <c r="P288" i="75"/>
  <c r="O288" i="75"/>
  <c r="P287" i="75"/>
  <c r="P286" i="75"/>
  <c r="P285" i="75"/>
  <c r="O285" i="75"/>
  <c r="P284" i="75"/>
  <c r="P283" i="75"/>
  <c r="P282" i="75"/>
  <c r="O282" i="75"/>
  <c r="P281" i="75"/>
  <c r="O281" i="75"/>
  <c r="P280" i="75"/>
  <c r="O280" i="75"/>
  <c r="P279" i="75"/>
  <c r="P278" i="75"/>
  <c r="P277" i="75"/>
  <c r="P276" i="75"/>
  <c r="O276" i="75"/>
  <c r="P275" i="75"/>
  <c r="O275" i="75"/>
  <c r="P274" i="75"/>
  <c r="O274" i="75"/>
  <c r="P273" i="75"/>
  <c r="O273" i="75"/>
  <c r="P272" i="75"/>
  <c r="O272" i="75"/>
  <c r="P271" i="75"/>
  <c r="P270" i="75"/>
  <c r="P269" i="75"/>
  <c r="O269" i="75"/>
  <c r="P268" i="75"/>
  <c r="O268" i="75"/>
  <c r="P267" i="75"/>
  <c r="O267" i="75"/>
  <c r="P266" i="75"/>
  <c r="O266" i="75"/>
  <c r="P265" i="75"/>
  <c r="O265" i="75"/>
  <c r="P264" i="75"/>
  <c r="O264" i="75"/>
  <c r="P263" i="75"/>
  <c r="P262" i="75"/>
  <c r="P261" i="75"/>
  <c r="P260" i="75"/>
  <c r="P259" i="75"/>
  <c r="O259" i="75"/>
  <c r="P258" i="75"/>
  <c r="O258" i="75"/>
  <c r="P257" i="75"/>
  <c r="O257" i="75"/>
  <c r="P256" i="75"/>
  <c r="O256" i="75"/>
  <c r="P255" i="75"/>
  <c r="P254" i="75"/>
  <c r="P253" i="75"/>
  <c r="O253" i="75"/>
  <c r="P252" i="75"/>
  <c r="O252" i="75"/>
  <c r="P251" i="75"/>
  <c r="O251" i="75"/>
  <c r="P250" i="75"/>
  <c r="O250" i="75"/>
  <c r="P249" i="75"/>
  <c r="O249" i="75"/>
  <c r="P248" i="75"/>
  <c r="O248" i="75"/>
  <c r="P247" i="75"/>
  <c r="P246" i="75"/>
  <c r="O246" i="75"/>
  <c r="P245" i="75"/>
  <c r="O245" i="75"/>
  <c r="P244" i="75"/>
  <c r="P243" i="75"/>
  <c r="O243" i="75"/>
  <c r="P242" i="75"/>
  <c r="O242" i="75"/>
  <c r="P241" i="75"/>
  <c r="O241" i="75"/>
  <c r="P240" i="75"/>
  <c r="O240" i="75"/>
  <c r="P239" i="75"/>
  <c r="P238" i="75"/>
  <c r="P237" i="75"/>
  <c r="P236" i="75"/>
  <c r="P235" i="75"/>
  <c r="O235" i="75"/>
  <c r="P234" i="75"/>
  <c r="O234" i="75"/>
  <c r="P233" i="75"/>
  <c r="O233" i="75"/>
  <c r="P232" i="75"/>
  <c r="O232" i="75"/>
  <c r="P231" i="75"/>
  <c r="P230" i="75"/>
  <c r="P229" i="75"/>
  <c r="O229" i="75"/>
  <c r="P228" i="75"/>
  <c r="P227" i="75"/>
  <c r="P226" i="75"/>
  <c r="P225" i="75"/>
  <c r="P224" i="75"/>
  <c r="O224" i="75"/>
  <c r="P223" i="75"/>
  <c r="P222" i="75"/>
  <c r="O222" i="75"/>
  <c r="P221" i="75"/>
  <c r="P220" i="75"/>
  <c r="P219" i="75"/>
  <c r="O219" i="75"/>
  <c r="P218" i="75"/>
  <c r="O218" i="75"/>
  <c r="P217" i="75"/>
  <c r="O217" i="75"/>
  <c r="P216" i="75"/>
  <c r="O216" i="75"/>
  <c r="P215" i="75"/>
  <c r="P214" i="75"/>
  <c r="P213" i="75"/>
  <c r="O213" i="75"/>
  <c r="P212" i="75"/>
  <c r="P211" i="75"/>
  <c r="O211" i="75"/>
  <c r="P210" i="75"/>
  <c r="O210" i="75"/>
  <c r="P209" i="75"/>
  <c r="O209" i="75"/>
  <c r="P208" i="75"/>
  <c r="O208" i="75"/>
  <c r="P207" i="75"/>
  <c r="P206" i="75"/>
  <c r="P205" i="75"/>
  <c r="O205" i="75"/>
  <c r="P204" i="75"/>
  <c r="P203" i="75"/>
  <c r="O203" i="75"/>
  <c r="P202" i="75"/>
  <c r="O202" i="75"/>
  <c r="P201" i="75"/>
  <c r="P200" i="75"/>
  <c r="O200" i="75"/>
  <c r="P199" i="75"/>
  <c r="P198" i="75"/>
  <c r="P197" i="75"/>
  <c r="P196" i="75"/>
  <c r="P195" i="75"/>
  <c r="P194" i="75"/>
  <c r="O194" i="75"/>
  <c r="P193" i="75"/>
  <c r="O193" i="75"/>
  <c r="P192" i="75"/>
  <c r="O192" i="75"/>
  <c r="P191" i="75"/>
  <c r="P190" i="75"/>
  <c r="O190" i="75"/>
  <c r="P189" i="75"/>
  <c r="P188" i="75"/>
  <c r="O188" i="75"/>
  <c r="P187" i="75"/>
  <c r="O187" i="75"/>
  <c r="P186" i="75"/>
  <c r="O186" i="75"/>
  <c r="P185" i="75"/>
  <c r="O185" i="75"/>
  <c r="P184" i="75"/>
  <c r="O184" i="75"/>
  <c r="P183" i="75"/>
  <c r="P182" i="75"/>
  <c r="P181" i="75"/>
  <c r="P180" i="75"/>
  <c r="P179" i="75"/>
  <c r="O179" i="75"/>
  <c r="P178" i="75"/>
  <c r="O178" i="75"/>
  <c r="P177" i="75"/>
  <c r="O177" i="75"/>
  <c r="P176" i="75"/>
  <c r="O176" i="75"/>
  <c r="P175" i="75"/>
  <c r="P174" i="75"/>
  <c r="P173" i="75"/>
  <c r="O173" i="75"/>
  <c r="P172" i="75"/>
  <c r="P171" i="75"/>
  <c r="O171" i="75"/>
  <c r="P170" i="75"/>
  <c r="P169" i="75"/>
  <c r="O169" i="75"/>
  <c r="P168" i="75"/>
  <c r="P167" i="75"/>
  <c r="P166" i="75"/>
  <c r="P165" i="75"/>
  <c r="O165" i="75"/>
  <c r="P164" i="75"/>
  <c r="P163" i="75"/>
  <c r="O163" i="75"/>
  <c r="P162" i="75"/>
  <c r="O162" i="75"/>
  <c r="P161" i="75"/>
  <c r="O161" i="75"/>
  <c r="P160" i="75"/>
  <c r="O160" i="75"/>
  <c r="P159" i="75"/>
  <c r="P158" i="75"/>
  <c r="P157" i="75"/>
  <c r="P156" i="75"/>
  <c r="O156" i="75"/>
  <c r="P155" i="75"/>
  <c r="O155" i="75"/>
  <c r="P154" i="75"/>
  <c r="O154" i="75"/>
  <c r="P153" i="75"/>
  <c r="O153" i="75"/>
  <c r="P152" i="75"/>
  <c r="O152" i="75"/>
  <c r="P151" i="75"/>
  <c r="P150" i="75"/>
  <c r="P149" i="75"/>
  <c r="P148" i="75"/>
  <c r="P147" i="75"/>
  <c r="O147" i="75"/>
  <c r="P146" i="75"/>
  <c r="O146" i="75"/>
  <c r="P145" i="75"/>
  <c r="O145" i="75"/>
  <c r="P144" i="75"/>
  <c r="O144" i="75"/>
  <c r="P143" i="75"/>
  <c r="P142" i="75"/>
  <c r="P141" i="75"/>
  <c r="O141" i="75"/>
  <c r="P140" i="75"/>
  <c r="P139" i="75"/>
  <c r="O139" i="75"/>
  <c r="P138" i="75"/>
  <c r="O138" i="75"/>
  <c r="P137" i="75"/>
  <c r="O137" i="75"/>
  <c r="P136" i="75"/>
  <c r="O136" i="75"/>
  <c r="P135" i="75"/>
  <c r="P134" i="75"/>
  <c r="P133" i="75"/>
  <c r="P132" i="75"/>
  <c r="O132" i="75"/>
  <c r="P131" i="75"/>
  <c r="P130" i="75"/>
  <c r="O130" i="75"/>
  <c r="P129" i="75"/>
  <c r="O129" i="75"/>
  <c r="P128" i="75"/>
  <c r="O128" i="75"/>
  <c r="P127" i="75"/>
  <c r="P126" i="75"/>
  <c r="P125" i="75"/>
  <c r="P124" i="75"/>
  <c r="O124" i="75"/>
  <c r="P123" i="75"/>
  <c r="O123" i="75"/>
  <c r="P122" i="75"/>
  <c r="O122" i="75"/>
  <c r="P121" i="75"/>
  <c r="O121" i="75"/>
  <c r="P120" i="75"/>
  <c r="O120" i="75"/>
  <c r="P119" i="75"/>
  <c r="P118" i="75"/>
  <c r="P117" i="75"/>
  <c r="P116" i="75"/>
  <c r="P115" i="75"/>
  <c r="P107" i="75"/>
  <c r="O107" i="75"/>
  <c r="P108" i="75"/>
  <c r="O108" i="75"/>
  <c r="P109" i="75"/>
  <c r="O109" i="75"/>
  <c r="P110" i="75"/>
  <c r="P111" i="75"/>
  <c r="P112" i="75"/>
  <c r="O112" i="75"/>
  <c r="P113" i="75"/>
  <c r="P114" i="75"/>
  <c r="P98" i="75"/>
  <c r="O98" i="75"/>
  <c r="P99" i="75"/>
  <c r="O99" i="75"/>
  <c r="P100" i="75"/>
  <c r="O100" i="75"/>
  <c r="P101" i="75"/>
  <c r="P102" i="75"/>
  <c r="P103" i="75"/>
  <c r="O103" i="75"/>
  <c r="P104" i="75"/>
  <c r="O104" i="75"/>
  <c r="P105" i="75"/>
  <c r="O105" i="75"/>
  <c r="P106" i="75"/>
  <c r="O106" i="75"/>
  <c r="P90" i="75"/>
  <c r="O90" i="75"/>
  <c r="P91" i="75"/>
  <c r="O91" i="75"/>
  <c r="P92" i="75"/>
  <c r="P93" i="75"/>
  <c r="P94" i="75"/>
  <c r="O94" i="75"/>
  <c r="P95" i="75"/>
  <c r="O95" i="75"/>
  <c r="P96" i="75"/>
  <c r="O96" i="75"/>
  <c r="P97" i="75"/>
  <c r="O97" i="75"/>
  <c r="P77" i="75"/>
  <c r="P78" i="75"/>
  <c r="P79" i="75"/>
  <c r="P80" i="75"/>
  <c r="P81" i="75"/>
  <c r="P82" i="75"/>
  <c r="P83" i="75"/>
  <c r="P84" i="75"/>
  <c r="O84" i="75"/>
  <c r="P85" i="75"/>
  <c r="O85" i="75"/>
  <c r="P86" i="75"/>
  <c r="O86" i="75"/>
  <c r="P87" i="75"/>
  <c r="P88" i="75"/>
  <c r="O88" i="75"/>
  <c r="P89" i="75"/>
  <c r="O89" i="75"/>
  <c r="P72" i="75"/>
  <c r="P73" i="75"/>
  <c r="O73" i="75"/>
  <c r="P74" i="75"/>
  <c r="O74" i="75"/>
  <c r="P75" i="75"/>
  <c r="O75" i="75"/>
  <c r="P76" i="75"/>
  <c r="O76" i="75"/>
  <c r="P66" i="75"/>
  <c r="P67" i="75"/>
  <c r="O67" i="75"/>
  <c r="P68" i="75"/>
  <c r="O68" i="75"/>
  <c r="P69" i="75"/>
  <c r="P70" i="75"/>
  <c r="O70" i="75"/>
  <c r="P71" i="75"/>
  <c r="O71" i="75"/>
  <c r="P61" i="75"/>
  <c r="O61" i="75"/>
  <c r="P62" i="75"/>
  <c r="O62" i="75"/>
  <c r="P63" i="75"/>
  <c r="P64" i="75"/>
  <c r="P65" i="75"/>
  <c r="P53" i="75"/>
  <c r="O53" i="75"/>
  <c r="P54" i="75"/>
  <c r="O54" i="75"/>
  <c r="P55" i="75"/>
  <c r="O55" i="75"/>
  <c r="P56" i="75"/>
  <c r="O56" i="75"/>
  <c r="P57" i="75"/>
  <c r="O57" i="75"/>
  <c r="P58" i="75"/>
  <c r="P59" i="75"/>
  <c r="O59" i="75"/>
  <c r="P60" i="75"/>
  <c r="P44" i="75"/>
  <c r="O44" i="75"/>
  <c r="P45" i="75"/>
  <c r="O45" i="75"/>
  <c r="P46" i="75"/>
  <c r="O46" i="75"/>
  <c r="P47" i="75"/>
  <c r="O47" i="75"/>
  <c r="P48" i="75"/>
  <c r="O48" i="75"/>
  <c r="P49" i="75"/>
  <c r="P50" i="75"/>
  <c r="P51" i="75"/>
  <c r="O51" i="75"/>
  <c r="P52" i="75"/>
  <c r="O52" i="75"/>
  <c r="P36" i="75"/>
  <c r="O36" i="75"/>
  <c r="P37" i="75"/>
  <c r="O37" i="75"/>
  <c r="P38" i="75"/>
  <c r="O38" i="75"/>
  <c r="P39" i="75"/>
  <c r="O39" i="75"/>
  <c r="P40" i="75"/>
  <c r="P41" i="75"/>
  <c r="P42" i="75"/>
  <c r="P43" i="75"/>
  <c r="P27" i="75"/>
  <c r="P28" i="75"/>
  <c r="O28" i="75"/>
  <c r="P29" i="75"/>
  <c r="O29" i="75"/>
  <c r="P30" i="75"/>
  <c r="O30" i="75"/>
  <c r="P31" i="75"/>
  <c r="P32" i="75"/>
  <c r="P33" i="75"/>
  <c r="O33" i="75"/>
  <c r="P34" i="75"/>
  <c r="P35" i="75"/>
  <c r="O35" i="75"/>
  <c r="P16" i="75"/>
  <c r="O16" i="75"/>
  <c r="P17" i="75"/>
  <c r="P18" i="75"/>
  <c r="O18" i="75"/>
  <c r="P19" i="75"/>
  <c r="P20" i="75"/>
  <c r="P21" i="75"/>
  <c r="P22" i="75"/>
  <c r="P23" i="75"/>
  <c r="O23" i="75"/>
  <c r="P24" i="75"/>
  <c r="O24" i="75"/>
  <c r="P25" i="75"/>
  <c r="O25" i="75"/>
  <c r="P26" i="75"/>
  <c r="O26" i="75"/>
  <c r="P8" i="75"/>
  <c r="P9" i="75"/>
  <c r="P10" i="75"/>
  <c r="P11" i="75"/>
  <c r="P12" i="75"/>
  <c r="O12" i="75"/>
  <c r="P13" i="75"/>
  <c r="O13" i="75"/>
  <c r="P14" i="75"/>
  <c r="O14" i="75"/>
  <c r="P15" i="75"/>
  <c r="P7" i="75"/>
  <c r="W172" i="71"/>
  <c r="W171" i="71"/>
  <c r="V171" i="71"/>
  <c r="W170" i="71"/>
  <c r="V170" i="71"/>
  <c r="W169" i="71"/>
  <c r="W168" i="71"/>
  <c r="W167" i="71"/>
  <c r="AR167" i="71"/>
  <c r="W166" i="71"/>
  <c r="V166" i="71"/>
  <c r="W165" i="71"/>
  <c r="V165" i="71"/>
  <c r="W164" i="71"/>
  <c r="V164" i="71"/>
  <c r="W163" i="71"/>
  <c r="W162" i="71"/>
  <c r="W161" i="71"/>
  <c r="W160" i="71"/>
  <c r="V160" i="71"/>
  <c r="W159" i="71"/>
  <c r="W158" i="71"/>
  <c r="W157" i="71"/>
  <c r="V157" i="71"/>
  <c r="W156" i="71"/>
  <c r="V156" i="71"/>
  <c r="W155" i="71"/>
  <c r="AS155" i="71"/>
  <c r="W154" i="71"/>
  <c r="V154" i="71"/>
  <c r="W153" i="71"/>
  <c r="V153" i="71"/>
  <c r="W152" i="71"/>
  <c r="V152" i="71"/>
  <c r="W151" i="71"/>
  <c r="V151" i="71"/>
  <c r="W150" i="71"/>
  <c r="W149" i="71"/>
  <c r="W148" i="71"/>
  <c r="V148" i="71"/>
  <c r="W147" i="71"/>
  <c r="W146" i="71"/>
  <c r="V146" i="71"/>
  <c r="W145" i="71"/>
  <c r="W144" i="71"/>
  <c r="W143" i="71"/>
  <c r="V143" i="71"/>
  <c r="W142" i="71"/>
  <c r="V142" i="71"/>
  <c r="W141" i="71"/>
  <c r="V141" i="71"/>
  <c r="W140" i="71"/>
  <c r="W139" i="71"/>
  <c r="V139" i="71"/>
  <c r="W138" i="71"/>
  <c r="V138" i="71"/>
  <c r="W137" i="71"/>
  <c r="V137" i="71"/>
  <c r="W136" i="71"/>
  <c r="V136" i="71"/>
  <c r="W135" i="71"/>
  <c r="V135" i="71"/>
  <c r="W134" i="71"/>
  <c r="V134" i="71"/>
  <c r="W133" i="71"/>
  <c r="V133" i="71"/>
  <c r="W132" i="71"/>
  <c r="W131" i="71"/>
  <c r="V131" i="71"/>
  <c r="W130" i="71"/>
  <c r="V130" i="71"/>
  <c r="W129" i="71"/>
  <c r="V129" i="71"/>
  <c r="W128" i="71"/>
  <c r="V128" i="71"/>
  <c r="W127" i="71"/>
  <c r="V127" i="71"/>
  <c r="W126" i="71"/>
  <c r="V126" i="71"/>
  <c r="W125" i="71"/>
  <c r="V125" i="71"/>
  <c r="W124" i="71"/>
  <c r="V124" i="71"/>
  <c r="W123" i="71"/>
  <c r="V123" i="71"/>
  <c r="W122" i="71"/>
  <c r="V122" i="71"/>
  <c r="W121" i="71"/>
  <c r="W120" i="71"/>
  <c r="V120" i="71"/>
  <c r="W119" i="71"/>
  <c r="V119" i="71"/>
  <c r="W118" i="71"/>
  <c r="W117" i="71"/>
  <c r="V117" i="71"/>
  <c r="W116" i="71"/>
  <c r="V116" i="71"/>
  <c r="W115" i="71"/>
  <c r="V115" i="71"/>
  <c r="W114" i="71"/>
  <c r="V114" i="71"/>
  <c r="W113" i="71"/>
  <c r="V113" i="71"/>
  <c r="W112" i="71"/>
  <c r="V112" i="71"/>
  <c r="W111" i="71"/>
  <c r="V111" i="71"/>
  <c r="W110" i="71"/>
  <c r="V110" i="71"/>
  <c r="W109" i="71"/>
  <c r="W108" i="71"/>
  <c r="W107" i="71"/>
  <c r="V107" i="71"/>
  <c r="W106" i="71"/>
  <c r="V106" i="71"/>
  <c r="W105" i="71"/>
  <c r="V105" i="71"/>
  <c r="W104" i="71"/>
  <c r="V104" i="71"/>
  <c r="W103" i="71"/>
  <c r="V103" i="71"/>
  <c r="W102" i="71"/>
  <c r="W101" i="71"/>
  <c r="V101" i="71"/>
  <c r="W100" i="71"/>
  <c r="V100" i="71"/>
  <c r="W99" i="71"/>
  <c r="W98" i="71"/>
  <c r="V98" i="71"/>
  <c r="W97" i="71"/>
  <c r="V97" i="71"/>
  <c r="W96" i="71"/>
  <c r="V96" i="71"/>
  <c r="W95" i="71"/>
  <c r="V95" i="71"/>
  <c r="W94" i="71"/>
  <c r="V94" i="71"/>
  <c r="W93" i="71"/>
  <c r="V93" i="71"/>
  <c r="W92" i="71"/>
  <c r="V92" i="71"/>
  <c r="W91" i="71"/>
  <c r="V91" i="71"/>
  <c r="W90" i="71"/>
  <c r="V90" i="71"/>
  <c r="W89" i="71"/>
  <c r="W88" i="71"/>
  <c r="V88" i="71"/>
  <c r="W87" i="71"/>
  <c r="V87" i="71"/>
  <c r="W86" i="71"/>
  <c r="V86" i="71"/>
  <c r="W85" i="71"/>
  <c r="V85" i="71"/>
  <c r="W84" i="71"/>
  <c r="V84" i="71"/>
  <c r="W83" i="71"/>
  <c r="W82" i="71"/>
  <c r="V82" i="71"/>
  <c r="W81" i="71"/>
  <c r="V81" i="71"/>
  <c r="W80" i="71"/>
  <c r="V80" i="71"/>
  <c r="W79" i="71"/>
  <c r="V79" i="71"/>
  <c r="W78" i="71"/>
  <c r="V78" i="71"/>
  <c r="W77" i="71"/>
  <c r="V77" i="71"/>
  <c r="W76" i="71"/>
  <c r="V76" i="71"/>
  <c r="W75" i="71"/>
  <c r="W74" i="71"/>
  <c r="V74" i="71"/>
  <c r="W73" i="71"/>
  <c r="V73" i="71"/>
  <c r="W72" i="71"/>
  <c r="V72" i="71"/>
  <c r="W71" i="71"/>
  <c r="V71" i="71"/>
  <c r="W70" i="71"/>
  <c r="V70" i="71"/>
  <c r="W69" i="71"/>
  <c r="V69" i="71"/>
  <c r="W68" i="71"/>
  <c r="V68" i="71"/>
  <c r="W67" i="71"/>
  <c r="V67" i="71"/>
  <c r="W66" i="71"/>
  <c r="V66" i="71"/>
  <c r="W65" i="71"/>
  <c r="V65" i="71"/>
  <c r="W64" i="71"/>
  <c r="V64" i="71"/>
  <c r="W63" i="71"/>
  <c r="V63" i="71"/>
  <c r="W62" i="71"/>
  <c r="V62" i="71"/>
  <c r="W61" i="71"/>
  <c r="V61" i="71"/>
  <c r="W60" i="71"/>
  <c r="V60" i="71"/>
  <c r="W59" i="71"/>
  <c r="V59" i="71"/>
  <c r="W58" i="71"/>
  <c r="V58" i="71"/>
  <c r="W57" i="71"/>
  <c r="V57" i="71"/>
  <c r="W56" i="71"/>
  <c r="W55" i="71"/>
  <c r="V55" i="71"/>
  <c r="W54" i="71"/>
  <c r="V54" i="71"/>
  <c r="W53" i="71"/>
  <c r="V53" i="71"/>
  <c r="W52" i="71"/>
  <c r="V52" i="71"/>
  <c r="W51" i="71"/>
  <c r="V51" i="71"/>
  <c r="W50" i="71"/>
  <c r="W49" i="71"/>
  <c r="V49" i="71"/>
  <c r="W48" i="71"/>
  <c r="V48" i="71"/>
  <c r="W47" i="71"/>
  <c r="V47" i="71"/>
  <c r="W46" i="71"/>
  <c r="V46" i="71"/>
  <c r="W45" i="71"/>
  <c r="V45" i="71"/>
  <c r="W44" i="71"/>
  <c r="V44" i="71"/>
  <c r="W43" i="71"/>
  <c r="V43" i="71"/>
  <c r="W42" i="71"/>
  <c r="W41" i="71"/>
  <c r="V41" i="71"/>
  <c r="W40" i="71"/>
  <c r="V40" i="71"/>
  <c r="W39" i="71"/>
  <c r="V39" i="71"/>
  <c r="W38" i="71"/>
  <c r="V38" i="71"/>
  <c r="W37" i="71"/>
  <c r="V37" i="71"/>
  <c r="W36" i="71"/>
  <c r="V36" i="71"/>
  <c r="W35" i="71"/>
  <c r="V35" i="71"/>
  <c r="W34" i="71"/>
  <c r="V34" i="71"/>
  <c r="W33" i="71"/>
  <c r="V33" i="71"/>
  <c r="W32" i="71"/>
  <c r="V32" i="71"/>
  <c r="W31" i="71"/>
  <c r="V31" i="71"/>
  <c r="W30" i="71"/>
  <c r="V30" i="71"/>
  <c r="W29" i="71"/>
  <c r="V29" i="71"/>
  <c r="W28" i="71"/>
  <c r="V28" i="71"/>
  <c r="W27" i="71"/>
  <c r="V27" i="71"/>
  <c r="W26" i="71"/>
  <c r="V26" i="71"/>
  <c r="W25" i="71"/>
  <c r="V25" i="71"/>
  <c r="W24" i="71"/>
  <c r="V24" i="71"/>
  <c r="W23" i="71"/>
  <c r="V23" i="71"/>
  <c r="W22" i="71"/>
  <c r="V22" i="71"/>
  <c r="W21" i="71"/>
  <c r="V21" i="71"/>
  <c r="W20" i="71"/>
  <c r="V20" i="71"/>
  <c r="W19" i="71"/>
  <c r="V19" i="71"/>
  <c r="W18" i="71"/>
  <c r="V18" i="71"/>
  <c r="W17" i="71"/>
  <c r="V17" i="71"/>
  <c r="W16" i="71"/>
  <c r="V16" i="71"/>
  <c r="W15" i="71"/>
  <c r="V15" i="71"/>
  <c r="W14" i="71"/>
  <c r="V14" i="71"/>
  <c r="W13" i="71"/>
  <c r="V13" i="71"/>
  <c r="W12" i="71"/>
  <c r="W11" i="71"/>
  <c r="V11" i="71"/>
  <c r="W10" i="71"/>
  <c r="V10" i="71"/>
  <c r="W9" i="71"/>
  <c r="W8" i="71"/>
  <c r="W7" i="71"/>
  <c r="Z50" i="71"/>
  <c r="Z82" i="71"/>
  <c r="Z83" i="71"/>
  <c r="Z149" i="71"/>
  <c r="Z153" i="71"/>
  <c r="Z160" i="71"/>
  <c r="Q15" i="75"/>
  <c r="Q42" i="75"/>
  <c r="Q53" i="75"/>
  <c r="F53" i="75"/>
  <c r="Q66" i="75"/>
  <c r="F66" i="75"/>
  <c r="Q247" i="75"/>
  <c r="F247" i="75"/>
  <c r="Q329" i="75"/>
  <c r="Q344" i="75"/>
  <c r="O458" i="187"/>
  <c r="Z44" i="71"/>
  <c r="O459" i="187"/>
  <c r="Z45" i="71"/>
  <c r="O466" i="187"/>
  <c r="Z54" i="71"/>
  <c r="O468" i="187"/>
  <c r="Z56" i="71"/>
  <c r="O471" i="187"/>
  <c r="O475" i="187"/>
  <c r="O478" i="187"/>
  <c r="Z66" i="71"/>
  <c r="O486" i="187"/>
  <c r="O488" i="187"/>
  <c r="Z75" i="71"/>
  <c r="O490" i="187"/>
  <c r="Z77" i="71"/>
  <c r="O493" i="187"/>
  <c r="Z80" i="71"/>
  <c r="AS80" i="71"/>
  <c r="O500" i="187"/>
  <c r="Z89" i="71"/>
  <c r="O514" i="187"/>
  <c r="Z102" i="71"/>
  <c r="O519" i="187"/>
  <c r="Z107" i="71"/>
  <c r="O520" i="187"/>
  <c r="Z108" i="71"/>
  <c r="O521" i="187"/>
  <c r="Z109" i="71"/>
  <c r="O524" i="187"/>
  <c r="Z112" i="71"/>
  <c r="O526" i="187"/>
  <c r="Z114" i="71"/>
  <c r="O530" i="187"/>
  <c r="Z118" i="71"/>
  <c r="O532" i="187"/>
  <c r="Z120" i="71"/>
  <c r="O533" i="187"/>
  <c r="Z121" i="71"/>
  <c r="O534" i="187"/>
  <c r="Z122" i="71"/>
  <c r="O535" i="187"/>
  <c r="Z123" i="71"/>
  <c r="O542" i="187"/>
  <c r="Z130" i="71"/>
  <c r="O544" i="187"/>
  <c r="Z132" i="71"/>
  <c r="O545" i="187"/>
  <c r="Z133" i="71"/>
  <c r="O550" i="187"/>
  <c r="Z138" i="71"/>
  <c r="O553" i="187"/>
  <c r="Z141" i="71"/>
  <c r="O554" i="187"/>
  <c r="Z142" i="71"/>
  <c r="O555" i="187"/>
  <c r="Z143" i="71"/>
  <c r="O556" i="187"/>
  <c r="Z144" i="71"/>
  <c r="O557" i="187"/>
  <c r="Z145" i="71"/>
  <c r="AS145" i="71"/>
  <c r="O558" i="187"/>
  <c r="Z146" i="71"/>
  <c r="O559" i="187"/>
  <c r="Z147" i="71"/>
  <c r="O560" i="187"/>
  <c r="Z148" i="71"/>
  <c r="O561" i="187"/>
  <c r="Z150" i="71"/>
  <c r="O562" i="187"/>
  <c r="Z151" i="71"/>
  <c r="O563" i="187"/>
  <c r="Z152" i="71"/>
  <c r="AR152" i="71"/>
  <c r="O564" i="187"/>
  <c r="Z154" i="71"/>
  <c r="O565" i="187"/>
  <c r="Z155" i="71"/>
  <c r="O566" i="187"/>
  <c r="Z156" i="71"/>
  <c r="O567" i="187"/>
  <c r="Z157" i="71"/>
  <c r="O568" i="187"/>
  <c r="Z158" i="71"/>
  <c r="AR158" i="71"/>
  <c r="O569" i="187"/>
  <c r="Z159" i="71"/>
  <c r="O570" i="187"/>
  <c r="Z161" i="71"/>
  <c r="O571" i="187"/>
  <c r="Z162" i="71"/>
  <c r="O572" i="187"/>
  <c r="Z163" i="71"/>
  <c r="O573" i="187"/>
  <c r="Z164" i="71"/>
  <c r="O574" i="187"/>
  <c r="Z165" i="71"/>
  <c r="O575" i="187"/>
  <c r="Z166" i="71"/>
  <c r="AR166" i="71"/>
  <c r="O576" i="187"/>
  <c r="Z167" i="71"/>
  <c r="O577" i="187"/>
  <c r="Q418" i="75"/>
  <c r="O578" i="187"/>
  <c r="Z168" i="71"/>
  <c r="O579" i="187"/>
  <c r="Q419" i="75"/>
  <c r="O580" i="187"/>
  <c r="Q420" i="75"/>
  <c r="F420" i="75"/>
  <c r="O581" i="187"/>
  <c r="Q421" i="75"/>
  <c r="O582" i="187"/>
  <c r="Z169" i="71"/>
  <c r="AR169" i="71"/>
  <c r="O583" i="187"/>
  <c r="Q422" i="75"/>
  <c r="O584" i="187"/>
  <c r="Q423" i="75"/>
  <c r="F423" i="75"/>
  <c r="O585" i="187"/>
  <c r="Q424" i="75"/>
  <c r="O586" i="187"/>
  <c r="Z170" i="71"/>
  <c r="AS170" i="71"/>
  <c r="O587" i="187"/>
  <c r="Z171" i="71"/>
  <c r="O588" i="187"/>
  <c r="Q425" i="75"/>
  <c r="O589" i="187"/>
  <c r="Z172" i="71"/>
  <c r="O590" i="187"/>
  <c r="Q426" i="75"/>
  <c r="O15" i="187"/>
  <c r="Q16" i="75"/>
  <c r="O27" i="187"/>
  <c r="Q28" i="75"/>
  <c r="O35" i="187"/>
  <c r="Q36" i="75"/>
  <c r="O42" i="187"/>
  <c r="Q44" i="75"/>
  <c r="O45" i="187"/>
  <c r="O48" i="187"/>
  <c r="Q50" i="75"/>
  <c r="O51" i="187"/>
  <c r="G16" i="69"/>
  <c r="O55" i="187"/>
  <c r="Q58" i="75"/>
  <c r="O58" i="187"/>
  <c r="Q61" i="75"/>
  <c r="O59" i="187"/>
  <c r="O62" i="187"/>
  <c r="Q65" i="75"/>
  <c r="O63" i="187"/>
  <c r="Q67" i="75"/>
  <c r="O64" i="187"/>
  <c r="Q68" i="75"/>
  <c r="O67" i="187"/>
  <c r="Q71" i="75"/>
  <c r="O68" i="187"/>
  <c r="Q72" i="75"/>
  <c r="F72" i="75"/>
  <c r="O73" i="187"/>
  <c r="Q77" i="75"/>
  <c r="O74" i="187"/>
  <c r="Q78" i="75"/>
  <c r="O75" i="187"/>
  <c r="O80" i="187"/>
  <c r="Q84" i="75"/>
  <c r="O81" i="187"/>
  <c r="Q85" i="75"/>
  <c r="O86" i="187"/>
  <c r="Q90" i="75"/>
  <c r="O87" i="187"/>
  <c r="Q91" i="75"/>
  <c r="O88" i="187"/>
  <c r="Q92" i="75"/>
  <c r="O89" i="187"/>
  <c r="Q93" i="75"/>
  <c r="O92" i="187"/>
  <c r="Q96" i="75"/>
  <c r="O93" i="187"/>
  <c r="Q97" i="75"/>
  <c r="O94" i="187"/>
  <c r="Q98" i="75"/>
  <c r="O95" i="187"/>
  <c r="Q99" i="75"/>
  <c r="O108" i="187"/>
  <c r="Q111" i="75"/>
  <c r="O109" i="187"/>
  <c r="Q112" i="75"/>
  <c r="O110" i="187"/>
  <c r="Q113" i="75"/>
  <c r="O111" i="187"/>
  <c r="Q114" i="75"/>
  <c r="O112" i="187"/>
  <c r="Q115" i="75"/>
  <c r="O113" i="187"/>
  <c r="Q116" i="75"/>
  <c r="O114" i="187"/>
  <c r="Q117" i="75"/>
  <c r="O115" i="187"/>
  <c r="Q118" i="75"/>
  <c r="O116" i="187"/>
  <c r="Q119" i="75"/>
  <c r="O117" i="187"/>
  <c r="Q120" i="75"/>
  <c r="O118" i="187"/>
  <c r="Q121" i="75"/>
  <c r="O121" i="187"/>
  <c r="Q124" i="75"/>
  <c r="O122" i="187"/>
  <c r="Q125" i="75"/>
  <c r="O123" i="187"/>
  <c r="Q126" i="75"/>
  <c r="O124" i="187"/>
  <c r="Q127" i="75"/>
  <c r="O125" i="187"/>
  <c r="Q128" i="75"/>
  <c r="O126" i="187"/>
  <c r="Q129" i="75"/>
  <c r="O127" i="187"/>
  <c r="Q130" i="75"/>
  <c r="O128" i="187"/>
  <c r="Q131" i="75"/>
  <c r="O129" i="187"/>
  <c r="Q132" i="75"/>
  <c r="O135" i="187"/>
  <c r="Q138" i="75"/>
  <c r="O136" i="187"/>
  <c r="Q139" i="75"/>
  <c r="O137" i="187"/>
  <c r="O143" i="187"/>
  <c r="Q146" i="75"/>
  <c r="O149" i="187"/>
  <c r="Q152" i="75"/>
  <c r="O154" i="187"/>
  <c r="Q157" i="75"/>
  <c r="O159" i="187"/>
  <c r="Q162" i="75"/>
  <c r="O162" i="187"/>
  <c r="Q165" i="75"/>
  <c r="O164" i="187"/>
  <c r="Q167" i="75"/>
  <c r="O166" i="187"/>
  <c r="G20" i="69"/>
  <c r="Q169" i="75"/>
  <c r="O169" i="187"/>
  <c r="G12" i="69"/>
  <c r="O174" i="187"/>
  <c r="Q177" i="75"/>
  <c r="O176" i="187"/>
  <c r="O178" i="187"/>
  <c r="Q180" i="75"/>
  <c r="O181" i="187"/>
  <c r="O184" i="187"/>
  <c r="Q186" i="75"/>
  <c r="O188" i="187"/>
  <c r="Q190" i="75"/>
  <c r="O190" i="187"/>
  <c r="Q192" i="75"/>
  <c r="O191" i="187"/>
  <c r="O193" i="187"/>
  <c r="O202" i="187"/>
  <c r="Q202" i="75"/>
  <c r="O205" i="187"/>
  <c r="Q205" i="75"/>
  <c r="O207" i="187"/>
  <c r="Q207" i="75"/>
  <c r="O211" i="187"/>
  <c r="Q211" i="75"/>
  <c r="O212" i="187"/>
  <c r="Q212" i="75"/>
  <c r="O213" i="187"/>
  <c r="Q213" i="75"/>
  <c r="O214" i="187"/>
  <c r="Q214" i="75"/>
  <c r="O215" i="187"/>
  <c r="Q215" i="75"/>
  <c r="O216" i="187"/>
  <c r="Q216" i="75"/>
  <c r="O221" i="187"/>
  <c r="Q221" i="75"/>
  <c r="O222" i="187"/>
  <c r="Q222" i="75"/>
  <c r="O223" i="187"/>
  <c r="Q223" i="75"/>
  <c r="O224" i="187"/>
  <c r="Q224" i="75"/>
  <c r="O225" i="187"/>
  <c r="Q225" i="75"/>
  <c r="O226" i="187"/>
  <c r="Q226" i="75"/>
  <c r="O227" i="187"/>
  <c r="Q227" i="75"/>
  <c r="O228" i="187"/>
  <c r="Q228" i="75"/>
  <c r="O229" i="187"/>
  <c r="Q229" i="75"/>
  <c r="O230" i="187"/>
  <c r="Q230" i="75"/>
  <c r="O231" i="187"/>
  <c r="O232" i="187"/>
  <c r="Q232" i="75"/>
  <c r="O233" i="187"/>
  <c r="Q233" i="75"/>
  <c r="O234" i="187"/>
  <c r="Q234" i="75"/>
  <c r="O235" i="187"/>
  <c r="Q235" i="75"/>
  <c r="O236" i="187"/>
  <c r="Q236" i="75"/>
  <c r="O239" i="187"/>
  <c r="Q239" i="75"/>
  <c r="O242" i="187"/>
  <c r="Q242" i="75"/>
  <c r="O244" i="187"/>
  <c r="Q244" i="75"/>
  <c r="O245" i="187"/>
  <c r="Q245" i="75"/>
  <c r="O255" i="187"/>
  <c r="Q256" i="75"/>
  <c r="O256" i="187"/>
  <c r="Q257" i="75"/>
  <c r="O257" i="187"/>
  <c r="Q258" i="75"/>
  <c r="O260" i="187"/>
  <c r="Q261" i="75"/>
  <c r="O262" i="187"/>
  <c r="Q263" i="75"/>
  <c r="O265" i="187"/>
  <c r="Q266" i="75"/>
  <c r="O268" i="187"/>
  <c r="Q269" i="75"/>
  <c r="O271" i="187"/>
  <c r="Q272" i="75"/>
  <c r="O275" i="187"/>
  <c r="Q276" i="75"/>
  <c r="O276" i="187"/>
  <c r="Q277" i="75"/>
  <c r="O277" i="187"/>
  <c r="Q278" i="75"/>
  <c r="O279" i="187"/>
  <c r="Q280" i="75"/>
  <c r="O280" i="187"/>
  <c r="Q281" i="75"/>
  <c r="O281" i="187"/>
  <c r="Q282" i="75"/>
  <c r="O282" i="187"/>
  <c r="Q283" i="75"/>
  <c r="O286" i="187"/>
  <c r="Q287" i="75"/>
  <c r="O287" i="187"/>
  <c r="O288" i="187"/>
  <c r="Q288" i="75"/>
  <c r="O289" i="187"/>
  <c r="Q289" i="75"/>
  <c r="O290" i="187"/>
  <c r="Q290" i="75"/>
  <c r="O291" i="187"/>
  <c r="Q291" i="75"/>
  <c r="O292" i="187"/>
  <c r="Q292" i="75"/>
  <c r="O293" i="187"/>
  <c r="Q293" i="75"/>
  <c r="O294" i="187"/>
  <c r="Q294" i="75"/>
  <c r="O295" i="187"/>
  <c r="Q295" i="75"/>
  <c r="O302" i="187"/>
  <c r="Q302" i="75"/>
  <c r="O303" i="187"/>
  <c r="Q303" i="75"/>
  <c r="O304" i="187"/>
  <c r="Q304" i="75"/>
  <c r="O306" i="187"/>
  <c r="Q306" i="75"/>
  <c r="O307" i="187"/>
  <c r="Q307" i="75"/>
  <c r="O308" i="187"/>
  <c r="Q308" i="75"/>
  <c r="O311" i="187"/>
  <c r="Q311" i="75"/>
  <c r="O315" i="187"/>
  <c r="Q315" i="75"/>
  <c r="O316" i="187"/>
  <c r="Q316" i="75"/>
  <c r="O317" i="187"/>
  <c r="Q317" i="75"/>
  <c r="O318" i="187"/>
  <c r="Q318" i="75"/>
  <c r="O319" i="187"/>
  <c r="Q319" i="75"/>
  <c r="O321" i="187"/>
  <c r="Q321" i="75"/>
  <c r="O330" i="187"/>
  <c r="Q331" i="75"/>
  <c r="F331" i="75"/>
  <c r="O331" i="187"/>
  <c r="Q332" i="75"/>
  <c r="F332" i="75"/>
  <c r="O332" i="187"/>
  <c r="Q333" i="75"/>
  <c r="O333" i="187"/>
  <c r="Q334" i="75"/>
  <c r="O334" i="187"/>
  <c r="Q335" i="75"/>
  <c r="O335" i="187"/>
  <c r="O336" i="187"/>
  <c r="O337" i="187"/>
  <c r="Q336" i="75"/>
  <c r="O338" i="187"/>
  <c r="Q337" i="75"/>
  <c r="O339" i="187"/>
  <c r="Q338" i="75"/>
  <c r="O340" i="187"/>
  <c r="O341" i="187"/>
  <c r="Q339" i="75"/>
  <c r="O342" i="187"/>
  <c r="O343" i="187"/>
  <c r="Q340" i="75"/>
  <c r="O344" i="187"/>
  <c r="Q341" i="75"/>
  <c r="O345" i="187"/>
  <c r="Q342" i="75"/>
  <c r="O346" i="187"/>
  <c r="O347" i="187"/>
  <c r="Q343" i="75"/>
  <c r="O348" i="187"/>
  <c r="Q345" i="75"/>
  <c r="O349" i="187"/>
  <c r="Q346" i="75"/>
  <c r="O350" i="187"/>
  <c r="Q347" i="75"/>
  <c r="O351" i="187"/>
  <c r="Q348" i="75"/>
  <c r="O352" i="187"/>
  <c r="Q349" i="75"/>
  <c r="O353" i="187"/>
  <c r="Q350" i="75"/>
  <c r="O358" i="187"/>
  <c r="Q355" i="75"/>
  <c r="O364" i="187"/>
  <c r="Q361" i="75"/>
  <c r="O365" i="187"/>
  <c r="Q362" i="75"/>
  <c r="O366" i="187"/>
  <c r="Q363" i="75"/>
  <c r="F363" i="75"/>
  <c r="O367" i="187"/>
  <c r="Q364" i="75"/>
  <c r="O368" i="187"/>
  <c r="Q365" i="75"/>
  <c r="O369" i="187"/>
  <c r="Q366" i="75"/>
  <c r="O370" i="187"/>
  <c r="Q367" i="75"/>
  <c r="O371" i="187"/>
  <c r="Q368" i="75"/>
  <c r="O372" i="187"/>
  <c r="Q369" i="75"/>
  <c r="O373" i="187"/>
  <c r="Q370" i="75"/>
  <c r="O374" i="187"/>
  <c r="Q371" i="75"/>
  <c r="O375" i="187"/>
  <c r="Q372" i="75"/>
  <c r="O376" i="187"/>
  <c r="Q373" i="75"/>
  <c r="O377" i="187"/>
  <c r="Q374" i="75"/>
  <c r="O378" i="187"/>
  <c r="Q375" i="75"/>
  <c r="F375" i="75"/>
  <c r="O379" i="187"/>
  <c r="Q376" i="75"/>
  <c r="O380" i="187"/>
  <c r="Q377" i="75"/>
  <c r="O381" i="187"/>
  <c r="Q378" i="75"/>
  <c r="O382" i="187"/>
  <c r="Q379" i="75"/>
  <c r="O388" i="187"/>
  <c r="O390" i="187"/>
  <c r="Q387" i="75"/>
  <c r="O392" i="187"/>
  <c r="Q389" i="75"/>
  <c r="O393" i="187"/>
  <c r="Q390" i="75"/>
  <c r="O394" i="187"/>
  <c r="Q391" i="75"/>
  <c r="O395" i="187"/>
  <c r="Q392" i="75"/>
  <c r="O396" i="187"/>
  <c r="Q393" i="75"/>
  <c r="O397" i="187"/>
  <c r="Q394" i="75"/>
  <c r="O398" i="187"/>
  <c r="Q395" i="75"/>
  <c r="O399" i="187"/>
  <c r="Q396" i="75"/>
  <c r="O400" i="187"/>
  <c r="Q397" i="75"/>
  <c r="O401" i="187"/>
  <c r="Q398" i="75"/>
  <c r="O402" i="187"/>
  <c r="Q399" i="75"/>
  <c r="O403" i="187"/>
  <c r="Q400" i="75"/>
  <c r="O404" i="187"/>
  <c r="Q401" i="75"/>
  <c r="O405" i="187"/>
  <c r="Q402" i="75"/>
  <c r="O406" i="187"/>
  <c r="Q403" i="75"/>
  <c r="O407" i="187"/>
  <c r="Q404" i="75"/>
  <c r="O408" i="187"/>
  <c r="Q405" i="75"/>
  <c r="O409" i="187"/>
  <c r="Q406" i="75"/>
  <c r="O410" i="187"/>
  <c r="O411" i="187"/>
  <c r="Q407" i="75"/>
  <c r="F407" i="75"/>
  <c r="O413" i="187"/>
  <c r="Q409" i="75"/>
  <c r="O414" i="187"/>
  <c r="Q410" i="75"/>
  <c r="O415" i="187"/>
  <c r="Q411" i="75"/>
  <c r="O416" i="187"/>
  <c r="Q412" i="75"/>
  <c r="F412" i="75"/>
  <c r="O417" i="187"/>
  <c r="Q413" i="75"/>
  <c r="O418" i="187"/>
  <c r="Q414" i="75"/>
  <c r="O419" i="187"/>
  <c r="Q415" i="75"/>
  <c r="F415" i="75"/>
  <c r="O420" i="187"/>
  <c r="Q416" i="75"/>
  <c r="O422" i="187"/>
  <c r="Z9" i="71"/>
  <c r="O435" i="187"/>
  <c r="Z21" i="71"/>
  <c r="O7" i="187"/>
  <c r="N8" i="187"/>
  <c r="N9" i="187"/>
  <c r="N10" i="187"/>
  <c r="N11" i="187"/>
  <c r="N12" i="187"/>
  <c r="N13" i="187"/>
  <c r="N14" i="187"/>
  <c r="N15" i="187"/>
  <c r="N16" i="187"/>
  <c r="N17" i="187"/>
  <c r="N18" i="187"/>
  <c r="N19" i="187"/>
  <c r="N20" i="187"/>
  <c r="N21" i="187"/>
  <c r="N22" i="187"/>
  <c r="N23" i="187"/>
  <c r="N24" i="187"/>
  <c r="N25" i="187"/>
  <c r="N26" i="187"/>
  <c r="N27" i="187"/>
  <c r="N28" i="187"/>
  <c r="N29" i="187"/>
  <c r="N30" i="187"/>
  <c r="N31" i="187"/>
  <c r="N32" i="187"/>
  <c r="N33" i="187"/>
  <c r="N34" i="187"/>
  <c r="N35" i="187"/>
  <c r="N36" i="187"/>
  <c r="N37" i="187"/>
  <c r="N38" i="187"/>
  <c r="N39" i="187"/>
  <c r="N40" i="187"/>
  <c r="N41" i="187"/>
  <c r="N42" i="187"/>
  <c r="N43" i="187"/>
  <c r="N44" i="187"/>
  <c r="N45" i="187"/>
  <c r="N46" i="187"/>
  <c r="N47" i="187"/>
  <c r="N48" i="187"/>
  <c r="N49" i="187"/>
  <c r="N50" i="187"/>
  <c r="N51" i="187"/>
  <c r="N52" i="187"/>
  <c r="N53" i="187"/>
  <c r="N54" i="187"/>
  <c r="N55" i="187"/>
  <c r="N56" i="187"/>
  <c r="N57" i="187"/>
  <c r="N58" i="187"/>
  <c r="N59" i="187"/>
  <c r="N60" i="187"/>
  <c r="N61" i="187"/>
  <c r="N62" i="187"/>
  <c r="N63" i="187"/>
  <c r="N64" i="187"/>
  <c r="N65" i="187"/>
  <c r="N66" i="187"/>
  <c r="N67" i="187"/>
  <c r="N68" i="187"/>
  <c r="N69" i="187"/>
  <c r="N70" i="187"/>
  <c r="N71" i="187"/>
  <c r="N72" i="187"/>
  <c r="N73" i="187"/>
  <c r="N74" i="187"/>
  <c r="N75" i="187"/>
  <c r="N76" i="187"/>
  <c r="N77" i="187"/>
  <c r="N78" i="187"/>
  <c r="N79" i="187"/>
  <c r="N80" i="187"/>
  <c r="N81" i="187"/>
  <c r="N82" i="187"/>
  <c r="N83" i="187"/>
  <c r="N84" i="187"/>
  <c r="N85" i="187"/>
  <c r="N86" i="187"/>
  <c r="N87" i="187"/>
  <c r="N88" i="187"/>
  <c r="N89" i="187"/>
  <c r="N90" i="187"/>
  <c r="N91" i="187"/>
  <c r="N92" i="187"/>
  <c r="N93" i="187"/>
  <c r="N94" i="187"/>
  <c r="N95" i="187"/>
  <c r="N96" i="187"/>
  <c r="N97" i="187"/>
  <c r="N98" i="187"/>
  <c r="N99" i="187"/>
  <c r="N100" i="187"/>
  <c r="N101" i="187"/>
  <c r="N102" i="187"/>
  <c r="N103" i="187"/>
  <c r="N104" i="187"/>
  <c r="N105" i="187"/>
  <c r="N106" i="187"/>
  <c r="N107" i="187"/>
  <c r="N108" i="187"/>
  <c r="N109" i="187"/>
  <c r="N110" i="187"/>
  <c r="N111" i="187"/>
  <c r="N112" i="187"/>
  <c r="N113" i="187"/>
  <c r="N114" i="187"/>
  <c r="N115" i="187"/>
  <c r="N116" i="187"/>
  <c r="N117" i="187"/>
  <c r="N118" i="187"/>
  <c r="N119" i="187"/>
  <c r="N120" i="187"/>
  <c r="N121" i="187"/>
  <c r="N122" i="187"/>
  <c r="N123" i="187"/>
  <c r="N124" i="187"/>
  <c r="N125" i="187"/>
  <c r="N126" i="187"/>
  <c r="N127" i="187"/>
  <c r="N128" i="187"/>
  <c r="N129" i="187"/>
  <c r="N130" i="187"/>
  <c r="N131" i="187"/>
  <c r="N132" i="187"/>
  <c r="O132" i="187"/>
  <c r="Q135" i="75"/>
  <c r="N133" i="187"/>
  <c r="N134" i="187"/>
  <c r="N135" i="187"/>
  <c r="N136" i="187"/>
  <c r="N137" i="187"/>
  <c r="N138" i="187"/>
  <c r="N139" i="187"/>
  <c r="N140" i="187"/>
  <c r="N141" i="187"/>
  <c r="N142" i="187"/>
  <c r="N143" i="187"/>
  <c r="N144" i="187"/>
  <c r="N145" i="187"/>
  <c r="N146" i="187"/>
  <c r="N147" i="187"/>
  <c r="N148" i="187"/>
  <c r="N149" i="187"/>
  <c r="N150" i="187"/>
  <c r="N151" i="187"/>
  <c r="N152" i="187"/>
  <c r="N153" i="187"/>
  <c r="N154" i="187"/>
  <c r="N155" i="187"/>
  <c r="N156" i="187"/>
  <c r="N157" i="187"/>
  <c r="N158" i="187"/>
  <c r="N159" i="187"/>
  <c r="N160" i="187"/>
  <c r="N161" i="187"/>
  <c r="N162" i="187"/>
  <c r="N163" i="187"/>
  <c r="N164" i="187"/>
  <c r="N165" i="187"/>
  <c r="N166" i="187"/>
  <c r="N167" i="187"/>
  <c r="N168" i="187"/>
  <c r="N169" i="187"/>
  <c r="N170" i="187"/>
  <c r="N171" i="187"/>
  <c r="N172" i="187"/>
  <c r="O160" i="187"/>
  <c r="Q163" i="75"/>
  <c r="N173" i="187"/>
  <c r="N174" i="187"/>
  <c r="N175" i="187"/>
  <c r="N176" i="187"/>
  <c r="N177" i="187"/>
  <c r="N178" i="187"/>
  <c r="N179" i="187"/>
  <c r="N180" i="187"/>
  <c r="N181" i="187"/>
  <c r="N182" i="187"/>
  <c r="N183" i="187"/>
  <c r="N184" i="187"/>
  <c r="N185" i="187"/>
  <c r="N186" i="187"/>
  <c r="N187" i="187"/>
  <c r="N188" i="187"/>
  <c r="N189" i="187"/>
  <c r="N190" i="187"/>
  <c r="N191" i="187"/>
  <c r="N192" i="187"/>
  <c r="N193" i="187"/>
  <c r="N194" i="187"/>
  <c r="N195" i="187"/>
  <c r="N196" i="187"/>
  <c r="N197" i="187"/>
  <c r="N198" i="187"/>
  <c r="N199" i="187"/>
  <c r="N200" i="187"/>
  <c r="N201" i="187"/>
  <c r="N202" i="187"/>
  <c r="N203" i="187"/>
  <c r="N204" i="187"/>
  <c r="N205" i="187"/>
  <c r="N206" i="187"/>
  <c r="N207" i="187"/>
  <c r="N208" i="187"/>
  <c r="N209" i="187"/>
  <c r="N210" i="187"/>
  <c r="N211" i="187"/>
  <c r="N212" i="187"/>
  <c r="N213" i="187"/>
  <c r="N214" i="187"/>
  <c r="N215" i="187"/>
  <c r="N216" i="187"/>
  <c r="N217" i="187"/>
  <c r="N218" i="187"/>
  <c r="N219" i="187"/>
  <c r="N220" i="187"/>
  <c r="N221" i="187"/>
  <c r="N222" i="187"/>
  <c r="N223" i="187"/>
  <c r="N224" i="187"/>
  <c r="N225" i="187"/>
  <c r="N226" i="187"/>
  <c r="N227" i="187"/>
  <c r="N228" i="187"/>
  <c r="N229" i="187"/>
  <c r="N230" i="187"/>
  <c r="N231" i="187"/>
  <c r="N232" i="187"/>
  <c r="N233" i="187"/>
  <c r="N234" i="187"/>
  <c r="N235" i="187"/>
  <c r="N236" i="187"/>
  <c r="N237" i="187"/>
  <c r="N238" i="187"/>
  <c r="N239" i="187"/>
  <c r="N240" i="187"/>
  <c r="N241" i="187"/>
  <c r="N242" i="187"/>
  <c r="N243" i="187"/>
  <c r="N244" i="187"/>
  <c r="N245" i="187"/>
  <c r="N246" i="187"/>
  <c r="N247" i="187"/>
  <c r="N248" i="187"/>
  <c r="N249" i="187"/>
  <c r="N250" i="187"/>
  <c r="N251" i="187"/>
  <c r="N252" i="187"/>
  <c r="N253" i="187"/>
  <c r="N254" i="187"/>
  <c r="N255" i="187"/>
  <c r="N256" i="187"/>
  <c r="N257" i="187"/>
  <c r="N258" i="187"/>
  <c r="N259" i="187"/>
  <c r="N260" i="187"/>
  <c r="N261" i="187"/>
  <c r="N262" i="187"/>
  <c r="N263" i="187"/>
  <c r="N264" i="187"/>
  <c r="N265" i="187"/>
  <c r="N266" i="187"/>
  <c r="N267" i="187"/>
  <c r="N268" i="187"/>
  <c r="N269" i="187"/>
  <c r="N270" i="187"/>
  <c r="N271" i="187"/>
  <c r="N272" i="187"/>
  <c r="N273" i="187"/>
  <c r="N274" i="187"/>
  <c r="N275" i="187"/>
  <c r="N276" i="187"/>
  <c r="N277" i="187"/>
  <c r="N278" i="187"/>
  <c r="N279" i="187"/>
  <c r="N280" i="187"/>
  <c r="N281" i="187"/>
  <c r="N282" i="187"/>
  <c r="N283" i="187"/>
  <c r="N284" i="187"/>
  <c r="N285" i="187"/>
  <c r="N286" i="187"/>
  <c r="N287" i="187"/>
  <c r="N288" i="187"/>
  <c r="N289" i="187"/>
  <c r="N290" i="187"/>
  <c r="N291" i="187"/>
  <c r="N292" i="187"/>
  <c r="N293" i="187"/>
  <c r="N294" i="187"/>
  <c r="N295" i="187"/>
  <c r="N296" i="187"/>
  <c r="N297" i="187"/>
  <c r="N298" i="187"/>
  <c r="N299" i="187"/>
  <c r="N300" i="187"/>
  <c r="N301" i="187"/>
  <c r="N302" i="187"/>
  <c r="N303" i="187"/>
  <c r="N304" i="187"/>
  <c r="N305" i="187"/>
  <c r="N306" i="187"/>
  <c r="N307" i="187"/>
  <c r="N308" i="187"/>
  <c r="N309" i="187"/>
  <c r="N310" i="187"/>
  <c r="N311" i="187"/>
  <c r="N312" i="187"/>
  <c r="N313" i="187"/>
  <c r="N314" i="187"/>
  <c r="N315" i="187"/>
  <c r="N316" i="187"/>
  <c r="N317" i="187"/>
  <c r="N318" i="187"/>
  <c r="N319" i="187"/>
  <c r="N320" i="187"/>
  <c r="N321" i="187"/>
  <c r="N322" i="187"/>
  <c r="N323" i="187"/>
  <c r="N324" i="187"/>
  <c r="O324" i="187"/>
  <c r="Q324" i="75"/>
  <c r="N325" i="187"/>
  <c r="N326" i="187"/>
  <c r="N327" i="187"/>
  <c r="N328" i="187"/>
  <c r="N329" i="187"/>
  <c r="N330" i="187"/>
  <c r="N331" i="187"/>
  <c r="N332" i="187"/>
  <c r="N333" i="187"/>
  <c r="N334" i="187"/>
  <c r="N335" i="187"/>
  <c r="N336" i="187"/>
  <c r="N337" i="187"/>
  <c r="N338" i="187"/>
  <c r="N339" i="187"/>
  <c r="N340" i="187"/>
  <c r="N341" i="187"/>
  <c r="N342" i="187"/>
  <c r="N343" i="187"/>
  <c r="N344" i="187"/>
  <c r="N345" i="187"/>
  <c r="N346" i="187"/>
  <c r="N347" i="187"/>
  <c r="N348" i="187"/>
  <c r="N349" i="187"/>
  <c r="N350" i="187"/>
  <c r="N351" i="187"/>
  <c r="N352" i="187"/>
  <c r="N353" i="187"/>
  <c r="N354" i="187"/>
  <c r="N355" i="187"/>
  <c r="N356" i="187"/>
  <c r="O356" i="187"/>
  <c r="Q353" i="75"/>
  <c r="N357" i="187"/>
  <c r="N358" i="187"/>
  <c r="N359" i="187"/>
  <c r="N360" i="187"/>
  <c r="N361" i="187"/>
  <c r="N362" i="187"/>
  <c r="N363" i="187"/>
  <c r="N364" i="187"/>
  <c r="N365" i="187"/>
  <c r="N366" i="187"/>
  <c r="N367" i="187"/>
  <c r="N368" i="187"/>
  <c r="N369" i="187"/>
  <c r="N370" i="187"/>
  <c r="N371" i="187"/>
  <c r="N372" i="187"/>
  <c r="N373" i="187"/>
  <c r="N374" i="187"/>
  <c r="N375" i="187"/>
  <c r="N376" i="187"/>
  <c r="N377" i="187"/>
  <c r="N378" i="187"/>
  <c r="N379" i="187"/>
  <c r="N380" i="187"/>
  <c r="N381" i="187"/>
  <c r="N382" i="187"/>
  <c r="N383" i="187"/>
  <c r="N384" i="187"/>
  <c r="N385" i="187"/>
  <c r="N386" i="187"/>
  <c r="N387" i="187"/>
  <c r="N388" i="187"/>
  <c r="N389" i="187"/>
  <c r="N390" i="187"/>
  <c r="N391" i="187"/>
  <c r="N392" i="187"/>
  <c r="N393" i="187"/>
  <c r="N394" i="187"/>
  <c r="N395" i="187"/>
  <c r="N396" i="187"/>
  <c r="N397" i="187"/>
  <c r="N398" i="187"/>
  <c r="N399" i="187"/>
  <c r="N400" i="187"/>
  <c r="N401" i="187"/>
  <c r="N402" i="187"/>
  <c r="N403" i="187"/>
  <c r="N404" i="187"/>
  <c r="N405" i="187"/>
  <c r="N406" i="187"/>
  <c r="N407" i="187"/>
  <c r="N408" i="187"/>
  <c r="N409" i="187"/>
  <c r="N410" i="187"/>
  <c r="N411" i="187"/>
  <c r="N412" i="187"/>
  <c r="N413" i="187"/>
  <c r="N414" i="187"/>
  <c r="N415" i="187"/>
  <c r="N416" i="187"/>
  <c r="N417" i="187"/>
  <c r="N418" i="187"/>
  <c r="N419" i="187"/>
  <c r="N420" i="187"/>
  <c r="N421" i="187"/>
  <c r="N422" i="187"/>
  <c r="N423" i="187"/>
  <c r="N424" i="187"/>
  <c r="N425" i="187"/>
  <c r="N426" i="187"/>
  <c r="N427" i="187"/>
  <c r="N428" i="187"/>
  <c r="N429" i="187"/>
  <c r="N430" i="187"/>
  <c r="N431" i="187"/>
  <c r="N432" i="187"/>
  <c r="N433" i="187"/>
  <c r="N434" i="187"/>
  <c r="N435" i="187"/>
  <c r="N436" i="187"/>
  <c r="N437" i="187"/>
  <c r="N438" i="187"/>
  <c r="N439" i="187"/>
  <c r="N440" i="187"/>
  <c r="N441" i="187"/>
  <c r="N442" i="187"/>
  <c r="N443" i="187"/>
  <c r="N444" i="187"/>
  <c r="N445" i="187"/>
  <c r="N446" i="187"/>
  <c r="N447" i="187"/>
  <c r="N448" i="187"/>
  <c r="N449" i="187"/>
  <c r="N450" i="187"/>
  <c r="N451" i="187"/>
  <c r="N452" i="187"/>
  <c r="O452" i="187"/>
  <c r="Z38" i="71"/>
  <c r="AQ38" i="71"/>
  <c r="N453" i="187"/>
  <c r="N454" i="187"/>
  <c r="N455" i="187"/>
  <c r="N456" i="187"/>
  <c r="N457" i="187"/>
  <c r="N458" i="187"/>
  <c r="N459" i="187"/>
  <c r="N460" i="187"/>
  <c r="N461" i="187"/>
  <c r="N462" i="187"/>
  <c r="N463" i="187"/>
  <c r="N464" i="187"/>
  <c r="N465" i="187"/>
  <c r="N466" i="187"/>
  <c r="N467" i="187"/>
  <c r="N468" i="187"/>
  <c r="N469" i="187"/>
  <c r="N470" i="187"/>
  <c r="N471" i="187"/>
  <c r="N472" i="187"/>
  <c r="N473" i="187"/>
  <c r="N474" i="187"/>
  <c r="N475" i="187"/>
  <c r="N476" i="187"/>
  <c r="N477" i="187"/>
  <c r="N478" i="187"/>
  <c r="N479" i="187"/>
  <c r="N480" i="187"/>
  <c r="N481" i="187"/>
  <c r="N482" i="187"/>
  <c r="N483" i="187"/>
  <c r="N484" i="187"/>
  <c r="N485" i="187"/>
  <c r="N486" i="187"/>
  <c r="N487" i="187"/>
  <c r="N488" i="187"/>
  <c r="N489" i="187"/>
  <c r="N490" i="187"/>
  <c r="N491" i="187"/>
  <c r="N492" i="187"/>
  <c r="N493" i="187"/>
  <c r="N494" i="187"/>
  <c r="N495" i="187"/>
  <c r="N496" i="187"/>
  <c r="N497" i="187"/>
  <c r="N498" i="187"/>
  <c r="N499" i="187"/>
  <c r="N500" i="187"/>
  <c r="N501" i="187"/>
  <c r="N502" i="187"/>
  <c r="N503" i="187"/>
  <c r="N504" i="187"/>
  <c r="N505" i="187"/>
  <c r="N506" i="187"/>
  <c r="N507" i="187"/>
  <c r="N508" i="187"/>
  <c r="N509" i="187"/>
  <c r="N510" i="187"/>
  <c r="N511" i="187"/>
  <c r="N512" i="187"/>
  <c r="N513" i="187"/>
  <c r="N514" i="187"/>
  <c r="N515" i="187"/>
  <c r="N516" i="187"/>
  <c r="N517" i="187"/>
  <c r="N518" i="187"/>
  <c r="N519" i="187"/>
  <c r="N520" i="187"/>
  <c r="N521" i="187"/>
  <c r="N522" i="187"/>
  <c r="N523" i="187"/>
  <c r="N524" i="187"/>
  <c r="N525" i="187"/>
  <c r="N526" i="187"/>
  <c r="N527" i="187"/>
  <c r="N528" i="187"/>
  <c r="N529" i="187"/>
  <c r="N530" i="187"/>
  <c r="N531" i="187"/>
  <c r="N532" i="187"/>
  <c r="N533" i="187"/>
  <c r="N534" i="187"/>
  <c r="N535" i="187"/>
  <c r="N536" i="187"/>
  <c r="N537" i="187"/>
  <c r="N538" i="187"/>
  <c r="N539" i="187"/>
  <c r="N540" i="187"/>
  <c r="N541" i="187"/>
  <c r="N542" i="187"/>
  <c r="N543" i="187"/>
  <c r="N544" i="187"/>
  <c r="N545" i="187"/>
  <c r="N546" i="187"/>
  <c r="N547" i="187"/>
  <c r="N548" i="187"/>
  <c r="N549" i="187"/>
  <c r="N550" i="187"/>
  <c r="N551" i="187"/>
  <c r="N552" i="187"/>
  <c r="N553" i="187"/>
  <c r="N554" i="187"/>
  <c r="N555" i="187"/>
  <c r="N556" i="187"/>
  <c r="N557" i="187"/>
  <c r="N558" i="187"/>
  <c r="N559" i="187"/>
  <c r="N560" i="187"/>
  <c r="N561" i="187"/>
  <c r="N562" i="187"/>
  <c r="N563" i="187"/>
  <c r="N564" i="187"/>
  <c r="N565" i="187"/>
  <c r="N566" i="187"/>
  <c r="N567" i="187"/>
  <c r="N568" i="187"/>
  <c r="N569" i="187"/>
  <c r="N570" i="187"/>
  <c r="N571" i="187"/>
  <c r="N572" i="187"/>
  <c r="N573" i="187"/>
  <c r="N574" i="187"/>
  <c r="N575" i="187"/>
  <c r="N576" i="187"/>
  <c r="N577" i="187"/>
  <c r="N578" i="187"/>
  <c r="N579" i="187"/>
  <c r="N580" i="187"/>
  <c r="N581" i="187"/>
  <c r="N582" i="187"/>
  <c r="N583" i="187"/>
  <c r="N584" i="187"/>
  <c r="N585" i="187"/>
  <c r="N586" i="187"/>
  <c r="N587" i="187"/>
  <c r="N588" i="187"/>
  <c r="N589" i="187"/>
  <c r="N590" i="187"/>
  <c r="N7" i="187"/>
  <c r="I590" i="187"/>
  <c r="H590" i="187"/>
  <c r="I589" i="187"/>
  <c r="H589" i="187"/>
  <c r="I588" i="187"/>
  <c r="H588" i="187"/>
  <c r="I587" i="187"/>
  <c r="H587" i="187"/>
  <c r="I586" i="187"/>
  <c r="H586" i="187"/>
  <c r="I585" i="187"/>
  <c r="H585" i="187"/>
  <c r="I584" i="187"/>
  <c r="H584" i="187"/>
  <c r="I583" i="187"/>
  <c r="H583" i="187"/>
  <c r="I582" i="187"/>
  <c r="H582" i="187"/>
  <c r="I581" i="187"/>
  <c r="H581" i="187"/>
  <c r="I580" i="187"/>
  <c r="H580" i="187"/>
  <c r="I579" i="187"/>
  <c r="H579" i="187"/>
  <c r="I578" i="187"/>
  <c r="H578" i="187"/>
  <c r="I577" i="187"/>
  <c r="H577" i="187"/>
  <c r="I576" i="187"/>
  <c r="H576" i="187"/>
  <c r="I575" i="187"/>
  <c r="H575" i="187"/>
  <c r="I574" i="187"/>
  <c r="H574" i="187"/>
  <c r="I573" i="187"/>
  <c r="H573" i="187"/>
  <c r="I572" i="187"/>
  <c r="H572" i="187"/>
  <c r="I571" i="187"/>
  <c r="H571" i="187"/>
  <c r="I570" i="187"/>
  <c r="H570" i="187"/>
  <c r="I569" i="187"/>
  <c r="H569" i="187"/>
  <c r="I568" i="187"/>
  <c r="H568" i="187"/>
  <c r="I567" i="187"/>
  <c r="H567" i="187"/>
  <c r="I566" i="187"/>
  <c r="H566" i="187"/>
  <c r="I565" i="187"/>
  <c r="H565" i="187"/>
  <c r="I564" i="187"/>
  <c r="H564" i="187"/>
  <c r="I563" i="187"/>
  <c r="H563" i="187"/>
  <c r="I562" i="187"/>
  <c r="H562" i="187"/>
  <c r="I561" i="187"/>
  <c r="H561" i="187"/>
  <c r="I560" i="187"/>
  <c r="H560" i="187"/>
  <c r="I559" i="187"/>
  <c r="H559" i="187"/>
  <c r="I558" i="187"/>
  <c r="H558" i="187"/>
  <c r="I557" i="187"/>
  <c r="H557" i="187"/>
  <c r="I556" i="187"/>
  <c r="H556" i="187"/>
  <c r="I554" i="187"/>
  <c r="H554" i="187"/>
  <c r="I553" i="187"/>
  <c r="H553" i="187"/>
  <c r="I552" i="187"/>
  <c r="H552" i="187"/>
  <c r="O552" i="187"/>
  <c r="Z140" i="71"/>
  <c r="I551" i="187"/>
  <c r="H551" i="187"/>
  <c r="I550" i="187"/>
  <c r="H550" i="187"/>
  <c r="I549" i="187"/>
  <c r="H549" i="187"/>
  <c r="I548" i="187"/>
  <c r="H548" i="187"/>
  <c r="I547" i="187"/>
  <c r="H547" i="187"/>
  <c r="O547" i="187"/>
  <c r="Z135" i="71"/>
  <c r="AQ135" i="71"/>
  <c r="I546" i="187"/>
  <c r="H546" i="187"/>
  <c r="I545" i="187"/>
  <c r="H545" i="187"/>
  <c r="I544" i="187"/>
  <c r="H544" i="187"/>
  <c r="I543" i="187"/>
  <c r="H543" i="187"/>
  <c r="I542" i="187"/>
  <c r="H542" i="187"/>
  <c r="I541" i="187"/>
  <c r="H541" i="187"/>
  <c r="I540" i="187"/>
  <c r="H540" i="187"/>
  <c r="I539" i="187"/>
  <c r="H539" i="187"/>
  <c r="I538" i="187"/>
  <c r="H538" i="187"/>
  <c r="I537" i="187"/>
  <c r="H537" i="187"/>
  <c r="I536" i="187"/>
  <c r="H536" i="187"/>
  <c r="I535" i="187"/>
  <c r="H535" i="187"/>
  <c r="I534" i="187"/>
  <c r="H534" i="187"/>
  <c r="I533" i="187"/>
  <c r="H533" i="187"/>
  <c r="I532" i="187"/>
  <c r="H532" i="187"/>
  <c r="I531" i="187"/>
  <c r="H531" i="187"/>
  <c r="I530" i="187"/>
  <c r="H530" i="187"/>
  <c r="I529" i="187"/>
  <c r="H529" i="187"/>
  <c r="I528" i="187"/>
  <c r="H528" i="187"/>
  <c r="I527" i="187"/>
  <c r="H527" i="187"/>
  <c r="I526" i="187"/>
  <c r="H526" i="187"/>
  <c r="I525" i="187"/>
  <c r="H525" i="187"/>
  <c r="I524" i="187"/>
  <c r="H524" i="187"/>
  <c r="I523" i="187"/>
  <c r="H523" i="187"/>
  <c r="I522" i="187"/>
  <c r="H522" i="187"/>
  <c r="I521" i="187"/>
  <c r="H521" i="187"/>
  <c r="I520" i="187"/>
  <c r="H520" i="187"/>
  <c r="I519" i="187"/>
  <c r="H519" i="187"/>
  <c r="I518" i="187"/>
  <c r="H518" i="187"/>
  <c r="I517" i="187"/>
  <c r="H517" i="187"/>
  <c r="I516" i="187"/>
  <c r="H516" i="187"/>
  <c r="I515" i="187"/>
  <c r="H515" i="187"/>
  <c r="I514" i="187"/>
  <c r="H514" i="187"/>
  <c r="I513" i="187"/>
  <c r="H513" i="187"/>
  <c r="I512" i="187"/>
  <c r="H512" i="187"/>
  <c r="I511" i="187"/>
  <c r="H511" i="187"/>
  <c r="I510" i="187"/>
  <c r="H510" i="187"/>
  <c r="I509" i="187"/>
  <c r="H509" i="187"/>
  <c r="I508" i="187"/>
  <c r="H508" i="187"/>
  <c r="I507" i="187"/>
  <c r="H507" i="187"/>
  <c r="I506" i="187"/>
  <c r="H506" i="187"/>
  <c r="I505" i="187"/>
  <c r="H505" i="187"/>
  <c r="I504" i="187"/>
  <c r="H504" i="187"/>
  <c r="I503" i="187"/>
  <c r="H503" i="187"/>
  <c r="I502" i="187"/>
  <c r="H502" i="187"/>
  <c r="I501" i="187"/>
  <c r="H501" i="187"/>
  <c r="I500" i="187"/>
  <c r="H500" i="187"/>
  <c r="I499" i="187"/>
  <c r="H499" i="187"/>
  <c r="I498" i="187"/>
  <c r="H498" i="187"/>
  <c r="I497" i="187"/>
  <c r="H497" i="187"/>
  <c r="I496" i="187"/>
  <c r="H496" i="187"/>
  <c r="I495" i="187"/>
  <c r="H495" i="187"/>
  <c r="I494" i="187"/>
  <c r="H494" i="187"/>
  <c r="I493" i="187"/>
  <c r="H493" i="187"/>
  <c r="I492" i="187"/>
  <c r="H492" i="187"/>
  <c r="I491" i="187"/>
  <c r="H491" i="187"/>
  <c r="I490" i="187"/>
  <c r="H490" i="187"/>
  <c r="I489" i="187"/>
  <c r="H489" i="187"/>
  <c r="I488" i="187"/>
  <c r="H488" i="187"/>
  <c r="I487" i="187"/>
  <c r="H487" i="187"/>
  <c r="I486" i="187"/>
  <c r="H486" i="187"/>
  <c r="I485" i="187"/>
  <c r="H485" i="187"/>
  <c r="I484" i="187"/>
  <c r="H484" i="187"/>
  <c r="I483" i="187"/>
  <c r="H483" i="187"/>
  <c r="I482" i="187"/>
  <c r="H482" i="187"/>
  <c r="I481" i="187"/>
  <c r="H481" i="187"/>
  <c r="I480" i="187"/>
  <c r="H480" i="187"/>
  <c r="I479" i="187"/>
  <c r="H479" i="187"/>
  <c r="I478" i="187"/>
  <c r="H478" i="187"/>
  <c r="I477" i="187"/>
  <c r="H477" i="187"/>
  <c r="I476" i="187"/>
  <c r="H476" i="187"/>
  <c r="I475" i="187"/>
  <c r="H475" i="187"/>
  <c r="I474" i="187"/>
  <c r="H474" i="187"/>
  <c r="I473" i="187"/>
  <c r="H473" i="187"/>
  <c r="I472" i="187"/>
  <c r="H472" i="187"/>
  <c r="I471" i="187"/>
  <c r="H471" i="187"/>
  <c r="I470" i="187"/>
  <c r="H470" i="187"/>
  <c r="I469" i="187"/>
  <c r="H469" i="187"/>
  <c r="I468" i="187"/>
  <c r="H468" i="187"/>
  <c r="I467" i="187"/>
  <c r="H467" i="187"/>
  <c r="I466" i="187"/>
  <c r="H466" i="187"/>
  <c r="I465" i="187"/>
  <c r="H465" i="187"/>
  <c r="I464" i="187"/>
  <c r="H464" i="187"/>
  <c r="I463" i="187"/>
  <c r="H463" i="187"/>
  <c r="I462" i="187"/>
  <c r="H462" i="187"/>
  <c r="I461" i="187"/>
  <c r="H461" i="187"/>
  <c r="I460" i="187"/>
  <c r="H460" i="187"/>
  <c r="I459" i="187"/>
  <c r="H459" i="187"/>
  <c r="I458" i="187"/>
  <c r="H458" i="187"/>
  <c r="I457" i="187"/>
  <c r="H457" i="187"/>
  <c r="I456" i="187"/>
  <c r="H456" i="187"/>
  <c r="I455" i="187"/>
  <c r="H455" i="187"/>
  <c r="I454" i="187"/>
  <c r="H454" i="187"/>
  <c r="I453" i="187"/>
  <c r="H453" i="187"/>
  <c r="I452" i="187"/>
  <c r="H452" i="187"/>
  <c r="I451" i="187"/>
  <c r="H451" i="187"/>
  <c r="I450" i="187"/>
  <c r="H450" i="187"/>
  <c r="I449" i="187"/>
  <c r="H449" i="187"/>
  <c r="I448" i="187"/>
  <c r="H448" i="187"/>
  <c r="I447" i="187"/>
  <c r="H447" i="187"/>
  <c r="I446" i="187"/>
  <c r="H446" i="187"/>
  <c r="I445" i="187"/>
  <c r="H445" i="187"/>
  <c r="I444" i="187"/>
  <c r="H444" i="187"/>
  <c r="I443" i="187"/>
  <c r="H443" i="187"/>
  <c r="I442" i="187"/>
  <c r="H442" i="187"/>
  <c r="I441" i="187"/>
  <c r="H441" i="187"/>
  <c r="I440" i="187"/>
  <c r="H440" i="187"/>
  <c r="O440" i="187"/>
  <c r="Z26" i="71"/>
  <c r="I439" i="187"/>
  <c r="H439" i="187"/>
  <c r="I438" i="187"/>
  <c r="H438" i="187"/>
  <c r="I437" i="187"/>
  <c r="H437" i="187"/>
  <c r="I436" i="187"/>
  <c r="H436" i="187"/>
  <c r="I435" i="187"/>
  <c r="H435" i="187"/>
  <c r="I434" i="187"/>
  <c r="H434" i="187"/>
  <c r="I433" i="187"/>
  <c r="H433" i="187"/>
  <c r="I432" i="187"/>
  <c r="H432" i="187"/>
  <c r="I431" i="187"/>
  <c r="H431" i="187"/>
  <c r="I430" i="187"/>
  <c r="H430" i="187"/>
  <c r="I429" i="187"/>
  <c r="H429" i="187"/>
  <c r="I428" i="187"/>
  <c r="H428" i="187"/>
  <c r="I427" i="187"/>
  <c r="H427" i="187"/>
  <c r="I426" i="187"/>
  <c r="H426" i="187"/>
  <c r="I425" i="187"/>
  <c r="H425" i="187"/>
  <c r="I424" i="187"/>
  <c r="H424" i="187"/>
  <c r="I423" i="187"/>
  <c r="H423" i="187"/>
  <c r="O423" i="187"/>
  <c r="I422" i="187"/>
  <c r="H422" i="187"/>
  <c r="I421" i="187"/>
  <c r="H421" i="187"/>
  <c r="I420" i="187"/>
  <c r="H420" i="187"/>
  <c r="I419" i="187"/>
  <c r="H419" i="187"/>
  <c r="I418" i="187"/>
  <c r="H418" i="187"/>
  <c r="I417" i="187"/>
  <c r="H417" i="187"/>
  <c r="I416" i="187"/>
  <c r="H416" i="187"/>
  <c r="I415" i="187"/>
  <c r="H415" i="187"/>
  <c r="I414" i="187"/>
  <c r="H414" i="187"/>
  <c r="I413" i="187"/>
  <c r="H413" i="187"/>
  <c r="I412" i="187"/>
  <c r="H412" i="187"/>
  <c r="I411" i="187"/>
  <c r="H411" i="187"/>
  <c r="I410" i="187"/>
  <c r="H410" i="187"/>
  <c r="I409" i="187"/>
  <c r="H409" i="187"/>
  <c r="I408" i="187"/>
  <c r="H408" i="187"/>
  <c r="I407" i="187"/>
  <c r="H407" i="187"/>
  <c r="I406" i="187"/>
  <c r="H406" i="187"/>
  <c r="I405" i="187"/>
  <c r="H405" i="187"/>
  <c r="I404" i="187"/>
  <c r="H404" i="187"/>
  <c r="I403" i="187"/>
  <c r="H403" i="187"/>
  <c r="I402" i="187"/>
  <c r="H402" i="187"/>
  <c r="I401" i="187"/>
  <c r="H401" i="187"/>
  <c r="I400" i="187"/>
  <c r="H400" i="187"/>
  <c r="I399" i="187"/>
  <c r="H399" i="187"/>
  <c r="I398" i="187"/>
  <c r="H398" i="187"/>
  <c r="I397" i="187"/>
  <c r="H397" i="187"/>
  <c r="I396" i="187"/>
  <c r="H396" i="187"/>
  <c r="I395" i="187"/>
  <c r="H395" i="187"/>
  <c r="I394" i="187"/>
  <c r="H394" i="187"/>
  <c r="I393" i="187"/>
  <c r="H393" i="187"/>
  <c r="I392" i="187"/>
  <c r="H392" i="187"/>
  <c r="I391" i="187"/>
  <c r="H391" i="187"/>
  <c r="I390" i="187"/>
  <c r="H390" i="187"/>
  <c r="I389" i="187"/>
  <c r="H389" i="187"/>
  <c r="I388" i="187"/>
  <c r="H388" i="187"/>
  <c r="I387" i="187"/>
  <c r="H387" i="187"/>
  <c r="I386" i="187"/>
  <c r="H386" i="187"/>
  <c r="I385" i="187"/>
  <c r="H385" i="187"/>
  <c r="I384" i="187"/>
  <c r="H384" i="187"/>
  <c r="I383" i="187"/>
  <c r="H383" i="187"/>
  <c r="I382" i="187"/>
  <c r="H382" i="187"/>
  <c r="I381" i="187"/>
  <c r="H381" i="187"/>
  <c r="I380" i="187"/>
  <c r="H380" i="187"/>
  <c r="I379" i="187"/>
  <c r="H379" i="187"/>
  <c r="I378" i="187"/>
  <c r="H378" i="187"/>
  <c r="I377" i="187"/>
  <c r="H377" i="187"/>
  <c r="I376" i="187"/>
  <c r="H376" i="187"/>
  <c r="I375" i="187"/>
  <c r="H375" i="187"/>
  <c r="I374" i="187"/>
  <c r="H374" i="187"/>
  <c r="I373" i="187"/>
  <c r="H373" i="187"/>
  <c r="I372" i="187"/>
  <c r="H372" i="187"/>
  <c r="I371" i="187"/>
  <c r="H371" i="187"/>
  <c r="I370" i="187"/>
  <c r="H370" i="187"/>
  <c r="I369" i="187"/>
  <c r="H369" i="187"/>
  <c r="I368" i="187"/>
  <c r="H368" i="187"/>
  <c r="I367" i="187"/>
  <c r="H367" i="187"/>
  <c r="I366" i="187"/>
  <c r="H366" i="187"/>
  <c r="I365" i="187"/>
  <c r="H365" i="187"/>
  <c r="I364" i="187"/>
  <c r="H364" i="187"/>
  <c r="I363" i="187"/>
  <c r="H363" i="187"/>
  <c r="I362" i="187"/>
  <c r="H362" i="187"/>
  <c r="I361" i="187"/>
  <c r="H361" i="187"/>
  <c r="I360" i="187"/>
  <c r="H360" i="187"/>
  <c r="I359" i="187"/>
  <c r="H359" i="187"/>
  <c r="I358" i="187"/>
  <c r="H358" i="187"/>
  <c r="I357" i="187"/>
  <c r="H357" i="187"/>
  <c r="I356" i="187"/>
  <c r="H356" i="187"/>
  <c r="I355" i="187"/>
  <c r="H355" i="187"/>
  <c r="I354" i="187"/>
  <c r="H354" i="187"/>
  <c r="I353" i="187"/>
  <c r="H353" i="187"/>
  <c r="I352" i="187"/>
  <c r="H352" i="187"/>
  <c r="I351" i="187"/>
  <c r="H351" i="187"/>
  <c r="I350" i="187"/>
  <c r="H350" i="187"/>
  <c r="I349" i="187"/>
  <c r="H349" i="187"/>
  <c r="I348" i="187"/>
  <c r="H348" i="187"/>
  <c r="I347" i="187"/>
  <c r="H347" i="187"/>
  <c r="I346" i="187"/>
  <c r="H346" i="187"/>
  <c r="I345" i="187"/>
  <c r="H345" i="187"/>
  <c r="I344" i="187"/>
  <c r="H344" i="187"/>
  <c r="I343" i="187"/>
  <c r="H343" i="187"/>
  <c r="I342" i="187"/>
  <c r="H342" i="187"/>
  <c r="I341" i="187"/>
  <c r="H341" i="187"/>
  <c r="I340" i="187"/>
  <c r="H340" i="187"/>
  <c r="I339" i="187"/>
  <c r="H339" i="187"/>
  <c r="I338" i="187"/>
  <c r="H338" i="187"/>
  <c r="I337" i="187"/>
  <c r="H337" i="187"/>
  <c r="I336" i="187"/>
  <c r="H336" i="187"/>
  <c r="I335" i="187"/>
  <c r="H335" i="187"/>
  <c r="I334" i="187"/>
  <c r="H334" i="187"/>
  <c r="I333" i="187"/>
  <c r="H333" i="187"/>
  <c r="I332" i="187"/>
  <c r="H332" i="187"/>
  <c r="I331" i="187"/>
  <c r="H331" i="187"/>
  <c r="I330" i="187"/>
  <c r="H330" i="187"/>
  <c r="I329" i="187"/>
  <c r="H329" i="187"/>
  <c r="I328" i="187"/>
  <c r="H328" i="187"/>
  <c r="O328" i="187"/>
  <c r="Q328" i="75"/>
  <c r="I327" i="187"/>
  <c r="H327" i="187"/>
  <c r="I326" i="187"/>
  <c r="H326" i="187"/>
  <c r="I325" i="187"/>
  <c r="H325" i="187"/>
  <c r="I324" i="187"/>
  <c r="H324" i="187"/>
  <c r="I323" i="187"/>
  <c r="H323" i="187"/>
  <c r="I322" i="187"/>
  <c r="H322" i="187"/>
  <c r="I321" i="187"/>
  <c r="H321" i="187"/>
  <c r="I320" i="187"/>
  <c r="H320" i="187"/>
  <c r="I319" i="187"/>
  <c r="H319" i="187"/>
  <c r="I318" i="187"/>
  <c r="H318" i="187"/>
  <c r="I317" i="187"/>
  <c r="H317" i="187"/>
  <c r="I316" i="187"/>
  <c r="H316" i="187"/>
  <c r="I315" i="187"/>
  <c r="H315" i="187"/>
  <c r="I314" i="187"/>
  <c r="H314" i="187"/>
  <c r="I313" i="187"/>
  <c r="H313" i="187"/>
  <c r="I312" i="187"/>
  <c r="H312" i="187"/>
  <c r="I311" i="187"/>
  <c r="H311" i="187"/>
  <c r="I310" i="187"/>
  <c r="H310" i="187"/>
  <c r="I309" i="187"/>
  <c r="H309" i="187"/>
  <c r="I308" i="187"/>
  <c r="H308" i="187"/>
  <c r="I307" i="187"/>
  <c r="H307" i="187"/>
  <c r="I306" i="187"/>
  <c r="H306" i="187"/>
  <c r="I305" i="187"/>
  <c r="H305" i="187"/>
  <c r="I304" i="187"/>
  <c r="H304" i="187"/>
  <c r="I303" i="187"/>
  <c r="H303" i="187"/>
  <c r="I302" i="187"/>
  <c r="H302" i="187"/>
  <c r="I301" i="187"/>
  <c r="H301" i="187"/>
  <c r="I300" i="187"/>
  <c r="H300" i="187"/>
  <c r="I299" i="187"/>
  <c r="H299" i="187"/>
  <c r="I298" i="187"/>
  <c r="H298" i="187"/>
  <c r="I297" i="187"/>
  <c r="H297" i="187"/>
  <c r="I296" i="187"/>
  <c r="H296" i="187"/>
  <c r="I295" i="187"/>
  <c r="H295" i="187"/>
  <c r="I294" i="187"/>
  <c r="H294" i="187"/>
  <c r="I293" i="187"/>
  <c r="H293" i="187"/>
  <c r="I292" i="187"/>
  <c r="H292" i="187"/>
  <c r="I291" i="187"/>
  <c r="H291" i="187"/>
  <c r="I290" i="187"/>
  <c r="H290" i="187"/>
  <c r="I289" i="187"/>
  <c r="H289" i="187"/>
  <c r="I288" i="187"/>
  <c r="H288" i="187"/>
  <c r="I287" i="187"/>
  <c r="H287" i="187"/>
  <c r="I286" i="187"/>
  <c r="H286" i="187"/>
  <c r="I285" i="187"/>
  <c r="H285" i="187"/>
  <c r="I284" i="187"/>
  <c r="H284" i="187"/>
  <c r="I283" i="187"/>
  <c r="H283" i="187"/>
  <c r="I282" i="187"/>
  <c r="H282" i="187"/>
  <c r="I281" i="187"/>
  <c r="H281" i="187"/>
  <c r="I280" i="187"/>
  <c r="H280" i="187"/>
  <c r="I279" i="187"/>
  <c r="H279" i="187"/>
  <c r="I278" i="187"/>
  <c r="H278" i="187"/>
  <c r="I277" i="187"/>
  <c r="H277" i="187"/>
  <c r="I276" i="187"/>
  <c r="H276" i="187"/>
  <c r="I275" i="187"/>
  <c r="H275" i="187"/>
  <c r="I274" i="187"/>
  <c r="H274" i="187"/>
  <c r="I273" i="187"/>
  <c r="H273" i="187"/>
  <c r="I272" i="187"/>
  <c r="H272" i="187"/>
  <c r="I271" i="187"/>
  <c r="H271" i="187"/>
  <c r="I270" i="187"/>
  <c r="H270" i="187"/>
  <c r="I269" i="187"/>
  <c r="H269" i="187"/>
  <c r="I268" i="187"/>
  <c r="H268" i="187"/>
  <c r="I267" i="187"/>
  <c r="H267" i="187"/>
  <c r="I266" i="187"/>
  <c r="H266" i="187"/>
  <c r="I265" i="187"/>
  <c r="H265" i="187"/>
  <c r="I264" i="187"/>
  <c r="H264" i="187"/>
  <c r="I263" i="187"/>
  <c r="H263" i="187"/>
  <c r="I262" i="187"/>
  <c r="H262" i="187"/>
  <c r="I261" i="187"/>
  <c r="H261" i="187"/>
  <c r="I260" i="187"/>
  <c r="H260" i="187"/>
  <c r="I259" i="187"/>
  <c r="H259" i="187"/>
  <c r="I258" i="187"/>
  <c r="H258" i="187"/>
  <c r="I257" i="187"/>
  <c r="H257" i="187"/>
  <c r="I256" i="187"/>
  <c r="H256" i="187"/>
  <c r="I255" i="187"/>
  <c r="H255" i="187"/>
  <c r="I254" i="187"/>
  <c r="H254" i="187"/>
  <c r="I253" i="187"/>
  <c r="H253" i="187"/>
  <c r="I252" i="187"/>
  <c r="H252" i="187"/>
  <c r="I251" i="187"/>
  <c r="H251" i="187"/>
  <c r="I250" i="187"/>
  <c r="H250" i="187"/>
  <c r="I249" i="187"/>
  <c r="H249" i="187"/>
  <c r="I248" i="187"/>
  <c r="H248" i="187"/>
  <c r="I247" i="187"/>
  <c r="H247" i="187"/>
  <c r="I246" i="187"/>
  <c r="H246" i="187"/>
  <c r="I245" i="187"/>
  <c r="H245" i="187"/>
  <c r="I244" i="187"/>
  <c r="H244" i="187"/>
  <c r="I243" i="187"/>
  <c r="H243" i="187"/>
  <c r="I242" i="187"/>
  <c r="H242" i="187"/>
  <c r="I241" i="187"/>
  <c r="H241" i="187"/>
  <c r="I240" i="187"/>
  <c r="H240" i="187"/>
  <c r="I239" i="187"/>
  <c r="H239" i="187"/>
  <c r="I238" i="187"/>
  <c r="H238" i="187"/>
  <c r="I237" i="187"/>
  <c r="H237" i="187"/>
  <c r="I236" i="187"/>
  <c r="H236" i="187"/>
  <c r="I235" i="187"/>
  <c r="H235" i="187"/>
  <c r="I234" i="187"/>
  <c r="H234" i="187"/>
  <c r="I233" i="187"/>
  <c r="H233" i="187"/>
  <c r="I232" i="187"/>
  <c r="H232" i="187"/>
  <c r="I231" i="187"/>
  <c r="H231" i="187"/>
  <c r="I230" i="187"/>
  <c r="H230" i="187"/>
  <c r="I229" i="187"/>
  <c r="H229" i="187"/>
  <c r="I228" i="187"/>
  <c r="H228" i="187"/>
  <c r="I227" i="187"/>
  <c r="H227" i="187"/>
  <c r="I226" i="187"/>
  <c r="H226" i="187"/>
  <c r="I225" i="187"/>
  <c r="H225" i="187"/>
  <c r="I224" i="187"/>
  <c r="H224" i="187"/>
  <c r="I223" i="187"/>
  <c r="H223" i="187"/>
  <c r="I222" i="187"/>
  <c r="H222" i="187"/>
  <c r="I221" i="187"/>
  <c r="H221" i="187"/>
  <c r="I220" i="187"/>
  <c r="H220" i="187"/>
  <c r="I219" i="187"/>
  <c r="H219" i="187"/>
  <c r="I218" i="187"/>
  <c r="H218" i="187"/>
  <c r="I217" i="187"/>
  <c r="H217" i="187"/>
  <c r="I216" i="187"/>
  <c r="H216" i="187"/>
  <c r="I215" i="187"/>
  <c r="H215" i="187"/>
  <c r="I214" i="187"/>
  <c r="H214" i="187"/>
  <c r="I213" i="187"/>
  <c r="H213" i="187"/>
  <c r="I212" i="187"/>
  <c r="H212" i="187"/>
  <c r="I211" i="187"/>
  <c r="H211" i="187"/>
  <c r="I210" i="187"/>
  <c r="H210" i="187"/>
  <c r="I209" i="187"/>
  <c r="H209" i="187"/>
  <c r="I208" i="187"/>
  <c r="H208" i="187"/>
  <c r="I207" i="187"/>
  <c r="H207" i="187"/>
  <c r="I206" i="187"/>
  <c r="H206" i="187"/>
  <c r="I205" i="187"/>
  <c r="H205" i="187"/>
  <c r="I204" i="187"/>
  <c r="H204" i="187"/>
  <c r="I203" i="187"/>
  <c r="H203" i="187"/>
  <c r="I202" i="187"/>
  <c r="H202" i="187"/>
  <c r="I201" i="187"/>
  <c r="H201" i="187"/>
  <c r="I200" i="187"/>
  <c r="H200" i="187"/>
  <c r="I199" i="187"/>
  <c r="H199" i="187"/>
  <c r="I198" i="187"/>
  <c r="H198" i="187"/>
  <c r="I197" i="187"/>
  <c r="H197" i="187"/>
  <c r="I196" i="187"/>
  <c r="H196" i="187"/>
  <c r="I195" i="187"/>
  <c r="H195" i="187"/>
  <c r="I194" i="187"/>
  <c r="H194" i="187"/>
  <c r="I193" i="187"/>
  <c r="H193" i="187"/>
  <c r="I192" i="187"/>
  <c r="H192" i="187"/>
  <c r="I191" i="187"/>
  <c r="H191" i="187"/>
  <c r="I190" i="187"/>
  <c r="H190" i="187"/>
  <c r="I189" i="187"/>
  <c r="H189" i="187"/>
  <c r="I188" i="187"/>
  <c r="H188" i="187"/>
  <c r="I187" i="187"/>
  <c r="H187" i="187"/>
  <c r="I186" i="187"/>
  <c r="H186" i="187"/>
  <c r="I185" i="187"/>
  <c r="H185" i="187"/>
  <c r="I184" i="187"/>
  <c r="H184" i="187"/>
  <c r="I183" i="187"/>
  <c r="H183" i="187"/>
  <c r="I182" i="187"/>
  <c r="H182" i="187"/>
  <c r="I181" i="187"/>
  <c r="H181" i="187"/>
  <c r="I180" i="187"/>
  <c r="H180" i="187"/>
  <c r="I179" i="187"/>
  <c r="H179" i="187"/>
  <c r="I178" i="187"/>
  <c r="H178" i="187"/>
  <c r="I177" i="187"/>
  <c r="H177" i="187"/>
  <c r="I176" i="187"/>
  <c r="H176" i="187"/>
  <c r="I175" i="187"/>
  <c r="H175" i="187"/>
  <c r="I174" i="187"/>
  <c r="H174" i="187"/>
  <c r="I173" i="187"/>
  <c r="H173" i="187"/>
  <c r="I172" i="187"/>
  <c r="H172" i="187"/>
  <c r="I171" i="187"/>
  <c r="H171" i="187"/>
  <c r="I170" i="187"/>
  <c r="H170" i="187"/>
  <c r="I169" i="187"/>
  <c r="H169" i="187"/>
  <c r="I168" i="187"/>
  <c r="H168" i="187"/>
  <c r="I167" i="187"/>
  <c r="H167" i="187"/>
  <c r="I166" i="187"/>
  <c r="H166" i="187"/>
  <c r="I165" i="187"/>
  <c r="H165" i="187"/>
  <c r="I164" i="187"/>
  <c r="H164" i="187"/>
  <c r="I163" i="187"/>
  <c r="H163" i="187"/>
  <c r="I162" i="187"/>
  <c r="H162" i="187"/>
  <c r="I161" i="187"/>
  <c r="H161" i="187"/>
  <c r="I160" i="187"/>
  <c r="H160" i="187"/>
  <c r="I159" i="187"/>
  <c r="H159" i="187"/>
  <c r="I158" i="187"/>
  <c r="H158" i="187"/>
  <c r="I157" i="187"/>
  <c r="H157" i="187"/>
  <c r="I156" i="187"/>
  <c r="H156" i="187"/>
  <c r="I155" i="187"/>
  <c r="H155" i="187"/>
  <c r="I154" i="187"/>
  <c r="H154" i="187"/>
  <c r="I153" i="187"/>
  <c r="H153" i="187"/>
  <c r="I152" i="187"/>
  <c r="H152" i="187"/>
  <c r="I151" i="187"/>
  <c r="H151" i="187"/>
  <c r="I150" i="187"/>
  <c r="H150" i="187"/>
  <c r="I149" i="187"/>
  <c r="H149" i="187"/>
  <c r="I148" i="187"/>
  <c r="H148" i="187"/>
  <c r="I147" i="187"/>
  <c r="H147" i="187"/>
  <c r="I146" i="187"/>
  <c r="H146" i="187"/>
  <c r="I145" i="187"/>
  <c r="H145" i="187"/>
  <c r="I144" i="187"/>
  <c r="H144" i="187"/>
  <c r="I143" i="187"/>
  <c r="H143" i="187"/>
  <c r="I142" i="187"/>
  <c r="H142" i="187"/>
  <c r="I141" i="187"/>
  <c r="H141" i="187"/>
  <c r="I140" i="187"/>
  <c r="H140" i="187"/>
  <c r="I139" i="187"/>
  <c r="H139" i="187"/>
  <c r="I138" i="187"/>
  <c r="H138" i="187"/>
  <c r="I137" i="187"/>
  <c r="H137" i="187"/>
  <c r="I136" i="187"/>
  <c r="H136" i="187"/>
  <c r="I135" i="187"/>
  <c r="H135" i="187"/>
  <c r="I134" i="187"/>
  <c r="H134" i="187"/>
  <c r="I133" i="187"/>
  <c r="H133" i="187"/>
  <c r="I132" i="187"/>
  <c r="H132" i="187"/>
  <c r="I131" i="187"/>
  <c r="H131" i="187"/>
  <c r="I130" i="187"/>
  <c r="H130" i="187"/>
  <c r="I129" i="187"/>
  <c r="H129" i="187"/>
  <c r="I128" i="187"/>
  <c r="H128" i="187"/>
  <c r="I127" i="187"/>
  <c r="H127" i="187"/>
  <c r="I126" i="187"/>
  <c r="H126" i="187"/>
  <c r="I125" i="187"/>
  <c r="H125" i="187"/>
  <c r="I124" i="187"/>
  <c r="H124" i="187"/>
  <c r="I123" i="187"/>
  <c r="H123" i="187"/>
  <c r="I122" i="187"/>
  <c r="H122" i="187"/>
  <c r="I121" i="187"/>
  <c r="H121" i="187"/>
  <c r="I120" i="187"/>
  <c r="H120" i="187"/>
  <c r="I119" i="187"/>
  <c r="H119" i="187"/>
  <c r="I118" i="187"/>
  <c r="H118" i="187"/>
  <c r="I117" i="187"/>
  <c r="H117" i="187"/>
  <c r="I116" i="187"/>
  <c r="H116" i="187"/>
  <c r="I115" i="187"/>
  <c r="H115" i="187"/>
  <c r="I114" i="187"/>
  <c r="H114" i="187"/>
  <c r="I113" i="187"/>
  <c r="H113" i="187"/>
  <c r="I112" i="187"/>
  <c r="H112" i="187"/>
  <c r="I111" i="187"/>
  <c r="H111" i="187"/>
  <c r="I110" i="187"/>
  <c r="H110" i="187"/>
  <c r="I109" i="187"/>
  <c r="H109" i="187"/>
  <c r="I108" i="187"/>
  <c r="H108" i="187"/>
  <c r="I107" i="187"/>
  <c r="H107" i="187"/>
  <c r="I106" i="187"/>
  <c r="H106" i="187"/>
  <c r="I105" i="187"/>
  <c r="H105" i="187"/>
  <c r="I104" i="187"/>
  <c r="H104" i="187"/>
  <c r="I103" i="187"/>
  <c r="H103" i="187"/>
  <c r="I102" i="187"/>
  <c r="H102" i="187"/>
  <c r="I101" i="187"/>
  <c r="H101" i="187"/>
  <c r="I100" i="187"/>
  <c r="H100" i="187"/>
  <c r="I99" i="187"/>
  <c r="H99" i="187"/>
  <c r="I98" i="187"/>
  <c r="H98" i="187"/>
  <c r="I97" i="187"/>
  <c r="H97" i="187"/>
  <c r="I96" i="187"/>
  <c r="H96" i="187"/>
  <c r="I95" i="187"/>
  <c r="H95" i="187"/>
  <c r="I94" i="187"/>
  <c r="H94" i="187"/>
  <c r="I93" i="187"/>
  <c r="H93" i="187"/>
  <c r="I92" i="187"/>
  <c r="H92" i="187"/>
  <c r="I91" i="187"/>
  <c r="H91" i="187"/>
  <c r="I90" i="187"/>
  <c r="H90" i="187"/>
  <c r="I89" i="187"/>
  <c r="H89" i="187"/>
  <c r="I88" i="187"/>
  <c r="H88" i="187"/>
  <c r="I87" i="187"/>
  <c r="H87" i="187"/>
  <c r="I86" i="187"/>
  <c r="H86" i="187"/>
  <c r="I85" i="187"/>
  <c r="H85" i="187"/>
  <c r="I84" i="187"/>
  <c r="H84" i="187"/>
  <c r="I83" i="187"/>
  <c r="H83" i="187"/>
  <c r="I82" i="187"/>
  <c r="H82" i="187"/>
  <c r="I81" i="187"/>
  <c r="H81" i="187"/>
  <c r="I80" i="187"/>
  <c r="H80" i="187"/>
  <c r="I79" i="187"/>
  <c r="H79" i="187"/>
  <c r="I78" i="187"/>
  <c r="H78" i="187"/>
  <c r="I77" i="187"/>
  <c r="H77" i="187"/>
  <c r="I76" i="187"/>
  <c r="H76" i="187"/>
  <c r="I75" i="187"/>
  <c r="H75" i="187"/>
  <c r="I74" i="187"/>
  <c r="H74" i="187"/>
  <c r="I73" i="187"/>
  <c r="H73" i="187"/>
  <c r="I72" i="187"/>
  <c r="H72" i="187"/>
  <c r="I71" i="187"/>
  <c r="H71" i="187"/>
  <c r="I70" i="187"/>
  <c r="H70" i="187"/>
  <c r="I69" i="187"/>
  <c r="H69" i="187"/>
  <c r="I68" i="187"/>
  <c r="H68" i="187"/>
  <c r="I67" i="187"/>
  <c r="H67" i="187"/>
  <c r="I66" i="187"/>
  <c r="H66" i="187"/>
  <c r="I65" i="187"/>
  <c r="H65" i="187"/>
  <c r="I64" i="187"/>
  <c r="H64" i="187"/>
  <c r="I63" i="187"/>
  <c r="H63" i="187"/>
  <c r="I62" i="187"/>
  <c r="H62" i="187"/>
  <c r="I61" i="187"/>
  <c r="H61" i="187"/>
  <c r="I60" i="187"/>
  <c r="H60" i="187"/>
  <c r="I59" i="187"/>
  <c r="H59" i="187"/>
  <c r="I58" i="187"/>
  <c r="H58" i="187"/>
  <c r="I57" i="187"/>
  <c r="H57" i="187"/>
  <c r="I56" i="187"/>
  <c r="H56" i="187"/>
  <c r="I55" i="187"/>
  <c r="H55" i="187"/>
  <c r="I54" i="187"/>
  <c r="H54" i="187"/>
  <c r="I53" i="187"/>
  <c r="H53" i="187"/>
  <c r="I52" i="187"/>
  <c r="H52" i="187"/>
  <c r="I51" i="187"/>
  <c r="H51" i="187"/>
  <c r="I50" i="187"/>
  <c r="H50" i="187"/>
  <c r="I49" i="187"/>
  <c r="H49" i="187"/>
  <c r="I48" i="187"/>
  <c r="H48" i="187"/>
  <c r="I47" i="187"/>
  <c r="H47" i="187"/>
  <c r="I46" i="187"/>
  <c r="H46" i="187"/>
  <c r="I45" i="187"/>
  <c r="H45" i="187"/>
  <c r="I44" i="187"/>
  <c r="H44" i="187"/>
  <c r="I43" i="187"/>
  <c r="H43" i="187"/>
  <c r="I42" i="187"/>
  <c r="H42" i="187"/>
  <c r="I41" i="187"/>
  <c r="H41" i="187"/>
  <c r="I40" i="187"/>
  <c r="H40" i="187"/>
  <c r="I39" i="187"/>
  <c r="H39" i="187"/>
  <c r="I38" i="187"/>
  <c r="H38" i="187"/>
  <c r="I37" i="187"/>
  <c r="H37" i="187"/>
  <c r="I36" i="187"/>
  <c r="H36" i="187"/>
  <c r="I35" i="187"/>
  <c r="H35" i="187"/>
  <c r="I34" i="187"/>
  <c r="H34" i="187"/>
  <c r="I33" i="187"/>
  <c r="H33" i="187"/>
  <c r="I32" i="187"/>
  <c r="H32" i="187"/>
  <c r="I31" i="187"/>
  <c r="H31" i="187"/>
  <c r="I30" i="187"/>
  <c r="H30" i="187"/>
  <c r="I29" i="187"/>
  <c r="H29" i="187"/>
  <c r="I28" i="187"/>
  <c r="H28" i="187"/>
  <c r="I27" i="187"/>
  <c r="H27" i="187"/>
  <c r="I26" i="187"/>
  <c r="H26" i="187"/>
  <c r="I25" i="187"/>
  <c r="H25" i="187"/>
  <c r="I24" i="187"/>
  <c r="H24" i="187"/>
  <c r="I23" i="187"/>
  <c r="H23" i="187"/>
  <c r="I22" i="187"/>
  <c r="H22" i="187"/>
  <c r="I21" i="187"/>
  <c r="H21" i="187"/>
  <c r="I20" i="187"/>
  <c r="H20" i="187"/>
  <c r="I19" i="187"/>
  <c r="H19" i="187"/>
  <c r="I18" i="187"/>
  <c r="H18" i="187"/>
  <c r="I17" i="187"/>
  <c r="H17" i="187"/>
  <c r="I16" i="187"/>
  <c r="H16" i="187"/>
  <c r="I15" i="187"/>
  <c r="H15" i="187"/>
  <c r="I14" i="187"/>
  <c r="H14" i="187"/>
  <c r="I13" i="187"/>
  <c r="H13" i="187"/>
  <c r="I12" i="187"/>
  <c r="H12" i="187"/>
  <c r="I11" i="187"/>
  <c r="H11" i="187"/>
  <c r="I10" i="187"/>
  <c r="H10" i="187"/>
  <c r="I9" i="187"/>
  <c r="H9" i="187"/>
  <c r="I8" i="187"/>
  <c r="H8" i="187"/>
  <c r="I7" i="187"/>
  <c r="H7" i="187"/>
  <c r="O529" i="187"/>
  <c r="Z117" i="71"/>
  <c r="I22" i="75"/>
  <c r="I18" i="75"/>
  <c r="G94" i="71"/>
  <c r="F153" i="71"/>
  <c r="F121" i="71"/>
  <c r="G54" i="71"/>
  <c r="G30" i="71"/>
  <c r="G134" i="71"/>
  <c r="F9" i="71"/>
  <c r="O10" i="140"/>
  <c r="G14" i="71"/>
  <c r="G46" i="71"/>
  <c r="F81" i="71"/>
  <c r="F65" i="71"/>
  <c r="G38" i="71"/>
  <c r="G102" i="71"/>
  <c r="G158" i="71"/>
  <c r="G22" i="71"/>
  <c r="F113" i="71"/>
  <c r="G112" i="71"/>
  <c r="F105" i="71"/>
  <c r="G110" i="71"/>
  <c r="G62" i="71"/>
  <c r="F169" i="71"/>
  <c r="G78" i="71"/>
  <c r="G166" i="71"/>
  <c r="J166" i="71"/>
  <c r="G126" i="71"/>
  <c r="F107" i="71"/>
  <c r="F49" i="71"/>
  <c r="F137" i="71"/>
  <c r="F129" i="71"/>
  <c r="F57" i="71"/>
  <c r="F161" i="71"/>
  <c r="F145" i="71"/>
  <c r="F33" i="71"/>
  <c r="F25" i="71"/>
  <c r="F26" i="71"/>
  <c r="G142" i="71"/>
  <c r="F89" i="71"/>
  <c r="F97" i="71"/>
  <c r="F17" i="71"/>
  <c r="G86" i="71"/>
  <c r="F73" i="71"/>
  <c r="G70" i="71"/>
  <c r="G118" i="71"/>
  <c r="F41" i="71"/>
  <c r="G90" i="75"/>
  <c r="H90" i="75"/>
  <c r="G92" i="75"/>
  <c r="H92" i="75"/>
  <c r="G299" i="75"/>
  <c r="H299" i="75"/>
  <c r="G7" i="75"/>
  <c r="H7" i="75"/>
  <c r="G426" i="75"/>
  <c r="H426" i="75"/>
  <c r="G331" i="75"/>
  <c r="H331" i="75"/>
  <c r="G302" i="75"/>
  <c r="H302" i="75"/>
  <c r="G128" i="75"/>
  <c r="H128" i="75"/>
  <c r="G136" i="75"/>
  <c r="H136" i="75"/>
  <c r="G73" i="75"/>
  <c r="H73" i="75"/>
  <c r="G411" i="75"/>
  <c r="H411" i="75"/>
  <c r="G119" i="75"/>
  <c r="H119" i="75"/>
  <c r="G300" i="75"/>
  <c r="H300" i="75"/>
  <c r="G246" i="75"/>
  <c r="H246" i="75"/>
  <c r="G349" i="75"/>
  <c r="H349" i="75"/>
  <c r="G251" i="75"/>
  <c r="H251" i="75"/>
  <c r="G250" i="75"/>
  <c r="H250" i="75"/>
  <c r="G245" i="75"/>
  <c r="H245" i="75"/>
  <c r="G249" i="75"/>
  <c r="H249" i="75"/>
  <c r="G247" i="75"/>
  <c r="H247" i="75"/>
  <c r="G193" i="75"/>
  <c r="H193" i="75"/>
  <c r="G252" i="75"/>
  <c r="H252" i="75"/>
  <c r="G243" i="75"/>
  <c r="H243" i="75"/>
  <c r="G254" i="75"/>
  <c r="H254" i="75"/>
  <c r="G253" i="75"/>
  <c r="H253" i="75"/>
  <c r="G346" i="75"/>
  <c r="H346" i="75"/>
  <c r="G368" i="75"/>
  <c r="H368" i="75"/>
  <c r="G341" i="75"/>
  <c r="H341" i="75"/>
  <c r="G177" i="75"/>
  <c r="H177" i="75"/>
  <c r="G65" i="75"/>
  <c r="H65" i="75"/>
  <c r="G217" i="75"/>
  <c r="H217" i="75"/>
  <c r="G216" i="75"/>
  <c r="H216" i="75"/>
  <c r="G220" i="75"/>
  <c r="H220" i="75"/>
  <c r="G397" i="75"/>
  <c r="H397" i="75"/>
  <c r="G400" i="75"/>
  <c r="H400" i="75"/>
  <c r="G364" i="75"/>
  <c r="H364" i="75"/>
  <c r="G361" i="75"/>
  <c r="H361" i="75"/>
  <c r="G91" i="75"/>
  <c r="H91" i="75"/>
  <c r="G83" i="75"/>
  <c r="H83" i="75"/>
  <c r="G87" i="75"/>
  <c r="H87" i="75"/>
  <c r="G261" i="75"/>
  <c r="H261" i="75"/>
  <c r="G262" i="75"/>
  <c r="H262" i="75"/>
  <c r="G84" i="75"/>
  <c r="H84" i="75"/>
  <c r="G238" i="75"/>
  <c r="H238" i="75"/>
  <c r="G237" i="75"/>
  <c r="H237" i="75"/>
  <c r="G343" i="75"/>
  <c r="H343" i="75"/>
  <c r="G169" i="75"/>
  <c r="H169" i="75"/>
  <c r="G170" i="75"/>
  <c r="H170" i="75"/>
  <c r="G171" i="75"/>
  <c r="H171" i="75"/>
  <c r="G105" i="75"/>
  <c r="H105" i="75"/>
  <c r="G102" i="75"/>
  <c r="H102" i="75"/>
  <c r="G100" i="75"/>
  <c r="H100" i="75"/>
  <c r="G101" i="75"/>
  <c r="H101" i="75"/>
  <c r="G99" i="75"/>
  <c r="H99" i="75"/>
  <c r="G106" i="75"/>
  <c r="H106" i="75"/>
  <c r="G96" i="75"/>
  <c r="H96" i="75"/>
  <c r="G97" i="75"/>
  <c r="H97" i="75"/>
  <c r="G233" i="75"/>
  <c r="H233" i="75"/>
  <c r="G288" i="75"/>
  <c r="H288" i="75"/>
  <c r="G334" i="75"/>
  <c r="H334" i="75"/>
  <c r="G287" i="75"/>
  <c r="H287" i="75"/>
  <c r="G215" i="75"/>
  <c r="H215" i="75"/>
  <c r="G374" i="75"/>
  <c r="H374" i="75"/>
  <c r="G140" i="75"/>
  <c r="H140" i="75"/>
  <c r="G141" i="75"/>
  <c r="H141" i="75"/>
  <c r="G143" i="75"/>
  <c r="H143" i="75"/>
  <c r="G144" i="75"/>
  <c r="H144" i="75"/>
  <c r="G145" i="75"/>
  <c r="H145" i="75"/>
  <c r="G280" i="75"/>
  <c r="H280" i="75"/>
  <c r="G54" i="75"/>
  <c r="H54" i="75"/>
  <c r="G392" i="75"/>
  <c r="H392" i="75"/>
  <c r="G183" i="75"/>
  <c r="H183" i="75"/>
  <c r="G184" i="75"/>
  <c r="H184" i="75"/>
  <c r="G198" i="75"/>
  <c r="H198" i="75"/>
  <c r="G180" i="75"/>
  <c r="H180" i="75"/>
  <c r="G181" i="75"/>
  <c r="H181" i="75"/>
  <c r="G44" i="75"/>
  <c r="H44" i="75"/>
  <c r="G402" i="75"/>
  <c r="H402" i="75"/>
  <c r="G93" i="75"/>
  <c r="H93" i="75"/>
  <c r="G95" i="75"/>
  <c r="H95" i="75"/>
  <c r="G19" i="75"/>
  <c r="H19" i="75"/>
  <c r="G16" i="75"/>
  <c r="H16" i="75"/>
  <c r="G20" i="75"/>
  <c r="H20" i="75"/>
  <c r="G17" i="75"/>
  <c r="H17" i="75"/>
  <c r="G25" i="75"/>
  <c r="H25" i="75"/>
  <c r="G26" i="75"/>
  <c r="H26" i="75"/>
  <c r="G21" i="75"/>
  <c r="H21" i="75"/>
  <c r="G23" i="75"/>
  <c r="H23" i="75"/>
  <c r="G289" i="75"/>
  <c r="H289" i="75"/>
  <c r="G173" i="75"/>
  <c r="H173" i="75"/>
  <c r="G172" i="75"/>
  <c r="H172" i="75"/>
  <c r="G391" i="75"/>
  <c r="H391" i="75"/>
  <c r="G296" i="75"/>
  <c r="H296" i="75"/>
  <c r="G61" i="75"/>
  <c r="H61" i="75"/>
  <c r="G277" i="75"/>
  <c r="H277" i="75"/>
  <c r="G378" i="75"/>
  <c r="H378" i="75"/>
  <c r="G379" i="75"/>
  <c r="H379" i="75"/>
  <c r="G222" i="75"/>
  <c r="H222" i="75"/>
  <c r="G340" i="75"/>
  <c r="H340" i="75"/>
  <c r="G121" i="75"/>
  <c r="H121" i="75"/>
  <c r="G328" i="75"/>
  <c r="H328" i="75"/>
  <c r="G139" i="75"/>
  <c r="H139" i="75"/>
  <c r="G150" i="75"/>
  <c r="H150" i="75"/>
  <c r="G80" i="75"/>
  <c r="H80" i="75"/>
  <c r="G79" i="75"/>
  <c r="H79" i="75"/>
  <c r="G82" i="75"/>
  <c r="H82" i="75"/>
  <c r="G29" i="75"/>
  <c r="H29" i="75"/>
  <c r="G190" i="75"/>
  <c r="H190" i="75"/>
  <c r="G191" i="75"/>
  <c r="H191" i="75"/>
  <c r="G43" i="75"/>
  <c r="H43" i="75"/>
  <c r="G284" i="75"/>
  <c r="H284" i="75"/>
  <c r="G283" i="75"/>
  <c r="H283" i="75"/>
  <c r="G285" i="75"/>
  <c r="H285" i="75"/>
  <c r="G286" i="75"/>
  <c r="H286" i="75"/>
  <c r="G257" i="75"/>
  <c r="H257" i="75"/>
  <c r="G129" i="75"/>
  <c r="H129" i="75"/>
  <c r="G309" i="75"/>
  <c r="H309" i="75"/>
  <c r="G308" i="75"/>
  <c r="H308" i="75"/>
  <c r="G312" i="75"/>
  <c r="H312" i="75"/>
  <c r="G116" i="75"/>
  <c r="H116" i="75"/>
  <c r="G315" i="75"/>
  <c r="H315" i="75"/>
  <c r="G376" i="75"/>
  <c r="H376" i="75"/>
  <c r="G366" i="75"/>
  <c r="H366" i="75"/>
  <c r="G231" i="75"/>
  <c r="H231" i="75"/>
  <c r="G113" i="75"/>
  <c r="H113" i="75"/>
  <c r="G276" i="75"/>
  <c r="H276" i="75"/>
  <c r="G151" i="75"/>
  <c r="H151" i="75"/>
  <c r="G282" i="75"/>
  <c r="H282" i="75"/>
  <c r="G14" i="75"/>
  <c r="H14" i="75"/>
  <c r="G219" i="75"/>
  <c r="H219" i="75"/>
  <c r="G318" i="75"/>
  <c r="H318" i="75"/>
  <c r="G159" i="75"/>
  <c r="H159" i="75"/>
  <c r="G158" i="75"/>
  <c r="H158" i="75"/>
  <c r="G160" i="75"/>
  <c r="H160" i="75"/>
  <c r="G303" i="75"/>
  <c r="H303" i="75"/>
  <c r="G104" i="75"/>
  <c r="H104" i="75"/>
  <c r="G410" i="75"/>
  <c r="H410" i="75"/>
  <c r="G390" i="75"/>
  <c r="H390" i="75"/>
  <c r="G258" i="75"/>
  <c r="H258" i="75"/>
  <c r="G259" i="75"/>
  <c r="H259" i="75"/>
  <c r="G260" i="75"/>
  <c r="H260" i="75"/>
  <c r="G227" i="75"/>
  <c r="H227" i="75"/>
  <c r="G226" i="75"/>
  <c r="H226" i="75"/>
  <c r="G164" i="75"/>
  <c r="H164" i="75"/>
  <c r="G162" i="75"/>
  <c r="H162" i="75"/>
  <c r="G175" i="75"/>
  <c r="H175" i="75"/>
  <c r="G163" i="75"/>
  <c r="H163" i="75"/>
  <c r="G235" i="75"/>
  <c r="H235" i="75"/>
  <c r="G207" i="75"/>
  <c r="H207" i="75"/>
  <c r="G157" i="75"/>
  <c r="H157" i="75"/>
  <c r="G208" i="75"/>
  <c r="H208" i="75"/>
  <c r="G178" i="75"/>
  <c r="H178" i="75"/>
  <c r="G176" i="75"/>
  <c r="H176" i="75"/>
  <c r="G196" i="75"/>
  <c r="H196" i="75"/>
  <c r="G179" i="75"/>
  <c r="H179" i="75"/>
  <c r="G168" i="75"/>
  <c r="H168" i="75"/>
  <c r="G424" i="75"/>
  <c r="H424" i="75"/>
  <c r="G377" i="75"/>
  <c r="H377" i="75"/>
  <c r="G375" i="75"/>
  <c r="H375" i="75"/>
  <c r="G423" i="75"/>
  <c r="H423" i="75"/>
  <c r="G48" i="75"/>
  <c r="H48" i="75"/>
  <c r="G47" i="75"/>
  <c r="H47" i="75"/>
  <c r="G138" i="75"/>
  <c r="H138" i="75"/>
  <c r="G371" i="75"/>
  <c r="H371" i="75"/>
  <c r="G401" i="75"/>
  <c r="H401" i="75"/>
  <c r="G186" i="75"/>
  <c r="H186" i="75"/>
  <c r="G187" i="75"/>
  <c r="H187" i="75"/>
  <c r="G298" i="75"/>
  <c r="H298" i="75"/>
  <c r="G239" i="75"/>
  <c r="H239" i="75"/>
  <c r="G103" i="75"/>
  <c r="H103" i="75"/>
  <c r="G77" i="75"/>
  <c r="H77" i="75"/>
  <c r="G68" i="75"/>
  <c r="H68" i="75"/>
  <c r="G50" i="75"/>
  <c r="H50" i="75"/>
  <c r="G18" i="75"/>
  <c r="H18" i="75"/>
  <c r="G192" i="75"/>
  <c r="H192" i="75"/>
  <c r="G362" i="75"/>
  <c r="H362" i="75"/>
  <c r="G421" i="75"/>
  <c r="H421" i="75"/>
  <c r="G301" i="75"/>
  <c r="H301" i="75"/>
  <c r="G98" i="75"/>
  <c r="H98" i="75"/>
  <c r="G394" i="75"/>
  <c r="H394" i="75"/>
  <c r="G306" i="75"/>
  <c r="H306" i="75"/>
  <c r="G314" i="75"/>
  <c r="H314" i="75"/>
  <c r="G313" i="75"/>
  <c r="H313" i="75"/>
  <c r="G34" i="75"/>
  <c r="H34" i="75"/>
  <c r="G33" i="75"/>
  <c r="H33" i="75"/>
  <c r="G236" i="75"/>
  <c r="H236" i="75"/>
  <c r="G40" i="75"/>
  <c r="H40" i="75"/>
  <c r="G335" i="75"/>
  <c r="H335" i="75"/>
  <c r="G36" i="75"/>
  <c r="H36" i="75"/>
  <c r="G10" i="75"/>
  <c r="H10" i="75"/>
  <c r="G120" i="75"/>
  <c r="H120" i="75"/>
  <c r="G420" i="75"/>
  <c r="H420" i="75"/>
  <c r="G203" i="75"/>
  <c r="H203" i="75"/>
  <c r="G202" i="75"/>
  <c r="H202" i="75"/>
  <c r="G214" i="75"/>
  <c r="H214" i="75"/>
  <c r="G117" i="75"/>
  <c r="H117" i="75"/>
  <c r="G263" i="75"/>
  <c r="H263" i="75"/>
  <c r="G264" i="75"/>
  <c r="H264" i="75"/>
  <c r="G265" i="75"/>
  <c r="H265" i="75"/>
  <c r="G232" i="75"/>
  <c r="H232" i="75"/>
  <c r="G339" i="75"/>
  <c r="H339" i="75"/>
  <c r="G229" i="75"/>
  <c r="H229" i="75"/>
  <c r="G344" i="75"/>
  <c r="H344" i="75"/>
  <c r="G130" i="75"/>
  <c r="H130" i="75"/>
  <c r="G317" i="75"/>
  <c r="H317" i="75"/>
  <c r="G165" i="75"/>
  <c r="H165" i="75"/>
  <c r="G195" i="75"/>
  <c r="H195" i="75"/>
  <c r="G194" i="75"/>
  <c r="H194" i="75"/>
  <c r="G388" i="75"/>
  <c r="H388" i="75"/>
  <c r="G389" i="75"/>
  <c r="H389" i="75"/>
  <c r="G248" i="75"/>
  <c r="H248" i="75"/>
  <c r="G218" i="75"/>
  <c r="H218" i="75"/>
  <c r="G310" i="75"/>
  <c r="H310" i="75"/>
  <c r="G267" i="75"/>
  <c r="H267" i="75"/>
  <c r="G110" i="75"/>
  <c r="H110" i="75"/>
  <c r="G72" i="75"/>
  <c r="H72" i="75"/>
  <c r="G365" i="75"/>
  <c r="H365" i="75"/>
  <c r="G255" i="75"/>
  <c r="H255" i="75"/>
  <c r="G327" i="75"/>
  <c r="H327" i="75"/>
  <c r="G205" i="75"/>
  <c r="H205" i="75"/>
  <c r="G387" i="75"/>
  <c r="H387" i="75"/>
  <c r="G131" i="75"/>
  <c r="H131" i="75"/>
  <c r="G137" i="75"/>
  <c r="H137" i="75"/>
  <c r="G414" i="75"/>
  <c r="H414" i="75"/>
  <c r="G416" i="75"/>
  <c r="H416" i="75"/>
  <c r="G415" i="75"/>
  <c r="H415" i="75"/>
  <c r="G403" i="75"/>
  <c r="H403" i="75"/>
  <c r="G146" i="75"/>
  <c r="H146" i="75"/>
  <c r="G147" i="75"/>
  <c r="H147" i="75"/>
  <c r="G148" i="75"/>
  <c r="H148" i="75"/>
  <c r="G336" i="75"/>
  <c r="H336" i="75"/>
  <c r="G295" i="75"/>
  <c r="H295" i="75"/>
  <c r="G268" i="75"/>
  <c r="H268" i="75"/>
  <c r="G266" i="75"/>
  <c r="H266" i="75"/>
  <c r="G297" i="75"/>
  <c r="H297" i="75"/>
  <c r="G290" i="75"/>
  <c r="H290" i="75"/>
  <c r="G408" i="75"/>
  <c r="H408" i="75"/>
  <c r="G109" i="75"/>
  <c r="H109" i="75"/>
  <c r="G373" i="75"/>
  <c r="H373" i="75"/>
  <c r="G11" i="75"/>
  <c r="H11" i="75"/>
  <c r="G37" i="75"/>
  <c r="H37" i="75"/>
  <c r="G228" i="75"/>
  <c r="H228" i="75"/>
  <c r="G326" i="75"/>
  <c r="H326" i="75"/>
  <c r="G319" i="75"/>
  <c r="H319" i="75"/>
  <c r="G320" i="75"/>
  <c r="H320" i="75"/>
  <c r="G324" i="75"/>
  <c r="H324" i="75"/>
  <c r="G323" i="75"/>
  <c r="H323" i="75"/>
  <c r="G321" i="75"/>
  <c r="H321" i="75"/>
  <c r="G322" i="75"/>
  <c r="H322" i="75"/>
  <c r="G81" i="75"/>
  <c r="H81" i="75"/>
  <c r="G345" i="75"/>
  <c r="H345" i="75"/>
  <c r="G347" i="75"/>
  <c r="H347" i="75"/>
  <c r="G422" i="75"/>
  <c r="H422" i="75"/>
  <c r="G78" i="75"/>
  <c r="H78" i="75"/>
  <c r="G419" i="75"/>
  <c r="H419" i="75"/>
  <c r="G62" i="75"/>
  <c r="H62" i="75"/>
  <c r="G8" i="75"/>
  <c r="H8" i="75"/>
  <c r="G55" i="75"/>
  <c r="H55" i="75"/>
  <c r="G45" i="75"/>
  <c r="H45" i="75"/>
  <c r="G94" i="75"/>
  <c r="H94" i="75"/>
  <c r="G122" i="75"/>
  <c r="H122" i="75"/>
  <c r="G210" i="75"/>
  <c r="H210" i="75"/>
  <c r="G189" i="75"/>
  <c r="H189" i="75"/>
  <c r="G69" i="75"/>
  <c r="H69" i="75"/>
  <c r="G51" i="75"/>
  <c r="H51" i="75"/>
  <c r="G38" i="75"/>
  <c r="H38" i="75"/>
  <c r="G325" i="75"/>
  <c r="H325" i="75"/>
  <c r="G63" i="75"/>
  <c r="H63" i="75"/>
  <c r="G74" i="75"/>
  <c r="H74" i="75"/>
  <c r="G86" i="75"/>
  <c r="H86" i="75"/>
  <c r="G59" i="75"/>
  <c r="H59" i="75"/>
  <c r="G386" i="75"/>
  <c r="H386" i="75"/>
  <c r="G384" i="75"/>
  <c r="H384" i="75"/>
  <c r="G385" i="75"/>
  <c r="H385" i="75"/>
  <c r="G305" i="75"/>
  <c r="H305" i="75"/>
  <c r="G304" i="75"/>
  <c r="H304" i="75"/>
  <c r="G396" i="75"/>
  <c r="H396" i="75"/>
  <c r="G409" i="75"/>
  <c r="H409" i="75"/>
  <c r="G413" i="75"/>
  <c r="H413" i="75"/>
  <c r="G412" i="75"/>
  <c r="H412" i="75"/>
  <c r="G363" i="75"/>
  <c r="H363" i="75"/>
  <c r="G224" i="75"/>
  <c r="H224" i="75"/>
  <c r="G279" i="75"/>
  <c r="H279" i="75"/>
  <c r="G240" i="75"/>
  <c r="H240" i="75"/>
  <c r="G348" i="75"/>
  <c r="H348" i="75"/>
  <c r="G418" i="75"/>
  <c r="H418" i="75"/>
  <c r="G311" i="75"/>
  <c r="H311" i="75"/>
  <c r="G291" i="75"/>
  <c r="H291" i="75"/>
  <c r="G223" i="75"/>
  <c r="H223" i="75"/>
  <c r="G425" i="75"/>
  <c r="H425" i="75"/>
  <c r="G293" i="75"/>
  <c r="H293" i="75"/>
  <c r="G115" i="75"/>
  <c r="H115" i="75"/>
  <c r="G200" i="75"/>
  <c r="H200" i="75"/>
  <c r="G199" i="75"/>
  <c r="H199" i="75"/>
  <c r="G382" i="75"/>
  <c r="H382" i="75"/>
  <c r="G383" i="75"/>
  <c r="H383" i="75"/>
  <c r="G380" i="75"/>
  <c r="H380" i="75"/>
  <c r="G381" i="75"/>
  <c r="H381" i="75"/>
  <c r="G154" i="75"/>
  <c r="H154" i="75"/>
  <c r="G404" i="75"/>
  <c r="H404" i="75"/>
  <c r="G395" i="75"/>
  <c r="H395" i="75"/>
  <c r="G350" i="75"/>
  <c r="H350" i="75"/>
  <c r="G352" i="75"/>
  <c r="H352" i="75"/>
  <c r="G351" i="75"/>
  <c r="H351" i="75"/>
  <c r="G354" i="75"/>
  <c r="H354" i="75"/>
  <c r="G353" i="75"/>
  <c r="H353" i="75"/>
  <c r="G153" i="75"/>
  <c r="H153" i="75"/>
  <c r="G152" i="75"/>
  <c r="H152" i="75"/>
  <c r="G155" i="75"/>
  <c r="H155" i="75"/>
  <c r="G359" i="75"/>
  <c r="H359" i="75"/>
  <c r="G357" i="75"/>
  <c r="H357" i="75"/>
  <c r="G356" i="75"/>
  <c r="H356" i="75"/>
  <c r="G358" i="75"/>
  <c r="H358" i="75"/>
  <c r="G355" i="75"/>
  <c r="H355" i="75"/>
  <c r="G405" i="75"/>
  <c r="H405" i="75"/>
  <c r="G406" i="75"/>
  <c r="H406" i="75"/>
  <c r="G407" i="75"/>
  <c r="H407" i="75"/>
  <c r="G370" i="75"/>
  <c r="H370" i="75"/>
  <c r="G337" i="75"/>
  <c r="H337" i="75"/>
  <c r="G270" i="75"/>
  <c r="H270" i="75"/>
  <c r="G271" i="75"/>
  <c r="H271" i="75"/>
  <c r="G269" i="75"/>
  <c r="H269" i="75"/>
  <c r="G369" i="75"/>
  <c r="H369" i="75"/>
  <c r="G399" i="75"/>
  <c r="H399" i="75"/>
  <c r="G398" i="75"/>
  <c r="H398" i="75"/>
  <c r="G273" i="75"/>
  <c r="H273" i="75"/>
  <c r="G360" i="75"/>
  <c r="H360" i="75"/>
  <c r="G225" i="75"/>
  <c r="H225" i="75"/>
  <c r="G367" i="75"/>
  <c r="H367" i="75"/>
  <c r="G242" i="75"/>
  <c r="H242" i="75"/>
  <c r="G114" i="75"/>
  <c r="H114" i="75"/>
  <c r="G126" i="75"/>
  <c r="H126" i="75"/>
  <c r="G281" i="75"/>
  <c r="H281" i="75"/>
  <c r="G71" i="75"/>
  <c r="H71" i="75"/>
  <c r="G76" i="75"/>
  <c r="H76" i="75"/>
  <c r="G221" i="75"/>
  <c r="H221" i="75"/>
  <c r="G167" i="75"/>
  <c r="H167" i="75"/>
  <c r="G89" i="75"/>
  <c r="H89" i="75"/>
  <c r="G88" i="75"/>
  <c r="H88" i="75"/>
  <c r="G85" i="75"/>
  <c r="H85" i="75"/>
  <c r="G316" i="75"/>
  <c r="H316" i="75"/>
  <c r="G125" i="75"/>
  <c r="H125" i="75"/>
  <c r="G134" i="75"/>
  <c r="H134" i="75"/>
  <c r="G234" i="75"/>
  <c r="H234" i="75"/>
  <c r="G244" i="75"/>
  <c r="H244" i="75"/>
  <c r="G241" i="75"/>
  <c r="H241" i="75"/>
  <c r="G330" i="75"/>
  <c r="H330" i="75"/>
  <c r="G67" i="75"/>
  <c r="H67" i="75"/>
  <c r="G182" i="75"/>
  <c r="H182" i="75"/>
  <c r="G24" i="75"/>
  <c r="H24" i="75"/>
  <c r="G142" i="75"/>
  <c r="H142" i="75"/>
  <c r="G185" i="75"/>
  <c r="H185" i="75"/>
  <c r="G174" i="75"/>
  <c r="H174" i="75"/>
  <c r="G161" i="75"/>
  <c r="H161" i="75"/>
  <c r="G209" i="75"/>
  <c r="H209" i="75"/>
  <c r="G188" i="75"/>
  <c r="H188" i="75"/>
  <c r="G41" i="75"/>
  <c r="H41" i="75"/>
  <c r="G204" i="75"/>
  <c r="H204" i="75"/>
  <c r="G197" i="75"/>
  <c r="H197" i="75"/>
  <c r="G206" i="75"/>
  <c r="H206" i="75"/>
  <c r="G149" i="75"/>
  <c r="H149" i="75"/>
  <c r="G201" i="75"/>
  <c r="H201" i="75"/>
  <c r="G156" i="75"/>
  <c r="H156" i="75"/>
  <c r="G211" i="75"/>
  <c r="H211" i="75"/>
  <c r="G166" i="75"/>
  <c r="H166" i="75"/>
  <c r="G13" i="75"/>
  <c r="H13" i="75"/>
  <c r="G58" i="75"/>
  <c r="H58" i="75"/>
  <c r="G112" i="75"/>
  <c r="H112" i="75"/>
  <c r="G27" i="75"/>
  <c r="H27" i="75"/>
  <c r="G12" i="75"/>
  <c r="H12" i="75"/>
  <c r="G124" i="75"/>
  <c r="H124" i="75"/>
  <c r="G133" i="75"/>
  <c r="H133" i="75"/>
  <c r="G9" i="75"/>
  <c r="H9" i="75"/>
  <c r="G66" i="75"/>
  <c r="H66" i="75"/>
  <c r="G56" i="75"/>
  <c r="H56" i="75"/>
  <c r="G46" i="75"/>
  <c r="H46" i="75"/>
  <c r="G22" i="75"/>
  <c r="H22" i="75"/>
  <c r="G123" i="75"/>
  <c r="H123" i="75"/>
  <c r="G49" i="75"/>
  <c r="H49" i="75"/>
  <c r="G70" i="75"/>
  <c r="H70" i="75"/>
  <c r="G52" i="75"/>
  <c r="H52" i="75"/>
  <c r="G39" i="75"/>
  <c r="H39" i="75"/>
  <c r="G64" i="75"/>
  <c r="H64" i="75"/>
  <c r="G75" i="75"/>
  <c r="H75" i="75"/>
  <c r="G31" i="75"/>
  <c r="H31" i="75"/>
  <c r="G60" i="75"/>
  <c r="H60" i="75"/>
  <c r="G292" i="75"/>
  <c r="H292" i="75"/>
  <c r="G15" i="75"/>
  <c r="H15" i="75"/>
  <c r="G332" i="75"/>
  <c r="H332" i="75"/>
  <c r="G333" i="75"/>
  <c r="H333" i="75"/>
  <c r="G294" i="75"/>
  <c r="H294" i="75"/>
  <c r="G342" i="75"/>
  <c r="H342" i="75"/>
  <c r="G329" i="75"/>
  <c r="H329" i="75"/>
  <c r="G107" i="75"/>
  <c r="H107" i="75"/>
  <c r="G57" i="75"/>
  <c r="H57" i="75"/>
  <c r="G53" i="75"/>
  <c r="H53" i="75"/>
  <c r="G42" i="75"/>
  <c r="H42" i="75"/>
  <c r="G35" i="75"/>
  <c r="H35" i="75"/>
  <c r="G230" i="75"/>
  <c r="H230" i="75"/>
  <c r="G111" i="75"/>
  <c r="H111" i="75"/>
  <c r="G30" i="75"/>
  <c r="H30" i="75"/>
  <c r="G32" i="75"/>
  <c r="H32" i="75"/>
  <c r="G28" i="75"/>
  <c r="H28" i="75"/>
  <c r="G256" i="75"/>
  <c r="H256" i="75"/>
  <c r="G118" i="75"/>
  <c r="H118" i="75"/>
  <c r="G108" i="75"/>
  <c r="H108" i="75"/>
  <c r="G307" i="75"/>
  <c r="H307" i="75"/>
  <c r="G213" i="75"/>
  <c r="H213" i="75"/>
  <c r="G212" i="75"/>
  <c r="H212" i="75"/>
  <c r="G132" i="75"/>
  <c r="H132" i="75"/>
  <c r="G278" i="75"/>
  <c r="H278" i="75"/>
  <c r="G272" i="75"/>
  <c r="H272" i="75"/>
  <c r="G274" i="75"/>
  <c r="H274" i="75"/>
  <c r="G275" i="75"/>
  <c r="H275" i="75"/>
  <c r="G372" i="75"/>
  <c r="H372" i="75"/>
  <c r="G127" i="75"/>
  <c r="H127" i="75"/>
  <c r="G135" i="75"/>
  <c r="H135" i="75"/>
  <c r="G417" i="75"/>
  <c r="H417" i="75"/>
  <c r="G338" i="75"/>
  <c r="H338" i="75"/>
  <c r="G25" i="140"/>
  <c r="O7" i="75"/>
  <c r="O10" i="75"/>
  <c r="O8" i="75"/>
  <c r="O21" i="75"/>
  <c r="O19" i="75"/>
  <c r="O31" i="75"/>
  <c r="O27" i="75"/>
  <c r="O40" i="75"/>
  <c r="O49" i="75"/>
  <c r="O58" i="75"/>
  <c r="O65" i="75"/>
  <c r="O63" i="75"/>
  <c r="O66" i="75"/>
  <c r="O87" i="75"/>
  <c r="O83" i="75"/>
  <c r="O81" i="75"/>
  <c r="O79" i="75"/>
  <c r="O92" i="75"/>
  <c r="O101" i="75"/>
  <c r="O114" i="75"/>
  <c r="O110" i="75"/>
  <c r="O115" i="75"/>
  <c r="O117" i="75"/>
  <c r="O119" i="75"/>
  <c r="O125" i="75"/>
  <c r="O127" i="75"/>
  <c r="O131" i="75"/>
  <c r="O135" i="75"/>
  <c r="O143" i="75"/>
  <c r="O149" i="75"/>
  <c r="O151" i="75"/>
  <c r="O157" i="75"/>
  <c r="O159" i="75"/>
  <c r="O167" i="75"/>
  <c r="O175" i="75"/>
  <c r="O181" i="75"/>
  <c r="O183" i="75"/>
  <c r="O189" i="75"/>
  <c r="O191" i="75"/>
  <c r="O195" i="75"/>
  <c r="O197" i="75"/>
  <c r="O199" i="75"/>
  <c r="O207" i="75"/>
  <c r="O215" i="75"/>
  <c r="O221" i="75"/>
  <c r="O223" i="75"/>
  <c r="O227" i="75"/>
  <c r="O231" i="75"/>
  <c r="O237" i="75"/>
  <c r="O239" i="75"/>
  <c r="O247" i="75"/>
  <c r="O255" i="75"/>
  <c r="O261" i="75"/>
  <c r="O263" i="75"/>
  <c r="O271" i="75"/>
  <c r="O277" i="75"/>
  <c r="O279" i="75"/>
  <c r="O283" i="75"/>
  <c r="O287" i="75"/>
  <c r="O295" i="75"/>
  <c r="O301" i="75"/>
  <c r="O303" i="75"/>
  <c r="O307" i="75"/>
  <c r="O311" i="75"/>
  <c r="O319" i="75"/>
  <c r="O327" i="75"/>
  <c r="O335" i="75"/>
  <c r="O341" i="75"/>
  <c r="O343" i="75"/>
  <c r="O351" i="75"/>
  <c r="O355" i="75"/>
  <c r="O359" i="75"/>
  <c r="O363" i="75"/>
  <c r="O367" i="75"/>
  <c r="O373" i="75"/>
  <c r="O375" i="75"/>
  <c r="O379" i="75"/>
  <c r="O383" i="75"/>
  <c r="O389" i="75"/>
  <c r="O391" i="75"/>
  <c r="O399" i="75"/>
  <c r="F399" i="75"/>
  <c r="O405" i="75"/>
  <c r="O407" i="75"/>
  <c r="O413" i="75"/>
  <c r="O415" i="75"/>
  <c r="O423" i="75"/>
  <c r="O11" i="75"/>
  <c r="O22" i="75"/>
  <c r="O34" i="75"/>
  <c r="O43" i="75"/>
  <c r="O69" i="75"/>
  <c r="O72" i="75"/>
  <c r="O82" i="75"/>
  <c r="O80" i="75"/>
  <c r="O113" i="75"/>
  <c r="O116" i="75"/>
  <c r="O140" i="75"/>
  <c r="O148" i="75"/>
  <c r="O164" i="75"/>
  <c r="O168" i="75"/>
  <c r="O172" i="75"/>
  <c r="O180" i="75"/>
  <c r="O196" i="75"/>
  <c r="O204" i="75"/>
  <c r="O212" i="75"/>
  <c r="O220" i="75"/>
  <c r="O228" i="75"/>
  <c r="O236" i="75"/>
  <c r="O238" i="75"/>
  <c r="O244" i="75"/>
  <c r="O260" i="75"/>
  <c r="O284" i="75"/>
  <c r="O292" i="75"/>
  <c r="O302" i="75"/>
  <c r="O308" i="75"/>
  <c r="O324" i="75"/>
  <c r="O332" i="75"/>
  <c r="O348" i="75"/>
  <c r="O364" i="75"/>
  <c r="O366" i="75"/>
  <c r="O372" i="75"/>
  <c r="O388" i="75"/>
  <c r="F404" i="75"/>
  <c r="O412" i="75"/>
  <c r="O420" i="75"/>
  <c r="V7" i="71"/>
  <c r="H78" i="101"/>
  <c r="Z8" i="71"/>
  <c r="AR8" i="71"/>
  <c r="G7" i="69"/>
  <c r="G9" i="69"/>
  <c r="G15" i="69"/>
  <c r="Q172" i="75"/>
  <c r="Q54" i="75"/>
  <c r="G8" i="69"/>
  <c r="Q385" i="75"/>
  <c r="O150" i="187"/>
  <c r="Q153" i="75"/>
  <c r="O357" i="187"/>
  <c r="Q354" i="75"/>
  <c r="O325" i="187"/>
  <c r="Q325" i="75"/>
  <c r="O32" i="187"/>
  <c r="O474" i="187"/>
  <c r="Z62" i="71"/>
  <c r="O274" i="187"/>
  <c r="Q275" i="75"/>
  <c r="AS151" i="71"/>
  <c r="AS166" i="71"/>
  <c r="AS156" i="71"/>
  <c r="AS157" i="71"/>
  <c r="AS161" i="71"/>
  <c r="AS163" i="71"/>
  <c r="AS153" i="71"/>
  <c r="J8" i="64"/>
  <c r="J9" i="64"/>
  <c r="J10" i="64"/>
  <c r="J11" i="64"/>
  <c r="J12" i="64"/>
  <c r="J13" i="64"/>
  <c r="J14" i="64"/>
  <c r="J15" i="64"/>
  <c r="J16" i="64"/>
  <c r="J17" i="64"/>
  <c r="J18" i="64"/>
  <c r="J19" i="64"/>
  <c r="J20" i="64"/>
  <c r="J21" i="64"/>
  <c r="J22" i="64"/>
  <c r="J23" i="64"/>
  <c r="J24" i="64"/>
  <c r="J25" i="64"/>
  <c r="J26" i="64"/>
  <c r="J27" i="64"/>
  <c r="J28" i="64"/>
  <c r="J29" i="64"/>
  <c r="J30" i="64"/>
  <c r="J31" i="64"/>
  <c r="J32" i="64"/>
  <c r="J33" i="64"/>
  <c r="J34" i="64"/>
  <c r="E7" i="64"/>
  <c r="F7" i="64"/>
  <c r="E8" i="64"/>
  <c r="F8" i="64"/>
  <c r="E9" i="64"/>
  <c r="F9" i="64"/>
  <c r="E10" i="64"/>
  <c r="F10" i="64"/>
  <c r="E11" i="64"/>
  <c r="F11" i="64"/>
  <c r="E12" i="64"/>
  <c r="F12" i="64"/>
  <c r="E13" i="64"/>
  <c r="F13" i="64"/>
  <c r="E14" i="64"/>
  <c r="F14" i="64"/>
  <c r="E15" i="64"/>
  <c r="F15" i="64"/>
  <c r="E16" i="64"/>
  <c r="F16" i="64"/>
  <c r="E17" i="64"/>
  <c r="F17" i="64"/>
  <c r="E18" i="64"/>
  <c r="F18" i="64"/>
  <c r="E19" i="64"/>
  <c r="F19" i="64"/>
  <c r="E20" i="64"/>
  <c r="F20" i="64"/>
  <c r="E21" i="64"/>
  <c r="F21" i="64"/>
  <c r="E22" i="64"/>
  <c r="F22" i="64"/>
  <c r="E23" i="64"/>
  <c r="F23" i="64"/>
  <c r="E24" i="64"/>
  <c r="F24" i="64"/>
  <c r="E25" i="64"/>
  <c r="F25" i="64"/>
  <c r="E26" i="64"/>
  <c r="F26" i="64"/>
  <c r="E27" i="64"/>
  <c r="F27" i="64"/>
  <c r="E28" i="64"/>
  <c r="F28" i="64"/>
  <c r="E29" i="64"/>
  <c r="F29" i="64"/>
  <c r="E30" i="64"/>
  <c r="F30" i="64"/>
  <c r="E31" i="64"/>
  <c r="F31" i="64"/>
  <c r="E32" i="64"/>
  <c r="F32" i="64"/>
  <c r="E33" i="64"/>
  <c r="F33" i="64"/>
  <c r="E34" i="64"/>
  <c r="F34" i="64"/>
  <c r="E35" i="64"/>
  <c r="F35" i="64"/>
  <c r="AS148" i="71"/>
  <c r="D632" i="56"/>
  <c r="C632" i="56"/>
  <c r="G150" i="71"/>
  <c r="J150" i="71"/>
  <c r="H49" i="125"/>
  <c r="G49" i="125"/>
  <c r="H31" i="125"/>
  <c r="G31" i="125"/>
  <c r="H8" i="125"/>
  <c r="G9" i="125"/>
  <c r="H10" i="125"/>
  <c r="G10" i="125"/>
  <c r="H11" i="125"/>
  <c r="G11" i="125"/>
  <c r="H12" i="125"/>
  <c r="G12" i="125"/>
  <c r="H13" i="125"/>
  <c r="G13" i="125"/>
  <c r="H14" i="125"/>
  <c r="G14" i="125"/>
  <c r="H15" i="125"/>
  <c r="G15" i="125"/>
  <c r="H16" i="125"/>
  <c r="G16" i="125"/>
  <c r="H17" i="125"/>
  <c r="G17" i="125"/>
  <c r="H18" i="125"/>
  <c r="G18" i="125"/>
  <c r="H19" i="125"/>
  <c r="G19" i="125"/>
  <c r="H20" i="125"/>
  <c r="G20" i="125"/>
  <c r="H21" i="125"/>
  <c r="G21" i="125"/>
  <c r="H22" i="125"/>
  <c r="G22" i="125"/>
  <c r="H23" i="125"/>
  <c r="G23" i="125"/>
  <c r="H24" i="125"/>
  <c r="G24" i="125"/>
  <c r="H25" i="125"/>
  <c r="G25" i="125"/>
  <c r="H26" i="125"/>
  <c r="G26" i="125"/>
  <c r="H27" i="125"/>
  <c r="G27" i="125"/>
  <c r="H28" i="125"/>
  <c r="G28" i="125"/>
  <c r="H29" i="125"/>
  <c r="G29" i="125"/>
  <c r="H30" i="125"/>
  <c r="G30" i="125"/>
  <c r="H32" i="125"/>
  <c r="G32" i="125"/>
  <c r="H33" i="125"/>
  <c r="G33" i="125"/>
  <c r="H34" i="125"/>
  <c r="G34" i="125"/>
  <c r="H35" i="125"/>
  <c r="G35" i="125"/>
  <c r="H36" i="125"/>
  <c r="G36" i="125"/>
  <c r="H37" i="125"/>
  <c r="G37" i="125"/>
  <c r="H38" i="125"/>
  <c r="G38" i="125"/>
  <c r="H39" i="125"/>
  <c r="G39" i="125"/>
  <c r="H40" i="125"/>
  <c r="G40" i="125"/>
  <c r="H41" i="125"/>
  <c r="G41" i="125"/>
  <c r="H42" i="125"/>
  <c r="G42" i="125"/>
  <c r="H43" i="125"/>
  <c r="G43" i="125"/>
  <c r="H44" i="125"/>
  <c r="G44" i="125"/>
  <c r="H45" i="125"/>
  <c r="G45" i="125"/>
  <c r="H46" i="125"/>
  <c r="G46" i="125"/>
  <c r="H47" i="125"/>
  <c r="G47" i="125"/>
  <c r="H48" i="125"/>
  <c r="G48" i="125"/>
  <c r="H50" i="125"/>
  <c r="G50" i="125"/>
  <c r="H51" i="125"/>
  <c r="G51" i="125"/>
  <c r="H52" i="125"/>
  <c r="G52" i="125"/>
  <c r="H53" i="125"/>
  <c r="G53" i="125"/>
  <c r="H54" i="125"/>
  <c r="G54" i="125"/>
  <c r="H55" i="125"/>
  <c r="G55" i="125"/>
  <c r="H56" i="125"/>
  <c r="G56" i="125"/>
  <c r="H7" i="125"/>
  <c r="F7" i="124"/>
  <c r="F14" i="124"/>
  <c r="G7" i="124"/>
  <c r="G39" i="124"/>
  <c r="P9" i="144"/>
  <c r="P10" i="144"/>
  <c r="P11" i="144"/>
  <c r="P12" i="144"/>
  <c r="P13" i="144"/>
  <c r="P14" i="144"/>
  <c r="P15" i="144"/>
  <c r="P16" i="144"/>
  <c r="P17" i="144"/>
  <c r="P18" i="144"/>
  <c r="P19" i="144"/>
  <c r="P20" i="144"/>
  <c r="P21" i="144"/>
  <c r="P22" i="144"/>
  <c r="P23" i="144"/>
  <c r="P24" i="144"/>
  <c r="P25" i="144"/>
  <c r="P26" i="144"/>
  <c r="P27" i="144"/>
  <c r="P28" i="144"/>
  <c r="P29" i="144"/>
  <c r="P30" i="144"/>
  <c r="P31" i="144"/>
  <c r="P32" i="144"/>
  <c r="P33" i="144"/>
  <c r="P34" i="144"/>
  <c r="P35" i="144"/>
  <c r="P36" i="144"/>
  <c r="P37" i="144"/>
  <c r="P38" i="144"/>
  <c r="P39" i="144"/>
  <c r="P40" i="144"/>
  <c r="P41" i="144"/>
  <c r="P42" i="144"/>
  <c r="P43" i="144"/>
  <c r="P44" i="144"/>
  <c r="P45" i="144"/>
  <c r="P46" i="144"/>
  <c r="P47" i="144"/>
  <c r="P48" i="144"/>
  <c r="P49" i="144"/>
  <c r="P50" i="144"/>
  <c r="P51" i="144"/>
  <c r="P52" i="144"/>
  <c r="P53" i="144"/>
  <c r="P54" i="144"/>
  <c r="P55" i="144"/>
  <c r="P56" i="144"/>
  <c r="P57" i="144"/>
  <c r="P58" i="144"/>
  <c r="P59" i="144"/>
  <c r="P60" i="144"/>
  <c r="P61" i="144"/>
  <c r="P62" i="144"/>
  <c r="G27" i="170"/>
  <c r="P63" i="144"/>
  <c r="P64" i="144"/>
  <c r="P65" i="144"/>
  <c r="P66" i="144"/>
  <c r="P67" i="144"/>
  <c r="P68" i="144"/>
  <c r="P69" i="144"/>
  <c r="P70" i="144"/>
  <c r="P71" i="144"/>
  <c r="P72" i="144"/>
  <c r="P73" i="144"/>
  <c r="P74" i="144"/>
  <c r="P75" i="144"/>
  <c r="P76" i="144"/>
  <c r="P77" i="144"/>
  <c r="P78" i="144"/>
  <c r="P79" i="144"/>
  <c r="P80" i="144"/>
  <c r="P81" i="144"/>
  <c r="P82" i="144"/>
  <c r="P83" i="144"/>
  <c r="P84" i="144"/>
  <c r="P85" i="144"/>
  <c r="P86" i="144"/>
  <c r="P87" i="144"/>
  <c r="P88" i="144"/>
  <c r="P89" i="144"/>
  <c r="P90" i="144"/>
  <c r="P91" i="144"/>
  <c r="P92" i="144"/>
  <c r="P93" i="144"/>
  <c r="P94" i="144"/>
  <c r="P95" i="144"/>
  <c r="P96" i="144"/>
  <c r="P97" i="144"/>
  <c r="P98" i="144"/>
  <c r="P99" i="144"/>
  <c r="P100" i="144"/>
  <c r="P101" i="144"/>
  <c r="P102" i="144"/>
  <c r="P103" i="144"/>
  <c r="P104" i="144"/>
  <c r="P105" i="144"/>
  <c r="P106" i="144"/>
  <c r="P107" i="144"/>
  <c r="P108" i="144"/>
  <c r="P109" i="144"/>
  <c r="P110" i="144"/>
  <c r="P111" i="144"/>
  <c r="P112" i="144"/>
  <c r="P113" i="144"/>
  <c r="P114" i="144"/>
  <c r="P115" i="144"/>
  <c r="P116" i="144"/>
  <c r="P117" i="144"/>
  <c r="P118" i="144"/>
  <c r="P119" i="144"/>
  <c r="P120" i="144"/>
  <c r="P121" i="144"/>
  <c r="P122" i="144"/>
  <c r="P123" i="144"/>
  <c r="P124" i="144"/>
  <c r="P125" i="144"/>
  <c r="P126" i="144"/>
  <c r="P127" i="144"/>
  <c r="P128" i="144"/>
  <c r="P129" i="144"/>
  <c r="P130" i="144"/>
  <c r="P131" i="144"/>
  <c r="P132" i="144"/>
  <c r="P133" i="144"/>
  <c r="P134" i="144"/>
  <c r="P135" i="144"/>
  <c r="P136" i="144"/>
  <c r="P137" i="144"/>
  <c r="P138" i="144"/>
  <c r="P139" i="144"/>
  <c r="P140" i="144"/>
  <c r="P141" i="144"/>
  <c r="P142" i="144"/>
  <c r="P143" i="144"/>
  <c r="P144" i="144"/>
  <c r="P145" i="144"/>
  <c r="P146" i="144"/>
  <c r="P147" i="144"/>
  <c r="P148" i="144"/>
  <c r="P149" i="144"/>
  <c r="P150" i="144"/>
  <c r="P151" i="144"/>
  <c r="P152" i="144"/>
  <c r="P153" i="144"/>
  <c r="P154" i="144"/>
  <c r="P155" i="144"/>
  <c r="P156" i="144"/>
  <c r="P157" i="144"/>
  <c r="P158" i="144"/>
  <c r="P159" i="144"/>
  <c r="P160" i="144"/>
  <c r="P161" i="144"/>
  <c r="P162" i="144"/>
  <c r="P163" i="144"/>
  <c r="P164" i="144"/>
  <c r="P165" i="144"/>
  <c r="P166" i="144"/>
  <c r="P167" i="144"/>
  <c r="P168" i="144"/>
  <c r="P169" i="144"/>
  <c r="P170" i="144"/>
  <c r="P171" i="144"/>
  <c r="P172" i="144"/>
  <c r="P173" i="144"/>
  <c r="P174" i="144"/>
  <c r="P175" i="144"/>
  <c r="P176" i="144"/>
  <c r="P177" i="144"/>
  <c r="P178" i="144"/>
  <c r="P179" i="144"/>
  <c r="P180" i="144"/>
  <c r="P181" i="144"/>
  <c r="P182" i="144"/>
  <c r="P183" i="144"/>
  <c r="P184" i="144"/>
  <c r="P185" i="144"/>
  <c r="P186" i="144"/>
  <c r="P187" i="144"/>
  <c r="P188" i="144"/>
  <c r="P189" i="144"/>
  <c r="P190" i="144"/>
  <c r="P191" i="144"/>
  <c r="P192" i="144"/>
  <c r="P193" i="144"/>
  <c r="P194" i="144"/>
  <c r="P195" i="144"/>
  <c r="P196" i="144"/>
  <c r="P197" i="144"/>
  <c r="P198" i="144"/>
  <c r="P199" i="144"/>
  <c r="P200" i="144"/>
  <c r="P201" i="144"/>
  <c r="P202" i="144"/>
  <c r="P203" i="144"/>
  <c r="P204" i="144"/>
  <c r="P205" i="144"/>
  <c r="P206" i="144"/>
  <c r="P207" i="144"/>
  <c r="P208" i="144"/>
  <c r="P209" i="144"/>
  <c r="P210" i="144"/>
  <c r="P211" i="144"/>
  <c r="P212" i="144"/>
  <c r="P213" i="144"/>
  <c r="P214" i="144"/>
  <c r="P215" i="144"/>
  <c r="G9" i="170"/>
  <c r="P216" i="144"/>
  <c r="P217" i="144"/>
  <c r="P218" i="144"/>
  <c r="E8" i="170"/>
  <c r="P219" i="144"/>
  <c r="P220" i="144"/>
  <c r="P221" i="144"/>
  <c r="P222" i="144"/>
  <c r="P223" i="144"/>
  <c r="P224" i="144"/>
  <c r="P225" i="144"/>
  <c r="P226" i="144"/>
  <c r="P227" i="144"/>
  <c r="P228" i="144"/>
  <c r="P229" i="144"/>
  <c r="P230" i="144"/>
  <c r="P231" i="144"/>
  <c r="P232" i="144"/>
  <c r="P233" i="144"/>
  <c r="P234" i="144"/>
  <c r="P235" i="144"/>
  <c r="P236" i="144"/>
  <c r="P237" i="144"/>
  <c r="P238" i="144"/>
  <c r="P239" i="144"/>
  <c r="P240" i="144"/>
  <c r="P241" i="144"/>
  <c r="P242" i="144"/>
  <c r="P243" i="144"/>
  <c r="P244" i="144"/>
  <c r="P245" i="144"/>
  <c r="P246" i="144"/>
  <c r="P247" i="144"/>
  <c r="P248" i="144"/>
  <c r="P249" i="144"/>
  <c r="P250" i="144"/>
  <c r="P251" i="144"/>
  <c r="P252" i="144"/>
  <c r="P253" i="144"/>
  <c r="P254" i="144"/>
  <c r="P255" i="144"/>
  <c r="P256" i="144"/>
  <c r="P257" i="144"/>
  <c r="P258" i="144"/>
  <c r="P259" i="144"/>
  <c r="P260" i="144"/>
  <c r="P261" i="144"/>
  <c r="P262" i="144"/>
  <c r="P263" i="144"/>
  <c r="P264" i="144"/>
  <c r="P265" i="144"/>
  <c r="P266" i="144"/>
  <c r="P267" i="144"/>
  <c r="P268" i="144"/>
  <c r="P269" i="144"/>
  <c r="P270" i="144"/>
  <c r="P271" i="144"/>
  <c r="P272" i="144"/>
  <c r="P273" i="144"/>
  <c r="P274" i="144"/>
  <c r="P275" i="144"/>
  <c r="P276" i="144"/>
  <c r="P277" i="144"/>
  <c r="P278" i="144"/>
  <c r="P279" i="144"/>
  <c r="P280" i="144"/>
  <c r="P281" i="144"/>
  <c r="P282" i="144"/>
  <c r="P283" i="144"/>
  <c r="P284" i="144"/>
  <c r="P285" i="144"/>
  <c r="P286" i="144"/>
  <c r="P287" i="144"/>
  <c r="P288" i="144"/>
  <c r="P289" i="144"/>
  <c r="P290" i="144"/>
  <c r="P291" i="144"/>
  <c r="P292" i="144"/>
  <c r="P293" i="144"/>
  <c r="P294" i="144"/>
  <c r="P295" i="144"/>
  <c r="P296" i="144"/>
  <c r="P297" i="144"/>
  <c r="P298" i="144"/>
  <c r="P299" i="144"/>
  <c r="P300" i="144"/>
  <c r="P301" i="144"/>
  <c r="P302" i="144"/>
  <c r="P303" i="144"/>
  <c r="P304" i="144"/>
  <c r="P305" i="144"/>
  <c r="P306" i="144"/>
  <c r="P307" i="144"/>
  <c r="P308" i="144"/>
  <c r="P309" i="144"/>
  <c r="P310" i="144"/>
  <c r="P311" i="144"/>
  <c r="P312" i="144"/>
  <c r="P313" i="144"/>
  <c r="P314" i="144"/>
  <c r="P315" i="144"/>
  <c r="P316" i="144"/>
  <c r="P317" i="144"/>
  <c r="P318" i="144"/>
  <c r="P319" i="144"/>
  <c r="P320" i="144"/>
  <c r="P321" i="144"/>
  <c r="P322" i="144"/>
  <c r="P323" i="144"/>
  <c r="P324" i="144"/>
  <c r="P325" i="144"/>
  <c r="P326" i="144"/>
  <c r="P327" i="144"/>
  <c r="P328" i="144"/>
  <c r="P329" i="144"/>
  <c r="P330" i="144"/>
  <c r="P331" i="144"/>
  <c r="P332" i="144"/>
  <c r="P333" i="144"/>
  <c r="P334" i="144"/>
  <c r="P335" i="144"/>
  <c r="P336" i="144"/>
  <c r="P337" i="144"/>
  <c r="P338" i="144"/>
  <c r="P339" i="144"/>
  <c r="P340" i="144"/>
  <c r="P341" i="144"/>
  <c r="P342" i="144"/>
  <c r="P343" i="144"/>
  <c r="P344" i="144"/>
  <c r="P345" i="144"/>
  <c r="P346" i="144"/>
  <c r="P347" i="144"/>
  <c r="P348" i="144"/>
  <c r="P349" i="144"/>
  <c r="P350" i="144"/>
  <c r="P351" i="144"/>
  <c r="P352" i="144"/>
  <c r="P353" i="144"/>
  <c r="P354" i="144"/>
  <c r="P355" i="144"/>
  <c r="P356" i="144"/>
  <c r="P357" i="144"/>
  <c r="P358" i="144"/>
  <c r="P359" i="144"/>
  <c r="P360" i="144"/>
  <c r="P361" i="144"/>
  <c r="P362" i="144"/>
  <c r="P363" i="144"/>
  <c r="P364" i="144"/>
  <c r="P365" i="144"/>
  <c r="P366" i="144"/>
  <c r="P367" i="144"/>
  <c r="P368" i="144"/>
  <c r="P369" i="144"/>
  <c r="P370" i="144"/>
  <c r="P371" i="144"/>
  <c r="P372" i="144"/>
  <c r="P373" i="144"/>
  <c r="P374" i="144"/>
  <c r="P375" i="144"/>
  <c r="P376" i="144"/>
  <c r="P377" i="144"/>
  <c r="P378" i="144"/>
  <c r="P379" i="144"/>
  <c r="P380" i="144"/>
  <c r="P381" i="144"/>
  <c r="P382" i="144"/>
  <c r="P383" i="144"/>
  <c r="P384" i="144"/>
  <c r="P385" i="144"/>
  <c r="P386" i="144"/>
  <c r="P387" i="144"/>
  <c r="P388" i="144"/>
  <c r="P389" i="144"/>
  <c r="P390" i="144"/>
  <c r="P391" i="144"/>
  <c r="P392" i="144"/>
  <c r="P393" i="144"/>
  <c r="P394" i="144"/>
  <c r="P395" i="144"/>
  <c r="P396" i="144"/>
  <c r="P397" i="144"/>
  <c r="P398" i="144"/>
  <c r="P399" i="144"/>
  <c r="P400" i="144"/>
  <c r="P401" i="144"/>
  <c r="P402" i="144"/>
  <c r="P403" i="144"/>
  <c r="P404" i="144"/>
  <c r="P405" i="144"/>
  <c r="P406" i="144"/>
  <c r="P407" i="144"/>
  <c r="P408" i="144"/>
  <c r="P409" i="144"/>
  <c r="P410" i="144"/>
  <c r="P411" i="144"/>
  <c r="P412" i="144"/>
  <c r="P413" i="144"/>
  <c r="P414" i="144"/>
  <c r="P415" i="144"/>
  <c r="P416" i="144"/>
  <c r="P417" i="144"/>
  <c r="P418" i="144"/>
  <c r="P419" i="144"/>
  <c r="P420" i="144"/>
  <c r="P421" i="144"/>
  <c r="P422" i="144"/>
  <c r="P423" i="144"/>
  <c r="P424" i="144"/>
  <c r="P425" i="144"/>
  <c r="P426" i="144"/>
  <c r="P427" i="144"/>
  <c r="P428" i="144"/>
  <c r="P429" i="144"/>
  <c r="P430" i="144"/>
  <c r="P431" i="144"/>
  <c r="P432" i="144"/>
  <c r="P433" i="144"/>
  <c r="P434" i="144"/>
  <c r="P435" i="144"/>
  <c r="P436" i="144"/>
  <c r="P437" i="144"/>
  <c r="P438" i="144"/>
  <c r="P439" i="144"/>
  <c r="P440" i="144"/>
  <c r="P441" i="144"/>
  <c r="P442" i="144"/>
  <c r="P443" i="144"/>
  <c r="P444" i="144"/>
  <c r="P445" i="144"/>
  <c r="P446" i="144"/>
  <c r="P447" i="144"/>
  <c r="P448" i="144"/>
  <c r="P449" i="144"/>
  <c r="P450" i="144"/>
  <c r="P451" i="144"/>
  <c r="P452" i="144"/>
  <c r="P453" i="144"/>
  <c r="P454" i="144"/>
  <c r="P455" i="144"/>
  <c r="P456" i="144"/>
  <c r="P457" i="144"/>
  <c r="P458" i="144"/>
  <c r="P459" i="144"/>
  <c r="P460" i="144"/>
  <c r="P461" i="144"/>
  <c r="P462" i="144"/>
  <c r="P463" i="144"/>
  <c r="P464" i="144"/>
  <c r="P465" i="144"/>
  <c r="P466" i="144"/>
  <c r="P467" i="144"/>
  <c r="P468" i="144"/>
  <c r="P469" i="144"/>
  <c r="P470" i="144"/>
  <c r="P471" i="144"/>
  <c r="P472" i="144"/>
  <c r="P473" i="144"/>
  <c r="P474" i="144"/>
  <c r="P475" i="144"/>
  <c r="P476" i="144"/>
  <c r="P477" i="144"/>
  <c r="P478" i="144"/>
  <c r="P479" i="144"/>
  <c r="P480" i="144"/>
  <c r="P481" i="144"/>
  <c r="P482" i="144"/>
  <c r="P483" i="144"/>
  <c r="P484" i="144"/>
  <c r="P485" i="144"/>
  <c r="P486" i="144"/>
  <c r="P487" i="144"/>
  <c r="P488" i="144"/>
  <c r="P489" i="144"/>
  <c r="P490" i="144"/>
  <c r="P491" i="144"/>
  <c r="P492" i="144"/>
  <c r="P493" i="144"/>
  <c r="P494" i="144"/>
  <c r="P495" i="144"/>
  <c r="P496" i="144"/>
  <c r="P497" i="144"/>
  <c r="P498" i="144"/>
  <c r="P499" i="144"/>
  <c r="P500" i="144"/>
  <c r="P501" i="144"/>
  <c r="P502" i="144"/>
  <c r="P503" i="144"/>
  <c r="P504" i="144"/>
  <c r="P505" i="144"/>
  <c r="P506" i="144"/>
  <c r="P507" i="144"/>
  <c r="P508" i="144"/>
  <c r="P509" i="144"/>
  <c r="P510" i="144"/>
  <c r="P511" i="144"/>
  <c r="P512" i="144"/>
  <c r="P513" i="144"/>
  <c r="P514" i="144"/>
  <c r="P515" i="144"/>
  <c r="P516" i="144"/>
  <c r="P517" i="144"/>
  <c r="P518" i="144"/>
  <c r="P519" i="144"/>
  <c r="P520" i="144"/>
  <c r="P521" i="144"/>
  <c r="P522" i="144"/>
  <c r="P523" i="144"/>
  <c r="P524" i="144"/>
  <c r="P525" i="144"/>
  <c r="P526" i="144"/>
  <c r="P527" i="144"/>
  <c r="P528" i="144"/>
  <c r="P529" i="144"/>
  <c r="P530" i="144"/>
  <c r="P531" i="144"/>
  <c r="P532" i="144"/>
  <c r="P533" i="144"/>
  <c r="P534" i="144"/>
  <c r="P535" i="144"/>
  <c r="P536" i="144"/>
  <c r="P537" i="144"/>
  <c r="P538" i="144"/>
  <c r="P539" i="144"/>
  <c r="P540" i="144"/>
  <c r="P541" i="144"/>
  <c r="P542" i="144"/>
  <c r="P543" i="144"/>
  <c r="P544" i="144"/>
  <c r="P545" i="144"/>
  <c r="P546" i="144"/>
  <c r="P547" i="144"/>
  <c r="P548" i="144"/>
  <c r="P549" i="144"/>
  <c r="P550" i="144"/>
  <c r="E25" i="170"/>
  <c r="P551" i="144"/>
  <c r="P552" i="144"/>
  <c r="P553" i="144"/>
  <c r="P554" i="144"/>
  <c r="P555" i="144"/>
  <c r="P556" i="144"/>
  <c r="P557" i="144"/>
  <c r="P558" i="144"/>
  <c r="P559" i="144"/>
  <c r="P560" i="144"/>
  <c r="P561" i="144"/>
  <c r="P562" i="144"/>
  <c r="P563" i="144"/>
  <c r="P564" i="144"/>
  <c r="P565" i="144"/>
  <c r="P566" i="144"/>
  <c r="P567" i="144"/>
  <c r="P568" i="144"/>
  <c r="P569" i="144"/>
  <c r="P570" i="144"/>
  <c r="P571" i="144"/>
  <c r="P572" i="144"/>
  <c r="P573" i="144"/>
  <c r="P574" i="144"/>
  <c r="P575" i="144"/>
  <c r="P576" i="144"/>
  <c r="P577" i="144"/>
  <c r="P578" i="144"/>
  <c r="P579" i="144"/>
  <c r="P580" i="144"/>
  <c r="P581" i="144"/>
  <c r="P582" i="144"/>
  <c r="P583" i="144"/>
  <c r="P584" i="144"/>
  <c r="P585" i="144"/>
  <c r="P586" i="144"/>
  <c r="P587" i="144"/>
  <c r="P588" i="144"/>
  <c r="P589" i="144"/>
  <c r="P590" i="144"/>
  <c r="P591" i="144"/>
  <c r="P592" i="144"/>
  <c r="P593" i="144"/>
  <c r="P594" i="144"/>
  <c r="P595" i="144"/>
  <c r="P596" i="144"/>
  <c r="P597" i="144"/>
  <c r="P598" i="144"/>
  <c r="P599" i="144"/>
  <c r="P600" i="144"/>
  <c r="P601" i="144"/>
  <c r="P602" i="144"/>
  <c r="P603" i="144"/>
  <c r="P604" i="144"/>
  <c r="P605" i="144"/>
  <c r="P606" i="144"/>
  <c r="P607" i="144"/>
  <c r="P608" i="144"/>
  <c r="P609" i="144"/>
  <c r="P610" i="144"/>
  <c r="P611" i="144"/>
  <c r="P612" i="144"/>
  <c r="P613" i="144"/>
  <c r="P614" i="144"/>
  <c r="P615" i="144"/>
  <c r="P616" i="144"/>
  <c r="P617" i="144"/>
  <c r="P618" i="144"/>
  <c r="P619" i="144"/>
  <c r="P620" i="144"/>
  <c r="P621" i="144"/>
  <c r="P622" i="144"/>
  <c r="P623" i="144"/>
  <c r="P624" i="144"/>
  <c r="P625" i="144"/>
  <c r="P626" i="144"/>
  <c r="P627" i="144"/>
  <c r="P628" i="144"/>
  <c r="P629" i="144"/>
  <c r="P630" i="144"/>
  <c r="P631" i="144"/>
  <c r="P632" i="144"/>
  <c r="P633" i="144"/>
  <c r="P634" i="144"/>
  <c r="P635" i="144"/>
  <c r="P636" i="144"/>
  <c r="P637" i="144"/>
  <c r="P638" i="144"/>
  <c r="P639" i="144"/>
  <c r="P640" i="144"/>
  <c r="P641" i="144"/>
  <c r="P642" i="144"/>
  <c r="P643" i="144"/>
  <c r="P644" i="144"/>
  <c r="P645" i="144"/>
  <c r="P646" i="144"/>
  <c r="P647" i="144"/>
  <c r="P648" i="144"/>
  <c r="P649" i="144"/>
  <c r="P650" i="144"/>
  <c r="P651" i="144"/>
  <c r="P652" i="144"/>
  <c r="P653" i="144"/>
  <c r="P654" i="144"/>
  <c r="P655" i="144"/>
  <c r="P656" i="144"/>
  <c r="P657" i="144"/>
  <c r="P658" i="144"/>
  <c r="P659" i="144"/>
  <c r="P660" i="144"/>
  <c r="P661" i="144"/>
  <c r="P662" i="144"/>
  <c r="P663" i="144"/>
  <c r="P664" i="144"/>
  <c r="P665" i="144"/>
  <c r="P666" i="144"/>
  <c r="P667" i="144"/>
  <c r="P668" i="144"/>
  <c r="P669" i="144"/>
  <c r="P670" i="144"/>
  <c r="P671" i="144"/>
  <c r="P672" i="144"/>
  <c r="P673" i="144"/>
  <c r="P674" i="144"/>
  <c r="P675" i="144"/>
  <c r="P676" i="144"/>
  <c r="P677" i="144"/>
  <c r="P678" i="144"/>
  <c r="P679" i="144"/>
  <c r="P680" i="144"/>
  <c r="P681" i="144"/>
  <c r="P682" i="144"/>
  <c r="P683" i="144"/>
  <c r="P684" i="144"/>
  <c r="P685" i="144"/>
  <c r="P686" i="144"/>
  <c r="P687" i="144"/>
  <c r="P688" i="144"/>
  <c r="P689" i="144"/>
  <c r="P690" i="144"/>
  <c r="P691" i="144"/>
  <c r="P692" i="144"/>
  <c r="P693" i="144"/>
  <c r="P694" i="144"/>
  <c r="P695" i="144"/>
  <c r="P696" i="144"/>
  <c r="P697" i="144"/>
  <c r="P698" i="144"/>
  <c r="P699" i="144"/>
  <c r="P700" i="144"/>
  <c r="P701" i="144"/>
  <c r="P702" i="144"/>
  <c r="P703" i="144"/>
  <c r="P704" i="144"/>
  <c r="P705" i="144"/>
  <c r="P706" i="144"/>
  <c r="P707" i="144"/>
  <c r="P708" i="144"/>
  <c r="P709" i="144"/>
  <c r="P710" i="144"/>
  <c r="P711" i="144"/>
  <c r="P712" i="144"/>
  <c r="P713" i="144"/>
  <c r="P714" i="144"/>
  <c r="P715" i="144"/>
  <c r="P716" i="144"/>
  <c r="P717" i="144"/>
  <c r="P718" i="144"/>
  <c r="P719" i="144"/>
  <c r="P720" i="144"/>
  <c r="P721" i="144"/>
  <c r="P722" i="144"/>
  <c r="P723" i="144"/>
  <c r="P724" i="144"/>
  <c r="P725" i="144"/>
  <c r="P726" i="144"/>
  <c r="P727" i="144"/>
  <c r="P728" i="144"/>
  <c r="P729" i="144"/>
  <c r="P730" i="144"/>
  <c r="P731" i="144"/>
  <c r="P732" i="144"/>
  <c r="P733" i="144"/>
  <c r="P734" i="144"/>
  <c r="P735" i="144"/>
  <c r="P736" i="144"/>
  <c r="P737" i="144"/>
  <c r="P738" i="144"/>
  <c r="P739" i="144"/>
  <c r="P740" i="144"/>
  <c r="P741" i="144"/>
  <c r="P742" i="144"/>
  <c r="P743" i="144"/>
  <c r="P744" i="144"/>
  <c r="P745" i="144"/>
  <c r="P746" i="144"/>
  <c r="P747" i="144"/>
  <c r="P748" i="144"/>
  <c r="P749" i="144"/>
  <c r="P750" i="144"/>
  <c r="P751" i="144"/>
  <c r="P752" i="144"/>
  <c r="P753" i="144"/>
  <c r="P754" i="144"/>
  <c r="P755" i="144"/>
  <c r="P756" i="144"/>
  <c r="P757" i="144"/>
  <c r="P758" i="144"/>
  <c r="P759" i="144"/>
  <c r="P760" i="144"/>
  <c r="P761" i="144"/>
  <c r="P762" i="144"/>
  <c r="P763" i="144"/>
  <c r="P764" i="144"/>
  <c r="P765" i="144"/>
  <c r="P766" i="144"/>
  <c r="P767" i="144"/>
  <c r="P768" i="144"/>
  <c r="P769" i="144"/>
  <c r="P770" i="144"/>
  <c r="P771" i="144"/>
  <c r="P772" i="144"/>
  <c r="P773" i="144"/>
  <c r="P774" i="144"/>
  <c r="P775" i="144"/>
  <c r="P776" i="144"/>
  <c r="P777" i="144"/>
  <c r="P778" i="144"/>
  <c r="P779" i="144"/>
  <c r="P780" i="144"/>
  <c r="P781" i="144"/>
  <c r="P782" i="144"/>
  <c r="P783" i="144"/>
  <c r="P784" i="144"/>
  <c r="P785" i="144"/>
  <c r="P786" i="144"/>
  <c r="P787" i="144"/>
  <c r="P788" i="144"/>
  <c r="P789" i="144"/>
  <c r="P790" i="144"/>
  <c r="P791" i="144"/>
  <c r="P792" i="144"/>
  <c r="P793" i="144"/>
  <c r="P794" i="144"/>
  <c r="P795" i="144"/>
  <c r="P796" i="144"/>
  <c r="P797" i="144"/>
  <c r="P798" i="144"/>
  <c r="P799" i="144"/>
  <c r="P800" i="144"/>
  <c r="P801" i="144"/>
  <c r="P802" i="144"/>
  <c r="P803" i="144"/>
  <c r="P804" i="144"/>
  <c r="P805" i="144"/>
  <c r="P806" i="144"/>
  <c r="P807" i="144"/>
  <c r="P808" i="144"/>
  <c r="P809" i="144"/>
  <c r="P810" i="144"/>
  <c r="P811" i="144"/>
  <c r="P812" i="144"/>
  <c r="P813" i="144"/>
  <c r="P814" i="144"/>
  <c r="P815" i="144"/>
  <c r="P816" i="144"/>
  <c r="P817" i="144"/>
  <c r="P818" i="144"/>
  <c r="P819" i="144"/>
  <c r="P820" i="144"/>
  <c r="P821" i="144"/>
  <c r="P822" i="144"/>
  <c r="P823" i="144"/>
  <c r="P824" i="144"/>
  <c r="P825" i="144"/>
  <c r="P826" i="144"/>
  <c r="P827" i="144"/>
  <c r="P828" i="144"/>
  <c r="P829" i="144"/>
  <c r="P830" i="144"/>
  <c r="P831" i="144"/>
  <c r="P832" i="144"/>
  <c r="P833" i="144"/>
  <c r="P834" i="144"/>
  <c r="P835" i="144"/>
  <c r="P836" i="144"/>
  <c r="P837" i="144"/>
  <c r="P838" i="144"/>
  <c r="P839" i="144"/>
  <c r="P840" i="144"/>
  <c r="P841" i="144"/>
  <c r="P842" i="144"/>
  <c r="P843" i="144"/>
  <c r="P844" i="144"/>
  <c r="P845" i="144"/>
  <c r="P846" i="144"/>
  <c r="P847" i="144"/>
  <c r="P848" i="144"/>
  <c r="P849" i="144"/>
  <c r="P850" i="144"/>
  <c r="P851" i="144"/>
  <c r="P852" i="144"/>
  <c r="P853" i="144"/>
  <c r="P854" i="144"/>
  <c r="P855" i="144"/>
  <c r="P856" i="144"/>
  <c r="P857" i="144"/>
  <c r="P858" i="144"/>
  <c r="P859" i="144"/>
  <c r="P860" i="144"/>
  <c r="P861" i="144"/>
  <c r="P862" i="144"/>
  <c r="P863" i="144"/>
  <c r="P864" i="144"/>
  <c r="P865" i="144"/>
  <c r="P866" i="144"/>
  <c r="P867" i="144"/>
  <c r="P868" i="144"/>
  <c r="P869" i="144"/>
  <c r="P870" i="144"/>
  <c r="P871" i="144"/>
  <c r="P872" i="144"/>
  <c r="P873" i="144"/>
  <c r="P874" i="144"/>
  <c r="P875" i="144"/>
  <c r="P876" i="144"/>
  <c r="P877" i="144"/>
  <c r="P878" i="144"/>
  <c r="P879" i="144"/>
  <c r="P880" i="144"/>
  <c r="P881" i="144"/>
  <c r="P882" i="144"/>
  <c r="P883" i="144"/>
  <c r="P884" i="144"/>
  <c r="P885" i="144"/>
  <c r="P886" i="144"/>
  <c r="P887" i="144"/>
  <c r="P888" i="144"/>
  <c r="P889" i="144"/>
  <c r="P890" i="144"/>
  <c r="P891" i="144"/>
  <c r="P892" i="144"/>
  <c r="P893" i="144"/>
  <c r="P894" i="144"/>
  <c r="P895" i="144"/>
  <c r="P896" i="144"/>
  <c r="P897" i="144"/>
  <c r="P898" i="144"/>
  <c r="P899" i="144"/>
  <c r="P900" i="144"/>
  <c r="P901" i="144"/>
  <c r="P902" i="144"/>
  <c r="P903" i="144"/>
  <c r="P904" i="144"/>
  <c r="P905" i="144"/>
  <c r="P906" i="144"/>
  <c r="P907" i="144"/>
  <c r="P908" i="144"/>
  <c r="P909" i="144"/>
  <c r="P910" i="144"/>
  <c r="P911" i="144"/>
  <c r="P912" i="144"/>
  <c r="P913" i="144"/>
  <c r="P914" i="144"/>
  <c r="P915" i="144"/>
  <c r="P916" i="144"/>
  <c r="P917" i="144"/>
  <c r="P918" i="144"/>
  <c r="P919" i="144"/>
  <c r="P920" i="144"/>
  <c r="P921" i="144"/>
  <c r="P922" i="144"/>
  <c r="P923" i="144"/>
  <c r="P924" i="144"/>
  <c r="P925" i="144"/>
  <c r="P926" i="144"/>
  <c r="P927" i="144"/>
  <c r="P928" i="144"/>
  <c r="P929" i="144"/>
  <c r="P930" i="144"/>
  <c r="P931" i="144"/>
  <c r="P932" i="144"/>
  <c r="P933" i="144"/>
  <c r="P934" i="144"/>
  <c r="P935" i="144"/>
  <c r="P936" i="144"/>
  <c r="P937" i="144"/>
  <c r="P938" i="144"/>
  <c r="P939" i="144"/>
  <c r="P940" i="144"/>
  <c r="P941" i="144"/>
  <c r="P942" i="144"/>
  <c r="P943" i="144"/>
  <c r="P944" i="144"/>
  <c r="P945" i="144"/>
  <c r="P946" i="144"/>
  <c r="P947" i="144"/>
  <c r="P948" i="144"/>
  <c r="P949" i="144"/>
  <c r="P950" i="144"/>
  <c r="P951" i="144"/>
  <c r="P952" i="144"/>
  <c r="P953" i="144"/>
  <c r="P954" i="144"/>
  <c r="P955" i="144"/>
  <c r="P956" i="144"/>
  <c r="P957" i="144"/>
  <c r="P958" i="144"/>
  <c r="P959" i="144"/>
  <c r="P960" i="144"/>
  <c r="P961" i="144"/>
  <c r="P962" i="144"/>
  <c r="P963" i="144"/>
  <c r="P964" i="144"/>
  <c r="P965" i="144"/>
  <c r="P966" i="144"/>
  <c r="P967" i="144"/>
  <c r="P968" i="144"/>
  <c r="P969" i="144"/>
  <c r="P970" i="144"/>
  <c r="P971" i="144"/>
  <c r="P972" i="144"/>
  <c r="P973" i="144"/>
  <c r="P974" i="144"/>
  <c r="P975" i="144"/>
  <c r="P976" i="144"/>
  <c r="P977" i="144"/>
  <c r="P978" i="144"/>
  <c r="P979" i="144"/>
  <c r="P980" i="144"/>
  <c r="P981" i="144"/>
  <c r="P982" i="144"/>
  <c r="P983" i="144"/>
  <c r="P984" i="144"/>
  <c r="P985" i="144"/>
  <c r="P986" i="144"/>
  <c r="P987" i="144"/>
  <c r="P988" i="144"/>
  <c r="P989" i="144"/>
  <c r="P990" i="144"/>
  <c r="P991" i="144"/>
  <c r="P992" i="144"/>
  <c r="P993" i="144"/>
  <c r="P994" i="144"/>
  <c r="P995" i="144"/>
  <c r="P996" i="144"/>
  <c r="P997" i="144"/>
  <c r="P998" i="144"/>
  <c r="P999" i="144"/>
  <c r="P1000" i="144"/>
  <c r="P1001" i="144"/>
  <c r="P1002" i="144"/>
  <c r="P1003" i="144"/>
  <c r="P1004" i="144"/>
  <c r="P1005" i="144"/>
  <c r="P1006" i="144"/>
  <c r="P1007" i="144"/>
  <c r="P1008" i="144"/>
  <c r="P1009" i="144"/>
  <c r="P1010" i="144"/>
  <c r="P1011" i="144"/>
  <c r="P1012" i="144"/>
  <c r="P1013" i="144"/>
  <c r="P1014" i="144"/>
  <c r="P1015" i="144"/>
  <c r="P1016" i="144"/>
  <c r="P1017" i="144"/>
  <c r="P1018" i="144"/>
  <c r="P1019" i="144"/>
  <c r="P1020" i="144"/>
  <c r="P1021" i="144"/>
  <c r="P1022" i="144"/>
  <c r="P1023" i="144"/>
  <c r="P1024" i="144"/>
  <c r="P1025" i="144"/>
  <c r="P1026" i="144"/>
  <c r="P1027" i="144"/>
  <c r="P1028" i="144"/>
  <c r="P1029" i="144"/>
  <c r="P1030" i="144"/>
  <c r="P1031" i="144"/>
  <c r="P1032" i="144"/>
  <c r="P1033" i="144"/>
  <c r="P1034" i="144"/>
  <c r="P1035" i="144"/>
  <c r="P1036" i="144"/>
  <c r="P1037" i="144"/>
  <c r="P1038" i="144"/>
  <c r="P1039" i="144"/>
  <c r="P1040" i="144"/>
  <c r="P1041" i="144"/>
  <c r="P1042" i="144"/>
  <c r="P1043" i="144"/>
  <c r="P1044" i="144"/>
  <c r="P1045" i="144"/>
  <c r="P1046" i="144"/>
  <c r="P1047" i="144"/>
  <c r="P1048" i="144"/>
  <c r="P1049" i="144"/>
  <c r="P1050" i="144"/>
  <c r="P1051" i="144"/>
  <c r="P1052" i="144"/>
  <c r="P1053" i="144"/>
  <c r="P1054" i="144"/>
  <c r="P1055" i="144"/>
  <c r="P1056" i="144"/>
  <c r="P1057" i="144"/>
  <c r="P1058" i="144"/>
  <c r="P1059" i="144"/>
  <c r="P1060" i="144"/>
  <c r="P1061" i="144"/>
  <c r="P1062" i="144"/>
  <c r="P1063" i="144"/>
  <c r="P1064" i="144"/>
  <c r="P1065" i="144"/>
  <c r="P1066" i="144"/>
  <c r="P1067" i="144"/>
  <c r="P1068" i="144"/>
  <c r="P1069" i="144"/>
  <c r="P1070" i="144"/>
  <c r="P1071" i="144"/>
  <c r="P1072" i="144"/>
  <c r="P1073" i="144"/>
  <c r="P1074" i="144"/>
  <c r="P1075" i="144"/>
  <c r="P1076" i="144"/>
  <c r="P1077" i="144"/>
  <c r="P1078" i="144"/>
  <c r="P1079" i="144"/>
  <c r="P1080" i="144"/>
  <c r="P1081" i="144"/>
  <c r="P1082" i="144"/>
  <c r="P1083" i="144"/>
  <c r="P1084" i="144"/>
  <c r="P1085" i="144"/>
  <c r="P1086" i="144"/>
  <c r="P1087" i="144"/>
  <c r="P1088" i="144"/>
  <c r="P1089" i="144"/>
  <c r="P1090" i="144"/>
  <c r="P1091" i="144"/>
  <c r="P1092" i="144"/>
  <c r="P1093" i="144"/>
  <c r="P1094" i="144"/>
  <c r="P1095" i="144"/>
  <c r="P1096" i="144"/>
  <c r="P1097" i="144"/>
  <c r="P1098" i="144"/>
  <c r="P1099" i="144"/>
  <c r="P1100" i="144"/>
  <c r="P1101" i="144"/>
  <c r="P1102" i="144"/>
  <c r="P1103" i="144"/>
  <c r="P1104" i="144"/>
  <c r="P1105" i="144"/>
  <c r="P1106" i="144"/>
  <c r="P1107" i="144"/>
  <c r="P1108" i="144"/>
  <c r="P1109" i="144"/>
  <c r="P1110" i="144"/>
  <c r="P1111" i="144"/>
  <c r="P1112" i="144"/>
  <c r="P1113" i="144"/>
  <c r="P1114" i="144"/>
  <c r="P1115" i="144"/>
  <c r="P1116" i="144"/>
  <c r="P1117" i="144"/>
  <c r="P1118" i="144"/>
  <c r="P1119" i="144"/>
  <c r="P1120" i="144"/>
  <c r="P1121" i="144"/>
  <c r="P1122" i="144"/>
  <c r="P1123" i="144"/>
  <c r="P1124" i="144"/>
  <c r="P1125" i="144"/>
  <c r="P1126" i="144"/>
  <c r="P1127" i="144"/>
  <c r="P1128" i="144"/>
  <c r="P1129" i="144"/>
  <c r="P1130" i="144"/>
  <c r="P1131" i="144"/>
  <c r="P1132" i="144"/>
  <c r="P1133" i="144"/>
  <c r="P1134" i="144"/>
  <c r="P1135" i="144"/>
  <c r="P1136" i="144"/>
  <c r="P1137" i="144"/>
  <c r="P1138" i="144"/>
  <c r="P1139" i="144"/>
  <c r="P1140" i="144"/>
  <c r="P1141" i="144"/>
  <c r="P1142" i="144"/>
  <c r="P1143" i="144"/>
  <c r="P1144" i="144"/>
  <c r="P1145" i="144"/>
  <c r="P1146" i="144"/>
  <c r="P1147" i="144"/>
  <c r="P1148" i="144"/>
  <c r="P1149" i="144"/>
  <c r="P1150" i="144"/>
  <c r="P1151" i="144"/>
  <c r="P1152" i="144"/>
  <c r="P1153" i="144"/>
  <c r="P1154" i="144"/>
  <c r="P1155" i="144"/>
  <c r="P1156" i="144"/>
  <c r="P1157" i="144"/>
  <c r="P1158" i="144"/>
  <c r="P1159" i="144"/>
  <c r="P1160" i="144"/>
  <c r="P1161" i="144"/>
  <c r="P1162" i="144"/>
  <c r="P1163" i="144"/>
  <c r="P1164" i="144"/>
  <c r="P1165" i="144"/>
  <c r="P1166" i="144"/>
  <c r="P1167" i="144"/>
  <c r="P1168" i="144"/>
  <c r="P1169" i="144"/>
  <c r="P1170" i="144"/>
  <c r="P1171" i="144"/>
  <c r="P1172" i="144"/>
  <c r="P1173" i="144"/>
  <c r="P1174" i="144"/>
  <c r="P1175" i="144"/>
  <c r="P1176" i="144"/>
  <c r="P1177" i="144"/>
  <c r="P1178" i="144"/>
  <c r="P1179" i="144"/>
  <c r="P1180" i="144"/>
  <c r="P1181" i="144"/>
  <c r="P1182" i="144"/>
  <c r="P1183" i="144"/>
  <c r="P1184" i="144"/>
  <c r="P1185" i="144"/>
  <c r="P1186" i="144"/>
  <c r="P1187" i="144"/>
  <c r="P1188" i="144"/>
  <c r="P1189" i="144"/>
  <c r="P1190" i="144"/>
  <c r="P1191" i="144"/>
  <c r="P1192" i="144"/>
  <c r="P1193" i="144"/>
  <c r="P1194" i="144"/>
  <c r="P1195" i="144"/>
  <c r="P1196" i="144"/>
  <c r="P1197" i="144"/>
  <c r="P1198" i="144"/>
  <c r="P1199" i="144"/>
  <c r="P1200" i="144"/>
  <c r="P1201" i="144"/>
  <c r="P1202" i="144"/>
  <c r="P1203" i="144"/>
  <c r="P1204" i="144"/>
  <c r="P1205" i="144"/>
  <c r="P1206" i="144"/>
  <c r="P1207" i="144"/>
  <c r="P1208" i="144"/>
  <c r="P1209" i="144"/>
  <c r="P1210" i="144"/>
  <c r="P1211" i="144"/>
  <c r="P1212" i="144"/>
  <c r="P1213" i="144"/>
  <c r="P1214" i="144"/>
  <c r="P1215" i="144"/>
  <c r="P1216" i="144"/>
  <c r="P1217" i="144"/>
  <c r="P1218" i="144"/>
  <c r="P1219" i="144"/>
  <c r="P1220" i="144"/>
  <c r="P1221" i="144"/>
  <c r="P1222" i="144"/>
  <c r="P1223" i="144"/>
  <c r="P1224" i="144"/>
  <c r="P1225" i="144"/>
  <c r="P1226" i="144"/>
  <c r="P1227" i="144"/>
  <c r="P1228" i="144"/>
  <c r="P1229" i="144"/>
  <c r="P1230" i="144"/>
  <c r="P1231" i="144"/>
  <c r="P1232" i="144"/>
  <c r="P1233" i="144"/>
  <c r="P1234" i="144"/>
  <c r="P1235" i="144"/>
  <c r="P1236" i="144"/>
  <c r="P1237" i="144"/>
  <c r="P1238" i="144"/>
  <c r="P1239" i="144"/>
  <c r="P1240" i="144"/>
  <c r="P1241" i="144"/>
  <c r="P1242" i="144"/>
  <c r="P1243" i="144"/>
  <c r="P1244" i="144"/>
  <c r="P1245" i="144"/>
  <c r="P1246" i="144"/>
  <c r="P1247" i="144"/>
  <c r="P1248" i="144"/>
  <c r="P1249" i="144"/>
  <c r="P1250" i="144"/>
  <c r="P1251" i="144"/>
  <c r="P1252" i="144"/>
  <c r="P1253" i="144"/>
  <c r="P1254" i="144"/>
  <c r="P1255" i="144"/>
  <c r="P1256" i="144"/>
  <c r="P1257" i="144"/>
  <c r="P1258" i="144"/>
  <c r="P1259" i="144"/>
  <c r="P1260" i="144"/>
  <c r="P1261" i="144"/>
  <c r="P1262" i="144"/>
  <c r="P1263" i="144"/>
  <c r="P1264" i="144"/>
  <c r="P1265" i="144"/>
  <c r="P1266" i="144"/>
  <c r="P1267" i="144"/>
  <c r="P1268" i="144"/>
  <c r="P1269" i="144"/>
  <c r="P1270" i="144"/>
  <c r="P1271" i="144"/>
  <c r="P1272" i="144"/>
  <c r="P1273" i="144"/>
  <c r="P1274" i="144"/>
  <c r="P1275" i="144"/>
  <c r="P1276" i="144"/>
  <c r="P1277" i="144"/>
  <c r="P1278" i="144"/>
  <c r="P1279" i="144"/>
  <c r="P1280" i="144"/>
  <c r="P1281" i="144"/>
  <c r="P1282" i="144"/>
  <c r="P1283" i="144"/>
  <c r="P1284" i="144"/>
  <c r="P1285" i="144"/>
  <c r="P1286" i="144"/>
  <c r="P1287" i="144"/>
  <c r="P1288" i="144"/>
  <c r="P1289" i="144"/>
  <c r="P1290" i="144"/>
  <c r="P1291" i="144"/>
  <c r="P1292" i="144"/>
  <c r="P1293" i="144"/>
  <c r="P1294" i="144"/>
  <c r="P1295" i="144"/>
  <c r="P1296" i="144"/>
  <c r="P1297" i="144"/>
  <c r="P1298" i="144"/>
  <c r="P1299" i="144"/>
  <c r="P1300" i="144"/>
  <c r="P1301" i="144"/>
  <c r="P1302" i="144"/>
  <c r="P1303" i="144"/>
  <c r="P1304" i="144"/>
  <c r="P1305" i="144"/>
  <c r="P1306" i="144"/>
  <c r="P1307" i="144"/>
  <c r="P1308" i="144"/>
  <c r="P1309" i="144"/>
  <c r="P1310" i="144"/>
  <c r="P1311" i="144"/>
  <c r="P1312" i="144"/>
  <c r="P1313" i="144"/>
  <c r="P1314" i="144"/>
  <c r="P1315" i="144"/>
  <c r="P1316" i="144"/>
  <c r="P1317" i="144"/>
  <c r="P1318" i="144"/>
  <c r="P1319" i="144"/>
  <c r="P1320" i="144"/>
  <c r="P1321" i="144"/>
  <c r="P1322" i="144"/>
  <c r="P1323" i="144"/>
  <c r="P1324" i="144"/>
  <c r="P1325" i="144"/>
  <c r="P1326" i="144"/>
  <c r="P1327" i="144"/>
  <c r="P1328" i="144"/>
  <c r="P1329" i="144"/>
  <c r="P1330" i="144"/>
  <c r="P1331" i="144"/>
  <c r="P1332" i="144"/>
  <c r="P1333" i="144"/>
  <c r="P1334" i="144"/>
  <c r="P1335" i="144"/>
  <c r="P1336" i="144"/>
  <c r="P1337" i="144"/>
  <c r="P1338" i="144"/>
  <c r="P1339" i="144"/>
  <c r="P1340" i="144"/>
  <c r="P1341" i="144"/>
  <c r="P1342" i="144"/>
  <c r="P1343" i="144"/>
  <c r="P1344" i="144"/>
  <c r="P1345" i="144"/>
  <c r="P1346" i="144"/>
  <c r="P1347" i="144"/>
  <c r="P1348" i="144"/>
  <c r="P1349" i="144"/>
  <c r="P1350" i="144"/>
  <c r="P1351" i="144"/>
  <c r="P1352" i="144"/>
  <c r="P1353" i="144"/>
  <c r="P1354" i="144"/>
  <c r="P1355" i="144"/>
  <c r="P1356" i="144"/>
  <c r="P1357" i="144"/>
  <c r="P1358" i="144"/>
  <c r="P1359" i="144"/>
  <c r="P1360" i="144"/>
  <c r="P1361" i="144"/>
  <c r="P1362" i="144"/>
  <c r="P1363" i="144"/>
  <c r="P1364" i="144"/>
  <c r="P1365" i="144"/>
  <c r="P1366" i="144"/>
  <c r="P1367" i="144"/>
  <c r="P1368" i="144"/>
  <c r="P1369" i="144"/>
  <c r="P1370" i="144"/>
  <c r="P1371" i="144"/>
  <c r="P1372" i="144"/>
  <c r="P1373" i="144"/>
  <c r="P1374" i="144"/>
  <c r="P1375" i="144"/>
  <c r="P1376" i="144"/>
  <c r="P1377" i="144"/>
  <c r="P1378" i="144"/>
  <c r="P1379" i="144"/>
  <c r="P1380" i="144"/>
  <c r="P1381" i="144"/>
  <c r="P1382" i="144"/>
  <c r="P1383" i="144"/>
  <c r="P1384" i="144"/>
  <c r="P1385" i="144"/>
  <c r="P1386" i="144"/>
  <c r="P1387" i="144"/>
  <c r="P1388" i="144"/>
  <c r="P1389" i="144"/>
  <c r="P1390" i="144"/>
  <c r="P1391" i="144"/>
  <c r="P1392" i="144"/>
  <c r="P1393" i="144"/>
  <c r="P1394" i="144"/>
  <c r="P1395" i="144"/>
  <c r="P1396" i="144"/>
  <c r="P1397" i="144"/>
  <c r="P1398" i="144"/>
  <c r="P1399" i="144"/>
  <c r="P1400" i="144"/>
  <c r="P1401" i="144"/>
  <c r="P1402" i="144"/>
  <c r="P1403" i="144"/>
  <c r="P1404" i="144"/>
  <c r="P1405" i="144"/>
  <c r="P1406" i="144"/>
  <c r="P1407" i="144"/>
  <c r="P1408" i="144"/>
  <c r="P1409" i="144"/>
  <c r="P1410" i="144"/>
  <c r="P1411" i="144"/>
  <c r="P1412" i="144"/>
  <c r="P1413" i="144"/>
  <c r="P1414" i="144"/>
  <c r="P1415" i="144"/>
  <c r="P1416" i="144"/>
  <c r="P1417" i="144"/>
  <c r="P1418" i="144"/>
  <c r="P1419" i="144"/>
  <c r="P1420" i="144"/>
  <c r="P1421" i="144"/>
  <c r="P1422" i="144"/>
  <c r="P1423" i="144"/>
  <c r="P1424" i="144"/>
  <c r="P1425" i="144"/>
  <c r="P1426" i="144"/>
  <c r="P1427" i="144"/>
  <c r="P1428" i="144"/>
  <c r="P1429" i="144"/>
  <c r="P1430" i="144"/>
  <c r="P1431" i="144"/>
  <c r="P1432" i="144"/>
  <c r="P1433" i="144"/>
  <c r="P1434" i="144"/>
  <c r="P1435" i="144"/>
  <c r="P1436" i="144"/>
  <c r="P1437" i="144"/>
  <c r="P1438" i="144"/>
  <c r="P1439" i="144"/>
  <c r="P1440" i="144"/>
  <c r="P1441" i="144"/>
  <c r="P1442" i="144"/>
  <c r="P1443" i="144"/>
  <c r="P1444" i="144"/>
  <c r="P1445" i="144"/>
  <c r="P1446" i="144"/>
  <c r="P1447" i="144"/>
  <c r="P1448" i="144"/>
  <c r="P1449" i="144"/>
  <c r="P1450" i="144"/>
  <c r="P1451" i="144"/>
  <c r="P1452" i="144"/>
  <c r="P1453" i="144"/>
  <c r="P1454" i="144"/>
  <c r="P1455" i="144"/>
  <c r="P1456" i="144"/>
  <c r="P1457" i="144"/>
  <c r="P1458" i="144"/>
  <c r="P1459" i="144"/>
  <c r="P1460" i="144"/>
  <c r="P1461" i="144"/>
  <c r="P1462" i="144"/>
  <c r="P1463" i="144"/>
  <c r="P1464" i="144"/>
  <c r="P1465" i="144"/>
  <c r="P1466" i="144"/>
  <c r="P1467" i="144"/>
  <c r="P1468" i="144"/>
  <c r="P1469" i="144"/>
  <c r="P1470" i="144"/>
  <c r="P1471" i="144"/>
  <c r="P1472" i="144"/>
  <c r="P1473" i="144"/>
  <c r="P1474" i="144"/>
  <c r="P1475" i="144"/>
  <c r="P1476" i="144"/>
  <c r="P1477" i="144"/>
  <c r="P1478" i="144"/>
  <c r="P1479" i="144"/>
  <c r="P1480" i="144"/>
  <c r="P1481" i="144"/>
  <c r="P1482" i="144"/>
  <c r="P1483" i="144"/>
  <c r="P1484" i="144"/>
  <c r="P1485" i="144"/>
  <c r="P1486" i="144"/>
  <c r="P1487" i="144"/>
  <c r="P1488" i="144"/>
  <c r="P1489" i="144"/>
  <c r="P1490" i="144"/>
  <c r="P1491" i="144"/>
  <c r="P1492" i="144"/>
  <c r="P1493" i="144"/>
  <c r="P1494" i="144"/>
  <c r="P1495" i="144"/>
  <c r="P1496" i="144"/>
  <c r="P1497" i="144"/>
  <c r="P1498" i="144"/>
  <c r="P1499" i="144"/>
  <c r="P1500" i="144"/>
  <c r="P1501" i="144"/>
  <c r="P1502" i="144"/>
  <c r="P1503" i="144"/>
  <c r="P1504" i="144"/>
  <c r="P1505" i="144"/>
  <c r="P1506" i="144"/>
  <c r="P1507" i="144"/>
  <c r="P1508" i="144"/>
  <c r="P1509" i="144"/>
  <c r="P1510" i="144"/>
  <c r="P1511" i="144"/>
  <c r="P1512" i="144"/>
  <c r="P1513" i="144"/>
  <c r="P1514" i="144"/>
  <c r="P1515" i="144"/>
  <c r="P1516" i="144"/>
  <c r="P1517" i="144"/>
  <c r="P1518" i="144"/>
  <c r="P1519" i="144"/>
  <c r="P1520" i="144"/>
  <c r="P1521" i="144"/>
  <c r="P1522" i="144"/>
  <c r="P1523" i="144"/>
  <c r="P1524" i="144"/>
  <c r="P1525" i="144"/>
  <c r="P1526" i="144"/>
  <c r="P1527" i="144"/>
  <c r="P1528" i="144"/>
  <c r="P1529" i="144"/>
  <c r="P1530" i="144"/>
  <c r="P1531" i="144"/>
  <c r="P1532" i="144"/>
  <c r="P1533" i="144"/>
  <c r="P1534" i="144"/>
  <c r="P1535" i="144"/>
  <c r="P1536" i="144"/>
  <c r="P1537" i="144"/>
  <c r="P1538" i="144"/>
  <c r="P1539" i="144"/>
  <c r="P1540" i="144"/>
  <c r="P1541" i="144"/>
  <c r="P1542" i="144"/>
  <c r="P1543" i="144"/>
  <c r="P1544" i="144"/>
  <c r="P1545" i="144"/>
  <c r="P1546" i="144"/>
  <c r="P1547" i="144"/>
  <c r="P1548" i="144"/>
  <c r="P1549" i="144"/>
  <c r="P1550" i="144"/>
  <c r="P1551" i="144"/>
  <c r="P1552" i="144"/>
  <c r="P1553" i="144"/>
  <c r="P1554" i="144"/>
  <c r="P1555" i="144"/>
  <c r="P1556" i="144"/>
  <c r="P1557" i="144"/>
  <c r="P1558" i="144"/>
  <c r="P1559" i="144"/>
  <c r="P1560" i="144"/>
  <c r="P1561" i="144"/>
  <c r="P1562" i="144"/>
  <c r="P1563" i="144"/>
  <c r="P1564" i="144"/>
  <c r="P1565" i="144"/>
  <c r="P1566" i="144"/>
  <c r="P1567" i="144"/>
  <c r="P1568" i="144"/>
  <c r="P1569" i="144"/>
  <c r="P1570" i="144"/>
  <c r="P1571" i="144"/>
  <c r="P1572" i="144"/>
  <c r="P1573" i="144"/>
  <c r="P1574" i="144"/>
  <c r="P1575" i="144"/>
  <c r="P1576" i="144"/>
  <c r="P1577" i="144"/>
  <c r="P1578" i="144"/>
  <c r="P1579" i="144"/>
  <c r="P1580" i="144"/>
  <c r="P1581" i="144"/>
  <c r="P1582" i="144"/>
  <c r="P1583" i="144"/>
  <c r="P1584" i="144"/>
  <c r="P1585" i="144"/>
  <c r="P1586" i="144"/>
  <c r="P1587" i="144"/>
  <c r="P1588" i="144"/>
  <c r="P1589" i="144"/>
  <c r="P1590" i="144"/>
  <c r="P1591" i="144"/>
  <c r="E17" i="170"/>
  <c r="P1592" i="144"/>
  <c r="P1593" i="144"/>
  <c r="G15" i="170"/>
  <c r="P1594" i="144"/>
  <c r="P1595" i="144"/>
  <c r="E14" i="170"/>
  <c r="P1596" i="144"/>
  <c r="P1597" i="144"/>
  <c r="E21" i="170"/>
  <c r="P1598" i="144"/>
  <c r="P1599" i="144"/>
  <c r="G20" i="170"/>
  <c r="P1600" i="144"/>
  <c r="P1601" i="144"/>
  <c r="P1602" i="144"/>
  <c r="P1603" i="144"/>
  <c r="P1604" i="144"/>
  <c r="P1605" i="144"/>
  <c r="P1606" i="144"/>
  <c r="P1607" i="144"/>
  <c r="P1608" i="144"/>
  <c r="P1609" i="144"/>
  <c r="P1610" i="144"/>
  <c r="P1611" i="144"/>
  <c r="P1612" i="144"/>
  <c r="P1613" i="144"/>
  <c r="P1614" i="144"/>
  <c r="P1615" i="144"/>
  <c r="P1616" i="144"/>
  <c r="P1617" i="144"/>
  <c r="P1618" i="144"/>
  <c r="P1619" i="144"/>
  <c r="P1620" i="144"/>
  <c r="P1621" i="144"/>
  <c r="P1622" i="144"/>
  <c r="P1623" i="144"/>
  <c r="P1624" i="144"/>
  <c r="P1625" i="144"/>
  <c r="P1626" i="144"/>
  <c r="P1627" i="144"/>
  <c r="P1628" i="144"/>
  <c r="P1629" i="144"/>
  <c r="P1630" i="144"/>
  <c r="P1631" i="144"/>
  <c r="P1632" i="144"/>
  <c r="P1633" i="144"/>
  <c r="P1634" i="144"/>
  <c r="P1635" i="144"/>
  <c r="P1636" i="144"/>
  <c r="P1637" i="144"/>
  <c r="P1638" i="144"/>
  <c r="P1639" i="144"/>
  <c r="P1640" i="144"/>
  <c r="P1641" i="144"/>
  <c r="P1642" i="144"/>
  <c r="P1643" i="144"/>
  <c r="P1644" i="144"/>
  <c r="P1645" i="144"/>
  <c r="P1646" i="144"/>
  <c r="P1647" i="144"/>
  <c r="P1648" i="144"/>
  <c r="P1649" i="144"/>
  <c r="P1650" i="144"/>
  <c r="P1651" i="144"/>
  <c r="P1652" i="144"/>
  <c r="P1653" i="144"/>
  <c r="P1654" i="144"/>
  <c r="P1655" i="144"/>
  <c r="P1656" i="144"/>
  <c r="P1657" i="144"/>
  <c r="P1658" i="144"/>
  <c r="P1659" i="144"/>
  <c r="P1660" i="144"/>
  <c r="P1661" i="144"/>
  <c r="P1662" i="144"/>
  <c r="P1663" i="144"/>
  <c r="P1664" i="144"/>
  <c r="P1665" i="144"/>
  <c r="P1666" i="144"/>
  <c r="P1667" i="144"/>
  <c r="P1668" i="144"/>
  <c r="P1669" i="144"/>
  <c r="P1670" i="144"/>
  <c r="P1671" i="144"/>
  <c r="P1672" i="144"/>
  <c r="P1673" i="144"/>
  <c r="P1674" i="144"/>
  <c r="P1675" i="144"/>
  <c r="P1676" i="144"/>
  <c r="P1677" i="144"/>
  <c r="P1678" i="144"/>
  <c r="P1679" i="144"/>
  <c r="P1680" i="144"/>
  <c r="P1681" i="144"/>
  <c r="P1682" i="144"/>
  <c r="P1683" i="144"/>
  <c r="P1684" i="144"/>
  <c r="P1685" i="144"/>
  <c r="P1686" i="144"/>
  <c r="P1687" i="144"/>
  <c r="P1688" i="144"/>
  <c r="P1689" i="144"/>
  <c r="P1690" i="144"/>
  <c r="P1691" i="144"/>
  <c r="P1692" i="144"/>
  <c r="P1693" i="144"/>
  <c r="P1694" i="144"/>
  <c r="P1695" i="144"/>
  <c r="P1696" i="144"/>
  <c r="P1697" i="144"/>
  <c r="P1698" i="144"/>
  <c r="P1699" i="144"/>
  <c r="P1700" i="144"/>
  <c r="P1701" i="144"/>
  <c r="P1702" i="144"/>
  <c r="P1703" i="144"/>
  <c r="P1704" i="144"/>
  <c r="P1705" i="144"/>
  <c r="P1706" i="144"/>
  <c r="P1707" i="144"/>
  <c r="P1708" i="144"/>
  <c r="P1709" i="144"/>
  <c r="P1710" i="144"/>
  <c r="P1711" i="144"/>
  <c r="P1712" i="144"/>
  <c r="P1713" i="144"/>
  <c r="P1714" i="144"/>
  <c r="P1715" i="144"/>
  <c r="P1716" i="144"/>
  <c r="P1717" i="144"/>
  <c r="P1718" i="144"/>
  <c r="P1719" i="144"/>
  <c r="P1720" i="144"/>
  <c r="P1721" i="144"/>
  <c r="P1722" i="144"/>
  <c r="P1723" i="144"/>
  <c r="P1724" i="144"/>
  <c r="P1725" i="144"/>
  <c r="P1726" i="144"/>
  <c r="P1727" i="144"/>
  <c r="P1728" i="144"/>
  <c r="P1729" i="144"/>
  <c r="P1730" i="144"/>
  <c r="P1731" i="144"/>
  <c r="P1732" i="144"/>
  <c r="P1733" i="144"/>
  <c r="P1734" i="144"/>
  <c r="P1735" i="144"/>
  <c r="P1736" i="144"/>
  <c r="P1737" i="144"/>
  <c r="P1738" i="144"/>
  <c r="P1739" i="144"/>
  <c r="P1740" i="144"/>
  <c r="P1741" i="144"/>
  <c r="P1742" i="144"/>
  <c r="P1743" i="144"/>
  <c r="P1744" i="144"/>
  <c r="P1745" i="144"/>
  <c r="P1746" i="144"/>
  <c r="P1747" i="144"/>
  <c r="P1748" i="144"/>
  <c r="P1749" i="144"/>
  <c r="P1750" i="144"/>
  <c r="P1751" i="144"/>
  <c r="P1752" i="144"/>
  <c r="P1753" i="144"/>
  <c r="P1754" i="144"/>
  <c r="P1755" i="144"/>
  <c r="P1756" i="144"/>
  <c r="P1757" i="144"/>
  <c r="P1758" i="144"/>
  <c r="P1759" i="144"/>
  <c r="P1760" i="144"/>
  <c r="P1761" i="144"/>
  <c r="P1762" i="144"/>
  <c r="P1763" i="144"/>
  <c r="P1764" i="144"/>
  <c r="P1765" i="144"/>
  <c r="P1766" i="144"/>
  <c r="P1767" i="144"/>
  <c r="P1768" i="144"/>
  <c r="P1769" i="144"/>
  <c r="P1770" i="144"/>
  <c r="P1771" i="144"/>
  <c r="P1772" i="144"/>
  <c r="P1773" i="144"/>
  <c r="P1774" i="144"/>
  <c r="P1775" i="144"/>
  <c r="P1776" i="144"/>
  <c r="P1777" i="144"/>
  <c r="P1778" i="144"/>
  <c r="P1779" i="144"/>
  <c r="P1780" i="144"/>
  <c r="P1781" i="144"/>
  <c r="P1782" i="144"/>
  <c r="P1783" i="144"/>
  <c r="P1784" i="144"/>
  <c r="P1785" i="144"/>
  <c r="P1786" i="144"/>
  <c r="P1787" i="144"/>
  <c r="P1788" i="144"/>
  <c r="P1789" i="144"/>
  <c r="P1790" i="144"/>
  <c r="P1791" i="144"/>
  <c r="P1792" i="144"/>
  <c r="P1793" i="144"/>
  <c r="P1794" i="144"/>
  <c r="P1795" i="144"/>
  <c r="P1796" i="144"/>
  <c r="P1797" i="144"/>
  <c r="P1798" i="144"/>
  <c r="P1799" i="144"/>
  <c r="P1800" i="144"/>
  <c r="P1801" i="144"/>
  <c r="P1802" i="144"/>
  <c r="P1803" i="144"/>
  <c r="P1804" i="144"/>
  <c r="P1805" i="144"/>
  <c r="P1806" i="144"/>
  <c r="P1807" i="144"/>
  <c r="P1808" i="144"/>
  <c r="P1809" i="144"/>
  <c r="P1810" i="144"/>
  <c r="P1811" i="144"/>
  <c r="P1812" i="144"/>
  <c r="P1813" i="144"/>
  <c r="P1814" i="144"/>
  <c r="P1815" i="144"/>
  <c r="P1816" i="144"/>
  <c r="P1817" i="144"/>
  <c r="P1818" i="144"/>
  <c r="P1819" i="144"/>
  <c r="P1820" i="144"/>
  <c r="P1821" i="144"/>
  <c r="P1822" i="144"/>
  <c r="P1823" i="144"/>
  <c r="P1824" i="144"/>
  <c r="P1825" i="144"/>
  <c r="P1826" i="144"/>
  <c r="P1827" i="144"/>
  <c r="P1828" i="144"/>
  <c r="P1829" i="144"/>
  <c r="P1830" i="144"/>
  <c r="P1831" i="144"/>
  <c r="P1832" i="144"/>
  <c r="P1833" i="144"/>
  <c r="P1834" i="144"/>
  <c r="P1835" i="144"/>
  <c r="P1836" i="144"/>
  <c r="P1837" i="144"/>
  <c r="P1838" i="144"/>
  <c r="P1839" i="144"/>
  <c r="P1840" i="144"/>
  <c r="P1841" i="144"/>
  <c r="P1842" i="144"/>
  <c r="P1843" i="144"/>
  <c r="P1844" i="144"/>
  <c r="P1845" i="144"/>
  <c r="P1846" i="144"/>
  <c r="P1847" i="144"/>
  <c r="P1848" i="144"/>
  <c r="P1849" i="144"/>
  <c r="P1850" i="144"/>
  <c r="P1851" i="144"/>
  <c r="P1852" i="144"/>
  <c r="P1853" i="144"/>
  <c r="P1854" i="144"/>
  <c r="P1855" i="144"/>
  <c r="P1856" i="144"/>
  <c r="P1857" i="144"/>
  <c r="B41" i="175"/>
  <c r="P1858" i="144"/>
  <c r="P1859" i="144"/>
  <c r="P1860" i="144"/>
  <c r="P1861" i="144"/>
  <c r="P1862" i="144"/>
  <c r="P1863" i="144"/>
  <c r="P1864" i="144"/>
  <c r="P1865" i="144"/>
  <c r="P1866" i="144"/>
  <c r="P1867" i="144"/>
  <c r="P1868" i="144"/>
  <c r="P1869" i="144"/>
  <c r="P1870" i="144"/>
  <c r="P1871" i="144"/>
  <c r="P1872" i="144"/>
  <c r="P1873" i="144"/>
  <c r="P8" i="144"/>
  <c r="P7" i="144"/>
  <c r="Q9" i="144"/>
  <c r="Q10" i="144"/>
  <c r="Q11" i="144"/>
  <c r="Q12" i="144"/>
  <c r="Q13" i="144"/>
  <c r="Q14" i="144"/>
  <c r="Q15" i="144"/>
  <c r="Q16" i="144"/>
  <c r="Q17" i="144"/>
  <c r="Q18" i="144"/>
  <c r="Q19" i="144"/>
  <c r="Q20" i="144"/>
  <c r="Q21" i="144"/>
  <c r="Q22" i="144"/>
  <c r="Q23" i="144"/>
  <c r="Q24" i="144"/>
  <c r="Q25" i="144"/>
  <c r="Q26" i="144"/>
  <c r="Q27" i="144"/>
  <c r="Q28" i="144"/>
  <c r="Q29" i="144"/>
  <c r="Q30" i="144"/>
  <c r="Q31" i="144"/>
  <c r="Q32" i="144"/>
  <c r="Q33" i="144"/>
  <c r="Q34" i="144"/>
  <c r="Q35" i="144"/>
  <c r="Q36" i="144"/>
  <c r="Q37" i="144"/>
  <c r="Q38" i="144"/>
  <c r="Q39" i="144"/>
  <c r="Q40" i="144"/>
  <c r="Q41" i="144"/>
  <c r="Q42" i="144"/>
  <c r="Q43" i="144"/>
  <c r="Q44" i="144"/>
  <c r="Q45" i="144"/>
  <c r="Q46" i="144"/>
  <c r="Q47" i="144"/>
  <c r="Q48" i="144"/>
  <c r="Q49" i="144"/>
  <c r="Q50" i="144"/>
  <c r="Q51" i="144"/>
  <c r="Q52" i="144"/>
  <c r="Q53" i="144"/>
  <c r="Q54" i="144"/>
  <c r="Q55" i="144"/>
  <c r="Q56" i="144"/>
  <c r="Q57" i="144"/>
  <c r="Q58" i="144"/>
  <c r="Q59" i="144"/>
  <c r="Q60" i="144"/>
  <c r="Q61" i="144"/>
  <c r="Q62" i="144"/>
  <c r="Q63" i="144"/>
  <c r="Q64" i="144"/>
  <c r="Q65" i="144"/>
  <c r="Q66" i="144"/>
  <c r="Q67" i="144"/>
  <c r="Q68" i="144"/>
  <c r="Q69" i="144"/>
  <c r="Q70" i="144"/>
  <c r="Q71" i="144"/>
  <c r="Q72" i="144"/>
  <c r="Q73" i="144"/>
  <c r="Q74" i="144"/>
  <c r="Q75" i="144"/>
  <c r="Q76" i="144"/>
  <c r="Q77" i="144"/>
  <c r="Q78" i="144"/>
  <c r="Q79" i="144"/>
  <c r="Q80" i="144"/>
  <c r="Q81" i="144"/>
  <c r="Q82" i="144"/>
  <c r="Q83" i="144"/>
  <c r="Q84" i="144"/>
  <c r="Q85" i="144"/>
  <c r="Q86" i="144"/>
  <c r="Q87" i="144"/>
  <c r="Q88" i="144"/>
  <c r="Q89" i="144"/>
  <c r="Q90" i="144"/>
  <c r="Q91" i="144"/>
  <c r="Q92" i="144"/>
  <c r="Q93" i="144"/>
  <c r="Q94" i="144"/>
  <c r="Q95" i="144"/>
  <c r="Q96" i="144"/>
  <c r="Q97" i="144"/>
  <c r="Q98" i="144"/>
  <c r="Q99" i="144"/>
  <c r="Q100" i="144"/>
  <c r="Q101" i="144"/>
  <c r="Q102" i="144"/>
  <c r="Q103" i="144"/>
  <c r="Q104" i="144"/>
  <c r="Q105" i="144"/>
  <c r="Q106" i="144"/>
  <c r="Q107" i="144"/>
  <c r="Q108" i="144"/>
  <c r="Q109" i="144"/>
  <c r="Q110" i="144"/>
  <c r="Q111" i="144"/>
  <c r="Q112" i="144"/>
  <c r="Q113" i="144"/>
  <c r="Q114" i="144"/>
  <c r="Q115" i="144"/>
  <c r="Q116" i="144"/>
  <c r="Q117" i="144"/>
  <c r="Q118" i="144"/>
  <c r="Q119" i="144"/>
  <c r="Q120" i="144"/>
  <c r="Q121" i="144"/>
  <c r="Q122" i="144"/>
  <c r="Q123" i="144"/>
  <c r="Q124" i="144"/>
  <c r="Q125" i="144"/>
  <c r="Q126" i="144"/>
  <c r="Q127" i="144"/>
  <c r="Q128" i="144"/>
  <c r="Q129" i="144"/>
  <c r="Q130" i="144"/>
  <c r="Q131" i="144"/>
  <c r="Q132" i="144"/>
  <c r="Q133" i="144"/>
  <c r="Q134" i="144"/>
  <c r="Q135" i="144"/>
  <c r="Q136" i="144"/>
  <c r="Q137" i="144"/>
  <c r="Q138" i="144"/>
  <c r="Q139" i="144"/>
  <c r="Q140" i="144"/>
  <c r="Q141" i="144"/>
  <c r="Q142" i="144"/>
  <c r="Q143" i="144"/>
  <c r="Q144" i="144"/>
  <c r="Q145" i="144"/>
  <c r="Q146" i="144"/>
  <c r="Q147" i="144"/>
  <c r="Q148" i="144"/>
  <c r="Q149" i="144"/>
  <c r="Q150" i="144"/>
  <c r="Q151" i="144"/>
  <c r="Q152" i="144"/>
  <c r="Q153" i="144"/>
  <c r="Q154" i="144"/>
  <c r="Q155" i="144"/>
  <c r="Q156" i="144"/>
  <c r="Q157" i="144"/>
  <c r="Q158" i="144"/>
  <c r="Q159" i="144"/>
  <c r="Q160" i="144"/>
  <c r="Q161" i="144"/>
  <c r="Q162" i="144"/>
  <c r="Q163" i="144"/>
  <c r="Q164" i="144"/>
  <c r="Q165" i="144"/>
  <c r="Q166" i="144"/>
  <c r="Q167" i="144"/>
  <c r="Q168" i="144"/>
  <c r="Q169" i="144"/>
  <c r="Q170" i="144"/>
  <c r="Q171" i="144"/>
  <c r="Q172" i="144"/>
  <c r="Q173" i="144"/>
  <c r="Q174" i="144"/>
  <c r="Q175" i="144"/>
  <c r="Q176" i="144"/>
  <c r="Q177" i="144"/>
  <c r="Q178" i="144"/>
  <c r="Q179" i="144"/>
  <c r="Q180" i="144"/>
  <c r="Q181" i="144"/>
  <c r="Q182" i="144"/>
  <c r="Q183" i="144"/>
  <c r="Q184" i="144"/>
  <c r="Q185" i="144"/>
  <c r="Q186" i="144"/>
  <c r="Q187" i="144"/>
  <c r="Q188" i="144"/>
  <c r="Q189" i="144"/>
  <c r="Q190" i="144"/>
  <c r="Q191" i="144"/>
  <c r="Q192" i="144"/>
  <c r="Q193" i="144"/>
  <c r="Q194" i="144"/>
  <c r="Q195" i="144"/>
  <c r="Q196" i="144"/>
  <c r="Q197" i="144"/>
  <c r="Q198" i="144"/>
  <c r="Q199" i="144"/>
  <c r="Q200" i="144"/>
  <c r="Q201" i="144"/>
  <c r="Q202" i="144"/>
  <c r="Q203" i="144"/>
  <c r="Q204" i="144"/>
  <c r="Q205" i="144"/>
  <c r="Q206" i="144"/>
  <c r="Q207" i="144"/>
  <c r="Q208" i="144"/>
  <c r="Q209" i="144"/>
  <c r="Q210" i="144"/>
  <c r="Q211" i="144"/>
  <c r="Q212" i="144"/>
  <c r="Q213" i="144"/>
  <c r="Q214" i="144"/>
  <c r="Q215" i="144"/>
  <c r="Q216" i="144"/>
  <c r="Q217" i="144"/>
  <c r="F7" i="170"/>
  <c r="Q218" i="144"/>
  <c r="Q219" i="144"/>
  <c r="Q220" i="144"/>
  <c r="Q221" i="144"/>
  <c r="Q222" i="144"/>
  <c r="Q223" i="144"/>
  <c r="Q224" i="144"/>
  <c r="Q225" i="144"/>
  <c r="Q226" i="144"/>
  <c r="Q227" i="144"/>
  <c r="Q228" i="144"/>
  <c r="Q229" i="144"/>
  <c r="Q230" i="144"/>
  <c r="Q231" i="144"/>
  <c r="Q232" i="144"/>
  <c r="Q233" i="144"/>
  <c r="Q234" i="144"/>
  <c r="Q235" i="144"/>
  <c r="Q236" i="144"/>
  <c r="Q237" i="144"/>
  <c r="Q238" i="144"/>
  <c r="Q239" i="144"/>
  <c r="Q240" i="144"/>
  <c r="Q241" i="144"/>
  <c r="Q242" i="144"/>
  <c r="Q243" i="144"/>
  <c r="Q244" i="144"/>
  <c r="Q245" i="144"/>
  <c r="Q246" i="144"/>
  <c r="Q247" i="144"/>
  <c r="Q248" i="144"/>
  <c r="Q249" i="144"/>
  <c r="Q250" i="144"/>
  <c r="Q251" i="144"/>
  <c r="Q252" i="144"/>
  <c r="Q253" i="144"/>
  <c r="Q254" i="144"/>
  <c r="Q255" i="144"/>
  <c r="Q256" i="144"/>
  <c r="Q257" i="144"/>
  <c r="Q258" i="144"/>
  <c r="Q259" i="144"/>
  <c r="Q260" i="144"/>
  <c r="Q261" i="144"/>
  <c r="Q262" i="144"/>
  <c r="Q263" i="144"/>
  <c r="Q264" i="144"/>
  <c r="Q265" i="144"/>
  <c r="Q266" i="144"/>
  <c r="Q267" i="144"/>
  <c r="Q268" i="144"/>
  <c r="Q269" i="144"/>
  <c r="Q270" i="144"/>
  <c r="Q271" i="144"/>
  <c r="Q272" i="144"/>
  <c r="Q273" i="144"/>
  <c r="Q274" i="144"/>
  <c r="Q275" i="144"/>
  <c r="Q276" i="144"/>
  <c r="Q277" i="144"/>
  <c r="Q278" i="144"/>
  <c r="Q279" i="144"/>
  <c r="Q280" i="144"/>
  <c r="Q281" i="144"/>
  <c r="Q282" i="144"/>
  <c r="Q283" i="144"/>
  <c r="Q284" i="144"/>
  <c r="Q285" i="144"/>
  <c r="Q286" i="144"/>
  <c r="Q287" i="144"/>
  <c r="Q288" i="144"/>
  <c r="Q289" i="144"/>
  <c r="Q290" i="144"/>
  <c r="Q291" i="144"/>
  <c r="Q292" i="144"/>
  <c r="Q293" i="144"/>
  <c r="Q294" i="144"/>
  <c r="Q295" i="144"/>
  <c r="Q296" i="144"/>
  <c r="Q297" i="144"/>
  <c r="Q298" i="144"/>
  <c r="Q299" i="144"/>
  <c r="Q300" i="144"/>
  <c r="Q301" i="144"/>
  <c r="Q302" i="144"/>
  <c r="Q303" i="144"/>
  <c r="Q304" i="144"/>
  <c r="Q305" i="144"/>
  <c r="Q306" i="144"/>
  <c r="Q307" i="144"/>
  <c r="Q308" i="144"/>
  <c r="Q309" i="144"/>
  <c r="Q310" i="144"/>
  <c r="Q311" i="144"/>
  <c r="Q312" i="144"/>
  <c r="Q313" i="144"/>
  <c r="Q314" i="144"/>
  <c r="Q315" i="144"/>
  <c r="Q316" i="144"/>
  <c r="Q317" i="144"/>
  <c r="Q318" i="144"/>
  <c r="Q319" i="144"/>
  <c r="Q320" i="144"/>
  <c r="Q321" i="144"/>
  <c r="Q322" i="144"/>
  <c r="Q323" i="144"/>
  <c r="Q324" i="144"/>
  <c r="Q325" i="144"/>
  <c r="Q326" i="144"/>
  <c r="Q327" i="144"/>
  <c r="Q328" i="144"/>
  <c r="Q329" i="144"/>
  <c r="Q330" i="144"/>
  <c r="Q331" i="144"/>
  <c r="Q332" i="144"/>
  <c r="Q333" i="144"/>
  <c r="Q334" i="144"/>
  <c r="Q335" i="144"/>
  <c r="Q336" i="144"/>
  <c r="Q337" i="144"/>
  <c r="Q338" i="144"/>
  <c r="Q339" i="144"/>
  <c r="Q340" i="144"/>
  <c r="Q341" i="144"/>
  <c r="Q342" i="144"/>
  <c r="Q343" i="144"/>
  <c r="Q344" i="144"/>
  <c r="Q345" i="144"/>
  <c r="Q346" i="144"/>
  <c r="Q347" i="144"/>
  <c r="Q348" i="144"/>
  <c r="Q349" i="144"/>
  <c r="Q350" i="144"/>
  <c r="Q351" i="144"/>
  <c r="Q352" i="144"/>
  <c r="Q353" i="144"/>
  <c r="Q354" i="144"/>
  <c r="Q355" i="144"/>
  <c r="Q356" i="144"/>
  <c r="Q357" i="144"/>
  <c r="Q358" i="144"/>
  <c r="Q359" i="144"/>
  <c r="Q360" i="144"/>
  <c r="Q361" i="144"/>
  <c r="Q362" i="144"/>
  <c r="Q363" i="144"/>
  <c r="Q364" i="144"/>
  <c r="Q365" i="144"/>
  <c r="Q366" i="144"/>
  <c r="Q367" i="144"/>
  <c r="Q368" i="144"/>
  <c r="Q369" i="144"/>
  <c r="Q370" i="144"/>
  <c r="Q371" i="144"/>
  <c r="Q372" i="144"/>
  <c r="Q373" i="144"/>
  <c r="Q374" i="144"/>
  <c r="Q375" i="144"/>
  <c r="Q376" i="144"/>
  <c r="Q377" i="144"/>
  <c r="Q378" i="144"/>
  <c r="Q379" i="144"/>
  <c r="Q380" i="144"/>
  <c r="Q381" i="144"/>
  <c r="Q382" i="144"/>
  <c r="Q383" i="144"/>
  <c r="Q384" i="144"/>
  <c r="Q385" i="144"/>
  <c r="Q386" i="144"/>
  <c r="Q387" i="144"/>
  <c r="Q388" i="144"/>
  <c r="Q389" i="144"/>
  <c r="Q390" i="144"/>
  <c r="Q391" i="144"/>
  <c r="Q392" i="144"/>
  <c r="Q393" i="144"/>
  <c r="Q394" i="144"/>
  <c r="Q395" i="144"/>
  <c r="Q396" i="144"/>
  <c r="Q397" i="144"/>
  <c r="Q398" i="144"/>
  <c r="Q399" i="144"/>
  <c r="Q400" i="144"/>
  <c r="Q401" i="144"/>
  <c r="Q402" i="144"/>
  <c r="Q403" i="144"/>
  <c r="Q404" i="144"/>
  <c r="Q405" i="144"/>
  <c r="Q406" i="144"/>
  <c r="Q407" i="144"/>
  <c r="Q408" i="144"/>
  <c r="Q409" i="144"/>
  <c r="Q410" i="144"/>
  <c r="Q411" i="144"/>
  <c r="Q412" i="144"/>
  <c r="Q413" i="144"/>
  <c r="Q414" i="144"/>
  <c r="Q415" i="144"/>
  <c r="Q416" i="144"/>
  <c r="Q417" i="144"/>
  <c r="Q418" i="144"/>
  <c r="Q419" i="144"/>
  <c r="Q420" i="144"/>
  <c r="Q421" i="144"/>
  <c r="Q422" i="144"/>
  <c r="Q423" i="144"/>
  <c r="Q424" i="144"/>
  <c r="Q425" i="144"/>
  <c r="Q426" i="144"/>
  <c r="Q427" i="144"/>
  <c r="Q428" i="144"/>
  <c r="Q429" i="144"/>
  <c r="Q430" i="144"/>
  <c r="Q431" i="144"/>
  <c r="Q432" i="144"/>
  <c r="Q433" i="144"/>
  <c r="Q434" i="144"/>
  <c r="Q435" i="144"/>
  <c r="Q436" i="144"/>
  <c r="Q437" i="144"/>
  <c r="Q438" i="144"/>
  <c r="Q439" i="144"/>
  <c r="Q440" i="144"/>
  <c r="Q441" i="144"/>
  <c r="Q442" i="144"/>
  <c r="Q443" i="144"/>
  <c r="Q444" i="144"/>
  <c r="Q445" i="144"/>
  <c r="Q446" i="144"/>
  <c r="Q447" i="144"/>
  <c r="Q448" i="144"/>
  <c r="Q449" i="144"/>
  <c r="Q450" i="144"/>
  <c r="Q451" i="144"/>
  <c r="Q452" i="144"/>
  <c r="Q453" i="144"/>
  <c r="Q454" i="144"/>
  <c r="Q455" i="144"/>
  <c r="Q456" i="144"/>
  <c r="Q457" i="144"/>
  <c r="Q458" i="144"/>
  <c r="Q459" i="144"/>
  <c r="Q460" i="144"/>
  <c r="Q461" i="144"/>
  <c r="Q462" i="144"/>
  <c r="Q463" i="144"/>
  <c r="Q464" i="144"/>
  <c r="Q465" i="144"/>
  <c r="Q466" i="144"/>
  <c r="Q467" i="144"/>
  <c r="Q468" i="144"/>
  <c r="Q469" i="144"/>
  <c r="Q470" i="144"/>
  <c r="Q471" i="144"/>
  <c r="Q472" i="144"/>
  <c r="Q473" i="144"/>
  <c r="Q474" i="144"/>
  <c r="Q475" i="144"/>
  <c r="Q476" i="144"/>
  <c r="Q477" i="144"/>
  <c r="Q478" i="144"/>
  <c r="Q479" i="144"/>
  <c r="Q480" i="144"/>
  <c r="Q481" i="144"/>
  <c r="Q482" i="144"/>
  <c r="Q483" i="144"/>
  <c r="Q484" i="144"/>
  <c r="Q485" i="144"/>
  <c r="Q486" i="144"/>
  <c r="Q487" i="144"/>
  <c r="Q488" i="144"/>
  <c r="Q489" i="144"/>
  <c r="Q490" i="144"/>
  <c r="Q491" i="144"/>
  <c r="Q492" i="144"/>
  <c r="Q493" i="144"/>
  <c r="Q494" i="144"/>
  <c r="Q495" i="144"/>
  <c r="Q496" i="144"/>
  <c r="Q497" i="144"/>
  <c r="Q498" i="144"/>
  <c r="Q499" i="144"/>
  <c r="Q500" i="144"/>
  <c r="Q501" i="144"/>
  <c r="Q502" i="144"/>
  <c r="Q503" i="144"/>
  <c r="Q504" i="144"/>
  <c r="Q505" i="144"/>
  <c r="Q506" i="144"/>
  <c r="Q507" i="144"/>
  <c r="Q508" i="144"/>
  <c r="Q509" i="144"/>
  <c r="Q510" i="144"/>
  <c r="Q511" i="144"/>
  <c r="Q512" i="144"/>
  <c r="Q513" i="144"/>
  <c r="Q514" i="144"/>
  <c r="Q515" i="144"/>
  <c r="Q516" i="144"/>
  <c r="Q517" i="144"/>
  <c r="Q518" i="144"/>
  <c r="Q519" i="144"/>
  <c r="Q520" i="144"/>
  <c r="Q521" i="144"/>
  <c r="Q522" i="144"/>
  <c r="Q523" i="144"/>
  <c r="Q524" i="144"/>
  <c r="Q525" i="144"/>
  <c r="Q526" i="144"/>
  <c r="Q527" i="144"/>
  <c r="Q528" i="144"/>
  <c r="Q529" i="144"/>
  <c r="Q530" i="144"/>
  <c r="Q531" i="144"/>
  <c r="Q532" i="144"/>
  <c r="Q533" i="144"/>
  <c r="Q534" i="144"/>
  <c r="Q535" i="144"/>
  <c r="Q536" i="144"/>
  <c r="Q537" i="144"/>
  <c r="Q538" i="144"/>
  <c r="Q539" i="144"/>
  <c r="Q540" i="144"/>
  <c r="Q541" i="144"/>
  <c r="Q542" i="144"/>
  <c r="Q543" i="144"/>
  <c r="Q544" i="144"/>
  <c r="Q545" i="144"/>
  <c r="Q546" i="144"/>
  <c r="Q547" i="144"/>
  <c r="Q548" i="144"/>
  <c r="Q549" i="144"/>
  <c r="Q550" i="144"/>
  <c r="Q551" i="144"/>
  <c r="Q552" i="144"/>
  <c r="Q553" i="144"/>
  <c r="Q554" i="144"/>
  <c r="Q555" i="144"/>
  <c r="Q556" i="144"/>
  <c r="Q557" i="144"/>
  <c r="Q558" i="144"/>
  <c r="Q559" i="144"/>
  <c r="Q560" i="144"/>
  <c r="Q561" i="144"/>
  <c r="Q562" i="144"/>
  <c r="Q563" i="144"/>
  <c r="Q564" i="144"/>
  <c r="Q565" i="144"/>
  <c r="Q566" i="144"/>
  <c r="Q567" i="144"/>
  <c r="Q568" i="144"/>
  <c r="Q569" i="144"/>
  <c r="Q570" i="144"/>
  <c r="Q571" i="144"/>
  <c r="Q572" i="144"/>
  <c r="Q573" i="144"/>
  <c r="Q574" i="144"/>
  <c r="Q575" i="144"/>
  <c r="Q576" i="144"/>
  <c r="Q577" i="144"/>
  <c r="Q578" i="144"/>
  <c r="Q579" i="144"/>
  <c r="Q580" i="144"/>
  <c r="Q581" i="144"/>
  <c r="Q582" i="144"/>
  <c r="Q583" i="144"/>
  <c r="Q584" i="144"/>
  <c r="Q585" i="144"/>
  <c r="Q586" i="144"/>
  <c r="Q587" i="144"/>
  <c r="Q588" i="144"/>
  <c r="Q589" i="144"/>
  <c r="Q590" i="144"/>
  <c r="Q591" i="144"/>
  <c r="Q592" i="144"/>
  <c r="Q593" i="144"/>
  <c r="Q594" i="144"/>
  <c r="Q595" i="144"/>
  <c r="Q596" i="144"/>
  <c r="Q597" i="144"/>
  <c r="Q598" i="144"/>
  <c r="Q599" i="144"/>
  <c r="Q600" i="144"/>
  <c r="Q601" i="144"/>
  <c r="Q602" i="144"/>
  <c r="Q603" i="144"/>
  <c r="Q604" i="144"/>
  <c r="Q605" i="144"/>
  <c r="Q606" i="144"/>
  <c r="Q607" i="144"/>
  <c r="Q608" i="144"/>
  <c r="Q609" i="144"/>
  <c r="Q610" i="144"/>
  <c r="Q611" i="144"/>
  <c r="Q612" i="144"/>
  <c r="Q613" i="144"/>
  <c r="Q614" i="144"/>
  <c r="Q615" i="144"/>
  <c r="Q616" i="144"/>
  <c r="Q617" i="144"/>
  <c r="Q618" i="144"/>
  <c r="Q619" i="144"/>
  <c r="Q620" i="144"/>
  <c r="Q621" i="144"/>
  <c r="Q622" i="144"/>
  <c r="Q623" i="144"/>
  <c r="Q624" i="144"/>
  <c r="Q625" i="144"/>
  <c r="Q626" i="144"/>
  <c r="Q627" i="144"/>
  <c r="Q628" i="144"/>
  <c r="F12" i="170"/>
  <c r="Q629" i="144"/>
  <c r="Q630" i="144"/>
  <c r="Q631" i="144"/>
  <c r="Q632" i="144"/>
  <c r="Q633" i="144"/>
  <c r="Q634" i="144"/>
  <c r="Q635" i="144"/>
  <c r="Q636" i="144"/>
  <c r="Q637" i="144"/>
  <c r="Q638" i="144"/>
  <c r="Q639" i="144"/>
  <c r="Q640" i="144"/>
  <c r="Q641" i="144"/>
  <c r="Q642" i="144"/>
  <c r="Q643" i="144"/>
  <c r="Q644" i="144"/>
  <c r="Q645" i="144"/>
  <c r="Q646" i="144"/>
  <c r="Q647" i="144"/>
  <c r="Q648" i="144"/>
  <c r="Q649" i="144"/>
  <c r="Q650" i="144"/>
  <c r="Q651" i="144"/>
  <c r="Q652" i="144"/>
  <c r="Q653" i="144"/>
  <c r="Q654" i="144"/>
  <c r="Q655" i="144"/>
  <c r="Q656" i="144"/>
  <c r="Q657" i="144"/>
  <c r="Q658" i="144"/>
  <c r="Q659" i="144"/>
  <c r="Q660" i="144"/>
  <c r="Q661" i="144"/>
  <c r="Q662" i="144"/>
  <c r="Q663" i="144"/>
  <c r="Q664" i="144"/>
  <c r="Q665" i="144"/>
  <c r="Q666" i="144"/>
  <c r="Q667" i="144"/>
  <c r="Q668" i="144"/>
  <c r="Q669" i="144"/>
  <c r="Q670" i="144"/>
  <c r="Q671" i="144"/>
  <c r="Q672" i="144"/>
  <c r="Q673" i="144"/>
  <c r="Q674" i="144"/>
  <c r="Q675" i="144"/>
  <c r="Q676" i="144"/>
  <c r="Q677" i="144"/>
  <c r="Q678" i="144"/>
  <c r="Q679" i="144"/>
  <c r="Q680" i="144"/>
  <c r="Q681" i="144"/>
  <c r="Q682" i="144"/>
  <c r="Q683" i="144"/>
  <c r="Q684" i="144"/>
  <c r="Q685" i="144"/>
  <c r="Q686" i="144"/>
  <c r="Q687" i="144"/>
  <c r="Q688" i="144"/>
  <c r="Q689" i="144"/>
  <c r="Q690" i="144"/>
  <c r="Q691" i="144"/>
  <c r="Q692" i="144"/>
  <c r="Q693" i="144"/>
  <c r="Q694" i="144"/>
  <c r="Q695" i="144"/>
  <c r="Q696" i="144"/>
  <c r="Q697" i="144"/>
  <c r="Q698" i="144"/>
  <c r="Q699" i="144"/>
  <c r="Q700" i="144"/>
  <c r="Q701" i="144"/>
  <c r="Q702" i="144"/>
  <c r="Q703" i="144"/>
  <c r="Q704" i="144"/>
  <c r="Q705" i="144"/>
  <c r="Q706" i="144"/>
  <c r="Q707" i="144"/>
  <c r="Q708" i="144"/>
  <c r="Q709" i="144"/>
  <c r="Q710" i="144"/>
  <c r="Q711" i="144"/>
  <c r="Q712" i="144"/>
  <c r="Q713" i="144"/>
  <c r="Q714" i="144"/>
  <c r="Q715" i="144"/>
  <c r="Q716" i="144"/>
  <c r="Q717" i="144"/>
  <c r="Q718" i="144"/>
  <c r="Q719" i="144"/>
  <c r="Q720" i="144"/>
  <c r="Q721" i="144"/>
  <c r="Q722" i="144"/>
  <c r="Q723" i="144"/>
  <c r="Q724" i="144"/>
  <c r="Q725" i="144"/>
  <c r="Q726" i="144"/>
  <c r="Q727" i="144"/>
  <c r="Q728" i="144"/>
  <c r="Q729" i="144"/>
  <c r="Q730" i="144"/>
  <c r="Q731" i="144"/>
  <c r="Q732" i="144"/>
  <c r="Q733" i="144"/>
  <c r="Q734" i="144"/>
  <c r="Q735" i="144"/>
  <c r="Q736" i="144"/>
  <c r="Q737" i="144"/>
  <c r="Q738" i="144"/>
  <c r="Q739" i="144"/>
  <c r="Q740" i="144"/>
  <c r="Q741" i="144"/>
  <c r="Q742" i="144"/>
  <c r="Q743" i="144"/>
  <c r="Q744" i="144"/>
  <c r="Q745" i="144"/>
  <c r="Q746" i="144"/>
  <c r="Q747" i="144"/>
  <c r="Q748" i="144"/>
  <c r="Q749" i="144"/>
  <c r="Q750" i="144"/>
  <c r="Q751" i="144"/>
  <c r="Q752" i="144"/>
  <c r="Q753" i="144"/>
  <c r="Q754" i="144"/>
  <c r="Q755" i="144"/>
  <c r="Q756" i="144"/>
  <c r="Q757" i="144"/>
  <c r="Q758" i="144"/>
  <c r="Q759" i="144"/>
  <c r="Q760" i="144"/>
  <c r="Q761" i="144"/>
  <c r="Q762" i="144"/>
  <c r="Q763" i="144"/>
  <c r="Q764" i="144"/>
  <c r="Q765" i="144"/>
  <c r="Q766" i="144"/>
  <c r="Q767" i="144"/>
  <c r="Q768" i="144"/>
  <c r="Q769" i="144"/>
  <c r="Q770" i="144"/>
  <c r="Q771" i="144"/>
  <c r="Q772" i="144"/>
  <c r="Q773" i="144"/>
  <c r="Q774" i="144"/>
  <c r="Q775" i="144"/>
  <c r="Q776" i="144"/>
  <c r="Q777" i="144"/>
  <c r="Q778" i="144"/>
  <c r="Q779" i="144"/>
  <c r="Q780" i="144"/>
  <c r="Q781" i="144"/>
  <c r="Q782" i="144"/>
  <c r="Q783" i="144"/>
  <c r="Q784" i="144"/>
  <c r="Q785" i="144"/>
  <c r="Q786" i="144"/>
  <c r="Q787" i="144"/>
  <c r="Q788" i="144"/>
  <c r="Q789" i="144"/>
  <c r="Q790" i="144"/>
  <c r="Q791" i="144"/>
  <c r="Q792" i="144"/>
  <c r="Q793" i="144"/>
  <c r="Q794" i="144"/>
  <c r="Q795" i="144"/>
  <c r="Q796" i="144"/>
  <c r="Q797" i="144"/>
  <c r="Q798" i="144"/>
  <c r="Q799" i="144"/>
  <c r="Q800" i="144"/>
  <c r="Q801" i="144"/>
  <c r="Q802" i="144"/>
  <c r="Q803" i="144"/>
  <c r="Q804" i="144"/>
  <c r="Q805" i="144"/>
  <c r="Q806" i="144"/>
  <c r="Q807" i="144"/>
  <c r="Q808" i="144"/>
  <c r="Q809" i="144"/>
  <c r="Q810" i="144"/>
  <c r="Q811" i="144"/>
  <c r="Q812" i="144"/>
  <c r="Q813" i="144"/>
  <c r="Q814" i="144"/>
  <c r="Q815" i="144"/>
  <c r="Q816" i="144"/>
  <c r="Q817" i="144"/>
  <c r="Q818" i="144"/>
  <c r="Q819" i="144"/>
  <c r="Q820" i="144"/>
  <c r="Q821" i="144"/>
  <c r="Q822" i="144"/>
  <c r="Q823" i="144"/>
  <c r="Q824" i="144"/>
  <c r="Q825" i="144"/>
  <c r="Q826" i="144"/>
  <c r="Q827" i="144"/>
  <c r="Q828" i="144"/>
  <c r="Q829" i="144"/>
  <c r="Q830" i="144"/>
  <c r="Q831" i="144"/>
  <c r="Q832" i="144"/>
  <c r="Q833" i="144"/>
  <c r="Q834" i="144"/>
  <c r="Q835" i="144"/>
  <c r="Q836" i="144"/>
  <c r="Q837" i="144"/>
  <c r="Q838" i="144"/>
  <c r="Q839" i="144"/>
  <c r="Q840" i="144"/>
  <c r="Q841" i="144"/>
  <c r="Q842" i="144"/>
  <c r="Q843" i="144"/>
  <c r="Q844" i="144"/>
  <c r="Q845" i="144"/>
  <c r="Q846" i="144"/>
  <c r="Q847" i="144"/>
  <c r="Q848" i="144"/>
  <c r="Q849" i="144"/>
  <c r="Q850" i="144"/>
  <c r="Q851" i="144"/>
  <c r="Q852" i="144"/>
  <c r="Q853" i="144"/>
  <c r="Q854" i="144"/>
  <c r="Q855" i="144"/>
  <c r="Q856" i="144"/>
  <c r="Q857" i="144"/>
  <c r="Q858" i="144"/>
  <c r="Q859" i="144"/>
  <c r="Q860" i="144"/>
  <c r="Q861" i="144"/>
  <c r="Q862" i="144"/>
  <c r="Q863" i="144"/>
  <c r="Q864" i="144"/>
  <c r="Q865" i="144"/>
  <c r="Q866" i="144"/>
  <c r="Q867" i="144"/>
  <c r="Q868" i="144"/>
  <c r="Q869" i="144"/>
  <c r="Q870" i="144"/>
  <c r="Q871" i="144"/>
  <c r="Q872" i="144"/>
  <c r="Q873" i="144"/>
  <c r="Q874" i="144"/>
  <c r="Q875" i="144"/>
  <c r="Q876" i="144"/>
  <c r="Q877" i="144"/>
  <c r="Q878" i="144"/>
  <c r="Q879" i="144"/>
  <c r="Q880" i="144"/>
  <c r="Q881" i="144"/>
  <c r="Q882" i="144"/>
  <c r="Q883" i="144"/>
  <c r="Q884" i="144"/>
  <c r="Q885" i="144"/>
  <c r="Q886" i="144"/>
  <c r="Q887" i="144"/>
  <c r="Q888" i="144"/>
  <c r="Q889" i="144"/>
  <c r="Q890" i="144"/>
  <c r="Q891" i="144"/>
  <c r="Q892" i="144"/>
  <c r="Q893" i="144"/>
  <c r="Q894" i="144"/>
  <c r="Q895" i="144"/>
  <c r="Q896" i="144"/>
  <c r="Q897" i="144"/>
  <c r="Q898" i="144"/>
  <c r="Q899" i="144"/>
  <c r="Q900" i="144"/>
  <c r="Q901" i="144"/>
  <c r="Q902" i="144"/>
  <c r="Q903" i="144"/>
  <c r="Q904" i="144"/>
  <c r="Q905" i="144"/>
  <c r="Q906" i="144"/>
  <c r="Q907" i="144"/>
  <c r="Q908" i="144"/>
  <c r="Q909" i="144"/>
  <c r="Q910" i="144"/>
  <c r="Q911" i="144"/>
  <c r="Q912" i="144"/>
  <c r="Q913" i="144"/>
  <c r="Q914" i="144"/>
  <c r="Q915" i="144"/>
  <c r="Q916" i="144"/>
  <c r="Q917" i="144"/>
  <c r="Q918" i="144"/>
  <c r="Q919" i="144"/>
  <c r="Q920" i="144"/>
  <c r="Q921" i="144"/>
  <c r="Q922" i="144"/>
  <c r="Q923" i="144"/>
  <c r="Q924" i="144"/>
  <c r="Q925" i="144"/>
  <c r="Q926" i="144"/>
  <c r="Q927" i="144"/>
  <c r="Q928" i="144"/>
  <c r="Q929" i="144"/>
  <c r="Q930" i="144"/>
  <c r="Q931" i="144"/>
  <c r="Q932" i="144"/>
  <c r="Q933" i="144"/>
  <c r="Q934" i="144"/>
  <c r="Q935" i="144"/>
  <c r="Q936" i="144"/>
  <c r="Q937" i="144"/>
  <c r="Q938" i="144"/>
  <c r="Q939" i="144"/>
  <c r="Q940" i="144"/>
  <c r="Q941" i="144"/>
  <c r="Q942" i="144"/>
  <c r="Q943" i="144"/>
  <c r="Q944" i="144"/>
  <c r="Q945" i="144"/>
  <c r="Q946" i="144"/>
  <c r="Q947" i="144"/>
  <c r="Q948" i="144"/>
  <c r="Q949" i="144"/>
  <c r="Q950" i="144"/>
  <c r="Q951" i="144"/>
  <c r="Q952" i="144"/>
  <c r="Q953" i="144"/>
  <c r="Q954" i="144"/>
  <c r="Q955" i="144"/>
  <c r="Q956" i="144"/>
  <c r="Q957" i="144"/>
  <c r="Q958" i="144"/>
  <c r="Q959" i="144"/>
  <c r="Q960" i="144"/>
  <c r="Q961" i="144"/>
  <c r="Q962" i="144"/>
  <c r="Q963" i="144"/>
  <c r="Q964" i="144"/>
  <c r="Q965" i="144"/>
  <c r="Q966" i="144"/>
  <c r="Q967" i="144"/>
  <c r="Q968" i="144"/>
  <c r="Q969" i="144"/>
  <c r="Q970" i="144"/>
  <c r="Q971" i="144"/>
  <c r="Q972" i="144"/>
  <c r="Q973" i="144"/>
  <c r="Q974" i="144"/>
  <c r="Q975" i="144"/>
  <c r="Q976" i="144"/>
  <c r="Q977" i="144"/>
  <c r="Q978" i="144"/>
  <c r="Q979" i="144"/>
  <c r="Q980" i="144"/>
  <c r="Q981" i="144"/>
  <c r="Q982" i="144"/>
  <c r="Q983" i="144"/>
  <c r="Q984" i="144"/>
  <c r="Q985" i="144"/>
  <c r="Q986" i="144"/>
  <c r="Q987" i="144"/>
  <c r="Q988" i="144"/>
  <c r="Q989" i="144"/>
  <c r="Q990" i="144"/>
  <c r="Q991" i="144"/>
  <c r="Q992" i="144"/>
  <c r="Q993" i="144"/>
  <c r="Q994" i="144"/>
  <c r="Q995" i="144"/>
  <c r="Q996" i="144"/>
  <c r="Q997" i="144"/>
  <c r="Q998" i="144"/>
  <c r="Q999" i="144"/>
  <c r="Q1000" i="144"/>
  <c r="Q1001" i="144"/>
  <c r="Q1002" i="144"/>
  <c r="Q1003" i="144"/>
  <c r="Q1004" i="144"/>
  <c r="Q1005" i="144"/>
  <c r="Q1006" i="144"/>
  <c r="Q1007" i="144"/>
  <c r="Q1008" i="144"/>
  <c r="Q1009" i="144"/>
  <c r="Q1010" i="144"/>
  <c r="Q1011" i="144"/>
  <c r="Q1012" i="144"/>
  <c r="Q1013" i="144"/>
  <c r="Q1014" i="144"/>
  <c r="Q1015" i="144"/>
  <c r="Q1016" i="144"/>
  <c r="Q1017" i="144"/>
  <c r="Q1018" i="144"/>
  <c r="Q1019" i="144"/>
  <c r="Q1020" i="144"/>
  <c r="Q1021" i="144"/>
  <c r="Q1022" i="144"/>
  <c r="Q1023" i="144"/>
  <c r="Q1024" i="144"/>
  <c r="Q1025" i="144"/>
  <c r="Q1026" i="144"/>
  <c r="Q1027" i="144"/>
  <c r="Q1028" i="144"/>
  <c r="Q1029" i="144"/>
  <c r="Q1030" i="144"/>
  <c r="Q1031" i="144"/>
  <c r="Q1032" i="144"/>
  <c r="Q1033" i="144"/>
  <c r="Q1034" i="144"/>
  <c r="Q1035" i="144"/>
  <c r="Q1036" i="144"/>
  <c r="Q1037" i="144"/>
  <c r="Q1038" i="144"/>
  <c r="Q1039" i="144"/>
  <c r="Q1040" i="144"/>
  <c r="Q1041" i="144"/>
  <c r="Q1042" i="144"/>
  <c r="Q1043" i="144"/>
  <c r="Q1044" i="144"/>
  <c r="Q1045" i="144"/>
  <c r="Q1046" i="144"/>
  <c r="Q1047" i="144"/>
  <c r="Q1048" i="144"/>
  <c r="Q1049" i="144"/>
  <c r="Q1050" i="144"/>
  <c r="Q1051" i="144"/>
  <c r="Q1052" i="144"/>
  <c r="Q1053" i="144"/>
  <c r="Q1054" i="144"/>
  <c r="Q1055" i="144"/>
  <c r="Q1056" i="144"/>
  <c r="Q1057" i="144"/>
  <c r="Q1058" i="144"/>
  <c r="Q1059" i="144"/>
  <c r="Q1060" i="144"/>
  <c r="Q1061" i="144"/>
  <c r="Q1062" i="144"/>
  <c r="Q1063" i="144"/>
  <c r="Q1064" i="144"/>
  <c r="Q1065" i="144"/>
  <c r="Q1066" i="144"/>
  <c r="Q1067" i="144"/>
  <c r="Q1068" i="144"/>
  <c r="Q1069" i="144"/>
  <c r="Q1070" i="144"/>
  <c r="Q1071" i="144"/>
  <c r="Q1072" i="144"/>
  <c r="Q1073" i="144"/>
  <c r="Q1074" i="144"/>
  <c r="Q1075" i="144"/>
  <c r="Q1076" i="144"/>
  <c r="Q1077" i="144"/>
  <c r="Q1078" i="144"/>
  <c r="Q1079" i="144"/>
  <c r="Q1080" i="144"/>
  <c r="Q1081" i="144"/>
  <c r="Q1082" i="144"/>
  <c r="Q1083" i="144"/>
  <c r="Q1084" i="144"/>
  <c r="Q1085" i="144"/>
  <c r="Q1086" i="144"/>
  <c r="Q1087" i="144"/>
  <c r="Q1088" i="144"/>
  <c r="Q1089" i="144"/>
  <c r="Q1090" i="144"/>
  <c r="Q1091" i="144"/>
  <c r="Q1092" i="144"/>
  <c r="Q1093" i="144"/>
  <c r="Q1094" i="144"/>
  <c r="Q1095" i="144"/>
  <c r="Q1096" i="144"/>
  <c r="Q1097" i="144"/>
  <c r="Q1098" i="144"/>
  <c r="Q1099" i="144"/>
  <c r="Q1100" i="144"/>
  <c r="Q1101" i="144"/>
  <c r="Q1102" i="144"/>
  <c r="Q1103" i="144"/>
  <c r="Q1104" i="144"/>
  <c r="Q1105" i="144"/>
  <c r="Q1106" i="144"/>
  <c r="Q1107" i="144"/>
  <c r="Q1108" i="144"/>
  <c r="Q1109" i="144"/>
  <c r="Q1110" i="144"/>
  <c r="Q1111" i="144"/>
  <c r="Q1112" i="144"/>
  <c r="Q1113" i="144"/>
  <c r="Q1114" i="144"/>
  <c r="Q1115" i="144"/>
  <c r="Q1116" i="144"/>
  <c r="Q1117" i="144"/>
  <c r="Q1118" i="144"/>
  <c r="Q1119" i="144"/>
  <c r="Q1120" i="144"/>
  <c r="Q1121" i="144"/>
  <c r="Q1122" i="144"/>
  <c r="Q1123" i="144"/>
  <c r="Q1124" i="144"/>
  <c r="Q1125" i="144"/>
  <c r="Q1126" i="144"/>
  <c r="Q1127" i="144"/>
  <c r="Q1128" i="144"/>
  <c r="Q1129" i="144"/>
  <c r="Q1130" i="144"/>
  <c r="Q1131" i="144"/>
  <c r="Q1132" i="144"/>
  <c r="Q1133" i="144"/>
  <c r="Q1134" i="144"/>
  <c r="Q1135" i="144"/>
  <c r="Q1136" i="144"/>
  <c r="Q1137" i="144"/>
  <c r="Q1138" i="144"/>
  <c r="Q1139" i="144"/>
  <c r="Q1140" i="144"/>
  <c r="Q1141" i="144"/>
  <c r="Q1142" i="144"/>
  <c r="Q1143" i="144"/>
  <c r="Q1144" i="144"/>
  <c r="Q1145" i="144"/>
  <c r="Q1146" i="144"/>
  <c r="Q1147" i="144"/>
  <c r="Q1148" i="144"/>
  <c r="Q1149" i="144"/>
  <c r="Q1150" i="144"/>
  <c r="Q1151" i="144"/>
  <c r="Q1152" i="144"/>
  <c r="Q1153" i="144"/>
  <c r="Q1154" i="144"/>
  <c r="Q1155" i="144"/>
  <c r="Q1156" i="144"/>
  <c r="Q1157" i="144"/>
  <c r="Q1158" i="144"/>
  <c r="Q1159" i="144"/>
  <c r="Q1160" i="144"/>
  <c r="Q1161" i="144"/>
  <c r="Q1162" i="144"/>
  <c r="Q1163" i="144"/>
  <c r="Q1164" i="144"/>
  <c r="Q1165" i="144"/>
  <c r="Q1166" i="144"/>
  <c r="Q1167" i="144"/>
  <c r="Q1168" i="144"/>
  <c r="Q1169" i="144"/>
  <c r="Q1170" i="144"/>
  <c r="Q1171" i="144"/>
  <c r="Q1172" i="144"/>
  <c r="Q1173" i="144"/>
  <c r="Q1174" i="144"/>
  <c r="Q1175" i="144"/>
  <c r="Q1176" i="144"/>
  <c r="Q1177" i="144"/>
  <c r="Q1178" i="144"/>
  <c r="Q1179" i="144"/>
  <c r="Q1180" i="144"/>
  <c r="Q1181" i="144"/>
  <c r="Q1182" i="144"/>
  <c r="Q1183" i="144"/>
  <c r="Q1184" i="144"/>
  <c r="Q1185" i="144"/>
  <c r="Q1186" i="144"/>
  <c r="Q1187" i="144"/>
  <c r="Q1188" i="144"/>
  <c r="Q1189" i="144"/>
  <c r="Q1190" i="144"/>
  <c r="Q1191" i="144"/>
  <c r="Q1192" i="144"/>
  <c r="Q1193" i="144"/>
  <c r="Q1194" i="144"/>
  <c r="Q1195" i="144"/>
  <c r="Q1196" i="144"/>
  <c r="Q1197" i="144"/>
  <c r="Q1198" i="144"/>
  <c r="Q1199" i="144"/>
  <c r="Q1200" i="144"/>
  <c r="Q1201" i="144"/>
  <c r="Q1202" i="144"/>
  <c r="Q1203" i="144"/>
  <c r="Q1204" i="144"/>
  <c r="Q1205" i="144"/>
  <c r="Q1206" i="144"/>
  <c r="Q1207" i="144"/>
  <c r="Q1208" i="144"/>
  <c r="Q1209" i="144"/>
  <c r="Q1210" i="144"/>
  <c r="Q1211" i="144"/>
  <c r="Q1212" i="144"/>
  <c r="Q1213" i="144"/>
  <c r="Q1214" i="144"/>
  <c r="Q1215" i="144"/>
  <c r="Q1216" i="144"/>
  <c r="Q1217" i="144"/>
  <c r="Q1218" i="144"/>
  <c r="Q1219" i="144"/>
  <c r="Q1220" i="144"/>
  <c r="Q1221" i="144"/>
  <c r="Q1222" i="144"/>
  <c r="Q1223" i="144"/>
  <c r="Q1224" i="144"/>
  <c r="Q1225" i="144"/>
  <c r="Q1226" i="144"/>
  <c r="Q1227" i="144"/>
  <c r="Q1228" i="144"/>
  <c r="Q1229" i="144"/>
  <c r="Q1230" i="144"/>
  <c r="Q1231" i="144"/>
  <c r="Q1232" i="144"/>
  <c r="Q1233" i="144"/>
  <c r="Q1234" i="144"/>
  <c r="Q1235" i="144"/>
  <c r="Q1236" i="144"/>
  <c r="Q1237" i="144"/>
  <c r="Q1238" i="144"/>
  <c r="Q1239" i="144"/>
  <c r="Q1240" i="144"/>
  <c r="Q1241" i="144"/>
  <c r="Q1242" i="144"/>
  <c r="Q1243" i="144"/>
  <c r="Q1244" i="144"/>
  <c r="Q1245" i="144"/>
  <c r="Q1246" i="144"/>
  <c r="Q1247" i="144"/>
  <c r="Q1248" i="144"/>
  <c r="Q1249" i="144"/>
  <c r="Q1250" i="144"/>
  <c r="Q1251" i="144"/>
  <c r="Q1252" i="144"/>
  <c r="Q1253" i="144"/>
  <c r="Q1254" i="144"/>
  <c r="Q1255" i="144"/>
  <c r="Q1256" i="144"/>
  <c r="Q1257" i="144"/>
  <c r="Q1258" i="144"/>
  <c r="Q1259" i="144"/>
  <c r="Q1260" i="144"/>
  <c r="Q1261" i="144"/>
  <c r="Q1262" i="144"/>
  <c r="Q1263" i="144"/>
  <c r="Q1264" i="144"/>
  <c r="Q1265" i="144"/>
  <c r="Q1266" i="144"/>
  <c r="Q1267" i="144"/>
  <c r="Q1268" i="144"/>
  <c r="Q1269" i="144"/>
  <c r="Q1270" i="144"/>
  <c r="Q1271" i="144"/>
  <c r="Q1272" i="144"/>
  <c r="Q1273" i="144"/>
  <c r="Q1274" i="144"/>
  <c r="Q1275" i="144"/>
  <c r="Q1276" i="144"/>
  <c r="Q1277" i="144"/>
  <c r="Q1278" i="144"/>
  <c r="Q1279" i="144"/>
  <c r="Q1280" i="144"/>
  <c r="Q1281" i="144"/>
  <c r="Q1282" i="144"/>
  <c r="Q1283" i="144"/>
  <c r="Q1284" i="144"/>
  <c r="Q1285" i="144"/>
  <c r="Q1286" i="144"/>
  <c r="Q1287" i="144"/>
  <c r="Q1288" i="144"/>
  <c r="Q1289" i="144"/>
  <c r="Q1290" i="144"/>
  <c r="Q1291" i="144"/>
  <c r="Q1292" i="144"/>
  <c r="Q1293" i="144"/>
  <c r="Q1294" i="144"/>
  <c r="Q1295" i="144"/>
  <c r="Q1296" i="144"/>
  <c r="Q1297" i="144"/>
  <c r="Q1298" i="144"/>
  <c r="Q1299" i="144"/>
  <c r="Q1300" i="144"/>
  <c r="Q1301" i="144"/>
  <c r="Q1302" i="144"/>
  <c r="Q1303" i="144"/>
  <c r="Q1304" i="144"/>
  <c r="Q1305" i="144"/>
  <c r="Q1306" i="144"/>
  <c r="Q1307" i="144"/>
  <c r="Q1308" i="144"/>
  <c r="Q1309" i="144"/>
  <c r="Q1310" i="144"/>
  <c r="Q1311" i="144"/>
  <c r="Q1312" i="144"/>
  <c r="Q1313" i="144"/>
  <c r="Q1314" i="144"/>
  <c r="Q1315" i="144"/>
  <c r="Q1316" i="144"/>
  <c r="Q1317" i="144"/>
  <c r="Q1318" i="144"/>
  <c r="Q1319" i="144"/>
  <c r="Q1320" i="144"/>
  <c r="Q1321" i="144"/>
  <c r="Q1322" i="144"/>
  <c r="Q1323" i="144"/>
  <c r="Q1324" i="144"/>
  <c r="Q1325" i="144"/>
  <c r="Q1326" i="144"/>
  <c r="Q1327" i="144"/>
  <c r="Q1328" i="144"/>
  <c r="Q1329" i="144"/>
  <c r="Q1330" i="144"/>
  <c r="Q1331" i="144"/>
  <c r="Q1332" i="144"/>
  <c r="Q1333" i="144"/>
  <c r="Q1334" i="144"/>
  <c r="Q1335" i="144"/>
  <c r="Q1336" i="144"/>
  <c r="Q1337" i="144"/>
  <c r="Q1338" i="144"/>
  <c r="Q1339" i="144"/>
  <c r="Q1340" i="144"/>
  <c r="Q1341" i="144"/>
  <c r="Q1342" i="144"/>
  <c r="Q1343" i="144"/>
  <c r="Q1344" i="144"/>
  <c r="Q1345" i="144"/>
  <c r="Q1346" i="144"/>
  <c r="Q1347" i="144"/>
  <c r="Q1348" i="144"/>
  <c r="Q1349" i="144"/>
  <c r="Q1350" i="144"/>
  <c r="Q1351" i="144"/>
  <c r="Q1352" i="144"/>
  <c r="Q1353" i="144"/>
  <c r="Q1354" i="144"/>
  <c r="Q1355" i="144"/>
  <c r="Q1356" i="144"/>
  <c r="Q1357" i="144"/>
  <c r="Q1358" i="144"/>
  <c r="Q1359" i="144"/>
  <c r="Q1360" i="144"/>
  <c r="Q1361" i="144"/>
  <c r="Q1362" i="144"/>
  <c r="Q1363" i="144"/>
  <c r="Q1364" i="144"/>
  <c r="Q1365" i="144"/>
  <c r="Q1366" i="144"/>
  <c r="Q1367" i="144"/>
  <c r="Q1368" i="144"/>
  <c r="Q1369" i="144"/>
  <c r="Q1370" i="144"/>
  <c r="Q1371" i="144"/>
  <c r="Q1372" i="144"/>
  <c r="Q1373" i="144"/>
  <c r="Q1374" i="144"/>
  <c r="Q1375" i="144"/>
  <c r="Q1376" i="144"/>
  <c r="Q1377" i="144"/>
  <c r="Q1378" i="144"/>
  <c r="Q1379" i="144"/>
  <c r="Q1380" i="144"/>
  <c r="Q1381" i="144"/>
  <c r="Q1382" i="144"/>
  <c r="Q1383" i="144"/>
  <c r="Q1384" i="144"/>
  <c r="Q1385" i="144"/>
  <c r="Q1386" i="144"/>
  <c r="Q1387" i="144"/>
  <c r="Q1388" i="144"/>
  <c r="Q1389" i="144"/>
  <c r="Q1390" i="144"/>
  <c r="Q1391" i="144"/>
  <c r="Q1392" i="144"/>
  <c r="Q1393" i="144"/>
  <c r="Q1394" i="144"/>
  <c r="Q1395" i="144"/>
  <c r="Q1396" i="144"/>
  <c r="Q1397" i="144"/>
  <c r="Q1398" i="144"/>
  <c r="Q1399" i="144"/>
  <c r="Q1400" i="144"/>
  <c r="Q1401" i="144"/>
  <c r="Q1402" i="144"/>
  <c r="Q1403" i="144"/>
  <c r="Q1404" i="144"/>
  <c r="Q1405" i="144"/>
  <c r="Q1406" i="144"/>
  <c r="Q1407" i="144"/>
  <c r="Q1408" i="144"/>
  <c r="Q1409" i="144"/>
  <c r="Q1410" i="144"/>
  <c r="Q1411" i="144"/>
  <c r="Q1412" i="144"/>
  <c r="Q1413" i="144"/>
  <c r="Q1414" i="144"/>
  <c r="Q1415" i="144"/>
  <c r="Q1416" i="144"/>
  <c r="Q1417" i="144"/>
  <c r="Q1418" i="144"/>
  <c r="Q1419" i="144"/>
  <c r="Q1420" i="144"/>
  <c r="Q1421" i="144"/>
  <c r="Q1422" i="144"/>
  <c r="Q1423" i="144"/>
  <c r="Q1424" i="144"/>
  <c r="Q1425" i="144"/>
  <c r="Q1426" i="144"/>
  <c r="Q1427" i="144"/>
  <c r="Q1428" i="144"/>
  <c r="Q1429" i="144"/>
  <c r="Q1430" i="144"/>
  <c r="Q1431" i="144"/>
  <c r="Q1432" i="144"/>
  <c r="Q1433" i="144"/>
  <c r="Q1434" i="144"/>
  <c r="Q1435" i="144"/>
  <c r="Q1436" i="144"/>
  <c r="Q1437" i="144"/>
  <c r="Q1438" i="144"/>
  <c r="Q1439" i="144"/>
  <c r="Q1440" i="144"/>
  <c r="Q1441" i="144"/>
  <c r="Q1442" i="144"/>
  <c r="Q1443" i="144"/>
  <c r="Q1444" i="144"/>
  <c r="Q1445" i="144"/>
  <c r="Q1446" i="144"/>
  <c r="Q1447" i="144"/>
  <c r="Q1448" i="144"/>
  <c r="Q1449" i="144"/>
  <c r="Q1450" i="144"/>
  <c r="Q1451" i="144"/>
  <c r="Q1452" i="144"/>
  <c r="Q1453" i="144"/>
  <c r="Q1454" i="144"/>
  <c r="Q1455" i="144"/>
  <c r="Q1456" i="144"/>
  <c r="Q1457" i="144"/>
  <c r="Q1458" i="144"/>
  <c r="Q1459" i="144"/>
  <c r="Q1460" i="144"/>
  <c r="Q1461" i="144"/>
  <c r="Q1462" i="144"/>
  <c r="Q1463" i="144"/>
  <c r="Q1464" i="144"/>
  <c r="Q1465" i="144"/>
  <c r="Q1466" i="144"/>
  <c r="Q1467" i="144"/>
  <c r="Q1468" i="144"/>
  <c r="Q1469" i="144"/>
  <c r="Q1470" i="144"/>
  <c r="Q1471" i="144"/>
  <c r="Q1472" i="144"/>
  <c r="Q1473" i="144"/>
  <c r="Q1474" i="144"/>
  <c r="Q1475" i="144"/>
  <c r="Q1476" i="144"/>
  <c r="Q1477" i="144"/>
  <c r="Q1478" i="144"/>
  <c r="Q1479" i="144"/>
  <c r="Q1480" i="144"/>
  <c r="Q1481" i="144"/>
  <c r="Q1482" i="144"/>
  <c r="Q1483" i="144"/>
  <c r="Q1484" i="144"/>
  <c r="Q1485" i="144"/>
  <c r="Q1486" i="144"/>
  <c r="Q1487" i="144"/>
  <c r="Q1488" i="144"/>
  <c r="Q1489" i="144"/>
  <c r="Q1490" i="144"/>
  <c r="Q1491" i="144"/>
  <c r="Q1492" i="144"/>
  <c r="Q1493" i="144"/>
  <c r="Q1494" i="144"/>
  <c r="Q1495" i="144"/>
  <c r="Q1496" i="144"/>
  <c r="Q1497" i="144"/>
  <c r="Q1498" i="144"/>
  <c r="Q1499" i="144"/>
  <c r="Q1500" i="144"/>
  <c r="Q1501" i="144"/>
  <c r="Q1502" i="144"/>
  <c r="Q1503" i="144"/>
  <c r="Q1504" i="144"/>
  <c r="Q1505" i="144"/>
  <c r="Q1506" i="144"/>
  <c r="Q1507" i="144"/>
  <c r="Q1508" i="144"/>
  <c r="Q1509" i="144"/>
  <c r="Q1510" i="144"/>
  <c r="Q1511" i="144"/>
  <c r="Q1512" i="144"/>
  <c r="Q1513" i="144"/>
  <c r="Q1514" i="144"/>
  <c r="Q1515" i="144"/>
  <c r="Q1516" i="144"/>
  <c r="Q1517" i="144"/>
  <c r="Q1518" i="144"/>
  <c r="Q1519" i="144"/>
  <c r="Q1520" i="144"/>
  <c r="Q1521" i="144"/>
  <c r="Q1522" i="144"/>
  <c r="Q1523" i="144"/>
  <c r="Q1524" i="144"/>
  <c r="Q1525" i="144"/>
  <c r="Q1526" i="144"/>
  <c r="Q1527" i="144"/>
  <c r="Q1528" i="144"/>
  <c r="Q1529" i="144"/>
  <c r="Q1530" i="144"/>
  <c r="Q1531" i="144"/>
  <c r="Q1532" i="144"/>
  <c r="Q1533" i="144"/>
  <c r="Q1534" i="144"/>
  <c r="Q1535" i="144"/>
  <c r="Q1536" i="144"/>
  <c r="Q1537" i="144"/>
  <c r="Q1538" i="144"/>
  <c r="Q1539" i="144"/>
  <c r="Q1540" i="144"/>
  <c r="Q1541" i="144"/>
  <c r="Q1542" i="144"/>
  <c r="Q1543" i="144"/>
  <c r="Q1544" i="144"/>
  <c r="Q1545" i="144"/>
  <c r="Q1546" i="144"/>
  <c r="Q1547" i="144"/>
  <c r="Q1548" i="144"/>
  <c r="Q1549" i="144"/>
  <c r="Q1550" i="144"/>
  <c r="Q1551" i="144"/>
  <c r="Q1552" i="144"/>
  <c r="Q1553" i="144"/>
  <c r="Q1554" i="144"/>
  <c r="Q1555" i="144"/>
  <c r="Q1556" i="144"/>
  <c r="Q1557" i="144"/>
  <c r="Q1558" i="144"/>
  <c r="Q1559" i="144"/>
  <c r="Q1560" i="144"/>
  <c r="Q1561" i="144"/>
  <c r="Q1562" i="144"/>
  <c r="Q1563" i="144"/>
  <c r="Q1564" i="144"/>
  <c r="Q1565" i="144"/>
  <c r="Q1566" i="144"/>
  <c r="Q1567" i="144"/>
  <c r="Q1568" i="144"/>
  <c r="Q1569" i="144"/>
  <c r="Q1570" i="144"/>
  <c r="Q1571" i="144"/>
  <c r="Q1572" i="144"/>
  <c r="Q1573" i="144"/>
  <c r="Q1574" i="144"/>
  <c r="Q1575" i="144"/>
  <c r="Q1576" i="144"/>
  <c r="Q1577" i="144"/>
  <c r="Q1578" i="144"/>
  <c r="Q1579" i="144"/>
  <c r="Q1580" i="144"/>
  <c r="Q1581" i="144"/>
  <c r="Q1582" i="144"/>
  <c r="Q1583" i="144"/>
  <c r="Q1584" i="144"/>
  <c r="Q1585" i="144"/>
  <c r="Q1586" i="144"/>
  <c r="Q1587" i="144"/>
  <c r="Q1588" i="144"/>
  <c r="Q1589" i="144"/>
  <c r="Q1590" i="144"/>
  <c r="Q1591" i="144"/>
  <c r="F17" i="170"/>
  <c r="Q1592" i="144"/>
  <c r="Q1593" i="144"/>
  <c r="Q1594" i="144"/>
  <c r="Q1595" i="144"/>
  <c r="Q1596" i="144"/>
  <c r="Q1597" i="144"/>
  <c r="Q1598" i="144"/>
  <c r="Q1599" i="144"/>
  <c r="Q1600" i="144"/>
  <c r="Q1601" i="144"/>
  <c r="Q1602" i="144"/>
  <c r="Q1603" i="144"/>
  <c r="Q1604" i="144"/>
  <c r="Q1605" i="144"/>
  <c r="Q1606" i="144"/>
  <c r="Q1607" i="144"/>
  <c r="Q1608" i="144"/>
  <c r="Q1609" i="144"/>
  <c r="Q1610" i="144"/>
  <c r="Q1611" i="144"/>
  <c r="Q1612" i="144"/>
  <c r="Q1613" i="144"/>
  <c r="Q1614" i="144"/>
  <c r="Q1615" i="144"/>
  <c r="Q1616" i="144"/>
  <c r="Q1617" i="144"/>
  <c r="Q1618" i="144"/>
  <c r="Q1619" i="144"/>
  <c r="Q1620" i="144"/>
  <c r="Q1621" i="144"/>
  <c r="Q1622" i="144"/>
  <c r="Q1623" i="144"/>
  <c r="Q1624" i="144"/>
  <c r="Q1625" i="144"/>
  <c r="Q1626" i="144"/>
  <c r="Q1627" i="144"/>
  <c r="Q1628" i="144"/>
  <c r="Q1629" i="144"/>
  <c r="Q1630" i="144"/>
  <c r="Q1631" i="144"/>
  <c r="Q1632" i="144"/>
  <c r="Q1633" i="144"/>
  <c r="Q1634" i="144"/>
  <c r="Q1635" i="144"/>
  <c r="Q1636" i="144"/>
  <c r="Q1637" i="144"/>
  <c r="Q1638" i="144"/>
  <c r="Q1639" i="144"/>
  <c r="Q1640" i="144"/>
  <c r="Q1641" i="144"/>
  <c r="Q1642" i="144"/>
  <c r="Q1643" i="144"/>
  <c r="Q1644" i="144"/>
  <c r="Q1645" i="144"/>
  <c r="Q1646" i="144"/>
  <c r="Q1647" i="144"/>
  <c r="Q1648" i="144"/>
  <c r="Q1649" i="144"/>
  <c r="Q1650" i="144"/>
  <c r="Q1651" i="144"/>
  <c r="Q1652" i="144"/>
  <c r="Q1653" i="144"/>
  <c r="Q1654" i="144"/>
  <c r="Q1655" i="144"/>
  <c r="Q1656" i="144"/>
  <c r="Q1657" i="144"/>
  <c r="Q1658" i="144"/>
  <c r="Q1659" i="144"/>
  <c r="Q1660" i="144"/>
  <c r="Q1661" i="144"/>
  <c r="Q1662" i="144"/>
  <c r="Q1663" i="144"/>
  <c r="Q1664" i="144"/>
  <c r="Q1665" i="144"/>
  <c r="Q1666" i="144"/>
  <c r="Q1667" i="144"/>
  <c r="Q1668" i="144"/>
  <c r="Q1669" i="144"/>
  <c r="Q1670" i="144"/>
  <c r="Q1671" i="144"/>
  <c r="Q1672" i="144"/>
  <c r="Q1673" i="144"/>
  <c r="Q1674" i="144"/>
  <c r="Q1675" i="144"/>
  <c r="Q1676" i="144"/>
  <c r="Q1677" i="144"/>
  <c r="Q1678" i="144"/>
  <c r="Q1679" i="144"/>
  <c r="Q1680" i="144"/>
  <c r="Q1681" i="144"/>
  <c r="Q1682" i="144"/>
  <c r="Q1683" i="144"/>
  <c r="Q1684" i="144"/>
  <c r="Q1685" i="144"/>
  <c r="Q1686" i="144"/>
  <c r="Q1687" i="144"/>
  <c r="Q1688" i="144"/>
  <c r="Q1689" i="144"/>
  <c r="Q1690" i="144"/>
  <c r="Q1691" i="144"/>
  <c r="Q1692" i="144"/>
  <c r="Q1693" i="144"/>
  <c r="Q1694" i="144"/>
  <c r="Q1695" i="144"/>
  <c r="Q1696" i="144"/>
  <c r="Q1697" i="144"/>
  <c r="Q1698" i="144"/>
  <c r="Q1699" i="144"/>
  <c r="Q1700" i="144"/>
  <c r="Q1701" i="144"/>
  <c r="Q1702" i="144"/>
  <c r="Q1703" i="144"/>
  <c r="Q1704" i="144"/>
  <c r="Q1705" i="144"/>
  <c r="Q1706" i="144"/>
  <c r="Q1707" i="144"/>
  <c r="Q1708" i="144"/>
  <c r="Q1709" i="144"/>
  <c r="Q1710" i="144"/>
  <c r="Q1711" i="144"/>
  <c r="Q1712" i="144"/>
  <c r="Q1713" i="144"/>
  <c r="Q1714" i="144"/>
  <c r="Q1715" i="144"/>
  <c r="Q1716" i="144"/>
  <c r="Q1717" i="144"/>
  <c r="Q1718" i="144"/>
  <c r="Q1719" i="144"/>
  <c r="Q1720" i="144"/>
  <c r="Q1721" i="144"/>
  <c r="Q1722" i="144"/>
  <c r="Q1723" i="144"/>
  <c r="Q1724" i="144"/>
  <c r="Q1725" i="144"/>
  <c r="Q1726" i="144"/>
  <c r="Q1727" i="144"/>
  <c r="Q1728" i="144"/>
  <c r="Q1729" i="144"/>
  <c r="Q1730" i="144"/>
  <c r="Q1731" i="144"/>
  <c r="Q1732" i="144"/>
  <c r="Q1733" i="144"/>
  <c r="Q1734" i="144"/>
  <c r="Q1735" i="144"/>
  <c r="Q1736" i="144"/>
  <c r="Q1737" i="144"/>
  <c r="Q1738" i="144"/>
  <c r="Q1739" i="144"/>
  <c r="Q1740" i="144"/>
  <c r="Q1741" i="144"/>
  <c r="Q1742" i="144"/>
  <c r="Q1743" i="144"/>
  <c r="Q1744" i="144"/>
  <c r="Q1745" i="144"/>
  <c r="Q1746" i="144"/>
  <c r="Q1747" i="144"/>
  <c r="Q1748" i="144"/>
  <c r="Q1749" i="144"/>
  <c r="Q1750" i="144"/>
  <c r="Q1751" i="144"/>
  <c r="Q1752" i="144"/>
  <c r="Q1753" i="144"/>
  <c r="Q1754" i="144"/>
  <c r="Q1755" i="144"/>
  <c r="Q1756" i="144"/>
  <c r="Q1757" i="144"/>
  <c r="Q1758" i="144"/>
  <c r="Q1759" i="144"/>
  <c r="Q1760" i="144"/>
  <c r="Q1761" i="144"/>
  <c r="Q1762" i="144"/>
  <c r="Q1763" i="144"/>
  <c r="Q1764" i="144"/>
  <c r="Q1765" i="144"/>
  <c r="Q1766" i="144"/>
  <c r="Q1767" i="144"/>
  <c r="Q1768" i="144"/>
  <c r="Q1769" i="144"/>
  <c r="Q1770" i="144"/>
  <c r="Q1771" i="144"/>
  <c r="Q1772" i="144"/>
  <c r="Q1773" i="144"/>
  <c r="Q1774" i="144"/>
  <c r="Q1775" i="144"/>
  <c r="Q1776" i="144"/>
  <c r="Q1777" i="144"/>
  <c r="Q1778" i="144"/>
  <c r="Q1779" i="144"/>
  <c r="Q1780" i="144"/>
  <c r="Q1781" i="144"/>
  <c r="Q1782" i="144"/>
  <c r="Q1783" i="144"/>
  <c r="Q1784" i="144"/>
  <c r="Q1785" i="144"/>
  <c r="Q1786" i="144"/>
  <c r="Q1787" i="144"/>
  <c r="Q1788" i="144"/>
  <c r="Q1789" i="144"/>
  <c r="Q1790" i="144"/>
  <c r="Q1791" i="144"/>
  <c r="Q1792" i="144"/>
  <c r="Q1793" i="144"/>
  <c r="Q1794" i="144"/>
  <c r="Q1795" i="144"/>
  <c r="Q1796" i="144"/>
  <c r="Q1797" i="144"/>
  <c r="Q1798" i="144"/>
  <c r="Q1799" i="144"/>
  <c r="Q1800" i="144"/>
  <c r="Q1801" i="144"/>
  <c r="Q1802" i="144"/>
  <c r="Q1803" i="144"/>
  <c r="Q1804" i="144"/>
  <c r="Q1805" i="144"/>
  <c r="Q1806" i="144"/>
  <c r="Q1807" i="144"/>
  <c r="Q1808" i="144"/>
  <c r="Q1809" i="144"/>
  <c r="Q1810" i="144"/>
  <c r="Q1811" i="144"/>
  <c r="Q1812" i="144"/>
  <c r="Q1813" i="144"/>
  <c r="Q1814" i="144"/>
  <c r="Q1815" i="144"/>
  <c r="Q1816" i="144"/>
  <c r="Q1817" i="144"/>
  <c r="Q1818" i="144"/>
  <c r="Q1819" i="144"/>
  <c r="Q1820" i="144"/>
  <c r="Q1821" i="144"/>
  <c r="Q1822" i="144"/>
  <c r="Q1823" i="144"/>
  <c r="Q1824" i="144"/>
  <c r="Q1825" i="144"/>
  <c r="Q1826" i="144"/>
  <c r="Q1827" i="144"/>
  <c r="Q1828" i="144"/>
  <c r="Q1829" i="144"/>
  <c r="Q1830" i="144"/>
  <c r="Q1831" i="144"/>
  <c r="Q1832" i="144"/>
  <c r="Q1833" i="144"/>
  <c r="Q1834" i="144"/>
  <c r="Q1835" i="144"/>
  <c r="Q1836" i="144"/>
  <c r="Q1837" i="144"/>
  <c r="Q1838" i="144"/>
  <c r="Q1839" i="144"/>
  <c r="Q1840" i="144"/>
  <c r="Q1841" i="144"/>
  <c r="Q1842" i="144"/>
  <c r="Q1843" i="144"/>
  <c r="Q1844" i="144"/>
  <c r="Q1845" i="144"/>
  <c r="Q1846" i="144"/>
  <c r="Q1847" i="144"/>
  <c r="Q1848" i="144"/>
  <c r="Q1849" i="144"/>
  <c r="Q1850" i="144"/>
  <c r="Q1851" i="144"/>
  <c r="Q1852" i="144"/>
  <c r="Q1853" i="144"/>
  <c r="Q1854" i="144"/>
  <c r="Q1855" i="144"/>
  <c r="Q1856" i="144"/>
  <c r="Q1857" i="144"/>
  <c r="B41" i="174"/>
  <c r="Q1858" i="144"/>
  <c r="Q1859" i="144"/>
  <c r="Q1860" i="144"/>
  <c r="Q1861" i="144"/>
  <c r="Q1862" i="144"/>
  <c r="Q1863" i="144"/>
  <c r="Q1864" i="144"/>
  <c r="Q1865" i="144"/>
  <c r="Q1866" i="144"/>
  <c r="Q1867" i="144"/>
  <c r="Q1868" i="144"/>
  <c r="Q1869" i="144"/>
  <c r="Q1870" i="144"/>
  <c r="Q1871" i="144"/>
  <c r="Q1872" i="144"/>
  <c r="Q1873" i="144"/>
  <c r="Q8" i="144"/>
  <c r="Q7" i="144"/>
  <c r="I27" i="170"/>
  <c r="I9" i="170"/>
  <c r="I11" i="170"/>
  <c r="I25" i="170"/>
  <c r="I24" i="170"/>
  <c r="I12" i="170"/>
  <c r="I23" i="170"/>
  <c r="I10" i="170"/>
  <c r="S1222" i="144"/>
  <c r="F1222" i="144"/>
  <c r="I17" i="170"/>
  <c r="I26" i="170"/>
  <c r="I15" i="170"/>
  <c r="I14" i="170"/>
  <c r="I19" i="170"/>
  <c r="I22" i="170"/>
  <c r="I20" i="170"/>
  <c r="I16" i="170"/>
  <c r="I28" i="170"/>
  <c r="I29" i="170"/>
  <c r="S815" i="144"/>
  <c r="F815" i="144"/>
  <c r="B7" i="84"/>
  <c r="D8" i="182"/>
  <c r="G68" i="202"/>
  <c r="J7" i="64"/>
  <c r="J35" i="64"/>
  <c r="C7" i="148"/>
  <c r="C8" i="10"/>
  <c r="G8" i="56"/>
  <c r="G9" i="56"/>
  <c r="G10" i="56"/>
  <c r="G11" i="56"/>
  <c r="G12" i="56"/>
  <c r="G13" i="56"/>
  <c r="G14" i="56"/>
  <c r="G15" i="56"/>
  <c r="G16" i="56"/>
  <c r="G17" i="56"/>
  <c r="G18" i="56"/>
  <c r="G19" i="56"/>
  <c r="G20" i="56"/>
  <c r="G21" i="56"/>
  <c r="G22" i="56"/>
  <c r="G23" i="56"/>
  <c r="G24" i="56"/>
  <c r="G25" i="56"/>
  <c r="G26" i="56"/>
  <c r="G27" i="56"/>
  <c r="G28" i="56"/>
  <c r="G29" i="56"/>
  <c r="G30" i="56"/>
  <c r="G31" i="56"/>
  <c r="G32" i="56"/>
  <c r="G33" i="56"/>
  <c r="G34" i="56"/>
  <c r="G35" i="56"/>
  <c r="G36" i="56"/>
  <c r="G37" i="56"/>
  <c r="G38" i="56"/>
  <c r="G39" i="56"/>
  <c r="G40" i="56"/>
  <c r="G41" i="56"/>
  <c r="G42" i="56"/>
  <c r="G43" i="56"/>
  <c r="G44" i="56"/>
  <c r="G45" i="56"/>
  <c r="G46" i="56"/>
  <c r="G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80" i="56"/>
  <c r="G81" i="56"/>
  <c r="G82" i="56"/>
  <c r="G83" i="56"/>
  <c r="G84" i="56"/>
  <c r="G85" i="56"/>
  <c r="G86" i="56"/>
  <c r="G87" i="56"/>
  <c r="G88" i="56"/>
  <c r="G89" i="56"/>
  <c r="G90" i="56"/>
  <c r="G91" i="56"/>
  <c r="G92" i="56"/>
  <c r="G93" i="56"/>
  <c r="G94" i="56"/>
  <c r="G95" i="56"/>
  <c r="G96" i="56"/>
  <c r="G97" i="56"/>
  <c r="G98" i="56"/>
  <c r="G99" i="56"/>
  <c r="G100" i="56"/>
  <c r="G101" i="56"/>
  <c r="G102" i="56"/>
  <c r="G103" i="56"/>
  <c r="G104" i="56"/>
  <c r="G105" i="56"/>
  <c r="G106" i="56"/>
  <c r="G107" i="56"/>
  <c r="G108" i="56"/>
  <c r="G109" i="56"/>
  <c r="G110" i="56"/>
  <c r="G111" i="56"/>
  <c r="G112" i="56"/>
  <c r="G113" i="56"/>
  <c r="G114" i="56"/>
  <c r="G115" i="56"/>
  <c r="G116" i="56"/>
  <c r="G117" i="56"/>
  <c r="G118" i="56"/>
  <c r="G119" i="56"/>
  <c r="G120" i="56"/>
  <c r="G121" i="56"/>
  <c r="G122" i="56"/>
  <c r="G123" i="56"/>
  <c r="G124" i="56"/>
  <c r="G125" i="56"/>
  <c r="G126" i="56"/>
  <c r="G127" i="56"/>
  <c r="G128" i="56"/>
  <c r="G129" i="56"/>
  <c r="G130" i="56"/>
  <c r="G131" i="56"/>
  <c r="G132" i="56"/>
  <c r="G133" i="56"/>
  <c r="G134" i="56"/>
  <c r="G135" i="56"/>
  <c r="G136" i="56"/>
  <c r="G137" i="56"/>
  <c r="G138" i="56"/>
  <c r="G139" i="56"/>
  <c r="G140" i="56"/>
  <c r="G141" i="56"/>
  <c r="G142" i="56"/>
  <c r="G143" i="56"/>
  <c r="G144" i="56"/>
  <c r="G145" i="56"/>
  <c r="G146" i="56"/>
  <c r="G147" i="56"/>
  <c r="G148" i="56"/>
  <c r="G149" i="56"/>
  <c r="G150" i="56"/>
  <c r="G151" i="56"/>
  <c r="G152" i="56"/>
  <c r="G153" i="56"/>
  <c r="G154" i="56"/>
  <c r="G155" i="56"/>
  <c r="G156" i="56"/>
  <c r="G157" i="56"/>
  <c r="G158" i="56"/>
  <c r="G159" i="56"/>
  <c r="G160" i="56"/>
  <c r="G161" i="56"/>
  <c r="G162" i="56"/>
  <c r="G163" i="56"/>
  <c r="G164" i="56"/>
  <c r="G165" i="56"/>
  <c r="G166" i="56"/>
  <c r="G167" i="56"/>
  <c r="G168" i="56"/>
  <c r="G169" i="56"/>
  <c r="G170" i="56"/>
  <c r="G171" i="56"/>
  <c r="G172" i="56"/>
  <c r="G173" i="56"/>
  <c r="G174" i="56"/>
  <c r="G175" i="56"/>
  <c r="G176" i="56"/>
  <c r="G177" i="56"/>
  <c r="G178" i="56"/>
  <c r="G179" i="56"/>
  <c r="G180" i="56"/>
  <c r="G181" i="56"/>
  <c r="G182" i="56"/>
  <c r="G183" i="56"/>
  <c r="G184" i="56"/>
  <c r="G185" i="56"/>
  <c r="G186" i="56"/>
  <c r="G187" i="56"/>
  <c r="G188" i="56"/>
  <c r="G189" i="56"/>
  <c r="G190" i="56"/>
  <c r="G191" i="56"/>
  <c r="G192" i="56"/>
  <c r="G193" i="56"/>
  <c r="G194" i="56"/>
  <c r="G195" i="56"/>
  <c r="G196" i="56"/>
  <c r="G197" i="56"/>
  <c r="G198" i="56"/>
  <c r="G199" i="56"/>
  <c r="G200" i="56"/>
  <c r="G201" i="56"/>
  <c r="G202" i="56"/>
  <c r="G203" i="56"/>
  <c r="G204" i="56"/>
  <c r="G205" i="56"/>
  <c r="G206" i="56"/>
  <c r="G207" i="56"/>
  <c r="G208" i="56"/>
  <c r="G209" i="56"/>
  <c r="G210" i="56"/>
  <c r="G211" i="56"/>
  <c r="G212" i="56"/>
  <c r="G213" i="56"/>
  <c r="G214" i="56"/>
  <c r="G215" i="56"/>
  <c r="G216" i="56"/>
  <c r="G217" i="56"/>
  <c r="G218" i="56"/>
  <c r="G219" i="56"/>
  <c r="G220" i="56"/>
  <c r="G221" i="56"/>
  <c r="G222" i="56"/>
  <c r="G223" i="56"/>
  <c r="G224" i="56"/>
  <c r="G225" i="56"/>
  <c r="G226" i="56"/>
  <c r="G227" i="56"/>
  <c r="G228" i="56"/>
  <c r="G229" i="56"/>
  <c r="G230" i="56"/>
  <c r="G231" i="56"/>
  <c r="G232" i="56"/>
  <c r="G233" i="56"/>
  <c r="G234" i="56"/>
  <c r="G235" i="56"/>
  <c r="G236" i="56"/>
  <c r="G237" i="56"/>
  <c r="G238" i="56"/>
  <c r="G239" i="56"/>
  <c r="G240" i="56"/>
  <c r="G241" i="56"/>
  <c r="G242" i="56"/>
  <c r="G243" i="56"/>
  <c r="G244" i="56"/>
  <c r="G245" i="56"/>
  <c r="G246" i="56"/>
  <c r="G247" i="56"/>
  <c r="G248" i="56"/>
  <c r="G249" i="56"/>
  <c r="G250" i="56"/>
  <c r="G251" i="56"/>
  <c r="G252" i="56"/>
  <c r="G253" i="56"/>
  <c r="G254" i="56"/>
  <c r="G255" i="56"/>
  <c r="G256" i="56"/>
  <c r="G257" i="56"/>
  <c r="G258" i="56"/>
  <c r="G259" i="56"/>
  <c r="G260" i="56"/>
  <c r="G261" i="56"/>
  <c r="G262" i="56"/>
  <c r="G263" i="56"/>
  <c r="G264" i="56"/>
  <c r="G265" i="56"/>
  <c r="G266" i="56"/>
  <c r="G267" i="56"/>
  <c r="G268" i="56"/>
  <c r="G269" i="56"/>
  <c r="G270" i="56"/>
  <c r="G271" i="56"/>
  <c r="G272" i="56"/>
  <c r="G273" i="56"/>
  <c r="G274" i="56"/>
  <c r="G275" i="56"/>
  <c r="G276" i="56"/>
  <c r="G277" i="56"/>
  <c r="G278" i="56"/>
  <c r="G279" i="56"/>
  <c r="G280" i="56"/>
  <c r="G281" i="56"/>
  <c r="G282" i="56"/>
  <c r="G283" i="56"/>
  <c r="G284" i="56"/>
  <c r="G285" i="56"/>
  <c r="G286" i="56"/>
  <c r="G287" i="56"/>
  <c r="G288" i="56"/>
  <c r="G289" i="56"/>
  <c r="G290" i="56"/>
  <c r="G291" i="56"/>
  <c r="G292" i="56"/>
  <c r="G293" i="56"/>
  <c r="G294" i="56"/>
  <c r="G295" i="56"/>
  <c r="G296" i="56"/>
  <c r="G297" i="56"/>
  <c r="G298" i="56"/>
  <c r="G299" i="56"/>
  <c r="G300" i="56"/>
  <c r="G301" i="56"/>
  <c r="G302" i="56"/>
  <c r="G303" i="56"/>
  <c r="G304" i="56"/>
  <c r="G305" i="56"/>
  <c r="G306" i="56"/>
  <c r="G307" i="56"/>
  <c r="G308" i="56"/>
  <c r="G309" i="56"/>
  <c r="G310" i="56"/>
  <c r="G311" i="56"/>
  <c r="G312" i="56"/>
  <c r="G313" i="56"/>
  <c r="G314" i="56"/>
  <c r="G315" i="56"/>
  <c r="G316" i="56"/>
  <c r="G317" i="56"/>
  <c r="G318" i="56"/>
  <c r="G319" i="56"/>
  <c r="G320" i="56"/>
  <c r="G321" i="56"/>
  <c r="G322" i="56"/>
  <c r="G323" i="56"/>
  <c r="G324" i="56"/>
  <c r="G325" i="56"/>
  <c r="G326" i="56"/>
  <c r="G327" i="56"/>
  <c r="G328" i="56"/>
  <c r="G329" i="56"/>
  <c r="G330" i="56"/>
  <c r="G331" i="56"/>
  <c r="G332" i="56"/>
  <c r="G333" i="56"/>
  <c r="G334" i="56"/>
  <c r="G335" i="56"/>
  <c r="G336" i="56"/>
  <c r="G337" i="56"/>
  <c r="G338" i="56"/>
  <c r="G339" i="56"/>
  <c r="G340" i="56"/>
  <c r="G341" i="56"/>
  <c r="G342" i="56"/>
  <c r="G343" i="56"/>
  <c r="G344" i="56"/>
  <c r="G345" i="56"/>
  <c r="G346" i="56"/>
  <c r="G347" i="56"/>
  <c r="G348" i="56"/>
  <c r="G349" i="56"/>
  <c r="G350" i="56"/>
  <c r="G351" i="56"/>
  <c r="G352" i="56"/>
  <c r="G353" i="56"/>
  <c r="G354" i="56"/>
  <c r="G355" i="56"/>
  <c r="G356" i="56"/>
  <c r="G357" i="56"/>
  <c r="G358" i="56"/>
  <c r="G359" i="56"/>
  <c r="G360" i="56"/>
  <c r="G361" i="56"/>
  <c r="G362" i="56"/>
  <c r="G363" i="56"/>
  <c r="G364" i="56"/>
  <c r="G365" i="56"/>
  <c r="G366" i="56"/>
  <c r="G367" i="56"/>
  <c r="G368" i="56"/>
  <c r="G369" i="56"/>
  <c r="G370" i="56"/>
  <c r="G371" i="56"/>
  <c r="G372" i="56"/>
  <c r="G373" i="56"/>
  <c r="G374" i="56"/>
  <c r="G375" i="56"/>
  <c r="G376" i="56"/>
  <c r="G377" i="56"/>
  <c r="G378" i="56"/>
  <c r="G379" i="56"/>
  <c r="G380" i="56"/>
  <c r="G381" i="56"/>
  <c r="G382" i="56"/>
  <c r="G383" i="56"/>
  <c r="G384" i="56"/>
  <c r="G385" i="56"/>
  <c r="G386" i="56"/>
  <c r="G387" i="56"/>
  <c r="G388" i="56"/>
  <c r="G389" i="56"/>
  <c r="G390" i="56"/>
  <c r="G391" i="56"/>
  <c r="G392" i="56"/>
  <c r="G393" i="56"/>
  <c r="G394" i="56"/>
  <c r="G395" i="56"/>
  <c r="G396" i="56"/>
  <c r="G397" i="56"/>
  <c r="G398" i="56"/>
  <c r="G399" i="56"/>
  <c r="G400" i="56"/>
  <c r="G401" i="56"/>
  <c r="G402" i="56"/>
  <c r="G403" i="56"/>
  <c r="G404" i="56"/>
  <c r="G405" i="56"/>
  <c r="G406" i="56"/>
  <c r="G407" i="56"/>
  <c r="G408" i="56"/>
  <c r="G409" i="56"/>
  <c r="G410" i="56"/>
  <c r="G411" i="56"/>
  <c r="G412" i="56"/>
  <c r="G413" i="56"/>
  <c r="G414" i="56"/>
  <c r="G415" i="56"/>
  <c r="G416" i="56"/>
  <c r="G417" i="56"/>
  <c r="G418" i="56"/>
  <c r="G419" i="56"/>
  <c r="G420" i="56"/>
  <c r="G421" i="56"/>
  <c r="G422" i="56"/>
  <c r="G423" i="56"/>
  <c r="G424" i="56"/>
  <c r="G425" i="56"/>
  <c r="G426" i="56"/>
  <c r="G427" i="56"/>
  <c r="G428" i="56"/>
  <c r="G429" i="56"/>
  <c r="G430" i="56"/>
  <c r="G431" i="56"/>
  <c r="G432" i="56"/>
  <c r="G433" i="56"/>
  <c r="G434" i="56"/>
  <c r="G435" i="56"/>
  <c r="G436" i="56"/>
  <c r="G437" i="56"/>
  <c r="G438" i="56"/>
  <c r="G439" i="56"/>
  <c r="G440" i="56"/>
  <c r="G441" i="56"/>
  <c r="G442" i="56"/>
  <c r="G443" i="56"/>
  <c r="G444" i="56"/>
  <c r="G445" i="56"/>
  <c r="G446" i="56"/>
  <c r="G447" i="56"/>
  <c r="G448" i="56"/>
  <c r="G449" i="56"/>
  <c r="G450" i="56"/>
  <c r="G451" i="56"/>
  <c r="G452" i="56"/>
  <c r="G453" i="56"/>
  <c r="G454" i="56"/>
  <c r="G455" i="56"/>
  <c r="G456" i="56"/>
  <c r="G457" i="56"/>
  <c r="G458" i="56"/>
  <c r="G459" i="56"/>
  <c r="G460" i="56"/>
  <c r="G461" i="56"/>
  <c r="G462" i="56"/>
  <c r="G463" i="56"/>
  <c r="G464" i="56"/>
  <c r="G465" i="56"/>
  <c r="G466" i="56"/>
  <c r="G467" i="56"/>
  <c r="G468" i="56"/>
  <c r="G469" i="56"/>
  <c r="G470" i="56"/>
  <c r="G471" i="56"/>
  <c r="G472" i="56"/>
  <c r="G473" i="56"/>
  <c r="G474" i="56"/>
  <c r="G475" i="56"/>
  <c r="G476" i="56"/>
  <c r="G477" i="56"/>
  <c r="G478" i="56"/>
  <c r="G479" i="56"/>
  <c r="G480" i="56"/>
  <c r="G481" i="56"/>
  <c r="G482" i="56"/>
  <c r="G483" i="56"/>
  <c r="G484" i="56"/>
  <c r="G485" i="56"/>
  <c r="G486" i="56"/>
  <c r="G487" i="56"/>
  <c r="G488" i="56"/>
  <c r="G489" i="56"/>
  <c r="G490" i="56"/>
  <c r="G491" i="56"/>
  <c r="G492" i="56"/>
  <c r="G493" i="56"/>
  <c r="G494" i="56"/>
  <c r="G495" i="56"/>
  <c r="G496" i="56"/>
  <c r="G497" i="56"/>
  <c r="G498" i="56"/>
  <c r="G499" i="56"/>
  <c r="G500" i="56"/>
  <c r="G501" i="56"/>
  <c r="G502" i="56"/>
  <c r="G503" i="56"/>
  <c r="G504" i="56"/>
  <c r="G505" i="56"/>
  <c r="G506" i="56"/>
  <c r="G507" i="56"/>
  <c r="G508" i="56"/>
  <c r="G509" i="56"/>
  <c r="G510" i="56"/>
  <c r="G511" i="56"/>
  <c r="G512" i="56"/>
  <c r="G513" i="56"/>
  <c r="G514" i="56"/>
  <c r="G515" i="56"/>
  <c r="G516" i="56"/>
  <c r="G517" i="56"/>
  <c r="G518" i="56"/>
  <c r="G519" i="56"/>
  <c r="G520" i="56"/>
  <c r="G521" i="56"/>
  <c r="G522" i="56"/>
  <c r="G523" i="56"/>
  <c r="G524" i="56"/>
  <c r="G525" i="56"/>
  <c r="G526" i="56"/>
  <c r="G527" i="56"/>
  <c r="G528" i="56"/>
  <c r="G529" i="56"/>
  <c r="G530" i="56"/>
  <c r="G531" i="56"/>
  <c r="G532" i="56"/>
  <c r="G533" i="56"/>
  <c r="G534" i="56"/>
  <c r="G535" i="56"/>
  <c r="G536" i="56"/>
  <c r="G537" i="56"/>
  <c r="G538" i="56"/>
  <c r="G539" i="56"/>
  <c r="G540" i="56"/>
  <c r="G541" i="56"/>
  <c r="G542" i="56"/>
  <c r="G543" i="56"/>
  <c r="G544" i="56"/>
  <c r="G545" i="56"/>
  <c r="G546" i="56"/>
  <c r="G547" i="56"/>
  <c r="G548" i="56"/>
  <c r="G549" i="56"/>
  <c r="G550" i="56"/>
  <c r="G551" i="56"/>
  <c r="G552" i="56"/>
  <c r="G553" i="56"/>
  <c r="G554" i="56"/>
  <c r="G555" i="56"/>
  <c r="G556" i="56"/>
  <c r="G557" i="56"/>
  <c r="G558" i="56"/>
  <c r="G559" i="56"/>
  <c r="G560" i="56"/>
  <c r="G561" i="56"/>
  <c r="G562" i="56"/>
  <c r="G563" i="56"/>
  <c r="G564" i="56"/>
  <c r="G565" i="56"/>
  <c r="G566" i="56"/>
  <c r="G567" i="56"/>
  <c r="G568" i="56"/>
  <c r="G569" i="56"/>
  <c r="G570" i="56"/>
  <c r="G571" i="56"/>
  <c r="G572" i="56"/>
  <c r="G573" i="56"/>
  <c r="G574" i="56"/>
  <c r="G575" i="56"/>
  <c r="G576" i="56"/>
  <c r="G577" i="56"/>
  <c r="G578" i="56"/>
  <c r="G579" i="56"/>
  <c r="G580" i="56"/>
  <c r="G581" i="56"/>
  <c r="G582" i="56"/>
  <c r="G583" i="56"/>
  <c r="G584" i="56"/>
  <c r="G585" i="56"/>
  <c r="G586" i="56"/>
  <c r="G587" i="56"/>
  <c r="G588" i="56"/>
  <c r="G589" i="56"/>
  <c r="G590" i="56"/>
  <c r="G591" i="56"/>
  <c r="G592" i="56"/>
  <c r="G593" i="56"/>
  <c r="G594" i="56"/>
  <c r="G595" i="56"/>
  <c r="G596" i="56"/>
  <c r="G597" i="56"/>
  <c r="G598" i="56"/>
  <c r="G599" i="56"/>
  <c r="G600" i="56"/>
  <c r="G601" i="56"/>
  <c r="G602" i="56"/>
  <c r="G603" i="56"/>
  <c r="G604" i="56"/>
  <c r="G605" i="56"/>
  <c r="G606" i="56"/>
  <c r="G607" i="56"/>
  <c r="G608" i="56"/>
  <c r="G609" i="56"/>
  <c r="G610" i="56"/>
  <c r="G611" i="56"/>
  <c r="G612" i="56"/>
  <c r="G613" i="56"/>
  <c r="G614" i="56"/>
  <c r="G615" i="56"/>
  <c r="G616" i="56"/>
  <c r="G617" i="56"/>
  <c r="G618" i="56"/>
  <c r="G619" i="56"/>
  <c r="G620" i="56"/>
  <c r="G621" i="56"/>
  <c r="G622" i="56"/>
  <c r="G623" i="56"/>
  <c r="G624" i="56"/>
  <c r="G625" i="56"/>
  <c r="G626" i="56"/>
  <c r="G627" i="56"/>
  <c r="G628" i="56"/>
  <c r="G629" i="56"/>
  <c r="G630" i="56"/>
  <c r="G631" i="56"/>
  <c r="G7" i="56"/>
  <c r="F7" i="56"/>
  <c r="H7" i="56"/>
  <c r="F8" i="56"/>
  <c r="H8" i="56"/>
  <c r="F9" i="56"/>
  <c r="H9" i="56"/>
  <c r="F10" i="56"/>
  <c r="H10" i="56"/>
  <c r="F11" i="56"/>
  <c r="H11" i="56"/>
  <c r="F12" i="56"/>
  <c r="H12" i="56"/>
  <c r="F13" i="56"/>
  <c r="H13" i="56"/>
  <c r="F14" i="56"/>
  <c r="H14" i="56"/>
  <c r="F15" i="56"/>
  <c r="H15" i="56"/>
  <c r="F16" i="56"/>
  <c r="H16" i="56"/>
  <c r="F17" i="56"/>
  <c r="H17" i="56"/>
  <c r="F18" i="56"/>
  <c r="H18" i="56"/>
  <c r="F19" i="56"/>
  <c r="H19" i="56"/>
  <c r="F20" i="56"/>
  <c r="H20" i="56"/>
  <c r="F21" i="56"/>
  <c r="H21" i="56"/>
  <c r="F22" i="56"/>
  <c r="H22" i="56"/>
  <c r="F23" i="56"/>
  <c r="H23" i="56"/>
  <c r="F24" i="56"/>
  <c r="H24" i="56"/>
  <c r="F25" i="56"/>
  <c r="H25" i="56"/>
  <c r="F26" i="56"/>
  <c r="H26" i="56"/>
  <c r="F27" i="56"/>
  <c r="H27" i="56"/>
  <c r="F28" i="56"/>
  <c r="H28" i="56"/>
  <c r="F29" i="56"/>
  <c r="H29" i="56"/>
  <c r="F30" i="56"/>
  <c r="H30" i="56"/>
  <c r="F31" i="56"/>
  <c r="H31" i="56"/>
  <c r="F32" i="56"/>
  <c r="H32" i="56"/>
  <c r="F33" i="56"/>
  <c r="H33" i="56"/>
  <c r="F34" i="56"/>
  <c r="H34" i="56"/>
  <c r="F35" i="56"/>
  <c r="H35" i="56"/>
  <c r="F36" i="56"/>
  <c r="H36" i="56"/>
  <c r="F37" i="56"/>
  <c r="H37" i="56"/>
  <c r="F38" i="56"/>
  <c r="H38" i="56"/>
  <c r="F39" i="56"/>
  <c r="H39" i="56"/>
  <c r="F40" i="56"/>
  <c r="H40" i="56"/>
  <c r="F41" i="56"/>
  <c r="H41" i="56"/>
  <c r="F42" i="56"/>
  <c r="H42" i="56"/>
  <c r="F43" i="56"/>
  <c r="H43" i="56"/>
  <c r="F44" i="56"/>
  <c r="H44" i="56"/>
  <c r="F45" i="56"/>
  <c r="H45" i="56"/>
  <c r="F46" i="56"/>
  <c r="H46" i="56"/>
  <c r="F47" i="56"/>
  <c r="H47" i="56"/>
  <c r="F48" i="56"/>
  <c r="H48" i="56"/>
  <c r="F49" i="56"/>
  <c r="H49" i="56"/>
  <c r="F50" i="56"/>
  <c r="H50" i="56"/>
  <c r="F51" i="56"/>
  <c r="H51" i="56"/>
  <c r="F52" i="56"/>
  <c r="H52" i="56"/>
  <c r="F53" i="56"/>
  <c r="H53" i="56"/>
  <c r="F54" i="56"/>
  <c r="H54" i="56"/>
  <c r="F55" i="56"/>
  <c r="H55" i="56"/>
  <c r="F56" i="56"/>
  <c r="H56" i="56"/>
  <c r="F57" i="56"/>
  <c r="H57" i="56"/>
  <c r="F58" i="56"/>
  <c r="H58" i="56"/>
  <c r="F59" i="56"/>
  <c r="H59" i="56"/>
  <c r="F60" i="56"/>
  <c r="H60" i="56"/>
  <c r="F61" i="56"/>
  <c r="H61" i="56"/>
  <c r="F62" i="56"/>
  <c r="H62" i="56"/>
  <c r="F63" i="56"/>
  <c r="H63" i="56"/>
  <c r="F64" i="56"/>
  <c r="H64" i="56"/>
  <c r="F65" i="56"/>
  <c r="H65" i="56"/>
  <c r="F66" i="56"/>
  <c r="H66" i="56"/>
  <c r="F67" i="56"/>
  <c r="H67" i="56"/>
  <c r="F68" i="56"/>
  <c r="H68" i="56"/>
  <c r="F69" i="56"/>
  <c r="H69" i="56"/>
  <c r="F70" i="56"/>
  <c r="H70" i="56"/>
  <c r="F71" i="56"/>
  <c r="H71" i="56"/>
  <c r="F72" i="56"/>
  <c r="H72" i="56"/>
  <c r="F73" i="56"/>
  <c r="H73" i="56"/>
  <c r="F74" i="56"/>
  <c r="H74" i="56"/>
  <c r="F75" i="56"/>
  <c r="H75" i="56"/>
  <c r="F76" i="56"/>
  <c r="H76" i="56"/>
  <c r="F77" i="56"/>
  <c r="H77" i="56"/>
  <c r="F78" i="56"/>
  <c r="H78" i="56"/>
  <c r="F79" i="56"/>
  <c r="H79" i="56"/>
  <c r="F80" i="56"/>
  <c r="H80" i="56"/>
  <c r="F81" i="56"/>
  <c r="H81" i="56"/>
  <c r="F82" i="56"/>
  <c r="H82" i="56"/>
  <c r="F83" i="56"/>
  <c r="H83" i="56"/>
  <c r="F84" i="56"/>
  <c r="H84" i="56"/>
  <c r="F85" i="56"/>
  <c r="H85" i="56"/>
  <c r="F86" i="56"/>
  <c r="H86" i="56"/>
  <c r="F87" i="56"/>
  <c r="H87" i="56"/>
  <c r="F88" i="56"/>
  <c r="H88" i="56"/>
  <c r="F89" i="56"/>
  <c r="H89" i="56"/>
  <c r="F90" i="56"/>
  <c r="H90" i="56"/>
  <c r="F91" i="56"/>
  <c r="H91" i="56"/>
  <c r="F92" i="56"/>
  <c r="H92" i="56"/>
  <c r="F93" i="56"/>
  <c r="H93" i="56"/>
  <c r="F94" i="56"/>
  <c r="H94" i="56"/>
  <c r="F95" i="56"/>
  <c r="H95" i="56"/>
  <c r="F96" i="56"/>
  <c r="H96" i="56"/>
  <c r="F97" i="56"/>
  <c r="H97" i="56"/>
  <c r="F98" i="56"/>
  <c r="H98" i="56"/>
  <c r="F99" i="56"/>
  <c r="H99" i="56"/>
  <c r="F100" i="56"/>
  <c r="H100" i="56"/>
  <c r="F101" i="56"/>
  <c r="H101" i="56"/>
  <c r="F102" i="56"/>
  <c r="H102" i="56"/>
  <c r="F103" i="56"/>
  <c r="H103" i="56"/>
  <c r="F104" i="56"/>
  <c r="H104" i="56"/>
  <c r="F105" i="56"/>
  <c r="H105" i="56"/>
  <c r="F106" i="56"/>
  <c r="H106" i="56"/>
  <c r="F107" i="56"/>
  <c r="H107" i="56"/>
  <c r="F108" i="56"/>
  <c r="H108" i="56"/>
  <c r="F109" i="56"/>
  <c r="H109" i="56"/>
  <c r="F110" i="56"/>
  <c r="H110" i="56"/>
  <c r="F111" i="56"/>
  <c r="H111" i="56"/>
  <c r="F112" i="56"/>
  <c r="H112" i="56"/>
  <c r="F113" i="56"/>
  <c r="H113" i="56"/>
  <c r="F114" i="56"/>
  <c r="H114" i="56"/>
  <c r="F115" i="56"/>
  <c r="H115" i="56"/>
  <c r="F116" i="56"/>
  <c r="H116" i="56"/>
  <c r="F117" i="56"/>
  <c r="H117" i="56"/>
  <c r="F118" i="56"/>
  <c r="H118" i="56"/>
  <c r="F119" i="56"/>
  <c r="H119" i="56"/>
  <c r="F120" i="56"/>
  <c r="H120" i="56"/>
  <c r="F121" i="56"/>
  <c r="H121" i="56"/>
  <c r="F122" i="56"/>
  <c r="H122" i="56"/>
  <c r="F123" i="56"/>
  <c r="H123" i="56"/>
  <c r="F124" i="56"/>
  <c r="H124" i="56"/>
  <c r="F125" i="56"/>
  <c r="H125" i="56"/>
  <c r="F126" i="56"/>
  <c r="H126" i="56"/>
  <c r="F127" i="56"/>
  <c r="H127" i="56"/>
  <c r="F128" i="56"/>
  <c r="H128" i="56"/>
  <c r="F129" i="56"/>
  <c r="H129" i="56"/>
  <c r="F130" i="56"/>
  <c r="H130" i="56"/>
  <c r="F131" i="56"/>
  <c r="H131" i="56"/>
  <c r="F132" i="56"/>
  <c r="H132" i="56"/>
  <c r="F133" i="56"/>
  <c r="H133" i="56"/>
  <c r="F134" i="56"/>
  <c r="H134" i="56"/>
  <c r="F135" i="56"/>
  <c r="H135" i="56"/>
  <c r="F136" i="56"/>
  <c r="H136" i="56"/>
  <c r="F137" i="56"/>
  <c r="H137" i="56"/>
  <c r="F138" i="56"/>
  <c r="H138" i="56"/>
  <c r="F139" i="56"/>
  <c r="H139" i="56"/>
  <c r="F140" i="56"/>
  <c r="H140" i="56"/>
  <c r="F141" i="56"/>
  <c r="H141" i="56"/>
  <c r="F142" i="56"/>
  <c r="H142" i="56"/>
  <c r="F143" i="56"/>
  <c r="H143" i="56"/>
  <c r="F144" i="56"/>
  <c r="H144" i="56"/>
  <c r="F145" i="56"/>
  <c r="H145" i="56"/>
  <c r="F146" i="56"/>
  <c r="H146" i="56"/>
  <c r="F147" i="56"/>
  <c r="H147" i="56"/>
  <c r="F148" i="56"/>
  <c r="H148" i="56"/>
  <c r="F149" i="56"/>
  <c r="H149" i="56"/>
  <c r="F150" i="56"/>
  <c r="H150" i="56"/>
  <c r="F151" i="56"/>
  <c r="H151" i="56"/>
  <c r="F152" i="56"/>
  <c r="H152" i="56"/>
  <c r="F153" i="56"/>
  <c r="H153" i="56"/>
  <c r="F154" i="56"/>
  <c r="H154" i="56"/>
  <c r="F155" i="56"/>
  <c r="H155" i="56"/>
  <c r="F156" i="56"/>
  <c r="H156" i="56"/>
  <c r="F157" i="56"/>
  <c r="H157" i="56"/>
  <c r="F158" i="56"/>
  <c r="H158" i="56"/>
  <c r="F159" i="56"/>
  <c r="H159" i="56"/>
  <c r="F160" i="56"/>
  <c r="H160" i="56"/>
  <c r="F161" i="56"/>
  <c r="H161" i="56"/>
  <c r="F162" i="56"/>
  <c r="H162" i="56"/>
  <c r="F163" i="56"/>
  <c r="H163" i="56"/>
  <c r="F164" i="56"/>
  <c r="H164" i="56"/>
  <c r="F165" i="56"/>
  <c r="H165" i="56"/>
  <c r="F166" i="56"/>
  <c r="H166" i="56"/>
  <c r="F167" i="56"/>
  <c r="H167" i="56"/>
  <c r="F168" i="56"/>
  <c r="H168" i="56"/>
  <c r="F169" i="56"/>
  <c r="H169" i="56"/>
  <c r="F170" i="56"/>
  <c r="H170" i="56"/>
  <c r="F171" i="56"/>
  <c r="H171" i="56"/>
  <c r="F172" i="56"/>
  <c r="H172" i="56"/>
  <c r="F173" i="56"/>
  <c r="H173" i="56"/>
  <c r="F174" i="56"/>
  <c r="H174" i="56"/>
  <c r="F175" i="56"/>
  <c r="H175" i="56"/>
  <c r="F176" i="56"/>
  <c r="H176" i="56"/>
  <c r="F177" i="56"/>
  <c r="H177" i="56"/>
  <c r="F178" i="56"/>
  <c r="H178" i="56"/>
  <c r="F179" i="56"/>
  <c r="H179" i="56"/>
  <c r="F180" i="56"/>
  <c r="H180" i="56"/>
  <c r="F181" i="56"/>
  <c r="H181" i="56"/>
  <c r="F182" i="56"/>
  <c r="H182" i="56"/>
  <c r="F183" i="56"/>
  <c r="H183" i="56"/>
  <c r="F184" i="56"/>
  <c r="H184" i="56"/>
  <c r="F185" i="56"/>
  <c r="H185" i="56"/>
  <c r="F186" i="56"/>
  <c r="H186" i="56"/>
  <c r="F187" i="56"/>
  <c r="H187" i="56"/>
  <c r="F188" i="56"/>
  <c r="H188" i="56"/>
  <c r="F189" i="56"/>
  <c r="H189" i="56"/>
  <c r="F190" i="56"/>
  <c r="H190" i="56"/>
  <c r="F191" i="56"/>
  <c r="H191" i="56"/>
  <c r="F192" i="56"/>
  <c r="H192" i="56"/>
  <c r="F193" i="56"/>
  <c r="H193" i="56"/>
  <c r="F194" i="56"/>
  <c r="H194" i="56"/>
  <c r="F195" i="56"/>
  <c r="H195" i="56"/>
  <c r="F196" i="56"/>
  <c r="H196" i="56"/>
  <c r="F197" i="56"/>
  <c r="H197" i="56"/>
  <c r="F198" i="56"/>
  <c r="H198" i="56"/>
  <c r="F199" i="56"/>
  <c r="H199" i="56"/>
  <c r="F200" i="56"/>
  <c r="H200" i="56"/>
  <c r="F201" i="56"/>
  <c r="H201" i="56"/>
  <c r="F202" i="56"/>
  <c r="H202" i="56"/>
  <c r="F203" i="56"/>
  <c r="H203" i="56"/>
  <c r="F204" i="56"/>
  <c r="H204" i="56"/>
  <c r="F205" i="56"/>
  <c r="H205" i="56"/>
  <c r="F206" i="56"/>
  <c r="H206" i="56"/>
  <c r="F207" i="56"/>
  <c r="H207" i="56"/>
  <c r="F208" i="56"/>
  <c r="H208" i="56"/>
  <c r="F209" i="56"/>
  <c r="H209" i="56"/>
  <c r="F210" i="56"/>
  <c r="H210" i="56"/>
  <c r="F211" i="56"/>
  <c r="H211" i="56"/>
  <c r="F212" i="56"/>
  <c r="H212" i="56"/>
  <c r="F213" i="56"/>
  <c r="H213" i="56"/>
  <c r="F214" i="56"/>
  <c r="H214" i="56"/>
  <c r="F215" i="56"/>
  <c r="H215" i="56"/>
  <c r="F216" i="56"/>
  <c r="H216" i="56"/>
  <c r="F217" i="56"/>
  <c r="H217" i="56"/>
  <c r="F218" i="56"/>
  <c r="H218" i="56"/>
  <c r="F219" i="56"/>
  <c r="H219" i="56"/>
  <c r="F220" i="56"/>
  <c r="H220" i="56"/>
  <c r="F221" i="56"/>
  <c r="H221" i="56"/>
  <c r="F222" i="56"/>
  <c r="H222" i="56"/>
  <c r="F223" i="56"/>
  <c r="H223" i="56"/>
  <c r="F224" i="56"/>
  <c r="H224" i="56"/>
  <c r="F225" i="56"/>
  <c r="H225" i="56"/>
  <c r="F226" i="56"/>
  <c r="H226" i="56"/>
  <c r="F227" i="56"/>
  <c r="H227" i="56"/>
  <c r="F228" i="56"/>
  <c r="H228" i="56"/>
  <c r="F229" i="56"/>
  <c r="H229" i="56"/>
  <c r="F230" i="56"/>
  <c r="H230" i="56"/>
  <c r="F231" i="56"/>
  <c r="H231" i="56"/>
  <c r="F232" i="56"/>
  <c r="H232" i="56"/>
  <c r="F233" i="56"/>
  <c r="H233" i="56"/>
  <c r="F234" i="56"/>
  <c r="H234" i="56"/>
  <c r="F235" i="56"/>
  <c r="H235" i="56"/>
  <c r="F236" i="56"/>
  <c r="H236" i="56"/>
  <c r="F237" i="56"/>
  <c r="H237" i="56"/>
  <c r="F238" i="56"/>
  <c r="H238" i="56"/>
  <c r="F239" i="56"/>
  <c r="H239" i="56"/>
  <c r="F240" i="56"/>
  <c r="H240" i="56"/>
  <c r="F241" i="56"/>
  <c r="H241" i="56"/>
  <c r="F242" i="56"/>
  <c r="H242" i="56"/>
  <c r="F243" i="56"/>
  <c r="H243" i="56"/>
  <c r="F244" i="56"/>
  <c r="H244" i="56"/>
  <c r="F245" i="56"/>
  <c r="H245" i="56"/>
  <c r="F246" i="56"/>
  <c r="H246" i="56"/>
  <c r="F247" i="56"/>
  <c r="H247" i="56"/>
  <c r="F248" i="56"/>
  <c r="H248" i="56"/>
  <c r="F249" i="56"/>
  <c r="H249" i="56"/>
  <c r="F250" i="56"/>
  <c r="H250" i="56"/>
  <c r="F251" i="56"/>
  <c r="H251" i="56"/>
  <c r="F252" i="56"/>
  <c r="H252" i="56"/>
  <c r="F253" i="56"/>
  <c r="H253" i="56"/>
  <c r="F254" i="56"/>
  <c r="H254" i="56"/>
  <c r="F255" i="56"/>
  <c r="H255" i="56"/>
  <c r="F256" i="56"/>
  <c r="H256" i="56"/>
  <c r="F257" i="56"/>
  <c r="H257" i="56"/>
  <c r="F258" i="56"/>
  <c r="H258" i="56"/>
  <c r="F259" i="56"/>
  <c r="H259" i="56"/>
  <c r="F260" i="56"/>
  <c r="H260" i="56"/>
  <c r="F261" i="56"/>
  <c r="H261" i="56"/>
  <c r="F262" i="56"/>
  <c r="H262" i="56"/>
  <c r="F263" i="56"/>
  <c r="H263" i="56"/>
  <c r="F264" i="56"/>
  <c r="H264" i="56"/>
  <c r="F265" i="56"/>
  <c r="H265" i="56"/>
  <c r="F266" i="56"/>
  <c r="H266" i="56"/>
  <c r="F267" i="56"/>
  <c r="H267" i="56"/>
  <c r="F268" i="56"/>
  <c r="H268" i="56"/>
  <c r="F269" i="56"/>
  <c r="H269" i="56"/>
  <c r="F270" i="56"/>
  <c r="H270" i="56"/>
  <c r="F271" i="56"/>
  <c r="H271" i="56"/>
  <c r="F272" i="56"/>
  <c r="H272" i="56"/>
  <c r="F273" i="56"/>
  <c r="H273" i="56"/>
  <c r="F274" i="56"/>
  <c r="H274" i="56"/>
  <c r="F275" i="56"/>
  <c r="H275" i="56"/>
  <c r="F276" i="56"/>
  <c r="H276" i="56"/>
  <c r="F277" i="56"/>
  <c r="H277" i="56"/>
  <c r="F278" i="56"/>
  <c r="H278" i="56"/>
  <c r="F279" i="56"/>
  <c r="H279" i="56"/>
  <c r="F280" i="56"/>
  <c r="H280" i="56"/>
  <c r="F281" i="56"/>
  <c r="H281" i="56"/>
  <c r="F282" i="56"/>
  <c r="H282" i="56"/>
  <c r="F283" i="56"/>
  <c r="H283" i="56"/>
  <c r="F284" i="56"/>
  <c r="H284" i="56"/>
  <c r="F285" i="56"/>
  <c r="H285" i="56"/>
  <c r="F286" i="56"/>
  <c r="H286" i="56"/>
  <c r="F287" i="56"/>
  <c r="H287" i="56"/>
  <c r="F288" i="56"/>
  <c r="H288" i="56"/>
  <c r="F289" i="56"/>
  <c r="H289" i="56"/>
  <c r="F290" i="56"/>
  <c r="H290" i="56"/>
  <c r="F291" i="56"/>
  <c r="H291" i="56"/>
  <c r="F292" i="56"/>
  <c r="H292" i="56"/>
  <c r="F293" i="56"/>
  <c r="H293" i="56"/>
  <c r="F294" i="56"/>
  <c r="H294" i="56"/>
  <c r="F295" i="56"/>
  <c r="H295" i="56"/>
  <c r="F296" i="56"/>
  <c r="H296" i="56"/>
  <c r="F297" i="56"/>
  <c r="H297" i="56"/>
  <c r="F298" i="56"/>
  <c r="H298" i="56"/>
  <c r="F299" i="56"/>
  <c r="H299" i="56"/>
  <c r="F300" i="56"/>
  <c r="H300" i="56"/>
  <c r="F301" i="56"/>
  <c r="H301" i="56"/>
  <c r="F302" i="56"/>
  <c r="H302" i="56"/>
  <c r="F303" i="56"/>
  <c r="H303" i="56"/>
  <c r="F304" i="56"/>
  <c r="H304" i="56"/>
  <c r="F305" i="56"/>
  <c r="H305" i="56"/>
  <c r="F306" i="56"/>
  <c r="H306" i="56"/>
  <c r="F307" i="56"/>
  <c r="H307" i="56"/>
  <c r="F308" i="56"/>
  <c r="H308" i="56"/>
  <c r="F309" i="56"/>
  <c r="H309" i="56"/>
  <c r="F310" i="56"/>
  <c r="H310" i="56"/>
  <c r="F311" i="56"/>
  <c r="H311" i="56"/>
  <c r="F312" i="56"/>
  <c r="H312" i="56"/>
  <c r="F313" i="56"/>
  <c r="H313" i="56"/>
  <c r="F314" i="56"/>
  <c r="H314" i="56"/>
  <c r="F315" i="56"/>
  <c r="H315" i="56"/>
  <c r="F316" i="56"/>
  <c r="H316" i="56"/>
  <c r="F317" i="56"/>
  <c r="H317" i="56"/>
  <c r="F318" i="56"/>
  <c r="H318" i="56"/>
  <c r="F319" i="56"/>
  <c r="H319" i="56"/>
  <c r="F320" i="56"/>
  <c r="H320" i="56"/>
  <c r="F321" i="56"/>
  <c r="H321" i="56"/>
  <c r="F322" i="56"/>
  <c r="H322" i="56"/>
  <c r="F323" i="56"/>
  <c r="H323" i="56"/>
  <c r="F324" i="56"/>
  <c r="H324" i="56"/>
  <c r="F325" i="56"/>
  <c r="H325" i="56"/>
  <c r="F326" i="56"/>
  <c r="H326" i="56"/>
  <c r="F327" i="56"/>
  <c r="H327" i="56"/>
  <c r="F328" i="56"/>
  <c r="H328" i="56"/>
  <c r="F329" i="56"/>
  <c r="H329" i="56"/>
  <c r="F330" i="56"/>
  <c r="H330" i="56"/>
  <c r="F331" i="56"/>
  <c r="H331" i="56"/>
  <c r="F332" i="56"/>
  <c r="H332" i="56"/>
  <c r="F333" i="56"/>
  <c r="H333" i="56"/>
  <c r="F334" i="56"/>
  <c r="H334" i="56"/>
  <c r="F335" i="56"/>
  <c r="H335" i="56"/>
  <c r="F336" i="56"/>
  <c r="H336" i="56"/>
  <c r="F337" i="56"/>
  <c r="H337" i="56"/>
  <c r="F338" i="56"/>
  <c r="H338" i="56"/>
  <c r="F339" i="56"/>
  <c r="H339" i="56"/>
  <c r="F340" i="56"/>
  <c r="H340" i="56"/>
  <c r="F341" i="56"/>
  <c r="H341" i="56"/>
  <c r="F342" i="56"/>
  <c r="H342" i="56"/>
  <c r="F343" i="56"/>
  <c r="H343" i="56"/>
  <c r="F344" i="56"/>
  <c r="H344" i="56"/>
  <c r="F345" i="56"/>
  <c r="H345" i="56"/>
  <c r="F346" i="56"/>
  <c r="H346" i="56"/>
  <c r="F347" i="56"/>
  <c r="H347" i="56"/>
  <c r="F348" i="56"/>
  <c r="H348" i="56"/>
  <c r="F349" i="56"/>
  <c r="H349" i="56"/>
  <c r="F350" i="56"/>
  <c r="H350" i="56"/>
  <c r="F351" i="56"/>
  <c r="H351" i="56"/>
  <c r="F352" i="56"/>
  <c r="H352" i="56"/>
  <c r="F353" i="56"/>
  <c r="H353" i="56"/>
  <c r="F354" i="56"/>
  <c r="H354" i="56"/>
  <c r="F355" i="56"/>
  <c r="H355" i="56"/>
  <c r="F356" i="56"/>
  <c r="H356" i="56"/>
  <c r="F357" i="56"/>
  <c r="H357" i="56"/>
  <c r="F358" i="56"/>
  <c r="H358" i="56"/>
  <c r="F359" i="56"/>
  <c r="H359" i="56"/>
  <c r="F360" i="56"/>
  <c r="H360" i="56"/>
  <c r="F361" i="56"/>
  <c r="H361" i="56"/>
  <c r="F362" i="56"/>
  <c r="H362" i="56"/>
  <c r="F363" i="56"/>
  <c r="H363" i="56"/>
  <c r="F364" i="56"/>
  <c r="H364" i="56"/>
  <c r="F365" i="56"/>
  <c r="H365" i="56"/>
  <c r="F366" i="56"/>
  <c r="H366" i="56"/>
  <c r="F367" i="56"/>
  <c r="H367" i="56"/>
  <c r="F368" i="56"/>
  <c r="H368" i="56"/>
  <c r="F369" i="56"/>
  <c r="H369" i="56"/>
  <c r="F370" i="56"/>
  <c r="H370" i="56"/>
  <c r="F371" i="56"/>
  <c r="H371" i="56"/>
  <c r="F372" i="56"/>
  <c r="H372" i="56"/>
  <c r="F373" i="56"/>
  <c r="H373" i="56"/>
  <c r="F374" i="56"/>
  <c r="H374" i="56"/>
  <c r="F375" i="56"/>
  <c r="H375" i="56"/>
  <c r="F376" i="56"/>
  <c r="H376" i="56"/>
  <c r="F377" i="56"/>
  <c r="H377" i="56"/>
  <c r="F378" i="56"/>
  <c r="H378" i="56"/>
  <c r="F379" i="56"/>
  <c r="H379" i="56"/>
  <c r="F380" i="56"/>
  <c r="H380" i="56"/>
  <c r="F381" i="56"/>
  <c r="H381" i="56"/>
  <c r="F382" i="56"/>
  <c r="H382" i="56"/>
  <c r="F383" i="56"/>
  <c r="H383" i="56"/>
  <c r="F384" i="56"/>
  <c r="H384" i="56"/>
  <c r="F385" i="56"/>
  <c r="H385" i="56"/>
  <c r="F386" i="56"/>
  <c r="H386" i="56"/>
  <c r="F387" i="56"/>
  <c r="H387" i="56"/>
  <c r="F388" i="56"/>
  <c r="H388" i="56"/>
  <c r="F389" i="56"/>
  <c r="H389" i="56"/>
  <c r="F390" i="56"/>
  <c r="H390" i="56"/>
  <c r="F391" i="56"/>
  <c r="H391" i="56"/>
  <c r="F392" i="56"/>
  <c r="H392" i="56"/>
  <c r="F393" i="56"/>
  <c r="H393" i="56"/>
  <c r="F394" i="56"/>
  <c r="H394" i="56"/>
  <c r="F395" i="56"/>
  <c r="H395" i="56"/>
  <c r="F396" i="56"/>
  <c r="H396" i="56"/>
  <c r="F397" i="56"/>
  <c r="H397" i="56"/>
  <c r="F398" i="56"/>
  <c r="H398" i="56"/>
  <c r="F399" i="56"/>
  <c r="H399" i="56"/>
  <c r="F400" i="56"/>
  <c r="H400" i="56"/>
  <c r="F401" i="56"/>
  <c r="H401" i="56"/>
  <c r="F402" i="56"/>
  <c r="H402" i="56"/>
  <c r="F403" i="56"/>
  <c r="H403" i="56"/>
  <c r="F404" i="56"/>
  <c r="H404" i="56"/>
  <c r="F405" i="56"/>
  <c r="H405" i="56"/>
  <c r="F406" i="56"/>
  <c r="H406" i="56"/>
  <c r="F407" i="56"/>
  <c r="H407" i="56"/>
  <c r="F408" i="56"/>
  <c r="H408" i="56"/>
  <c r="F409" i="56"/>
  <c r="H409" i="56"/>
  <c r="F410" i="56"/>
  <c r="H410" i="56"/>
  <c r="F411" i="56"/>
  <c r="H411" i="56"/>
  <c r="F412" i="56"/>
  <c r="H412" i="56"/>
  <c r="F413" i="56"/>
  <c r="H413" i="56"/>
  <c r="F414" i="56"/>
  <c r="H414" i="56"/>
  <c r="F415" i="56"/>
  <c r="H415" i="56"/>
  <c r="F416" i="56"/>
  <c r="H416" i="56"/>
  <c r="F417" i="56"/>
  <c r="H417" i="56"/>
  <c r="F418" i="56"/>
  <c r="H418" i="56"/>
  <c r="F419" i="56"/>
  <c r="H419" i="56"/>
  <c r="F420" i="56"/>
  <c r="H420" i="56"/>
  <c r="F421" i="56"/>
  <c r="H421" i="56"/>
  <c r="F422" i="56"/>
  <c r="H422" i="56"/>
  <c r="F423" i="56"/>
  <c r="H423" i="56"/>
  <c r="F424" i="56"/>
  <c r="H424" i="56"/>
  <c r="F425" i="56"/>
  <c r="H425" i="56"/>
  <c r="F426" i="56"/>
  <c r="H426" i="56"/>
  <c r="F427" i="56"/>
  <c r="H427" i="56"/>
  <c r="F428" i="56"/>
  <c r="H428" i="56"/>
  <c r="F429" i="56"/>
  <c r="H429" i="56"/>
  <c r="F430" i="56"/>
  <c r="H430" i="56"/>
  <c r="F431" i="56"/>
  <c r="H431" i="56"/>
  <c r="F432" i="56"/>
  <c r="H432" i="56"/>
  <c r="F433" i="56"/>
  <c r="H433" i="56"/>
  <c r="F434" i="56"/>
  <c r="H434" i="56"/>
  <c r="F435" i="56"/>
  <c r="H435" i="56"/>
  <c r="F436" i="56"/>
  <c r="H436" i="56"/>
  <c r="F437" i="56"/>
  <c r="H437" i="56"/>
  <c r="F438" i="56"/>
  <c r="H438" i="56"/>
  <c r="F439" i="56"/>
  <c r="H439" i="56"/>
  <c r="F440" i="56"/>
  <c r="H440" i="56"/>
  <c r="F441" i="56"/>
  <c r="H441" i="56"/>
  <c r="F442" i="56"/>
  <c r="H442" i="56"/>
  <c r="F443" i="56"/>
  <c r="H443" i="56"/>
  <c r="F444" i="56"/>
  <c r="H444" i="56"/>
  <c r="F445" i="56"/>
  <c r="H445" i="56"/>
  <c r="F446" i="56"/>
  <c r="H446" i="56"/>
  <c r="F447" i="56"/>
  <c r="H447" i="56"/>
  <c r="F448" i="56"/>
  <c r="H448" i="56"/>
  <c r="F449" i="56"/>
  <c r="H449" i="56"/>
  <c r="F450" i="56"/>
  <c r="H450" i="56"/>
  <c r="F451" i="56"/>
  <c r="H451" i="56"/>
  <c r="F452" i="56"/>
  <c r="H452" i="56"/>
  <c r="F453" i="56"/>
  <c r="H453" i="56"/>
  <c r="F454" i="56"/>
  <c r="H454" i="56"/>
  <c r="F455" i="56"/>
  <c r="H455" i="56"/>
  <c r="F456" i="56"/>
  <c r="H456" i="56"/>
  <c r="F457" i="56"/>
  <c r="H457" i="56"/>
  <c r="F458" i="56"/>
  <c r="H458" i="56"/>
  <c r="F459" i="56"/>
  <c r="H459" i="56"/>
  <c r="F460" i="56"/>
  <c r="H460" i="56"/>
  <c r="F461" i="56"/>
  <c r="H461" i="56"/>
  <c r="F462" i="56"/>
  <c r="H462" i="56"/>
  <c r="F463" i="56"/>
  <c r="H463" i="56"/>
  <c r="F464" i="56"/>
  <c r="H464" i="56"/>
  <c r="F465" i="56"/>
  <c r="H465" i="56"/>
  <c r="F466" i="56"/>
  <c r="H466" i="56"/>
  <c r="F467" i="56"/>
  <c r="H467" i="56"/>
  <c r="F468" i="56"/>
  <c r="H468" i="56"/>
  <c r="F469" i="56"/>
  <c r="H469" i="56"/>
  <c r="F470" i="56"/>
  <c r="H470" i="56"/>
  <c r="F471" i="56"/>
  <c r="H471" i="56"/>
  <c r="F472" i="56"/>
  <c r="H472" i="56"/>
  <c r="F473" i="56"/>
  <c r="H473" i="56"/>
  <c r="F474" i="56"/>
  <c r="H474" i="56"/>
  <c r="F475" i="56"/>
  <c r="H475" i="56"/>
  <c r="F476" i="56"/>
  <c r="H476" i="56"/>
  <c r="F477" i="56"/>
  <c r="H477" i="56"/>
  <c r="F478" i="56"/>
  <c r="H478" i="56"/>
  <c r="F479" i="56"/>
  <c r="H479" i="56"/>
  <c r="F480" i="56"/>
  <c r="H480" i="56"/>
  <c r="F481" i="56"/>
  <c r="H481" i="56"/>
  <c r="F482" i="56"/>
  <c r="H482" i="56"/>
  <c r="F483" i="56"/>
  <c r="H483" i="56"/>
  <c r="F484" i="56"/>
  <c r="H484" i="56"/>
  <c r="F485" i="56"/>
  <c r="H485" i="56"/>
  <c r="F486" i="56"/>
  <c r="H486" i="56"/>
  <c r="F487" i="56"/>
  <c r="H487" i="56"/>
  <c r="F488" i="56"/>
  <c r="H488" i="56"/>
  <c r="F489" i="56"/>
  <c r="H489" i="56"/>
  <c r="F490" i="56"/>
  <c r="H490" i="56"/>
  <c r="F491" i="56"/>
  <c r="H491" i="56"/>
  <c r="F492" i="56"/>
  <c r="H492" i="56"/>
  <c r="F493" i="56"/>
  <c r="H493" i="56"/>
  <c r="F494" i="56"/>
  <c r="H494" i="56"/>
  <c r="F495" i="56"/>
  <c r="H495" i="56"/>
  <c r="F496" i="56"/>
  <c r="H496" i="56"/>
  <c r="F497" i="56"/>
  <c r="H497" i="56"/>
  <c r="F498" i="56"/>
  <c r="H498" i="56"/>
  <c r="F499" i="56"/>
  <c r="H499" i="56"/>
  <c r="F500" i="56"/>
  <c r="H500" i="56"/>
  <c r="F501" i="56"/>
  <c r="H501" i="56"/>
  <c r="F502" i="56"/>
  <c r="H502" i="56"/>
  <c r="F503" i="56"/>
  <c r="H503" i="56"/>
  <c r="F504" i="56"/>
  <c r="H504" i="56"/>
  <c r="F505" i="56"/>
  <c r="H505" i="56"/>
  <c r="F506" i="56"/>
  <c r="H506" i="56"/>
  <c r="F507" i="56"/>
  <c r="H507" i="56"/>
  <c r="F508" i="56"/>
  <c r="H508" i="56"/>
  <c r="F509" i="56"/>
  <c r="H509" i="56"/>
  <c r="F510" i="56"/>
  <c r="H510" i="56"/>
  <c r="F511" i="56"/>
  <c r="H511" i="56"/>
  <c r="F512" i="56"/>
  <c r="H512" i="56"/>
  <c r="F513" i="56"/>
  <c r="H513" i="56"/>
  <c r="F514" i="56"/>
  <c r="H514" i="56"/>
  <c r="F515" i="56"/>
  <c r="H515" i="56"/>
  <c r="F516" i="56"/>
  <c r="H516" i="56"/>
  <c r="F517" i="56"/>
  <c r="H517" i="56"/>
  <c r="F518" i="56"/>
  <c r="H518" i="56"/>
  <c r="F519" i="56"/>
  <c r="H519" i="56"/>
  <c r="F520" i="56"/>
  <c r="H520" i="56"/>
  <c r="F521" i="56"/>
  <c r="H521" i="56"/>
  <c r="F522" i="56"/>
  <c r="H522" i="56"/>
  <c r="F523" i="56"/>
  <c r="H523" i="56"/>
  <c r="F524" i="56"/>
  <c r="H524" i="56"/>
  <c r="F525" i="56"/>
  <c r="H525" i="56"/>
  <c r="F526" i="56"/>
  <c r="H526" i="56"/>
  <c r="F527" i="56"/>
  <c r="H527" i="56"/>
  <c r="F528" i="56"/>
  <c r="H528" i="56"/>
  <c r="F529" i="56"/>
  <c r="H529" i="56"/>
  <c r="F530" i="56"/>
  <c r="H530" i="56"/>
  <c r="F531" i="56"/>
  <c r="H531" i="56"/>
  <c r="F532" i="56"/>
  <c r="H532" i="56"/>
  <c r="F533" i="56"/>
  <c r="H533" i="56"/>
  <c r="F534" i="56"/>
  <c r="H534" i="56"/>
  <c r="F535" i="56"/>
  <c r="H535" i="56"/>
  <c r="F536" i="56"/>
  <c r="H536" i="56"/>
  <c r="F537" i="56"/>
  <c r="H537" i="56"/>
  <c r="F538" i="56"/>
  <c r="H538" i="56"/>
  <c r="F539" i="56"/>
  <c r="H539" i="56"/>
  <c r="F540" i="56"/>
  <c r="H540" i="56"/>
  <c r="F541" i="56"/>
  <c r="H541" i="56"/>
  <c r="F542" i="56"/>
  <c r="H542" i="56"/>
  <c r="F543" i="56"/>
  <c r="H543" i="56"/>
  <c r="F544" i="56"/>
  <c r="H544" i="56"/>
  <c r="F545" i="56"/>
  <c r="H545" i="56"/>
  <c r="F546" i="56"/>
  <c r="H546" i="56"/>
  <c r="F547" i="56"/>
  <c r="H547" i="56"/>
  <c r="F548" i="56"/>
  <c r="H548" i="56"/>
  <c r="F549" i="56"/>
  <c r="H549" i="56"/>
  <c r="F550" i="56"/>
  <c r="H550" i="56"/>
  <c r="F551" i="56"/>
  <c r="H551" i="56"/>
  <c r="F552" i="56"/>
  <c r="H552" i="56"/>
  <c r="F553" i="56"/>
  <c r="H553" i="56"/>
  <c r="F554" i="56"/>
  <c r="H554" i="56"/>
  <c r="F555" i="56"/>
  <c r="H555" i="56"/>
  <c r="F556" i="56"/>
  <c r="H556" i="56"/>
  <c r="F557" i="56"/>
  <c r="H557" i="56"/>
  <c r="F558" i="56"/>
  <c r="H558" i="56"/>
  <c r="F559" i="56"/>
  <c r="H559" i="56"/>
  <c r="F560" i="56"/>
  <c r="H560" i="56"/>
  <c r="F561" i="56"/>
  <c r="H561" i="56"/>
  <c r="F562" i="56"/>
  <c r="H562" i="56"/>
  <c r="F563" i="56"/>
  <c r="H563" i="56"/>
  <c r="F564" i="56"/>
  <c r="H564" i="56"/>
  <c r="F565" i="56"/>
  <c r="H565" i="56"/>
  <c r="F566" i="56"/>
  <c r="H566" i="56"/>
  <c r="F567" i="56"/>
  <c r="H567" i="56"/>
  <c r="F568" i="56"/>
  <c r="H568" i="56"/>
  <c r="F569" i="56"/>
  <c r="H569" i="56"/>
  <c r="F570" i="56"/>
  <c r="H570" i="56"/>
  <c r="F571" i="56"/>
  <c r="H571" i="56"/>
  <c r="F572" i="56"/>
  <c r="H572" i="56"/>
  <c r="F573" i="56"/>
  <c r="H573" i="56"/>
  <c r="F574" i="56"/>
  <c r="H574" i="56"/>
  <c r="F575" i="56"/>
  <c r="H575" i="56"/>
  <c r="F576" i="56"/>
  <c r="H576" i="56"/>
  <c r="F577" i="56"/>
  <c r="H577" i="56"/>
  <c r="F578" i="56"/>
  <c r="H578" i="56"/>
  <c r="F579" i="56"/>
  <c r="H579" i="56"/>
  <c r="F580" i="56"/>
  <c r="H580" i="56"/>
  <c r="F581" i="56"/>
  <c r="H581" i="56"/>
  <c r="F582" i="56"/>
  <c r="H582" i="56"/>
  <c r="F583" i="56"/>
  <c r="H583" i="56"/>
  <c r="F584" i="56"/>
  <c r="H584" i="56"/>
  <c r="F585" i="56"/>
  <c r="H585" i="56"/>
  <c r="F586" i="56"/>
  <c r="H586" i="56"/>
  <c r="F587" i="56"/>
  <c r="H587" i="56"/>
  <c r="F588" i="56"/>
  <c r="H588" i="56"/>
  <c r="F589" i="56"/>
  <c r="H589" i="56"/>
  <c r="F590" i="56"/>
  <c r="H590" i="56"/>
  <c r="F591" i="56"/>
  <c r="H591" i="56"/>
  <c r="F592" i="56"/>
  <c r="H592" i="56"/>
  <c r="F593" i="56"/>
  <c r="H593" i="56"/>
  <c r="F594" i="56"/>
  <c r="H594" i="56"/>
  <c r="F595" i="56"/>
  <c r="H595" i="56"/>
  <c r="F596" i="56"/>
  <c r="H596" i="56"/>
  <c r="F597" i="56"/>
  <c r="H597" i="56"/>
  <c r="F598" i="56"/>
  <c r="H598" i="56"/>
  <c r="F599" i="56"/>
  <c r="H599" i="56"/>
  <c r="F600" i="56"/>
  <c r="H600" i="56"/>
  <c r="F601" i="56"/>
  <c r="H601" i="56"/>
  <c r="F602" i="56"/>
  <c r="H602" i="56"/>
  <c r="F603" i="56"/>
  <c r="H603" i="56"/>
  <c r="F604" i="56"/>
  <c r="H604" i="56"/>
  <c r="F605" i="56"/>
  <c r="H605" i="56"/>
  <c r="F606" i="56"/>
  <c r="H606" i="56"/>
  <c r="F607" i="56"/>
  <c r="H607" i="56"/>
  <c r="F608" i="56"/>
  <c r="H608" i="56"/>
  <c r="F609" i="56"/>
  <c r="H609" i="56"/>
  <c r="F610" i="56"/>
  <c r="H610" i="56"/>
  <c r="F611" i="56"/>
  <c r="H611" i="56"/>
  <c r="F612" i="56"/>
  <c r="H612" i="56"/>
  <c r="F613" i="56"/>
  <c r="H613" i="56"/>
  <c r="F614" i="56"/>
  <c r="H614" i="56"/>
  <c r="F615" i="56"/>
  <c r="H615" i="56"/>
  <c r="F616" i="56"/>
  <c r="H616" i="56"/>
  <c r="F617" i="56"/>
  <c r="H617" i="56"/>
  <c r="F618" i="56"/>
  <c r="H618" i="56"/>
  <c r="F619" i="56"/>
  <c r="H619" i="56"/>
  <c r="F620" i="56"/>
  <c r="H620" i="56"/>
  <c r="F621" i="56"/>
  <c r="H621" i="56"/>
  <c r="F622" i="56"/>
  <c r="H622" i="56"/>
  <c r="F623" i="56"/>
  <c r="H623" i="56"/>
  <c r="F624" i="56"/>
  <c r="H624" i="56"/>
  <c r="F625" i="56"/>
  <c r="H625" i="56"/>
  <c r="F626" i="56"/>
  <c r="H626" i="56"/>
  <c r="F627" i="56"/>
  <c r="H627" i="56"/>
  <c r="F628" i="56"/>
  <c r="H628" i="56"/>
  <c r="F629" i="56"/>
  <c r="H629" i="56"/>
  <c r="F630" i="56"/>
  <c r="H630" i="56"/>
  <c r="F631" i="56"/>
  <c r="H631" i="56"/>
  <c r="E267" i="202"/>
  <c r="E223" i="202"/>
  <c r="E226" i="202"/>
  <c r="E249" i="202"/>
  <c r="F147" i="202"/>
  <c r="G54" i="202"/>
  <c r="F50" i="202"/>
  <c r="F17" i="202"/>
  <c r="B9" i="31"/>
  <c r="G170" i="202"/>
  <c r="F171" i="202"/>
  <c r="E171" i="202"/>
  <c r="E173" i="202"/>
  <c r="F173" i="202"/>
  <c r="G127" i="202"/>
  <c r="G75" i="202"/>
  <c r="G322" i="202"/>
  <c r="F322" i="202"/>
  <c r="E322" i="202"/>
  <c r="D322" i="202"/>
  <c r="C322" i="202"/>
  <c r="G321" i="202"/>
  <c r="G320" i="202"/>
  <c r="G292" i="202"/>
  <c r="F321" i="202"/>
  <c r="E321" i="202"/>
  <c r="D321" i="202"/>
  <c r="C321" i="202"/>
  <c r="G318" i="202"/>
  <c r="E318" i="202"/>
  <c r="D318" i="202"/>
  <c r="C318" i="202"/>
  <c r="G316" i="202"/>
  <c r="E316" i="202"/>
  <c r="D316" i="202"/>
  <c r="C316" i="202"/>
  <c r="G314" i="202"/>
  <c r="E314" i="202"/>
  <c r="D314" i="202"/>
  <c r="C314" i="202"/>
  <c r="G313" i="202"/>
  <c r="E313" i="202"/>
  <c r="D313" i="202"/>
  <c r="C313" i="202"/>
  <c r="G310" i="202"/>
  <c r="E310" i="202"/>
  <c r="D310" i="202"/>
  <c r="C310" i="202"/>
  <c r="G309" i="202"/>
  <c r="E309" i="202"/>
  <c r="D309" i="202"/>
  <c r="C309" i="202"/>
  <c r="D308" i="202"/>
  <c r="G307" i="202"/>
  <c r="E307" i="202"/>
  <c r="D307" i="202"/>
  <c r="C307" i="202"/>
  <c r="G306" i="202"/>
  <c r="E306" i="202"/>
  <c r="D306" i="202"/>
  <c r="C306" i="202"/>
  <c r="G305" i="202"/>
  <c r="E305" i="202"/>
  <c r="D305" i="202"/>
  <c r="C305" i="202"/>
  <c r="G304" i="202"/>
  <c r="E304" i="202"/>
  <c r="D304" i="202"/>
  <c r="C304" i="202"/>
  <c r="G303" i="202"/>
  <c r="E303" i="202"/>
  <c r="D303" i="202"/>
  <c r="C303" i="202"/>
  <c r="G302" i="202"/>
  <c r="E302" i="202"/>
  <c r="D302" i="202"/>
  <c r="C302" i="202"/>
  <c r="G301" i="202"/>
  <c r="E301" i="202"/>
  <c r="D301" i="202"/>
  <c r="C301" i="202"/>
  <c r="G300" i="202"/>
  <c r="E300" i="202"/>
  <c r="D300" i="202"/>
  <c r="C300" i="202"/>
  <c r="G299" i="202"/>
  <c r="E299" i="202"/>
  <c r="E298" i="202"/>
  <c r="E294" i="202"/>
  <c r="D299" i="202"/>
  <c r="C299" i="202"/>
  <c r="G267" i="202"/>
  <c r="G249" i="202"/>
  <c r="G243" i="202"/>
  <c r="G226" i="202"/>
  <c r="G223" i="202"/>
  <c r="G212" i="202"/>
  <c r="E212" i="202"/>
  <c r="G171" i="202"/>
  <c r="G173" i="202"/>
  <c r="G181" i="202"/>
  <c r="G196" i="202"/>
  <c r="G201" i="202"/>
  <c r="G308" i="202"/>
  <c r="G147" i="202"/>
  <c r="G118" i="202"/>
  <c r="G112" i="202"/>
  <c r="G38" i="202"/>
  <c r="G17" i="202"/>
  <c r="D26" i="97"/>
  <c r="B5" i="32"/>
  <c r="G50" i="202"/>
  <c r="E50" i="202"/>
  <c r="F85" i="202"/>
  <c r="E85" i="202"/>
  <c r="G85" i="202"/>
  <c r="E127" i="202"/>
  <c r="E17" i="202"/>
  <c r="D24" i="97"/>
  <c r="F267" i="202"/>
  <c r="F249" i="202"/>
  <c r="E243" i="202"/>
  <c r="E147" i="202"/>
  <c r="E181" i="202"/>
  <c r="F243" i="202"/>
  <c r="F226" i="202"/>
  <c r="F223" i="202"/>
  <c r="F212" i="202"/>
  <c r="F201" i="202"/>
  <c r="E201" i="202"/>
  <c r="E308" i="202"/>
  <c r="C201" i="202"/>
  <c r="C308" i="202"/>
  <c r="F196" i="202"/>
  <c r="E196" i="202"/>
  <c r="F181" i="202"/>
  <c r="D171" i="202"/>
  <c r="C171" i="202"/>
  <c r="F127" i="202"/>
  <c r="C120" i="202"/>
  <c r="F118" i="202"/>
  <c r="E118" i="202"/>
  <c r="F112" i="202"/>
  <c r="E112" i="202"/>
  <c r="F75" i="202"/>
  <c r="E75" i="202"/>
  <c r="F38" i="202"/>
  <c r="E38" i="202"/>
  <c r="H47" i="175"/>
  <c r="H46" i="175"/>
  <c r="H44" i="175"/>
  <c r="H43" i="175"/>
  <c r="H42" i="175"/>
  <c r="H41" i="175"/>
  <c r="H40" i="175"/>
  <c r="H39" i="175"/>
  <c r="H38" i="175"/>
  <c r="H37" i="175"/>
  <c r="H36" i="175"/>
  <c r="H35" i="175"/>
  <c r="H34" i="175"/>
  <c r="H33" i="175"/>
  <c r="H32" i="175"/>
  <c r="H31" i="175"/>
  <c r="H30" i="175"/>
  <c r="H29" i="175"/>
  <c r="H28" i="175"/>
  <c r="H27" i="175"/>
  <c r="H26" i="175"/>
  <c r="H25" i="175"/>
  <c r="H24" i="175"/>
  <c r="H23" i="175"/>
  <c r="H22" i="175"/>
  <c r="H21" i="175"/>
  <c r="H20" i="175"/>
  <c r="H19" i="175"/>
  <c r="H18" i="175"/>
  <c r="H17" i="175"/>
  <c r="H16" i="175"/>
  <c r="H15" i="175"/>
  <c r="H14" i="175"/>
  <c r="H13" i="175"/>
  <c r="H12" i="175"/>
  <c r="H11" i="175"/>
  <c r="H10" i="175"/>
  <c r="H9" i="175"/>
  <c r="H8" i="175"/>
  <c r="H7" i="175"/>
  <c r="F28" i="174"/>
  <c r="F47" i="174"/>
  <c r="F46" i="174"/>
  <c r="F44" i="174"/>
  <c r="F43" i="174"/>
  <c r="F42" i="174"/>
  <c r="F41" i="174"/>
  <c r="F40" i="174"/>
  <c r="F39" i="174"/>
  <c r="F38" i="174"/>
  <c r="F37" i="174"/>
  <c r="F36" i="174"/>
  <c r="F35" i="174"/>
  <c r="F34" i="174"/>
  <c r="F33" i="174"/>
  <c r="F32" i="174"/>
  <c r="F31" i="174"/>
  <c r="F30" i="174"/>
  <c r="F29" i="174"/>
  <c r="F27" i="174"/>
  <c r="F26" i="174"/>
  <c r="F25" i="174"/>
  <c r="F24" i="174"/>
  <c r="F23" i="174"/>
  <c r="F22" i="174"/>
  <c r="F21" i="174"/>
  <c r="F20" i="174"/>
  <c r="F19" i="174"/>
  <c r="F18" i="174"/>
  <c r="F17" i="174"/>
  <c r="F16" i="174"/>
  <c r="F15" i="174"/>
  <c r="F14" i="174"/>
  <c r="F13" i="174"/>
  <c r="F12" i="174"/>
  <c r="F11" i="174"/>
  <c r="F10" i="174"/>
  <c r="F9" i="174"/>
  <c r="F8" i="174"/>
  <c r="F7" i="174"/>
  <c r="B7" i="32"/>
  <c r="B3" i="32"/>
  <c r="S1542" i="144"/>
  <c r="F1542" i="144"/>
  <c r="S1686" i="144"/>
  <c r="F1686" i="144"/>
  <c r="S1654" i="144"/>
  <c r="F1654" i="144"/>
  <c r="S1470" i="144"/>
  <c r="F1470" i="144"/>
  <c r="S1238" i="144"/>
  <c r="F1238" i="144"/>
  <c r="S1174" i="144"/>
  <c r="F1174" i="144"/>
  <c r="S915" i="144"/>
  <c r="F915" i="144"/>
  <c r="S14" i="144"/>
  <c r="F14" i="144"/>
  <c r="S32" i="144"/>
  <c r="F32" i="144"/>
  <c r="S62" i="144"/>
  <c r="F62" i="144"/>
  <c r="S70" i="144"/>
  <c r="F70" i="144"/>
  <c r="S105" i="144"/>
  <c r="F105" i="144"/>
  <c r="S110" i="144"/>
  <c r="F110" i="144"/>
  <c r="S123" i="144"/>
  <c r="F123" i="144"/>
  <c r="S190" i="144"/>
  <c r="F190" i="144"/>
  <c r="S224" i="144"/>
  <c r="F224" i="144"/>
  <c r="S246" i="144"/>
  <c r="F246" i="144"/>
  <c r="S278" i="144"/>
  <c r="F278" i="144"/>
  <c r="S16" i="144"/>
  <c r="F16" i="144"/>
  <c r="S64" i="144"/>
  <c r="F64" i="144"/>
  <c r="S78" i="144"/>
  <c r="F78" i="144"/>
  <c r="S168" i="144"/>
  <c r="F168" i="144"/>
  <c r="S184" i="144"/>
  <c r="F184" i="144"/>
  <c r="S222" i="144"/>
  <c r="F222" i="144"/>
  <c r="S238" i="144"/>
  <c r="F238" i="144"/>
  <c r="S1822" i="144"/>
  <c r="F1822" i="144"/>
  <c r="S1790" i="144"/>
  <c r="F1790" i="144"/>
  <c r="S1742" i="144"/>
  <c r="F1742" i="144"/>
  <c r="S1726" i="144"/>
  <c r="F1726" i="144"/>
  <c r="S1711" i="144"/>
  <c r="F1711" i="144"/>
  <c r="S1462" i="144"/>
  <c r="F1462" i="144"/>
  <c r="S1430" i="144"/>
  <c r="F1430" i="144"/>
  <c r="S1303" i="144"/>
  <c r="F1303" i="144"/>
  <c r="S1294" i="144"/>
  <c r="F1294" i="144"/>
  <c r="S1230" i="144"/>
  <c r="F1230" i="144"/>
  <c r="S1128" i="144"/>
  <c r="F1128" i="144"/>
  <c r="S1062" i="144"/>
  <c r="F1062" i="144"/>
  <c r="S1006" i="144"/>
  <c r="F1006" i="144"/>
  <c r="S991" i="144"/>
  <c r="F991" i="144"/>
  <c r="S987" i="144"/>
  <c r="F987" i="144"/>
  <c r="S856" i="144"/>
  <c r="F856" i="144"/>
  <c r="S854" i="144"/>
  <c r="F854" i="144"/>
  <c r="S823" i="144"/>
  <c r="F823" i="144"/>
  <c r="S798" i="144"/>
  <c r="F798" i="144"/>
  <c r="S755" i="144"/>
  <c r="F755" i="144"/>
  <c r="S747" i="144"/>
  <c r="F747" i="144"/>
  <c r="S742" i="144"/>
  <c r="F742" i="144"/>
  <c r="S702" i="144"/>
  <c r="F702" i="144"/>
  <c r="S694" i="144"/>
  <c r="S654" i="144"/>
  <c r="F654" i="144"/>
  <c r="S615" i="144"/>
  <c r="F615" i="144"/>
  <c r="S574" i="144"/>
  <c r="F574" i="144"/>
  <c r="S558" i="144"/>
  <c r="F558" i="144"/>
  <c r="S544" i="144"/>
  <c r="F544" i="144"/>
  <c r="S542" i="144"/>
  <c r="F542" i="144"/>
  <c r="S535" i="144"/>
  <c r="F535" i="144"/>
  <c r="S503" i="144"/>
  <c r="F503" i="144"/>
  <c r="S454" i="144"/>
  <c r="F454" i="144"/>
  <c r="S415" i="144"/>
  <c r="F415" i="144"/>
  <c r="S408" i="144"/>
  <c r="F408" i="144"/>
  <c r="S384" i="144"/>
  <c r="F384" i="144"/>
  <c r="S367" i="144"/>
  <c r="F367" i="144"/>
  <c r="S360" i="144"/>
  <c r="F360" i="144"/>
  <c r="S352" i="144"/>
  <c r="F352" i="144"/>
  <c r="S334" i="144"/>
  <c r="F334" i="144"/>
  <c r="S297" i="144"/>
  <c r="F297" i="144"/>
  <c r="S799" i="144"/>
  <c r="F799" i="144"/>
  <c r="S782" i="144"/>
  <c r="F782" i="144"/>
  <c r="S774" i="144"/>
  <c r="F774" i="144"/>
  <c r="S768" i="144"/>
  <c r="F768" i="144"/>
  <c r="S758" i="144"/>
  <c r="F758" i="144"/>
  <c r="S695" i="144"/>
  <c r="F695" i="144"/>
  <c r="S670" i="144"/>
  <c r="F670" i="144"/>
  <c r="S667" i="144"/>
  <c r="F667" i="144"/>
  <c r="S640" i="144"/>
  <c r="F640" i="144"/>
  <c r="S631" i="144"/>
  <c r="F631" i="144"/>
  <c r="S616" i="144"/>
  <c r="F616" i="144"/>
  <c r="S614" i="144"/>
  <c r="F614" i="144"/>
  <c r="S576" i="144"/>
  <c r="F576" i="144"/>
  <c r="S568" i="144"/>
  <c r="F568" i="144"/>
  <c r="S566" i="144"/>
  <c r="F566" i="144"/>
  <c r="S550" i="144"/>
  <c r="F550" i="144"/>
  <c r="S543" i="144"/>
  <c r="F543" i="144"/>
  <c r="S534" i="144"/>
  <c r="F534" i="144"/>
  <c r="S528" i="144"/>
  <c r="F528" i="144"/>
  <c r="S502" i="144"/>
  <c r="F502" i="144"/>
  <c r="S478" i="144"/>
  <c r="F478" i="144"/>
  <c r="S438" i="144"/>
  <c r="F438" i="144"/>
  <c r="S432" i="144"/>
  <c r="F432" i="144"/>
  <c r="S416" i="144"/>
  <c r="F416" i="144"/>
  <c r="S414" i="144"/>
  <c r="F414" i="144"/>
  <c r="S406" i="144"/>
  <c r="F406" i="144"/>
  <c r="S376" i="144"/>
  <c r="F376" i="144"/>
  <c r="S368" i="144"/>
  <c r="F368" i="144"/>
  <c r="S366" i="144"/>
  <c r="F366" i="144"/>
  <c r="S350" i="144"/>
  <c r="F350" i="144"/>
  <c r="S336" i="144"/>
  <c r="F336" i="144"/>
  <c r="S318" i="144"/>
  <c r="F318" i="144"/>
  <c r="S295" i="144"/>
  <c r="F295" i="144"/>
  <c r="S1791" i="144"/>
  <c r="F1791" i="144"/>
  <c r="S1775" i="144"/>
  <c r="F1775" i="144"/>
  <c r="S1767" i="144"/>
  <c r="F1767" i="144"/>
  <c r="S1743" i="144"/>
  <c r="F1743" i="144"/>
  <c r="S1703" i="144"/>
  <c r="F1703" i="144"/>
  <c r="S1695" i="144"/>
  <c r="F1695" i="144"/>
  <c r="S1679" i="144"/>
  <c r="F1679" i="144"/>
  <c r="S1663" i="144"/>
  <c r="F1663" i="144"/>
  <c r="S1631" i="144"/>
  <c r="F1631" i="144"/>
  <c r="S1615" i="144"/>
  <c r="F1615" i="144"/>
  <c r="S1599" i="144"/>
  <c r="F1599" i="144"/>
  <c r="S1559" i="144"/>
  <c r="F1559" i="144"/>
  <c r="S1519" i="144"/>
  <c r="F1519" i="144"/>
  <c r="S1503" i="144"/>
  <c r="F1503" i="144"/>
  <c r="S1447" i="144"/>
  <c r="F1447" i="144"/>
  <c r="S1415" i="144"/>
  <c r="F1415" i="144"/>
  <c r="S1407" i="144"/>
  <c r="F1407" i="144"/>
  <c r="S1391" i="144"/>
  <c r="F1391" i="144"/>
  <c r="S1367" i="144"/>
  <c r="F1367" i="144"/>
  <c r="S1359" i="144"/>
  <c r="F1359" i="144"/>
  <c r="S1351" i="144"/>
  <c r="F1351" i="144"/>
  <c r="S1311" i="144"/>
  <c r="F1311" i="144"/>
  <c r="S1295" i="144"/>
  <c r="F1295" i="144"/>
  <c r="S1255" i="144"/>
  <c r="F1255" i="144"/>
  <c r="S1239" i="144"/>
  <c r="F1239" i="144"/>
  <c r="S1231" i="144"/>
  <c r="F1231" i="144"/>
  <c r="S1207" i="144"/>
  <c r="F1207" i="144"/>
  <c r="S1167" i="144"/>
  <c r="F1167" i="144"/>
  <c r="S1143" i="144"/>
  <c r="F1143" i="144"/>
  <c r="S1127" i="144"/>
  <c r="F1127" i="144"/>
  <c r="S1111" i="144"/>
  <c r="F1111" i="144"/>
  <c r="S1087" i="144"/>
  <c r="F1087" i="144"/>
  <c r="S1079" i="144"/>
  <c r="F1079" i="144"/>
  <c r="S1073" i="144"/>
  <c r="F1073" i="144"/>
  <c r="S1854" i="144"/>
  <c r="F1854" i="144"/>
  <c r="S1706" i="144"/>
  <c r="F1706" i="144"/>
  <c r="S1512" i="144"/>
  <c r="F1512" i="144"/>
  <c r="S1424" i="144"/>
  <c r="F1424" i="144"/>
  <c r="S1336" i="144"/>
  <c r="F1336" i="144"/>
  <c r="S1264" i="144"/>
  <c r="F1264" i="144"/>
  <c r="S1049" i="144"/>
  <c r="F1049" i="144"/>
  <c r="S1015" i="144"/>
  <c r="F1015" i="144"/>
  <c r="S975" i="144"/>
  <c r="F975" i="144"/>
  <c r="S967" i="144"/>
  <c r="F967" i="144"/>
  <c r="S919" i="144"/>
  <c r="F919" i="144"/>
  <c r="S879" i="144"/>
  <c r="F879" i="144"/>
  <c r="S833" i="144"/>
  <c r="F833" i="144"/>
  <c r="S831" i="144"/>
  <c r="F831" i="144"/>
  <c r="S793" i="144"/>
  <c r="F793" i="144"/>
  <c r="S759" i="144"/>
  <c r="F759" i="144"/>
  <c r="S751" i="144"/>
  <c r="F751" i="144"/>
  <c r="S729" i="144"/>
  <c r="F729" i="144"/>
  <c r="S727" i="144"/>
  <c r="F727" i="144"/>
  <c r="S721" i="144"/>
  <c r="F721" i="144"/>
  <c r="S687" i="144"/>
  <c r="F687" i="144"/>
  <c r="S655" i="144"/>
  <c r="F655" i="144"/>
  <c r="S609" i="144"/>
  <c r="F609" i="144"/>
  <c r="S593" i="144"/>
  <c r="F593" i="144"/>
  <c r="S591" i="144"/>
  <c r="F591" i="144"/>
  <c r="S575" i="144"/>
  <c r="F575" i="144"/>
  <c r="S495" i="144"/>
  <c r="F495" i="144"/>
  <c r="S479" i="144"/>
  <c r="F479" i="144"/>
  <c r="S473" i="144"/>
  <c r="F473" i="144"/>
  <c r="S465" i="144"/>
  <c r="F465" i="144"/>
  <c r="S447" i="144"/>
  <c r="F447" i="144"/>
  <c r="S409" i="144"/>
  <c r="F409" i="144"/>
  <c r="S407" i="144"/>
  <c r="F407" i="144"/>
  <c r="S399" i="144"/>
  <c r="F399" i="144"/>
  <c r="S393" i="144"/>
  <c r="F393" i="144"/>
  <c r="S385" i="144"/>
  <c r="F385" i="144"/>
  <c r="S335" i="144"/>
  <c r="F335" i="144"/>
  <c r="S319" i="144"/>
  <c r="F319" i="144"/>
  <c r="S313" i="144"/>
  <c r="F313" i="144"/>
  <c r="S303" i="144"/>
  <c r="F303" i="144"/>
  <c r="S279" i="144"/>
  <c r="F279" i="144"/>
  <c r="S273" i="144"/>
  <c r="F273" i="144"/>
  <c r="S247" i="144"/>
  <c r="F247" i="144"/>
  <c r="S201" i="144"/>
  <c r="F201" i="144"/>
  <c r="S193" i="144"/>
  <c r="F193" i="144"/>
  <c r="S175" i="144"/>
  <c r="F175" i="144"/>
  <c r="S151" i="144"/>
  <c r="F151" i="144"/>
  <c r="S143" i="144"/>
  <c r="F143" i="144"/>
  <c r="S119" i="144"/>
  <c r="F119" i="144"/>
  <c r="S97" i="144"/>
  <c r="F97" i="144"/>
  <c r="S79" i="144"/>
  <c r="F79" i="144"/>
  <c r="S63" i="144"/>
  <c r="F63" i="144"/>
  <c r="S49" i="144"/>
  <c r="F49" i="144"/>
  <c r="S31" i="144"/>
  <c r="F31" i="144"/>
  <c r="S17" i="144"/>
  <c r="F17" i="144"/>
  <c r="S15" i="144"/>
  <c r="F15" i="144"/>
  <c r="S9" i="144"/>
  <c r="F9" i="144"/>
  <c r="S1040" i="144"/>
  <c r="F1040" i="144"/>
  <c r="S992" i="144"/>
  <c r="F992" i="144"/>
  <c r="S912" i="144"/>
  <c r="F912" i="144"/>
  <c r="S784" i="144"/>
  <c r="F784" i="144"/>
  <c r="S776" i="144"/>
  <c r="F776" i="144"/>
  <c r="S456" i="144"/>
  <c r="F456" i="144"/>
  <c r="S402" i="144"/>
  <c r="F402" i="144"/>
  <c r="S200" i="144"/>
  <c r="F200" i="144"/>
  <c r="S72" i="144"/>
  <c r="F72" i="144"/>
  <c r="S207" i="144"/>
  <c r="S519" i="144"/>
  <c r="S1479" i="144"/>
  <c r="F1479" i="144"/>
  <c r="I21" i="170"/>
  <c r="S1583" i="144"/>
  <c r="F1583" i="144"/>
  <c r="I18" i="170"/>
  <c r="S1535" i="144"/>
  <c r="I13" i="170"/>
  <c r="S1543" i="144"/>
  <c r="I7" i="170"/>
  <c r="I30" i="170"/>
  <c r="I8" i="170"/>
  <c r="C295" i="202"/>
  <c r="C294" i="202"/>
  <c r="J22" i="75"/>
  <c r="J18" i="75"/>
  <c r="D295" i="202"/>
  <c r="J9" i="69"/>
  <c r="J10" i="69"/>
  <c r="J11" i="69"/>
  <c r="J12" i="69"/>
  <c r="J13" i="69"/>
  <c r="J14" i="69"/>
  <c r="J15" i="69"/>
  <c r="J16" i="69"/>
  <c r="J17" i="69"/>
  <c r="J18" i="69"/>
  <c r="J19" i="69"/>
  <c r="J20" i="69"/>
  <c r="J21" i="69"/>
  <c r="J8" i="69"/>
  <c r="J7" i="69"/>
  <c r="I9" i="69"/>
  <c r="I10" i="69"/>
  <c r="I11" i="69"/>
  <c r="I12" i="69"/>
  <c r="I13" i="69"/>
  <c r="I14" i="69"/>
  <c r="I15" i="69"/>
  <c r="I16" i="69"/>
  <c r="I17" i="69"/>
  <c r="I18" i="69"/>
  <c r="I19" i="69"/>
  <c r="I20" i="69"/>
  <c r="I21" i="69"/>
  <c r="I8" i="69"/>
  <c r="I7" i="69"/>
  <c r="G393" i="75"/>
  <c r="H393" i="75"/>
  <c r="G7" i="146"/>
  <c r="G7" i="144"/>
  <c r="H7" i="144"/>
  <c r="B12" i="200"/>
  <c r="D6" i="32"/>
  <c r="B8" i="31"/>
  <c r="C8" i="31"/>
  <c r="B11" i="31"/>
  <c r="C11" i="31"/>
  <c r="B11" i="8"/>
  <c r="E7" i="45"/>
  <c r="B12" i="8"/>
  <c r="E6" i="32"/>
  <c r="B13" i="8"/>
  <c r="C13" i="13"/>
  <c r="D7" i="45"/>
  <c r="G7" i="125"/>
  <c r="B8" i="173"/>
  <c r="C8" i="173"/>
  <c r="D8" i="173"/>
  <c r="B9" i="173"/>
  <c r="C9" i="173"/>
  <c r="D9" i="173"/>
  <c r="B10" i="173"/>
  <c r="C10" i="173"/>
  <c r="D10" i="173"/>
  <c r="B11" i="173"/>
  <c r="C11" i="173"/>
  <c r="D11" i="173"/>
  <c r="B12" i="173"/>
  <c r="C12" i="173"/>
  <c r="D12" i="173"/>
  <c r="B13" i="173"/>
  <c r="C13" i="173"/>
  <c r="D13" i="173"/>
  <c r="B14" i="173"/>
  <c r="C14" i="173"/>
  <c r="D14" i="173"/>
  <c r="B15" i="173"/>
  <c r="C15" i="173"/>
  <c r="D15" i="173"/>
  <c r="B16" i="173"/>
  <c r="C16" i="173"/>
  <c r="D16" i="173"/>
  <c r="B17" i="173"/>
  <c r="C17" i="173"/>
  <c r="D17" i="173"/>
  <c r="B18" i="173"/>
  <c r="C18" i="173"/>
  <c r="D18" i="173"/>
  <c r="B19" i="173"/>
  <c r="C19" i="173"/>
  <c r="D19" i="173"/>
  <c r="B20" i="173"/>
  <c r="C20" i="173"/>
  <c r="D20" i="173"/>
  <c r="B21" i="173"/>
  <c r="C21" i="173"/>
  <c r="D21" i="173"/>
  <c r="B22" i="173"/>
  <c r="C22" i="173"/>
  <c r="D22" i="173"/>
  <c r="B23" i="173"/>
  <c r="C23" i="173"/>
  <c r="D23" i="173"/>
  <c r="B24" i="173"/>
  <c r="C24" i="173"/>
  <c r="D24" i="173"/>
  <c r="B25" i="173"/>
  <c r="C25" i="173"/>
  <c r="D25" i="173"/>
  <c r="B26" i="173"/>
  <c r="C26" i="173"/>
  <c r="D26" i="173"/>
  <c r="B27" i="173"/>
  <c r="C27" i="173"/>
  <c r="D27" i="173"/>
  <c r="B28" i="173"/>
  <c r="C28" i="173"/>
  <c r="D28" i="173"/>
  <c r="B29" i="173"/>
  <c r="C29" i="173"/>
  <c r="D29" i="173"/>
  <c r="B30" i="173"/>
  <c r="C30" i="173"/>
  <c r="D30" i="173"/>
  <c r="B31" i="173"/>
  <c r="C31" i="173"/>
  <c r="D31" i="173"/>
  <c r="B32" i="173"/>
  <c r="C32" i="173"/>
  <c r="D32" i="173"/>
  <c r="B33" i="173"/>
  <c r="C33" i="173"/>
  <c r="D33" i="173"/>
  <c r="B34" i="173"/>
  <c r="C34" i="173"/>
  <c r="D34" i="173"/>
  <c r="B35" i="173"/>
  <c r="C35" i="173"/>
  <c r="D35" i="173"/>
  <c r="B36" i="173"/>
  <c r="C36" i="173"/>
  <c r="D36" i="173"/>
  <c r="B37" i="173"/>
  <c r="C37" i="173"/>
  <c r="D37" i="173"/>
  <c r="B38" i="173"/>
  <c r="C38" i="173"/>
  <c r="D38" i="173"/>
  <c r="B39" i="173"/>
  <c r="C39" i="173"/>
  <c r="D39" i="173"/>
  <c r="B40" i="173"/>
  <c r="C40" i="173"/>
  <c r="D40" i="173"/>
  <c r="B41" i="173"/>
  <c r="C41" i="173"/>
  <c r="D41" i="173"/>
  <c r="B42" i="173"/>
  <c r="C42" i="173"/>
  <c r="D42" i="173"/>
  <c r="B43" i="173"/>
  <c r="C43" i="173"/>
  <c r="D43" i="173"/>
  <c r="B44" i="173"/>
  <c r="C44" i="173"/>
  <c r="D44" i="173"/>
  <c r="B45" i="173"/>
  <c r="C45" i="173"/>
  <c r="D45" i="173"/>
  <c r="B46" i="173"/>
  <c r="C46" i="173"/>
  <c r="D46" i="173"/>
  <c r="G7" i="174"/>
  <c r="G40" i="174"/>
  <c r="G41" i="174"/>
  <c r="I7" i="175"/>
  <c r="I40" i="175"/>
  <c r="I41" i="175"/>
  <c r="E76" i="194"/>
  <c r="D253" i="194"/>
  <c r="E253" i="194"/>
  <c r="D254" i="194"/>
  <c r="E254" i="194"/>
  <c r="D255" i="194"/>
  <c r="E255" i="194"/>
  <c r="D256" i="194"/>
  <c r="E256" i="194"/>
  <c r="D257" i="194"/>
  <c r="E257" i="194"/>
  <c r="D258" i="194"/>
  <c r="E258" i="194"/>
  <c r="D259" i="194"/>
  <c r="E259" i="194"/>
  <c r="D260" i="194"/>
  <c r="E260" i="194"/>
  <c r="D263" i="194"/>
  <c r="E263" i="194"/>
  <c r="D264" i="194"/>
  <c r="E264" i="194"/>
  <c r="D268" i="194"/>
  <c r="E268" i="194"/>
  <c r="D272" i="194"/>
  <c r="E272" i="194"/>
  <c r="D275" i="194"/>
  <c r="E275" i="194"/>
  <c r="D276" i="194"/>
  <c r="E276" i="194"/>
  <c r="J7" i="106"/>
  <c r="L7" i="106"/>
  <c r="M7" i="106"/>
  <c r="O7" i="106"/>
  <c r="P7" i="106"/>
  <c r="Q7" i="106"/>
  <c r="R7" i="106"/>
  <c r="S7" i="106"/>
  <c r="U7" i="106"/>
  <c r="W7" i="106"/>
  <c r="X7" i="106"/>
  <c r="Y7" i="106"/>
  <c r="G7" i="106"/>
  <c r="Z7" i="106"/>
  <c r="AA7" i="106"/>
  <c r="E7" i="106"/>
  <c r="K8" i="102"/>
  <c r="AB7" i="106"/>
  <c r="J8" i="106"/>
  <c r="K8" i="106"/>
  <c r="L8" i="106"/>
  <c r="M8" i="106"/>
  <c r="N8" i="106"/>
  <c r="O8" i="106"/>
  <c r="P8" i="106"/>
  <c r="Q8" i="106"/>
  <c r="R8" i="106"/>
  <c r="S8" i="106"/>
  <c r="T8" i="106"/>
  <c r="U8" i="106"/>
  <c r="V8" i="106"/>
  <c r="W8" i="106"/>
  <c r="X8" i="106"/>
  <c r="Y8" i="106"/>
  <c r="G8" i="106"/>
  <c r="Z8" i="106"/>
  <c r="AA8" i="106"/>
  <c r="E8" i="106"/>
  <c r="AB8" i="106"/>
  <c r="AC8" i="106"/>
  <c r="J9" i="106"/>
  <c r="K9" i="106"/>
  <c r="L9" i="106"/>
  <c r="M9" i="106"/>
  <c r="N9" i="106"/>
  <c r="O9" i="106"/>
  <c r="P9" i="106"/>
  <c r="Q9" i="106"/>
  <c r="R9" i="106"/>
  <c r="S9" i="106"/>
  <c r="T9" i="106"/>
  <c r="U9" i="106"/>
  <c r="V9" i="106"/>
  <c r="W9" i="106"/>
  <c r="X9" i="106"/>
  <c r="Y9" i="106"/>
  <c r="G9" i="106"/>
  <c r="Z9" i="106"/>
  <c r="AA9" i="106"/>
  <c r="E9" i="106"/>
  <c r="AB9" i="106"/>
  <c r="AC9" i="106"/>
  <c r="J10" i="106"/>
  <c r="K10" i="106"/>
  <c r="L10" i="106"/>
  <c r="M10" i="106"/>
  <c r="N10" i="106"/>
  <c r="O10" i="106"/>
  <c r="P10" i="106"/>
  <c r="Q10" i="106"/>
  <c r="R10" i="106"/>
  <c r="S10" i="106"/>
  <c r="T10" i="106"/>
  <c r="U10" i="106"/>
  <c r="V10" i="106"/>
  <c r="W10" i="106"/>
  <c r="X10" i="106"/>
  <c r="Y10" i="106"/>
  <c r="Z10" i="106"/>
  <c r="AQ112" i="71"/>
  <c r="AA10" i="106"/>
  <c r="E10" i="106"/>
  <c r="AB10" i="106"/>
  <c r="AR112" i="71"/>
  <c r="AC10" i="106"/>
  <c r="AS112" i="71"/>
  <c r="J11" i="106"/>
  <c r="K11" i="106"/>
  <c r="L11" i="106"/>
  <c r="M11" i="106"/>
  <c r="N11" i="106"/>
  <c r="O11" i="106"/>
  <c r="P11" i="106"/>
  <c r="Q11" i="106"/>
  <c r="R11" i="106"/>
  <c r="S11" i="106"/>
  <c r="T11" i="106"/>
  <c r="U11" i="106"/>
  <c r="V11" i="106"/>
  <c r="W11" i="106"/>
  <c r="X11" i="106"/>
  <c r="Y11" i="106"/>
  <c r="G11" i="106"/>
  <c r="Z11" i="106"/>
  <c r="AA11" i="106"/>
  <c r="E11" i="106"/>
  <c r="K13" i="102"/>
  <c r="AB11" i="106"/>
  <c r="AC11" i="106"/>
  <c r="J12" i="106"/>
  <c r="K12" i="106"/>
  <c r="L12" i="106"/>
  <c r="M12" i="106"/>
  <c r="P12" i="106"/>
  <c r="Q12" i="106"/>
  <c r="R12" i="106"/>
  <c r="S12" i="106"/>
  <c r="T12" i="106"/>
  <c r="U12" i="106"/>
  <c r="W12" i="106"/>
  <c r="Y12" i="106"/>
  <c r="G12" i="106"/>
  <c r="Z12" i="106"/>
  <c r="AA12" i="106"/>
  <c r="AB12" i="106"/>
  <c r="AC12" i="106"/>
  <c r="S13" i="106"/>
  <c r="J14" i="106"/>
  <c r="K14" i="106"/>
  <c r="M14" i="106"/>
  <c r="N14" i="106"/>
  <c r="O14" i="106"/>
  <c r="P14" i="106"/>
  <c r="Q14" i="106"/>
  <c r="S14" i="106"/>
  <c r="U14" i="106"/>
  <c r="V14" i="106"/>
  <c r="W14" i="106"/>
  <c r="X14" i="106"/>
  <c r="Y14" i="106"/>
  <c r="G14" i="106"/>
  <c r="AB14" i="106"/>
  <c r="AC14" i="106"/>
  <c r="J15" i="106"/>
  <c r="K15" i="106"/>
  <c r="L15" i="106"/>
  <c r="M15" i="106"/>
  <c r="N15" i="106"/>
  <c r="O15" i="106"/>
  <c r="P15" i="106"/>
  <c r="Q15" i="106"/>
  <c r="R15" i="106"/>
  <c r="S15" i="106"/>
  <c r="T15" i="106"/>
  <c r="U15" i="106"/>
  <c r="V15" i="106"/>
  <c r="W15" i="106"/>
  <c r="X15" i="106"/>
  <c r="Y15" i="106"/>
  <c r="G15" i="106"/>
  <c r="Z15" i="106"/>
  <c r="AA15" i="106"/>
  <c r="E15" i="106"/>
  <c r="I20" i="102"/>
  <c r="J20" i="102"/>
  <c r="AB15" i="106"/>
  <c r="AC15" i="106"/>
  <c r="J16" i="106"/>
  <c r="K16" i="106"/>
  <c r="L16" i="106"/>
  <c r="M16" i="106"/>
  <c r="N16" i="106"/>
  <c r="O16" i="106"/>
  <c r="P16" i="106"/>
  <c r="Q16" i="106"/>
  <c r="R16" i="106"/>
  <c r="S16" i="106"/>
  <c r="T16" i="106"/>
  <c r="U16" i="106"/>
  <c r="V16" i="106"/>
  <c r="W16" i="106"/>
  <c r="X16" i="106"/>
  <c r="Y16" i="106"/>
  <c r="G16" i="106"/>
  <c r="Z16" i="106"/>
  <c r="AA16" i="106"/>
  <c r="AB16" i="106"/>
  <c r="AC16" i="106"/>
  <c r="J17" i="106"/>
  <c r="K17" i="106"/>
  <c r="L17" i="106"/>
  <c r="M17" i="106"/>
  <c r="N17" i="106"/>
  <c r="O17" i="106"/>
  <c r="P17" i="106"/>
  <c r="Q17" i="106"/>
  <c r="R17" i="106"/>
  <c r="S17" i="106"/>
  <c r="T17" i="106"/>
  <c r="U17" i="106"/>
  <c r="V17" i="106"/>
  <c r="W17" i="106"/>
  <c r="X17" i="106"/>
  <c r="Y17" i="106"/>
  <c r="G17" i="106"/>
  <c r="Z17" i="106"/>
  <c r="AA17" i="106"/>
  <c r="E17" i="106"/>
  <c r="K17" i="102"/>
  <c r="AB17" i="106"/>
  <c r="AC17" i="106"/>
  <c r="J18" i="106"/>
  <c r="K18" i="106"/>
  <c r="L18" i="106"/>
  <c r="M18" i="106"/>
  <c r="N18" i="106"/>
  <c r="O18" i="106"/>
  <c r="P18" i="106"/>
  <c r="Q18" i="106"/>
  <c r="R18" i="106"/>
  <c r="S18" i="106"/>
  <c r="T18" i="106"/>
  <c r="U18" i="106"/>
  <c r="V18" i="106"/>
  <c r="W18" i="106"/>
  <c r="X18" i="106"/>
  <c r="Y18" i="106"/>
  <c r="G18" i="106"/>
  <c r="Z18" i="106"/>
  <c r="AA18" i="106"/>
  <c r="E18" i="106"/>
  <c r="AB18" i="106"/>
  <c r="AC18" i="106"/>
  <c r="J19" i="106"/>
  <c r="K19" i="106"/>
  <c r="L19" i="106"/>
  <c r="M19" i="106"/>
  <c r="N19" i="106"/>
  <c r="O19" i="106"/>
  <c r="P19" i="106"/>
  <c r="Q19" i="106"/>
  <c r="R19" i="106"/>
  <c r="S19" i="106"/>
  <c r="T19" i="106"/>
  <c r="U19" i="106"/>
  <c r="V19" i="106"/>
  <c r="W19" i="106"/>
  <c r="X19" i="106"/>
  <c r="Y19" i="106"/>
  <c r="G19" i="106"/>
  <c r="Z19" i="106"/>
  <c r="AA19" i="106"/>
  <c r="E19" i="106"/>
  <c r="AB19" i="106"/>
  <c r="AC19" i="106"/>
  <c r="J20" i="106"/>
  <c r="K20" i="106"/>
  <c r="L20" i="106"/>
  <c r="M20" i="106"/>
  <c r="N20" i="106"/>
  <c r="Q20" i="106"/>
  <c r="R20" i="106"/>
  <c r="S20" i="106"/>
  <c r="T20" i="106"/>
  <c r="U20" i="106"/>
  <c r="V20" i="106"/>
  <c r="X20" i="106"/>
  <c r="Z20" i="106"/>
  <c r="AA20" i="106"/>
  <c r="E20" i="106"/>
  <c r="AB20" i="106"/>
  <c r="AR130" i="71"/>
  <c r="AC20" i="106"/>
  <c r="AS130" i="71"/>
  <c r="P21" i="106"/>
  <c r="J22" i="106"/>
  <c r="L22" i="106"/>
  <c r="M22" i="106"/>
  <c r="O22" i="106"/>
  <c r="P22" i="106"/>
  <c r="Q22" i="106"/>
  <c r="R22" i="106"/>
  <c r="S22" i="106"/>
  <c r="U22" i="106"/>
  <c r="W22" i="106"/>
  <c r="X22" i="106"/>
  <c r="Y22" i="106"/>
  <c r="G22" i="106"/>
  <c r="Z22" i="106"/>
  <c r="AA22" i="106"/>
  <c r="E22" i="106"/>
  <c r="AC22" i="106"/>
  <c r="AS141" i="71"/>
  <c r="K23" i="106"/>
  <c r="L23" i="106"/>
  <c r="M23" i="106"/>
  <c r="N23" i="106"/>
  <c r="O23" i="106"/>
  <c r="P23" i="106"/>
  <c r="Q23" i="106"/>
  <c r="R23" i="106"/>
  <c r="S23" i="106"/>
  <c r="T23" i="106"/>
  <c r="U23" i="106"/>
  <c r="V23" i="106"/>
  <c r="W23" i="106"/>
  <c r="X23" i="106"/>
  <c r="Y23" i="106"/>
  <c r="Z23" i="106"/>
  <c r="AA23" i="106"/>
  <c r="E23" i="106"/>
  <c r="AB23" i="106"/>
  <c r="AC23" i="106"/>
  <c r="J24" i="106"/>
  <c r="K24" i="106"/>
  <c r="L24" i="106"/>
  <c r="M24" i="106"/>
  <c r="N24" i="106"/>
  <c r="O24" i="106"/>
  <c r="P24" i="106"/>
  <c r="Q24" i="106"/>
  <c r="R24" i="106"/>
  <c r="S24" i="106"/>
  <c r="T24" i="106"/>
  <c r="U24" i="106"/>
  <c r="V24" i="106"/>
  <c r="W24" i="106"/>
  <c r="X24" i="106"/>
  <c r="Y24" i="106"/>
  <c r="G24" i="106"/>
  <c r="Z24" i="106"/>
  <c r="AA24" i="106"/>
  <c r="AB24" i="106"/>
  <c r="AC24" i="106"/>
  <c r="J25" i="106"/>
  <c r="K25" i="106"/>
  <c r="L25" i="106"/>
  <c r="M25" i="106"/>
  <c r="N25" i="106"/>
  <c r="O25" i="106"/>
  <c r="P25" i="106"/>
  <c r="Q25" i="106"/>
  <c r="R25" i="106"/>
  <c r="S25" i="106"/>
  <c r="T25" i="106"/>
  <c r="U25" i="106"/>
  <c r="V25" i="106"/>
  <c r="W25" i="106"/>
  <c r="X25" i="106"/>
  <c r="Y25" i="106"/>
  <c r="G25" i="106"/>
  <c r="Z25" i="106"/>
  <c r="AA25" i="106"/>
  <c r="E25" i="106"/>
  <c r="AB25" i="106"/>
  <c r="AC25" i="106"/>
  <c r="J26" i="106"/>
  <c r="K26" i="106"/>
  <c r="L26" i="106"/>
  <c r="M26" i="106"/>
  <c r="N26" i="106"/>
  <c r="O26" i="106"/>
  <c r="P26" i="106"/>
  <c r="Q26" i="106"/>
  <c r="R26" i="106"/>
  <c r="S26" i="106"/>
  <c r="T26" i="106"/>
  <c r="U26" i="106"/>
  <c r="V26" i="106"/>
  <c r="W26" i="106"/>
  <c r="X26" i="106"/>
  <c r="Y26" i="106"/>
  <c r="G26" i="106"/>
  <c r="Z26" i="106"/>
  <c r="AA26" i="106"/>
  <c r="E26" i="106"/>
  <c r="AB26" i="106"/>
  <c r="AC26" i="106"/>
  <c r="J27" i="106"/>
  <c r="K27" i="106"/>
  <c r="L27" i="106"/>
  <c r="M27" i="106"/>
  <c r="N27" i="106"/>
  <c r="O27" i="106"/>
  <c r="P27" i="106"/>
  <c r="Q27" i="106"/>
  <c r="R27" i="106"/>
  <c r="S27" i="106"/>
  <c r="T27" i="106"/>
  <c r="U27" i="106"/>
  <c r="V27" i="106"/>
  <c r="W27" i="106"/>
  <c r="X27" i="106"/>
  <c r="Y27" i="106"/>
  <c r="G27" i="106"/>
  <c r="Z27" i="106"/>
  <c r="AA27" i="106"/>
  <c r="E27" i="106"/>
  <c r="AB27" i="106"/>
  <c r="AC27" i="106"/>
  <c r="K28" i="106"/>
  <c r="L28" i="106"/>
  <c r="M28" i="106"/>
  <c r="N28" i="106"/>
  <c r="Q28" i="106"/>
  <c r="R28" i="106"/>
  <c r="S28" i="106"/>
  <c r="T28" i="106"/>
  <c r="U28" i="106"/>
  <c r="V28" i="106"/>
  <c r="X28" i="106"/>
  <c r="Z28" i="106"/>
  <c r="AB28" i="106"/>
  <c r="AC28" i="106"/>
  <c r="AS66" i="71"/>
  <c r="AB35" i="106"/>
  <c r="AE35" i="106"/>
  <c r="AG35" i="106"/>
  <c r="AB36" i="106"/>
  <c r="AE36" i="106"/>
  <c r="AG36" i="106"/>
  <c r="AE37" i="106"/>
  <c r="AG37" i="106"/>
  <c r="AB38" i="106"/>
  <c r="AE38" i="106"/>
  <c r="AG38" i="106"/>
  <c r="AB39" i="106"/>
  <c r="AE39" i="106"/>
  <c r="AG39" i="106"/>
  <c r="AB40" i="106"/>
  <c r="AE40" i="106"/>
  <c r="AG40" i="106"/>
  <c r="AB41" i="106"/>
  <c r="AE41" i="106"/>
  <c r="AG41" i="106"/>
  <c r="AB42" i="106"/>
  <c r="AE42" i="106"/>
  <c r="AG42" i="106"/>
  <c r="AB43" i="106"/>
  <c r="AE43" i="106"/>
  <c r="AG43" i="106"/>
  <c r="AB44" i="106"/>
  <c r="AE44" i="106"/>
  <c r="AG44" i="106"/>
  <c r="AB45" i="106"/>
  <c r="AE45" i="106"/>
  <c r="AG45" i="106"/>
  <c r="AB46" i="106"/>
  <c r="AE46" i="106"/>
  <c r="AG46" i="106"/>
  <c r="AB47" i="106"/>
  <c r="AE47" i="106"/>
  <c r="AG47" i="106"/>
  <c r="AB48" i="106"/>
  <c r="AE48" i="106"/>
  <c r="AG48" i="106"/>
  <c r="AB49" i="106"/>
  <c r="AE49" i="106"/>
  <c r="AG49" i="106"/>
  <c r="AB50" i="106"/>
  <c r="AE50" i="106"/>
  <c r="AG50" i="106"/>
  <c r="AB51" i="106"/>
  <c r="AE51" i="106"/>
  <c r="AG51" i="106"/>
  <c r="AB52" i="106"/>
  <c r="AE52" i="106"/>
  <c r="AG52" i="106"/>
  <c r="AB53" i="106"/>
  <c r="AE53" i="106"/>
  <c r="AG53" i="106"/>
  <c r="AB54" i="106"/>
  <c r="AE54" i="106"/>
  <c r="AG54" i="106"/>
  <c r="AB55" i="106"/>
  <c r="AE55" i="106"/>
  <c r="AG55" i="106"/>
  <c r="AB56" i="106"/>
  <c r="AE56" i="106"/>
  <c r="AG56" i="106"/>
  <c r="K23" i="69"/>
  <c r="H24" i="69"/>
  <c r="I24" i="69"/>
  <c r="J24" i="69"/>
  <c r="K25" i="69"/>
  <c r="AR109" i="71"/>
  <c r="C13" i="157"/>
  <c r="C14" i="157"/>
  <c r="C15" i="157"/>
  <c r="C16" i="157"/>
  <c r="C17" i="157"/>
  <c r="C18" i="157"/>
  <c r="C21" i="157"/>
  <c r="C22" i="157"/>
  <c r="C23" i="157"/>
  <c r="C24" i="157"/>
  <c r="C25" i="157"/>
  <c r="C26" i="157"/>
  <c r="C29" i="157"/>
  <c r="C30" i="157"/>
  <c r="C31" i="157"/>
  <c r="C32" i="157"/>
  <c r="C33" i="157"/>
  <c r="C34" i="157"/>
  <c r="D7" i="140"/>
  <c r="E7" i="140"/>
  <c r="D8" i="140"/>
  <c r="E8" i="140"/>
  <c r="D9" i="140"/>
  <c r="E9" i="140"/>
  <c r="D10" i="140"/>
  <c r="E10" i="140"/>
  <c r="D11" i="140"/>
  <c r="E11" i="140"/>
  <c r="D12" i="140"/>
  <c r="E12" i="140"/>
  <c r="D13" i="140"/>
  <c r="E13" i="140"/>
  <c r="D14" i="140"/>
  <c r="E14" i="140"/>
  <c r="D15" i="140"/>
  <c r="E15" i="140"/>
  <c r="D19" i="140"/>
  <c r="E19" i="140"/>
  <c r="D20" i="140"/>
  <c r="E20" i="140"/>
  <c r="D21" i="140"/>
  <c r="E21" i="140"/>
  <c r="E25" i="140"/>
  <c r="E26" i="140"/>
  <c r="E27" i="140"/>
  <c r="E28" i="140"/>
  <c r="E29" i="140"/>
  <c r="C56" i="100"/>
  <c r="E28" i="100"/>
  <c r="F7" i="102"/>
  <c r="F8" i="102"/>
  <c r="F9" i="102"/>
  <c r="F10" i="102"/>
  <c r="F11" i="102"/>
  <c r="F12" i="102"/>
  <c r="F13" i="102"/>
  <c r="F14" i="102"/>
  <c r="F15" i="102"/>
  <c r="F16" i="102"/>
  <c r="F17" i="102"/>
  <c r="F18" i="102"/>
  <c r="F19" i="102"/>
  <c r="F20" i="102"/>
  <c r="F21" i="102"/>
  <c r="C7" i="182"/>
  <c r="C7" i="181"/>
  <c r="D7" i="181"/>
  <c r="C9" i="181"/>
  <c r="D9" i="181"/>
  <c r="E8" i="10"/>
  <c r="D11" i="10"/>
  <c r="D12" i="10"/>
  <c r="D3" i="32"/>
  <c r="E3" i="32"/>
  <c r="D4" i="32"/>
  <c r="E4" i="32"/>
  <c r="D5" i="32"/>
  <c r="E5" i="32"/>
  <c r="B6" i="32"/>
  <c r="C6" i="32"/>
  <c r="D7" i="32"/>
  <c r="E7" i="32"/>
  <c r="D8" i="32"/>
  <c r="A2" i="28"/>
  <c r="D22" i="28"/>
  <c r="F22" i="28"/>
  <c r="J23" i="28"/>
  <c r="H26" i="28"/>
  <c r="C27" i="28"/>
  <c r="E27" i="28"/>
  <c r="D28" i="28"/>
  <c r="F28" i="28"/>
  <c r="D29" i="28"/>
  <c r="F29" i="28"/>
  <c r="D43" i="28"/>
  <c r="D44" i="28"/>
  <c r="AQ149" i="71"/>
  <c r="AQ162" i="71"/>
  <c r="AQ109" i="71"/>
  <c r="AQ165" i="71"/>
  <c r="AS45" i="71"/>
  <c r="AS133" i="71"/>
  <c r="AQ26" i="71"/>
  <c r="AQ130" i="71"/>
  <c r="AR161" i="71"/>
  <c r="AR163" i="71"/>
  <c r="AR122" i="71"/>
  <c r="AR56" i="71"/>
  <c r="AR164" i="71"/>
  <c r="AR147" i="71"/>
  <c r="AR157" i="71"/>
  <c r="AR145" i="71"/>
  <c r="AR171" i="71"/>
  <c r="AR148" i="71"/>
  <c r="AR154" i="71"/>
  <c r="AR80" i="71"/>
  <c r="AR82" i="71"/>
  <c r="AR146" i="71"/>
  <c r="AR170" i="71"/>
  <c r="AR50" i="71"/>
  <c r="AR149" i="71"/>
  <c r="AR162" i="71"/>
  <c r="AR144" i="71"/>
  <c r="AR108" i="71"/>
  <c r="AR155" i="71"/>
  <c r="AR153" i="71"/>
  <c r="F47" i="175"/>
  <c r="F43" i="175"/>
  <c r="I89" i="149"/>
  <c r="K77" i="146"/>
  <c r="J89" i="149"/>
  <c r="L77" i="146"/>
  <c r="I7" i="102"/>
  <c r="J7" i="102"/>
  <c r="I13" i="102"/>
  <c r="I11" i="102"/>
  <c r="K11" i="102"/>
  <c r="J87" i="149"/>
  <c r="L75" i="146"/>
  <c r="AR150" i="71"/>
  <c r="AS150" i="71"/>
  <c r="AQ150" i="71"/>
  <c r="I50" i="125"/>
  <c r="G15" i="124"/>
  <c r="G23" i="124"/>
  <c r="G21" i="124"/>
  <c r="G25" i="124"/>
  <c r="G29" i="124"/>
  <c r="G10" i="124"/>
  <c r="M153" i="71"/>
  <c r="J18" i="125"/>
  <c r="G50" i="124"/>
  <c r="G43" i="124"/>
  <c r="J142" i="56"/>
  <c r="J415" i="75"/>
  <c r="I18" i="125"/>
  <c r="F39" i="124"/>
  <c r="H39" i="124"/>
  <c r="F52" i="124"/>
  <c r="J574" i="56"/>
  <c r="J205" i="56"/>
  <c r="G10" i="140"/>
  <c r="J134" i="56"/>
  <c r="G20" i="124"/>
  <c r="G36" i="124"/>
  <c r="G55" i="124"/>
  <c r="G12" i="124"/>
  <c r="G24" i="124"/>
  <c r="G40" i="124"/>
  <c r="G22" i="124"/>
  <c r="J47" i="125"/>
  <c r="G34" i="124"/>
  <c r="J495" i="56"/>
  <c r="G33" i="124"/>
  <c r="G44" i="124"/>
  <c r="G14" i="124"/>
  <c r="H14" i="124"/>
  <c r="G32" i="124"/>
  <c r="G18" i="124"/>
  <c r="F28" i="100"/>
  <c r="G28" i="100"/>
  <c r="G37" i="124"/>
  <c r="G17" i="124"/>
  <c r="E7" i="181"/>
  <c r="C5" i="27"/>
  <c r="J314" i="56"/>
  <c r="J74" i="56"/>
  <c r="J512" i="56"/>
  <c r="J320" i="56"/>
  <c r="J312" i="56"/>
  <c r="J288" i="56"/>
  <c r="J280" i="56"/>
  <c r="J184" i="56"/>
  <c r="J56" i="56"/>
  <c r="J407" i="56"/>
  <c r="J204" i="56"/>
  <c r="J382" i="56"/>
  <c r="J556" i="56"/>
  <c r="J598" i="56"/>
  <c r="J36" i="56"/>
  <c r="J46" i="56"/>
  <c r="J319" i="56"/>
  <c r="J222" i="56"/>
  <c r="J463" i="56"/>
  <c r="E25" i="100"/>
  <c r="F25" i="100"/>
  <c r="G25" i="100"/>
  <c r="E8" i="32"/>
  <c r="E43" i="100"/>
  <c r="F43" i="100"/>
  <c r="G43" i="100"/>
  <c r="J91" i="56"/>
  <c r="J19" i="56"/>
  <c r="I15" i="125"/>
  <c r="J538" i="56"/>
  <c r="J498" i="56"/>
  <c r="J330" i="56"/>
  <c r="J322" i="56"/>
  <c r="J234" i="56"/>
  <c r="J218" i="56"/>
  <c r="J138" i="56"/>
  <c r="B11" i="175"/>
  <c r="D29" i="157"/>
  <c r="E29" i="157"/>
  <c r="J37" i="56"/>
  <c r="J385" i="56"/>
  <c r="J329" i="56"/>
  <c r="J177" i="56"/>
  <c r="J9" i="56"/>
  <c r="G35" i="64"/>
  <c r="H35" i="64"/>
  <c r="G19" i="64"/>
  <c r="H19" i="64"/>
  <c r="G11" i="64"/>
  <c r="H11" i="64"/>
  <c r="G7" i="64"/>
  <c r="H7" i="64"/>
  <c r="K27" i="64"/>
  <c r="D11" i="31"/>
  <c r="C7" i="32"/>
  <c r="F7" i="32"/>
  <c r="J9" i="28"/>
  <c r="J20" i="28"/>
  <c r="J62" i="56"/>
  <c r="AS117" i="71"/>
  <c r="AQ117" i="71"/>
  <c r="AR117" i="71"/>
  <c r="AR26" i="71"/>
  <c r="O166" i="1"/>
  <c r="Q166" i="1"/>
  <c r="P166" i="1"/>
  <c r="E166" i="1"/>
  <c r="AR45" i="71"/>
  <c r="AR21" i="71"/>
  <c r="K15" i="102"/>
  <c r="F18" i="106"/>
  <c r="F15" i="106"/>
  <c r="I15" i="102"/>
  <c r="J15" i="102"/>
  <c r="O194" i="187"/>
  <c r="Q194" i="75"/>
  <c r="O177" i="187"/>
  <c r="Q179" i="75"/>
  <c r="AQ152" i="71"/>
  <c r="AS152" i="71"/>
  <c r="AS107" i="71"/>
  <c r="E39" i="100"/>
  <c r="F39" i="100"/>
  <c r="G39" i="100"/>
  <c r="E9" i="100"/>
  <c r="F9" i="100"/>
  <c r="G9" i="100"/>
  <c r="G17" i="102"/>
  <c r="H17" i="102"/>
  <c r="G10" i="102"/>
  <c r="H10" i="102"/>
  <c r="E53" i="100"/>
  <c r="F53" i="100"/>
  <c r="G53" i="100"/>
  <c r="AQ166" i="71"/>
  <c r="AQ82" i="71"/>
  <c r="AQ108" i="71"/>
  <c r="AQ144" i="71"/>
  <c r="AQ156" i="71"/>
  <c r="AQ151" i="71"/>
  <c r="F289" i="202"/>
  <c r="C9" i="31"/>
  <c r="D9" i="31"/>
  <c r="C5" i="32"/>
  <c r="F5" i="32"/>
  <c r="O161" i="187"/>
  <c r="Q164" i="75"/>
  <c r="O57" i="187"/>
  <c r="Q60" i="75"/>
  <c r="P26" i="1"/>
  <c r="E26" i="1"/>
  <c r="F112" i="75"/>
  <c r="O26" i="1"/>
  <c r="Q26" i="1"/>
  <c r="AQ143" i="71"/>
  <c r="AQ153" i="71"/>
  <c r="F298" i="202"/>
  <c r="F294" i="202"/>
  <c r="F27" i="124"/>
  <c r="F50" i="124"/>
  <c r="H50" i="124"/>
  <c r="F19" i="124"/>
  <c r="F15" i="124"/>
  <c r="F33" i="124"/>
  <c r="F55" i="124"/>
  <c r="F13" i="124"/>
  <c r="AR44" i="71"/>
  <c r="AR160" i="71"/>
  <c r="AQ160" i="71"/>
  <c r="V9" i="71"/>
  <c r="AR9" i="71"/>
  <c r="AS9" i="71"/>
  <c r="AQ9" i="71"/>
  <c r="V56" i="71"/>
  <c r="J56" i="71"/>
  <c r="V159" i="71"/>
  <c r="J159" i="71"/>
  <c r="AR159" i="71"/>
  <c r="AS159" i="71"/>
  <c r="AS167" i="71"/>
  <c r="F78" i="75"/>
  <c r="I78" i="75"/>
  <c r="O78" i="75"/>
  <c r="F400" i="75"/>
  <c r="I400" i="75"/>
  <c r="O400" i="75"/>
  <c r="G289" i="202"/>
  <c r="E26" i="97"/>
  <c r="F312" i="202"/>
  <c r="F295" i="202"/>
  <c r="AR133" i="71"/>
  <c r="AQ133" i="71"/>
  <c r="AS120" i="71"/>
  <c r="AR120" i="71"/>
  <c r="V121" i="71"/>
  <c r="AR121" i="71"/>
  <c r="E266" i="194"/>
  <c r="J39" i="125"/>
  <c r="I39" i="125"/>
  <c r="G8" i="140"/>
  <c r="O206" i="187"/>
  <c r="Q206" i="75"/>
  <c r="O270" i="187"/>
  <c r="Q271" i="75"/>
  <c r="O70" i="187"/>
  <c r="Q74" i="75"/>
  <c r="O218" i="187"/>
  <c r="Q218" i="75"/>
  <c r="O546" i="187"/>
  <c r="Z134" i="71"/>
  <c r="AS134" i="71"/>
  <c r="O41" i="187"/>
  <c r="Q43" i="75"/>
  <c r="O38" i="187"/>
  <c r="Q39" i="75"/>
  <c r="O250" i="187"/>
  <c r="Q251" i="75"/>
  <c r="O171" i="187"/>
  <c r="O187" i="187"/>
  <c r="Q189" i="75"/>
  <c r="O195" i="187"/>
  <c r="O197" i="187"/>
  <c r="Q197" i="75"/>
  <c r="O299" i="187"/>
  <c r="O467" i="187"/>
  <c r="Z55" i="71"/>
  <c r="O499" i="187"/>
  <c r="Z88" i="71"/>
  <c r="O501" i="187"/>
  <c r="O507" i="187"/>
  <c r="Z95" i="71"/>
  <c r="O309" i="187"/>
  <c r="Q309" i="75"/>
  <c r="O21" i="187"/>
  <c r="AQ154" i="71"/>
  <c r="F26" i="106"/>
  <c r="AR107" i="71"/>
  <c r="AR134" i="71"/>
  <c r="I41" i="174"/>
  <c r="I247" i="149"/>
  <c r="K208" i="146"/>
  <c r="I26" i="125"/>
  <c r="O44" i="187"/>
  <c r="Q46" i="75"/>
  <c r="O248" i="187"/>
  <c r="Q249" i="75"/>
  <c r="O424" i="187"/>
  <c r="Z11" i="71"/>
  <c r="O448" i="187"/>
  <c r="Z34" i="71"/>
  <c r="O259" i="187"/>
  <c r="Q260" i="75"/>
  <c r="AR151" i="71"/>
  <c r="AR165" i="71"/>
  <c r="AR156" i="71"/>
  <c r="AQ141" i="71"/>
  <c r="AR118" i="71"/>
  <c r="AS102" i="71"/>
  <c r="L33" i="64"/>
  <c r="I332" i="75"/>
  <c r="M169" i="71"/>
  <c r="P35" i="1"/>
  <c r="E35" i="1"/>
  <c r="O35" i="1"/>
  <c r="Q35" i="1"/>
  <c r="P39" i="1"/>
  <c r="O39" i="1"/>
  <c r="P43" i="1"/>
  <c r="E43" i="1"/>
  <c r="O43" i="1"/>
  <c r="Q43" i="1"/>
  <c r="P70" i="1"/>
  <c r="E70" i="1"/>
  <c r="P85" i="1"/>
  <c r="E85" i="1"/>
  <c r="P160" i="1"/>
  <c r="E160" i="1"/>
  <c r="F27" i="106"/>
  <c r="G298" i="202"/>
  <c r="G294" i="202"/>
  <c r="E320" i="202"/>
  <c r="J145" i="71"/>
  <c r="O537" i="187"/>
  <c r="Z125" i="71"/>
  <c r="AR125" i="71"/>
  <c r="O433" i="187"/>
  <c r="Z19" i="71"/>
  <c r="O209" i="187"/>
  <c r="Q209" i="75"/>
  <c r="O185" i="187"/>
  <c r="Q187" i="75"/>
  <c r="O33" i="187"/>
  <c r="Q34" i="75"/>
  <c r="AR132" i="71"/>
  <c r="O403" i="75"/>
  <c r="F403" i="75"/>
  <c r="J403" i="75"/>
  <c r="P134" i="1"/>
  <c r="E134" i="1"/>
  <c r="F121" i="75"/>
  <c r="O134" i="1"/>
  <c r="Q134" i="1"/>
  <c r="P138" i="1"/>
  <c r="E138" i="1"/>
  <c r="F61" i="75"/>
  <c r="O138" i="1"/>
  <c r="Q138" i="1"/>
  <c r="P171" i="1"/>
  <c r="O171" i="1"/>
  <c r="Q171" i="1"/>
  <c r="G312" i="202"/>
  <c r="G295" i="202"/>
  <c r="J565" i="56"/>
  <c r="J413" i="56"/>
  <c r="J269" i="56"/>
  <c r="J253" i="56"/>
  <c r="J197" i="56"/>
  <c r="J173" i="56"/>
  <c r="C16" i="10"/>
  <c r="C20" i="10"/>
  <c r="C24" i="10"/>
  <c r="C28" i="10"/>
  <c r="C32" i="10"/>
  <c r="C36" i="10"/>
  <c r="C40" i="10"/>
  <c r="C44" i="10"/>
  <c r="C48" i="10"/>
  <c r="C52" i="10"/>
  <c r="C56" i="10"/>
  <c r="C13" i="10"/>
  <c r="C17" i="10"/>
  <c r="C21" i="10"/>
  <c r="C25" i="10"/>
  <c r="C29" i="10"/>
  <c r="C33" i="10"/>
  <c r="C37" i="10"/>
  <c r="C41" i="10"/>
  <c r="C45" i="10"/>
  <c r="C49" i="10"/>
  <c r="C53" i="10"/>
  <c r="C57" i="10"/>
  <c r="C14" i="10"/>
  <c r="C18" i="10"/>
  <c r="C22" i="10"/>
  <c r="C26" i="10"/>
  <c r="C30" i="10"/>
  <c r="C34" i="10"/>
  <c r="C38" i="10"/>
  <c r="C42" i="10"/>
  <c r="C46" i="10"/>
  <c r="C50" i="10"/>
  <c r="C54" i="10"/>
  <c r="C51" i="10"/>
  <c r="C15" i="10"/>
  <c r="C19" i="10"/>
  <c r="C23" i="10"/>
  <c r="C27" i="10"/>
  <c r="C31" i="10"/>
  <c r="C35" i="10"/>
  <c r="C39" i="10"/>
  <c r="C43" i="10"/>
  <c r="C47" i="10"/>
  <c r="C55" i="10"/>
  <c r="O360" i="187"/>
  <c r="Q357" i="75"/>
  <c r="P36" i="1"/>
  <c r="E36" i="1"/>
  <c r="O36" i="1"/>
  <c r="Q36" i="1"/>
  <c r="AQ107" i="71"/>
  <c r="AR66" i="71"/>
  <c r="AS38" i="71"/>
  <c r="J580" i="56"/>
  <c r="J332" i="56"/>
  <c r="J300" i="56"/>
  <c r="J196" i="56"/>
  <c r="J76" i="56"/>
  <c r="J28" i="56"/>
  <c r="B7" i="182"/>
  <c r="D7" i="182"/>
  <c r="S1894" i="144"/>
  <c r="F1894" i="144"/>
  <c r="S1921" i="144"/>
  <c r="F1921" i="144"/>
  <c r="S1884" i="144"/>
  <c r="F1884" i="144"/>
  <c r="S1878" i="144"/>
  <c r="F1878" i="144"/>
  <c r="S1927" i="144"/>
  <c r="F1927" i="144"/>
  <c r="S1906" i="144"/>
  <c r="F1906" i="144"/>
  <c r="S1925" i="144"/>
  <c r="F1925" i="144"/>
  <c r="S1904" i="144"/>
  <c r="F1904" i="144"/>
  <c r="S1875" i="144"/>
  <c r="F1875" i="144"/>
  <c r="S1939" i="144"/>
  <c r="F1939" i="144"/>
  <c r="S1917" i="144"/>
  <c r="F1917" i="144"/>
  <c r="S1918" i="144"/>
  <c r="F1918" i="144"/>
  <c r="S1929" i="144"/>
  <c r="F1929" i="144"/>
  <c r="S1892" i="144"/>
  <c r="F1892" i="144"/>
  <c r="S1881" i="144"/>
  <c r="F1881" i="144"/>
  <c r="S1935" i="144"/>
  <c r="F1935" i="144"/>
  <c r="S1914" i="144"/>
  <c r="F1914" i="144"/>
  <c r="S1933" i="144"/>
  <c r="F1933" i="144"/>
  <c r="S1912" i="144"/>
  <c r="F1912" i="144"/>
  <c r="S1883" i="144"/>
  <c r="F1883" i="144"/>
  <c r="S1947" i="144"/>
  <c r="F1947" i="144"/>
  <c r="S1898" i="144"/>
  <c r="F1898" i="144"/>
  <c r="S1926" i="144"/>
  <c r="F1926" i="144"/>
  <c r="S1937" i="144"/>
  <c r="F1937" i="144"/>
  <c r="S1900" i="144"/>
  <c r="F1900" i="144"/>
  <c r="S1879" i="144"/>
  <c r="F1879" i="144"/>
  <c r="S1943" i="144"/>
  <c r="F1943" i="144"/>
  <c r="S1922" i="144"/>
  <c r="F1922" i="144"/>
  <c r="S1941" i="144"/>
  <c r="F1941" i="144"/>
  <c r="S1920" i="144"/>
  <c r="F1920" i="144"/>
  <c r="S1891" i="144"/>
  <c r="F1891" i="144"/>
  <c r="S1919" i="144"/>
  <c r="F1919" i="144"/>
  <c r="S1934" i="144"/>
  <c r="F1934" i="144"/>
  <c r="S1945" i="144"/>
  <c r="F1945" i="144"/>
  <c r="S1908" i="144"/>
  <c r="F1908" i="144"/>
  <c r="S1887" i="144"/>
  <c r="F1887" i="144"/>
  <c r="S1886" i="144"/>
  <c r="F1886" i="144"/>
  <c r="S1930" i="144"/>
  <c r="F1930" i="144"/>
  <c r="S1877" i="144"/>
  <c r="F1877" i="144"/>
  <c r="S1928" i="144"/>
  <c r="F1928" i="144"/>
  <c r="S1899" i="144"/>
  <c r="F1899" i="144"/>
  <c r="S1896" i="144"/>
  <c r="F1896" i="144"/>
  <c r="S1942" i="144"/>
  <c r="F1942" i="144"/>
  <c r="S1902" i="144"/>
  <c r="F1902" i="144"/>
  <c r="S1916" i="144"/>
  <c r="F1916" i="144"/>
  <c r="S1895" i="144"/>
  <c r="F1895" i="144"/>
  <c r="S1874" i="144"/>
  <c r="F1874" i="144"/>
  <c r="S1938" i="144"/>
  <c r="F1938" i="144"/>
  <c r="S1901" i="144"/>
  <c r="F1901" i="144"/>
  <c r="S1936" i="144"/>
  <c r="F1936" i="144"/>
  <c r="S1907" i="144"/>
  <c r="F1907" i="144"/>
  <c r="S1913" i="144"/>
  <c r="F1913" i="144"/>
  <c r="S1910" i="144"/>
  <c r="F1910" i="144"/>
  <c r="S1889" i="144"/>
  <c r="F1889" i="144"/>
  <c r="S1924" i="144"/>
  <c r="F1924" i="144"/>
  <c r="S1903" i="144"/>
  <c r="F1903" i="144"/>
  <c r="S1882" i="144"/>
  <c r="F1882" i="144"/>
  <c r="S1946" i="144"/>
  <c r="F1946" i="144"/>
  <c r="S1880" i="144"/>
  <c r="F1880" i="144"/>
  <c r="S1944" i="144"/>
  <c r="F1944" i="144"/>
  <c r="S1915" i="144"/>
  <c r="F1915" i="144"/>
  <c r="S1940" i="144"/>
  <c r="F1940" i="144"/>
  <c r="S1909" i="144"/>
  <c r="F1909" i="144"/>
  <c r="S1897" i="144"/>
  <c r="F1897" i="144"/>
  <c r="S1905" i="144"/>
  <c r="F1905" i="144"/>
  <c r="S1932" i="144"/>
  <c r="F1932" i="144"/>
  <c r="S1911" i="144"/>
  <c r="F1911" i="144"/>
  <c r="S1890" i="144"/>
  <c r="F1890" i="144"/>
  <c r="S1893" i="144"/>
  <c r="F1893" i="144"/>
  <c r="S1888" i="144"/>
  <c r="F1888" i="144"/>
  <c r="S1885" i="144"/>
  <c r="F1885" i="144"/>
  <c r="S1923" i="144"/>
  <c r="F1923" i="144"/>
  <c r="S1876" i="144"/>
  <c r="F1876" i="144"/>
  <c r="S1931" i="144"/>
  <c r="F1931" i="144"/>
  <c r="S1678" i="144"/>
  <c r="F1678" i="144"/>
  <c r="S38" i="144"/>
  <c r="F38" i="144"/>
  <c r="S230" i="144"/>
  <c r="F230" i="144"/>
  <c r="S199" i="144"/>
  <c r="F199" i="144"/>
  <c r="S1574" i="144"/>
  <c r="F1574" i="144"/>
  <c r="S1038" i="144"/>
  <c r="F1038" i="144"/>
  <c r="S766" i="144"/>
  <c r="F766" i="144"/>
  <c r="S606" i="144"/>
  <c r="F606" i="144"/>
  <c r="S470" i="144"/>
  <c r="F470" i="144"/>
  <c r="S342" i="144"/>
  <c r="F342" i="144"/>
  <c r="S726" i="144"/>
  <c r="F726" i="144"/>
  <c r="S607" i="144"/>
  <c r="F607" i="144"/>
  <c r="S513" i="144"/>
  <c r="F513" i="144"/>
  <c r="S391" i="144"/>
  <c r="F391" i="144"/>
  <c r="S1871" i="144"/>
  <c r="F1871" i="144"/>
  <c r="S1671" i="144"/>
  <c r="F1671" i="144"/>
  <c r="S1495" i="144"/>
  <c r="F1495" i="144"/>
  <c r="S1343" i="144"/>
  <c r="F1343" i="144"/>
  <c r="S1159" i="144"/>
  <c r="F1159" i="144"/>
  <c r="S1846" i="144"/>
  <c r="F1846" i="144"/>
  <c r="S1009" i="144"/>
  <c r="F1009" i="144"/>
  <c r="S791" i="144"/>
  <c r="F791" i="144"/>
  <c r="S649" i="144"/>
  <c r="F649" i="144"/>
  <c r="S471" i="144"/>
  <c r="F471" i="144"/>
  <c r="S351" i="144"/>
  <c r="F351" i="144"/>
  <c r="S215" i="144"/>
  <c r="F215" i="144"/>
  <c r="S89" i="144"/>
  <c r="F89" i="144"/>
  <c r="S1072" i="144"/>
  <c r="F1072" i="144"/>
  <c r="S264" i="144"/>
  <c r="F264" i="144"/>
  <c r="S1592" i="144"/>
  <c r="F1592" i="144"/>
  <c r="S209" i="144"/>
  <c r="F209" i="144"/>
  <c r="G52" i="124"/>
  <c r="G13" i="124"/>
  <c r="G45" i="124"/>
  <c r="J50" i="125"/>
  <c r="J169" i="71"/>
  <c r="AS121" i="71"/>
  <c r="O502" i="187"/>
  <c r="Z91" i="71"/>
  <c r="AS91" i="71"/>
  <c r="O254" i="187"/>
  <c r="Q255" i="75"/>
  <c r="O18" i="1"/>
  <c r="Q18" i="1"/>
  <c r="S1597" i="144"/>
  <c r="F1597" i="144"/>
  <c r="S1589" i="144"/>
  <c r="F1589" i="144"/>
  <c r="S1557" i="144"/>
  <c r="F1557" i="144"/>
  <c r="S1549" i="144"/>
  <c r="F1549" i="144"/>
  <c r="S1541" i="144"/>
  <c r="F1541" i="144"/>
  <c r="S1517" i="144"/>
  <c r="F1517" i="144"/>
  <c r="S1501" i="144"/>
  <c r="F1501" i="144"/>
  <c r="S1477" i="144"/>
  <c r="F1477" i="144"/>
  <c r="S1453" i="144"/>
  <c r="F1453" i="144"/>
  <c r="S1445" i="144"/>
  <c r="F1445" i="144"/>
  <c r="S1421" i="144"/>
  <c r="F1421" i="144"/>
  <c r="S1405" i="144"/>
  <c r="F1405" i="144"/>
  <c r="S1341" i="144"/>
  <c r="F1341" i="144"/>
  <c r="S1325" i="144"/>
  <c r="F1325" i="144"/>
  <c r="S1317" i="144"/>
  <c r="F1317" i="144"/>
  <c r="S1309" i="144"/>
  <c r="F1309" i="144"/>
  <c r="S1301" i="144"/>
  <c r="F1301" i="144"/>
  <c r="S1580" i="144"/>
  <c r="F1580" i="144"/>
  <c r="S1540" i="144"/>
  <c r="F1540" i="144"/>
  <c r="S1492" i="144"/>
  <c r="F1492" i="144"/>
  <c r="S1484" i="144"/>
  <c r="F1484" i="144"/>
  <c r="S1476" i="144"/>
  <c r="F1476" i="144"/>
  <c r="S1428" i="144"/>
  <c r="F1428" i="144"/>
  <c r="S1388" i="144"/>
  <c r="F1388" i="144"/>
  <c r="S1380" i="144"/>
  <c r="F1380" i="144"/>
  <c r="S1356" i="144"/>
  <c r="F1356" i="144"/>
  <c r="S1348" i="144"/>
  <c r="F1348" i="144"/>
  <c r="S1340" i="144"/>
  <c r="F1340" i="144"/>
  <c r="S1212" i="144"/>
  <c r="F1212" i="144"/>
  <c r="S1204" i="144"/>
  <c r="F1204" i="144"/>
  <c r="S1132" i="144"/>
  <c r="F1132" i="144"/>
  <c r="S1068" i="144"/>
  <c r="F1068" i="144"/>
  <c r="S1060" i="144"/>
  <c r="F1060" i="144"/>
  <c r="S1052" i="144"/>
  <c r="F1052" i="144"/>
  <c r="S1012" i="144"/>
  <c r="F1012" i="144"/>
  <c r="S1004" i="144"/>
  <c r="F1004" i="144"/>
  <c r="S980" i="144"/>
  <c r="F980" i="144"/>
  <c r="S972" i="144"/>
  <c r="F972" i="144"/>
  <c r="S940" i="144"/>
  <c r="F940" i="144"/>
  <c r="S924" i="144"/>
  <c r="F924" i="144"/>
  <c r="S900" i="144"/>
  <c r="F900" i="144"/>
  <c r="S892" i="144"/>
  <c r="F892" i="144"/>
  <c r="S804" i="144"/>
  <c r="F804" i="144"/>
  <c r="S796" i="144"/>
  <c r="F796" i="144"/>
  <c r="S772" i="144"/>
  <c r="F772" i="144"/>
  <c r="S740" i="144"/>
  <c r="F740" i="144"/>
  <c r="S724" i="144"/>
  <c r="F724" i="144"/>
  <c r="S708" i="144"/>
  <c r="F708" i="144"/>
  <c r="S700" i="144"/>
  <c r="F700" i="144"/>
  <c r="S692" i="144"/>
  <c r="F692" i="144"/>
  <c r="S668" i="144"/>
  <c r="F668" i="144"/>
  <c r="S660" i="144"/>
  <c r="F660" i="144"/>
  <c r="S636" i="144"/>
  <c r="F636" i="144"/>
  <c r="S612" i="144"/>
  <c r="F612" i="144"/>
  <c r="S596" i="144"/>
  <c r="S548" i="144"/>
  <c r="F548" i="144"/>
  <c r="S540" i="144"/>
  <c r="F540" i="144"/>
  <c r="S524" i="144"/>
  <c r="F524" i="144"/>
  <c r="S508" i="144"/>
  <c r="F508" i="144"/>
  <c r="S500" i="144"/>
  <c r="F500" i="144"/>
  <c r="S476" i="144"/>
  <c r="F476" i="144"/>
  <c r="S468" i="144"/>
  <c r="F468" i="144"/>
  <c r="S436" i="144"/>
  <c r="F436" i="144"/>
  <c r="S428" i="144"/>
  <c r="F428" i="144"/>
  <c r="S412" i="144"/>
  <c r="F412" i="144"/>
  <c r="S372" i="144"/>
  <c r="F372" i="144"/>
  <c r="S356" i="144"/>
  <c r="F356" i="144"/>
  <c r="S332" i="144"/>
  <c r="F332" i="144"/>
  <c r="S324" i="144"/>
  <c r="F324" i="144"/>
  <c r="S316" i="144"/>
  <c r="F316" i="144"/>
  <c r="S276" i="144"/>
  <c r="F276" i="144"/>
  <c r="S252" i="144"/>
  <c r="F252" i="144"/>
  <c r="S244" i="144"/>
  <c r="F244" i="144"/>
  <c r="S164" i="144"/>
  <c r="F164" i="144"/>
  <c r="S156" i="144"/>
  <c r="F156" i="144"/>
  <c r="S124" i="144"/>
  <c r="F124" i="144"/>
  <c r="S84" i="144"/>
  <c r="F84" i="144"/>
  <c r="S76" i="144"/>
  <c r="F76" i="144"/>
  <c r="S1859" i="144"/>
  <c r="F1859" i="144"/>
  <c r="S1851" i="144"/>
  <c r="F1851" i="144"/>
  <c r="S1843" i="144"/>
  <c r="F1843" i="144"/>
  <c r="S1835" i="144"/>
  <c r="F1835" i="144"/>
  <c r="S1819" i="144"/>
  <c r="F1819" i="144"/>
  <c r="S1811" i="144"/>
  <c r="F1811" i="144"/>
  <c r="S1803" i="144"/>
  <c r="F1803" i="144"/>
  <c r="S1795" i="144"/>
  <c r="F1795" i="144"/>
  <c r="S1787" i="144"/>
  <c r="F1787" i="144"/>
  <c r="S1771" i="144"/>
  <c r="F1771" i="144"/>
  <c r="S1331" i="144"/>
  <c r="F1331" i="144"/>
  <c r="S1283" i="144"/>
  <c r="F1283" i="144"/>
  <c r="K35" i="64"/>
  <c r="G27" i="64"/>
  <c r="H27" i="64"/>
  <c r="I54" i="125"/>
  <c r="J30" i="125"/>
  <c r="I22" i="125"/>
  <c r="S7" i="144"/>
  <c r="S1858" i="144"/>
  <c r="F1858" i="144"/>
  <c r="S1810" i="144"/>
  <c r="F1810" i="144"/>
  <c r="S1786" i="144"/>
  <c r="F1786" i="144"/>
  <c r="S1778" i="144"/>
  <c r="F1778" i="144"/>
  <c r="S1770" i="144"/>
  <c r="F1770" i="144"/>
  <c r="S1762" i="144"/>
  <c r="F1762" i="144"/>
  <c r="S1730" i="144"/>
  <c r="F1730" i="144"/>
  <c r="S1714" i="144"/>
  <c r="F1714" i="144"/>
  <c r="S1674" i="144"/>
  <c r="F1674" i="144"/>
  <c r="S1666" i="144"/>
  <c r="F1666" i="144"/>
  <c r="S1642" i="144"/>
  <c r="F1642" i="144"/>
  <c r="S1634" i="144"/>
  <c r="F1634" i="144"/>
  <c r="S1610" i="144"/>
  <c r="F1610" i="144"/>
  <c r="S1586" i="144"/>
  <c r="F1586" i="144"/>
  <c r="S1578" i="144"/>
  <c r="F1578" i="144"/>
  <c r="S1570" i="144"/>
  <c r="F1570" i="144"/>
  <c r="S1546" i="144"/>
  <c r="F1546" i="144"/>
  <c r="S1538" i="144"/>
  <c r="S1522" i="144"/>
  <c r="F1522" i="144"/>
  <c r="S1490" i="144"/>
  <c r="F1490" i="144"/>
  <c r="S1434" i="144"/>
  <c r="F1434" i="144"/>
  <c r="S1402" i="144"/>
  <c r="F1402" i="144"/>
  <c r="S1386" i="144"/>
  <c r="F1386" i="144"/>
  <c r="S1378" i="144"/>
  <c r="F1378" i="144"/>
  <c r="S1370" i="144"/>
  <c r="F1370" i="144"/>
  <c r="S1338" i="144"/>
  <c r="F1338" i="144"/>
  <c r="S1330" i="144"/>
  <c r="F1330" i="144"/>
  <c r="O113" i="1"/>
  <c r="Q113" i="1"/>
  <c r="O88" i="1"/>
  <c r="Q88" i="1"/>
  <c r="O50" i="1"/>
  <c r="Q50" i="1"/>
  <c r="J45" i="125"/>
  <c r="J37" i="125"/>
  <c r="J13" i="125"/>
  <c r="S1873" i="144"/>
  <c r="F1873" i="144"/>
  <c r="S1865" i="144"/>
  <c r="F1865" i="144"/>
  <c r="S1849" i="144"/>
  <c r="F1849" i="144"/>
  <c r="S1841" i="144"/>
  <c r="F1841" i="144"/>
  <c r="S1833" i="144"/>
  <c r="F1833" i="144"/>
  <c r="S1825" i="144"/>
  <c r="F1825" i="144"/>
  <c r="S1817" i="144"/>
  <c r="F1817" i="144"/>
  <c r="S1809" i="144"/>
  <c r="F1809" i="144"/>
  <c r="S1801" i="144"/>
  <c r="F1801" i="144"/>
  <c r="S1793" i="144"/>
  <c r="F1793" i="144"/>
  <c r="S1785" i="144"/>
  <c r="F1785" i="144"/>
  <c r="S1777" i="144"/>
  <c r="F1777" i="144"/>
  <c r="S1761" i="144"/>
  <c r="F1761" i="144"/>
  <c r="S1753" i="144"/>
  <c r="F1753" i="144"/>
  <c r="S1745" i="144"/>
  <c r="F1745" i="144"/>
  <c r="S1737" i="144"/>
  <c r="F1737" i="144"/>
  <c r="S1729" i="144"/>
  <c r="F1729" i="144"/>
  <c r="S1721" i="144"/>
  <c r="F1721" i="144"/>
  <c r="S1713" i="144"/>
  <c r="F1713" i="144"/>
  <c r="S1705" i="144"/>
  <c r="F1705" i="144"/>
  <c r="S1697" i="144"/>
  <c r="F1697" i="144"/>
  <c r="S1689" i="144"/>
  <c r="F1689" i="144"/>
  <c r="S1681" i="144"/>
  <c r="F1681" i="144"/>
  <c r="S1673" i="144"/>
  <c r="F1673" i="144"/>
  <c r="S1665" i="144"/>
  <c r="F1665" i="144"/>
  <c r="S1657" i="144"/>
  <c r="F1657" i="144"/>
  <c r="S1649" i="144"/>
  <c r="F1649" i="144"/>
  <c r="S1633" i="144"/>
  <c r="F1633" i="144"/>
  <c r="S1625" i="144"/>
  <c r="F1625" i="144"/>
  <c r="S1617" i="144"/>
  <c r="F1617" i="144"/>
  <c r="S1609" i="144"/>
  <c r="F1609" i="144"/>
  <c r="S1601" i="144"/>
  <c r="F1601" i="144"/>
  <c r="S1593" i="144"/>
  <c r="F1593" i="144"/>
  <c r="S1585" i="144"/>
  <c r="F1585" i="144"/>
  <c r="S1577" i="144"/>
  <c r="F1577" i="144"/>
  <c r="S1561" i="144"/>
  <c r="F1561" i="144"/>
  <c r="S1545" i="144"/>
  <c r="S1537" i="144"/>
  <c r="S1529" i="144"/>
  <c r="F1529" i="144"/>
  <c r="S1521" i="144"/>
  <c r="F1521" i="144"/>
  <c r="S1505" i="144"/>
  <c r="F1505" i="144"/>
  <c r="S1497" i="144"/>
  <c r="F1497" i="144"/>
  <c r="S1481" i="144"/>
  <c r="F1481" i="144"/>
  <c r="S1473" i="144"/>
  <c r="F1473" i="144"/>
  <c r="S1465" i="144"/>
  <c r="F1465" i="144"/>
  <c r="S1457" i="144"/>
  <c r="F1457" i="144"/>
  <c r="S1449" i="144"/>
  <c r="F1449" i="144"/>
  <c r="S1433" i="144"/>
  <c r="F1433" i="144"/>
  <c r="S1425" i="144"/>
  <c r="F1425" i="144"/>
  <c r="S1417" i="144"/>
  <c r="F1417" i="144"/>
  <c r="S1409" i="144"/>
  <c r="F1409" i="144"/>
  <c r="S1401" i="144"/>
  <c r="F1401" i="144"/>
  <c r="S1393" i="144"/>
  <c r="F1393" i="144"/>
  <c r="S1377" i="144"/>
  <c r="F1377" i="144"/>
  <c r="S1369" i="144"/>
  <c r="F1369" i="144"/>
  <c r="S1361" i="144"/>
  <c r="F1361" i="144"/>
  <c r="S1353" i="144"/>
  <c r="F1353" i="144"/>
  <c r="S1337" i="144"/>
  <c r="F1337" i="144"/>
  <c r="S1329" i="144"/>
  <c r="F1329" i="144"/>
  <c r="S1321" i="144"/>
  <c r="F1321" i="144"/>
  <c r="S1313" i="144"/>
  <c r="F1313" i="144"/>
  <c r="O136" i="1"/>
  <c r="Q136" i="1"/>
  <c r="O41" i="1"/>
  <c r="Q41" i="1"/>
  <c r="O27" i="1"/>
  <c r="Q27" i="1"/>
  <c r="P91" i="1"/>
  <c r="E91" i="1"/>
  <c r="P176" i="1"/>
  <c r="E176" i="1"/>
  <c r="S1728" i="144"/>
  <c r="F1728" i="144"/>
  <c r="S1664" i="144"/>
  <c r="F1664" i="144"/>
  <c r="S1616" i="144"/>
  <c r="F1616" i="144"/>
  <c r="S1608" i="144"/>
  <c r="F1608" i="144"/>
  <c r="S1528" i="144"/>
  <c r="F1528" i="144"/>
  <c r="S1488" i="144"/>
  <c r="F1488" i="144"/>
  <c r="S1472" i="144"/>
  <c r="F1472" i="144"/>
  <c r="S1464" i="144"/>
  <c r="F1464" i="144"/>
  <c r="S1440" i="144"/>
  <c r="F1440" i="144"/>
  <c r="S1432" i="144"/>
  <c r="F1432" i="144"/>
  <c r="S1416" i="144"/>
  <c r="F1416" i="144"/>
  <c r="S1392" i="144"/>
  <c r="F1392" i="144"/>
  <c r="S1368" i="144"/>
  <c r="F1368" i="144"/>
  <c r="S1352" i="144"/>
  <c r="F1352" i="144"/>
  <c r="F413" i="75"/>
  <c r="I413" i="75"/>
  <c r="F405" i="75"/>
  <c r="J405" i="75"/>
  <c r="S1831" i="144"/>
  <c r="F1831" i="144"/>
  <c r="S1807" i="144"/>
  <c r="F1807" i="144"/>
  <c r="J55" i="125"/>
  <c r="I46" i="125"/>
  <c r="M33" i="64"/>
  <c r="P147" i="71"/>
  <c r="O247" i="187"/>
  <c r="Q248" i="75"/>
  <c r="F139" i="75"/>
  <c r="J139" i="75"/>
  <c r="AS56" i="71"/>
  <c r="O132" i="1"/>
  <c r="Q132" i="1"/>
  <c r="O69" i="1"/>
  <c r="Q69" i="1"/>
  <c r="O24" i="1"/>
  <c r="Q24" i="1"/>
  <c r="S1862" i="144"/>
  <c r="F1862" i="144"/>
  <c r="S1285" i="144"/>
  <c r="F1285" i="144"/>
  <c r="S1245" i="144"/>
  <c r="F1245" i="144"/>
  <c r="S1205" i="144"/>
  <c r="F1205" i="144"/>
  <c r="S1125" i="144"/>
  <c r="F1125" i="144"/>
  <c r="S1109" i="144"/>
  <c r="F1109" i="144"/>
  <c r="S1069" i="144"/>
  <c r="F1069" i="144"/>
  <c r="S1061" i="144"/>
  <c r="F1061" i="144"/>
  <c r="S1045" i="144"/>
  <c r="F1045" i="144"/>
  <c r="S1013" i="144"/>
  <c r="F1013" i="144"/>
  <c r="S1005" i="144"/>
  <c r="F1005" i="144"/>
  <c r="S965" i="144"/>
  <c r="F965" i="144"/>
  <c r="S933" i="144"/>
  <c r="F933" i="144"/>
  <c r="S909" i="144"/>
  <c r="F909" i="144"/>
  <c r="S893" i="144"/>
  <c r="F893" i="144"/>
  <c r="S861" i="144"/>
  <c r="F861" i="144"/>
  <c r="S853" i="144"/>
  <c r="F853" i="144"/>
  <c r="S837" i="144"/>
  <c r="F837" i="144"/>
  <c r="S829" i="144"/>
  <c r="F829" i="144"/>
  <c r="S813" i="144"/>
  <c r="F813" i="144"/>
  <c r="S789" i="144"/>
  <c r="F789" i="144"/>
  <c r="S733" i="144"/>
  <c r="F733" i="144"/>
  <c r="S717" i="144"/>
  <c r="F717" i="144"/>
  <c r="S693" i="144"/>
  <c r="F693" i="144"/>
  <c r="S661" i="144"/>
  <c r="F661" i="144"/>
  <c r="S645" i="144"/>
  <c r="F645" i="144"/>
  <c r="S637" i="144"/>
  <c r="F637" i="144"/>
  <c r="S629" i="144"/>
  <c r="F629" i="144"/>
  <c r="S613" i="144"/>
  <c r="F613" i="144"/>
  <c r="S597" i="144"/>
  <c r="F597" i="144"/>
  <c r="S589" i="144"/>
  <c r="F589" i="144"/>
  <c r="S549" i="144"/>
  <c r="F549" i="144"/>
  <c r="S541" i="144"/>
  <c r="F541" i="144"/>
  <c r="S533" i="144"/>
  <c r="F533" i="144"/>
  <c r="S517" i="144"/>
  <c r="F517" i="144"/>
  <c r="S509" i="144"/>
  <c r="F509" i="144"/>
  <c r="S501" i="144"/>
  <c r="F501" i="144"/>
  <c r="S477" i="144"/>
  <c r="F477" i="144"/>
  <c r="S453" i="144"/>
  <c r="F453" i="144"/>
  <c r="S445" i="144"/>
  <c r="F445" i="144"/>
  <c r="S437" i="144"/>
  <c r="F437" i="144"/>
  <c r="S429" i="144"/>
  <c r="F429" i="144"/>
  <c r="S413" i="144"/>
  <c r="F413" i="144"/>
  <c r="S381" i="144"/>
  <c r="F381" i="144"/>
  <c r="S373" i="144"/>
  <c r="F373" i="144"/>
  <c r="S365" i="144"/>
  <c r="F365" i="144"/>
  <c r="S357" i="144"/>
  <c r="F357" i="144"/>
  <c r="S349" i="144"/>
  <c r="F349" i="144"/>
  <c r="S309" i="144"/>
  <c r="F309" i="144"/>
  <c r="S301" i="144"/>
  <c r="F301" i="144"/>
  <c r="S293" i="144"/>
  <c r="F293" i="144"/>
  <c r="S277" i="144"/>
  <c r="F277" i="144"/>
  <c r="S269" i="144"/>
  <c r="F269" i="144"/>
  <c r="S245" i="144"/>
  <c r="F245" i="144"/>
  <c r="S237" i="144"/>
  <c r="F237" i="144"/>
  <c r="S213" i="144"/>
  <c r="F213" i="144"/>
  <c r="S205" i="144"/>
  <c r="F205" i="144"/>
  <c r="S189" i="144"/>
  <c r="F189" i="144"/>
  <c r="S181" i="144"/>
  <c r="F181" i="144"/>
  <c r="S173" i="144"/>
  <c r="F173" i="144"/>
  <c r="S157" i="144"/>
  <c r="F157" i="144"/>
  <c r="S141" i="144"/>
  <c r="F141" i="144"/>
  <c r="S69" i="144"/>
  <c r="F69" i="144"/>
  <c r="S53" i="144"/>
  <c r="F53" i="144"/>
  <c r="S21" i="144"/>
  <c r="F21" i="144"/>
  <c r="S13" i="144"/>
  <c r="F13" i="144"/>
  <c r="M165" i="71"/>
  <c r="M172" i="71"/>
  <c r="J164" i="71"/>
  <c r="M156" i="71"/>
  <c r="J108" i="71"/>
  <c r="S1251" i="144"/>
  <c r="F1251" i="144"/>
  <c r="S979" i="144"/>
  <c r="F979" i="144"/>
  <c r="S947" i="144"/>
  <c r="F947" i="144"/>
  <c r="S939" i="144"/>
  <c r="F939" i="144"/>
  <c r="S891" i="144"/>
  <c r="F891" i="144"/>
  <c r="S875" i="144"/>
  <c r="F875" i="144"/>
  <c r="S843" i="144"/>
  <c r="F843" i="144"/>
  <c r="S803" i="144"/>
  <c r="F803" i="144"/>
  <c r="S699" i="144"/>
  <c r="F699" i="144"/>
  <c r="S691" i="144"/>
  <c r="F691" i="144"/>
  <c r="S683" i="144"/>
  <c r="F683" i="144"/>
  <c r="S675" i="144"/>
  <c r="F675" i="144"/>
  <c r="S659" i="144"/>
  <c r="F659" i="144"/>
  <c r="S635" i="144"/>
  <c r="F635" i="144"/>
  <c r="S587" i="144"/>
  <c r="F587" i="144"/>
  <c r="S571" i="144"/>
  <c r="F571" i="144"/>
  <c r="S507" i="144"/>
  <c r="F507" i="144"/>
  <c r="S491" i="144"/>
  <c r="F491" i="144"/>
  <c r="S483" i="144"/>
  <c r="F483" i="144"/>
  <c r="S443" i="144"/>
  <c r="F443" i="144"/>
  <c r="S435" i="144"/>
  <c r="F435" i="144"/>
  <c r="S403" i="144"/>
  <c r="F403" i="144"/>
  <c r="S387" i="144"/>
  <c r="F387" i="144"/>
  <c r="S379" i="144"/>
  <c r="F379" i="144"/>
  <c r="S347" i="144"/>
  <c r="F347" i="144"/>
  <c r="S339" i="144"/>
  <c r="F339" i="144"/>
  <c r="S307" i="144"/>
  <c r="F307" i="144"/>
  <c r="S291" i="144"/>
  <c r="F291" i="144"/>
  <c r="S227" i="144"/>
  <c r="F227" i="144"/>
  <c r="S211" i="144"/>
  <c r="F211" i="144"/>
  <c r="S179" i="144"/>
  <c r="F179" i="144"/>
  <c r="S163" i="144"/>
  <c r="F163" i="144"/>
  <c r="S51" i="144"/>
  <c r="F51" i="144"/>
  <c r="S35" i="144"/>
  <c r="F35" i="144"/>
  <c r="S11" i="144"/>
  <c r="F11" i="144"/>
  <c r="S1314" i="144"/>
  <c r="F1314" i="144"/>
  <c r="S1298" i="144"/>
  <c r="F1298" i="144"/>
  <c r="S1290" i="144"/>
  <c r="F1290" i="144"/>
  <c r="S1282" i="144"/>
  <c r="F1282" i="144"/>
  <c r="S1266" i="144"/>
  <c r="F1266" i="144"/>
  <c r="S1242" i="144"/>
  <c r="F1242" i="144"/>
  <c r="S1226" i="144"/>
  <c r="F1226" i="144"/>
  <c r="S1218" i="144"/>
  <c r="F1218" i="144"/>
  <c r="S1194" i="144"/>
  <c r="F1194" i="144"/>
  <c r="S1186" i="144"/>
  <c r="F1186" i="144"/>
  <c r="S1178" i="144"/>
  <c r="F1178" i="144"/>
  <c r="S1154" i="144"/>
  <c r="F1154" i="144"/>
  <c r="S1146" i="144"/>
  <c r="F1146" i="144"/>
  <c r="S1138" i="144"/>
  <c r="F1138" i="144"/>
  <c r="S1122" i="144"/>
  <c r="F1122" i="144"/>
  <c r="S1106" i="144"/>
  <c r="F1106" i="144"/>
  <c r="S1098" i="144"/>
  <c r="F1098" i="144"/>
  <c r="S1090" i="144"/>
  <c r="F1090" i="144"/>
  <c r="S1058" i="144"/>
  <c r="F1058" i="144"/>
  <c r="S1042" i="144"/>
  <c r="F1042" i="144"/>
  <c r="S1026" i="144"/>
  <c r="F1026" i="144"/>
  <c r="S1002" i="144"/>
  <c r="F1002" i="144"/>
  <c r="S970" i="144"/>
  <c r="F970" i="144"/>
  <c r="S946" i="144"/>
  <c r="F946" i="144"/>
  <c r="S914" i="144"/>
  <c r="F914" i="144"/>
  <c r="S906" i="144"/>
  <c r="F906" i="144"/>
  <c r="S882" i="144"/>
  <c r="F882" i="144"/>
  <c r="S866" i="144"/>
  <c r="F866" i="144"/>
  <c r="S858" i="144"/>
  <c r="F858" i="144"/>
  <c r="S842" i="144"/>
  <c r="F842" i="144"/>
  <c r="S834" i="144"/>
  <c r="F834" i="144"/>
  <c r="S818" i="144"/>
  <c r="F818" i="144"/>
  <c r="S794" i="144"/>
  <c r="F794" i="144"/>
  <c r="S786" i="144"/>
  <c r="F786" i="144"/>
  <c r="S778" i="144"/>
  <c r="F778" i="144"/>
  <c r="S730" i="144"/>
  <c r="F730" i="144"/>
  <c r="S722" i="144"/>
  <c r="F722" i="144"/>
  <c r="S714" i="144"/>
  <c r="F714" i="144"/>
  <c r="S690" i="144"/>
  <c r="F690" i="144"/>
  <c r="S674" i="144"/>
  <c r="F674" i="144"/>
  <c r="S658" i="144"/>
  <c r="F658" i="144"/>
  <c r="S634" i="144"/>
  <c r="F634" i="144"/>
  <c r="S610" i="144"/>
  <c r="F610" i="144"/>
  <c r="S602" i="144"/>
  <c r="F602" i="144"/>
  <c r="S594" i="144"/>
  <c r="F594" i="144"/>
  <c r="S586" i="144"/>
  <c r="F586" i="144"/>
  <c r="S562" i="144"/>
  <c r="F562" i="144"/>
  <c r="S554" i="144"/>
  <c r="F554" i="144"/>
  <c r="S546" i="144"/>
  <c r="F546" i="144"/>
  <c r="S538" i="144"/>
  <c r="F538" i="144"/>
  <c r="S530" i="144"/>
  <c r="F530" i="144"/>
  <c r="S490" i="144"/>
  <c r="F490" i="144"/>
  <c r="S482" i="144"/>
  <c r="F482" i="144"/>
  <c r="S474" i="144"/>
  <c r="F474" i="144"/>
  <c r="S458" i="144"/>
  <c r="F458" i="144"/>
  <c r="S426" i="144"/>
  <c r="F426" i="144"/>
  <c r="S394" i="144"/>
  <c r="F394" i="144"/>
  <c r="S354" i="144"/>
  <c r="F354" i="144"/>
  <c r="S338" i="144"/>
  <c r="F338" i="144"/>
  <c r="S330" i="144"/>
  <c r="F330" i="144"/>
  <c r="S306" i="144"/>
  <c r="F306" i="144"/>
  <c r="S298" i="144"/>
  <c r="F298" i="144"/>
  <c r="S290" i="144"/>
  <c r="F290" i="144"/>
  <c r="S266" i="144"/>
  <c r="F266" i="144"/>
  <c r="S242" i="144"/>
  <c r="F242" i="144"/>
  <c r="S234" i="144"/>
  <c r="F234" i="144"/>
  <c r="S226" i="144"/>
  <c r="F226" i="144"/>
  <c r="S202" i="144"/>
  <c r="F202" i="144"/>
  <c r="S194" i="144"/>
  <c r="F194" i="144"/>
  <c r="S162" i="144"/>
  <c r="F162" i="144"/>
  <c r="S154" i="144"/>
  <c r="F154" i="144"/>
  <c r="S138" i="144"/>
  <c r="F138" i="144"/>
  <c r="S130" i="144"/>
  <c r="F130" i="144"/>
  <c r="S98" i="144"/>
  <c r="F98" i="144"/>
  <c r="S90" i="144"/>
  <c r="F90" i="144"/>
  <c r="S82" i="144"/>
  <c r="F82" i="144"/>
  <c r="S66" i="144"/>
  <c r="F66" i="144"/>
  <c r="S42" i="144"/>
  <c r="F42" i="144"/>
  <c r="S34" i="144"/>
  <c r="F34" i="144"/>
  <c r="S18" i="144"/>
  <c r="F18" i="144"/>
  <c r="S10" i="144"/>
  <c r="F10" i="144"/>
  <c r="J170" i="71"/>
  <c r="M146" i="71"/>
  <c r="M82" i="71"/>
  <c r="J50" i="71"/>
  <c r="S1305" i="144"/>
  <c r="F1305" i="144"/>
  <c r="S1289" i="144"/>
  <c r="F1289" i="144"/>
  <c r="S1281" i="144"/>
  <c r="F1281" i="144"/>
  <c r="S1273" i="144"/>
  <c r="F1273" i="144"/>
  <c r="S1257" i="144"/>
  <c r="F1257" i="144"/>
  <c r="S1249" i="144"/>
  <c r="F1249" i="144"/>
  <c r="S1241" i="144"/>
  <c r="F1241" i="144"/>
  <c r="S1225" i="144"/>
  <c r="F1225" i="144"/>
  <c r="S1217" i="144"/>
  <c r="F1217" i="144"/>
  <c r="S1209" i="144"/>
  <c r="F1209" i="144"/>
  <c r="S1201" i="144"/>
  <c r="F1201" i="144"/>
  <c r="S1193" i="144"/>
  <c r="F1193" i="144"/>
  <c r="S1185" i="144"/>
  <c r="F1185" i="144"/>
  <c r="S1177" i="144"/>
  <c r="F1177" i="144"/>
  <c r="S1169" i="144"/>
  <c r="F1169" i="144"/>
  <c r="S1161" i="144"/>
  <c r="F1161" i="144"/>
  <c r="S1153" i="144"/>
  <c r="F1153" i="144"/>
  <c r="S1145" i="144"/>
  <c r="F1145" i="144"/>
  <c r="S1137" i="144"/>
  <c r="F1137" i="144"/>
  <c r="S1129" i="144"/>
  <c r="F1129" i="144"/>
  <c r="S1121" i="144"/>
  <c r="F1121" i="144"/>
  <c r="S1113" i="144"/>
  <c r="F1113" i="144"/>
  <c r="S1041" i="144"/>
  <c r="F1041" i="144"/>
  <c r="S1017" i="144"/>
  <c r="F1017" i="144"/>
  <c r="S969" i="144"/>
  <c r="F969" i="144"/>
  <c r="S953" i="144"/>
  <c r="F953" i="144"/>
  <c r="S937" i="144"/>
  <c r="F937" i="144"/>
  <c r="S929" i="144"/>
  <c r="F929" i="144"/>
  <c r="S905" i="144"/>
  <c r="F905" i="144"/>
  <c r="S897" i="144"/>
  <c r="F897" i="144"/>
  <c r="S889" i="144"/>
  <c r="F889" i="144"/>
  <c r="S881" i="144"/>
  <c r="F881" i="144"/>
  <c r="S873" i="144"/>
  <c r="F873" i="144"/>
  <c r="S865" i="144"/>
  <c r="F865" i="144"/>
  <c r="S857" i="144"/>
  <c r="F857" i="144"/>
  <c r="S825" i="144"/>
  <c r="F825" i="144"/>
  <c r="S817" i="144"/>
  <c r="F817" i="144"/>
  <c r="S801" i="144"/>
  <c r="F801" i="144"/>
  <c r="S785" i="144"/>
  <c r="F785" i="144"/>
  <c r="S777" i="144"/>
  <c r="F777" i="144"/>
  <c r="S769" i="144"/>
  <c r="F769" i="144"/>
  <c r="S745" i="144"/>
  <c r="F745" i="144"/>
  <c r="S697" i="144"/>
  <c r="F697" i="144"/>
  <c r="S689" i="144"/>
  <c r="F689" i="144"/>
  <c r="S641" i="144"/>
  <c r="F641" i="144"/>
  <c r="S625" i="144"/>
  <c r="F625" i="144"/>
  <c r="S569" i="144"/>
  <c r="F569" i="144"/>
  <c r="S561" i="144"/>
  <c r="F561" i="144"/>
  <c r="S553" i="144"/>
  <c r="F553" i="144"/>
  <c r="S529" i="144"/>
  <c r="F529" i="144"/>
  <c r="S521" i="144"/>
  <c r="F521" i="144"/>
  <c r="S481" i="144"/>
  <c r="F481" i="144"/>
  <c r="S457" i="144"/>
  <c r="F457" i="144"/>
  <c r="S449" i="144"/>
  <c r="F449" i="144"/>
  <c r="S425" i="144"/>
  <c r="F425" i="144"/>
  <c r="S377" i="144"/>
  <c r="F377" i="144"/>
  <c r="S337" i="144"/>
  <c r="F337" i="144"/>
  <c r="S281" i="144"/>
  <c r="F281" i="144"/>
  <c r="S249" i="144"/>
  <c r="F249" i="144"/>
  <c r="S241" i="144"/>
  <c r="F241" i="144"/>
  <c r="S233" i="144"/>
  <c r="F233" i="144"/>
  <c r="S177" i="144"/>
  <c r="F177" i="144"/>
  <c r="S137" i="144"/>
  <c r="F137" i="144"/>
  <c r="S121" i="144"/>
  <c r="F121" i="144"/>
  <c r="S113" i="144"/>
  <c r="F113" i="144"/>
  <c r="S57" i="144"/>
  <c r="F57" i="144"/>
  <c r="S1232" i="144"/>
  <c r="F1232" i="144"/>
  <c r="S1224" i="144"/>
  <c r="F1224" i="144"/>
  <c r="S1184" i="144"/>
  <c r="F1184" i="144"/>
  <c r="S1160" i="144"/>
  <c r="F1160" i="144"/>
  <c r="S1120" i="144"/>
  <c r="F1120" i="144"/>
  <c r="S1096" i="144"/>
  <c r="F1096" i="144"/>
  <c r="S1064" i="144"/>
  <c r="F1064" i="144"/>
  <c r="S1016" i="144"/>
  <c r="F1016" i="144"/>
  <c r="S1008" i="144"/>
  <c r="F1008" i="144"/>
  <c r="S976" i="144"/>
  <c r="F976" i="144"/>
  <c r="S968" i="144"/>
  <c r="F968" i="144"/>
  <c r="S944" i="144"/>
  <c r="F944" i="144"/>
  <c r="S904" i="144"/>
  <c r="F904" i="144"/>
  <c r="S872" i="144"/>
  <c r="F872" i="144"/>
  <c r="S520" i="144"/>
  <c r="F520" i="144"/>
  <c r="S480" i="144"/>
  <c r="F480" i="144"/>
  <c r="S464" i="144"/>
  <c r="F464" i="144"/>
  <c r="S392" i="144"/>
  <c r="F392" i="144"/>
  <c r="S128" i="144"/>
  <c r="F128" i="144"/>
  <c r="S8" i="144"/>
  <c r="F8" i="144"/>
  <c r="J160" i="71"/>
  <c r="P152" i="71"/>
  <c r="J120" i="71"/>
  <c r="M80" i="71"/>
  <c r="P56" i="71"/>
  <c r="M159" i="71"/>
  <c r="I241" i="149"/>
  <c r="K204" i="146"/>
  <c r="B40" i="174"/>
  <c r="I40" i="174"/>
  <c r="B26" i="174"/>
  <c r="B26" i="175"/>
  <c r="B19" i="174"/>
  <c r="B19" i="175"/>
  <c r="B11" i="174"/>
  <c r="E9" i="170"/>
  <c r="G25" i="170"/>
  <c r="H20" i="170"/>
  <c r="F16" i="170"/>
  <c r="P148" i="71"/>
  <c r="M148" i="71"/>
  <c r="J148" i="71"/>
  <c r="G20" i="102"/>
  <c r="H20" i="102"/>
  <c r="L20" i="102"/>
  <c r="D34" i="157"/>
  <c r="E34" i="157"/>
  <c r="D20" i="157"/>
  <c r="G13" i="102"/>
  <c r="H13" i="102"/>
  <c r="M13" i="102"/>
  <c r="D25" i="157"/>
  <c r="E25" i="157"/>
  <c r="E24" i="100"/>
  <c r="F24" i="100"/>
  <c r="G24" i="100"/>
  <c r="E40" i="100"/>
  <c r="F40" i="100"/>
  <c r="G40" i="100"/>
  <c r="E16" i="100"/>
  <c r="F16" i="100"/>
  <c r="G16" i="100"/>
  <c r="E32" i="100"/>
  <c r="F32" i="100"/>
  <c r="G32" i="100"/>
  <c r="E47" i="100"/>
  <c r="F47" i="100"/>
  <c r="G47" i="100"/>
  <c r="E29" i="100"/>
  <c r="F29" i="100"/>
  <c r="G29" i="100"/>
  <c r="E46" i="100"/>
  <c r="F46" i="100"/>
  <c r="G46" i="100"/>
  <c r="I30" i="125"/>
  <c r="J54" i="125"/>
  <c r="B29" i="174"/>
  <c r="J156" i="71"/>
  <c r="M145" i="71"/>
  <c r="J399" i="75"/>
  <c r="I412" i="75"/>
  <c r="I72" i="75"/>
  <c r="G7" i="102"/>
  <c r="H7" i="102"/>
  <c r="M7" i="102"/>
  <c r="D22" i="157"/>
  <c r="E22" i="157"/>
  <c r="D27" i="157"/>
  <c r="E27" i="157"/>
  <c r="E12" i="100"/>
  <c r="F12" i="100"/>
  <c r="G12" i="100"/>
  <c r="E14" i="100"/>
  <c r="F14" i="100"/>
  <c r="G14" i="100"/>
  <c r="E30" i="100"/>
  <c r="F30" i="100"/>
  <c r="G30" i="100"/>
  <c r="E45" i="100"/>
  <c r="F45" i="100"/>
  <c r="G45" i="100"/>
  <c r="E27" i="100"/>
  <c r="F27" i="100"/>
  <c r="G27" i="100"/>
  <c r="E44" i="100"/>
  <c r="F44" i="100"/>
  <c r="G44" i="100"/>
  <c r="G18" i="102"/>
  <c r="H18" i="102"/>
  <c r="J18" i="102"/>
  <c r="D32" i="157"/>
  <c r="E32" i="157"/>
  <c r="D18" i="157"/>
  <c r="E18" i="157"/>
  <c r="G11" i="102"/>
  <c r="H11" i="102"/>
  <c r="J11" i="102"/>
  <c r="D23" i="157"/>
  <c r="E23" i="157"/>
  <c r="E48" i="100"/>
  <c r="F48" i="100"/>
  <c r="G48" i="100"/>
  <c r="E18" i="100"/>
  <c r="F18" i="100"/>
  <c r="G18" i="100"/>
  <c r="E34" i="100"/>
  <c r="F34" i="100"/>
  <c r="G34" i="100"/>
  <c r="E13" i="100"/>
  <c r="F13" i="100"/>
  <c r="G13" i="100"/>
  <c r="E31" i="100"/>
  <c r="F31" i="100"/>
  <c r="G31" i="100"/>
  <c r="J22" i="125"/>
  <c r="F22" i="170"/>
  <c r="G16" i="102"/>
  <c r="H16" i="102"/>
  <c r="D30" i="157"/>
  <c r="E30" i="157"/>
  <c r="D16" i="157"/>
  <c r="E16" i="157"/>
  <c r="G9" i="102"/>
  <c r="H9" i="102"/>
  <c r="N9" i="102"/>
  <c r="D21" i="157"/>
  <c r="E21" i="157"/>
  <c r="E42" i="100"/>
  <c r="F42" i="100"/>
  <c r="G42" i="100"/>
  <c r="E15" i="100"/>
  <c r="F15" i="100"/>
  <c r="G15" i="100"/>
  <c r="E33" i="100"/>
  <c r="F33" i="100"/>
  <c r="G33" i="100"/>
  <c r="F21" i="170"/>
  <c r="B29" i="175"/>
  <c r="J332" i="75"/>
  <c r="G15" i="102"/>
  <c r="H15" i="102"/>
  <c r="G14" i="102"/>
  <c r="H14" i="102"/>
  <c r="D28" i="157"/>
  <c r="D14" i="157"/>
  <c r="E14" i="157"/>
  <c r="D13" i="157"/>
  <c r="E13" i="157"/>
  <c r="D19" i="157"/>
  <c r="E49" i="100"/>
  <c r="F49" i="100"/>
  <c r="G49" i="100"/>
  <c r="E50" i="100"/>
  <c r="F50" i="100"/>
  <c r="G50" i="100"/>
  <c r="E20" i="100"/>
  <c r="F20" i="100"/>
  <c r="G20" i="100"/>
  <c r="E36" i="100"/>
  <c r="F36" i="100"/>
  <c r="G36" i="100"/>
  <c r="E17" i="100"/>
  <c r="F17" i="100"/>
  <c r="G17" i="100"/>
  <c r="E35" i="100"/>
  <c r="F35" i="100"/>
  <c r="G35" i="100"/>
  <c r="J321" i="56"/>
  <c r="J239" i="56"/>
  <c r="J198" i="56"/>
  <c r="J187" i="56"/>
  <c r="F6" i="32"/>
  <c r="F29" i="170"/>
  <c r="F19" i="170"/>
  <c r="F10" i="170"/>
  <c r="D26" i="157"/>
  <c r="E26" i="157"/>
  <c r="G21" i="102"/>
  <c r="H21" i="102"/>
  <c r="N21" i="102"/>
  <c r="D33" i="157"/>
  <c r="E33" i="157"/>
  <c r="D17" i="157"/>
  <c r="E17" i="157"/>
  <c r="E8" i="100"/>
  <c r="F8" i="100"/>
  <c r="G8" i="100"/>
  <c r="E51" i="100"/>
  <c r="F51" i="100"/>
  <c r="G51" i="100"/>
  <c r="E22" i="100"/>
  <c r="F22" i="100"/>
  <c r="G22" i="100"/>
  <c r="E19" i="100"/>
  <c r="F19" i="100"/>
  <c r="G19" i="100"/>
  <c r="E37" i="100"/>
  <c r="F37" i="100"/>
  <c r="G37" i="100"/>
  <c r="J529" i="56"/>
  <c r="J307" i="56"/>
  <c r="J297" i="56"/>
  <c r="J286" i="56"/>
  <c r="J257" i="56"/>
  <c r="J248" i="56"/>
  <c r="J207" i="56"/>
  <c r="J16" i="56"/>
  <c r="F24" i="170"/>
  <c r="E27" i="170"/>
  <c r="E183" i="1"/>
  <c r="F90" i="75"/>
  <c r="G8" i="102"/>
  <c r="H8" i="102"/>
  <c r="M8" i="102"/>
  <c r="E10" i="100"/>
  <c r="F10" i="100"/>
  <c r="G10" i="100"/>
  <c r="G12" i="102"/>
  <c r="H12" i="102"/>
  <c r="M12" i="102"/>
  <c r="D24" i="157"/>
  <c r="E24" i="157"/>
  <c r="G19" i="102"/>
  <c r="H19" i="102"/>
  <c r="N19" i="102"/>
  <c r="D31" i="157"/>
  <c r="E31" i="157"/>
  <c r="D15" i="157"/>
  <c r="E15" i="157"/>
  <c r="E7" i="100"/>
  <c r="F7" i="100"/>
  <c r="G7" i="100"/>
  <c r="E52" i="100"/>
  <c r="F52" i="100"/>
  <c r="G52" i="100"/>
  <c r="E26" i="100"/>
  <c r="F26" i="100"/>
  <c r="G26" i="100"/>
  <c r="E38" i="100"/>
  <c r="F38" i="100"/>
  <c r="G38" i="100"/>
  <c r="E21" i="100"/>
  <c r="F21" i="100"/>
  <c r="G21" i="100"/>
  <c r="G187" i="146"/>
  <c r="G191" i="146"/>
  <c r="G195" i="146"/>
  <c r="G199" i="146"/>
  <c r="G203" i="146"/>
  <c r="G207" i="146"/>
  <c r="G211" i="146"/>
  <c r="G215" i="146"/>
  <c r="G219" i="146"/>
  <c r="G223" i="146"/>
  <c r="G227" i="146"/>
  <c r="G231" i="146"/>
  <c r="G230" i="146"/>
  <c r="G188" i="146"/>
  <c r="G192" i="146"/>
  <c r="G196" i="146"/>
  <c r="G200" i="146"/>
  <c r="G204" i="146"/>
  <c r="G208" i="146"/>
  <c r="G212" i="146"/>
  <c r="G216" i="146"/>
  <c r="G220" i="146"/>
  <c r="G224" i="146"/>
  <c r="G228" i="146"/>
  <c r="G232" i="146"/>
  <c r="G189" i="146"/>
  <c r="G193" i="146"/>
  <c r="G197" i="146"/>
  <c r="G201" i="146"/>
  <c r="G205" i="146"/>
  <c r="G209" i="146"/>
  <c r="G213" i="146"/>
  <c r="G217" i="146"/>
  <c r="G221" i="146"/>
  <c r="G225" i="146"/>
  <c r="G229" i="146"/>
  <c r="G233" i="146"/>
  <c r="G194" i="146"/>
  <c r="G198" i="146"/>
  <c r="G206" i="146"/>
  <c r="G214" i="146"/>
  <c r="G222" i="146"/>
  <c r="G234" i="146"/>
  <c r="G190" i="146"/>
  <c r="G202" i="146"/>
  <c r="G210" i="146"/>
  <c r="G218" i="146"/>
  <c r="G226" i="146"/>
  <c r="F9" i="170"/>
  <c r="P108" i="71"/>
  <c r="I10" i="149"/>
  <c r="K10" i="146"/>
  <c r="H10" i="149"/>
  <c r="J132" i="149"/>
  <c r="L110" i="146"/>
  <c r="H132" i="149"/>
  <c r="I87" i="149"/>
  <c r="K75" i="146"/>
  <c r="F7" i="175"/>
  <c r="J40" i="149"/>
  <c r="F28" i="175"/>
  <c r="F26" i="175"/>
  <c r="J80" i="149"/>
  <c r="H80" i="149"/>
  <c r="I122" i="149"/>
  <c r="F32" i="175"/>
  <c r="J122" i="149"/>
  <c r="J88" i="149"/>
  <c r="L76" i="146"/>
  <c r="H110" i="149"/>
  <c r="F20" i="175"/>
  <c r="I92" i="149"/>
  <c r="H92" i="149"/>
  <c r="I88" i="149"/>
  <c r="K76" i="146"/>
  <c r="I40" i="149"/>
  <c r="I82" i="149"/>
  <c r="K70" i="146"/>
  <c r="H82" i="149"/>
  <c r="H19" i="146"/>
  <c r="H14" i="146"/>
  <c r="H22" i="146"/>
  <c r="H12" i="146"/>
  <c r="H20" i="146"/>
  <c r="H13" i="146"/>
  <c r="H21" i="146"/>
  <c r="H15" i="146"/>
  <c r="H23" i="146"/>
  <c r="H18" i="146"/>
  <c r="H16" i="146"/>
  <c r="H17" i="146"/>
  <c r="G10" i="146"/>
  <c r="G18" i="146"/>
  <c r="G26" i="146"/>
  <c r="G34" i="146"/>
  <c r="G42" i="146"/>
  <c r="G50" i="146"/>
  <c r="G58" i="146"/>
  <c r="G66" i="146"/>
  <c r="G74" i="146"/>
  <c r="G82" i="146"/>
  <c r="G90" i="146"/>
  <c r="G98" i="146"/>
  <c r="G106" i="146"/>
  <c r="G114" i="146"/>
  <c r="G122" i="146"/>
  <c r="G130" i="146"/>
  <c r="G138" i="146"/>
  <c r="G146" i="146"/>
  <c r="G154" i="146"/>
  <c r="G162" i="146"/>
  <c r="G170" i="146"/>
  <c r="G178" i="146"/>
  <c r="G21" i="146"/>
  <c r="G37" i="146"/>
  <c r="G53" i="146"/>
  <c r="G69" i="146"/>
  <c r="G85" i="146"/>
  <c r="G101" i="146"/>
  <c r="G125" i="146"/>
  <c r="G141" i="146"/>
  <c r="G157" i="146"/>
  <c r="G173" i="146"/>
  <c r="G185" i="146"/>
  <c r="G11" i="146"/>
  <c r="G19" i="146"/>
  <c r="G27" i="146"/>
  <c r="G35" i="146"/>
  <c r="G43" i="146"/>
  <c r="G51" i="146"/>
  <c r="G59" i="146"/>
  <c r="G67" i="146"/>
  <c r="G75" i="146"/>
  <c r="G83" i="146"/>
  <c r="G91" i="146"/>
  <c r="G99" i="146"/>
  <c r="G107" i="146"/>
  <c r="G115" i="146"/>
  <c r="G123" i="146"/>
  <c r="G131" i="146"/>
  <c r="G139" i="146"/>
  <c r="G147" i="146"/>
  <c r="G155" i="146"/>
  <c r="G163" i="146"/>
  <c r="G171" i="146"/>
  <c r="G179" i="146"/>
  <c r="G186" i="146"/>
  <c r="G12" i="146"/>
  <c r="G20" i="146"/>
  <c r="G28" i="146"/>
  <c r="G36" i="146"/>
  <c r="G44" i="146"/>
  <c r="G52" i="146"/>
  <c r="G60" i="146"/>
  <c r="G68" i="146"/>
  <c r="G76" i="146"/>
  <c r="G84" i="146"/>
  <c r="G92" i="146"/>
  <c r="G100" i="146"/>
  <c r="G108" i="146"/>
  <c r="G116" i="146"/>
  <c r="G124" i="146"/>
  <c r="G132" i="146"/>
  <c r="G140" i="146"/>
  <c r="G148" i="146"/>
  <c r="G156" i="146"/>
  <c r="G164" i="146"/>
  <c r="G172" i="146"/>
  <c r="G180" i="146"/>
  <c r="G13" i="146"/>
  <c r="G29" i="146"/>
  <c r="G45" i="146"/>
  <c r="G61" i="146"/>
  <c r="G77" i="146"/>
  <c r="G93" i="146"/>
  <c r="G109" i="146"/>
  <c r="G117" i="146"/>
  <c r="G133" i="146"/>
  <c r="G149" i="146"/>
  <c r="G165" i="146"/>
  <c r="G181" i="146"/>
  <c r="G15" i="146"/>
  <c r="G31" i="146"/>
  <c r="G47" i="146"/>
  <c r="G63" i="146"/>
  <c r="G79" i="146"/>
  <c r="G95" i="146"/>
  <c r="G111" i="146"/>
  <c r="G127" i="146"/>
  <c r="G143" i="146"/>
  <c r="G159" i="146"/>
  <c r="G175" i="146"/>
  <c r="G17" i="146"/>
  <c r="G33" i="146"/>
  <c r="G65" i="146"/>
  <c r="G81" i="146"/>
  <c r="G97" i="146"/>
  <c r="G129" i="146"/>
  <c r="G161" i="146"/>
  <c r="G22" i="146"/>
  <c r="G38" i="146"/>
  <c r="G54" i="146"/>
  <c r="G70" i="146"/>
  <c r="G86" i="146"/>
  <c r="G102" i="146"/>
  <c r="G118" i="146"/>
  <c r="G150" i="146"/>
  <c r="G166" i="146"/>
  <c r="G182" i="146"/>
  <c r="G23" i="146"/>
  <c r="G55" i="146"/>
  <c r="G103" i="146"/>
  <c r="G151" i="146"/>
  <c r="G24" i="146"/>
  <c r="G40" i="146"/>
  <c r="G56" i="146"/>
  <c r="G72" i="146"/>
  <c r="G88" i="146"/>
  <c r="G16" i="146"/>
  <c r="G32" i="146"/>
  <c r="G48" i="146"/>
  <c r="G64" i="146"/>
  <c r="G80" i="146"/>
  <c r="G96" i="146"/>
  <c r="G112" i="146"/>
  <c r="G128" i="146"/>
  <c r="G144" i="146"/>
  <c r="G160" i="146"/>
  <c r="G176" i="146"/>
  <c r="G134" i="146"/>
  <c r="G39" i="146"/>
  <c r="G87" i="146"/>
  <c r="G135" i="146"/>
  <c r="G183" i="146"/>
  <c r="G49" i="146"/>
  <c r="G113" i="146"/>
  <c r="G145" i="146"/>
  <c r="G177" i="146"/>
  <c r="G71" i="146"/>
  <c r="G119" i="146"/>
  <c r="G167" i="146"/>
  <c r="G62" i="146"/>
  <c r="G120" i="146"/>
  <c r="G158" i="146"/>
  <c r="G94" i="146"/>
  <c r="G184" i="146"/>
  <c r="G41" i="146"/>
  <c r="G142" i="146"/>
  <c r="G9" i="146"/>
  <c r="G73" i="146"/>
  <c r="G121" i="146"/>
  <c r="G168" i="146"/>
  <c r="G14" i="146"/>
  <c r="G78" i="146"/>
  <c r="G126" i="146"/>
  <c r="G169" i="146"/>
  <c r="G30" i="146"/>
  <c r="G137" i="146"/>
  <c r="G104" i="146"/>
  <c r="G8" i="146"/>
  <c r="G46" i="146"/>
  <c r="G105" i="146"/>
  <c r="G152" i="146"/>
  <c r="G25" i="146"/>
  <c r="G89" i="146"/>
  <c r="G136" i="146"/>
  <c r="G174" i="146"/>
  <c r="G57" i="146"/>
  <c r="G110" i="146"/>
  <c r="G153" i="146"/>
  <c r="J291" i="56"/>
  <c r="J611" i="56"/>
  <c r="J619" i="56"/>
  <c r="J411" i="56"/>
  <c r="J123" i="56"/>
  <c r="J371" i="56"/>
  <c r="J259" i="56"/>
  <c r="J347" i="56"/>
  <c r="J235" i="56"/>
  <c r="J299" i="56"/>
  <c r="J571" i="56"/>
  <c r="J251" i="56"/>
  <c r="J475" i="56"/>
  <c r="J283" i="56"/>
  <c r="J339" i="56"/>
  <c r="J491" i="56"/>
  <c r="J573" i="56"/>
  <c r="J590" i="56"/>
  <c r="J447" i="56"/>
  <c r="J223" i="56"/>
  <c r="J436" i="56"/>
  <c r="J400" i="56"/>
  <c r="J517" i="56"/>
  <c r="J77" i="56"/>
  <c r="J302" i="56"/>
  <c r="J105" i="56"/>
  <c r="J564" i="56"/>
  <c r="J626" i="56"/>
  <c r="J418" i="56"/>
  <c r="J260" i="56"/>
  <c r="J176" i="56"/>
  <c r="J68" i="56"/>
  <c r="J282" i="56"/>
  <c r="J178" i="56"/>
  <c r="J126" i="56"/>
  <c r="J70" i="56"/>
  <c r="J14" i="56"/>
  <c r="J620" i="56"/>
  <c r="J419" i="56"/>
  <c r="J421" i="56"/>
  <c r="J415" i="56"/>
  <c r="J175" i="56"/>
  <c r="J348" i="56"/>
  <c r="J376" i="56"/>
  <c r="J405" i="56"/>
  <c r="J61" i="56"/>
  <c r="J281" i="56"/>
  <c r="J73" i="56"/>
  <c r="J468" i="56"/>
  <c r="J602" i="56"/>
  <c r="J410" i="56"/>
  <c r="J290" i="56"/>
  <c r="J277" i="56"/>
  <c r="J446" i="56"/>
  <c r="J335" i="56"/>
  <c r="J103" i="56"/>
  <c r="J414" i="56"/>
  <c r="J528" i="56"/>
  <c r="J352" i="56"/>
  <c r="J596" i="56"/>
  <c r="J301" i="56"/>
  <c r="J553" i="56"/>
  <c r="J193" i="56"/>
  <c r="J65" i="56"/>
  <c r="J412" i="56"/>
  <c r="J546" i="56"/>
  <c r="J236" i="56"/>
  <c r="J148" i="56"/>
  <c r="J48" i="56"/>
  <c r="J254" i="56"/>
  <c r="J170" i="56"/>
  <c r="J110" i="56"/>
  <c r="J58" i="56"/>
  <c r="J10" i="56"/>
  <c r="J82" i="56"/>
  <c r="J154" i="56"/>
  <c r="J266" i="56"/>
  <c r="J100" i="56"/>
  <c r="J216" i="56"/>
  <c r="J346" i="56"/>
  <c r="J613" i="56"/>
  <c r="J17" i="56"/>
  <c r="J401" i="56"/>
  <c r="J344" i="56"/>
  <c r="J583" i="56"/>
  <c r="J95" i="56"/>
  <c r="J527" i="56"/>
  <c r="J597" i="56"/>
  <c r="J537" i="56"/>
  <c r="J510" i="56"/>
  <c r="J370" i="56"/>
  <c r="J306" i="56"/>
  <c r="J265" i="56"/>
  <c r="J256" i="56"/>
  <c r="J206" i="56"/>
  <c r="J39" i="56"/>
  <c r="J577" i="56"/>
  <c r="J394" i="56"/>
  <c r="J341" i="56"/>
  <c r="J59" i="56"/>
  <c r="J26" i="56"/>
  <c r="J94" i="56"/>
  <c r="J174" i="56"/>
  <c r="J20" i="56"/>
  <c r="J120" i="56"/>
  <c r="J244" i="56"/>
  <c r="J434" i="56"/>
  <c r="J340" i="56"/>
  <c r="J129" i="56"/>
  <c r="J425" i="56"/>
  <c r="J141" i="56"/>
  <c r="J476" i="56"/>
  <c r="J424" i="56"/>
  <c r="J631" i="56"/>
  <c r="J295" i="56"/>
  <c r="J398" i="56"/>
  <c r="J90" i="56"/>
  <c r="J108" i="56"/>
  <c r="J386" i="56"/>
  <c r="J93" i="56"/>
  <c r="J408" i="56"/>
  <c r="J350" i="56"/>
  <c r="J30" i="56"/>
  <c r="J186" i="56"/>
  <c r="J132" i="56"/>
  <c r="J450" i="56"/>
  <c r="J364" i="56"/>
  <c r="J153" i="56"/>
  <c r="J318" i="56"/>
  <c r="J165" i="56"/>
  <c r="J480" i="56"/>
  <c r="J390" i="56"/>
  <c r="J303" i="56"/>
  <c r="J563" i="56"/>
  <c r="J18" i="56"/>
  <c r="J158" i="56"/>
  <c r="J228" i="56"/>
  <c r="J292" i="56"/>
  <c r="J113" i="56"/>
  <c r="J409" i="56"/>
  <c r="J404" i="56"/>
  <c r="J607" i="56"/>
  <c r="J621" i="56"/>
  <c r="J106" i="56"/>
  <c r="J24" i="56"/>
  <c r="J272" i="56"/>
  <c r="J42" i="56"/>
  <c r="J114" i="56"/>
  <c r="J210" i="56"/>
  <c r="J32" i="56"/>
  <c r="J152" i="56"/>
  <c r="J276" i="56"/>
  <c r="J482" i="56"/>
  <c r="J612" i="56"/>
  <c r="J169" i="56"/>
  <c r="J366" i="56"/>
  <c r="J504" i="56"/>
  <c r="J460" i="56"/>
  <c r="J311" i="56"/>
  <c r="J157" i="56"/>
  <c r="J614" i="56"/>
  <c r="J585" i="56"/>
  <c r="J576" i="56"/>
  <c r="J566" i="56"/>
  <c r="J379" i="56"/>
  <c r="J593" i="56"/>
  <c r="J428" i="56"/>
  <c r="J594" i="56"/>
  <c r="J586" i="56"/>
  <c r="J578" i="56"/>
  <c r="J570" i="56"/>
  <c r="J562" i="56"/>
  <c r="J514" i="56"/>
  <c r="J506" i="56"/>
  <c r="J474" i="56"/>
  <c r="J466" i="56"/>
  <c r="J458" i="56"/>
  <c r="J442" i="56"/>
  <c r="J402" i="56"/>
  <c r="J378" i="56"/>
  <c r="J274" i="56"/>
  <c r="J202" i="56"/>
  <c r="J625" i="56"/>
  <c r="J617" i="56"/>
  <c r="J609" i="56"/>
  <c r="J505" i="56"/>
  <c r="J497" i="56"/>
  <c r="J449" i="56"/>
  <c r="E15" i="10"/>
  <c r="F15" i="10"/>
  <c r="E23" i="10"/>
  <c r="F23" i="10"/>
  <c r="E31" i="10"/>
  <c r="F31" i="10"/>
  <c r="E39" i="10"/>
  <c r="F39" i="10"/>
  <c r="E47" i="10"/>
  <c r="F47" i="10"/>
  <c r="E55" i="10"/>
  <c r="E33" i="10"/>
  <c r="F33" i="10"/>
  <c r="E28" i="10"/>
  <c r="F28" i="10"/>
  <c r="E18" i="10"/>
  <c r="F18" i="10"/>
  <c r="E26" i="10"/>
  <c r="F26" i="10"/>
  <c r="E34" i="10"/>
  <c r="E42" i="10"/>
  <c r="F42" i="10"/>
  <c r="E50" i="10"/>
  <c r="F50" i="10"/>
  <c r="E25" i="10"/>
  <c r="F25" i="10"/>
  <c r="E41" i="10"/>
  <c r="F41" i="10"/>
  <c r="E36" i="10"/>
  <c r="F36" i="10"/>
  <c r="E44" i="10"/>
  <c r="F44" i="10"/>
  <c r="E13" i="10"/>
  <c r="F13" i="10"/>
  <c r="E21" i="10"/>
  <c r="F21" i="10"/>
  <c r="E29" i="10"/>
  <c r="F29" i="10"/>
  <c r="E37" i="10"/>
  <c r="F37" i="10"/>
  <c r="E45" i="10"/>
  <c r="F45" i="10"/>
  <c r="E53" i="10"/>
  <c r="F53" i="10"/>
  <c r="E52" i="10"/>
  <c r="F52" i="10"/>
  <c r="E16" i="10"/>
  <c r="F16" i="10"/>
  <c r="E24" i="10"/>
  <c r="F24" i="10"/>
  <c r="E32" i="10"/>
  <c r="E40" i="10"/>
  <c r="F40" i="10"/>
  <c r="E48" i="10"/>
  <c r="F48" i="10"/>
  <c r="E56" i="10"/>
  <c r="F56" i="10"/>
  <c r="E43" i="10"/>
  <c r="F43" i="10"/>
  <c r="E17" i="10"/>
  <c r="F17" i="10"/>
  <c r="E20" i="10"/>
  <c r="F20" i="10"/>
  <c r="E19" i="10"/>
  <c r="E27" i="10"/>
  <c r="F27" i="10"/>
  <c r="E35" i="10"/>
  <c r="F35" i="10"/>
  <c r="E51" i="10"/>
  <c r="F51" i="10"/>
  <c r="E49" i="10"/>
  <c r="E57" i="10"/>
  <c r="F57" i="10"/>
  <c r="E14" i="10"/>
  <c r="F14" i="10"/>
  <c r="E22" i="10"/>
  <c r="F22" i="10"/>
  <c r="E30" i="10"/>
  <c r="F30" i="10"/>
  <c r="E38" i="10"/>
  <c r="F38" i="10"/>
  <c r="E46" i="10"/>
  <c r="F46" i="10"/>
  <c r="E54" i="10"/>
  <c r="F54" i="10"/>
  <c r="J622" i="56"/>
  <c r="J601" i="56"/>
  <c r="J592" i="56"/>
  <c r="J494" i="56"/>
  <c r="J513" i="56"/>
  <c r="J550" i="56"/>
  <c r="J521" i="56"/>
  <c r="J502" i="56"/>
  <c r="J240" i="56"/>
  <c r="J230" i="56"/>
  <c r="J220" i="56"/>
  <c r="J199" i="56"/>
  <c r="J489" i="56"/>
  <c r="J465" i="56"/>
  <c r="J457" i="56"/>
  <c r="J433" i="56"/>
  <c r="J417" i="56"/>
  <c r="J369" i="56"/>
  <c r="J361" i="56"/>
  <c r="J345" i="56"/>
  <c r="J337" i="56"/>
  <c r="J313" i="56"/>
  <c r="J305" i="56"/>
  <c r="J241" i="56"/>
  <c r="J233" i="56"/>
  <c r="J225" i="56"/>
  <c r="J217" i="56"/>
  <c r="J209" i="56"/>
  <c r="J201" i="56"/>
  <c r="J89" i="56"/>
  <c r="J81" i="56"/>
  <c r="J25" i="56"/>
  <c r="J600" i="56"/>
  <c r="J536" i="56"/>
  <c r="J439" i="56"/>
  <c r="J349" i="56"/>
  <c r="J273" i="56"/>
  <c r="J264" i="56"/>
  <c r="J128" i="56"/>
  <c r="J80" i="56"/>
  <c r="J608" i="56"/>
  <c r="J544" i="56"/>
  <c r="J526" i="56"/>
  <c r="J360" i="56"/>
  <c r="J159" i="56"/>
  <c r="J127" i="56"/>
  <c r="J616" i="56"/>
  <c r="J552" i="56"/>
  <c r="J534" i="56"/>
  <c r="J448" i="56"/>
  <c r="J262" i="56"/>
  <c r="J179" i="56"/>
  <c r="J606" i="56"/>
  <c r="J542" i="56"/>
  <c r="J485" i="56"/>
  <c r="J459" i="56"/>
  <c r="J333" i="56"/>
  <c r="J270" i="56"/>
  <c r="J168" i="56"/>
  <c r="J156" i="56"/>
  <c r="J136" i="56"/>
  <c r="J629" i="56"/>
  <c r="J589" i="56"/>
  <c r="J581" i="56"/>
  <c r="J557" i="56"/>
  <c r="J525" i="56"/>
  <c r="J509" i="56"/>
  <c r="J501" i="56"/>
  <c r="J493" i="56"/>
  <c r="J422" i="56"/>
  <c r="J326" i="56"/>
  <c r="J317" i="56"/>
  <c r="J294" i="56"/>
  <c r="J628" i="56"/>
  <c r="J455" i="56"/>
  <c r="J445" i="56"/>
  <c r="J420" i="56"/>
  <c r="J389" i="56"/>
  <c r="J368" i="56"/>
  <c r="J355" i="56"/>
  <c r="J325" i="56"/>
  <c r="J316" i="56"/>
  <c r="J99" i="56"/>
  <c r="J627" i="56"/>
  <c r="J579" i="56"/>
  <c r="J555" i="56"/>
  <c r="J547" i="56"/>
  <c r="J539" i="56"/>
  <c r="J531" i="56"/>
  <c r="J478" i="56"/>
  <c r="J399" i="56"/>
  <c r="J388" i="56"/>
  <c r="J213" i="56"/>
  <c r="J172" i="56"/>
  <c r="J140" i="56"/>
  <c r="J131" i="56"/>
  <c r="J119" i="56"/>
  <c r="J87" i="56"/>
  <c r="J12" i="56"/>
  <c r="J488" i="56"/>
  <c r="J440" i="56"/>
  <c r="J430" i="56"/>
  <c r="J397" i="56"/>
  <c r="J231" i="56"/>
  <c r="J221" i="56"/>
  <c r="J212" i="56"/>
  <c r="J192" i="56"/>
  <c r="J171" i="56"/>
  <c r="J160" i="56"/>
  <c r="J117" i="56"/>
  <c r="J96" i="56"/>
  <c r="J85" i="56"/>
  <c r="J63" i="56"/>
  <c r="J44" i="56"/>
  <c r="J21" i="56"/>
  <c r="J11" i="56"/>
  <c r="J604" i="56"/>
  <c r="J548" i="56"/>
  <c r="J540" i="56"/>
  <c r="J532" i="56"/>
  <c r="J470" i="56"/>
  <c r="J435" i="56"/>
  <c r="J416" i="56"/>
  <c r="J396" i="56"/>
  <c r="J375" i="56"/>
  <c r="J365" i="56"/>
  <c r="J336" i="56"/>
  <c r="J143" i="56"/>
  <c r="J72" i="56"/>
  <c r="J52" i="56"/>
  <c r="J31" i="56"/>
  <c r="J469" i="56"/>
  <c r="J456" i="56"/>
  <c r="J384" i="56"/>
  <c r="J373" i="56"/>
  <c r="J363" i="56"/>
  <c r="J284" i="56"/>
  <c r="J268" i="56"/>
  <c r="J195" i="56"/>
  <c r="J183" i="56"/>
  <c r="J151" i="56"/>
  <c r="J111" i="56"/>
  <c r="J71" i="56"/>
  <c r="J40" i="56"/>
  <c r="J8" i="56"/>
  <c r="J56" i="125"/>
  <c r="I56" i="125"/>
  <c r="O13" i="140"/>
  <c r="G13" i="140"/>
  <c r="K13" i="140"/>
  <c r="P151" i="71"/>
  <c r="J151" i="71"/>
  <c r="B13" i="174"/>
  <c r="J404" i="75"/>
  <c r="B43" i="175"/>
  <c r="B30" i="175"/>
  <c r="J51" i="125"/>
  <c r="I51" i="125"/>
  <c r="I34" i="125"/>
  <c r="I13" i="125"/>
  <c r="J623" i="56"/>
  <c r="J599" i="56"/>
  <c r="J519" i="56"/>
  <c r="J511" i="56"/>
  <c r="J453" i="56"/>
  <c r="J443" i="56"/>
  <c r="J381" i="56"/>
  <c r="J372" i="56"/>
  <c r="J261" i="56"/>
  <c r="J245" i="56"/>
  <c r="J215" i="56"/>
  <c r="J164" i="56"/>
  <c r="J124" i="56"/>
  <c r="J104" i="56"/>
  <c r="J84" i="56"/>
  <c r="J75" i="56"/>
  <c r="J64" i="56"/>
  <c r="J55" i="56"/>
  <c r="J15" i="56"/>
  <c r="I407" i="75"/>
  <c r="J591" i="56"/>
  <c r="J575" i="56"/>
  <c r="J567" i="56"/>
  <c r="J559" i="56"/>
  <c r="J543" i="56"/>
  <c r="J487" i="56"/>
  <c r="J437" i="56"/>
  <c r="J427" i="56"/>
  <c r="J391" i="56"/>
  <c r="J324" i="56"/>
  <c r="J315" i="56"/>
  <c r="J287" i="56"/>
  <c r="J279" i="56"/>
  <c r="J271" i="56"/>
  <c r="J238" i="56"/>
  <c r="J190" i="56"/>
  <c r="J144" i="56"/>
  <c r="J135" i="56"/>
  <c r="J125" i="56"/>
  <c r="J116" i="56"/>
  <c r="J88" i="56"/>
  <c r="J79" i="56"/>
  <c r="J60" i="56"/>
  <c r="J51" i="56"/>
  <c r="J23" i="56"/>
  <c r="J383" i="56"/>
  <c r="J191" i="56"/>
  <c r="F30" i="170"/>
  <c r="F14" i="170"/>
  <c r="F8" i="170"/>
  <c r="I37" i="125"/>
  <c r="J310" i="56"/>
  <c r="J182" i="56"/>
  <c r="J102" i="56"/>
  <c r="F13" i="170"/>
  <c r="F18" i="170"/>
  <c r="B27" i="174"/>
  <c r="B36" i="174"/>
  <c r="B12" i="175"/>
  <c r="B8" i="175"/>
  <c r="B9" i="175"/>
  <c r="B22" i="175"/>
  <c r="B44" i="175"/>
  <c r="D8" i="31"/>
  <c r="C4" i="32"/>
  <c r="F4" i="32"/>
  <c r="J8" i="28"/>
  <c r="J19" i="28"/>
  <c r="F28" i="170"/>
  <c r="F15" i="170"/>
  <c r="E20" i="170"/>
  <c r="G17" i="170"/>
  <c r="B10" i="175"/>
  <c r="F23" i="170"/>
  <c r="F25" i="170"/>
  <c r="F11" i="170"/>
  <c r="J109" i="71"/>
  <c r="J524" i="56"/>
  <c r="J516" i="56"/>
  <c r="J508" i="56"/>
  <c r="J462" i="56"/>
  <c r="J451" i="56"/>
  <c r="J367" i="56"/>
  <c r="J267" i="56"/>
  <c r="J243" i="56"/>
  <c r="J214" i="56"/>
  <c r="J167" i="56"/>
  <c r="J112" i="56"/>
  <c r="J92" i="56"/>
  <c r="J47" i="56"/>
  <c r="F20" i="170"/>
  <c r="B42" i="175"/>
  <c r="G31" i="64"/>
  <c r="H31" i="64"/>
  <c r="G23" i="64"/>
  <c r="H23" i="64"/>
  <c r="G15" i="64"/>
  <c r="H15" i="64"/>
  <c r="J34" i="125"/>
  <c r="J26" i="125"/>
  <c r="I80" i="149"/>
  <c r="I132" i="149"/>
  <c r="K110" i="146"/>
  <c r="J10" i="149"/>
  <c r="L10" i="146"/>
  <c r="I78" i="149"/>
  <c r="F25" i="175"/>
  <c r="F22" i="175"/>
  <c r="J82" i="149"/>
  <c r="L70" i="146"/>
  <c r="F29" i="175"/>
  <c r="F15" i="175"/>
  <c r="J78" i="149"/>
  <c r="F23" i="175"/>
  <c r="J92" i="149"/>
  <c r="F27" i="175"/>
  <c r="J84" i="149"/>
  <c r="L72" i="146"/>
  <c r="F42" i="175"/>
  <c r="I85" i="149"/>
  <c r="J85" i="149"/>
  <c r="F37" i="175"/>
  <c r="F19" i="175"/>
  <c r="F14" i="175"/>
  <c r="F31" i="175"/>
  <c r="I84" i="149"/>
  <c r="K72" i="146"/>
  <c r="F35" i="175"/>
  <c r="B40" i="175"/>
  <c r="G21" i="170"/>
  <c r="G8" i="170"/>
  <c r="G14" i="170"/>
  <c r="E15" i="170"/>
  <c r="B18" i="175"/>
  <c r="E10" i="10"/>
  <c r="F8" i="10"/>
  <c r="B3" i="27"/>
  <c r="C10" i="10"/>
  <c r="E9" i="10"/>
  <c r="C11" i="10"/>
  <c r="C12" i="10"/>
  <c r="E11" i="10"/>
  <c r="F11" i="10"/>
  <c r="E12" i="10"/>
  <c r="C9" i="10"/>
  <c r="G9" i="64"/>
  <c r="H9" i="64"/>
  <c r="K9" i="64"/>
  <c r="M162" i="71"/>
  <c r="J162" i="71"/>
  <c r="F519" i="144"/>
  <c r="H25" i="170"/>
  <c r="J25" i="170"/>
  <c r="K21" i="106"/>
  <c r="S21" i="106"/>
  <c r="AA21" i="106"/>
  <c r="E21" i="106"/>
  <c r="N21" i="106"/>
  <c r="W21" i="106"/>
  <c r="L21" i="106"/>
  <c r="V21" i="106"/>
  <c r="M21" i="106"/>
  <c r="X21" i="106"/>
  <c r="Q21" i="106"/>
  <c r="AC21" i="106"/>
  <c r="R21" i="106"/>
  <c r="T21" i="106"/>
  <c r="C27" i="157"/>
  <c r="U21" i="106"/>
  <c r="AB21" i="106"/>
  <c r="J21" i="106"/>
  <c r="Z21" i="106"/>
  <c r="AQ138" i="71"/>
  <c r="O484" i="187"/>
  <c r="Z72" i="71"/>
  <c r="O481" i="187"/>
  <c r="Z69" i="71"/>
  <c r="Z59" i="71"/>
  <c r="V12" i="71"/>
  <c r="I18" i="102"/>
  <c r="K18" i="102"/>
  <c r="Y21" i="106"/>
  <c r="G21" i="106"/>
  <c r="V89" i="71"/>
  <c r="AR89" i="71"/>
  <c r="AS89" i="71"/>
  <c r="P154" i="71"/>
  <c r="M154" i="71"/>
  <c r="B21" i="174"/>
  <c r="B39" i="174"/>
  <c r="C10" i="169"/>
  <c r="B47" i="175"/>
  <c r="AR55" i="71"/>
  <c r="AR54" i="71"/>
  <c r="F1535" i="144"/>
  <c r="AS88" i="71"/>
  <c r="H103" i="101"/>
  <c r="B7" i="158"/>
  <c r="J331" i="75"/>
  <c r="I331" i="75"/>
  <c r="AS168" i="71"/>
  <c r="AR168" i="71"/>
  <c r="AQ168" i="71"/>
  <c r="O329" i="75"/>
  <c r="F329" i="75"/>
  <c r="I329" i="75"/>
  <c r="O377" i="75"/>
  <c r="F377" i="75"/>
  <c r="I377" i="75"/>
  <c r="J13" i="106"/>
  <c r="R13" i="106"/>
  <c r="M13" i="106"/>
  <c r="V13" i="106"/>
  <c r="AC13" i="106"/>
  <c r="L13" i="106"/>
  <c r="W13" i="106"/>
  <c r="N13" i="106"/>
  <c r="X13" i="106"/>
  <c r="Y13" i="106"/>
  <c r="G13" i="106"/>
  <c r="K13" i="106"/>
  <c r="Z13" i="106"/>
  <c r="AQ77" i="71"/>
  <c r="O13" i="106"/>
  <c r="AA13" i="106"/>
  <c r="E13" i="106"/>
  <c r="P13" i="106"/>
  <c r="C19" i="157"/>
  <c r="T13" i="106"/>
  <c r="U13" i="106"/>
  <c r="AB13" i="106"/>
  <c r="Q13" i="106"/>
  <c r="F1538" i="144"/>
  <c r="AQ83" i="71"/>
  <c r="F32" i="28"/>
  <c r="E274" i="194"/>
  <c r="D274" i="194"/>
  <c r="AR11" i="71"/>
  <c r="AS11" i="71"/>
  <c r="V132" i="71"/>
  <c r="AS132" i="71"/>
  <c r="AQ132" i="71"/>
  <c r="G18" i="140"/>
  <c r="O18" i="140"/>
  <c r="K18" i="140"/>
  <c r="M138" i="71"/>
  <c r="J138" i="71"/>
  <c r="P138" i="71"/>
  <c r="F44" i="175"/>
  <c r="F16" i="175"/>
  <c r="F17" i="175"/>
  <c r="AS77" i="71"/>
  <c r="AS143" i="71"/>
  <c r="AS135" i="71"/>
  <c r="AQ118" i="71"/>
  <c r="D32" i="28"/>
  <c r="H11" i="106"/>
  <c r="V75" i="71"/>
  <c r="AS75" i="71"/>
  <c r="J75" i="71"/>
  <c r="M75" i="71"/>
  <c r="AS26" i="71"/>
  <c r="AS21" i="71"/>
  <c r="AQ158" i="71"/>
  <c r="AQ172" i="71"/>
  <c r="F40" i="175"/>
  <c r="Q22" i="75"/>
  <c r="G14" i="69"/>
  <c r="V83" i="71"/>
  <c r="AS83" i="71"/>
  <c r="AR143" i="71"/>
  <c r="AR83" i="71"/>
  <c r="AS44" i="71"/>
  <c r="AQ170" i="71"/>
  <c r="AQ164" i="71"/>
  <c r="AQ122" i="71"/>
  <c r="AR142" i="71"/>
  <c r="B42" i="174"/>
  <c r="P90" i="1"/>
  <c r="E90" i="1"/>
  <c r="F214" i="75"/>
  <c r="O90" i="1"/>
  <c r="Q90" i="1"/>
  <c r="P100" i="1"/>
  <c r="O100" i="1"/>
  <c r="G163" i="1"/>
  <c r="G165" i="1"/>
  <c r="G77" i="1"/>
  <c r="G160" i="1"/>
  <c r="G116" i="1"/>
  <c r="G70" i="1"/>
  <c r="G14" i="1"/>
  <c r="G167" i="1"/>
  <c r="G155" i="1"/>
  <c r="G161" i="1"/>
  <c r="G49" i="1"/>
  <c r="G156" i="1"/>
  <c r="G114" i="1"/>
  <c r="G58" i="1"/>
  <c r="G10" i="1"/>
  <c r="G39" i="1"/>
  <c r="G123" i="1"/>
  <c r="G157" i="1"/>
  <c r="G45" i="1"/>
  <c r="G154" i="1"/>
  <c r="G100" i="1"/>
  <c r="G50" i="1"/>
  <c r="G183" i="1"/>
  <c r="G181" i="1"/>
  <c r="G13" i="1"/>
  <c r="G118" i="1"/>
  <c r="G36" i="1"/>
  <c r="G87" i="1"/>
  <c r="G173" i="1"/>
  <c r="G182" i="1"/>
  <c r="G94" i="1"/>
  <c r="G34" i="1"/>
  <c r="G159" i="1"/>
  <c r="G97" i="1"/>
  <c r="G126" i="1"/>
  <c r="G16" i="1"/>
  <c r="G95" i="1"/>
  <c r="G89" i="1"/>
  <c r="G82" i="1"/>
  <c r="G179" i="1"/>
  <c r="G37" i="1"/>
  <c r="G76" i="1"/>
  <c r="G91" i="1"/>
  <c r="G146" i="1"/>
  <c r="G83" i="1"/>
  <c r="G144" i="1"/>
  <c r="G51" i="1"/>
  <c r="G74" i="1"/>
  <c r="G121" i="1"/>
  <c r="G42" i="1"/>
  <c r="G124" i="1"/>
  <c r="G117" i="1"/>
  <c r="G93" i="1"/>
  <c r="G180" i="1"/>
  <c r="G166" i="1"/>
  <c r="G92" i="1"/>
  <c r="G38" i="1"/>
  <c r="AR75" i="71"/>
  <c r="B9" i="174"/>
  <c r="F27" i="170"/>
  <c r="C11" i="169"/>
  <c r="E28" i="170"/>
  <c r="G28" i="170"/>
  <c r="G23" i="170"/>
  <c r="E23" i="170"/>
  <c r="G47" i="124"/>
  <c r="G35" i="124"/>
  <c r="G42" i="124"/>
  <c r="G9" i="124"/>
  <c r="G27" i="124"/>
  <c r="G41" i="124"/>
  <c r="G56" i="124"/>
  <c r="G26" i="124"/>
  <c r="G46" i="124"/>
  <c r="G8" i="124"/>
  <c r="G19" i="124"/>
  <c r="G28" i="124"/>
  <c r="G31" i="124"/>
  <c r="G49" i="124"/>
  <c r="G51" i="124"/>
  <c r="G53" i="124"/>
  <c r="G11" i="124"/>
  <c r="G16" i="124"/>
  <c r="G30" i="124"/>
  <c r="G38" i="124"/>
  <c r="G48" i="124"/>
  <c r="G54" i="124"/>
  <c r="O76" i="187"/>
  <c r="Q80" i="75"/>
  <c r="Q79" i="75"/>
  <c r="O77" i="187"/>
  <c r="Q81" i="75"/>
  <c r="AS164" i="71"/>
  <c r="P164" i="71"/>
  <c r="M164" i="71"/>
  <c r="S934" i="144"/>
  <c r="F934" i="144"/>
  <c r="S867" i="144"/>
  <c r="F867" i="144"/>
  <c r="S957" i="144"/>
  <c r="F957" i="144"/>
  <c r="S1147" i="144"/>
  <c r="F1147" i="144"/>
  <c r="S1485" i="144"/>
  <c r="F1485" i="144"/>
  <c r="S1750" i="144"/>
  <c r="F1750" i="144"/>
  <c r="S928" i="144"/>
  <c r="F928" i="144"/>
  <c r="S1196" i="144"/>
  <c r="F1196" i="144"/>
  <c r="S1502" i="144"/>
  <c r="F1502" i="144"/>
  <c r="S1781" i="144"/>
  <c r="F1781" i="144"/>
  <c r="S1558" i="144"/>
  <c r="F1558" i="144"/>
  <c r="S1277" i="144"/>
  <c r="F1277" i="144"/>
  <c r="S1166" i="144"/>
  <c r="F1166" i="144"/>
  <c r="S997" i="144"/>
  <c r="F997" i="144"/>
  <c r="S936" i="144"/>
  <c r="F936" i="144"/>
  <c r="S887" i="144"/>
  <c r="F887" i="144"/>
  <c r="S830" i="144"/>
  <c r="F830" i="144"/>
  <c r="S22" i="144"/>
  <c r="F22" i="144"/>
  <c r="S77" i="144"/>
  <c r="F77" i="144"/>
  <c r="S100" i="144"/>
  <c r="F100" i="144"/>
  <c r="S174" i="144"/>
  <c r="F174" i="144"/>
  <c r="S206" i="144"/>
  <c r="F206" i="144"/>
  <c r="S263" i="144"/>
  <c r="F263" i="144"/>
  <c r="S24" i="144"/>
  <c r="F24" i="144"/>
  <c r="S107" i="144"/>
  <c r="F107" i="144"/>
  <c r="S158" i="144"/>
  <c r="F158" i="144"/>
  <c r="S216" i="144"/>
  <c r="F216" i="144"/>
  <c r="S240" i="144"/>
  <c r="F240" i="144"/>
  <c r="S259" i="144"/>
  <c r="F259" i="144"/>
  <c r="S284" i="144"/>
  <c r="F284" i="144"/>
  <c r="S1702" i="144"/>
  <c r="F1702" i="144"/>
  <c r="S1614" i="144"/>
  <c r="F1614" i="144"/>
  <c r="S1560" i="144"/>
  <c r="F1560" i="144"/>
  <c r="S1500" i="144"/>
  <c r="F1500" i="144"/>
  <c r="S1452" i="144"/>
  <c r="F1452" i="144"/>
  <c r="S1316" i="144"/>
  <c r="F1316" i="144"/>
  <c r="S1254" i="144"/>
  <c r="F1254" i="144"/>
  <c r="S1220" i="144"/>
  <c r="F1220" i="144"/>
  <c r="S1157" i="144"/>
  <c r="F1157" i="144"/>
  <c r="S1084" i="144"/>
  <c r="F1084" i="144"/>
  <c r="S1014" i="144"/>
  <c r="F1014" i="144"/>
  <c r="S981" i="144"/>
  <c r="F981" i="144"/>
  <c r="S931" i="144"/>
  <c r="F931" i="144"/>
  <c r="S907" i="144"/>
  <c r="F907" i="144"/>
  <c r="S883" i="144"/>
  <c r="F883" i="144"/>
  <c r="S860" i="144"/>
  <c r="F860" i="144"/>
  <c r="S814" i="144"/>
  <c r="F814" i="144"/>
  <c r="S787" i="144"/>
  <c r="F787" i="144"/>
  <c r="S764" i="144"/>
  <c r="F764" i="144"/>
  <c r="S739" i="144"/>
  <c r="F739" i="144"/>
  <c r="S715" i="144"/>
  <c r="F715" i="144"/>
  <c r="S664" i="144"/>
  <c r="F664" i="144"/>
  <c r="S643" i="144"/>
  <c r="F643" i="144"/>
  <c r="S579" i="144"/>
  <c r="F579" i="144"/>
  <c r="S876" i="144"/>
  <c r="F876" i="144"/>
  <c r="S1003" i="144"/>
  <c r="F1003" i="144"/>
  <c r="S1172" i="144"/>
  <c r="F1172" i="144"/>
  <c r="S1310" i="144"/>
  <c r="F1310" i="144"/>
  <c r="S1806" i="144"/>
  <c r="F1806" i="144"/>
  <c r="S966" i="144"/>
  <c r="F966" i="144"/>
  <c r="S1214" i="144"/>
  <c r="F1214" i="144"/>
  <c r="S1534" i="144"/>
  <c r="S1734" i="144"/>
  <c r="F1734" i="144"/>
  <c r="S1548" i="144"/>
  <c r="F1548" i="144"/>
  <c r="S1387" i="144"/>
  <c r="F1387" i="144"/>
  <c r="S1261" i="144"/>
  <c r="F1261" i="144"/>
  <c r="S1150" i="144"/>
  <c r="F1150" i="144"/>
  <c r="S984" i="144"/>
  <c r="F984" i="144"/>
  <c r="S926" i="144"/>
  <c r="F926" i="144"/>
  <c r="S880" i="144"/>
  <c r="F880" i="144"/>
  <c r="S824" i="144"/>
  <c r="F824" i="144"/>
  <c r="S29" i="144"/>
  <c r="F29" i="144"/>
  <c r="S47" i="144"/>
  <c r="F47" i="144"/>
  <c r="S103" i="144"/>
  <c r="F103" i="144"/>
  <c r="S126" i="144"/>
  <c r="F126" i="144"/>
  <c r="S152" i="144"/>
  <c r="F152" i="144"/>
  <c r="S235" i="144"/>
  <c r="F235" i="144"/>
  <c r="S271" i="144"/>
  <c r="F271" i="144"/>
  <c r="S294" i="144"/>
  <c r="F294" i="144"/>
  <c r="S317" i="144"/>
  <c r="F317" i="144"/>
  <c r="S30" i="144"/>
  <c r="F30" i="144"/>
  <c r="S60" i="144"/>
  <c r="F60" i="144"/>
  <c r="S87" i="144"/>
  <c r="F87" i="144"/>
  <c r="S112" i="144"/>
  <c r="F112" i="144"/>
  <c r="S133" i="144"/>
  <c r="F133" i="144"/>
  <c r="S160" i="144"/>
  <c r="F160" i="144"/>
  <c r="S188" i="144"/>
  <c r="F188" i="144"/>
  <c r="S220" i="144"/>
  <c r="F220" i="144"/>
  <c r="S1830" i="144"/>
  <c r="F1830" i="144"/>
  <c r="S1766" i="144"/>
  <c r="F1766" i="144"/>
  <c r="S1694" i="144"/>
  <c r="F1694" i="144"/>
  <c r="S1606" i="144"/>
  <c r="F1606" i="144"/>
  <c r="S1556" i="144"/>
  <c r="F1556" i="144"/>
  <c r="S1496" i="144"/>
  <c r="F1496" i="144"/>
  <c r="S1404" i="144"/>
  <c r="F1404" i="144"/>
  <c r="S1371" i="144"/>
  <c r="F1371" i="144"/>
  <c r="S1312" i="144"/>
  <c r="F1312" i="144"/>
  <c r="S1286" i="144"/>
  <c r="F1286" i="144"/>
  <c r="S1252" i="144"/>
  <c r="F1252" i="144"/>
  <c r="S1155" i="144"/>
  <c r="F1155" i="144"/>
  <c r="S1116" i="144"/>
  <c r="F1116" i="144"/>
  <c r="S1078" i="144"/>
  <c r="F1078" i="144"/>
  <c r="S1046" i="144"/>
  <c r="F1046" i="144"/>
  <c r="S949" i="144"/>
  <c r="S925" i="144"/>
  <c r="F925" i="144"/>
  <c r="S902" i="144"/>
  <c r="F902" i="144"/>
  <c r="S878" i="144"/>
  <c r="F878" i="144"/>
  <c r="S832" i="144"/>
  <c r="F832" i="144"/>
  <c r="S812" i="144"/>
  <c r="F812" i="144"/>
  <c r="S780" i="144"/>
  <c r="F780" i="144"/>
  <c r="S735" i="144"/>
  <c r="F735" i="144"/>
  <c r="S707" i="144"/>
  <c r="F707" i="144"/>
  <c r="S686" i="144"/>
  <c r="F686" i="144"/>
  <c r="S638" i="144"/>
  <c r="F638" i="144"/>
  <c r="S619" i="144"/>
  <c r="F619" i="144"/>
  <c r="S1200" i="144"/>
  <c r="F1200" i="144"/>
  <c r="S1390" i="144"/>
  <c r="F1390" i="144"/>
  <c r="S1093" i="144"/>
  <c r="F1093" i="144"/>
  <c r="S806" i="144"/>
  <c r="F806" i="144"/>
  <c r="S1566" i="144"/>
  <c r="F1566" i="144"/>
  <c r="S1358" i="144"/>
  <c r="F1358" i="144"/>
  <c r="S1211" i="144"/>
  <c r="F1211" i="144"/>
  <c r="S1057" i="144"/>
  <c r="F1057" i="144"/>
  <c r="S847" i="144"/>
  <c r="F847" i="144"/>
  <c r="S67" i="144"/>
  <c r="F67" i="144"/>
  <c r="S94" i="144"/>
  <c r="F94" i="144"/>
  <c r="S165" i="144"/>
  <c r="F165" i="144"/>
  <c r="S203" i="144"/>
  <c r="F203" i="144"/>
  <c r="S243" i="144"/>
  <c r="F243" i="144"/>
  <c r="S286" i="144"/>
  <c r="F286" i="144"/>
  <c r="S315" i="144"/>
  <c r="F315" i="144"/>
  <c r="S44" i="144"/>
  <c r="F44" i="144"/>
  <c r="S102" i="144"/>
  <c r="F102" i="144"/>
  <c r="S144" i="144"/>
  <c r="F144" i="144"/>
  <c r="S172" i="144"/>
  <c r="F172" i="144"/>
  <c r="S212" i="144"/>
  <c r="F212" i="144"/>
  <c r="S248" i="144"/>
  <c r="F248" i="144"/>
  <c r="S272" i="144"/>
  <c r="F272" i="144"/>
  <c r="S1774" i="144"/>
  <c r="F1774" i="144"/>
  <c r="S1685" i="144"/>
  <c r="F1685" i="144"/>
  <c r="S1510" i="144"/>
  <c r="F1510" i="144"/>
  <c r="S1443" i="144"/>
  <c r="F1443" i="144"/>
  <c r="S1326" i="144"/>
  <c r="F1326" i="144"/>
  <c r="S1278" i="144"/>
  <c r="F1278" i="144"/>
  <c r="S1171" i="144"/>
  <c r="F1171" i="144"/>
  <c r="S1107" i="144"/>
  <c r="F1107" i="144"/>
  <c r="S1059" i="144"/>
  <c r="F1059" i="144"/>
  <c r="S1020" i="144"/>
  <c r="F1020" i="144"/>
  <c r="S973" i="144"/>
  <c r="F973" i="144"/>
  <c r="S935" i="144"/>
  <c r="F935" i="144"/>
  <c r="S846" i="144"/>
  <c r="F846" i="144"/>
  <c r="S816" i="144"/>
  <c r="F816" i="144"/>
  <c r="S775" i="144"/>
  <c r="F775" i="144"/>
  <c r="S750" i="144"/>
  <c r="F750" i="144"/>
  <c r="S718" i="144"/>
  <c r="F718" i="144"/>
  <c r="S647" i="144"/>
  <c r="F647" i="144"/>
  <c r="S621" i="144"/>
  <c r="F621" i="144"/>
  <c r="S598" i="144"/>
  <c r="F598" i="144"/>
  <c r="S567" i="144"/>
  <c r="F567" i="144"/>
  <c r="S547" i="144"/>
  <c r="F547" i="144"/>
  <c r="S531" i="144"/>
  <c r="F531" i="144"/>
  <c r="S505" i="144"/>
  <c r="F505" i="144"/>
  <c r="S487" i="144"/>
  <c r="F487" i="144"/>
  <c r="S467" i="144"/>
  <c r="F467" i="144"/>
  <c r="S439" i="144"/>
  <c r="F439" i="144"/>
  <c r="S419" i="144"/>
  <c r="F419" i="144"/>
  <c r="S398" i="144"/>
  <c r="F398" i="144"/>
  <c r="S358" i="144"/>
  <c r="F358" i="144"/>
  <c r="S331" i="144"/>
  <c r="F331" i="144"/>
  <c r="S292" i="144"/>
  <c r="F292" i="144"/>
  <c r="S788" i="144"/>
  <c r="F788" i="144"/>
  <c r="S756" i="144"/>
  <c r="F756" i="144"/>
  <c r="S731" i="144"/>
  <c r="F731" i="144"/>
  <c r="S704" i="144"/>
  <c r="F704" i="144"/>
  <c r="S681" i="144"/>
  <c r="F681" i="144"/>
  <c r="S663" i="144"/>
  <c r="F663" i="144"/>
  <c r="S644" i="144"/>
  <c r="F644" i="144"/>
  <c r="S622" i="144"/>
  <c r="F622" i="144"/>
  <c r="S605" i="144"/>
  <c r="F605" i="144"/>
  <c r="S580" i="144"/>
  <c r="F580" i="144"/>
  <c r="S560" i="144"/>
  <c r="F560" i="144"/>
  <c r="S536" i="144"/>
  <c r="F536" i="144"/>
  <c r="S516" i="144"/>
  <c r="F516" i="144"/>
  <c r="S496" i="144"/>
  <c r="F496" i="144"/>
  <c r="S472" i="144"/>
  <c r="F472" i="144"/>
  <c r="S440" i="144"/>
  <c r="F440" i="144"/>
  <c r="S422" i="144"/>
  <c r="F422" i="144"/>
  <c r="S404" i="144"/>
  <c r="F404" i="144"/>
  <c r="S382" i="144"/>
  <c r="F382" i="144"/>
  <c r="S363" i="144"/>
  <c r="F363" i="144"/>
  <c r="S343" i="144"/>
  <c r="F343" i="144"/>
  <c r="S300" i="144"/>
  <c r="F300" i="144"/>
  <c r="S1863" i="144"/>
  <c r="F1863" i="144"/>
  <c r="S1823" i="144"/>
  <c r="F1823" i="144"/>
  <c r="S1759" i="144"/>
  <c r="F1759" i="144"/>
  <c r="S1735" i="144"/>
  <c r="F1735" i="144"/>
  <c r="S1653" i="144"/>
  <c r="F1653" i="144"/>
  <c r="S1621" i="144"/>
  <c r="F1621" i="144"/>
  <c r="S1565" i="144"/>
  <c r="F1565" i="144"/>
  <c r="S1527" i="144"/>
  <c r="F1527" i="144"/>
  <c r="S1469" i="144"/>
  <c r="F1469" i="144"/>
  <c r="S1437" i="144"/>
  <c r="F1437" i="144"/>
  <c r="S1399" i="144"/>
  <c r="F1399" i="144"/>
  <c r="S1327" i="144"/>
  <c r="F1327" i="144"/>
  <c r="S1247" i="144"/>
  <c r="F1247" i="144"/>
  <c r="S1215" i="144"/>
  <c r="F1215" i="144"/>
  <c r="S1165" i="144"/>
  <c r="F1165" i="144"/>
  <c r="S1135" i="144"/>
  <c r="F1135" i="144"/>
  <c r="S1071" i="144"/>
  <c r="F1071" i="144"/>
  <c r="S1826" i="144"/>
  <c r="F1826" i="144"/>
  <c r="S1722" i="144"/>
  <c r="F1722" i="144"/>
  <c r="S1682" i="144"/>
  <c r="F1682" i="144"/>
  <c r="S1650" i="144"/>
  <c r="F1650" i="144"/>
  <c r="S1602" i="144"/>
  <c r="F1602" i="144"/>
  <c r="S1554" i="144"/>
  <c r="F1554" i="144"/>
  <c r="S1514" i="144"/>
  <c r="F1514" i="144"/>
  <c r="S1482" i="144"/>
  <c r="F1482" i="144"/>
  <c r="S1442" i="144"/>
  <c r="F1442" i="144"/>
  <c r="S1418" i="144"/>
  <c r="F1418" i="144"/>
  <c r="S1394" i="144"/>
  <c r="F1394" i="144"/>
  <c r="S1346" i="144"/>
  <c r="F1346" i="144"/>
  <c r="S1320" i="144"/>
  <c r="F1320" i="144"/>
  <c r="S1288" i="144"/>
  <c r="F1288" i="144"/>
  <c r="S1248" i="144"/>
  <c r="F1248" i="144"/>
  <c r="S1192" i="144"/>
  <c r="F1192" i="144"/>
  <c r="S1162" i="144"/>
  <c r="F1162" i="144"/>
  <c r="S1130" i="144"/>
  <c r="F1130" i="144"/>
  <c r="S1001" i="144"/>
  <c r="F1001" i="144"/>
  <c r="S941" i="144"/>
  <c r="F941" i="144"/>
  <c r="S903" i="144"/>
  <c r="F903" i="144"/>
  <c r="S863" i="144"/>
  <c r="F863" i="144"/>
  <c r="S841" i="144"/>
  <c r="F841" i="144"/>
  <c r="S809" i="144"/>
  <c r="F809" i="144"/>
  <c r="S781" i="144"/>
  <c r="F781" i="144"/>
  <c r="S753" i="144"/>
  <c r="F753" i="144"/>
  <c r="S737" i="144"/>
  <c r="F737" i="144"/>
  <c r="S709" i="144"/>
  <c r="F709" i="144"/>
  <c r="S685" i="144"/>
  <c r="F685" i="144"/>
  <c r="S657" i="144"/>
  <c r="F657" i="144"/>
  <c r="S617" i="144"/>
  <c r="F617" i="144"/>
  <c r="S565" i="144"/>
  <c r="F565" i="144"/>
  <c r="S511" i="144"/>
  <c r="F511" i="144"/>
  <c r="S461" i="144"/>
  <c r="F461" i="144"/>
  <c r="S327" i="144"/>
  <c r="F327" i="144"/>
  <c r="S257" i="144"/>
  <c r="F257" i="144"/>
  <c r="S225" i="144"/>
  <c r="F225" i="144"/>
  <c r="S197" i="144"/>
  <c r="F197" i="144"/>
  <c r="S145" i="144"/>
  <c r="F145" i="144"/>
  <c r="S55" i="144"/>
  <c r="F55" i="144"/>
  <c r="S25" i="144"/>
  <c r="F25" i="144"/>
  <c r="S1088" i="144"/>
  <c r="F1088" i="144"/>
  <c r="S1050" i="144"/>
  <c r="F1050" i="144"/>
  <c r="S1010" i="144"/>
  <c r="F1010" i="144"/>
  <c r="S978" i="144"/>
  <c r="F978" i="144"/>
  <c r="S938" i="144"/>
  <c r="F938" i="144"/>
  <c r="S890" i="144"/>
  <c r="F890" i="144"/>
  <c r="S848" i="144"/>
  <c r="F848" i="144"/>
  <c r="S762" i="144"/>
  <c r="F762" i="144"/>
  <c r="S712" i="144"/>
  <c r="F712" i="144"/>
  <c r="S666" i="144"/>
  <c r="F666" i="144"/>
  <c r="S626" i="144"/>
  <c r="F626" i="144"/>
  <c r="S522" i="144"/>
  <c r="F522" i="144"/>
  <c r="S466" i="144"/>
  <c r="F466" i="144"/>
  <c r="S418" i="144"/>
  <c r="F418" i="144"/>
  <c r="S370" i="144"/>
  <c r="F370" i="144"/>
  <c r="S274" i="144"/>
  <c r="F274" i="144"/>
  <c r="S170" i="144"/>
  <c r="F170" i="144"/>
  <c r="S26" i="144"/>
  <c r="F26" i="144"/>
  <c r="S1591" i="144"/>
  <c r="F1591" i="144"/>
  <c r="S1575" i="144"/>
  <c r="F1575" i="144"/>
  <c r="S1480" i="144"/>
  <c r="F1480" i="144"/>
  <c r="S1117" i="144"/>
  <c r="F1117" i="144"/>
  <c r="S1334" i="144"/>
  <c r="F1334" i="144"/>
  <c r="S1622" i="144"/>
  <c r="F1622" i="144"/>
  <c r="S1100" i="144"/>
  <c r="F1100" i="144"/>
  <c r="S1444" i="144"/>
  <c r="F1444" i="144"/>
  <c r="S1590" i="144"/>
  <c r="F1590" i="144"/>
  <c r="S1374" i="144"/>
  <c r="F1374" i="144"/>
  <c r="S1198" i="144"/>
  <c r="F1198" i="144"/>
  <c r="S1021" i="144"/>
  <c r="F1021" i="144"/>
  <c r="S948" i="144"/>
  <c r="F948" i="144"/>
  <c r="S869" i="144"/>
  <c r="F869" i="144"/>
  <c r="S19" i="144"/>
  <c r="F19" i="144"/>
  <c r="S59" i="144"/>
  <c r="S134" i="144"/>
  <c r="F134" i="144"/>
  <c r="S167" i="144"/>
  <c r="F167" i="144"/>
  <c r="S260" i="144"/>
  <c r="F260" i="144"/>
  <c r="S304" i="144"/>
  <c r="F304" i="144"/>
  <c r="S20" i="144"/>
  <c r="F20" i="144"/>
  <c r="S71" i="144"/>
  <c r="F71" i="144"/>
  <c r="S118" i="144"/>
  <c r="F118" i="144"/>
  <c r="S148" i="144"/>
  <c r="F148" i="144"/>
  <c r="S196" i="144"/>
  <c r="F196" i="144"/>
  <c r="S236" i="144"/>
  <c r="F236" i="144"/>
  <c r="S267" i="144"/>
  <c r="F267" i="144"/>
  <c r="S1782" i="144"/>
  <c r="F1782" i="144"/>
  <c r="S1564" i="144"/>
  <c r="F1564" i="144"/>
  <c r="S1486" i="144"/>
  <c r="F1486" i="144"/>
  <c r="S1422" i="144"/>
  <c r="F1422" i="144"/>
  <c r="S1342" i="144"/>
  <c r="F1342" i="144"/>
  <c r="S1246" i="144"/>
  <c r="F1246" i="144"/>
  <c r="S1173" i="144"/>
  <c r="F1173" i="144"/>
  <c r="S1099" i="144"/>
  <c r="F1099" i="144"/>
  <c r="S1048" i="144"/>
  <c r="F1048" i="144"/>
  <c r="S998" i="144"/>
  <c r="F998" i="144"/>
  <c r="S958" i="144"/>
  <c r="F958" i="144"/>
  <c r="S918" i="144"/>
  <c r="F918" i="144"/>
  <c r="S886" i="144"/>
  <c r="F886" i="144"/>
  <c r="S851" i="144"/>
  <c r="F851" i="144"/>
  <c r="S808" i="144"/>
  <c r="F808" i="144"/>
  <c r="S732" i="144"/>
  <c r="F732" i="144"/>
  <c r="S696" i="144"/>
  <c r="F696" i="144"/>
  <c r="S662" i="144"/>
  <c r="F662" i="144"/>
  <c r="S630" i="144"/>
  <c r="F630" i="144"/>
  <c r="S600" i="144"/>
  <c r="F600" i="144"/>
  <c r="S564" i="144"/>
  <c r="F564" i="144"/>
  <c r="S523" i="144"/>
  <c r="F523" i="144"/>
  <c r="S499" i="144"/>
  <c r="F499" i="144"/>
  <c r="S475" i="144"/>
  <c r="F475" i="144"/>
  <c r="S446" i="144"/>
  <c r="F446" i="144"/>
  <c r="S395" i="144"/>
  <c r="F395" i="144"/>
  <c r="S344" i="144"/>
  <c r="F344" i="144"/>
  <c r="S763" i="144"/>
  <c r="F763" i="144"/>
  <c r="S736" i="144"/>
  <c r="F736" i="144"/>
  <c r="S679" i="144"/>
  <c r="F679" i="144"/>
  <c r="S653" i="144"/>
  <c r="F653" i="144"/>
  <c r="S611" i="144"/>
  <c r="F611" i="144"/>
  <c r="S583" i="144"/>
  <c r="F583" i="144"/>
  <c r="S563" i="144"/>
  <c r="F563" i="144"/>
  <c r="S510" i="144"/>
  <c r="F510" i="144"/>
  <c r="S486" i="144"/>
  <c r="F486" i="144"/>
  <c r="S452" i="144"/>
  <c r="F452" i="144"/>
  <c r="S411" i="144"/>
  <c r="F411" i="144"/>
  <c r="S340" i="144"/>
  <c r="F340" i="144"/>
  <c r="S288" i="144"/>
  <c r="F288" i="144"/>
  <c r="S1847" i="144"/>
  <c r="F1847" i="144"/>
  <c r="S1765" i="144"/>
  <c r="F1765" i="144"/>
  <c r="S1741" i="144"/>
  <c r="F1741" i="144"/>
  <c r="S1687" i="144"/>
  <c r="F1687" i="144"/>
  <c r="S1647" i="144"/>
  <c r="F1647" i="144"/>
  <c r="S1607" i="144"/>
  <c r="F1607" i="144"/>
  <c r="S1551" i="144"/>
  <c r="F1551" i="144"/>
  <c r="S1509" i="144"/>
  <c r="F1509" i="144"/>
  <c r="S1349" i="144"/>
  <c r="F1349" i="144"/>
  <c r="S1319" i="144"/>
  <c r="F1319" i="144"/>
  <c r="S1271" i="144"/>
  <c r="F1271" i="144"/>
  <c r="S1229" i="144"/>
  <c r="F1229" i="144"/>
  <c r="S1175" i="144"/>
  <c r="F1175" i="144"/>
  <c r="S1141" i="144"/>
  <c r="F1141" i="144"/>
  <c r="S1089" i="144"/>
  <c r="F1089" i="144"/>
  <c r="S1696" i="144"/>
  <c r="F1696" i="144"/>
  <c r="S1552" i="144"/>
  <c r="F1552" i="144"/>
  <c r="S1504" i="144"/>
  <c r="F1504" i="144"/>
  <c r="S1466" i="144"/>
  <c r="F1466" i="144"/>
  <c r="S1426" i="144"/>
  <c r="F1426" i="144"/>
  <c r="S1400" i="144"/>
  <c r="F1400" i="144"/>
  <c r="S1274" i="144"/>
  <c r="F1274" i="144"/>
  <c r="S1234" i="144"/>
  <c r="F1234" i="144"/>
  <c r="S1202" i="144"/>
  <c r="F1202" i="144"/>
  <c r="S1176" i="144"/>
  <c r="F1176" i="144"/>
  <c r="S1144" i="144"/>
  <c r="F1144" i="144"/>
  <c r="S1053" i="144"/>
  <c r="F1053" i="144"/>
  <c r="S1025" i="144"/>
  <c r="F1025" i="144"/>
  <c r="S959" i="144"/>
  <c r="F959" i="144"/>
  <c r="S921" i="144"/>
  <c r="F921" i="144"/>
  <c r="S845" i="144"/>
  <c r="F845" i="144"/>
  <c r="S828" i="144"/>
  <c r="F828" i="144"/>
  <c r="S1054" i="144"/>
  <c r="F1054" i="144"/>
  <c r="S1304" i="144"/>
  <c r="F1304" i="144"/>
  <c r="S1596" i="144"/>
  <c r="F1596" i="144"/>
  <c r="S1710" i="144"/>
  <c r="F1710" i="144"/>
  <c r="S1798" i="144"/>
  <c r="F1798" i="144"/>
  <c r="S1463" i="144"/>
  <c r="F1463" i="144"/>
  <c r="S1028" i="144"/>
  <c r="F1028" i="144"/>
  <c r="S943" i="144"/>
  <c r="F943" i="144"/>
  <c r="S862" i="144"/>
  <c r="F862" i="144"/>
  <c r="S36" i="144"/>
  <c r="F36" i="144"/>
  <c r="S80" i="144"/>
  <c r="F80" i="144"/>
  <c r="S117" i="144"/>
  <c r="F117" i="144"/>
  <c r="S219" i="144"/>
  <c r="F219" i="144"/>
  <c r="S275" i="144"/>
  <c r="F275" i="144"/>
  <c r="S310" i="144"/>
  <c r="F310" i="144"/>
  <c r="S46" i="144"/>
  <c r="S91" i="144"/>
  <c r="F91" i="144"/>
  <c r="S131" i="144"/>
  <c r="F131" i="144"/>
  <c r="S176" i="144"/>
  <c r="F176" i="144"/>
  <c r="S229" i="144"/>
  <c r="F229" i="144"/>
  <c r="S270" i="144"/>
  <c r="F270" i="144"/>
  <c r="S1639" i="144"/>
  <c r="F1639" i="144"/>
  <c r="S1536" i="144"/>
  <c r="F1536" i="144"/>
  <c r="S1446" i="144"/>
  <c r="F1446" i="144"/>
  <c r="S1375" i="144"/>
  <c r="F1375" i="144"/>
  <c r="S1300" i="144"/>
  <c r="F1300" i="144"/>
  <c r="S1240" i="144"/>
  <c r="F1240" i="144"/>
  <c r="S1134" i="144"/>
  <c r="F1134" i="144"/>
  <c r="S1092" i="144"/>
  <c r="F1092" i="144"/>
  <c r="S1029" i="144"/>
  <c r="F1029" i="144"/>
  <c r="S923" i="144"/>
  <c r="F923" i="144"/>
  <c r="S888" i="144"/>
  <c r="F888" i="144"/>
  <c r="S800" i="144"/>
  <c r="F800" i="144"/>
  <c r="S757" i="144"/>
  <c r="F757" i="144"/>
  <c r="S723" i="144"/>
  <c r="F723" i="144"/>
  <c r="S676" i="144"/>
  <c r="F676" i="144"/>
  <c r="S632" i="144"/>
  <c r="F632" i="144"/>
  <c r="S604" i="144"/>
  <c r="F604" i="144"/>
  <c r="S539" i="144"/>
  <c r="F539" i="144"/>
  <c r="S515" i="144"/>
  <c r="F515" i="144"/>
  <c r="S427" i="144"/>
  <c r="F427" i="144"/>
  <c r="S369" i="144"/>
  <c r="F369" i="144"/>
  <c r="S779" i="144"/>
  <c r="F779" i="144"/>
  <c r="S744" i="144"/>
  <c r="F744" i="144"/>
  <c r="S713" i="144"/>
  <c r="F713" i="144"/>
  <c r="S599" i="144"/>
  <c r="F599" i="144"/>
  <c r="S572" i="144"/>
  <c r="F572" i="144"/>
  <c r="S545" i="144"/>
  <c r="F545" i="144"/>
  <c r="S518" i="144"/>
  <c r="F518" i="144"/>
  <c r="S492" i="144"/>
  <c r="F492" i="144"/>
  <c r="S448" i="144"/>
  <c r="F448" i="144"/>
  <c r="S400" i="144"/>
  <c r="F400" i="144"/>
  <c r="S371" i="144"/>
  <c r="F371" i="144"/>
  <c r="S1855" i="144"/>
  <c r="F1855" i="144"/>
  <c r="S1719" i="144"/>
  <c r="F1719" i="144"/>
  <c r="S1623" i="144"/>
  <c r="F1623" i="144"/>
  <c r="S1511" i="144"/>
  <c r="F1511" i="144"/>
  <c r="S1471" i="144"/>
  <c r="F1471" i="144"/>
  <c r="S1429" i="144"/>
  <c r="F1429" i="144"/>
  <c r="S1383" i="144"/>
  <c r="F1383" i="144"/>
  <c r="S1287" i="144"/>
  <c r="F1287" i="144"/>
  <c r="S1237" i="144"/>
  <c r="F1237" i="144"/>
  <c r="S1191" i="144"/>
  <c r="F1191" i="144"/>
  <c r="S1133" i="144"/>
  <c r="F1133" i="144"/>
  <c r="S1081" i="144"/>
  <c r="F1081" i="144"/>
  <c r="S1866" i="144"/>
  <c r="F1866" i="144"/>
  <c r="S1834" i="144"/>
  <c r="F1834" i="144"/>
  <c r="S1754" i="144"/>
  <c r="F1754" i="144"/>
  <c r="S1698" i="144"/>
  <c r="F1698" i="144"/>
  <c r="S1658" i="144"/>
  <c r="F1658" i="144"/>
  <c r="S1594" i="144"/>
  <c r="F1594" i="144"/>
  <c r="S1530" i="144"/>
  <c r="F1530" i="144"/>
  <c r="S1408" i="144"/>
  <c r="F1408" i="144"/>
  <c r="S1360" i="144"/>
  <c r="F1360" i="144"/>
  <c r="S1328" i="144"/>
  <c r="F1328" i="144"/>
  <c r="S1272" i="144"/>
  <c r="F1272" i="144"/>
  <c r="S1063" i="144"/>
  <c r="F1063" i="144"/>
  <c r="S1033" i="144"/>
  <c r="F1033" i="144"/>
  <c r="S999" i="144"/>
  <c r="F999" i="144"/>
  <c r="S911" i="144"/>
  <c r="F911" i="144"/>
  <c r="S761" i="144"/>
  <c r="F761" i="144"/>
  <c r="S741" i="144"/>
  <c r="F741" i="144"/>
  <c r="S711" i="144"/>
  <c r="F711" i="144"/>
  <c r="S673" i="144"/>
  <c r="F673" i="144"/>
  <c r="S601" i="144"/>
  <c r="F601" i="144"/>
  <c r="S573" i="144"/>
  <c r="F573" i="144"/>
  <c r="S537" i="144"/>
  <c r="F537" i="144"/>
  <c r="S485" i="144"/>
  <c r="F485" i="144"/>
  <c r="S433" i="144"/>
  <c r="F433" i="144"/>
  <c r="S401" i="144"/>
  <c r="F401" i="144"/>
  <c r="S375" i="144"/>
  <c r="F375" i="144"/>
  <c r="S345" i="144"/>
  <c r="F345" i="144"/>
  <c r="S311" i="144"/>
  <c r="F311" i="144"/>
  <c r="S261" i="144"/>
  <c r="F261" i="144"/>
  <c r="S223" i="144"/>
  <c r="F223" i="144"/>
  <c r="S169" i="144"/>
  <c r="F169" i="144"/>
  <c r="S129" i="144"/>
  <c r="F129" i="144"/>
  <c r="S81" i="144"/>
  <c r="F81" i="144"/>
  <c r="S61" i="144"/>
  <c r="F61" i="144"/>
  <c r="S1112" i="144"/>
  <c r="F1112" i="144"/>
  <c r="S1080" i="144"/>
  <c r="F1080" i="144"/>
  <c r="S1034" i="144"/>
  <c r="F1034" i="144"/>
  <c r="S994" i="144"/>
  <c r="F994" i="144"/>
  <c r="S960" i="144"/>
  <c r="F960" i="144"/>
  <c r="S850" i="144"/>
  <c r="F850" i="144"/>
  <c r="S810" i="144"/>
  <c r="F810" i="144"/>
  <c r="S738" i="144"/>
  <c r="F738" i="144"/>
  <c r="S698" i="144"/>
  <c r="F698" i="144"/>
  <c r="S650" i="144"/>
  <c r="F650" i="144"/>
  <c r="S410" i="144"/>
  <c r="F410" i="144"/>
  <c r="S362" i="144"/>
  <c r="F362" i="144"/>
  <c r="S314" i="144"/>
  <c r="F314" i="144"/>
  <c r="S250" i="144"/>
  <c r="F250" i="144"/>
  <c r="S136" i="144"/>
  <c r="F136" i="144"/>
  <c r="S74" i="144"/>
  <c r="F74" i="144"/>
  <c r="S1573" i="144"/>
  <c r="F1573" i="144"/>
  <c r="S1802" i="144"/>
  <c r="F1802" i="144"/>
  <c r="S1544" i="144"/>
  <c r="F1544" i="144"/>
  <c r="S950" i="144"/>
  <c r="F950" i="144"/>
  <c r="S1243" i="144"/>
  <c r="F1243" i="144"/>
  <c r="S917" i="144"/>
  <c r="F917" i="144"/>
  <c r="S1364" i="144"/>
  <c r="F1364" i="144"/>
  <c r="S852" i="144"/>
  <c r="F852" i="144"/>
  <c r="S1406" i="144"/>
  <c r="F1406" i="144"/>
  <c r="S1019" i="144"/>
  <c r="F1019" i="144"/>
  <c r="Q33" i="75"/>
  <c r="O34" i="187"/>
  <c r="Q35" i="75"/>
  <c r="I399" i="75"/>
  <c r="V50" i="71"/>
  <c r="AS50" i="71"/>
  <c r="V155" i="71"/>
  <c r="J155" i="71"/>
  <c r="V161" i="71"/>
  <c r="M161" i="71"/>
  <c r="J161" i="71"/>
  <c r="V169" i="71"/>
  <c r="AS169" i="71"/>
  <c r="O346" i="75"/>
  <c r="F346" i="75"/>
  <c r="M25" i="64"/>
  <c r="O418" i="75"/>
  <c r="F418" i="75"/>
  <c r="O426" i="75"/>
  <c r="F426" i="75"/>
  <c r="J426" i="75"/>
  <c r="AA28" i="106"/>
  <c r="E28" i="106"/>
  <c r="O28" i="106"/>
  <c r="W28" i="106"/>
  <c r="P28" i="106"/>
  <c r="Y28" i="106"/>
  <c r="O20" i="106"/>
  <c r="W20" i="106"/>
  <c r="P20" i="106"/>
  <c r="Y20" i="106"/>
  <c r="G20" i="106"/>
  <c r="N12" i="106"/>
  <c r="V12" i="106"/>
  <c r="H12" i="106"/>
  <c r="O12" i="106"/>
  <c r="X12" i="106"/>
  <c r="AQ54" i="71"/>
  <c r="F39" i="175"/>
  <c r="F18" i="175"/>
  <c r="S962" i="144"/>
  <c r="F962" i="144"/>
  <c r="S1584" i="144"/>
  <c r="F1584" i="144"/>
  <c r="S106" i="144"/>
  <c r="F106" i="144"/>
  <c r="S178" i="144"/>
  <c r="F178" i="144"/>
  <c r="S322" i="144"/>
  <c r="F322" i="144"/>
  <c r="S434" i="144"/>
  <c r="F434" i="144"/>
  <c r="S498" i="144"/>
  <c r="F498" i="144"/>
  <c r="S570" i="144"/>
  <c r="F570" i="144"/>
  <c r="S642" i="144"/>
  <c r="F642" i="144"/>
  <c r="S754" i="144"/>
  <c r="F754" i="144"/>
  <c r="S922" i="144"/>
  <c r="F922" i="144"/>
  <c r="S986" i="144"/>
  <c r="F986" i="144"/>
  <c r="S1032" i="144"/>
  <c r="F1032" i="144"/>
  <c r="S1074" i="144"/>
  <c r="F1074" i="144"/>
  <c r="S1114" i="144"/>
  <c r="F1114" i="144"/>
  <c r="S33" i="144"/>
  <c r="F33" i="144"/>
  <c r="S101" i="144"/>
  <c r="F101" i="144"/>
  <c r="S287" i="144"/>
  <c r="F287" i="144"/>
  <c r="S321" i="144"/>
  <c r="F321" i="144"/>
  <c r="S353" i="144"/>
  <c r="F353" i="144"/>
  <c r="S397" i="144"/>
  <c r="F397" i="144"/>
  <c r="S489" i="144"/>
  <c r="F489" i="144"/>
  <c r="S581" i="144"/>
  <c r="F581" i="144"/>
  <c r="S633" i="144"/>
  <c r="F633" i="144"/>
  <c r="S669" i="144"/>
  <c r="F669" i="144"/>
  <c r="S705" i="144"/>
  <c r="F705" i="144"/>
  <c r="S767" i="144"/>
  <c r="F767" i="144"/>
  <c r="S805" i="144"/>
  <c r="F805" i="144"/>
  <c r="S885" i="144"/>
  <c r="F885" i="144"/>
  <c r="S951" i="144"/>
  <c r="F951" i="144"/>
  <c r="S985" i="144"/>
  <c r="F985" i="144"/>
  <c r="S1031" i="144"/>
  <c r="F1031" i="144"/>
  <c r="S1065" i="144"/>
  <c r="F1065" i="144"/>
  <c r="S1168" i="144"/>
  <c r="F1168" i="144"/>
  <c r="S1210" i="144"/>
  <c r="F1210" i="144"/>
  <c r="S1250" i="144"/>
  <c r="F1250" i="144"/>
  <c r="S1344" i="144"/>
  <c r="F1344" i="144"/>
  <c r="S1450" i="144"/>
  <c r="F1450" i="144"/>
  <c r="S1498" i="144"/>
  <c r="F1498" i="144"/>
  <c r="S1562" i="144"/>
  <c r="F1562" i="144"/>
  <c r="S1618" i="144"/>
  <c r="F1618" i="144"/>
  <c r="S1738" i="144"/>
  <c r="F1738" i="144"/>
  <c r="S1794" i="144"/>
  <c r="F1794" i="144"/>
  <c r="S1095" i="144"/>
  <c r="F1095" i="144"/>
  <c r="S1213" i="144"/>
  <c r="F1213" i="144"/>
  <c r="S1263" i="144"/>
  <c r="F1263" i="144"/>
  <c r="S1381" i="144"/>
  <c r="F1381" i="144"/>
  <c r="S1431" i="144"/>
  <c r="F1431" i="144"/>
  <c r="S1487" i="144"/>
  <c r="F1487" i="144"/>
  <c r="S1525" i="144"/>
  <c r="F1525" i="144"/>
  <c r="S1709" i="144"/>
  <c r="F1709" i="144"/>
  <c r="S1757" i="144"/>
  <c r="F1757" i="144"/>
  <c r="S1799" i="144"/>
  <c r="F1799" i="144"/>
  <c r="S326" i="144"/>
  <c r="F326" i="144"/>
  <c r="S359" i="144"/>
  <c r="F359" i="144"/>
  <c r="S389" i="144"/>
  <c r="F389" i="144"/>
  <c r="S444" i="144"/>
  <c r="F444" i="144"/>
  <c r="S590" i="144"/>
  <c r="F590" i="144"/>
  <c r="S646" i="144"/>
  <c r="F646" i="144"/>
  <c r="S677" i="144"/>
  <c r="F677" i="144"/>
  <c r="S716" i="144"/>
  <c r="F716" i="144"/>
  <c r="S748" i="144"/>
  <c r="F748" i="144"/>
  <c r="S790" i="144"/>
  <c r="F790" i="144"/>
  <c r="S364" i="144"/>
  <c r="F364" i="144"/>
  <c r="S388" i="144"/>
  <c r="F388" i="144"/>
  <c r="S423" i="144"/>
  <c r="F423" i="144"/>
  <c r="S459" i="144"/>
  <c r="F459" i="144"/>
  <c r="S494" i="144"/>
  <c r="F494" i="144"/>
  <c r="S525" i="144"/>
  <c r="F525" i="144"/>
  <c r="S556" i="144"/>
  <c r="F556" i="144"/>
  <c r="S627" i="144"/>
  <c r="F627" i="144"/>
  <c r="S672" i="144"/>
  <c r="F672" i="144"/>
  <c r="S771" i="144"/>
  <c r="F771" i="144"/>
  <c r="S864" i="144"/>
  <c r="F864" i="144"/>
  <c r="S910" i="144"/>
  <c r="F910" i="144"/>
  <c r="S1094" i="144"/>
  <c r="F1094" i="144"/>
  <c r="S1262" i="144"/>
  <c r="F1262" i="144"/>
  <c r="S1414" i="144"/>
  <c r="F1414" i="144"/>
  <c r="S1516" i="144"/>
  <c r="F1516" i="144"/>
  <c r="S1637" i="144"/>
  <c r="F1637" i="144"/>
  <c r="S254" i="144"/>
  <c r="F254" i="144"/>
  <c r="S150" i="144"/>
  <c r="F150" i="144"/>
  <c r="S99" i="144"/>
  <c r="F99" i="144"/>
  <c r="S56" i="144"/>
  <c r="F56" i="144"/>
  <c r="S256" i="144"/>
  <c r="F256" i="144"/>
  <c r="S149" i="144"/>
  <c r="F149" i="144"/>
  <c r="S45" i="144"/>
  <c r="F45" i="144"/>
  <c r="S819" i="144"/>
  <c r="F819" i="144"/>
  <c r="S920" i="144"/>
  <c r="F920" i="144"/>
  <c r="S1083" i="144"/>
  <c r="F1083" i="144"/>
  <c r="S1508" i="144"/>
  <c r="F1508" i="144"/>
  <c r="S1188" i="144"/>
  <c r="F1188" i="144"/>
  <c r="S1206" i="144"/>
  <c r="F1206" i="144"/>
  <c r="S884" i="144"/>
  <c r="F884" i="144"/>
  <c r="O87" i="1"/>
  <c r="Q87" i="1"/>
  <c r="P87" i="1"/>
  <c r="E87" i="1"/>
  <c r="F232" i="75"/>
  <c r="AQ142" i="71"/>
  <c r="F38" i="175"/>
  <c r="F34" i="175"/>
  <c r="D36" i="170"/>
  <c r="S58" i="144"/>
  <c r="F58" i="144"/>
  <c r="S122" i="144"/>
  <c r="F122" i="144"/>
  <c r="S186" i="144"/>
  <c r="F186" i="144"/>
  <c r="S258" i="144"/>
  <c r="F258" i="144"/>
  <c r="S328" i="144"/>
  <c r="F328" i="144"/>
  <c r="S378" i="144"/>
  <c r="F378" i="144"/>
  <c r="S442" i="144"/>
  <c r="F442" i="144"/>
  <c r="S506" i="144"/>
  <c r="F506" i="144"/>
  <c r="S578" i="144"/>
  <c r="F578" i="144"/>
  <c r="S648" i="144"/>
  <c r="F648" i="144"/>
  <c r="S706" i="144"/>
  <c r="F706" i="144"/>
  <c r="S770" i="144"/>
  <c r="F770" i="144"/>
  <c r="S826" i="144"/>
  <c r="F826" i="144"/>
  <c r="S874" i="144"/>
  <c r="F874" i="144"/>
  <c r="S930" i="144"/>
  <c r="F930" i="144"/>
  <c r="S1082" i="144"/>
  <c r="F1082" i="144"/>
  <c r="S39" i="144"/>
  <c r="F39" i="144"/>
  <c r="S65" i="144"/>
  <c r="F65" i="144"/>
  <c r="S111" i="144"/>
  <c r="F111" i="144"/>
  <c r="S153" i="144"/>
  <c r="F153" i="144"/>
  <c r="S191" i="144"/>
  <c r="F191" i="144"/>
  <c r="S231" i="144"/>
  <c r="F231" i="144"/>
  <c r="S265" i="144"/>
  <c r="F265" i="144"/>
  <c r="S289" i="144"/>
  <c r="F289" i="144"/>
  <c r="S325" i="144"/>
  <c r="F325" i="144"/>
  <c r="S361" i="144"/>
  <c r="F361" i="144"/>
  <c r="S431" i="144"/>
  <c r="F431" i="144"/>
  <c r="S463" i="144"/>
  <c r="F463" i="144"/>
  <c r="S493" i="144"/>
  <c r="F493" i="144"/>
  <c r="S551" i="144"/>
  <c r="F551" i="144"/>
  <c r="S585" i="144"/>
  <c r="F585" i="144"/>
  <c r="S639" i="144"/>
  <c r="F639" i="144"/>
  <c r="S671" i="144"/>
  <c r="F671" i="144"/>
  <c r="S743" i="144"/>
  <c r="F743" i="144"/>
  <c r="S807" i="144"/>
  <c r="F807" i="144"/>
  <c r="S849" i="144"/>
  <c r="F849" i="144"/>
  <c r="S895" i="144"/>
  <c r="F895" i="144"/>
  <c r="S993" i="144"/>
  <c r="F993" i="144"/>
  <c r="S1037" i="144"/>
  <c r="F1037" i="144"/>
  <c r="S1258" i="144"/>
  <c r="F1258" i="144"/>
  <c r="S1306" i="144"/>
  <c r="F1306" i="144"/>
  <c r="S1354" i="144"/>
  <c r="F1354" i="144"/>
  <c r="S1458" i="144"/>
  <c r="F1458" i="144"/>
  <c r="S1506" i="144"/>
  <c r="F1506" i="144"/>
  <c r="S1626" i="144"/>
  <c r="F1626" i="144"/>
  <c r="S1688" i="144"/>
  <c r="F1688" i="144"/>
  <c r="S1746" i="144"/>
  <c r="F1746" i="144"/>
  <c r="S1842" i="144"/>
  <c r="F1842" i="144"/>
  <c r="S1870" i="144"/>
  <c r="F1870" i="144"/>
  <c r="S1105" i="144"/>
  <c r="F1105" i="144"/>
  <c r="S1151" i="144"/>
  <c r="F1151" i="144"/>
  <c r="S1223" i="144"/>
  <c r="F1223" i="144"/>
  <c r="S1279" i="144"/>
  <c r="F1279" i="144"/>
  <c r="S1335" i="144"/>
  <c r="F1335" i="144"/>
  <c r="S1389" i="144"/>
  <c r="F1389" i="144"/>
  <c r="S1439" i="144"/>
  <c r="F1439" i="144"/>
  <c r="S1493" i="144"/>
  <c r="F1493" i="144"/>
  <c r="S1605" i="144"/>
  <c r="F1605" i="144"/>
  <c r="S1655" i="144"/>
  <c r="F1655" i="144"/>
  <c r="S1717" i="144"/>
  <c r="F1717" i="144"/>
  <c r="S1813" i="144"/>
  <c r="F1813" i="144"/>
  <c r="S1869" i="144"/>
  <c r="F1869" i="144"/>
  <c r="S333" i="144"/>
  <c r="F333" i="144"/>
  <c r="S420" i="144"/>
  <c r="F420" i="144"/>
  <c r="S460" i="144"/>
  <c r="F460" i="144"/>
  <c r="S526" i="144"/>
  <c r="F526" i="144"/>
  <c r="S555" i="144"/>
  <c r="F555" i="144"/>
  <c r="S595" i="144"/>
  <c r="F595" i="144"/>
  <c r="S620" i="144"/>
  <c r="F620" i="144"/>
  <c r="S651" i="144"/>
  <c r="F651" i="144"/>
  <c r="S688" i="144"/>
  <c r="F688" i="144"/>
  <c r="S720" i="144"/>
  <c r="F720" i="144"/>
  <c r="S752" i="144"/>
  <c r="F752" i="144"/>
  <c r="S795" i="144"/>
  <c r="F795" i="144"/>
  <c r="S323" i="144"/>
  <c r="F323" i="144"/>
  <c r="S390" i="144"/>
  <c r="F390" i="144"/>
  <c r="S430" i="144"/>
  <c r="F430" i="144"/>
  <c r="S462" i="144"/>
  <c r="F462" i="144"/>
  <c r="S592" i="144"/>
  <c r="F592" i="144"/>
  <c r="S678" i="144"/>
  <c r="F678" i="144"/>
  <c r="S725" i="144"/>
  <c r="F725" i="144"/>
  <c r="S773" i="144"/>
  <c r="F773" i="144"/>
  <c r="S827" i="144"/>
  <c r="F827" i="144"/>
  <c r="S868" i="144"/>
  <c r="F868" i="144"/>
  <c r="S916" i="144"/>
  <c r="F916" i="144"/>
  <c r="S964" i="144"/>
  <c r="F964" i="144"/>
  <c r="S1035" i="144"/>
  <c r="F1035" i="144"/>
  <c r="S1189" i="144"/>
  <c r="F1189" i="144"/>
  <c r="S1268" i="144"/>
  <c r="F1268" i="144"/>
  <c r="S1332" i="144"/>
  <c r="F1332" i="144"/>
  <c r="S1526" i="144"/>
  <c r="F1526" i="144"/>
  <c r="S1646" i="144"/>
  <c r="F1646" i="144"/>
  <c r="S204" i="144"/>
  <c r="F204" i="144"/>
  <c r="S95" i="144"/>
  <c r="F95" i="144"/>
  <c r="S48" i="144"/>
  <c r="F48" i="144"/>
  <c r="S195" i="144"/>
  <c r="F195" i="144"/>
  <c r="S139" i="144"/>
  <c r="F139" i="144"/>
  <c r="S92" i="144"/>
  <c r="F92" i="144"/>
  <c r="S43" i="144"/>
  <c r="F43" i="144"/>
  <c r="S855" i="144"/>
  <c r="F855" i="144"/>
  <c r="S955" i="144"/>
  <c r="F955" i="144"/>
  <c r="S1091" i="144"/>
  <c r="F1091" i="144"/>
  <c r="S1302" i="144"/>
  <c r="F1302" i="144"/>
  <c r="S1581" i="144"/>
  <c r="F1581" i="144"/>
  <c r="S1524" i="144"/>
  <c r="F1524" i="144"/>
  <c r="S1124" i="144"/>
  <c r="F1124" i="144"/>
  <c r="S835" i="144"/>
  <c r="F835" i="144"/>
  <c r="G22" i="170"/>
  <c r="E22" i="170"/>
  <c r="O80" i="1"/>
  <c r="Q80" i="1"/>
  <c r="P80" i="1"/>
  <c r="E80" i="1"/>
  <c r="F179" i="75"/>
  <c r="Z10" i="71"/>
  <c r="O429" i="187"/>
  <c r="Z15" i="71"/>
  <c r="AS8" i="71"/>
  <c r="M8" i="71"/>
  <c r="J8" i="71"/>
  <c r="P8" i="71"/>
  <c r="F15" i="75"/>
  <c r="J15" i="75"/>
  <c r="O15" i="75"/>
  <c r="O344" i="75"/>
  <c r="F344" i="75"/>
  <c r="I344" i="75"/>
  <c r="O416" i="75"/>
  <c r="F416" i="75"/>
  <c r="I416" i="75"/>
  <c r="O424" i="75"/>
  <c r="F424" i="75"/>
  <c r="J424" i="75"/>
  <c r="N7" i="106"/>
  <c r="V7" i="106"/>
  <c r="K7" i="106"/>
  <c r="T7" i="106"/>
  <c r="AC7" i="106"/>
  <c r="N22" i="106"/>
  <c r="V22" i="106"/>
  <c r="AB22" i="106"/>
  <c r="AR141" i="71"/>
  <c r="C28" i="157"/>
  <c r="K22" i="106"/>
  <c r="T22" i="106"/>
  <c r="L14" i="106"/>
  <c r="T14" i="106"/>
  <c r="AA14" i="106"/>
  <c r="E14" i="106"/>
  <c r="C20" i="157"/>
  <c r="R14" i="106"/>
  <c r="Z14" i="106"/>
  <c r="P62" i="1"/>
  <c r="O62" i="1"/>
  <c r="P73" i="1"/>
  <c r="E73" i="1"/>
  <c r="O73" i="1"/>
  <c r="Q73" i="1"/>
  <c r="I47" i="125"/>
  <c r="I14" i="125"/>
  <c r="AR38" i="71"/>
  <c r="I404" i="75"/>
  <c r="M121" i="71"/>
  <c r="J121" i="71"/>
  <c r="P121" i="71"/>
  <c r="O421" i="187"/>
  <c r="Q417" i="75"/>
  <c r="O253" i="187"/>
  <c r="Q254" i="75"/>
  <c r="O531" i="187"/>
  <c r="Z119" i="71"/>
  <c r="AQ119" i="71"/>
  <c r="O323" i="187"/>
  <c r="Q323" i="75"/>
  <c r="O443" i="187"/>
  <c r="Z29" i="71"/>
  <c r="AQ29" i="71"/>
  <c r="O120" i="187"/>
  <c r="Q123" i="75"/>
  <c r="O101" i="187"/>
  <c r="Q105" i="75"/>
  <c r="O22" i="187"/>
  <c r="Q23" i="75"/>
  <c r="O50" i="187"/>
  <c r="Q52" i="75"/>
  <c r="O82" i="187"/>
  <c r="Q86" i="75"/>
  <c r="O130" i="187"/>
  <c r="Q133" i="75"/>
  <c r="O170" i="187"/>
  <c r="Q173" i="75"/>
  <c r="O186" i="187"/>
  <c r="Q188" i="75"/>
  <c r="O266" i="187"/>
  <c r="Q267" i="75"/>
  <c r="O298" i="187"/>
  <c r="Q298" i="75"/>
  <c r="O322" i="187"/>
  <c r="Q322" i="75"/>
  <c r="O426" i="187"/>
  <c r="O463" i="187"/>
  <c r="O430" i="187"/>
  <c r="Z16" i="71"/>
  <c r="AS16" i="71"/>
  <c r="O438" i="187"/>
  <c r="Z24" i="71"/>
  <c r="O442" i="187"/>
  <c r="Z28" i="71"/>
  <c r="O482" i="187"/>
  <c r="Z70" i="71"/>
  <c r="AR70" i="71"/>
  <c r="O494" i="187"/>
  <c r="Z81" i="71"/>
  <c r="O498" i="187"/>
  <c r="Z87" i="71"/>
  <c r="O538" i="187"/>
  <c r="Z126" i="71"/>
  <c r="O551" i="187"/>
  <c r="Z139" i="71"/>
  <c r="O543" i="187"/>
  <c r="Z131" i="71"/>
  <c r="AQ131" i="71"/>
  <c r="O527" i="187"/>
  <c r="Z115" i="71"/>
  <c r="AQ115" i="71"/>
  <c r="O503" i="187"/>
  <c r="O495" i="187"/>
  <c r="Z84" i="71"/>
  <c r="AR84" i="71"/>
  <c r="O479" i="187"/>
  <c r="O439" i="187"/>
  <c r="O431" i="187"/>
  <c r="Z17" i="71"/>
  <c r="O383" i="187"/>
  <c r="Q380" i="75"/>
  <c r="O359" i="187"/>
  <c r="O361" i="187"/>
  <c r="Q358" i="75"/>
  <c r="O263" i="187"/>
  <c r="Q264" i="75"/>
  <c r="O175" i="187"/>
  <c r="Q178" i="75"/>
  <c r="O167" i="187"/>
  <c r="Q170" i="75"/>
  <c r="O151" i="187"/>
  <c r="Q154" i="75"/>
  <c r="O119" i="187"/>
  <c r="Q122" i="75"/>
  <c r="O79" i="187"/>
  <c r="Q83" i="75"/>
  <c r="AS171" i="71"/>
  <c r="J171" i="71"/>
  <c r="P165" i="71"/>
  <c r="AS165" i="71"/>
  <c r="J165" i="71"/>
  <c r="V109" i="71"/>
  <c r="AS109" i="71"/>
  <c r="P109" i="71"/>
  <c r="M109" i="71"/>
  <c r="V145" i="71"/>
  <c r="P145" i="71"/>
  <c r="P20" i="1"/>
  <c r="E20" i="1"/>
  <c r="O20" i="1"/>
  <c r="Q20" i="1"/>
  <c r="P38" i="1"/>
  <c r="E38" i="1"/>
  <c r="F221" i="75"/>
  <c r="O38" i="1"/>
  <c r="Q38" i="1"/>
  <c r="O112" i="1"/>
  <c r="Q112" i="1"/>
  <c r="P112" i="1"/>
  <c r="E112" i="1"/>
  <c r="P116" i="1"/>
  <c r="E116" i="1"/>
  <c r="F390" i="75"/>
  <c r="O116" i="1"/>
  <c r="Q116" i="1"/>
  <c r="P124" i="1"/>
  <c r="E124" i="1"/>
  <c r="O124" i="1"/>
  <c r="Q124" i="1"/>
  <c r="AR91" i="71"/>
  <c r="O145" i="1"/>
  <c r="Q145" i="1"/>
  <c r="P145" i="1"/>
  <c r="E145" i="1"/>
  <c r="H7" i="124"/>
  <c r="B4" i="26"/>
  <c r="S1864" i="144"/>
  <c r="F1864" i="144"/>
  <c r="S1856" i="144"/>
  <c r="F1856" i="144"/>
  <c r="S1848" i="144"/>
  <c r="F1848" i="144"/>
  <c r="S1840" i="144"/>
  <c r="F1840" i="144"/>
  <c r="S1832" i="144"/>
  <c r="F1832" i="144"/>
  <c r="S1824" i="144"/>
  <c r="F1824" i="144"/>
  <c r="S1816" i="144"/>
  <c r="F1816" i="144"/>
  <c r="S1800" i="144"/>
  <c r="F1800" i="144"/>
  <c r="S1792" i="144"/>
  <c r="F1792" i="144"/>
  <c r="B33" i="175"/>
  <c r="B32" i="175"/>
  <c r="Q174" i="75"/>
  <c r="G13" i="69"/>
  <c r="P15" i="1"/>
  <c r="E15" i="1"/>
  <c r="O15" i="1"/>
  <c r="Q15" i="1"/>
  <c r="P33" i="1"/>
  <c r="E33" i="1"/>
  <c r="O33" i="1"/>
  <c r="Q33" i="1"/>
  <c r="C8" i="181"/>
  <c r="D8" i="181"/>
  <c r="E8" i="181"/>
  <c r="D5" i="27"/>
  <c r="F30" i="124"/>
  <c r="J14" i="125"/>
  <c r="B47" i="174"/>
  <c r="I47" i="174"/>
  <c r="O389" i="187"/>
  <c r="Q386" i="75"/>
  <c r="O312" i="187"/>
  <c r="Q312" i="75"/>
  <c r="O491" i="187"/>
  <c r="Z78" i="71"/>
  <c r="AS78" i="71"/>
  <c r="O56" i="187"/>
  <c r="Q59" i="75"/>
  <c r="O243" i="187"/>
  <c r="Q243" i="75"/>
  <c r="M157" i="71"/>
  <c r="J157" i="71"/>
  <c r="P157" i="71"/>
  <c r="P168" i="71"/>
  <c r="J168" i="71"/>
  <c r="J53" i="125"/>
  <c r="I45" i="125"/>
  <c r="S1868" i="144"/>
  <c r="F1868" i="144"/>
  <c r="S1860" i="144"/>
  <c r="F1860" i="144"/>
  <c r="S1852" i="144"/>
  <c r="F1852" i="144"/>
  <c r="S1844" i="144"/>
  <c r="F1844" i="144"/>
  <c r="S1836" i="144"/>
  <c r="F1836" i="144"/>
  <c r="S1828" i="144"/>
  <c r="F1828" i="144"/>
  <c r="S1804" i="144"/>
  <c r="F1804" i="144"/>
  <c r="S1796" i="144"/>
  <c r="F1796" i="144"/>
  <c r="S1768" i="144"/>
  <c r="F1768" i="144"/>
  <c r="S1760" i="144"/>
  <c r="F1760" i="144"/>
  <c r="S1752" i="144"/>
  <c r="F1752" i="144"/>
  <c r="S1744" i="144"/>
  <c r="F1744" i="144"/>
  <c r="S1720" i="144"/>
  <c r="F1720" i="144"/>
  <c r="S1704" i="144"/>
  <c r="F1704" i="144"/>
  <c r="S1680" i="144"/>
  <c r="F1680" i="144"/>
  <c r="S1672" i="144"/>
  <c r="F1672" i="144"/>
  <c r="O549" i="187"/>
  <c r="Z137" i="71"/>
  <c r="AR137" i="71"/>
  <c r="O445" i="187"/>
  <c r="Z31" i="71"/>
  <c r="AR31" i="71"/>
  <c r="O313" i="187"/>
  <c r="Q313" i="75"/>
  <c r="O37" i="187"/>
  <c r="O437" i="187"/>
  <c r="Z23" i="71"/>
  <c r="AS23" i="71"/>
  <c r="O189" i="187"/>
  <c r="Q191" i="75"/>
  <c r="O525" i="187"/>
  <c r="Z113" i="71"/>
  <c r="O249" i="187"/>
  <c r="Q250" i="75"/>
  <c r="O241" i="187"/>
  <c r="Q241" i="75"/>
  <c r="O13" i="187"/>
  <c r="Q13" i="75"/>
  <c r="O305" i="187"/>
  <c r="Q305" i="75"/>
  <c r="O85" i="187"/>
  <c r="Q89" i="75"/>
  <c r="O53" i="187"/>
  <c r="Q56" i="75"/>
  <c r="O141" i="187"/>
  <c r="Q144" i="75"/>
  <c r="O541" i="187"/>
  <c r="Z129" i="71"/>
  <c r="AS129" i="71"/>
  <c r="O425" i="187"/>
  <c r="Z12" i="71"/>
  <c r="AS12" i="71"/>
  <c r="O49" i="187"/>
  <c r="Q51" i="75"/>
  <c r="O497" i="187"/>
  <c r="Z86" i="71"/>
  <c r="O301" i="187"/>
  <c r="Q301" i="75"/>
  <c r="O97" i="187"/>
  <c r="Q101" i="75"/>
  <c r="O36" i="187"/>
  <c r="O39" i="187"/>
  <c r="Q40" i="75"/>
  <c r="O72" i="187"/>
  <c r="Q76" i="75"/>
  <c r="O84" i="187"/>
  <c r="Q88" i="75"/>
  <c r="O104" i="187"/>
  <c r="Q108" i="75"/>
  <c r="O144" i="187"/>
  <c r="O147" i="187"/>
  <c r="Q150" i="75"/>
  <c r="O152" i="187"/>
  <c r="Q155" i="75"/>
  <c r="O168" i="187"/>
  <c r="O172" i="187"/>
  <c r="O180" i="187"/>
  <c r="Q182" i="75"/>
  <c r="O204" i="187"/>
  <c r="Q204" i="75"/>
  <c r="O208" i="187"/>
  <c r="Q208" i="75"/>
  <c r="O220" i="187"/>
  <c r="Q220" i="75"/>
  <c r="O240" i="187"/>
  <c r="Q240" i="75"/>
  <c r="O252" i="187"/>
  <c r="Q253" i="75"/>
  <c r="O264" i="187"/>
  <c r="Q265" i="75"/>
  <c r="O272" i="187"/>
  <c r="Q273" i="75"/>
  <c r="O284" i="187"/>
  <c r="Q285" i="75"/>
  <c r="O428" i="187"/>
  <c r="Z14" i="71"/>
  <c r="O432" i="187"/>
  <c r="Z18" i="71"/>
  <c r="O436" i="187"/>
  <c r="Z22" i="71"/>
  <c r="O444" i="187"/>
  <c r="Z30" i="71"/>
  <c r="AQ30" i="71"/>
  <c r="O480" i="187"/>
  <c r="Z68" i="71"/>
  <c r="O492" i="187"/>
  <c r="Z79" i="71"/>
  <c r="AS79" i="71"/>
  <c r="O496" i="187"/>
  <c r="Z85" i="71"/>
  <c r="O528" i="187"/>
  <c r="Z116" i="71"/>
  <c r="AR116" i="71"/>
  <c r="O540" i="187"/>
  <c r="Z128" i="71"/>
  <c r="AQ128" i="71"/>
  <c r="O548" i="187"/>
  <c r="Z136" i="71"/>
  <c r="O539" i="187"/>
  <c r="Z127" i="71"/>
  <c r="AQ127" i="71"/>
  <c r="O515" i="187"/>
  <c r="O483" i="187"/>
  <c r="Z71" i="71"/>
  <c r="AR71" i="71"/>
  <c r="O427" i="187"/>
  <c r="Z13" i="71"/>
  <c r="O387" i="187"/>
  <c r="Q384" i="75"/>
  <c r="O355" i="187"/>
  <c r="Q352" i="75"/>
  <c r="O283" i="187"/>
  <c r="Q284" i="75"/>
  <c r="O267" i="187"/>
  <c r="Q268" i="75"/>
  <c r="O219" i="187"/>
  <c r="Q219" i="75"/>
  <c r="O179" i="187"/>
  <c r="Q181" i="75"/>
  <c r="O155" i="187"/>
  <c r="Q158" i="75"/>
  <c r="O131" i="187"/>
  <c r="Q134" i="75"/>
  <c r="O99" i="187"/>
  <c r="Q103" i="75"/>
  <c r="O43" i="187"/>
  <c r="Q45" i="75"/>
  <c r="I415" i="75"/>
  <c r="O391" i="187"/>
  <c r="Q388" i="75"/>
  <c r="V149" i="71"/>
  <c r="J149" i="71"/>
  <c r="AS149" i="71"/>
  <c r="V162" i="71"/>
  <c r="AS162" i="71"/>
  <c r="O395" i="75"/>
  <c r="F395" i="75"/>
  <c r="J395" i="75"/>
  <c r="O411" i="75"/>
  <c r="F411" i="75"/>
  <c r="O162" i="1"/>
  <c r="Q162" i="1"/>
  <c r="P162" i="1"/>
  <c r="E162" i="1"/>
  <c r="F170" i="75"/>
  <c r="P169" i="1"/>
  <c r="E169" i="1"/>
  <c r="O169" i="1"/>
  <c r="Q169" i="1"/>
  <c r="B8" i="174"/>
  <c r="B25" i="174"/>
  <c r="O153" i="187"/>
  <c r="Q156" i="75"/>
  <c r="O385" i="187"/>
  <c r="Q382" i="75"/>
  <c r="P149" i="71"/>
  <c r="P44" i="1"/>
  <c r="E44" i="1"/>
  <c r="O44" i="1"/>
  <c r="Q44" i="1"/>
  <c r="P52" i="1"/>
  <c r="E52" i="1"/>
  <c r="F353" i="75"/>
  <c r="O52" i="1"/>
  <c r="Q52" i="1"/>
  <c r="O110" i="1"/>
  <c r="Q110" i="1"/>
  <c r="P110" i="1"/>
  <c r="E110" i="1"/>
  <c r="O141" i="1"/>
  <c r="Q141" i="1"/>
  <c r="P141" i="1"/>
  <c r="E141" i="1"/>
  <c r="F289" i="75"/>
  <c r="P173" i="1"/>
  <c r="E173" i="1"/>
  <c r="O173" i="1"/>
  <c r="Q173" i="1"/>
  <c r="S1788" i="144"/>
  <c r="F1788" i="144"/>
  <c r="S1780" i="144"/>
  <c r="F1780" i="144"/>
  <c r="S1764" i="144"/>
  <c r="F1764" i="144"/>
  <c r="S1748" i="144"/>
  <c r="F1748" i="144"/>
  <c r="S1724" i="144"/>
  <c r="F1724" i="144"/>
  <c r="S1708" i="144"/>
  <c r="F1708" i="144"/>
  <c r="S1692" i="144"/>
  <c r="F1692" i="144"/>
  <c r="S1676" i="144"/>
  <c r="F1676" i="144"/>
  <c r="S1668" i="144"/>
  <c r="F1668" i="144"/>
  <c r="S1660" i="144"/>
  <c r="F1660" i="144"/>
  <c r="S1652" i="144"/>
  <c r="F1652" i="144"/>
  <c r="S1628" i="144"/>
  <c r="F1628" i="144"/>
  <c r="S1620" i="144"/>
  <c r="F1620" i="144"/>
  <c r="S1640" i="144"/>
  <c r="F1640" i="144"/>
  <c r="S1600" i="144"/>
  <c r="F1600" i="144"/>
  <c r="AS122" i="71"/>
  <c r="AS142" i="71"/>
  <c r="F11" i="175"/>
  <c r="F9" i="175"/>
  <c r="J483" i="56"/>
  <c r="E13" i="170"/>
  <c r="G13" i="170"/>
  <c r="M163" i="71"/>
  <c r="J163" i="71"/>
  <c r="O21" i="1"/>
  <c r="Q21" i="1"/>
  <c r="P21" i="1"/>
  <c r="E21" i="1"/>
  <c r="F230" i="75"/>
  <c r="P28" i="1"/>
  <c r="E28" i="1"/>
  <c r="F211" i="75"/>
  <c r="O28" i="1"/>
  <c r="Q28" i="1"/>
  <c r="O182" i="1"/>
  <c r="Q182" i="1"/>
  <c r="P182" i="1"/>
  <c r="E182" i="1"/>
  <c r="F92" i="75"/>
  <c r="O16" i="140"/>
  <c r="K16" i="140"/>
  <c r="K11" i="140"/>
  <c r="O11" i="140"/>
  <c r="V108" i="71"/>
  <c r="M108" i="71"/>
  <c r="AS108" i="71"/>
  <c r="J158" i="71"/>
  <c r="P102" i="1"/>
  <c r="E102" i="1"/>
  <c r="F340" i="75"/>
  <c r="O102" i="1"/>
  <c r="Q102" i="1"/>
  <c r="S1612" i="144"/>
  <c r="F1612" i="144"/>
  <c r="S1604" i="144"/>
  <c r="F1604" i="144"/>
  <c r="E312" i="202"/>
  <c r="E295" i="202"/>
  <c r="J42" i="125"/>
  <c r="O462" i="187"/>
  <c r="Z49" i="71"/>
  <c r="AS49" i="71"/>
  <c r="O326" i="187"/>
  <c r="Q326" i="75"/>
  <c r="O310" i="187"/>
  <c r="Q310" i="75"/>
  <c r="O278" i="187"/>
  <c r="Q279" i="75"/>
  <c r="O246" i="187"/>
  <c r="Q246" i="75"/>
  <c r="O238" i="187"/>
  <c r="Q238" i="75"/>
  <c r="O142" i="187"/>
  <c r="Q145" i="75"/>
  <c r="O134" i="187"/>
  <c r="Q137" i="75"/>
  <c r="O78" i="187"/>
  <c r="Q82" i="75"/>
  <c r="O54" i="187"/>
  <c r="Q57" i="75"/>
  <c r="O30" i="187"/>
  <c r="Q31" i="75"/>
  <c r="O23" i="187"/>
  <c r="Q24" i="75"/>
  <c r="P159" i="71"/>
  <c r="J154" i="71"/>
  <c r="P50" i="71"/>
  <c r="P8" i="1"/>
  <c r="E8" i="1"/>
  <c r="K15" i="64"/>
  <c r="O8" i="1"/>
  <c r="Q8" i="1"/>
  <c r="O23" i="1"/>
  <c r="Q23" i="1"/>
  <c r="P23" i="1"/>
  <c r="E23" i="1"/>
  <c r="F294" i="75"/>
  <c r="P86" i="1"/>
  <c r="E86" i="1"/>
  <c r="F229" i="75"/>
  <c r="P106" i="1"/>
  <c r="E106" i="1"/>
  <c r="P128" i="1"/>
  <c r="E128" i="1"/>
  <c r="F129" i="75"/>
  <c r="O128" i="1"/>
  <c r="Q128" i="1"/>
  <c r="P175" i="1"/>
  <c r="E175" i="1"/>
  <c r="O175" i="1"/>
  <c r="Q175" i="1"/>
  <c r="E289" i="202"/>
  <c r="E24" i="97"/>
  <c r="B43" i="174"/>
  <c r="C12" i="169"/>
  <c r="B30" i="174"/>
  <c r="B22" i="174"/>
  <c r="B27" i="175"/>
  <c r="P155" i="71"/>
  <c r="M155" i="71"/>
  <c r="P57" i="1"/>
  <c r="E57" i="1"/>
  <c r="O57" i="1"/>
  <c r="Q57" i="1"/>
  <c r="P103" i="1"/>
  <c r="E103" i="1"/>
  <c r="F239" i="75"/>
  <c r="O103" i="1"/>
  <c r="Q103" i="1"/>
  <c r="M56" i="71"/>
  <c r="B16" i="175"/>
  <c r="C11" i="167"/>
  <c r="P161" i="71"/>
  <c r="O354" i="187"/>
  <c r="Q351" i="75"/>
  <c r="O314" i="187"/>
  <c r="Q314" i="75"/>
  <c r="O90" i="187"/>
  <c r="Q94" i="75"/>
  <c r="O327" i="187"/>
  <c r="Q327" i="75"/>
  <c r="Q47" i="75"/>
  <c r="G10" i="69"/>
  <c r="P59" i="1"/>
  <c r="E59" i="1"/>
  <c r="O59" i="1"/>
  <c r="Q59" i="1"/>
  <c r="O115" i="1"/>
  <c r="Q115" i="1"/>
  <c r="P115" i="1"/>
  <c r="E115" i="1"/>
  <c r="F258" i="75"/>
  <c r="P153" i="1"/>
  <c r="E153" i="1"/>
  <c r="O153" i="1"/>
  <c r="Q153" i="1"/>
  <c r="P156" i="71"/>
  <c r="P169" i="71"/>
  <c r="P153" i="71"/>
  <c r="O237" i="187"/>
  <c r="Q237" i="75"/>
  <c r="F419" i="75"/>
  <c r="I419" i="75"/>
  <c r="P14" i="1"/>
  <c r="E14" i="1"/>
  <c r="P31" i="1"/>
  <c r="E31" i="1"/>
  <c r="F244" i="75"/>
  <c r="P60" i="1"/>
  <c r="E60" i="1"/>
  <c r="P133" i="1"/>
  <c r="E133" i="1"/>
  <c r="P147" i="1"/>
  <c r="E147" i="1"/>
  <c r="P150" i="1"/>
  <c r="O320" i="187"/>
  <c r="Q320" i="75"/>
  <c r="P49" i="1"/>
  <c r="E49" i="1"/>
  <c r="O49" i="1"/>
  <c r="Q49" i="1"/>
  <c r="P71" i="1"/>
  <c r="E71" i="1"/>
  <c r="F373" i="75"/>
  <c r="O71" i="1"/>
  <c r="Q71" i="1"/>
  <c r="P126" i="1"/>
  <c r="E126" i="1"/>
  <c r="O126" i="1"/>
  <c r="Q126" i="1"/>
  <c r="P181" i="1"/>
  <c r="O181" i="1"/>
  <c r="S1763" i="144"/>
  <c r="F1763" i="144"/>
  <c r="S1755" i="144"/>
  <c r="F1755" i="144"/>
  <c r="S1747" i="144"/>
  <c r="F1747" i="144"/>
  <c r="S1739" i="144"/>
  <c r="F1739" i="144"/>
  <c r="S1731" i="144"/>
  <c r="F1731" i="144"/>
  <c r="S1723" i="144"/>
  <c r="F1723" i="144"/>
  <c r="S1707" i="144"/>
  <c r="F1707" i="144"/>
  <c r="S1691" i="144"/>
  <c r="F1691" i="144"/>
  <c r="S1683" i="144"/>
  <c r="F1683" i="144"/>
  <c r="S1667" i="144"/>
  <c r="F1667" i="144"/>
  <c r="S1659" i="144"/>
  <c r="F1659" i="144"/>
  <c r="S1643" i="144"/>
  <c r="F1643" i="144"/>
  <c r="S1635" i="144"/>
  <c r="F1635" i="144"/>
  <c r="S1627" i="144"/>
  <c r="F1627" i="144"/>
  <c r="S1619" i="144"/>
  <c r="F1619" i="144"/>
  <c r="S1611" i="144"/>
  <c r="F1611" i="144"/>
  <c r="S1603" i="144"/>
  <c r="F1603" i="144"/>
  <c r="S1595" i="144"/>
  <c r="F1595" i="144"/>
  <c r="S1571" i="144"/>
  <c r="F1571" i="144"/>
  <c r="S1555" i="144"/>
  <c r="F1555" i="144"/>
  <c r="S1531" i="144"/>
  <c r="F1531" i="144"/>
  <c r="S1507" i="144"/>
  <c r="F1507" i="144"/>
  <c r="S1499" i="144"/>
  <c r="F1499" i="144"/>
  <c r="S1491" i="144"/>
  <c r="F1491" i="144"/>
  <c r="S1475" i="144"/>
  <c r="F1475" i="144"/>
  <c r="S1467" i="144"/>
  <c r="F1467" i="144"/>
  <c r="S1459" i="144"/>
  <c r="F1459" i="144"/>
  <c r="S1427" i="144"/>
  <c r="F1427" i="144"/>
  <c r="S1419" i="144"/>
  <c r="F1419" i="144"/>
  <c r="S1411" i="144"/>
  <c r="F1411" i="144"/>
  <c r="S1403" i="144"/>
  <c r="F1403" i="144"/>
  <c r="S1395" i="144"/>
  <c r="F1395" i="144"/>
  <c r="S1363" i="144"/>
  <c r="F1363" i="144"/>
  <c r="S1355" i="144"/>
  <c r="F1355" i="144"/>
  <c r="S1275" i="144"/>
  <c r="F1275" i="144"/>
  <c r="S1259" i="144"/>
  <c r="F1259" i="144"/>
  <c r="S1203" i="144"/>
  <c r="F1203" i="144"/>
  <c r="S1195" i="144"/>
  <c r="F1195" i="144"/>
  <c r="S1187" i="144"/>
  <c r="F1187" i="144"/>
  <c r="S1179" i="144"/>
  <c r="F1179" i="144"/>
  <c r="S1139" i="144"/>
  <c r="F1139" i="144"/>
  <c r="S1123" i="144"/>
  <c r="F1123" i="144"/>
  <c r="S1075" i="144"/>
  <c r="F1075" i="144"/>
  <c r="S1051" i="144"/>
  <c r="F1051" i="144"/>
  <c r="S963" i="144"/>
  <c r="F963" i="144"/>
  <c r="P171" i="71"/>
  <c r="M149" i="71"/>
  <c r="P75" i="71"/>
  <c r="F98" i="75"/>
  <c r="J98" i="75"/>
  <c r="F425" i="75"/>
  <c r="I425" i="75"/>
  <c r="F421" i="75"/>
  <c r="I421" i="75"/>
  <c r="O155" i="1"/>
  <c r="Q155" i="1"/>
  <c r="O51" i="1"/>
  <c r="Q51" i="1"/>
  <c r="O151" i="1"/>
  <c r="Q151" i="1"/>
  <c r="O68" i="1"/>
  <c r="Q68" i="1"/>
  <c r="P58" i="1"/>
  <c r="E58" i="1"/>
  <c r="P82" i="1"/>
  <c r="E82" i="1"/>
  <c r="F197" i="75"/>
  <c r="P108" i="1"/>
  <c r="P177" i="1"/>
  <c r="E177" i="1"/>
  <c r="F249" i="75"/>
  <c r="S1853" i="144"/>
  <c r="F1853" i="144"/>
  <c r="S1845" i="144"/>
  <c r="F1845" i="144"/>
  <c r="S1829" i="144"/>
  <c r="F1829" i="144"/>
  <c r="S1805" i="144"/>
  <c r="F1805" i="144"/>
  <c r="S1797" i="144"/>
  <c r="F1797" i="144"/>
  <c r="F1537" i="144"/>
  <c r="F1545" i="144"/>
  <c r="B8" i="32"/>
  <c r="G28" i="64"/>
  <c r="H28" i="64"/>
  <c r="G20" i="64"/>
  <c r="H20" i="64"/>
  <c r="G12" i="64"/>
  <c r="H12" i="64"/>
  <c r="M29" i="64"/>
  <c r="L29" i="64"/>
  <c r="K32" i="64"/>
  <c r="G32" i="64"/>
  <c r="H32" i="64"/>
  <c r="G24" i="64"/>
  <c r="H24" i="64"/>
  <c r="G16" i="64"/>
  <c r="H16" i="64"/>
  <c r="K8" i="64"/>
  <c r="G8" i="64"/>
  <c r="J7" i="125"/>
  <c r="D4" i="26"/>
  <c r="I7" i="125"/>
  <c r="C4" i="26"/>
  <c r="J43" i="125"/>
  <c r="I43" i="125"/>
  <c r="J35" i="125"/>
  <c r="I35" i="125"/>
  <c r="I27" i="125"/>
  <c r="J27" i="125"/>
  <c r="I19" i="125"/>
  <c r="J19" i="125"/>
  <c r="I11" i="125"/>
  <c r="J11" i="125"/>
  <c r="Q58" i="1"/>
  <c r="Q95" i="1"/>
  <c r="Q10" i="1"/>
  <c r="Q16" i="1"/>
  <c r="Q32" i="1"/>
  <c r="Q45" i="1"/>
  <c r="Q61" i="1"/>
  <c r="Q67" i="1"/>
  <c r="Q122" i="1"/>
  <c r="Q174" i="1"/>
  <c r="Q161" i="1"/>
  <c r="Q66" i="1"/>
  <c r="Q157" i="1"/>
  <c r="Q14" i="1"/>
  <c r="Q160" i="1"/>
  <c r="Q114" i="1"/>
  <c r="Q149" i="1"/>
  <c r="Q79" i="1"/>
  <c r="Q104" i="1"/>
  <c r="Q148" i="1"/>
  <c r="Q131" i="1"/>
  <c r="Q82" i="1"/>
  <c r="Q54" i="1"/>
  <c r="Q129" i="1"/>
  <c r="Q60" i="1"/>
  <c r="Q91" i="1"/>
  <c r="Q81" i="1"/>
  <c r="Q98" i="1"/>
  <c r="Q156" i="1"/>
  <c r="Q13" i="1"/>
  <c r="Q119" i="1"/>
  <c r="Q165" i="1"/>
  <c r="Q99" i="1"/>
  <c r="Q31" i="1"/>
  <c r="Q183" i="1"/>
  <c r="Q25" i="1"/>
  <c r="Q78" i="1"/>
  <c r="Q152" i="1"/>
  <c r="Q170" i="1"/>
  <c r="Q9" i="1"/>
  <c r="Q97" i="1"/>
  <c r="Q22" i="1"/>
  <c r="Q85" i="1"/>
  <c r="Q120" i="1"/>
  <c r="Q133" i="1"/>
  <c r="Q146" i="1"/>
  <c r="Q179" i="1"/>
  <c r="Q86" i="1"/>
  <c r="Q158" i="1"/>
  <c r="Q168" i="1"/>
  <c r="Q111" i="1"/>
  <c r="Q70" i="1"/>
  <c r="Q72" i="1"/>
  <c r="Q63" i="1"/>
  <c r="Q75" i="1"/>
  <c r="Q154" i="1"/>
  <c r="Q125" i="1"/>
  <c r="Q92" i="1"/>
  <c r="Q163" i="1"/>
  <c r="Q167" i="1"/>
  <c r="Q93" i="1"/>
  <c r="Q177" i="1"/>
  <c r="Q176" i="1"/>
  <c r="Q139" i="1"/>
  <c r="Q106" i="1"/>
  <c r="Q164" i="1"/>
  <c r="Q159" i="1"/>
  <c r="Q147" i="1"/>
  <c r="Q89" i="1"/>
  <c r="G30" i="64"/>
  <c r="H30" i="64"/>
  <c r="K30" i="64"/>
  <c r="G22" i="64"/>
  <c r="H22" i="64"/>
  <c r="G14" i="64"/>
  <c r="H14" i="64"/>
  <c r="I8" i="125"/>
  <c r="J8" i="125"/>
  <c r="I49" i="125"/>
  <c r="J49" i="125"/>
  <c r="J41" i="125"/>
  <c r="I41" i="125"/>
  <c r="I33" i="125"/>
  <c r="J33" i="125"/>
  <c r="I25" i="125"/>
  <c r="J25" i="125"/>
  <c r="I17" i="125"/>
  <c r="J17" i="125"/>
  <c r="G23" i="106"/>
  <c r="F23" i="106"/>
  <c r="O178" i="1"/>
  <c r="P178" i="1"/>
  <c r="E178" i="1"/>
  <c r="F119" i="75"/>
  <c r="K33" i="64"/>
  <c r="G33" i="64"/>
  <c r="H33" i="64"/>
  <c r="G25" i="64"/>
  <c r="H25" i="64"/>
  <c r="K25" i="64"/>
  <c r="G17" i="64"/>
  <c r="H17" i="64"/>
  <c r="I9" i="125"/>
  <c r="J9" i="125"/>
  <c r="I52" i="125"/>
  <c r="J52" i="125"/>
  <c r="J44" i="125"/>
  <c r="I44" i="125"/>
  <c r="J36" i="125"/>
  <c r="I36" i="125"/>
  <c r="J28" i="125"/>
  <c r="I28" i="125"/>
  <c r="I20" i="125"/>
  <c r="J20" i="125"/>
  <c r="J12" i="125"/>
  <c r="I12" i="125"/>
  <c r="H26" i="106"/>
  <c r="H25" i="106"/>
  <c r="G28" i="106"/>
  <c r="G10" i="106"/>
  <c r="K10" i="102"/>
  <c r="I10" i="102"/>
  <c r="J10" i="102"/>
  <c r="F8" i="106"/>
  <c r="F12" i="175"/>
  <c r="G7" i="167"/>
  <c r="F30" i="175"/>
  <c r="H23" i="106"/>
  <c r="AS125" i="71"/>
  <c r="AS128" i="71"/>
  <c r="AS123" i="71"/>
  <c r="H17" i="106"/>
  <c r="I12" i="102"/>
  <c r="K12" i="102"/>
  <c r="H21" i="106"/>
  <c r="H27" i="106"/>
  <c r="H24" i="106"/>
  <c r="AS59" i="71"/>
  <c r="AS72" i="71"/>
  <c r="AS62" i="71"/>
  <c r="AS71" i="71"/>
  <c r="AR72" i="71"/>
  <c r="AR62" i="71"/>
  <c r="AR59" i="71"/>
  <c r="E12" i="106"/>
  <c r="G8" i="167"/>
  <c r="G9" i="167"/>
  <c r="E24" i="106"/>
  <c r="F24" i="106"/>
  <c r="AR123" i="71"/>
  <c r="AR126" i="71"/>
  <c r="AR128" i="71"/>
  <c r="E243" i="194"/>
  <c r="D266" i="194"/>
  <c r="H15" i="106"/>
  <c r="F11" i="106"/>
  <c r="F21" i="175"/>
  <c r="F8" i="175"/>
  <c r="E16" i="106"/>
  <c r="H16" i="106"/>
  <c r="F36" i="175"/>
  <c r="F24" i="175"/>
  <c r="AQ129" i="71"/>
  <c r="AR129" i="71"/>
  <c r="F19" i="106"/>
  <c r="K16" i="102"/>
  <c r="AR114" i="71"/>
  <c r="F33" i="175"/>
  <c r="E179" i="1"/>
  <c r="E98" i="1"/>
  <c r="F362" i="75"/>
  <c r="E92" i="1"/>
  <c r="E88" i="1"/>
  <c r="F264" i="75"/>
  <c r="E78" i="1"/>
  <c r="F205" i="75"/>
  <c r="E72" i="1"/>
  <c r="F290" i="75"/>
  <c r="E68" i="1"/>
  <c r="E66" i="1"/>
  <c r="E32" i="1"/>
  <c r="F234" i="75"/>
  <c r="E125" i="1"/>
  <c r="F315" i="75"/>
  <c r="E119" i="1"/>
  <c r="F282" i="75"/>
  <c r="E113" i="1"/>
  <c r="F226" i="75"/>
  <c r="E75" i="1"/>
  <c r="F146" i="75"/>
  <c r="E41" i="1"/>
  <c r="F126" i="75"/>
  <c r="E132" i="1"/>
  <c r="F190" i="75"/>
  <c r="E93" i="1"/>
  <c r="F43" i="75"/>
  <c r="E69" i="1"/>
  <c r="F319" i="75"/>
  <c r="E13" i="1"/>
  <c r="E139" i="1"/>
  <c r="F391" i="75"/>
  <c r="E122" i="1"/>
  <c r="E50" i="1"/>
  <c r="E18" i="1"/>
  <c r="E79" i="1"/>
  <c r="F365" i="75"/>
  <c r="E174" i="1"/>
  <c r="F341" i="75"/>
  <c r="E149" i="1"/>
  <c r="F392" i="75"/>
  <c r="E95" i="1"/>
  <c r="F238" i="75"/>
  <c r="E16" i="1"/>
  <c r="E164" i="1"/>
  <c r="F84" i="75"/>
  <c r="E129" i="1"/>
  <c r="F257" i="75"/>
  <c r="E54" i="1"/>
  <c r="E51" i="1"/>
  <c r="F153" i="75"/>
  <c r="E25" i="1"/>
  <c r="E136" i="1"/>
  <c r="E131" i="1"/>
  <c r="E120" i="1"/>
  <c r="E45" i="1"/>
  <c r="F225" i="75"/>
  <c r="E156" i="1"/>
  <c r="E152" i="1"/>
  <c r="E97" i="1"/>
  <c r="F394" i="75"/>
  <c r="E154" i="1"/>
  <c r="E27" i="1"/>
  <c r="F59" i="75"/>
  <c r="E151" i="1"/>
  <c r="E158" i="1"/>
  <c r="F233" i="75"/>
  <c r="E155" i="1"/>
  <c r="F215" i="75"/>
  <c r="E9" i="1"/>
  <c r="F127" i="75"/>
  <c r="E61" i="1"/>
  <c r="F384" i="75"/>
  <c r="E67" i="1"/>
  <c r="F328" i="75"/>
  <c r="E10" i="1"/>
  <c r="F372" i="75"/>
  <c r="E168" i="1"/>
  <c r="F361" i="75"/>
  <c r="E148" i="1"/>
  <c r="E104" i="1"/>
  <c r="F186" i="75"/>
  <c r="E146" i="1"/>
  <c r="F182" i="75"/>
  <c r="E24" i="1"/>
  <c r="F292" i="75"/>
  <c r="E99" i="1"/>
  <c r="F192" i="75"/>
  <c r="E63" i="1"/>
  <c r="E114" i="1"/>
  <c r="F227" i="75"/>
  <c r="E171" i="1"/>
  <c r="E170" i="1"/>
  <c r="F397" i="75"/>
  <c r="K29" i="64"/>
  <c r="G29" i="64"/>
  <c r="H29" i="64"/>
  <c r="G21" i="64"/>
  <c r="H21" i="64"/>
  <c r="G13" i="64"/>
  <c r="H13" i="64"/>
  <c r="I48" i="125"/>
  <c r="J48" i="125"/>
  <c r="I40" i="125"/>
  <c r="J40" i="125"/>
  <c r="I32" i="125"/>
  <c r="J32" i="125"/>
  <c r="J24" i="125"/>
  <c r="I24" i="125"/>
  <c r="I16" i="125"/>
  <c r="J16" i="125"/>
  <c r="I16" i="102"/>
  <c r="J16" i="102"/>
  <c r="AR115" i="71"/>
  <c r="AQ55" i="71"/>
  <c r="AR77" i="71"/>
  <c r="AR79" i="71"/>
  <c r="AR88" i="71"/>
  <c r="AR78" i="71"/>
  <c r="H10" i="106"/>
  <c r="H9" i="106"/>
  <c r="I8" i="102"/>
  <c r="J8" i="102"/>
  <c r="F7" i="106"/>
  <c r="AR135" i="71"/>
  <c r="AS114" i="71"/>
  <c r="AS116" i="71"/>
  <c r="AS115" i="71"/>
  <c r="K24" i="69"/>
  <c r="N118" i="71"/>
  <c r="O118" i="71"/>
  <c r="P21" i="140"/>
  <c r="H22" i="106"/>
  <c r="F20" i="106"/>
  <c r="K7" i="102"/>
  <c r="AQ114" i="71"/>
  <c r="AQ116" i="71"/>
  <c r="H8" i="106"/>
  <c r="I10" i="125"/>
  <c r="J10" i="125"/>
  <c r="O517" i="187"/>
  <c r="Z105" i="71"/>
  <c r="I420" i="75"/>
  <c r="J420" i="75"/>
  <c r="V102" i="71"/>
  <c r="AR102" i="71"/>
  <c r="AQ102" i="71"/>
  <c r="V144" i="71"/>
  <c r="P144" i="71"/>
  <c r="AS144" i="71"/>
  <c r="J144" i="71"/>
  <c r="M144" i="71"/>
  <c r="V150" i="71"/>
  <c r="P150" i="71"/>
  <c r="M150" i="71"/>
  <c r="J83" i="56"/>
  <c r="J155" i="56"/>
  <c r="J147" i="56"/>
  <c r="J603" i="56"/>
  <c r="J588" i="56"/>
  <c r="J486" i="56"/>
  <c r="J479" i="56"/>
  <c r="J471" i="56"/>
  <c r="J432" i="56"/>
  <c r="J393" i="56"/>
  <c r="J353" i="56"/>
  <c r="J338" i="56"/>
  <c r="J298" i="56"/>
  <c r="J275" i="56"/>
  <c r="J252" i="56"/>
  <c r="J237" i="56"/>
  <c r="J229" i="56"/>
  <c r="J189" i="56"/>
  <c r="J181" i="56"/>
  <c r="J166" i="56"/>
  <c r="J150" i="56"/>
  <c r="J118" i="56"/>
  <c r="J86" i="56"/>
  <c r="J78" i="56"/>
  <c r="J54" i="56"/>
  <c r="J38" i="56"/>
  <c r="J22" i="56"/>
  <c r="AQ161" i="71"/>
  <c r="AQ8" i="71"/>
  <c r="AQ75" i="71"/>
  <c r="AQ80" i="71"/>
  <c r="AQ31" i="71"/>
  <c r="AQ113" i="71"/>
  <c r="AQ121" i="71"/>
  <c r="AQ148" i="71"/>
  <c r="AQ146" i="71"/>
  <c r="AQ120" i="71"/>
  <c r="AQ167" i="71"/>
  <c r="AQ44" i="71"/>
  <c r="AQ45" i="71"/>
  <c r="AQ34" i="71"/>
  <c r="AQ159" i="71"/>
  <c r="AQ163" i="71"/>
  <c r="AQ171" i="71"/>
  <c r="AQ169" i="71"/>
  <c r="AQ50" i="71"/>
  <c r="AQ56" i="71"/>
  <c r="AQ157" i="71"/>
  <c r="AQ21" i="71"/>
  <c r="AQ123" i="71"/>
  <c r="AQ72" i="71"/>
  <c r="H19" i="106"/>
  <c r="I17" i="102"/>
  <c r="J17" i="102"/>
  <c r="F17" i="106"/>
  <c r="AQ134" i="71"/>
  <c r="AQ78" i="71"/>
  <c r="AQ88" i="71"/>
  <c r="AR16" i="71"/>
  <c r="AR49" i="71"/>
  <c r="AR13" i="71"/>
  <c r="C8" i="108"/>
  <c r="C9" i="108"/>
  <c r="B4" i="27"/>
  <c r="J50" i="56"/>
  <c r="J146" i="56"/>
  <c r="J242" i="56"/>
  <c r="J208" i="56"/>
  <c r="J444" i="56"/>
  <c r="J41" i="56"/>
  <c r="J145" i="56"/>
  <c r="J406" i="56"/>
  <c r="J45" i="56"/>
  <c r="J356" i="56"/>
  <c r="J464" i="56"/>
  <c r="J568" i="56"/>
  <c r="J351" i="56"/>
  <c r="J535" i="56"/>
  <c r="J43" i="56"/>
  <c r="J263" i="56"/>
  <c r="J69" i="56"/>
  <c r="AR15" i="71"/>
  <c r="AQ19" i="71"/>
  <c r="AQ16" i="71"/>
  <c r="AQ79" i="71"/>
  <c r="AQ71" i="71"/>
  <c r="AQ24" i="71"/>
  <c r="AQ66" i="71"/>
  <c r="J163" i="56"/>
  <c r="J499" i="56"/>
  <c r="J323" i="56"/>
  <c r="AQ145" i="71"/>
  <c r="AQ155" i="71"/>
  <c r="J624" i="56"/>
  <c r="J507" i="56"/>
  <c r="J358" i="56"/>
  <c r="J342" i="56"/>
  <c r="J327" i="56"/>
  <c r="J194" i="56"/>
  <c r="J139" i="56"/>
  <c r="J115" i="56"/>
  <c r="J107" i="56"/>
  <c r="J67" i="56"/>
  <c r="J35" i="56"/>
  <c r="J27" i="56"/>
  <c r="J595" i="56"/>
  <c r="J403" i="56"/>
  <c r="J211" i="56"/>
  <c r="J549" i="56"/>
  <c r="J101" i="56"/>
  <c r="J615" i="56"/>
  <c r="J484" i="56"/>
  <c r="J308" i="56"/>
  <c r="J438" i="56"/>
  <c r="J584" i="56"/>
  <c r="J392" i="56"/>
  <c r="J285" i="56"/>
  <c r="J149" i="56"/>
  <c r="J29" i="56"/>
  <c r="J518" i="56"/>
  <c r="C7" i="16"/>
  <c r="C6" i="27"/>
  <c r="E6" i="27"/>
  <c r="J569" i="56"/>
  <c r="J441" i="56"/>
  <c r="J377" i="56"/>
  <c r="J249" i="56"/>
  <c r="J185" i="56"/>
  <c r="J533" i="56"/>
  <c r="J618" i="56"/>
  <c r="J554" i="56"/>
  <c r="J426" i="56"/>
  <c r="J362" i="56"/>
  <c r="J200" i="56"/>
  <c r="J226" i="56"/>
  <c r="J162" i="56"/>
  <c r="J130" i="56"/>
  <c r="J98" i="56"/>
  <c r="J66" i="56"/>
  <c r="J34" i="56"/>
  <c r="J7" i="56"/>
  <c r="J587" i="56"/>
  <c r="J395" i="56"/>
  <c r="J203" i="56"/>
  <c r="J523" i="56"/>
  <c r="J331" i="56"/>
  <c r="J477" i="56"/>
  <c r="J53" i="56"/>
  <c r="J431" i="56"/>
  <c r="J423" i="56"/>
  <c r="J572" i="56"/>
  <c r="J380" i="56"/>
  <c r="J541" i="56"/>
  <c r="J109" i="56"/>
  <c r="J454" i="56"/>
  <c r="J461" i="56"/>
  <c r="J188" i="56"/>
  <c r="J246" i="56"/>
  <c r="J219" i="56"/>
  <c r="J515" i="56"/>
  <c r="J227" i="56"/>
  <c r="J293" i="56"/>
  <c r="J133" i="56"/>
  <c r="J343" i="56"/>
  <c r="J247" i="56"/>
  <c r="J630" i="56"/>
  <c r="J334" i="56"/>
  <c r="J503" i="56"/>
  <c r="J472" i="56"/>
  <c r="J296" i="56"/>
  <c r="J500" i="56"/>
  <c r="J357" i="56"/>
  <c r="J13" i="56"/>
  <c r="J561" i="56"/>
  <c r="J473" i="56"/>
  <c r="J137" i="56"/>
  <c r="J49" i="56"/>
  <c r="J492" i="56"/>
  <c r="J610" i="56"/>
  <c r="J522" i="56"/>
  <c r="J354" i="56"/>
  <c r="J224" i="56"/>
  <c r="J180" i="56"/>
  <c r="J250" i="56"/>
  <c r="J122" i="56"/>
  <c r="P55" i="1"/>
  <c r="E55" i="1"/>
  <c r="F223" i="75"/>
  <c r="O55" i="1"/>
  <c r="Q55" i="1"/>
  <c r="F596" i="144"/>
  <c r="K7" i="64"/>
  <c r="F694" i="144"/>
  <c r="B38" i="174"/>
  <c r="B23" i="174"/>
  <c r="B18" i="174"/>
  <c r="B33" i="174"/>
  <c r="B10" i="174"/>
  <c r="B28" i="174"/>
  <c r="B16" i="174"/>
  <c r="E29" i="170"/>
  <c r="G29" i="170"/>
  <c r="E19" i="170"/>
  <c r="G19" i="170"/>
  <c r="B21" i="175"/>
  <c r="B25" i="175"/>
  <c r="G7" i="170"/>
  <c r="E7" i="170"/>
  <c r="B14" i="175"/>
  <c r="B15" i="175"/>
  <c r="B31" i="175"/>
  <c r="C8" i="167"/>
  <c r="B46" i="175"/>
  <c r="C7" i="167"/>
  <c r="AQ23" i="71"/>
  <c r="AR23" i="71"/>
  <c r="O123" i="1"/>
  <c r="P123" i="1"/>
  <c r="E123" i="1"/>
  <c r="F366" i="75"/>
  <c r="P140" i="1"/>
  <c r="E140" i="1"/>
  <c r="O140" i="1"/>
  <c r="J605" i="56"/>
  <c r="J582" i="56"/>
  <c r="J558" i="56"/>
  <c r="J551" i="56"/>
  <c r="J520" i="56"/>
  <c r="J496" i="56"/>
  <c r="J481" i="56"/>
  <c r="J387" i="56"/>
  <c r="J309" i="56"/>
  <c r="J278" i="56"/>
  <c r="J255" i="56"/>
  <c r="J232" i="56"/>
  <c r="J161" i="56"/>
  <c r="J121" i="56"/>
  <c r="J97" i="56"/>
  <c r="J57" i="56"/>
  <c r="J33" i="56"/>
  <c r="F25" i="106"/>
  <c r="H18" i="106"/>
  <c r="F7" i="144"/>
  <c r="B14" i="174"/>
  <c r="B12" i="174"/>
  <c r="B15" i="174"/>
  <c r="B31" i="174"/>
  <c r="B7" i="174"/>
  <c r="B32" i="174"/>
  <c r="G16" i="170"/>
  <c r="E16" i="170"/>
  <c r="G26" i="170"/>
  <c r="E26" i="170"/>
  <c r="B38" i="175"/>
  <c r="E10" i="170"/>
  <c r="G10" i="170"/>
  <c r="B23" i="175"/>
  <c r="B13" i="175"/>
  <c r="C9" i="167"/>
  <c r="B17" i="175"/>
  <c r="C10" i="167"/>
  <c r="F38" i="124"/>
  <c r="F56" i="124"/>
  <c r="F22" i="124"/>
  <c r="F40" i="124"/>
  <c r="F54" i="124"/>
  <c r="F20" i="124"/>
  <c r="F31" i="124"/>
  <c r="F21" i="124"/>
  <c r="F35" i="124"/>
  <c r="F48" i="124"/>
  <c r="F11" i="124"/>
  <c r="F16" i="124"/>
  <c r="F46" i="124"/>
  <c r="F9" i="124"/>
  <c r="F18" i="124"/>
  <c r="F32" i="124"/>
  <c r="F41" i="124"/>
  <c r="F51" i="124"/>
  <c r="F47" i="124"/>
  <c r="F53" i="124"/>
  <c r="F45" i="124"/>
  <c r="F12" i="124"/>
  <c r="F42" i="124"/>
  <c r="F43" i="124"/>
  <c r="H43" i="124"/>
  <c r="F44" i="124"/>
  <c r="F37" i="124"/>
  <c r="F25" i="124"/>
  <c r="F26" i="124"/>
  <c r="F23" i="124"/>
  <c r="H23" i="124"/>
  <c r="F24" i="124"/>
  <c r="F49" i="124"/>
  <c r="F29" i="124"/>
  <c r="F8" i="124"/>
  <c r="F17" i="124"/>
  <c r="F36" i="124"/>
  <c r="F34" i="124"/>
  <c r="F10" i="124"/>
  <c r="F28" i="124"/>
  <c r="C7" i="169"/>
  <c r="B44" i="174"/>
  <c r="I53" i="125"/>
  <c r="I29" i="125"/>
  <c r="I21" i="125"/>
  <c r="B24" i="174"/>
  <c r="B37" i="174"/>
  <c r="C9" i="169"/>
  <c r="B17" i="174"/>
  <c r="C8" i="169"/>
  <c r="B35" i="174"/>
  <c r="E30" i="170"/>
  <c r="G30" i="170"/>
  <c r="B24" i="175"/>
  <c r="B20" i="175"/>
  <c r="E24" i="170"/>
  <c r="B34" i="175"/>
  <c r="G24" i="170"/>
  <c r="B28" i="175"/>
  <c r="B7" i="175"/>
  <c r="E11" i="170"/>
  <c r="G11" i="170"/>
  <c r="B36" i="175"/>
  <c r="I55" i="125"/>
  <c r="J46" i="125"/>
  <c r="I42" i="125"/>
  <c r="I38" i="125"/>
  <c r="J38" i="125"/>
  <c r="AQ15" i="71"/>
  <c r="AS15" i="71"/>
  <c r="AS131" i="71"/>
  <c r="AR131" i="71"/>
  <c r="Q231" i="75"/>
  <c r="G11" i="69"/>
  <c r="V42" i="71"/>
  <c r="V99" i="71"/>
  <c r="V147" i="71"/>
  <c r="AS147" i="71"/>
  <c r="AQ147" i="71"/>
  <c r="M147" i="71"/>
  <c r="J560" i="56"/>
  <c r="J545" i="56"/>
  <c r="J530" i="56"/>
  <c r="J490" i="56"/>
  <c r="J467" i="56"/>
  <c r="J452" i="56"/>
  <c r="J429" i="56"/>
  <c r="J374" i="56"/>
  <c r="J359" i="56"/>
  <c r="J328" i="56"/>
  <c r="J304" i="56"/>
  <c r="J289" i="56"/>
  <c r="J258" i="56"/>
  <c r="AS31" i="71"/>
  <c r="AQ140" i="71"/>
  <c r="AQ125" i="71"/>
  <c r="AQ62" i="71"/>
  <c r="AQ59" i="71"/>
  <c r="AS84" i="71"/>
  <c r="F9" i="106"/>
  <c r="AQ49" i="71"/>
  <c r="AQ11" i="71"/>
  <c r="E252" i="194"/>
  <c r="B46" i="174"/>
  <c r="F207" i="144"/>
  <c r="H9" i="170"/>
  <c r="J375" i="75"/>
  <c r="I375" i="75"/>
  <c r="Q183" i="75"/>
  <c r="O183" i="187"/>
  <c r="Q185" i="75"/>
  <c r="G18" i="69"/>
  <c r="O140" i="187"/>
  <c r="Q143" i="75"/>
  <c r="O139" i="187"/>
  <c r="Q140" i="75"/>
  <c r="O138" i="187"/>
  <c r="Q141" i="75"/>
  <c r="Q62" i="75"/>
  <c r="O60" i="187"/>
  <c r="Q63" i="75"/>
  <c r="O61" i="187"/>
  <c r="Q64" i="75"/>
  <c r="V118" i="71"/>
  <c r="AS118" i="71"/>
  <c r="P172" i="71"/>
  <c r="V172" i="71"/>
  <c r="AS172" i="71"/>
  <c r="J172" i="71"/>
  <c r="AR172" i="71"/>
  <c r="O9" i="75"/>
  <c r="O20" i="75"/>
  <c r="O32" i="75"/>
  <c r="O41" i="75"/>
  <c r="O50" i="75"/>
  <c r="O64" i="75"/>
  <c r="O93" i="75"/>
  <c r="O102" i="75"/>
  <c r="O111" i="75"/>
  <c r="O118" i="75"/>
  <c r="O126" i="75"/>
  <c r="O134" i="75"/>
  <c r="O142" i="75"/>
  <c r="O150" i="75"/>
  <c r="O158" i="75"/>
  <c r="O166" i="75"/>
  <c r="O174" i="75"/>
  <c r="O182" i="75"/>
  <c r="O198" i="75"/>
  <c r="O206" i="75"/>
  <c r="O214" i="75"/>
  <c r="O230" i="75"/>
  <c r="O254" i="75"/>
  <c r="O262" i="75"/>
  <c r="O270" i="75"/>
  <c r="O278" i="75"/>
  <c r="O286" i="75"/>
  <c r="O294" i="75"/>
  <c r="O310" i="75"/>
  <c r="O318" i="75"/>
  <c r="O326" i="75"/>
  <c r="O334" i="75"/>
  <c r="F334" i="75"/>
  <c r="M9" i="64"/>
  <c r="O342" i="75"/>
  <c r="O350" i="75"/>
  <c r="O358" i="75"/>
  <c r="O374" i="75"/>
  <c r="O382" i="75"/>
  <c r="O398" i="75"/>
  <c r="F398" i="75"/>
  <c r="F406" i="75"/>
  <c r="O406" i="75"/>
  <c r="F414" i="75"/>
  <c r="O414" i="75"/>
  <c r="O422" i="75"/>
  <c r="F422" i="75"/>
  <c r="B9" i="182"/>
  <c r="O172" i="1"/>
  <c r="P172" i="1"/>
  <c r="K34" i="64"/>
  <c r="G34" i="64"/>
  <c r="H34" i="64"/>
  <c r="G26" i="64"/>
  <c r="H26" i="64"/>
  <c r="K26" i="64"/>
  <c r="J21" i="125"/>
  <c r="K31" i="64"/>
  <c r="Q37" i="75"/>
  <c r="O40" i="187"/>
  <c r="Q41" i="75"/>
  <c r="J66" i="75"/>
  <c r="I66" i="75"/>
  <c r="O48" i="1"/>
  <c r="P48" i="1"/>
  <c r="E48" i="1"/>
  <c r="K14" i="64"/>
  <c r="J29" i="125"/>
  <c r="G10" i="64"/>
  <c r="H10" i="64"/>
  <c r="F26" i="170"/>
  <c r="B34" i="174"/>
  <c r="B20" i="174"/>
  <c r="G12" i="170"/>
  <c r="E12" i="170"/>
  <c r="B37" i="175"/>
  <c r="B39" i="175"/>
  <c r="B35" i="175"/>
  <c r="I23" i="125"/>
  <c r="J23" i="125"/>
  <c r="J15" i="125"/>
  <c r="I53" i="75"/>
  <c r="J53" i="75"/>
  <c r="I247" i="75"/>
  <c r="J247" i="75"/>
  <c r="O19" i="140"/>
  <c r="G19" i="140"/>
  <c r="K19" i="140"/>
  <c r="G15" i="140"/>
  <c r="O15" i="140"/>
  <c r="K15" i="140"/>
  <c r="O12" i="140"/>
  <c r="K12" i="140"/>
  <c r="G9" i="140"/>
  <c r="O9" i="140"/>
  <c r="K7" i="140"/>
  <c r="O7" i="140"/>
  <c r="G7" i="140"/>
  <c r="H13" i="170"/>
  <c r="F1543" i="144"/>
  <c r="G18" i="64"/>
  <c r="H18" i="64"/>
  <c r="I363" i="75"/>
  <c r="J363" i="75"/>
  <c r="K9" i="140"/>
  <c r="I31" i="125"/>
  <c r="J31" i="125"/>
  <c r="O100" i="187"/>
  <c r="Q104" i="75"/>
  <c r="O107" i="187"/>
  <c r="Q110" i="75"/>
  <c r="V167" i="71"/>
  <c r="M167" i="71"/>
  <c r="J167" i="71"/>
  <c r="J139" i="71"/>
  <c r="P139" i="71"/>
  <c r="J423" i="75"/>
  <c r="I423" i="75"/>
  <c r="Q7" i="75"/>
  <c r="G21" i="69"/>
  <c r="O26" i="187"/>
  <c r="Q27" i="75"/>
  <c r="O8" i="187"/>
  <c r="O14" i="187"/>
  <c r="Q14" i="75"/>
  <c r="J412" i="75"/>
  <c r="M120" i="71"/>
  <c r="P120" i="71"/>
  <c r="AS82" i="71"/>
  <c r="J82" i="71"/>
  <c r="Q195" i="75"/>
  <c r="O196" i="187"/>
  <c r="Q196" i="75"/>
  <c r="K26" i="140"/>
  <c r="G26" i="140"/>
  <c r="O26" i="140"/>
  <c r="K14" i="140"/>
  <c r="O14" i="140"/>
  <c r="G14" i="140"/>
  <c r="O518" i="187"/>
  <c r="Z106" i="71"/>
  <c r="AS158" i="71"/>
  <c r="M158" i="71"/>
  <c r="V158" i="71"/>
  <c r="S210" i="144"/>
  <c r="S1808" i="144"/>
  <c r="F1808" i="144"/>
  <c r="S1533" i="144"/>
  <c r="S50" i="144"/>
  <c r="F50" i="144"/>
  <c r="S114" i="144"/>
  <c r="F114" i="144"/>
  <c r="S146" i="144"/>
  <c r="F146" i="144"/>
  <c r="S218" i="144"/>
  <c r="F218" i="144"/>
  <c r="S282" i="144"/>
  <c r="F282" i="144"/>
  <c r="S346" i="144"/>
  <c r="F346" i="144"/>
  <c r="S386" i="144"/>
  <c r="F386" i="144"/>
  <c r="S450" i="144"/>
  <c r="F450" i="144"/>
  <c r="S514" i="144"/>
  <c r="F514" i="144"/>
  <c r="S584" i="144"/>
  <c r="F584" i="144"/>
  <c r="S618" i="144"/>
  <c r="F618" i="144"/>
  <c r="S682" i="144"/>
  <c r="F682" i="144"/>
  <c r="S746" i="144"/>
  <c r="F746" i="144"/>
  <c r="S802" i="144"/>
  <c r="F802" i="144"/>
  <c r="S840" i="144"/>
  <c r="F840" i="144"/>
  <c r="S898" i="144"/>
  <c r="F898" i="144"/>
  <c r="S954" i="144"/>
  <c r="F954" i="144"/>
  <c r="S1000" i="144"/>
  <c r="F1000" i="144"/>
  <c r="S1018" i="144"/>
  <c r="F1018" i="144"/>
  <c r="S1066" i="144"/>
  <c r="F1066" i="144"/>
  <c r="S1104" i="144"/>
  <c r="F1104" i="144"/>
  <c r="S23" i="144"/>
  <c r="F23" i="144"/>
  <c r="S41" i="144"/>
  <c r="F41" i="144"/>
  <c r="S73" i="144"/>
  <c r="F73" i="144"/>
  <c r="S125" i="144"/>
  <c r="F125" i="144"/>
  <c r="S161" i="144"/>
  <c r="F161" i="144"/>
  <c r="S185" i="144"/>
  <c r="F185" i="144"/>
  <c r="S217" i="144"/>
  <c r="F217" i="144"/>
  <c r="S255" i="144"/>
  <c r="F255" i="144"/>
  <c r="S285" i="144"/>
  <c r="F285" i="144"/>
  <c r="S305" i="144"/>
  <c r="F305" i="144"/>
  <c r="S341" i="144"/>
  <c r="F341" i="144"/>
  <c r="S383" i="144"/>
  <c r="F383" i="144"/>
  <c r="S417" i="144"/>
  <c r="F417" i="144"/>
  <c r="S441" i="144"/>
  <c r="F441" i="144"/>
  <c r="S469" i="144"/>
  <c r="F469" i="144"/>
  <c r="S497" i="144"/>
  <c r="F497" i="144"/>
  <c r="S559" i="144"/>
  <c r="F559" i="144"/>
  <c r="S577" i="144"/>
  <c r="F577" i="144"/>
  <c r="S623" i="144"/>
  <c r="F623" i="144"/>
  <c r="S665" i="144"/>
  <c r="F665" i="144"/>
  <c r="S703" i="144"/>
  <c r="F703" i="144"/>
  <c r="S719" i="144"/>
  <c r="F719" i="144"/>
  <c r="S749" i="144"/>
  <c r="F749" i="144"/>
  <c r="S783" i="144"/>
  <c r="F783" i="144"/>
  <c r="S821" i="144"/>
  <c r="F821" i="144"/>
  <c r="S839" i="144"/>
  <c r="F839" i="144"/>
  <c r="S877" i="144"/>
  <c r="F877" i="144"/>
  <c r="S913" i="144"/>
  <c r="F913" i="144"/>
  <c r="S961" i="144"/>
  <c r="F961" i="144"/>
  <c r="S977" i="144"/>
  <c r="F977" i="144"/>
  <c r="S1023" i="144"/>
  <c r="F1023" i="144"/>
  <c r="S1055" i="144"/>
  <c r="F1055" i="144"/>
  <c r="S1152" i="144"/>
  <c r="F1152" i="144"/>
  <c r="S1170" i="144"/>
  <c r="F1170" i="144"/>
  <c r="S1216" i="144"/>
  <c r="F1216" i="144"/>
  <c r="S1256" i="144"/>
  <c r="F1256" i="144"/>
  <c r="S1296" i="144"/>
  <c r="F1296" i="144"/>
  <c r="S1322" i="144"/>
  <c r="F1322" i="144"/>
  <c r="S1362" i="144"/>
  <c r="F1362" i="144"/>
  <c r="S1410" i="144"/>
  <c r="F1410" i="144"/>
  <c r="S1448" i="144"/>
  <c r="F1448" i="144"/>
  <c r="S1474" i="144"/>
  <c r="F1474" i="144"/>
  <c r="S1520" i="144"/>
  <c r="F1520" i="144"/>
  <c r="S1576" i="144"/>
  <c r="F1576" i="144"/>
  <c r="S1624" i="144"/>
  <c r="F1624" i="144"/>
  <c r="S1656" i="144"/>
  <c r="F1656" i="144"/>
  <c r="S1690" i="144"/>
  <c r="F1690" i="144"/>
  <c r="S1736" i="144"/>
  <c r="F1736" i="144"/>
  <c r="S1776" i="144"/>
  <c r="F1776" i="144"/>
  <c r="S1818" i="144"/>
  <c r="F1818" i="144"/>
  <c r="S1850" i="144"/>
  <c r="F1850" i="144"/>
  <c r="S1872" i="144"/>
  <c r="F1872" i="144"/>
  <c r="S1103" i="144"/>
  <c r="F1103" i="144"/>
  <c r="S1119" i="144"/>
  <c r="F1119" i="144"/>
  <c r="S1149" i="144"/>
  <c r="F1149" i="144"/>
  <c r="S1183" i="144"/>
  <c r="F1183" i="144"/>
  <c r="S1221" i="144"/>
  <c r="F1221" i="144"/>
  <c r="S1233" i="144"/>
  <c r="F1233" i="144"/>
  <c r="S1265" i="144"/>
  <c r="F1265" i="144"/>
  <c r="S1297" i="144"/>
  <c r="F1297" i="144"/>
  <c r="S1333" i="144"/>
  <c r="F1333" i="144"/>
  <c r="S1345" i="144"/>
  <c r="F1345" i="144"/>
  <c r="S1385" i="144"/>
  <c r="F1385" i="144"/>
  <c r="S1413" i="144"/>
  <c r="F1413" i="144"/>
  <c r="S1441" i="144"/>
  <c r="F1441" i="144"/>
  <c r="S1455" i="144"/>
  <c r="F1455" i="144"/>
  <c r="S1489" i="144"/>
  <c r="F1489" i="144"/>
  <c r="S1513" i="144"/>
  <c r="F1513" i="144"/>
  <c r="S1553" i="144"/>
  <c r="F1553" i="144"/>
  <c r="S1567" i="144"/>
  <c r="F1567" i="144"/>
  <c r="S1613" i="144"/>
  <c r="F1613" i="144"/>
  <c r="S1641" i="144"/>
  <c r="F1641" i="144"/>
  <c r="S1677" i="144"/>
  <c r="F1677" i="144"/>
  <c r="S1693" i="144"/>
  <c r="F1693" i="144"/>
  <c r="S1727" i="144"/>
  <c r="F1727" i="144"/>
  <c r="S1751" i="144"/>
  <c r="F1751" i="144"/>
  <c r="S1769" i="144"/>
  <c r="F1769" i="144"/>
  <c r="S1783" i="144"/>
  <c r="F1783" i="144"/>
  <c r="S1815" i="144"/>
  <c r="F1815" i="144"/>
  <c r="S1839" i="144"/>
  <c r="F1839" i="144"/>
  <c r="S1857" i="144"/>
  <c r="F1857" i="144"/>
  <c r="S1867" i="144"/>
  <c r="F1867" i="144"/>
  <c r="S312" i="144"/>
  <c r="F312" i="144"/>
  <c r="S355" i="144"/>
  <c r="F355" i="144"/>
  <c r="S380" i="144"/>
  <c r="F380" i="144"/>
  <c r="S396" i="144"/>
  <c r="F396" i="144"/>
  <c r="S424" i="144"/>
  <c r="F424" i="144"/>
  <c r="S455" i="144"/>
  <c r="F455" i="144"/>
  <c r="S488" i="144"/>
  <c r="F488" i="144"/>
  <c r="S504" i="144"/>
  <c r="F504" i="144"/>
  <c r="S532" i="144"/>
  <c r="F532" i="144"/>
  <c r="S557" i="144"/>
  <c r="F557" i="144"/>
  <c r="S588" i="144"/>
  <c r="F588" i="144"/>
  <c r="S603" i="144"/>
  <c r="F603" i="144"/>
  <c r="S628" i="144"/>
  <c r="F628" i="144"/>
  <c r="S656" i="144"/>
  <c r="F656" i="144"/>
  <c r="S684" i="144"/>
  <c r="F684" i="144"/>
  <c r="S701" i="144"/>
  <c r="F701" i="144"/>
  <c r="S734" i="144"/>
  <c r="F734" i="144"/>
  <c r="S765" i="144"/>
  <c r="F765" i="144"/>
  <c r="S797" i="144"/>
  <c r="F797" i="144"/>
  <c r="S302" i="144"/>
  <c r="F302" i="144"/>
  <c r="S348" i="144"/>
  <c r="F348" i="144"/>
  <c r="S374" i="144"/>
  <c r="F374" i="144"/>
  <c r="S405" i="144"/>
  <c r="F405" i="144"/>
  <c r="S421" i="144"/>
  <c r="F421" i="144"/>
  <c r="S451" i="144"/>
  <c r="F451" i="144"/>
  <c r="S484" i="144"/>
  <c r="F484" i="144"/>
  <c r="S512" i="144"/>
  <c r="F512" i="144"/>
  <c r="S527" i="144"/>
  <c r="F527" i="144"/>
  <c r="S552" i="144"/>
  <c r="F552" i="144"/>
  <c r="S582" i="144"/>
  <c r="F582" i="144"/>
  <c r="S608" i="144"/>
  <c r="F608" i="144"/>
  <c r="S624" i="144"/>
  <c r="F624" i="144"/>
  <c r="S652" i="144"/>
  <c r="F652" i="144"/>
  <c r="S680" i="144"/>
  <c r="F680" i="144"/>
  <c r="S710" i="144"/>
  <c r="F710" i="144"/>
  <c r="S728" i="144"/>
  <c r="F728" i="144"/>
  <c r="S760" i="144"/>
  <c r="F760" i="144"/>
  <c r="S792" i="144"/>
  <c r="F792" i="144"/>
  <c r="S820" i="144"/>
  <c r="F820" i="144"/>
  <c r="S836" i="144"/>
  <c r="F836" i="144"/>
  <c r="S870" i="144"/>
  <c r="F870" i="144"/>
  <c r="S896" i="144"/>
  <c r="F896" i="144"/>
  <c r="S927" i="144"/>
  <c r="F927" i="144"/>
  <c r="S942" i="144"/>
  <c r="F942" i="144"/>
  <c r="S956" i="144"/>
  <c r="F956" i="144"/>
  <c r="S989" i="144"/>
  <c r="F989" i="144"/>
  <c r="S1022" i="144"/>
  <c r="F1022" i="144"/>
  <c r="S1076" i="144"/>
  <c r="F1076" i="144"/>
  <c r="S1110" i="144"/>
  <c r="F1110" i="144"/>
  <c r="S1142" i="144"/>
  <c r="F1142" i="144"/>
  <c r="S1199" i="144"/>
  <c r="F1199" i="144"/>
  <c r="S1236" i="144"/>
  <c r="F1236" i="144"/>
  <c r="S1270" i="144"/>
  <c r="F1270" i="144"/>
  <c r="S1323" i="144"/>
  <c r="F1323" i="144"/>
  <c r="S1365" i="144"/>
  <c r="F1365" i="144"/>
  <c r="S1396" i="144"/>
  <c r="F1396" i="144"/>
  <c r="S1460" i="144"/>
  <c r="F1460" i="144"/>
  <c r="S1478" i="144"/>
  <c r="F1478" i="144"/>
  <c r="S1523" i="144"/>
  <c r="F1523" i="144"/>
  <c r="S1547" i="144"/>
  <c r="F1547" i="144"/>
  <c r="S1588" i="144"/>
  <c r="F1588" i="144"/>
  <c r="S1630" i="144"/>
  <c r="F1630" i="144"/>
  <c r="S1661" i="144"/>
  <c r="F1661" i="144"/>
  <c r="S1700" i="144"/>
  <c r="F1700" i="144"/>
  <c r="S1716" i="144"/>
  <c r="F1716" i="144"/>
  <c r="S1758" i="144"/>
  <c r="F1758" i="144"/>
  <c r="S1812" i="144"/>
  <c r="F1812" i="144"/>
  <c r="S280" i="144"/>
  <c r="F280" i="144"/>
  <c r="S262" i="144"/>
  <c r="F262" i="144"/>
  <c r="S232" i="144"/>
  <c r="F232" i="144"/>
  <c r="S182" i="144"/>
  <c r="F182" i="144"/>
  <c r="S135" i="144"/>
  <c r="F135" i="144"/>
  <c r="S109" i="144"/>
  <c r="F109" i="144"/>
  <c r="S85" i="144"/>
  <c r="F85" i="144"/>
  <c r="S37" i="144"/>
  <c r="F37" i="144"/>
  <c r="S329" i="144"/>
  <c r="F329" i="144"/>
  <c r="S299" i="144"/>
  <c r="F299" i="144"/>
  <c r="S251" i="144"/>
  <c r="F251" i="144"/>
  <c r="S221" i="144"/>
  <c r="F221" i="144"/>
  <c r="S187" i="144"/>
  <c r="F187" i="144"/>
  <c r="S142" i="144"/>
  <c r="F142" i="144"/>
  <c r="S115" i="144"/>
  <c r="F115" i="144"/>
  <c r="S88" i="144"/>
  <c r="F88" i="144"/>
  <c r="S54" i="144"/>
  <c r="F54" i="144"/>
  <c r="S27" i="144"/>
  <c r="F27" i="144"/>
  <c r="S838" i="144"/>
  <c r="F838" i="144"/>
  <c r="S899" i="144"/>
  <c r="F899" i="144"/>
  <c r="S932" i="144"/>
  <c r="F932" i="144"/>
  <c r="S990" i="144"/>
  <c r="F990" i="144"/>
  <c r="S1102" i="144"/>
  <c r="F1102" i="144"/>
  <c r="S1140" i="144"/>
  <c r="F1140" i="144"/>
  <c r="S1228" i="144"/>
  <c r="F1228" i="144"/>
  <c r="S1269" i="144"/>
  <c r="F1269" i="144"/>
  <c r="S1308" i="144"/>
  <c r="F1308" i="144"/>
  <c r="S1539" i="144"/>
  <c r="S1670" i="144"/>
  <c r="F1670" i="144"/>
  <c r="S1712" i="144"/>
  <c r="F1712" i="144"/>
  <c r="S1756" i="144"/>
  <c r="F1756" i="144"/>
  <c r="S1827" i="144"/>
  <c r="F1827" i="144"/>
  <c r="S1838" i="144"/>
  <c r="F1838" i="144"/>
  <c r="S1779" i="144"/>
  <c r="F1779" i="144"/>
  <c r="S1644" i="144"/>
  <c r="F1644" i="144"/>
  <c r="S1515" i="144"/>
  <c r="F1515" i="144"/>
  <c r="S1435" i="144"/>
  <c r="F1435" i="144"/>
  <c r="S1347" i="144"/>
  <c r="F1347" i="144"/>
  <c r="S1235" i="144"/>
  <c r="F1235" i="144"/>
  <c r="S1039" i="144"/>
  <c r="F1039" i="144"/>
  <c r="S974" i="144"/>
  <c r="F974" i="144"/>
  <c r="E18" i="170"/>
  <c r="G18" i="170"/>
  <c r="O506" i="187"/>
  <c r="Z94" i="71"/>
  <c r="O509" i="187"/>
  <c r="Z97" i="71"/>
  <c r="O460" i="187"/>
  <c r="Z47" i="71"/>
  <c r="Z46" i="71"/>
  <c r="O465" i="187"/>
  <c r="Z53" i="71"/>
  <c r="J72" i="75"/>
  <c r="K10" i="140"/>
  <c r="J407" i="75"/>
  <c r="M160" i="71"/>
  <c r="AS160" i="71"/>
  <c r="P160" i="71"/>
  <c r="P17" i="1"/>
  <c r="E17" i="1"/>
  <c r="F118" i="75"/>
  <c r="O17" i="1"/>
  <c r="S811" i="144"/>
  <c r="F811" i="144"/>
  <c r="S859" i="144"/>
  <c r="F859" i="144"/>
  <c r="S894" i="144"/>
  <c r="F894" i="144"/>
  <c r="S822" i="144"/>
  <c r="F822" i="144"/>
  <c r="S901" i="144"/>
  <c r="F901" i="144"/>
  <c r="S945" i="144"/>
  <c r="F945" i="144"/>
  <c r="S1024" i="144"/>
  <c r="F1024" i="144"/>
  <c r="S1136" i="144"/>
  <c r="F1136" i="144"/>
  <c r="S1267" i="144"/>
  <c r="F1267" i="144"/>
  <c r="S1372" i="144"/>
  <c r="F1372" i="144"/>
  <c r="S1461" i="144"/>
  <c r="F1461" i="144"/>
  <c r="S1638" i="144"/>
  <c r="F1638" i="144"/>
  <c r="S1784" i="144"/>
  <c r="F1784" i="144"/>
  <c r="S1814" i="144"/>
  <c r="F1814" i="144"/>
  <c r="S1772" i="144"/>
  <c r="F1772" i="144"/>
  <c r="S1725" i="144"/>
  <c r="F1725" i="144"/>
  <c r="S1699" i="144"/>
  <c r="F1699" i="144"/>
  <c r="S1662" i="144"/>
  <c r="F1662" i="144"/>
  <c r="S1636" i="144"/>
  <c r="F1636" i="144"/>
  <c r="S1598" i="144"/>
  <c r="F1598" i="144"/>
  <c r="S1518" i="144"/>
  <c r="F1518" i="144"/>
  <c r="S1483" i="144"/>
  <c r="F1483" i="144"/>
  <c r="S1451" i="144"/>
  <c r="F1451" i="144"/>
  <c r="S1412" i="144"/>
  <c r="F1412" i="144"/>
  <c r="S1379" i="144"/>
  <c r="F1379" i="144"/>
  <c r="S1350" i="144"/>
  <c r="F1350" i="144"/>
  <c r="S1315" i="144"/>
  <c r="F1315" i="144"/>
  <c r="S1284" i="144"/>
  <c r="F1284" i="144"/>
  <c r="S1253" i="144"/>
  <c r="F1253" i="144"/>
  <c r="S1219" i="144"/>
  <c r="F1219" i="144"/>
  <c r="S1190" i="144"/>
  <c r="F1190" i="144"/>
  <c r="S1158" i="144"/>
  <c r="F1158" i="144"/>
  <c r="S1126" i="144"/>
  <c r="F1126" i="144"/>
  <c r="S1097" i="144"/>
  <c r="F1097" i="144"/>
  <c r="S1067" i="144"/>
  <c r="F1067" i="144"/>
  <c r="S1036" i="144"/>
  <c r="F1036" i="144"/>
  <c r="S844" i="144"/>
  <c r="F844" i="144"/>
  <c r="S995" i="144"/>
  <c r="F995" i="144"/>
  <c r="S1077" i="144"/>
  <c r="F1077" i="144"/>
  <c r="S1180" i="144"/>
  <c r="F1180" i="144"/>
  <c r="S1291" i="144"/>
  <c r="F1291" i="144"/>
  <c r="S1324" i="144"/>
  <c r="F1324" i="144"/>
  <c r="S1454" i="144"/>
  <c r="F1454" i="144"/>
  <c r="S1563" i="144"/>
  <c r="F1563" i="144"/>
  <c r="S1651" i="144"/>
  <c r="F1651" i="144"/>
  <c r="S1715" i="144"/>
  <c r="F1715" i="144"/>
  <c r="S871" i="144"/>
  <c r="F871" i="144"/>
  <c r="S1007" i="144"/>
  <c r="F1007" i="144"/>
  <c r="S1376" i="144"/>
  <c r="F1376" i="144"/>
  <c r="S1701" i="144"/>
  <c r="F1701" i="144"/>
  <c r="S1718" i="144"/>
  <c r="F1718" i="144"/>
  <c r="S1648" i="144"/>
  <c r="F1648" i="144"/>
  <c r="S1572" i="144"/>
  <c r="F1572" i="144"/>
  <c r="S1438" i="144"/>
  <c r="F1438" i="144"/>
  <c r="S1366" i="144"/>
  <c r="F1366" i="144"/>
  <c r="S1293" i="144"/>
  <c r="F1293" i="144"/>
  <c r="S1182" i="144"/>
  <c r="F1182" i="144"/>
  <c r="S1115" i="144"/>
  <c r="F1115" i="144"/>
  <c r="S1044" i="144"/>
  <c r="F1044" i="144"/>
  <c r="S75" i="144"/>
  <c r="F75" i="144"/>
  <c r="S86" i="144"/>
  <c r="F86" i="144"/>
  <c r="S96" i="144"/>
  <c r="F96" i="144"/>
  <c r="S108" i="144"/>
  <c r="F108" i="144"/>
  <c r="S120" i="144"/>
  <c r="F120" i="144"/>
  <c r="S132" i="144"/>
  <c r="F132" i="144"/>
  <c r="S147" i="144"/>
  <c r="F147" i="144"/>
  <c r="S159" i="144"/>
  <c r="F159" i="144"/>
  <c r="S171" i="144"/>
  <c r="F171" i="144"/>
  <c r="S183" i="144"/>
  <c r="F183" i="144"/>
  <c r="S198" i="144"/>
  <c r="F198" i="144"/>
  <c r="S214" i="144"/>
  <c r="F214" i="144"/>
  <c r="S228" i="144"/>
  <c r="F228" i="144"/>
  <c r="S239" i="144"/>
  <c r="F239" i="144"/>
  <c r="S253" i="144"/>
  <c r="F253" i="144"/>
  <c r="S268" i="144"/>
  <c r="F268" i="144"/>
  <c r="S283" i="144"/>
  <c r="F283" i="144"/>
  <c r="S296" i="144"/>
  <c r="F296" i="144"/>
  <c r="S308" i="144"/>
  <c r="F308" i="144"/>
  <c r="S320" i="144"/>
  <c r="F320" i="144"/>
  <c r="S12" i="144"/>
  <c r="S28" i="144"/>
  <c r="F28" i="144"/>
  <c r="S40" i="144"/>
  <c r="F40" i="144"/>
  <c r="S52" i="144"/>
  <c r="F52" i="144"/>
  <c r="S68" i="144"/>
  <c r="F68" i="144"/>
  <c r="S83" i="144"/>
  <c r="F83" i="144"/>
  <c r="S93" i="144"/>
  <c r="F93" i="144"/>
  <c r="S104" i="144"/>
  <c r="F104" i="144"/>
  <c r="S116" i="144"/>
  <c r="F116" i="144"/>
  <c r="S127" i="144"/>
  <c r="F127" i="144"/>
  <c r="S140" i="144"/>
  <c r="F140" i="144"/>
  <c r="S155" i="144"/>
  <c r="F155" i="144"/>
  <c r="S166" i="144"/>
  <c r="F166" i="144"/>
  <c r="S180" i="144"/>
  <c r="F180" i="144"/>
  <c r="S192" i="144"/>
  <c r="F192" i="144"/>
  <c r="S208" i="144"/>
  <c r="S1582" i="144"/>
  <c r="F1582" i="144"/>
  <c r="S1568" i="144"/>
  <c r="F1568" i="144"/>
  <c r="S1550" i="144"/>
  <c r="F1550" i="144"/>
  <c r="S1532" i="144"/>
  <c r="S1468" i="144"/>
  <c r="F1468" i="144"/>
  <c r="S1456" i="144"/>
  <c r="F1456" i="144"/>
  <c r="S1436" i="144"/>
  <c r="F1436" i="144"/>
  <c r="S1420" i="144"/>
  <c r="F1420" i="144"/>
  <c r="S1398" i="144"/>
  <c r="F1398" i="144"/>
  <c r="S1384" i="144"/>
  <c r="F1384" i="144"/>
  <c r="S1373" i="144"/>
  <c r="F1373" i="144"/>
  <c r="S1357" i="144"/>
  <c r="F1357" i="144"/>
  <c r="S1339" i="144"/>
  <c r="F1339" i="144"/>
  <c r="S1318" i="144"/>
  <c r="F1318" i="144"/>
  <c r="S1307" i="144"/>
  <c r="F1307" i="144"/>
  <c r="S1292" i="144"/>
  <c r="F1292" i="144"/>
  <c r="S1276" i="144"/>
  <c r="F1276" i="144"/>
  <c r="S1260" i="144"/>
  <c r="F1260" i="144"/>
  <c r="S1244" i="144"/>
  <c r="F1244" i="144"/>
  <c r="S1227" i="144"/>
  <c r="F1227" i="144"/>
  <c r="S1208" i="144"/>
  <c r="F1208" i="144"/>
  <c r="O95" i="101"/>
  <c r="S1197" i="144"/>
  <c r="F1197" i="144"/>
  <c r="S1181" i="144"/>
  <c r="F1181" i="144"/>
  <c r="S1164" i="144"/>
  <c r="F1164" i="144"/>
  <c r="S1148" i="144"/>
  <c r="F1148" i="144"/>
  <c r="S1131" i="144"/>
  <c r="F1131" i="144"/>
  <c r="S1118" i="144"/>
  <c r="F1118" i="144"/>
  <c r="S1101" i="144"/>
  <c r="F1101" i="144"/>
  <c r="S1086" i="144"/>
  <c r="F1086" i="144"/>
  <c r="S1070" i="144"/>
  <c r="F1070" i="144"/>
  <c r="S1056" i="144"/>
  <c r="F1056" i="144"/>
  <c r="S1043" i="144"/>
  <c r="F1043" i="144"/>
  <c r="S1027" i="144"/>
  <c r="F1027" i="144"/>
  <c r="S1011" i="144"/>
  <c r="F1011" i="144"/>
  <c r="S996" i="144"/>
  <c r="F996" i="144"/>
  <c r="S983" i="144"/>
  <c r="F983" i="144"/>
  <c r="S971" i="144"/>
  <c r="F971" i="144"/>
  <c r="S952" i="144"/>
  <c r="F952" i="144"/>
  <c r="S988" i="144"/>
  <c r="F988" i="144"/>
  <c r="S1047" i="144"/>
  <c r="F1047" i="144"/>
  <c r="S1085" i="144"/>
  <c r="F1085" i="144"/>
  <c r="S1156" i="144"/>
  <c r="F1156" i="144"/>
  <c r="S1397" i="144"/>
  <c r="F1397" i="144"/>
  <c r="S1587" i="144"/>
  <c r="F1587" i="144"/>
  <c r="S1632" i="144"/>
  <c r="F1632" i="144"/>
  <c r="S1675" i="144"/>
  <c r="F1675" i="144"/>
  <c r="S1740" i="144"/>
  <c r="F1740" i="144"/>
  <c r="S1820" i="144"/>
  <c r="F1820" i="144"/>
  <c r="S1569" i="144"/>
  <c r="F1569" i="144"/>
  <c r="S1382" i="144"/>
  <c r="F1382" i="144"/>
  <c r="S1280" i="144"/>
  <c r="F1280" i="144"/>
  <c r="S1108" i="144"/>
  <c r="F1108" i="144"/>
  <c r="S982" i="144"/>
  <c r="F982" i="144"/>
  <c r="S908" i="144"/>
  <c r="F908" i="144"/>
  <c r="S1684" i="144"/>
  <c r="F1684" i="144"/>
  <c r="S1579" i="144"/>
  <c r="F1579" i="144"/>
  <c r="S1494" i="144"/>
  <c r="F1494" i="144"/>
  <c r="S1423" i="144"/>
  <c r="F1423" i="144"/>
  <c r="S1299" i="144"/>
  <c r="F1299" i="144"/>
  <c r="S1163" i="144"/>
  <c r="F1163" i="144"/>
  <c r="S1030" i="144"/>
  <c r="F1030" i="144"/>
  <c r="O25" i="140"/>
  <c r="K25" i="140"/>
  <c r="K20" i="140"/>
  <c r="G20" i="140"/>
  <c r="O29" i="140"/>
  <c r="G29" i="140"/>
  <c r="K29" i="140"/>
  <c r="O27" i="140"/>
  <c r="K27" i="140"/>
  <c r="G27" i="140"/>
  <c r="M166" i="71"/>
  <c r="P166" i="71"/>
  <c r="J146" i="71"/>
  <c r="P146" i="71"/>
  <c r="AS146" i="71"/>
  <c r="J80" i="71"/>
  <c r="P80" i="71"/>
  <c r="Z63" i="71"/>
  <c r="O476" i="187"/>
  <c r="Z64" i="71"/>
  <c r="O477" i="187"/>
  <c r="Z65" i="71"/>
  <c r="V140" i="71"/>
  <c r="J140" i="71"/>
  <c r="P140" i="71"/>
  <c r="M140" i="71"/>
  <c r="O30" i="1"/>
  <c r="P30" i="1"/>
  <c r="E30" i="1"/>
  <c r="F67" i="75"/>
  <c r="O42" i="75"/>
  <c r="F42" i="75"/>
  <c r="O60" i="75"/>
  <c r="O133" i="75"/>
  <c r="O309" i="75"/>
  <c r="O317" i="75"/>
  <c r="O333" i="75"/>
  <c r="F333" i="75"/>
  <c r="O365" i="75"/>
  <c r="P77" i="1"/>
  <c r="E77" i="1"/>
  <c r="F387" i="75"/>
  <c r="O77" i="1"/>
  <c r="P83" i="1"/>
  <c r="E83" i="1"/>
  <c r="F165" i="75"/>
  <c r="O83" i="1"/>
  <c r="P96" i="1"/>
  <c r="E96" i="1"/>
  <c r="F313" i="75"/>
  <c r="O96" i="1"/>
  <c r="O469" i="187"/>
  <c r="Z57" i="71"/>
  <c r="O182" i="187"/>
  <c r="Q184" i="75"/>
  <c r="O46" i="187"/>
  <c r="Q48" i="75"/>
  <c r="V168" i="71"/>
  <c r="M168" i="71"/>
  <c r="O94" i="1"/>
  <c r="P94" i="1"/>
  <c r="E94" i="1"/>
  <c r="F335" i="75"/>
  <c r="P118" i="1"/>
  <c r="E118" i="1"/>
  <c r="F318" i="75"/>
  <c r="O118" i="1"/>
  <c r="O135" i="1"/>
  <c r="Q135" i="1"/>
  <c r="P135" i="1"/>
  <c r="E135" i="1"/>
  <c r="F222" i="75"/>
  <c r="O470" i="187"/>
  <c r="Z58" i="71"/>
  <c r="P83" i="71"/>
  <c r="J83" i="71"/>
  <c r="P163" i="71"/>
  <c r="V163" i="71"/>
  <c r="O17" i="75"/>
  <c r="O77" i="75"/>
  <c r="F77" i="75"/>
  <c r="O201" i="75"/>
  <c r="O225" i="75"/>
  <c r="O305" i="75"/>
  <c r="F409" i="75"/>
  <c r="L31" i="64"/>
  <c r="F10" i="149"/>
  <c r="G10" i="149"/>
  <c r="P143" i="1"/>
  <c r="E143" i="1"/>
  <c r="F93" i="75"/>
  <c r="O143" i="1"/>
  <c r="G21" i="140"/>
  <c r="O21" i="140"/>
  <c r="O17" i="140"/>
  <c r="K17" i="140"/>
  <c r="G17" i="140"/>
  <c r="O28" i="140"/>
  <c r="G28" i="140"/>
  <c r="K28" i="140"/>
  <c r="M139" i="71"/>
  <c r="P101" i="1"/>
  <c r="O101" i="1"/>
  <c r="P109" i="1"/>
  <c r="E109" i="1"/>
  <c r="O109" i="1"/>
  <c r="K8" i="140"/>
  <c r="M151" i="71"/>
  <c r="M152" i="71"/>
  <c r="J152" i="71"/>
  <c r="P167" i="71"/>
  <c r="P158" i="71"/>
  <c r="P82" i="71"/>
  <c r="O296" i="187"/>
  <c r="Q296" i="75"/>
  <c r="O258" i="187"/>
  <c r="Q259" i="75"/>
  <c r="O199" i="187"/>
  <c r="O103" i="187"/>
  <c r="Q107" i="75"/>
  <c r="O83" i="187"/>
  <c r="Q87" i="75"/>
  <c r="O71" i="187"/>
  <c r="Q75" i="75"/>
  <c r="O52" i="187"/>
  <c r="Q55" i="75"/>
  <c r="O16" i="187"/>
  <c r="O472" i="187"/>
  <c r="Z60" i="71"/>
  <c r="O203" i="187"/>
  <c r="Q203" i="75"/>
  <c r="O96" i="187"/>
  <c r="Q100" i="75"/>
  <c r="O28" i="187"/>
  <c r="O536" i="187"/>
  <c r="Z124" i="71"/>
  <c r="O504" i="187"/>
  <c r="O516" i="187"/>
  <c r="Z104" i="71"/>
  <c r="O251" i="187"/>
  <c r="Q252" i="75"/>
  <c r="O47" i="187"/>
  <c r="Q49" i="75"/>
  <c r="O210" i="187"/>
  <c r="Q210" i="75"/>
  <c r="O18" i="187"/>
  <c r="Q19" i="75"/>
  <c r="O156" i="187"/>
  <c r="Q159" i="75"/>
  <c r="O19" i="187"/>
  <c r="O508" i="187"/>
  <c r="Z96" i="71"/>
  <c r="O66" i="187"/>
  <c r="Q70" i="75"/>
  <c r="O11" i="187"/>
  <c r="Q11" i="75"/>
  <c r="O434" i="187"/>
  <c r="Z20" i="71"/>
  <c r="O384" i="187"/>
  <c r="Q381" i="75"/>
  <c r="O133" i="187"/>
  <c r="Q136" i="75"/>
  <c r="O157" i="187"/>
  <c r="Q160" i="75"/>
  <c r="O165" i="187"/>
  <c r="Q168" i="75"/>
  <c r="O269" i="187"/>
  <c r="Q270" i="75"/>
  <c r="O285" i="187"/>
  <c r="Q286" i="75"/>
  <c r="O485" i="187"/>
  <c r="Z73" i="71"/>
  <c r="O473" i="187"/>
  <c r="Z61" i="71"/>
  <c r="O329" i="187"/>
  <c r="Q330" i="75"/>
  <c r="O297" i="187"/>
  <c r="Q297" i="75"/>
  <c r="O273" i="187"/>
  <c r="Q274" i="75"/>
  <c r="O217" i="187"/>
  <c r="Q217" i="75"/>
  <c r="O65" i="187"/>
  <c r="O9" i="187"/>
  <c r="Q9" i="75"/>
  <c r="AS154" i="71"/>
  <c r="O170" i="75"/>
  <c r="O226" i="75"/>
  <c r="F402" i="75"/>
  <c r="F410" i="75"/>
  <c r="O410" i="75"/>
  <c r="P40" i="1"/>
  <c r="E40" i="1"/>
  <c r="F281" i="75"/>
  <c r="O40" i="1"/>
  <c r="O74" i="1"/>
  <c r="P74" i="1"/>
  <c r="E74" i="1"/>
  <c r="O107" i="1"/>
  <c r="P107" i="1"/>
  <c r="E107" i="1"/>
  <c r="F138" i="75"/>
  <c r="V8" i="71"/>
  <c r="P7" i="1"/>
  <c r="E7" i="1"/>
  <c r="F393" i="75"/>
  <c r="O7" i="1"/>
  <c r="O37" i="1"/>
  <c r="P37" i="1"/>
  <c r="E37" i="1"/>
  <c r="F167" i="75"/>
  <c r="O91" i="187"/>
  <c r="Q95" i="75"/>
  <c r="O163" i="187"/>
  <c r="Q166" i="75"/>
  <c r="O461" i="187"/>
  <c r="Z48" i="71"/>
  <c r="O261" i="187"/>
  <c r="Q262" i="75"/>
  <c r="M170" i="71"/>
  <c r="O29" i="1"/>
  <c r="Q29" i="1"/>
  <c r="P29" i="1"/>
  <c r="E29" i="1"/>
  <c r="O121" i="1"/>
  <c r="P121" i="1"/>
  <c r="E121" i="1"/>
  <c r="F113" i="75"/>
  <c r="O192" i="187"/>
  <c r="Q193" i="75"/>
  <c r="F347" i="75"/>
  <c r="M26" i="64"/>
  <c r="F379" i="75"/>
  <c r="O34" i="1"/>
  <c r="P34" i="1"/>
  <c r="E34" i="1"/>
  <c r="P46" i="1"/>
  <c r="E46" i="1"/>
  <c r="F369" i="75"/>
  <c r="O46" i="1"/>
  <c r="O105" i="1"/>
  <c r="P105" i="1"/>
  <c r="E105" i="1"/>
  <c r="F401" i="75"/>
  <c r="P130" i="1"/>
  <c r="E130" i="1"/>
  <c r="F283" i="75"/>
  <c r="O130" i="1"/>
  <c r="P180" i="1"/>
  <c r="E180" i="1"/>
  <c r="F302" i="75"/>
  <c r="O180" i="1"/>
  <c r="M50" i="71"/>
  <c r="M83" i="71"/>
  <c r="P170" i="71"/>
  <c r="P162" i="71"/>
  <c r="F348" i="75"/>
  <c r="P11" i="1"/>
  <c r="E11" i="1"/>
  <c r="O11" i="1"/>
  <c r="O65" i="1"/>
  <c r="P65" i="1"/>
  <c r="E65" i="1"/>
  <c r="F339" i="75"/>
  <c r="P117" i="1"/>
  <c r="E117" i="1"/>
  <c r="F303" i="75"/>
  <c r="O117" i="1"/>
  <c r="O137" i="1"/>
  <c r="P137" i="1"/>
  <c r="E137" i="1"/>
  <c r="F277" i="75"/>
  <c r="O12" i="1"/>
  <c r="Q12" i="1"/>
  <c r="P12" i="1"/>
  <c r="E12" i="1"/>
  <c r="P53" i="1"/>
  <c r="E53" i="1"/>
  <c r="F115" i="75"/>
  <c r="O53" i="1"/>
  <c r="P56" i="1"/>
  <c r="E56" i="1"/>
  <c r="F291" i="75"/>
  <c r="O56" i="1"/>
  <c r="G71" i="1"/>
  <c r="G111" i="1"/>
  <c r="G171" i="1"/>
  <c r="G107" i="1"/>
  <c r="G43" i="1"/>
  <c r="G169" i="1"/>
  <c r="G137" i="1"/>
  <c r="G105" i="1"/>
  <c r="G73" i="1"/>
  <c r="G41" i="1"/>
  <c r="G9" i="1"/>
  <c r="G168" i="1"/>
  <c r="G152" i="1"/>
  <c r="G136" i="1"/>
  <c r="G120" i="1"/>
  <c r="G104" i="1"/>
  <c r="G88" i="1"/>
  <c r="G72" i="1"/>
  <c r="G56" i="1"/>
  <c r="G40" i="1"/>
  <c r="G24" i="1"/>
  <c r="G135" i="1"/>
  <c r="G103" i="1"/>
  <c r="G63" i="1"/>
  <c r="G139" i="1"/>
  <c r="G67" i="1"/>
  <c r="G177" i="1"/>
  <c r="G141" i="1"/>
  <c r="G101" i="1"/>
  <c r="G65" i="1"/>
  <c r="G29" i="1"/>
  <c r="G176" i="1"/>
  <c r="G158" i="1"/>
  <c r="G140" i="1"/>
  <c r="G122" i="1"/>
  <c r="G102" i="1"/>
  <c r="G84" i="1"/>
  <c r="G66" i="1"/>
  <c r="G48" i="1"/>
  <c r="G30" i="1"/>
  <c r="G12" i="1"/>
  <c r="G119" i="1"/>
  <c r="G31" i="1"/>
  <c r="G115" i="1"/>
  <c r="G27" i="1"/>
  <c r="G153" i="1"/>
  <c r="G113" i="1"/>
  <c r="G69" i="1"/>
  <c r="G25" i="1"/>
  <c r="G172" i="1"/>
  <c r="G150" i="1"/>
  <c r="G130" i="1"/>
  <c r="G110" i="1"/>
  <c r="G90" i="1"/>
  <c r="G68" i="1"/>
  <c r="G46" i="1"/>
  <c r="G26" i="1"/>
  <c r="G55" i="1"/>
  <c r="G175" i="1"/>
  <c r="G15" i="1"/>
  <c r="G99" i="1"/>
  <c r="G19" i="1"/>
  <c r="G149" i="1"/>
  <c r="G109" i="1"/>
  <c r="G61" i="1"/>
  <c r="G21" i="1"/>
  <c r="G170" i="1"/>
  <c r="G148" i="1"/>
  <c r="G128" i="1"/>
  <c r="G108" i="1"/>
  <c r="G86" i="1"/>
  <c r="G64" i="1"/>
  <c r="G44" i="1"/>
  <c r="G22" i="1"/>
  <c r="G143" i="1"/>
  <c r="G147" i="1"/>
  <c r="G35" i="1"/>
  <c r="G133" i="1"/>
  <c r="G85" i="1"/>
  <c r="G33" i="1"/>
  <c r="G164" i="1"/>
  <c r="G138" i="1"/>
  <c r="G112" i="1"/>
  <c r="G80" i="1"/>
  <c r="G54" i="1"/>
  <c r="G28" i="1"/>
  <c r="G151" i="1"/>
  <c r="G127" i="1"/>
  <c r="G131" i="1"/>
  <c r="G11" i="1"/>
  <c r="G129" i="1"/>
  <c r="G81" i="1"/>
  <c r="G17" i="1"/>
  <c r="G162" i="1"/>
  <c r="G134" i="1"/>
  <c r="G106" i="1"/>
  <c r="G78" i="1"/>
  <c r="G52" i="1"/>
  <c r="G20" i="1"/>
  <c r="G79" i="1"/>
  <c r="G75" i="1"/>
  <c r="G145" i="1"/>
  <c r="G57" i="1"/>
  <c r="G178" i="1"/>
  <c r="G142" i="1"/>
  <c r="G98" i="1"/>
  <c r="G62" i="1"/>
  <c r="G32" i="1"/>
  <c r="G23" i="1"/>
  <c r="G47" i="1"/>
  <c r="G59" i="1"/>
  <c r="G125" i="1"/>
  <c r="G53" i="1"/>
  <c r="G174" i="1"/>
  <c r="G132" i="1"/>
  <c r="G96" i="1"/>
  <c r="G60" i="1"/>
  <c r="G18" i="1"/>
  <c r="P42" i="1"/>
  <c r="E42" i="1"/>
  <c r="F114" i="75"/>
  <c r="O42" i="1"/>
  <c r="P47" i="1"/>
  <c r="E47" i="1"/>
  <c r="O47" i="1"/>
  <c r="O64" i="1"/>
  <c r="P64" i="1"/>
  <c r="E64" i="1"/>
  <c r="M16" i="64"/>
  <c r="P81" i="1"/>
  <c r="E81" i="1"/>
  <c r="P84" i="1"/>
  <c r="E84" i="1"/>
  <c r="F317" i="75"/>
  <c r="O84" i="1"/>
  <c r="P89" i="1"/>
  <c r="E89" i="1"/>
  <c r="P142" i="1"/>
  <c r="E142" i="1"/>
  <c r="F23" i="75"/>
  <c r="O142" i="1"/>
  <c r="P157" i="1"/>
  <c r="E157" i="1"/>
  <c r="P159" i="1"/>
  <c r="E159" i="1"/>
  <c r="F97" i="75"/>
  <c r="P161" i="1"/>
  <c r="E161" i="1"/>
  <c r="P163" i="1"/>
  <c r="E163" i="1"/>
  <c r="P165" i="1"/>
  <c r="E165" i="1"/>
  <c r="P167" i="1"/>
  <c r="E167" i="1"/>
  <c r="O76" i="1"/>
  <c r="P76" i="1"/>
  <c r="E76" i="1"/>
  <c r="P22" i="1"/>
  <c r="E22" i="1"/>
  <c r="P111" i="1"/>
  <c r="E111" i="1"/>
  <c r="P127" i="1"/>
  <c r="E127" i="1"/>
  <c r="O127" i="1"/>
  <c r="H29" i="124"/>
  <c r="H34" i="124"/>
  <c r="H21" i="124"/>
  <c r="H25" i="124"/>
  <c r="H37" i="124"/>
  <c r="H20" i="124"/>
  <c r="H15" i="124"/>
  <c r="H10" i="124"/>
  <c r="B3" i="26"/>
  <c r="B5" i="26"/>
  <c r="S153" i="71"/>
  <c r="H52" i="124"/>
  <c r="I403" i="75"/>
  <c r="H17" i="124"/>
  <c r="I424" i="75"/>
  <c r="F189" i="75"/>
  <c r="I189" i="75"/>
  <c r="I426" i="75"/>
  <c r="H35" i="124"/>
  <c r="F185" i="75"/>
  <c r="I185" i="75"/>
  <c r="H113" i="1"/>
  <c r="F417" i="75"/>
  <c r="L35" i="64"/>
  <c r="F188" i="75"/>
  <c r="I188" i="75"/>
  <c r="H16" i="124"/>
  <c r="N8" i="102"/>
  <c r="H72" i="1"/>
  <c r="H40" i="124"/>
  <c r="J413" i="75"/>
  <c r="H125" i="1"/>
  <c r="F60" i="75"/>
  <c r="J60" i="75"/>
  <c r="H165" i="1"/>
  <c r="I395" i="75"/>
  <c r="J400" i="75"/>
  <c r="J419" i="75"/>
  <c r="H24" i="124"/>
  <c r="F58" i="75"/>
  <c r="J58" i="75"/>
  <c r="F350" i="75"/>
  <c r="I350" i="75"/>
  <c r="L11" i="102"/>
  <c r="N20" i="102"/>
  <c r="H51" i="124"/>
  <c r="H56" i="124"/>
  <c r="F183" i="75"/>
  <c r="I183" i="75"/>
  <c r="L16" i="102"/>
  <c r="H45" i="124"/>
  <c r="S159" i="71"/>
  <c r="F96" i="75"/>
  <c r="I20" i="101"/>
  <c r="F108" i="75"/>
  <c r="J108" i="75"/>
  <c r="F330" i="75"/>
  <c r="J330" i="75"/>
  <c r="F252" i="75"/>
  <c r="I252" i="75"/>
  <c r="J421" i="75"/>
  <c r="F143" i="75"/>
  <c r="J143" i="75"/>
  <c r="F248" i="75"/>
  <c r="I248" i="75"/>
  <c r="H26" i="124"/>
  <c r="H53" i="124"/>
  <c r="H19" i="124"/>
  <c r="I405" i="75"/>
  <c r="F243" i="75"/>
  <c r="I243" i="75"/>
  <c r="M34" i="64"/>
  <c r="L34" i="64"/>
  <c r="F100" i="75"/>
  <c r="K23" i="101"/>
  <c r="J416" i="75"/>
  <c r="H114" i="1"/>
  <c r="J239" i="149"/>
  <c r="J242" i="149"/>
  <c r="L205" i="146"/>
  <c r="H97" i="1"/>
  <c r="F320" i="75"/>
  <c r="I320" i="75"/>
  <c r="H155" i="1"/>
  <c r="F36" i="75"/>
  <c r="K9" i="101"/>
  <c r="F37" i="75"/>
  <c r="I37" i="75"/>
  <c r="I15" i="75"/>
  <c r="H54" i="124"/>
  <c r="I139" i="75"/>
  <c r="H55" i="124"/>
  <c r="H67" i="1"/>
  <c r="F203" i="75"/>
  <c r="I203" i="75"/>
  <c r="H50" i="1"/>
  <c r="J78" i="75"/>
  <c r="H33" i="124"/>
  <c r="H61" i="1"/>
  <c r="F357" i="75"/>
  <c r="J357" i="75"/>
  <c r="F101" i="75"/>
  <c r="J101" i="75"/>
  <c r="H49" i="124"/>
  <c r="H42" i="124"/>
  <c r="H18" i="124"/>
  <c r="F321" i="75"/>
  <c r="I321" i="75"/>
  <c r="S169" i="71"/>
  <c r="E5" i="27"/>
  <c r="H183" i="1"/>
  <c r="F323" i="75"/>
  <c r="J323" i="75"/>
  <c r="H69" i="1"/>
  <c r="H104" i="1"/>
  <c r="F187" i="75"/>
  <c r="J187" i="75"/>
  <c r="J346" i="75"/>
  <c r="R183" i="1"/>
  <c r="F94" i="75"/>
  <c r="I94" i="75"/>
  <c r="F326" i="75"/>
  <c r="J326" i="75"/>
  <c r="H99" i="1"/>
  <c r="F95" i="75"/>
  <c r="I95" i="75"/>
  <c r="H36" i="124"/>
  <c r="H22" i="124"/>
  <c r="F325" i="75"/>
  <c r="J325" i="75"/>
  <c r="H92" i="1"/>
  <c r="H44" i="124"/>
  <c r="F231" i="75"/>
  <c r="I231" i="75"/>
  <c r="H32" i="124"/>
  <c r="E28" i="157"/>
  <c r="H27" i="124"/>
  <c r="H170" i="1"/>
  <c r="F87" i="75"/>
  <c r="I87" i="75"/>
  <c r="L7" i="102"/>
  <c r="H98" i="1"/>
  <c r="H12" i="124"/>
  <c r="L8" i="102"/>
  <c r="N7" i="102"/>
  <c r="F184" i="75"/>
  <c r="I184" i="75"/>
  <c r="J12" i="102"/>
  <c r="F349" i="75"/>
  <c r="L28" i="64"/>
  <c r="K28" i="64"/>
  <c r="I240" i="149"/>
  <c r="K203" i="146"/>
  <c r="J243" i="149"/>
  <c r="L206" i="146"/>
  <c r="J238" i="149"/>
  <c r="J247" i="149"/>
  <c r="L208" i="146"/>
  <c r="J246" i="149"/>
  <c r="J241" i="149"/>
  <c r="L204" i="146"/>
  <c r="J244" i="149"/>
  <c r="J240" i="149"/>
  <c r="L203" i="146"/>
  <c r="I246" i="149"/>
  <c r="J245" i="149"/>
  <c r="L207" i="146"/>
  <c r="I243" i="149"/>
  <c r="K206" i="146"/>
  <c r="I245" i="149"/>
  <c r="K207" i="146"/>
  <c r="I244" i="149"/>
  <c r="I238" i="149"/>
  <c r="H176" i="1"/>
  <c r="R176" i="1"/>
  <c r="I239" i="149"/>
  <c r="I242" i="149"/>
  <c r="K205" i="146"/>
  <c r="H13" i="124"/>
  <c r="J10" i="28"/>
  <c r="J21" i="28"/>
  <c r="F41" i="75"/>
  <c r="I41" i="75"/>
  <c r="F110" i="75"/>
  <c r="J110" i="75"/>
  <c r="F39" i="75"/>
  <c r="J58" i="101"/>
  <c r="H112" i="1"/>
  <c r="L9" i="64"/>
  <c r="F104" i="75"/>
  <c r="J104" i="75"/>
  <c r="H138" i="1"/>
  <c r="M16" i="102"/>
  <c r="P16" i="102"/>
  <c r="N16" i="102"/>
  <c r="H45" i="1"/>
  <c r="F164" i="75"/>
  <c r="J164" i="75"/>
  <c r="AR95" i="71"/>
  <c r="AS95" i="71"/>
  <c r="H70" i="1"/>
  <c r="F228" i="75"/>
  <c r="I228" i="75"/>
  <c r="F123" i="75"/>
  <c r="J123" i="75"/>
  <c r="F111" i="75"/>
  <c r="K26" i="101"/>
  <c r="Z51" i="71"/>
  <c r="O464" i="187"/>
  <c r="Z52" i="71"/>
  <c r="H27" i="1"/>
  <c r="AQ70" i="71"/>
  <c r="F355" i="75"/>
  <c r="J70" i="101"/>
  <c r="S56" i="71"/>
  <c r="AS34" i="71"/>
  <c r="AR34" i="71"/>
  <c r="H28" i="170"/>
  <c r="K28" i="170"/>
  <c r="F49" i="10"/>
  <c r="F55" i="10"/>
  <c r="AR19" i="71"/>
  <c r="AS19" i="71"/>
  <c r="AS29" i="71"/>
  <c r="L17" i="102"/>
  <c r="AS70" i="71"/>
  <c r="F145" i="75"/>
  <c r="I145" i="75"/>
  <c r="E20" i="157"/>
  <c r="E292" i="202"/>
  <c r="F320" i="202"/>
  <c r="F292" i="202"/>
  <c r="F286" i="75"/>
  <c r="J286" i="75"/>
  <c r="S147" i="71"/>
  <c r="N14" i="71"/>
  <c r="O14" i="71"/>
  <c r="R152" i="1"/>
  <c r="H20" i="106"/>
  <c r="AR12" i="71"/>
  <c r="O300" i="187"/>
  <c r="Q300" i="75"/>
  <c r="Q299" i="75"/>
  <c r="H20" i="1"/>
  <c r="H88" i="1"/>
  <c r="F351" i="75"/>
  <c r="J351" i="75"/>
  <c r="F220" i="75"/>
  <c r="I220" i="75"/>
  <c r="F268" i="75"/>
  <c r="I268" i="75"/>
  <c r="H14" i="106"/>
  <c r="H7" i="106"/>
  <c r="H21" i="170"/>
  <c r="K21" i="170"/>
  <c r="AQ12" i="71"/>
  <c r="F32" i="10"/>
  <c r="F34" i="10"/>
  <c r="Z90" i="71"/>
  <c r="O505" i="187"/>
  <c r="Z93" i="71"/>
  <c r="F19" i="10"/>
  <c r="AQ84" i="71"/>
  <c r="H28" i="106"/>
  <c r="I256" i="149"/>
  <c r="I259" i="149"/>
  <c r="K218" i="146"/>
  <c r="I262" i="149"/>
  <c r="I265" i="149"/>
  <c r="K222" i="146"/>
  <c r="I261" i="149"/>
  <c r="K220" i="146"/>
  <c r="I264" i="149"/>
  <c r="K221" i="146"/>
  <c r="I258" i="149"/>
  <c r="K217" i="146"/>
  <c r="J256" i="149"/>
  <c r="J264" i="149"/>
  <c r="L221" i="146"/>
  <c r="J259" i="149"/>
  <c r="L218" i="146"/>
  <c r="J262" i="149"/>
  <c r="J263" i="149"/>
  <c r="I260" i="149"/>
  <c r="K219" i="146"/>
  <c r="J258" i="149"/>
  <c r="L217" i="146"/>
  <c r="I263" i="149"/>
  <c r="J257" i="149"/>
  <c r="I257" i="149"/>
  <c r="J265" i="149"/>
  <c r="L222" i="146"/>
  <c r="J261" i="149"/>
  <c r="L220" i="146"/>
  <c r="J260" i="149"/>
  <c r="L219" i="146"/>
  <c r="H29" i="170"/>
  <c r="K29" i="170"/>
  <c r="O97" i="101"/>
  <c r="K20" i="170"/>
  <c r="J20" i="170"/>
  <c r="O99" i="101"/>
  <c r="O98" i="101"/>
  <c r="S148" i="71"/>
  <c r="S156" i="71"/>
  <c r="C35" i="170"/>
  <c r="C17" i="169"/>
  <c r="S145" i="71"/>
  <c r="K25" i="170"/>
  <c r="H12" i="170"/>
  <c r="K12" i="170"/>
  <c r="S108" i="71"/>
  <c r="F224" i="75"/>
  <c r="I224" i="75"/>
  <c r="H58" i="1"/>
  <c r="F212" i="75"/>
  <c r="J212" i="75"/>
  <c r="H14" i="1"/>
  <c r="F196" i="75"/>
  <c r="I196" i="75"/>
  <c r="J13" i="102"/>
  <c r="H86" i="1"/>
  <c r="F218" i="75"/>
  <c r="J218" i="75"/>
  <c r="F219" i="75"/>
  <c r="I219" i="75"/>
  <c r="J425" i="75"/>
  <c r="H48" i="124"/>
  <c r="N11" i="102"/>
  <c r="M11" i="102"/>
  <c r="P11" i="102"/>
  <c r="F255" i="75"/>
  <c r="I255" i="75"/>
  <c r="K20" i="102"/>
  <c r="M20" i="102"/>
  <c r="P20" i="102"/>
  <c r="H128" i="1"/>
  <c r="H24" i="1"/>
  <c r="L13" i="102"/>
  <c r="F150" i="75"/>
  <c r="I150" i="75"/>
  <c r="F122" i="75"/>
  <c r="J122" i="75"/>
  <c r="F322" i="75"/>
  <c r="J322" i="75"/>
  <c r="F10" i="10"/>
  <c r="H28" i="1"/>
  <c r="H23" i="1"/>
  <c r="H32" i="1"/>
  <c r="F216" i="75"/>
  <c r="K59" i="101"/>
  <c r="H146" i="1"/>
  <c r="F140" i="75"/>
  <c r="K29" i="101"/>
  <c r="H31" i="124"/>
  <c r="H166" i="1"/>
  <c r="N13" i="102"/>
  <c r="H38" i="124"/>
  <c r="H129" i="1"/>
  <c r="H171" i="1"/>
  <c r="F217" i="75"/>
  <c r="I217" i="75"/>
  <c r="J329" i="75"/>
  <c r="H28" i="124"/>
  <c r="H9" i="124"/>
  <c r="E19" i="157"/>
  <c r="G10" i="167"/>
  <c r="S151" i="71"/>
  <c r="F368" i="75"/>
  <c r="I368" i="75"/>
  <c r="H175" i="1"/>
  <c r="F380" i="75"/>
  <c r="I73" i="101"/>
  <c r="F382" i="75"/>
  <c r="J382" i="75"/>
  <c r="F198" i="75"/>
  <c r="K33" i="101"/>
  <c r="F381" i="75"/>
  <c r="J381" i="75"/>
  <c r="H147" i="1"/>
  <c r="F166" i="75"/>
  <c r="I166" i="75"/>
  <c r="F338" i="75"/>
  <c r="M15" i="64"/>
  <c r="H51" i="1"/>
  <c r="H14" i="69"/>
  <c r="K14" i="69"/>
  <c r="AP48" i="71"/>
  <c r="N10" i="102"/>
  <c r="M10" i="102"/>
  <c r="P10" i="102"/>
  <c r="F337" i="75"/>
  <c r="M14" i="64"/>
  <c r="H78" i="1"/>
  <c r="H158" i="1"/>
  <c r="H139" i="1"/>
  <c r="H87" i="1"/>
  <c r="H8" i="1"/>
  <c r="H10" i="1"/>
  <c r="H41" i="1"/>
  <c r="F206" i="75"/>
  <c r="J206" i="75"/>
  <c r="H22" i="1"/>
  <c r="H180" i="1"/>
  <c r="H83" i="1"/>
  <c r="R55" i="1"/>
  <c r="H68" i="1"/>
  <c r="R13" i="1"/>
  <c r="R91" i="1"/>
  <c r="F253" i="75"/>
  <c r="J253" i="75"/>
  <c r="F155" i="75"/>
  <c r="K45" i="101"/>
  <c r="L10" i="102"/>
  <c r="R168" i="1"/>
  <c r="R170" i="1"/>
  <c r="R113" i="1"/>
  <c r="R45" i="1"/>
  <c r="H106" i="1"/>
  <c r="K190" i="1"/>
  <c r="N190" i="1"/>
  <c r="E172" i="1"/>
  <c r="R41" i="1"/>
  <c r="F358" i="75"/>
  <c r="J358" i="75"/>
  <c r="H124" i="1"/>
  <c r="R20" i="1"/>
  <c r="H49" i="1"/>
  <c r="P13" i="102"/>
  <c r="R35" i="1"/>
  <c r="R131" i="1"/>
  <c r="E4" i="26"/>
  <c r="F40" i="75"/>
  <c r="I40" i="75"/>
  <c r="G11" i="167"/>
  <c r="S165" i="71"/>
  <c r="S109" i="71"/>
  <c r="F46" i="175"/>
  <c r="S50" i="71"/>
  <c r="S171" i="71"/>
  <c r="S164" i="71"/>
  <c r="F41" i="175"/>
  <c r="K41" i="175"/>
  <c r="S157" i="71"/>
  <c r="S121" i="71"/>
  <c r="S163" i="71"/>
  <c r="K40" i="175"/>
  <c r="H14" i="170"/>
  <c r="J14" i="170"/>
  <c r="S161" i="71"/>
  <c r="H16" i="170"/>
  <c r="K16" i="170"/>
  <c r="H24" i="170"/>
  <c r="K24" i="170"/>
  <c r="S155" i="71"/>
  <c r="S168" i="71"/>
  <c r="H7" i="170"/>
  <c r="K7" i="170"/>
  <c r="S75" i="71"/>
  <c r="H18" i="170"/>
  <c r="K18" i="170"/>
  <c r="H23" i="170"/>
  <c r="K23" i="170"/>
  <c r="H19" i="170"/>
  <c r="K19" i="170"/>
  <c r="S138" i="71"/>
  <c r="S162" i="71"/>
  <c r="S154" i="71"/>
  <c r="F9" i="10"/>
  <c r="F12" i="10"/>
  <c r="F81" i="75"/>
  <c r="I81" i="75"/>
  <c r="F116" i="75"/>
  <c r="I116" i="75"/>
  <c r="H126" i="1"/>
  <c r="F79" i="75"/>
  <c r="I15" i="101"/>
  <c r="F83" i="75"/>
  <c r="J83" i="75"/>
  <c r="F80" i="75"/>
  <c r="J80" i="75"/>
  <c r="F82" i="75"/>
  <c r="L7" i="64"/>
  <c r="H133" i="1"/>
  <c r="F304" i="75"/>
  <c r="I304" i="75"/>
  <c r="H60" i="1"/>
  <c r="F305" i="75"/>
  <c r="J305" i="75"/>
  <c r="O446" i="187"/>
  <c r="Z32" i="71"/>
  <c r="O453" i="187"/>
  <c r="O447" i="187"/>
  <c r="Z33" i="71"/>
  <c r="O454" i="187"/>
  <c r="Z40" i="71"/>
  <c r="O450" i="187"/>
  <c r="Z36" i="71"/>
  <c r="J344" i="75"/>
  <c r="S149" i="71"/>
  <c r="Z103" i="71"/>
  <c r="O522" i="187"/>
  <c r="H154" i="1"/>
  <c r="F374" i="75"/>
  <c r="J374" i="75"/>
  <c r="AS30" i="71"/>
  <c r="AR30" i="71"/>
  <c r="Q147" i="75"/>
  <c r="F147" i="75"/>
  <c r="J77" i="101"/>
  <c r="O145" i="187"/>
  <c r="Q148" i="75"/>
  <c r="F148" i="75"/>
  <c r="J39" i="101"/>
  <c r="O148" i="187"/>
  <c r="Q151" i="75"/>
  <c r="F151" i="75"/>
  <c r="O146" i="187"/>
  <c r="Q149" i="75"/>
  <c r="F149" i="75"/>
  <c r="J149" i="75"/>
  <c r="Z67" i="71"/>
  <c r="O487" i="187"/>
  <c r="Z74" i="71"/>
  <c r="R29" i="1"/>
  <c r="S160" i="71"/>
  <c r="H123" i="1"/>
  <c r="Q123" i="1"/>
  <c r="R123" i="1"/>
  <c r="R102" i="1"/>
  <c r="AS136" i="71"/>
  <c r="AQ136" i="71"/>
  <c r="AR136" i="71"/>
  <c r="AS22" i="71"/>
  <c r="AR22" i="71"/>
  <c r="AQ22" i="71"/>
  <c r="AQ137" i="71"/>
  <c r="AS137" i="71"/>
  <c r="AR29" i="71"/>
  <c r="N29" i="71"/>
  <c r="O29" i="71"/>
  <c r="AQ95" i="71"/>
  <c r="AQ91" i="71"/>
  <c r="AQ90" i="71"/>
  <c r="AQ93" i="71"/>
  <c r="AQ10" i="71"/>
  <c r="AS10" i="71"/>
  <c r="AR10" i="71"/>
  <c r="L25" i="64"/>
  <c r="I346" i="75"/>
  <c r="AQ89" i="71"/>
  <c r="F207" i="75"/>
  <c r="K37" i="101"/>
  <c r="F208" i="75"/>
  <c r="I208" i="75"/>
  <c r="AR86" i="71"/>
  <c r="AQ86" i="71"/>
  <c r="AS86" i="71"/>
  <c r="H162" i="1"/>
  <c r="F261" i="75"/>
  <c r="I261" i="75"/>
  <c r="J377" i="75"/>
  <c r="F22" i="75"/>
  <c r="J411" i="75"/>
  <c r="M32" i="64"/>
  <c r="I411" i="75"/>
  <c r="L32" i="64"/>
  <c r="AR127" i="71"/>
  <c r="AS127" i="71"/>
  <c r="AQ81" i="71"/>
  <c r="AR81" i="71"/>
  <c r="P81" i="71"/>
  <c r="J81" i="71"/>
  <c r="I190" i="1"/>
  <c r="M190" i="1"/>
  <c r="Q172" i="1"/>
  <c r="H159" i="1"/>
  <c r="H75" i="1"/>
  <c r="H80" i="1"/>
  <c r="F160" i="75"/>
  <c r="J43" i="101"/>
  <c r="F159" i="75"/>
  <c r="J159" i="75"/>
  <c r="F107" i="75"/>
  <c r="L8" i="64"/>
  <c r="F370" i="75"/>
  <c r="J72" i="101"/>
  <c r="H30" i="170"/>
  <c r="K30" i="170"/>
  <c r="R125" i="1"/>
  <c r="R8" i="1"/>
  <c r="R149" i="1"/>
  <c r="R16" i="1"/>
  <c r="AS52" i="71"/>
  <c r="AQ52" i="71"/>
  <c r="AR52" i="71"/>
  <c r="H149" i="1"/>
  <c r="Q356" i="75"/>
  <c r="F356" i="75"/>
  <c r="J356" i="75"/>
  <c r="O362" i="187"/>
  <c r="F191" i="75"/>
  <c r="J191" i="75"/>
  <c r="M81" i="71"/>
  <c r="F386" i="75"/>
  <c r="J386" i="75"/>
  <c r="F385" i="75"/>
  <c r="I385" i="75"/>
  <c r="F352" i="75"/>
  <c r="J352" i="75"/>
  <c r="R154" i="1"/>
  <c r="AS85" i="71"/>
  <c r="AR85" i="71"/>
  <c r="AQ85" i="71"/>
  <c r="F144" i="75"/>
  <c r="J144" i="75"/>
  <c r="F46" i="144"/>
  <c r="C46" i="175"/>
  <c r="D46" i="175"/>
  <c r="H116" i="1"/>
  <c r="R70" i="1"/>
  <c r="R10" i="1"/>
  <c r="H153" i="1"/>
  <c r="O449" i="187"/>
  <c r="H119" i="1"/>
  <c r="F262" i="75"/>
  <c r="J262" i="75"/>
  <c r="H40" i="1"/>
  <c r="O489" i="187"/>
  <c r="Z76" i="71"/>
  <c r="F250" i="75"/>
  <c r="J250" i="75"/>
  <c r="Z25" i="71"/>
  <c r="N25" i="71"/>
  <c r="O25" i="71"/>
  <c r="H132" i="1"/>
  <c r="F251" i="75"/>
  <c r="I251" i="75"/>
  <c r="F254" i="75"/>
  <c r="J254" i="75"/>
  <c r="H47" i="124"/>
  <c r="H11" i="124"/>
  <c r="AS81" i="71"/>
  <c r="Q83" i="1"/>
  <c r="R83" i="1"/>
  <c r="R80" i="1"/>
  <c r="AS54" i="71"/>
  <c r="AS55" i="71"/>
  <c r="S8" i="71"/>
  <c r="F1534" i="144"/>
  <c r="H15" i="170"/>
  <c r="H8" i="124"/>
  <c r="H41" i="124"/>
  <c r="H182" i="1"/>
  <c r="R128" i="1"/>
  <c r="R78" i="1"/>
  <c r="I14" i="102"/>
  <c r="J14" i="102"/>
  <c r="F13" i="106"/>
  <c r="L14" i="102"/>
  <c r="R66" i="1"/>
  <c r="Z92" i="71"/>
  <c r="O510" i="187"/>
  <c r="Z98" i="71"/>
  <c r="AR139" i="71"/>
  <c r="AR140" i="71"/>
  <c r="AR138" i="71"/>
  <c r="D12" i="169" a="1"/>
  <c r="D12" i="169"/>
  <c r="F195" i="75"/>
  <c r="J195" i="75"/>
  <c r="F141" i="75"/>
  <c r="I141" i="75"/>
  <c r="I98" i="75"/>
  <c r="D3" i="26"/>
  <c r="D5" i="26"/>
  <c r="F9" i="28"/>
  <c r="F20" i="28"/>
  <c r="R147" i="1"/>
  <c r="R158" i="1"/>
  <c r="R9" i="1"/>
  <c r="R54" i="1"/>
  <c r="O158" i="187"/>
  <c r="Q161" i="75"/>
  <c r="H46" i="124"/>
  <c r="H38" i="1"/>
  <c r="R139" i="1"/>
  <c r="R15" i="1"/>
  <c r="Q38" i="75"/>
  <c r="F38" i="75"/>
  <c r="J38" i="75"/>
  <c r="O105" i="187"/>
  <c r="Q109" i="75"/>
  <c r="F109" i="75"/>
  <c r="J109" i="75"/>
  <c r="AQ139" i="71"/>
  <c r="AS139" i="71"/>
  <c r="H178" i="1"/>
  <c r="R99" i="1"/>
  <c r="R156" i="1"/>
  <c r="R134" i="1"/>
  <c r="AS18" i="71"/>
  <c r="AR18" i="71"/>
  <c r="AQ18" i="71"/>
  <c r="AR28" i="71"/>
  <c r="AS28" i="71"/>
  <c r="AQ28" i="71"/>
  <c r="I418" i="75"/>
  <c r="J418" i="75"/>
  <c r="H27" i="170"/>
  <c r="J27" i="170"/>
  <c r="F59" i="144"/>
  <c r="AR14" i="71"/>
  <c r="AS14" i="71"/>
  <c r="AQ14" i="71"/>
  <c r="AS17" i="71"/>
  <c r="AQ17" i="71"/>
  <c r="AR17" i="71"/>
  <c r="AS24" i="71"/>
  <c r="AR24" i="71"/>
  <c r="AS13" i="71"/>
  <c r="AQ13" i="71"/>
  <c r="O173" i="187"/>
  <c r="Q176" i="75"/>
  <c r="F176" i="75"/>
  <c r="I176" i="75"/>
  <c r="Q175" i="75"/>
  <c r="F175" i="75"/>
  <c r="J175" i="75"/>
  <c r="H30" i="124"/>
  <c r="AQ126" i="71"/>
  <c r="AS126" i="71"/>
  <c r="C16" i="167"/>
  <c r="D37" i="170"/>
  <c r="F45" i="175"/>
  <c r="AQ69" i="71"/>
  <c r="AR69" i="71"/>
  <c r="AS69" i="71"/>
  <c r="AQ68" i="71"/>
  <c r="AS68" i="71"/>
  <c r="AR68" i="71"/>
  <c r="G19" i="69"/>
  <c r="H19" i="69"/>
  <c r="K19" i="69"/>
  <c r="AN86" i="71"/>
  <c r="Q171" i="75"/>
  <c r="AR113" i="71"/>
  <c r="AS113" i="71"/>
  <c r="M17" i="102"/>
  <c r="P17" i="102"/>
  <c r="N17" i="102"/>
  <c r="AR51" i="71"/>
  <c r="AQ51" i="71"/>
  <c r="AS51" i="71"/>
  <c r="AR87" i="71"/>
  <c r="AQ87" i="71"/>
  <c r="AS87" i="71"/>
  <c r="AS119" i="71"/>
  <c r="AR119" i="71"/>
  <c r="F949" i="144"/>
  <c r="H10" i="170"/>
  <c r="K10" i="170"/>
  <c r="H13" i="106"/>
  <c r="AS138" i="71"/>
  <c r="AS140" i="71"/>
  <c r="S120" i="71"/>
  <c r="S152" i="71"/>
  <c r="S140" i="71"/>
  <c r="S166" i="71"/>
  <c r="S167" i="71"/>
  <c r="S83" i="71"/>
  <c r="S170" i="71"/>
  <c r="S158" i="71"/>
  <c r="S150" i="71"/>
  <c r="F137" i="75"/>
  <c r="F131" i="75"/>
  <c r="F271" i="75"/>
  <c r="F269" i="75"/>
  <c r="F270" i="75"/>
  <c r="J115" i="75"/>
  <c r="I115" i="75"/>
  <c r="I283" i="75"/>
  <c r="J283" i="75"/>
  <c r="F295" i="75"/>
  <c r="F299" i="75"/>
  <c r="F300" i="75"/>
  <c r="F301" i="75"/>
  <c r="F298" i="75"/>
  <c r="J318" i="75"/>
  <c r="I318" i="75"/>
  <c r="F279" i="75"/>
  <c r="F278" i="75"/>
  <c r="I303" i="75"/>
  <c r="J303" i="75"/>
  <c r="J393" i="75"/>
  <c r="I393" i="75"/>
  <c r="I335" i="75"/>
  <c r="L10" i="64"/>
  <c r="J335" i="75"/>
  <c r="M10" i="64"/>
  <c r="L17" i="64"/>
  <c r="I339" i="75"/>
  <c r="M17" i="64"/>
  <c r="J339" i="75"/>
  <c r="F312" i="75"/>
  <c r="F310" i="75"/>
  <c r="F308" i="75"/>
  <c r="F309" i="75"/>
  <c r="I369" i="75"/>
  <c r="J369" i="75"/>
  <c r="H111" i="1"/>
  <c r="F235" i="75"/>
  <c r="F272" i="75"/>
  <c r="F275" i="75"/>
  <c r="F273" i="75"/>
  <c r="F125" i="75"/>
  <c r="F134" i="75"/>
  <c r="M18" i="64"/>
  <c r="L18" i="64"/>
  <c r="K18" i="64"/>
  <c r="J138" i="75"/>
  <c r="I138" i="75"/>
  <c r="I18" i="101"/>
  <c r="K18" i="101"/>
  <c r="K76" i="101"/>
  <c r="I76" i="101"/>
  <c r="I93" i="75"/>
  <c r="J76" i="101"/>
  <c r="J93" i="75"/>
  <c r="J18" i="101"/>
  <c r="I222" i="75"/>
  <c r="J222" i="75"/>
  <c r="H163" i="1"/>
  <c r="F343" i="75"/>
  <c r="K23" i="64"/>
  <c r="J277" i="75"/>
  <c r="I277" i="75"/>
  <c r="J302" i="75"/>
  <c r="I302" i="75"/>
  <c r="J167" i="75"/>
  <c r="I167" i="75"/>
  <c r="H81" i="1"/>
  <c r="F389" i="75"/>
  <c r="F297" i="75"/>
  <c r="J23" i="75"/>
  <c r="I23" i="75"/>
  <c r="I317" i="75"/>
  <c r="J317" i="75"/>
  <c r="J291" i="75"/>
  <c r="I291" i="75"/>
  <c r="H12" i="69"/>
  <c r="K12" i="69"/>
  <c r="AK46" i="71"/>
  <c r="H13" i="69"/>
  <c r="K13" i="69"/>
  <c r="AL20" i="71"/>
  <c r="F173" i="75"/>
  <c r="F172" i="75"/>
  <c r="F174" i="75"/>
  <c r="I118" i="75"/>
  <c r="J118" i="75"/>
  <c r="F296" i="75"/>
  <c r="I90" i="75"/>
  <c r="J90" i="75"/>
  <c r="J366" i="75"/>
  <c r="I366" i="75"/>
  <c r="C29" i="175" a="1"/>
  <c r="C29" i="175"/>
  <c r="D29" i="175"/>
  <c r="C7" i="175" a="1"/>
  <c r="C7" i="175"/>
  <c r="D7" i="175"/>
  <c r="C19" i="174" a="1"/>
  <c r="C19" i="174"/>
  <c r="D19" i="174"/>
  <c r="E19" i="174"/>
  <c r="D11" i="167" a="1"/>
  <c r="D11" i="167"/>
  <c r="E11" i="167"/>
  <c r="H95" i="1"/>
  <c r="F236" i="75"/>
  <c r="F237" i="75"/>
  <c r="I112" i="75"/>
  <c r="J112" i="75"/>
  <c r="K62" i="101"/>
  <c r="J62" i="101"/>
  <c r="J258" i="75"/>
  <c r="I62" i="101"/>
  <c r="I258" i="75"/>
  <c r="H8" i="69"/>
  <c r="K8" i="69"/>
  <c r="AG48" i="71"/>
  <c r="F89" i="75"/>
  <c r="F85" i="75"/>
  <c r="F86" i="75"/>
  <c r="F88" i="75"/>
  <c r="R157" i="1"/>
  <c r="O69" i="187"/>
  <c r="Q73" i="75"/>
  <c r="Q69" i="75"/>
  <c r="O17" i="187"/>
  <c r="Q18" i="75"/>
  <c r="F18" i="75"/>
  <c r="Q17" i="75"/>
  <c r="F17" i="75"/>
  <c r="J225" i="75"/>
  <c r="I225" i="75"/>
  <c r="I77" i="75"/>
  <c r="J77" i="75"/>
  <c r="J313" i="75"/>
  <c r="I313" i="75"/>
  <c r="I42" i="75"/>
  <c r="J42" i="75"/>
  <c r="I127" i="75"/>
  <c r="J127" i="75"/>
  <c r="Q8" i="75"/>
  <c r="O412" i="187"/>
  <c r="Q408" i="75"/>
  <c r="O10" i="187"/>
  <c r="Q10" i="75"/>
  <c r="O12" i="187"/>
  <c r="Q12" i="75"/>
  <c r="I7" i="174"/>
  <c r="D12" i="167" a="1"/>
  <c r="D12" i="167"/>
  <c r="C43" i="174" a="1"/>
  <c r="C43" i="174"/>
  <c r="D43" i="174"/>
  <c r="E43" i="174"/>
  <c r="D9" i="167" a="1"/>
  <c r="D9" i="167"/>
  <c r="E9" i="167"/>
  <c r="I211" i="75"/>
  <c r="J211" i="75"/>
  <c r="H102" i="1"/>
  <c r="K19" i="64"/>
  <c r="H25" i="1"/>
  <c r="F124" i="75"/>
  <c r="H145" i="1"/>
  <c r="K12" i="64"/>
  <c r="H57" i="1"/>
  <c r="F311" i="75"/>
  <c r="H173" i="1"/>
  <c r="F177" i="75"/>
  <c r="F178" i="75"/>
  <c r="R135" i="1"/>
  <c r="K16" i="64"/>
  <c r="H161" i="1"/>
  <c r="F99" i="75"/>
  <c r="H64" i="1"/>
  <c r="H26" i="1"/>
  <c r="H137" i="1"/>
  <c r="H105" i="1"/>
  <c r="F193" i="75"/>
  <c r="H121" i="1"/>
  <c r="Q121" i="1"/>
  <c r="R121" i="1"/>
  <c r="AQ48" i="71"/>
  <c r="AR48" i="71"/>
  <c r="AS48" i="71"/>
  <c r="N48" i="71"/>
  <c r="O48" i="71"/>
  <c r="J410" i="75"/>
  <c r="I410" i="75"/>
  <c r="I226" i="75"/>
  <c r="J226" i="75"/>
  <c r="AR104" i="71"/>
  <c r="AQ104" i="71"/>
  <c r="AS104" i="71"/>
  <c r="N104" i="71"/>
  <c r="O104" i="71"/>
  <c r="H109" i="1"/>
  <c r="J409" i="75"/>
  <c r="I409" i="75"/>
  <c r="M31" i="64"/>
  <c r="H135" i="1"/>
  <c r="F133" i="75"/>
  <c r="S80" i="71"/>
  <c r="AS46" i="71"/>
  <c r="AR46" i="71"/>
  <c r="AQ46" i="71"/>
  <c r="N46" i="71"/>
  <c r="H26" i="170"/>
  <c r="K26" i="170"/>
  <c r="F1533" i="144"/>
  <c r="I19" i="101"/>
  <c r="K19" i="101"/>
  <c r="J19" i="101"/>
  <c r="J92" i="75"/>
  <c r="I92" i="75"/>
  <c r="S82" i="71"/>
  <c r="S139" i="71"/>
  <c r="F284" i="75"/>
  <c r="F24" i="75"/>
  <c r="I398" i="75"/>
  <c r="J398" i="75"/>
  <c r="C18" i="175" a="1"/>
  <c r="C18" i="175"/>
  <c r="D18" i="175"/>
  <c r="C10" i="174" a="1"/>
  <c r="C10" i="174"/>
  <c r="D10" i="174"/>
  <c r="E10" i="174"/>
  <c r="C39" i="175" a="1"/>
  <c r="C39" i="175"/>
  <c r="D39" i="175"/>
  <c r="C27" i="175" a="1"/>
  <c r="C27" i="175"/>
  <c r="D27" i="175"/>
  <c r="C10" i="175" a="1"/>
  <c r="C10" i="175"/>
  <c r="D10" i="175"/>
  <c r="C42" i="175" a="1"/>
  <c r="C42" i="175"/>
  <c r="D42" i="175"/>
  <c r="C44" i="174" a="1"/>
  <c r="C44" i="174"/>
  <c r="D44" i="174"/>
  <c r="E44" i="174"/>
  <c r="E4" i="27"/>
  <c r="B7" i="27"/>
  <c r="J221" i="75"/>
  <c r="I221" i="75"/>
  <c r="J179" i="75"/>
  <c r="I179" i="75"/>
  <c r="N9" i="71"/>
  <c r="O9" i="71"/>
  <c r="P10" i="140"/>
  <c r="H160" i="1"/>
  <c r="F103" i="75"/>
  <c r="F105" i="75"/>
  <c r="H148" i="1"/>
  <c r="F213" i="75"/>
  <c r="H15" i="1"/>
  <c r="H79" i="1"/>
  <c r="H71" i="1"/>
  <c r="J319" i="75"/>
  <c r="I319" i="75"/>
  <c r="I282" i="75"/>
  <c r="J282" i="75"/>
  <c r="P8" i="102"/>
  <c r="K17" i="64"/>
  <c r="Q64" i="1"/>
  <c r="R64" i="1"/>
  <c r="Q109" i="1"/>
  <c r="R109" i="1"/>
  <c r="AQ20" i="71"/>
  <c r="AS20" i="71"/>
  <c r="AR20" i="71"/>
  <c r="N20" i="71"/>
  <c r="O20" i="71"/>
  <c r="C37" i="174" a="1"/>
  <c r="C37" i="174"/>
  <c r="D37" i="174"/>
  <c r="E37" i="174"/>
  <c r="C8" i="174" a="1"/>
  <c r="C8" i="174"/>
  <c r="D8" i="174"/>
  <c r="E8" i="174"/>
  <c r="C20" i="174" a="1"/>
  <c r="C20" i="174"/>
  <c r="D20" i="174"/>
  <c r="E20" i="174"/>
  <c r="C12" i="174" a="1"/>
  <c r="C12" i="174"/>
  <c r="D12" i="174"/>
  <c r="E12" i="174"/>
  <c r="B35" i="170"/>
  <c r="B45" i="175"/>
  <c r="R12" i="1"/>
  <c r="I328" i="75"/>
  <c r="J328" i="75"/>
  <c r="H115" i="1"/>
  <c r="H12" i="1"/>
  <c r="I401" i="75"/>
  <c r="J401" i="75"/>
  <c r="I27" i="101"/>
  <c r="J27" i="101"/>
  <c r="K27" i="101"/>
  <c r="J113" i="75"/>
  <c r="I113" i="75"/>
  <c r="AS53" i="71"/>
  <c r="AQ53" i="71"/>
  <c r="AR53" i="71"/>
  <c r="N53" i="71"/>
  <c r="O53" i="71"/>
  <c r="I406" i="75"/>
  <c r="J406" i="75"/>
  <c r="I294" i="75"/>
  <c r="J294" i="75"/>
  <c r="D252" i="194"/>
  <c r="E234" i="194"/>
  <c r="C32" i="175" a="1"/>
  <c r="C32" i="175"/>
  <c r="D32" i="175"/>
  <c r="C17" i="175" a="1"/>
  <c r="C17" i="175"/>
  <c r="D17" i="175"/>
  <c r="D7" i="167" a="1"/>
  <c r="D7" i="167"/>
  <c r="E7" i="167"/>
  <c r="D9" i="169" a="1"/>
  <c r="D9" i="169"/>
  <c r="E9" i="169"/>
  <c r="F9" i="169"/>
  <c r="H9" i="167"/>
  <c r="H140" i="1"/>
  <c r="J223" i="75"/>
  <c r="I223" i="75"/>
  <c r="Q178" i="1"/>
  <c r="R178" i="1"/>
  <c r="R179" i="1"/>
  <c r="K21" i="101"/>
  <c r="J21" i="101"/>
  <c r="I21" i="101"/>
  <c r="I97" i="75"/>
  <c r="J97" i="75"/>
  <c r="H56" i="1"/>
  <c r="Q56" i="1"/>
  <c r="R56" i="1"/>
  <c r="H117" i="1"/>
  <c r="Q117" i="1"/>
  <c r="R117" i="1"/>
  <c r="H46" i="1"/>
  <c r="J379" i="75"/>
  <c r="I379" i="75"/>
  <c r="H74" i="1"/>
  <c r="Q74" i="1"/>
  <c r="R74" i="1"/>
  <c r="J402" i="75"/>
  <c r="I402" i="75"/>
  <c r="J40" i="101"/>
  <c r="I40" i="101"/>
  <c r="K40" i="101"/>
  <c r="I170" i="75"/>
  <c r="J170" i="75"/>
  <c r="F274" i="75"/>
  <c r="F168" i="75"/>
  <c r="AS96" i="71"/>
  <c r="AQ96" i="71"/>
  <c r="AR96" i="71"/>
  <c r="N96" i="71"/>
  <c r="O96" i="71"/>
  <c r="O511" i="187"/>
  <c r="O513" i="187"/>
  <c r="Z101" i="71"/>
  <c r="F157" i="75"/>
  <c r="F161" i="75"/>
  <c r="H143" i="1"/>
  <c r="Q143" i="1"/>
  <c r="R143" i="1"/>
  <c r="I361" i="75"/>
  <c r="J361" i="75"/>
  <c r="J61" i="75"/>
  <c r="I61" i="75"/>
  <c r="F376" i="75"/>
  <c r="H118" i="1"/>
  <c r="Q118" i="1"/>
  <c r="R118" i="1"/>
  <c r="I165" i="75"/>
  <c r="J165" i="75"/>
  <c r="J373" i="75"/>
  <c r="I373" i="75"/>
  <c r="H17" i="170"/>
  <c r="F1532" i="144"/>
  <c r="AQ47" i="71"/>
  <c r="AR47" i="71"/>
  <c r="AS47" i="71"/>
  <c r="N47" i="71"/>
  <c r="O47" i="71"/>
  <c r="J205" i="75"/>
  <c r="I205" i="75"/>
  <c r="F209" i="75"/>
  <c r="F260" i="75"/>
  <c r="H48" i="1"/>
  <c r="Q48" i="1"/>
  <c r="R48" i="1"/>
  <c r="K10" i="64"/>
  <c r="F158" i="75"/>
  <c r="S172" i="71"/>
  <c r="C31" i="175" a="1"/>
  <c r="C31" i="175"/>
  <c r="D31" i="175"/>
  <c r="C23" i="175" a="1"/>
  <c r="C23" i="175"/>
  <c r="D23" i="175"/>
  <c r="C30" i="174" a="1"/>
  <c r="C30" i="174"/>
  <c r="D30" i="174"/>
  <c r="E30" i="174"/>
  <c r="C33" i="174" a="1"/>
  <c r="C33" i="174"/>
  <c r="D33" i="174"/>
  <c r="E33" i="174"/>
  <c r="C25" i="175" a="1"/>
  <c r="C25" i="175"/>
  <c r="D25" i="175"/>
  <c r="D8" i="167" a="1"/>
  <c r="D8" i="167"/>
  <c r="E8" i="167"/>
  <c r="C11" i="175" a="1"/>
  <c r="C11" i="175"/>
  <c r="D11" i="175"/>
  <c r="I60" i="101"/>
  <c r="K60" i="101"/>
  <c r="J60" i="101"/>
  <c r="I227" i="75"/>
  <c r="J227" i="75"/>
  <c r="M15" i="102"/>
  <c r="P15" i="102"/>
  <c r="L15" i="102"/>
  <c r="N15" i="102"/>
  <c r="K21" i="64"/>
  <c r="H120" i="1"/>
  <c r="F276" i="75"/>
  <c r="F154" i="75"/>
  <c r="F152" i="75"/>
  <c r="F156" i="75"/>
  <c r="H177" i="1"/>
  <c r="F245" i="75"/>
  <c r="F246" i="75"/>
  <c r="M12" i="64"/>
  <c r="N12" i="102"/>
  <c r="F10" i="106"/>
  <c r="L12" i="102"/>
  <c r="R89" i="1"/>
  <c r="Q140" i="1"/>
  <c r="R140" i="1"/>
  <c r="Q180" i="1"/>
  <c r="R180" i="1"/>
  <c r="R51" i="1"/>
  <c r="Q137" i="1"/>
  <c r="R137" i="1"/>
  <c r="H84" i="1"/>
  <c r="Q84" i="1"/>
  <c r="R84" i="1"/>
  <c r="H11" i="1"/>
  <c r="Q11" i="1"/>
  <c r="R11" i="1"/>
  <c r="I239" i="75"/>
  <c r="J239" i="75"/>
  <c r="H7" i="1"/>
  <c r="Q7" i="1"/>
  <c r="R7" i="1"/>
  <c r="H107" i="1"/>
  <c r="Q107" i="1"/>
  <c r="R107" i="1"/>
  <c r="I234" i="75"/>
  <c r="J234" i="75"/>
  <c r="J197" i="75"/>
  <c r="I197" i="75"/>
  <c r="O20" i="187"/>
  <c r="Q20" i="75"/>
  <c r="F20" i="75"/>
  <c r="AS106" i="71"/>
  <c r="N106" i="71"/>
  <c r="O106" i="71"/>
  <c r="AQ106" i="71"/>
  <c r="AR106" i="71"/>
  <c r="C17" i="174" a="1"/>
  <c r="C17" i="174"/>
  <c r="D17" i="174"/>
  <c r="E17" i="174"/>
  <c r="C29" i="174" a="1"/>
  <c r="C29" i="174"/>
  <c r="D29" i="174"/>
  <c r="E29" i="174"/>
  <c r="F136" i="75"/>
  <c r="Q29" i="75"/>
  <c r="O29" i="187"/>
  <c r="Q30" i="75"/>
  <c r="O31" i="187"/>
  <c r="Q32" i="75"/>
  <c r="I153" i="75"/>
  <c r="J153" i="75"/>
  <c r="J387" i="75"/>
  <c r="I387" i="75"/>
  <c r="F285" i="75"/>
  <c r="J67" i="75"/>
  <c r="I67" i="75"/>
  <c r="M19" i="64"/>
  <c r="L19" i="64"/>
  <c r="I340" i="75"/>
  <c r="J340" i="75"/>
  <c r="H36" i="1"/>
  <c r="F342" i="75"/>
  <c r="J230" i="75"/>
  <c r="I230" i="75"/>
  <c r="C24" i="175" a="1"/>
  <c r="C24" i="175"/>
  <c r="D24" i="175"/>
  <c r="C34" i="175" a="1"/>
  <c r="C34" i="175"/>
  <c r="D34" i="175"/>
  <c r="C35" i="174" a="1"/>
  <c r="C35" i="174"/>
  <c r="D35" i="174"/>
  <c r="E35" i="174"/>
  <c r="C43" i="175" a="1"/>
  <c r="C43" i="175"/>
  <c r="D43" i="175"/>
  <c r="D10" i="167" a="1"/>
  <c r="D10" i="167"/>
  <c r="E10" i="167"/>
  <c r="C16" i="175" a="1"/>
  <c r="C16" i="175"/>
  <c r="D16" i="175"/>
  <c r="C47" i="175" a="1"/>
  <c r="C47" i="175"/>
  <c r="D47" i="175"/>
  <c r="N14" i="102"/>
  <c r="K14" i="102"/>
  <c r="M14" i="102"/>
  <c r="P14" i="102"/>
  <c r="H22" i="102"/>
  <c r="I215" i="75"/>
  <c r="J215" i="75"/>
  <c r="F162" i="75"/>
  <c r="F163" i="75"/>
  <c r="H141" i="1"/>
  <c r="J290" i="75"/>
  <c r="I290" i="75"/>
  <c r="F263" i="75"/>
  <c r="F265" i="75"/>
  <c r="R138" i="1"/>
  <c r="R133" i="1"/>
  <c r="Q40" i="1"/>
  <c r="R40" i="1"/>
  <c r="R61" i="1"/>
  <c r="L12" i="64"/>
  <c r="AS60" i="71"/>
  <c r="AQ60" i="71"/>
  <c r="N60" i="71"/>
  <c r="AR60" i="71"/>
  <c r="J281" i="75"/>
  <c r="I281" i="75"/>
  <c r="H96" i="1"/>
  <c r="Q96" i="1"/>
  <c r="R96" i="1"/>
  <c r="AS63" i="71"/>
  <c r="AR63" i="71"/>
  <c r="N63" i="71"/>
  <c r="O63" i="71"/>
  <c r="P26" i="140"/>
  <c r="AQ63" i="71"/>
  <c r="AR58" i="71"/>
  <c r="AQ58" i="71"/>
  <c r="N58" i="71"/>
  <c r="O58" i="71"/>
  <c r="AS58" i="71"/>
  <c r="J74" i="101"/>
  <c r="I74" i="101"/>
  <c r="I384" i="75"/>
  <c r="K74" i="101"/>
  <c r="J384" i="75"/>
  <c r="H8" i="170"/>
  <c r="F210" i="144"/>
  <c r="K9" i="170"/>
  <c r="J9" i="170"/>
  <c r="C12" i="167"/>
  <c r="C21" i="174" a="1"/>
  <c r="C21" i="174"/>
  <c r="D21" i="174"/>
  <c r="E21" i="174"/>
  <c r="C24" i="174" a="1"/>
  <c r="C24" i="174"/>
  <c r="D24" i="174"/>
  <c r="E24" i="174"/>
  <c r="H167" i="1"/>
  <c r="F91" i="75"/>
  <c r="I365" i="75"/>
  <c r="J365" i="75"/>
  <c r="S146" i="71"/>
  <c r="J249" i="75"/>
  <c r="I249" i="75"/>
  <c r="AR61" i="71"/>
  <c r="N61" i="71"/>
  <c r="O61" i="71"/>
  <c r="AQ61" i="71"/>
  <c r="AS61" i="71"/>
  <c r="I46" i="174"/>
  <c r="B36" i="170"/>
  <c r="E16" i="167"/>
  <c r="C26" i="175" a="1"/>
  <c r="C26" i="175"/>
  <c r="D26" i="175"/>
  <c r="C22" i="175" a="1"/>
  <c r="C22" i="175"/>
  <c r="D22" i="175"/>
  <c r="C38" i="174" a="1"/>
  <c r="C38" i="174"/>
  <c r="D38" i="174"/>
  <c r="E38" i="174"/>
  <c r="C14" i="175" a="1"/>
  <c r="C14" i="175"/>
  <c r="D14" i="175"/>
  <c r="C8" i="175" a="1"/>
  <c r="C8" i="175"/>
  <c r="D8" i="175"/>
  <c r="F14" i="106"/>
  <c r="L19" i="102"/>
  <c r="K19" i="102"/>
  <c r="M19" i="102"/>
  <c r="P19" i="102"/>
  <c r="I19" i="102"/>
  <c r="J19" i="102"/>
  <c r="N167" i="71"/>
  <c r="O167" i="71"/>
  <c r="N152" i="71"/>
  <c r="N78" i="71"/>
  <c r="O78" i="71"/>
  <c r="N127" i="71"/>
  <c r="O127" i="71"/>
  <c r="N56" i="71"/>
  <c r="O56" i="71"/>
  <c r="N162" i="71"/>
  <c r="O162" i="71"/>
  <c r="N109" i="71"/>
  <c r="O109" i="71"/>
  <c r="N121" i="71"/>
  <c r="O121" i="71"/>
  <c r="N160" i="71"/>
  <c r="O160" i="71"/>
  <c r="N82" i="71"/>
  <c r="O82" i="71"/>
  <c r="N122" i="71"/>
  <c r="O122" i="71"/>
  <c r="P29" i="140"/>
  <c r="N50" i="71"/>
  <c r="O50" i="71"/>
  <c r="N145" i="71"/>
  <c r="O145" i="71"/>
  <c r="N131" i="71"/>
  <c r="O131" i="71"/>
  <c r="N54" i="71"/>
  <c r="O54" i="71"/>
  <c r="P8" i="140"/>
  <c r="N151" i="71"/>
  <c r="O151" i="71"/>
  <c r="N149" i="71"/>
  <c r="O149" i="71"/>
  <c r="N163" i="71"/>
  <c r="O163" i="71"/>
  <c r="N90" i="71"/>
  <c r="O90" i="71"/>
  <c r="N19" i="71"/>
  <c r="O19" i="71"/>
  <c r="N171" i="71"/>
  <c r="O171" i="71"/>
  <c r="N51" i="71"/>
  <c r="O51" i="71"/>
  <c r="N28" i="71"/>
  <c r="O28" i="71"/>
  <c r="N30" i="71"/>
  <c r="O30" i="71"/>
  <c r="N62" i="71"/>
  <c r="O62" i="71"/>
  <c r="N164" i="71"/>
  <c r="O164" i="71"/>
  <c r="N66" i="71"/>
  <c r="O66" i="71"/>
  <c r="P25" i="140"/>
  <c r="N168" i="71"/>
  <c r="O168" i="71"/>
  <c r="N113" i="71"/>
  <c r="O113" i="71"/>
  <c r="N158" i="71"/>
  <c r="O158" i="71"/>
  <c r="N11" i="71"/>
  <c r="N13" i="71"/>
  <c r="O13" i="71"/>
  <c r="N70" i="71"/>
  <c r="O70" i="71"/>
  <c r="N75" i="71"/>
  <c r="O75" i="71"/>
  <c r="N85" i="71"/>
  <c r="O85" i="71"/>
  <c r="N172" i="71"/>
  <c r="O172" i="71"/>
  <c r="N144" i="71"/>
  <c r="O144" i="71"/>
  <c r="N136" i="71"/>
  <c r="O136" i="71"/>
  <c r="N89" i="71"/>
  <c r="O89" i="71"/>
  <c r="P19" i="140"/>
  <c r="N120" i="71"/>
  <c r="O120" i="71"/>
  <c r="N87" i="71"/>
  <c r="O87" i="71"/>
  <c r="N45" i="71"/>
  <c r="O45" i="71"/>
  <c r="N146" i="71"/>
  <c r="O146" i="71"/>
  <c r="N69" i="71"/>
  <c r="O69" i="71"/>
  <c r="N16" i="71"/>
  <c r="O16" i="71"/>
  <c r="N139" i="71"/>
  <c r="O139" i="71"/>
  <c r="N129" i="71"/>
  <c r="O129" i="71"/>
  <c r="N95" i="71"/>
  <c r="O95" i="71"/>
  <c r="N18" i="71"/>
  <c r="O18" i="71"/>
  <c r="N10" i="71"/>
  <c r="N44" i="71"/>
  <c r="O44" i="71"/>
  <c r="N140" i="71"/>
  <c r="O140" i="71"/>
  <c r="N155" i="71"/>
  <c r="O155" i="71"/>
  <c r="N169" i="71"/>
  <c r="O169" i="71"/>
  <c r="N114" i="71"/>
  <c r="O114" i="71"/>
  <c r="P13" i="140"/>
  <c r="N24" i="71"/>
  <c r="O24" i="71"/>
  <c r="N126" i="71"/>
  <c r="O126" i="71"/>
  <c r="N134" i="71"/>
  <c r="O134" i="71"/>
  <c r="N12" i="71"/>
  <c r="N15" i="71"/>
  <c r="O15" i="71"/>
  <c r="N170" i="71"/>
  <c r="O170" i="71"/>
  <c r="N38" i="71"/>
  <c r="N156" i="71"/>
  <c r="O156" i="71"/>
  <c r="N159" i="71"/>
  <c r="O159" i="71"/>
  <c r="N117" i="71"/>
  <c r="O117" i="71"/>
  <c r="N165" i="71"/>
  <c r="O165" i="71"/>
  <c r="N102" i="71"/>
  <c r="O102" i="71"/>
  <c r="P11" i="140"/>
  <c r="N86" i="71"/>
  <c r="O86" i="71"/>
  <c r="N130" i="71"/>
  <c r="O130" i="71"/>
  <c r="P7" i="140"/>
  <c r="N83" i="71"/>
  <c r="O83" i="71"/>
  <c r="N115" i="71"/>
  <c r="O115" i="71"/>
  <c r="N71" i="71"/>
  <c r="O71" i="71"/>
  <c r="N80" i="71"/>
  <c r="O80" i="71"/>
  <c r="N79" i="71"/>
  <c r="O79" i="71"/>
  <c r="N93" i="71"/>
  <c r="O93" i="71"/>
  <c r="N153" i="71"/>
  <c r="O153" i="71"/>
  <c r="N128" i="71"/>
  <c r="O128" i="71"/>
  <c r="N84" i="71"/>
  <c r="O84" i="71"/>
  <c r="N88" i="71"/>
  <c r="O88" i="71"/>
  <c r="N142" i="71"/>
  <c r="O142" i="71"/>
  <c r="P17" i="140"/>
  <c r="N154" i="71"/>
  <c r="N125" i="71"/>
  <c r="O125" i="71"/>
  <c r="N72" i="71"/>
  <c r="O72" i="71"/>
  <c r="N17" i="71"/>
  <c r="O17" i="71"/>
  <c r="N32" i="71"/>
  <c r="O32" i="71"/>
  <c r="N143" i="71"/>
  <c r="O143" i="71"/>
  <c r="N59" i="71"/>
  <c r="O59" i="71"/>
  <c r="P20" i="140"/>
  <c r="N49" i="71"/>
  <c r="O49" i="71"/>
  <c r="N150" i="71"/>
  <c r="O150" i="71"/>
  <c r="N23" i="71"/>
  <c r="N116" i="71"/>
  <c r="O116" i="71"/>
  <c r="N26" i="71"/>
  <c r="O26" i="71"/>
  <c r="N31" i="71"/>
  <c r="O31" i="71"/>
  <c r="N21" i="71"/>
  <c r="N123" i="71"/>
  <c r="O123" i="71"/>
  <c r="P15" i="140"/>
  <c r="N157" i="71"/>
  <c r="O157" i="71"/>
  <c r="N34" i="71"/>
  <c r="O34" i="71"/>
  <c r="N132" i="71"/>
  <c r="O132" i="71"/>
  <c r="P16" i="140"/>
  <c r="N81" i="71"/>
  <c r="O81" i="71"/>
  <c r="N147" i="71"/>
  <c r="O147" i="71"/>
  <c r="N166" i="71"/>
  <c r="O166" i="71"/>
  <c r="P7" i="102"/>
  <c r="N161" i="71"/>
  <c r="O161" i="71"/>
  <c r="N137" i="71"/>
  <c r="O137" i="71"/>
  <c r="N112" i="71"/>
  <c r="O112" i="71"/>
  <c r="P12" i="140"/>
  <c r="N22" i="71"/>
  <c r="O22" i="71"/>
  <c r="N148" i="71"/>
  <c r="O148" i="71"/>
  <c r="N68" i="71"/>
  <c r="O68" i="71"/>
  <c r="N141" i="71"/>
  <c r="O141" i="71"/>
  <c r="P18" i="140"/>
  <c r="N98" i="71"/>
  <c r="O98" i="71"/>
  <c r="N138" i="71"/>
  <c r="O138" i="71"/>
  <c r="N67" i="71"/>
  <c r="O67" i="71"/>
  <c r="N8" i="71"/>
  <c r="O8" i="71"/>
  <c r="N55" i="71"/>
  <c r="O55" i="71"/>
  <c r="N40" i="71"/>
  <c r="O40" i="71"/>
  <c r="N77" i="71"/>
  <c r="O77" i="71"/>
  <c r="P14" i="140"/>
  <c r="N108" i="71"/>
  <c r="O108" i="71"/>
  <c r="N133" i="71"/>
  <c r="O133" i="71"/>
  <c r="P9" i="140"/>
  <c r="N52" i="71"/>
  <c r="O52" i="71"/>
  <c r="N135" i="71"/>
  <c r="O135" i="71"/>
  <c r="N119" i="71"/>
  <c r="O119" i="71"/>
  <c r="N36" i="71"/>
  <c r="O36" i="71"/>
  <c r="K65" i="101"/>
  <c r="J65" i="101"/>
  <c r="I65" i="101"/>
  <c r="J257" i="75"/>
  <c r="I257" i="75"/>
  <c r="H18" i="1"/>
  <c r="F256" i="75"/>
  <c r="H90" i="1"/>
  <c r="N107" i="71"/>
  <c r="R69" i="1"/>
  <c r="R163" i="1"/>
  <c r="R120" i="1"/>
  <c r="R81" i="1"/>
  <c r="L16" i="64"/>
  <c r="AS73" i="71"/>
  <c r="AQ73" i="71"/>
  <c r="AR73" i="71"/>
  <c r="N73" i="71"/>
  <c r="O73" i="71"/>
  <c r="J214" i="75"/>
  <c r="I214" i="75"/>
  <c r="I397" i="75"/>
  <c r="J397" i="75"/>
  <c r="H76" i="1"/>
  <c r="Q76" i="1"/>
  <c r="R76" i="1"/>
  <c r="H157" i="1"/>
  <c r="F288" i="75"/>
  <c r="H47" i="1"/>
  <c r="Q47" i="1"/>
  <c r="R47" i="1"/>
  <c r="J348" i="75"/>
  <c r="I348" i="75"/>
  <c r="L27" i="64"/>
  <c r="L26" i="64"/>
  <c r="J347" i="75"/>
  <c r="I347" i="75"/>
  <c r="H29" i="1"/>
  <c r="J394" i="75"/>
  <c r="I394" i="75"/>
  <c r="AR124" i="71"/>
  <c r="AS124" i="71"/>
  <c r="AQ124" i="71"/>
  <c r="N124" i="71"/>
  <c r="H77" i="1"/>
  <c r="Q77" i="1"/>
  <c r="R77" i="1"/>
  <c r="M27" i="64"/>
  <c r="F1539" i="144"/>
  <c r="O96" i="101"/>
  <c r="H22" i="170"/>
  <c r="I422" i="75"/>
  <c r="J422" i="75"/>
  <c r="J238" i="75"/>
  <c r="I238" i="75"/>
  <c r="I126" i="75"/>
  <c r="J126" i="75"/>
  <c r="I341" i="75"/>
  <c r="J341" i="75"/>
  <c r="M20" i="64"/>
  <c r="L20" i="64"/>
  <c r="C20" i="175" a="1"/>
  <c r="C20" i="175"/>
  <c r="D20" i="175"/>
  <c r="C15" i="175" a="1"/>
  <c r="C15" i="175"/>
  <c r="D15" i="175"/>
  <c r="C13" i="174" a="1"/>
  <c r="C13" i="174"/>
  <c r="D13" i="174"/>
  <c r="E13" i="174"/>
  <c r="I353" i="75"/>
  <c r="J353" i="75"/>
  <c r="L11" i="64"/>
  <c r="K11" i="64"/>
  <c r="H151" i="1"/>
  <c r="M11" i="64"/>
  <c r="H11" i="69"/>
  <c r="K11" i="69"/>
  <c r="AO97" i="71"/>
  <c r="H122" i="1"/>
  <c r="H179" i="1"/>
  <c r="F128" i="75"/>
  <c r="K9" i="102"/>
  <c r="F16" i="106"/>
  <c r="L9" i="102"/>
  <c r="I9" i="102"/>
  <c r="J9" i="102"/>
  <c r="M9" i="102"/>
  <c r="K21" i="102"/>
  <c r="F12" i="106"/>
  <c r="L21" i="102"/>
  <c r="I21" i="102"/>
  <c r="J21" i="102"/>
  <c r="M21" i="102"/>
  <c r="P21" i="102"/>
  <c r="H127" i="1"/>
  <c r="H142" i="1"/>
  <c r="Q142" i="1"/>
  <c r="R142" i="1"/>
  <c r="H53" i="1"/>
  <c r="Q53" i="1"/>
  <c r="R53" i="1"/>
  <c r="J362" i="75"/>
  <c r="I362" i="75"/>
  <c r="J146" i="75"/>
  <c r="I146" i="75"/>
  <c r="C28" i="169"/>
  <c r="F16" i="75"/>
  <c r="H42" i="1"/>
  <c r="Q42" i="1"/>
  <c r="R42" i="1"/>
  <c r="H65" i="1"/>
  <c r="Q65" i="1"/>
  <c r="R65" i="1"/>
  <c r="J244" i="75"/>
  <c r="I244" i="75"/>
  <c r="H34" i="1"/>
  <c r="Q34" i="1"/>
  <c r="R34" i="1"/>
  <c r="H37" i="1"/>
  <c r="Q37" i="1"/>
  <c r="R37" i="1"/>
  <c r="H110" i="1"/>
  <c r="K17" i="101"/>
  <c r="I17" i="101"/>
  <c r="J17" i="101"/>
  <c r="J84" i="75"/>
  <c r="I84" i="75"/>
  <c r="F19" i="75"/>
  <c r="O201" i="187"/>
  <c r="Q201" i="75"/>
  <c r="F201" i="75"/>
  <c r="O386" i="187"/>
  <c r="Q383" i="75"/>
  <c r="F383" i="75"/>
  <c r="O200" i="187"/>
  <c r="Q200" i="75"/>
  <c r="F200" i="75"/>
  <c r="Q199" i="75"/>
  <c r="F199" i="75"/>
  <c r="J129" i="75"/>
  <c r="I129" i="75"/>
  <c r="H94" i="1"/>
  <c r="Q94" i="1"/>
  <c r="R94" i="1"/>
  <c r="J333" i="75"/>
  <c r="I333" i="75"/>
  <c r="Z35" i="71"/>
  <c r="O457" i="187"/>
  <c r="Z43" i="71"/>
  <c r="H30" i="1"/>
  <c r="Q30" i="1"/>
  <c r="R30" i="1"/>
  <c r="AS65" i="71"/>
  <c r="AQ65" i="71"/>
  <c r="N65" i="71"/>
  <c r="O65" i="71"/>
  <c r="AR65" i="71"/>
  <c r="F12" i="144"/>
  <c r="C42" i="174" a="1"/>
  <c r="C42" i="174"/>
  <c r="D42" i="174"/>
  <c r="E42" i="174"/>
  <c r="C41" i="175" a="1"/>
  <c r="C41" i="175"/>
  <c r="D41" i="175"/>
  <c r="C9" i="174" a="1"/>
  <c r="C9" i="174"/>
  <c r="D9" i="174"/>
  <c r="E9" i="174"/>
  <c r="C19" i="175" a="1"/>
  <c r="C19" i="175"/>
  <c r="D19" i="175"/>
  <c r="C36" i="174" a="1"/>
  <c r="C36" i="174"/>
  <c r="D36" i="174"/>
  <c r="E36" i="174"/>
  <c r="C28" i="174" a="1"/>
  <c r="C28" i="174"/>
  <c r="D28" i="174"/>
  <c r="E28" i="174"/>
  <c r="C14" i="174" a="1"/>
  <c r="C14" i="174"/>
  <c r="D14" i="174"/>
  <c r="E14" i="174"/>
  <c r="C37" i="175" a="1"/>
  <c r="C37" i="175"/>
  <c r="D37" i="175"/>
  <c r="C30" i="175" a="1"/>
  <c r="C30" i="175"/>
  <c r="D30" i="175"/>
  <c r="C26" i="174" a="1"/>
  <c r="C26" i="174"/>
  <c r="D26" i="174"/>
  <c r="E26" i="174"/>
  <c r="C7" i="174" a="1"/>
  <c r="C7" i="174"/>
  <c r="D7" i="174"/>
  <c r="E7" i="174"/>
  <c r="H7" i="174"/>
  <c r="C32" i="174" a="1"/>
  <c r="C32" i="174"/>
  <c r="D32" i="174"/>
  <c r="E32" i="174"/>
  <c r="C40" i="175" a="1"/>
  <c r="C40" i="175"/>
  <c r="D40" i="175"/>
  <c r="C41" i="174" a="1"/>
  <c r="C41" i="174"/>
  <c r="D41" i="174"/>
  <c r="E41" i="174"/>
  <c r="H41" i="174"/>
  <c r="G41" i="175"/>
  <c r="C34" i="174" a="1"/>
  <c r="C34" i="174"/>
  <c r="D34" i="174"/>
  <c r="E34" i="174"/>
  <c r="C27" i="174" a="1"/>
  <c r="C27" i="174"/>
  <c r="D27" i="174"/>
  <c r="E27" i="174"/>
  <c r="C16" i="174" a="1"/>
  <c r="C16" i="174"/>
  <c r="D16" i="174"/>
  <c r="E16" i="174"/>
  <c r="C45" i="175" a="1"/>
  <c r="C45" i="175"/>
  <c r="C21" i="175" a="1"/>
  <c r="C21" i="175"/>
  <c r="D21" i="175"/>
  <c r="C25" i="174" a="1"/>
  <c r="C25" i="174"/>
  <c r="D25" i="174"/>
  <c r="E25" i="174"/>
  <c r="C22" i="174" a="1"/>
  <c r="C22" i="174"/>
  <c r="D22" i="174"/>
  <c r="E22" i="174"/>
  <c r="C28" i="175" a="1"/>
  <c r="C28" i="175"/>
  <c r="D28" i="175"/>
  <c r="C47" i="174" a="1"/>
  <c r="C47" i="174"/>
  <c r="D47" i="174"/>
  <c r="E47" i="174"/>
  <c r="D8" i="169" a="1"/>
  <c r="D8" i="169"/>
  <c r="E8" i="169"/>
  <c r="F8" i="169"/>
  <c r="H8" i="167"/>
  <c r="C13" i="175" a="1"/>
  <c r="C13" i="175"/>
  <c r="D13" i="175"/>
  <c r="C40" i="174" a="1"/>
  <c r="C40" i="174"/>
  <c r="D40" i="174"/>
  <c r="E40" i="174"/>
  <c r="H40" i="174"/>
  <c r="G40" i="175"/>
  <c r="C33" i="175" a="1"/>
  <c r="C33" i="175"/>
  <c r="D33" i="175"/>
  <c r="D11" i="169" a="1"/>
  <c r="D11" i="169"/>
  <c r="E11" i="169"/>
  <c r="F11" i="169"/>
  <c r="H11" i="167"/>
  <c r="C15" i="174" a="1"/>
  <c r="C15" i="174"/>
  <c r="D15" i="174"/>
  <c r="E15" i="174"/>
  <c r="C23" i="174" a="1"/>
  <c r="C23" i="174"/>
  <c r="D23" i="174"/>
  <c r="E23" i="174"/>
  <c r="C39" i="174" a="1"/>
  <c r="C39" i="174"/>
  <c r="D39" i="174"/>
  <c r="E39" i="174"/>
  <c r="C36" i="175" a="1"/>
  <c r="C36" i="175"/>
  <c r="D36" i="175"/>
  <c r="C31" i="174" a="1"/>
  <c r="C31" i="174"/>
  <c r="D31" i="174"/>
  <c r="E31" i="174"/>
  <c r="C46" i="174" a="1"/>
  <c r="C46" i="174"/>
  <c r="D46" i="174"/>
  <c r="E46" i="174"/>
  <c r="C11" i="174" a="1"/>
  <c r="C11" i="174"/>
  <c r="D11" i="174"/>
  <c r="E11" i="174"/>
  <c r="D7" i="169" a="1"/>
  <c r="D7" i="169"/>
  <c r="E7" i="169"/>
  <c r="F7" i="169"/>
  <c r="H7" i="167"/>
  <c r="H17" i="1"/>
  <c r="Q17" i="1"/>
  <c r="R17" i="1"/>
  <c r="AS97" i="71"/>
  <c r="AR97" i="71"/>
  <c r="AQ97" i="71"/>
  <c r="N97" i="71"/>
  <c r="O97" i="71"/>
  <c r="F314" i="75"/>
  <c r="J43" i="75"/>
  <c r="I43" i="75"/>
  <c r="K13" i="170"/>
  <c r="J13" i="170"/>
  <c r="I57" i="101"/>
  <c r="K57" i="101"/>
  <c r="J182" i="75"/>
  <c r="I182" i="75"/>
  <c r="J57" i="101"/>
  <c r="G17" i="69"/>
  <c r="H17" i="69"/>
  <c r="K17" i="69"/>
  <c r="AD60" i="71"/>
  <c r="Q142" i="75"/>
  <c r="F142" i="75"/>
  <c r="H89" i="1"/>
  <c r="F117" i="75"/>
  <c r="I114" i="75"/>
  <c r="J114" i="75"/>
  <c r="H130" i="1"/>
  <c r="F306" i="75"/>
  <c r="AS76" i="71"/>
  <c r="AQ76" i="71"/>
  <c r="AR76" i="71"/>
  <c r="N76" i="71"/>
  <c r="O76" i="71"/>
  <c r="O98" i="187"/>
  <c r="F210" i="75"/>
  <c r="F259" i="75"/>
  <c r="I289" i="75"/>
  <c r="J289" i="75"/>
  <c r="I28" i="101"/>
  <c r="J28" i="101"/>
  <c r="J121" i="75"/>
  <c r="K28" i="101"/>
  <c r="I121" i="75"/>
  <c r="AQ57" i="71"/>
  <c r="AS57" i="71"/>
  <c r="N57" i="71"/>
  <c r="O57" i="71"/>
  <c r="AR57" i="71"/>
  <c r="AS25" i="71"/>
  <c r="AQ25" i="71"/>
  <c r="AR64" i="71"/>
  <c r="AQ64" i="71"/>
  <c r="N64" i="71"/>
  <c r="O64" i="71"/>
  <c r="AS64" i="71"/>
  <c r="H11" i="170"/>
  <c r="K11" i="170"/>
  <c r="F208" i="144"/>
  <c r="AR94" i="71"/>
  <c r="AS94" i="71"/>
  <c r="N94" i="71"/>
  <c r="O94" i="71"/>
  <c r="AQ94" i="71"/>
  <c r="F371" i="75"/>
  <c r="J264" i="75"/>
  <c r="I264" i="75"/>
  <c r="C37" i="170"/>
  <c r="C36" i="170"/>
  <c r="C16" i="169"/>
  <c r="J414" i="75"/>
  <c r="I414" i="75"/>
  <c r="J334" i="75"/>
  <c r="I334" i="75"/>
  <c r="I392" i="75"/>
  <c r="J392" i="75"/>
  <c r="C9" i="175" a="1"/>
  <c r="C9" i="175"/>
  <c r="D9" i="175"/>
  <c r="C38" i="175" a="1"/>
  <c r="C38" i="175"/>
  <c r="D38" i="175"/>
  <c r="C12" i="175" a="1"/>
  <c r="C12" i="175"/>
  <c r="D12" i="175"/>
  <c r="D10" i="169" a="1"/>
  <c r="D10" i="169"/>
  <c r="E10" i="169"/>
  <c r="C18" i="174" a="1"/>
  <c r="C18" i="174"/>
  <c r="D18" i="174"/>
  <c r="E18" i="174"/>
  <c r="C44" i="175" a="1"/>
  <c r="C44" i="175"/>
  <c r="D44" i="175"/>
  <c r="C35" i="175" a="1"/>
  <c r="C35" i="175"/>
  <c r="D35" i="175"/>
  <c r="N91" i="71"/>
  <c r="O91" i="71"/>
  <c r="H63" i="1"/>
  <c r="F336" i="75"/>
  <c r="K13" i="64"/>
  <c r="J59" i="75"/>
  <c r="I59" i="75"/>
  <c r="H85" i="1"/>
  <c r="F130" i="75"/>
  <c r="H164" i="1"/>
  <c r="H73" i="1"/>
  <c r="F266" i="75"/>
  <c r="F267" i="75"/>
  <c r="C32" i="169"/>
  <c r="F120" i="75"/>
  <c r="Q130" i="1"/>
  <c r="R130" i="1"/>
  <c r="Q105" i="1"/>
  <c r="R105" i="1"/>
  <c r="Q46" i="1"/>
  <c r="R46" i="1"/>
  <c r="R85" i="1"/>
  <c r="Q127" i="1"/>
  <c r="R127" i="1"/>
  <c r="R166" i="1"/>
  <c r="R68" i="1"/>
  <c r="AS103" i="71"/>
  <c r="N103" i="71"/>
  <c r="H33" i="1"/>
  <c r="L22" i="64"/>
  <c r="M22" i="64"/>
  <c r="F180" i="75"/>
  <c r="F181" i="75"/>
  <c r="H35" i="1"/>
  <c r="F316" i="75"/>
  <c r="H103" i="1"/>
  <c r="F240" i="75"/>
  <c r="F241" i="75"/>
  <c r="H20" i="69"/>
  <c r="K20" i="69"/>
  <c r="AM106" i="71"/>
  <c r="F169" i="75"/>
  <c r="F171" i="75"/>
  <c r="H152" i="1"/>
  <c r="F280" i="75"/>
  <c r="H174" i="1"/>
  <c r="K20" i="64"/>
  <c r="H59" i="1"/>
  <c r="F396" i="75"/>
  <c r="H13" i="1"/>
  <c r="F132" i="75"/>
  <c r="I190" i="75"/>
  <c r="J190" i="75"/>
  <c r="H134" i="1"/>
  <c r="H66" i="1"/>
  <c r="F345" i="75"/>
  <c r="H82" i="1"/>
  <c r="F388" i="75"/>
  <c r="F194" i="75"/>
  <c r="L18" i="102"/>
  <c r="N18" i="102"/>
  <c r="M18" i="102"/>
  <c r="P18" i="102"/>
  <c r="K22" i="64"/>
  <c r="R38" i="1"/>
  <c r="R151" i="1"/>
  <c r="R167" i="1"/>
  <c r="R49" i="1"/>
  <c r="R103" i="1"/>
  <c r="R36" i="1"/>
  <c r="R169" i="1"/>
  <c r="R124" i="1"/>
  <c r="R119" i="1"/>
  <c r="R90" i="1"/>
  <c r="R71" i="1"/>
  <c r="R115" i="1"/>
  <c r="R67" i="1"/>
  <c r="R57" i="1"/>
  <c r="R58" i="1"/>
  <c r="J7" i="144"/>
  <c r="I7" i="144"/>
  <c r="T7" i="144"/>
  <c r="J632" i="56"/>
  <c r="I192" i="75"/>
  <c r="J192" i="75"/>
  <c r="I32" i="101"/>
  <c r="J32" i="101"/>
  <c r="I186" i="75"/>
  <c r="K32" i="101"/>
  <c r="J186" i="75"/>
  <c r="F327" i="75"/>
  <c r="F324" i="75"/>
  <c r="I233" i="75"/>
  <c r="J233" i="75"/>
  <c r="H169" i="1"/>
  <c r="F364" i="75"/>
  <c r="H44" i="1"/>
  <c r="F367" i="75"/>
  <c r="H52" i="1"/>
  <c r="F354" i="75"/>
  <c r="I232" i="75"/>
  <c r="J232" i="75"/>
  <c r="I119" i="75"/>
  <c r="J119" i="75"/>
  <c r="J229" i="75"/>
  <c r="I229" i="75"/>
  <c r="R173" i="1"/>
  <c r="R162" i="1"/>
  <c r="R21" i="1"/>
  <c r="R155" i="1"/>
  <c r="R182" i="1"/>
  <c r="R25" i="1"/>
  <c r="R31" i="1"/>
  <c r="R28" i="1"/>
  <c r="R33" i="1"/>
  <c r="R82" i="1"/>
  <c r="R14" i="1"/>
  <c r="R174" i="1"/>
  <c r="R43" i="1"/>
  <c r="H8" i="64"/>
  <c r="H36" i="64"/>
  <c r="B9" i="158"/>
  <c r="G36" i="64"/>
  <c r="R159" i="1"/>
  <c r="R50" i="1"/>
  <c r="R141" i="1"/>
  <c r="R177" i="1"/>
  <c r="R75" i="1"/>
  <c r="R136" i="1"/>
  <c r="R59" i="1"/>
  <c r="R110" i="1"/>
  <c r="R175" i="1"/>
  <c r="R165" i="1"/>
  <c r="R60" i="1"/>
  <c r="R148" i="1"/>
  <c r="R160" i="1"/>
  <c r="R145" i="1"/>
  <c r="R122" i="1"/>
  <c r="R95" i="1"/>
  <c r="AR105" i="71"/>
  <c r="AQ105" i="71"/>
  <c r="AS105" i="71"/>
  <c r="N105" i="71"/>
  <c r="O105" i="71"/>
  <c r="C3" i="26"/>
  <c r="C5" i="26"/>
  <c r="H168" i="1"/>
  <c r="H43" i="1"/>
  <c r="F242" i="75"/>
  <c r="H156" i="1"/>
  <c r="F287" i="75"/>
  <c r="H131" i="1"/>
  <c r="F293" i="75"/>
  <c r="H54" i="1"/>
  <c r="H21" i="1"/>
  <c r="H31" i="1"/>
  <c r="I391" i="75"/>
  <c r="J391" i="75"/>
  <c r="H9" i="69"/>
  <c r="K9" i="69"/>
  <c r="AB20" i="71"/>
  <c r="C30" i="169"/>
  <c r="H93" i="1"/>
  <c r="P12" i="102"/>
  <c r="R26" i="1"/>
  <c r="R112" i="1"/>
  <c r="R92" i="1"/>
  <c r="R63" i="1"/>
  <c r="R88" i="1"/>
  <c r="R18" i="1"/>
  <c r="R171" i="1"/>
  <c r="R22" i="1"/>
  <c r="R24" i="1"/>
  <c r="R23" i="1"/>
  <c r="R126" i="1"/>
  <c r="R129" i="1"/>
  <c r="R104" i="1"/>
  <c r="R153" i="1"/>
  <c r="R116" i="1"/>
  <c r="R44" i="1"/>
  <c r="R52" i="1"/>
  <c r="H55" i="1"/>
  <c r="S144" i="71"/>
  <c r="Z110" i="71"/>
  <c r="O523" i="187"/>
  <c r="Z111" i="71"/>
  <c r="G54" i="100"/>
  <c r="B8" i="158"/>
  <c r="C31" i="169"/>
  <c r="H18" i="69"/>
  <c r="K18" i="69"/>
  <c r="I292" i="75"/>
  <c r="J292" i="75"/>
  <c r="I372" i="75"/>
  <c r="J372" i="75"/>
  <c r="H9" i="1"/>
  <c r="F135" i="75"/>
  <c r="H136" i="1"/>
  <c r="F378" i="75"/>
  <c r="H16" i="1"/>
  <c r="F307" i="75"/>
  <c r="J390" i="75"/>
  <c r="I390" i="75"/>
  <c r="F202" i="75"/>
  <c r="H91" i="1"/>
  <c r="F204" i="75"/>
  <c r="I315" i="75"/>
  <c r="J315" i="75"/>
  <c r="R164" i="1"/>
  <c r="R106" i="1"/>
  <c r="R27" i="1"/>
  <c r="R93" i="1"/>
  <c r="R72" i="1"/>
  <c r="R111" i="1"/>
  <c r="R86" i="1"/>
  <c r="R146" i="1"/>
  <c r="R97" i="1"/>
  <c r="R132" i="1"/>
  <c r="R98" i="1"/>
  <c r="R79" i="1"/>
  <c r="R114" i="1"/>
  <c r="R87" i="1"/>
  <c r="R161" i="1"/>
  <c r="R73" i="1"/>
  <c r="R32" i="1"/>
  <c r="K24" i="64"/>
  <c r="J44" i="101"/>
  <c r="I60" i="75"/>
  <c r="I322" i="75"/>
  <c r="I44" i="101"/>
  <c r="J183" i="75"/>
  <c r="I216" i="75"/>
  <c r="J189" i="75"/>
  <c r="I22" i="101"/>
  <c r="I250" i="75"/>
  <c r="J252" i="75"/>
  <c r="J26" i="101"/>
  <c r="J41" i="75"/>
  <c r="J36" i="75"/>
  <c r="J145" i="75"/>
  <c r="I374" i="75"/>
  <c r="J56" i="101"/>
  <c r="J9" i="101"/>
  <c r="I56" i="101"/>
  <c r="I187" i="75"/>
  <c r="J350" i="75"/>
  <c r="K73" i="101"/>
  <c r="I100" i="75"/>
  <c r="K56" i="101"/>
  <c r="AP64" i="71"/>
  <c r="AP94" i="71"/>
  <c r="AN57" i="71"/>
  <c r="AK76" i="71"/>
  <c r="I110" i="75"/>
  <c r="J23" i="101"/>
  <c r="J268" i="75"/>
  <c r="J100" i="75"/>
  <c r="J248" i="75"/>
  <c r="I58" i="75"/>
  <c r="I23" i="101"/>
  <c r="J69" i="101"/>
  <c r="AK25" i="71"/>
  <c r="AP113" i="71"/>
  <c r="J185" i="75"/>
  <c r="J321" i="75"/>
  <c r="K69" i="101"/>
  <c r="AN105" i="71"/>
  <c r="AP103" i="71"/>
  <c r="I69" i="101"/>
  <c r="AK105" i="71"/>
  <c r="AP26" i="71"/>
  <c r="I198" i="75"/>
  <c r="I96" i="75"/>
  <c r="I417" i="75"/>
  <c r="I195" i="75"/>
  <c r="J96" i="75"/>
  <c r="J417" i="75"/>
  <c r="J304" i="75"/>
  <c r="J20" i="101"/>
  <c r="M35" i="64"/>
  <c r="K20" i="101"/>
  <c r="AN96" i="71"/>
  <c r="I108" i="75"/>
  <c r="J198" i="75"/>
  <c r="I33" i="101"/>
  <c r="J188" i="75"/>
  <c r="J33" i="101"/>
  <c r="J94" i="75"/>
  <c r="J38" i="101"/>
  <c r="I357" i="75"/>
  <c r="I26" i="101"/>
  <c r="I59" i="101"/>
  <c r="J220" i="75"/>
  <c r="I35" i="101"/>
  <c r="J216" i="75"/>
  <c r="J338" i="75"/>
  <c r="J368" i="75"/>
  <c r="J46" i="101"/>
  <c r="I46" i="101"/>
  <c r="I212" i="75"/>
  <c r="J59" i="101"/>
  <c r="I143" i="75"/>
  <c r="J184" i="75"/>
  <c r="J111" i="75"/>
  <c r="J35" i="101"/>
  <c r="J203" i="75"/>
  <c r="I111" i="75"/>
  <c r="K46" i="101"/>
  <c r="J87" i="75"/>
  <c r="AP127" i="71"/>
  <c r="AP119" i="71"/>
  <c r="J160" i="75"/>
  <c r="I380" i="75"/>
  <c r="AK103" i="71"/>
  <c r="AN76" i="71"/>
  <c r="AN97" i="71"/>
  <c r="J73" i="101"/>
  <c r="AK94" i="71"/>
  <c r="AK64" i="71"/>
  <c r="AK124" i="71"/>
  <c r="AP137" i="71"/>
  <c r="I160" i="75"/>
  <c r="AN47" i="71"/>
  <c r="AN94" i="71"/>
  <c r="AK65" i="71"/>
  <c r="AN73" i="71"/>
  <c r="AP78" i="71"/>
  <c r="AN58" i="71"/>
  <c r="K43" i="101"/>
  <c r="AN64" i="71"/>
  <c r="AN65" i="71"/>
  <c r="AN124" i="71"/>
  <c r="AP128" i="71"/>
  <c r="AK58" i="71"/>
  <c r="I43" i="101"/>
  <c r="AN63" i="71"/>
  <c r="AN60" i="71"/>
  <c r="AK57" i="71"/>
  <c r="AP133" i="71"/>
  <c r="AP13" i="71"/>
  <c r="AN103" i="71"/>
  <c r="AN25" i="71"/>
  <c r="AK97" i="71"/>
  <c r="AN61" i="71"/>
  <c r="AP67" i="71"/>
  <c r="AP56" i="71"/>
  <c r="K35" i="101"/>
  <c r="J21" i="170"/>
  <c r="J385" i="75"/>
  <c r="J243" i="75"/>
  <c r="I155" i="75"/>
  <c r="J231" i="75"/>
  <c r="K38" i="101"/>
  <c r="I323" i="75"/>
  <c r="I38" i="101"/>
  <c r="AG105" i="71"/>
  <c r="J155" i="75"/>
  <c r="I386" i="75"/>
  <c r="I101" i="75"/>
  <c r="I45" i="101"/>
  <c r="AG97" i="71"/>
  <c r="K22" i="101"/>
  <c r="I330" i="75"/>
  <c r="J45" i="101"/>
  <c r="AL105" i="71"/>
  <c r="I159" i="75"/>
  <c r="J208" i="75"/>
  <c r="J22" i="101"/>
  <c r="J141" i="75"/>
  <c r="J176" i="75"/>
  <c r="I326" i="75"/>
  <c r="K44" i="101"/>
  <c r="AD103" i="71"/>
  <c r="AG57" i="71"/>
  <c r="J40" i="75"/>
  <c r="K50" i="101"/>
  <c r="I123" i="75"/>
  <c r="I351" i="75"/>
  <c r="I149" i="75"/>
  <c r="I175" i="75"/>
  <c r="J95" i="75"/>
  <c r="J79" i="75"/>
  <c r="I358" i="75"/>
  <c r="J166" i="75"/>
  <c r="I79" i="75"/>
  <c r="J320" i="75"/>
  <c r="AP172" i="71"/>
  <c r="AP68" i="71"/>
  <c r="I36" i="75"/>
  <c r="I9" i="101"/>
  <c r="AP17" i="71"/>
  <c r="J196" i="75"/>
  <c r="AP76" i="71"/>
  <c r="AP97" i="71"/>
  <c r="AG65" i="71"/>
  <c r="AG124" i="71"/>
  <c r="AP72" i="71"/>
  <c r="AP115" i="71"/>
  <c r="AP49" i="71"/>
  <c r="AP86" i="71"/>
  <c r="AP51" i="71"/>
  <c r="AP36" i="71"/>
  <c r="AP170" i="71"/>
  <c r="AP93" i="71"/>
  <c r="AP114" i="71"/>
  <c r="AP31" i="71"/>
  <c r="AP171" i="71"/>
  <c r="AP145" i="71"/>
  <c r="AP130" i="71"/>
  <c r="AP107" i="71"/>
  <c r="AG58" i="71"/>
  <c r="J380" i="75"/>
  <c r="J349" i="75"/>
  <c r="AP105" i="71"/>
  <c r="I349" i="75"/>
  <c r="AP45" i="71"/>
  <c r="AP139" i="71"/>
  <c r="AP82" i="71"/>
  <c r="AP34" i="71"/>
  <c r="AP166" i="71"/>
  <c r="AP98" i="71"/>
  <c r="AP135" i="71"/>
  <c r="AP62" i="71"/>
  <c r="AP142" i="71"/>
  <c r="AP14" i="71"/>
  <c r="AP153" i="71"/>
  <c r="AP136" i="71"/>
  <c r="AP123" i="71"/>
  <c r="AP8" i="71"/>
  <c r="AP58" i="71"/>
  <c r="AK47" i="71"/>
  <c r="J28" i="170"/>
  <c r="AP19" i="71"/>
  <c r="AP132" i="71"/>
  <c r="AP71" i="71"/>
  <c r="AP9" i="71"/>
  <c r="AP126" i="71"/>
  <c r="AP95" i="71"/>
  <c r="AP149" i="71"/>
  <c r="AP29" i="71"/>
  <c r="AP118" i="71"/>
  <c r="AP120" i="71"/>
  <c r="AP90" i="71"/>
  <c r="AP40" i="71"/>
  <c r="AP89" i="71"/>
  <c r="AP157" i="71"/>
  <c r="I164" i="75"/>
  <c r="AP106" i="71"/>
  <c r="AP47" i="71"/>
  <c r="I325" i="75"/>
  <c r="AP161" i="71"/>
  <c r="AP75" i="71"/>
  <c r="AP141" i="71"/>
  <c r="AP84" i="71"/>
  <c r="AP91" i="71"/>
  <c r="AP164" i="71"/>
  <c r="AP15" i="71"/>
  <c r="AP146" i="71"/>
  <c r="AP50" i="71"/>
  <c r="AP151" i="71"/>
  <c r="AP158" i="71"/>
  <c r="AP24" i="71"/>
  <c r="AP66" i="71"/>
  <c r="AP134" i="71"/>
  <c r="AP63" i="71"/>
  <c r="J37" i="75"/>
  <c r="K58" i="101"/>
  <c r="AP28" i="71"/>
  <c r="AP52" i="71"/>
  <c r="AP80" i="71"/>
  <c r="AP16" i="71"/>
  <c r="AP55" i="71"/>
  <c r="AP162" i="71"/>
  <c r="AP54" i="71"/>
  <c r="AP140" i="71"/>
  <c r="AP147" i="71"/>
  <c r="AP117" i="71"/>
  <c r="AP159" i="71"/>
  <c r="AP21" i="71"/>
  <c r="AP156" i="71"/>
  <c r="AP85" i="71"/>
  <c r="I58" i="101"/>
  <c r="AG61" i="71"/>
  <c r="AP112" i="71"/>
  <c r="AP155" i="71"/>
  <c r="AP154" i="71"/>
  <c r="AP125" i="71"/>
  <c r="AP109" i="71"/>
  <c r="AP168" i="71"/>
  <c r="AP77" i="71"/>
  <c r="AP92" i="71"/>
  <c r="AP131" i="71"/>
  <c r="AP69" i="71"/>
  <c r="AP150" i="71"/>
  <c r="AP10" i="71"/>
  <c r="AP121" i="71"/>
  <c r="AP38" i="71"/>
  <c r="AG60" i="71"/>
  <c r="AG94" i="71"/>
  <c r="AG64" i="71"/>
  <c r="AP57" i="71"/>
  <c r="AG76" i="71"/>
  <c r="AP65" i="71"/>
  <c r="AP73" i="71"/>
  <c r="AP61" i="71"/>
  <c r="AP163" i="71"/>
  <c r="AP83" i="71"/>
  <c r="AP18" i="71"/>
  <c r="AP32" i="71"/>
  <c r="AP129" i="71"/>
  <c r="AP81" i="71"/>
  <c r="AP152" i="71"/>
  <c r="AP11" i="71"/>
  <c r="AP88" i="71"/>
  <c r="AP30" i="71"/>
  <c r="AP79" i="71"/>
  <c r="AP138" i="71"/>
  <c r="AP143" i="71"/>
  <c r="AP22" i="71"/>
  <c r="AP46" i="71"/>
  <c r="M28" i="64"/>
  <c r="AP124" i="71"/>
  <c r="AP167" i="71"/>
  <c r="AP12" i="71"/>
  <c r="AP116" i="71"/>
  <c r="AP148" i="71"/>
  <c r="AP160" i="71"/>
  <c r="AP144" i="71"/>
  <c r="AP70" i="71"/>
  <c r="AP59" i="71"/>
  <c r="AP169" i="71"/>
  <c r="AP44" i="71"/>
  <c r="AP165" i="71"/>
  <c r="AP108" i="71"/>
  <c r="AP122" i="71"/>
  <c r="AP87" i="71"/>
  <c r="AP102" i="71"/>
  <c r="AP23" i="71"/>
  <c r="AP60" i="71"/>
  <c r="AP53" i="71"/>
  <c r="I39" i="75"/>
  <c r="I122" i="75"/>
  <c r="J39" i="75"/>
  <c r="J29" i="101"/>
  <c r="AP20" i="71"/>
  <c r="AP96" i="71"/>
  <c r="AP104" i="71"/>
  <c r="AN53" i="71"/>
  <c r="AK48" i="71"/>
  <c r="AN142" i="71"/>
  <c r="I77" i="101"/>
  <c r="AN106" i="71"/>
  <c r="AG96" i="71"/>
  <c r="AG20" i="71"/>
  <c r="AG73" i="71"/>
  <c r="I50" i="101"/>
  <c r="AG106" i="71"/>
  <c r="AK20" i="71"/>
  <c r="J50" i="101"/>
  <c r="AN104" i="71"/>
  <c r="Q39" i="1"/>
  <c r="J140" i="75"/>
  <c r="AN46" i="71"/>
  <c r="I29" i="101"/>
  <c r="J255" i="75"/>
  <c r="J150" i="75"/>
  <c r="I356" i="75"/>
  <c r="F7" i="167"/>
  <c r="I7" i="167"/>
  <c r="AG63" i="71"/>
  <c r="AG47" i="71"/>
  <c r="AN19" i="71"/>
  <c r="AN36" i="71"/>
  <c r="AN48" i="71"/>
  <c r="J217" i="75"/>
  <c r="AN123" i="71"/>
  <c r="I381" i="75"/>
  <c r="AN135" i="71"/>
  <c r="Q181" i="1"/>
  <c r="I140" i="75"/>
  <c r="I38" i="75"/>
  <c r="AN13" i="71"/>
  <c r="J251" i="75"/>
  <c r="J355" i="75"/>
  <c r="I355" i="75"/>
  <c r="I104" i="75"/>
  <c r="I286" i="75"/>
  <c r="AN171" i="71"/>
  <c r="J224" i="75"/>
  <c r="E62" i="1"/>
  <c r="H62" i="1"/>
  <c r="K71" i="101"/>
  <c r="J228" i="75"/>
  <c r="E39" i="1"/>
  <c r="F75" i="75"/>
  <c r="I75" i="75"/>
  <c r="I218" i="75"/>
  <c r="AN92" i="71"/>
  <c r="AN15" i="71"/>
  <c r="AP33" i="71"/>
  <c r="J71" i="101"/>
  <c r="J81" i="75"/>
  <c r="E101" i="1"/>
  <c r="F68" i="75"/>
  <c r="J68" i="75"/>
  <c r="J219" i="75"/>
  <c r="AN129" i="71"/>
  <c r="AN167" i="71"/>
  <c r="L14" i="64"/>
  <c r="E100" i="1"/>
  <c r="F50" i="75"/>
  <c r="M7" i="64"/>
  <c r="I82" i="75"/>
  <c r="I71" i="101"/>
  <c r="F8" i="167"/>
  <c r="I8" i="167"/>
  <c r="I337" i="75"/>
  <c r="AN20" i="71"/>
  <c r="E150" i="1"/>
  <c r="F55" i="75"/>
  <c r="J55" i="75"/>
  <c r="AN56" i="71"/>
  <c r="AN16" i="71"/>
  <c r="E19" i="1"/>
  <c r="F30" i="75"/>
  <c r="J82" i="75"/>
  <c r="I70" i="101"/>
  <c r="J337" i="75"/>
  <c r="F11" i="167"/>
  <c r="I11" i="167"/>
  <c r="J261" i="75"/>
  <c r="K70" i="101"/>
  <c r="I253" i="75"/>
  <c r="AN107" i="71"/>
  <c r="AN17" i="71"/>
  <c r="E108" i="1"/>
  <c r="F47" i="75"/>
  <c r="E181" i="1"/>
  <c r="F7" i="75"/>
  <c r="J7" i="101"/>
  <c r="AN72" i="71"/>
  <c r="AN141" i="71"/>
  <c r="E144" i="1"/>
  <c r="F46" i="75"/>
  <c r="F65" i="75"/>
  <c r="H172" i="1"/>
  <c r="J151" i="75"/>
  <c r="I151" i="75"/>
  <c r="J22" i="102"/>
  <c r="AN67" i="71"/>
  <c r="AN128" i="71"/>
  <c r="AN117" i="71"/>
  <c r="AN45" i="71"/>
  <c r="AN26" i="71"/>
  <c r="AN83" i="71"/>
  <c r="AN136" i="71"/>
  <c r="AN154" i="71"/>
  <c r="AN121" i="71"/>
  <c r="AN59" i="71"/>
  <c r="AN172" i="71"/>
  <c r="AN55" i="71"/>
  <c r="AN8" i="71"/>
  <c r="AN120" i="71"/>
  <c r="AN132" i="71"/>
  <c r="AN118" i="71"/>
  <c r="AN150" i="71"/>
  <c r="AN169" i="71"/>
  <c r="AN85" i="71"/>
  <c r="AN88" i="71"/>
  <c r="AN91" i="71"/>
  <c r="AN69" i="71"/>
  <c r="AN21" i="71"/>
  <c r="AN157" i="71"/>
  <c r="AN160" i="71"/>
  <c r="AN131" i="71"/>
  <c r="AN44" i="71"/>
  <c r="AN156" i="71"/>
  <c r="AN22" i="71"/>
  <c r="AN155" i="71"/>
  <c r="AN116" i="71"/>
  <c r="AR93" i="71"/>
  <c r="AS93" i="71"/>
  <c r="AN82" i="71"/>
  <c r="AN93" i="71"/>
  <c r="AN10" i="71"/>
  <c r="AN158" i="71"/>
  <c r="AN66" i="71"/>
  <c r="AN31" i="71"/>
  <c r="AN115" i="71"/>
  <c r="AN52" i="71"/>
  <c r="AN62" i="71"/>
  <c r="AN68" i="71"/>
  <c r="AN113" i="71"/>
  <c r="AN70" i="71"/>
  <c r="AN12" i="71"/>
  <c r="AN140" i="71"/>
  <c r="AN87" i="71"/>
  <c r="AR90" i="71"/>
  <c r="AS90" i="71"/>
  <c r="AN95" i="71"/>
  <c r="AN153" i="71"/>
  <c r="AN38" i="71"/>
  <c r="AN161" i="71"/>
  <c r="AN126" i="71"/>
  <c r="AN23" i="71"/>
  <c r="AN138" i="71"/>
  <c r="AN77" i="71"/>
  <c r="AN80" i="71"/>
  <c r="AN151" i="71"/>
  <c r="AN139" i="71"/>
  <c r="AN78" i="71"/>
  <c r="AN162" i="71"/>
  <c r="AN137" i="71"/>
  <c r="AN81" i="71"/>
  <c r="R172" i="1"/>
  <c r="AN54" i="71"/>
  <c r="AN30" i="71"/>
  <c r="AN168" i="71"/>
  <c r="AN165" i="71"/>
  <c r="AN89" i="71"/>
  <c r="AN112" i="71"/>
  <c r="AN127" i="71"/>
  <c r="AN24" i="71"/>
  <c r="AN122" i="71"/>
  <c r="AN79" i="71"/>
  <c r="AN133" i="71"/>
  <c r="AN9" i="71"/>
  <c r="AN49" i="71"/>
  <c r="AN148" i="71"/>
  <c r="AN163" i="71"/>
  <c r="AN75" i="71"/>
  <c r="AN40" i="71"/>
  <c r="AN71" i="71"/>
  <c r="AN166" i="71"/>
  <c r="AN28" i="71"/>
  <c r="AN90" i="71"/>
  <c r="AN29" i="71"/>
  <c r="AN108" i="71"/>
  <c r="AN147" i="71"/>
  <c r="AN143" i="71"/>
  <c r="AN11" i="71"/>
  <c r="AN119" i="71"/>
  <c r="AN18" i="71"/>
  <c r="AN152" i="71"/>
  <c r="AN109" i="71"/>
  <c r="AN149" i="71"/>
  <c r="AN50" i="71"/>
  <c r="AN125" i="71"/>
  <c r="AN164" i="71"/>
  <c r="AN159" i="71"/>
  <c r="AN34" i="71"/>
  <c r="AN130" i="71"/>
  <c r="AN14" i="71"/>
  <c r="AN170" i="71"/>
  <c r="AN134" i="71"/>
  <c r="AN144" i="71"/>
  <c r="AN84" i="71"/>
  <c r="AN146" i="71"/>
  <c r="AN102" i="71"/>
  <c r="AN114" i="71"/>
  <c r="AN145" i="71"/>
  <c r="AN51" i="71"/>
  <c r="G12" i="167"/>
  <c r="I224" i="149"/>
  <c r="J224" i="149"/>
  <c r="I225" i="149"/>
  <c r="K192" i="146"/>
  <c r="J225" i="149"/>
  <c r="L192" i="146"/>
  <c r="I226" i="149"/>
  <c r="K193" i="146"/>
  <c r="J226" i="149"/>
  <c r="L193" i="146"/>
  <c r="F262" i="149"/>
  <c r="F265" i="149"/>
  <c r="F264" i="149"/>
  <c r="E221" i="146"/>
  <c r="I221" i="146"/>
  <c r="F256" i="149"/>
  <c r="F258" i="149"/>
  <c r="F261" i="149"/>
  <c r="F260" i="149"/>
  <c r="F259" i="149"/>
  <c r="F263" i="149"/>
  <c r="F257" i="149"/>
  <c r="F240" i="149"/>
  <c r="F243" i="149"/>
  <c r="F238" i="149"/>
  <c r="F247" i="149"/>
  <c r="F244" i="149"/>
  <c r="F239" i="149"/>
  <c r="F242" i="149"/>
  <c r="F245" i="149"/>
  <c r="F246" i="149"/>
  <c r="F241" i="149"/>
  <c r="J29" i="170"/>
  <c r="O93" i="101"/>
  <c r="O94" i="101"/>
  <c r="J19" i="170"/>
  <c r="J12" i="170"/>
  <c r="J18" i="170"/>
  <c r="O92" i="101"/>
  <c r="J24" i="170"/>
  <c r="E12" i="169"/>
  <c r="F12" i="169"/>
  <c r="J16" i="170"/>
  <c r="J7" i="170"/>
  <c r="K14" i="170"/>
  <c r="I305" i="75"/>
  <c r="L15" i="64"/>
  <c r="AD25" i="71"/>
  <c r="AD57" i="71"/>
  <c r="AD76" i="71"/>
  <c r="I37" i="101"/>
  <c r="AL58" i="71"/>
  <c r="I206" i="75"/>
  <c r="J37" i="101"/>
  <c r="I382" i="75"/>
  <c r="I144" i="75"/>
  <c r="I109" i="75"/>
  <c r="I338" i="75"/>
  <c r="AB97" i="71"/>
  <c r="E41" i="175"/>
  <c r="J41" i="175"/>
  <c r="Q100" i="1"/>
  <c r="AL76" i="71"/>
  <c r="AD124" i="71"/>
  <c r="Q62" i="1"/>
  <c r="AN74" i="71"/>
  <c r="K15" i="101"/>
  <c r="AD64" i="71"/>
  <c r="AL65" i="71"/>
  <c r="AB124" i="71"/>
  <c r="L22" i="102"/>
  <c r="B7" i="157"/>
  <c r="Q108" i="1"/>
  <c r="Q150" i="1"/>
  <c r="AM124" i="71"/>
  <c r="J15" i="101"/>
  <c r="AD94" i="71"/>
  <c r="AL97" i="71"/>
  <c r="Q19" i="1"/>
  <c r="Q101" i="1"/>
  <c r="AM105" i="71"/>
  <c r="AB25" i="71"/>
  <c r="AD46" i="71"/>
  <c r="I352" i="75"/>
  <c r="Q144" i="1"/>
  <c r="J10" i="170"/>
  <c r="J147" i="75"/>
  <c r="AM94" i="71"/>
  <c r="E40" i="175"/>
  <c r="J40" i="175"/>
  <c r="K22" i="102"/>
  <c r="B11" i="158"/>
  <c r="AL73" i="71"/>
  <c r="K7" i="175"/>
  <c r="S81" i="71"/>
  <c r="J23" i="170"/>
  <c r="J26" i="170"/>
  <c r="G16" i="167"/>
  <c r="F9" i="167"/>
  <c r="I9" i="167"/>
  <c r="J30" i="170"/>
  <c r="AD106" i="71"/>
  <c r="I147" i="75"/>
  <c r="J148" i="75"/>
  <c r="AL46" i="71"/>
  <c r="AD104" i="71"/>
  <c r="I83" i="75"/>
  <c r="AS92" i="71"/>
  <c r="AR92" i="71"/>
  <c r="AQ92" i="71"/>
  <c r="Q359" i="75"/>
  <c r="F359" i="75"/>
  <c r="O363" i="187"/>
  <c r="Q360" i="75"/>
  <c r="F360" i="75"/>
  <c r="AR32" i="71"/>
  <c r="AQ32" i="71"/>
  <c r="AS32" i="71"/>
  <c r="AR98" i="71"/>
  <c r="AS98" i="71"/>
  <c r="AQ98" i="71"/>
  <c r="O441" i="187"/>
  <c r="Z27" i="71"/>
  <c r="AM27" i="71"/>
  <c r="O455" i="187"/>
  <c r="Z39" i="71"/>
  <c r="O106" i="187"/>
  <c r="Z7" i="71"/>
  <c r="O451" i="187"/>
  <c r="Z37" i="71"/>
  <c r="AM57" i="71"/>
  <c r="N74" i="71"/>
  <c r="O74" i="71"/>
  <c r="AO47" i="71"/>
  <c r="J370" i="75"/>
  <c r="AD105" i="71"/>
  <c r="AG103" i="71"/>
  <c r="AR103" i="71"/>
  <c r="AL94" i="71"/>
  <c r="AL25" i="71"/>
  <c r="AR25" i="71"/>
  <c r="AL57" i="71"/>
  <c r="I107" i="75"/>
  <c r="AL124" i="71"/>
  <c r="AM73" i="71"/>
  <c r="N33" i="71"/>
  <c r="O33" i="71"/>
  <c r="AK60" i="71"/>
  <c r="AL60" i="71"/>
  <c r="AK106" i="71"/>
  <c r="J30" i="101"/>
  <c r="I370" i="75"/>
  <c r="C37" i="26"/>
  <c r="AD20" i="71"/>
  <c r="M8" i="64"/>
  <c r="I148" i="75"/>
  <c r="AK104" i="71"/>
  <c r="AL48" i="71"/>
  <c r="J107" i="75"/>
  <c r="AO39" i="71"/>
  <c r="I39" i="101"/>
  <c r="AO64" i="71"/>
  <c r="AG25" i="71"/>
  <c r="AB76" i="71"/>
  <c r="I191" i="75"/>
  <c r="I207" i="75"/>
  <c r="AD73" i="71"/>
  <c r="J11" i="170"/>
  <c r="AK61" i="71"/>
  <c r="AP74" i="71"/>
  <c r="K77" i="101"/>
  <c r="K72" i="101"/>
  <c r="AK96" i="71"/>
  <c r="K39" i="101"/>
  <c r="AN32" i="71"/>
  <c r="K27" i="170"/>
  <c r="AR67" i="71"/>
  <c r="AS67" i="71"/>
  <c r="AQ67" i="71"/>
  <c r="AS33" i="71"/>
  <c r="AQ33" i="71"/>
  <c r="AR33" i="71"/>
  <c r="N22" i="102"/>
  <c r="B9" i="157"/>
  <c r="K30" i="101"/>
  <c r="I72" i="101"/>
  <c r="J207" i="75"/>
  <c r="AK73" i="71"/>
  <c r="N92" i="71"/>
  <c r="O92" i="71"/>
  <c r="AL63" i="71"/>
  <c r="I80" i="75"/>
  <c r="I30" i="101"/>
  <c r="AK53" i="71"/>
  <c r="I254" i="75"/>
  <c r="AL104" i="71"/>
  <c r="I262" i="75"/>
  <c r="K15" i="170"/>
  <c r="J15" i="170"/>
  <c r="AR36" i="71"/>
  <c r="AS36" i="71"/>
  <c r="AQ36" i="71"/>
  <c r="AL53" i="71"/>
  <c r="AN33" i="71"/>
  <c r="AN98" i="71"/>
  <c r="AQ74" i="71"/>
  <c r="AR74" i="71"/>
  <c r="AS74" i="71"/>
  <c r="AB105" i="71"/>
  <c r="AL103" i="71"/>
  <c r="J116" i="75"/>
  <c r="AQ103" i="71"/>
  <c r="AP25" i="71"/>
  <c r="AB57" i="71"/>
  <c r="AD39" i="71"/>
  <c r="AB94" i="71"/>
  <c r="AL64" i="71"/>
  <c r="AD97" i="71"/>
  <c r="AL61" i="71"/>
  <c r="AK63" i="71"/>
  <c r="AL106" i="71"/>
  <c r="AL47" i="71"/>
  <c r="AL96" i="71"/>
  <c r="AD53" i="71"/>
  <c r="AQ40" i="71"/>
  <c r="AR40" i="71"/>
  <c r="AS40" i="71"/>
  <c r="G7" i="175"/>
  <c r="AL110" i="71"/>
  <c r="AR110" i="71"/>
  <c r="N110" i="71"/>
  <c r="O110" i="71"/>
  <c r="AS110" i="71"/>
  <c r="AM110" i="71"/>
  <c r="AK110" i="71"/>
  <c r="AG110" i="71"/>
  <c r="AB110" i="71"/>
  <c r="AO110" i="71"/>
  <c r="AD110" i="71"/>
  <c r="AQ110" i="71"/>
  <c r="AC110" i="71"/>
  <c r="AP110" i="71"/>
  <c r="AN110" i="71"/>
  <c r="I241" i="75"/>
  <c r="J241" i="75"/>
  <c r="O23" i="71"/>
  <c r="M84" i="101"/>
  <c r="I204" i="75"/>
  <c r="J204" i="75"/>
  <c r="AS111" i="71"/>
  <c r="AR111" i="71"/>
  <c r="AQ111" i="71"/>
  <c r="AK111" i="71"/>
  <c r="AL111" i="71"/>
  <c r="AD111" i="71"/>
  <c r="AM111" i="71"/>
  <c r="AP111" i="71"/>
  <c r="AC111" i="71"/>
  <c r="N111" i="71"/>
  <c r="O111" i="71"/>
  <c r="AB111" i="71"/>
  <c r="AO111" i="71"/>
  <c r="AN111" i="71"/>
  <c r="AG111" i="71"/>
  <c r="I293" i="75"/>
  <c r="J293" i="75"/>
  <c r="AC105" i="71"/>
  <c r="I354" i="75"/>
  <c r="J354" i="75"/>
  <c r="J324" i="75"/>
  <c r="I324" i="75"/>
  <c r="AM19" i="71"/>
  <c r="AM122" i="71"/>
  <c r="AM142" i="71"/>
  <c r="AM70" i="71"/>
  <c r="AM149" i="71"/>
  <c r="AM84" i="71"/>
  <c r="AM153" i="71"/>
  <c r="AM163" i="71"/>
  <c r="AM80" i="71"/>
  <c r="AM134" i="71"/>
  <c r="AM137" i="71"/>
  <c r="AM14" i="71"/>
  <c r="AM12" i="71"/>
  <c r="AM108" i="71"/>
  <c r="AM131" i="71"/>
  <c r="AM50" i="71"/>
  <c r="AM166" i="71"/>
  <c r="AM92" i="71"/>
  <c r="AM55" i="71"/>
  <c r="AM157" i="71"/>
  <c r="AM126" i="71"/>
  <c r="AM164" i="71"/>
  <c r="AM82" i="71"/>
  <c r="AM87" i="71"/>
  <c r="AM162" i="71"/>
  <c r="AM52" i="71"/>
  <c r="AM118" i="71"/>
  <c r="AM151" i="71"/>
  <c r="AM81" i="71"/>
  <c r="AM127" i="71"/>
  <c r="AM16" i="71"/>
  <c r="AM158" i="71"/>
  <c r="AM75" i="71"/>
  <c r="AM56" i="71"/>
  <c r="AM128" i="71"/>
  <c r="AM107" i="71"/>
  <c r="AM88" i="71"/>
  <c r="AM161" i="71"/>
  <c r="AM91" i="71"/>
  <c r="AM145" i="71"/>
  <c r="AM130" i="71"/>
  <c r="AM154" i="71"/>
  <c r="AM10" i="71"/>
  <c r="AM167" i="71"/>
  <c r="AM121" i="71"/>
  <c r="AM90" i="71"/>
  <c r="AM69" i="71"/>
  <c r="AM136" i="71"/>
  <c r="AM116" i="71"/>
  <c r="AM120" i="71"/>
  <c r="AM78" i="71"/>
  <c r="AM85" i="71"/>
  <c r="AM95" i="71"/>
  <c r="AM113" i="71"/>
  <c r="AM9" i="71"/>
  <c r="AM66" i="71"/>
  <c r="AM71" i="71"/>
  <c r="AM168" i="71"/>
  <c r="AM141" i="71"/>
  <c r="AM170" i="71"/>
  <c r="AM140" i="71"/>
  <c r="AM13" i="71"/>
  <c r="AM169" i="71"/>
  <c r="AM89" i="71"/>
  <c r="AM133" i="71"/>
  <c r="AM86" i="71"/>
  <c r="AM15" i="71"/>
  <c r="AM51" i="71"/>
  <c r="AM18" i="71"/>
  <c r="AM112" i="71"/>
  <c r="AM22" i="71"/>
  <c r="AM114" i="71"/>
  <c r="AM29" i="71"/>
  <c r="AM67" i="71"/>
  <c r="AM159" i="71"/>
  <c r="AM72" i="71"/>
  <c r="AM17" i="71"/>
  <c r="AM54" i="71"/>
  <c r="AM59" i="71"/>
  <c r="AM160" i="71"/>
  <c r="AM109" i="71"/>
  <c r="AM132" i="71"/>
  <c r="AM93" i="71"/>
  <c r="AM156" i="71"/>
  <c r="AM139" i="71"/>
  <c r="AM68" i="71"/>
  <c r="AM165" i="71"/>
  <c r="AM115" i="71"/>
  <c r="AM62" i="71"/>
  <c r="AM32" i="71"/>
  <c r="AM31" i="71"/>
  <c r="AM33" i="71"/>
  <c r="AM147" i="71"/>
  <c r="AM146" i="71"/>
  <c r="AM45" i="71"/>
  <c r="AM155" i="71"/>
  <c r="AM38" i="71"/>
  <c r="AM49" i="71"/>
  <c r="AM144" i="71"/>
  <c r="AM171" i="71"/>
  <c r="AM135" i="71"/>
  <c r="AM34" i="71"/>
  <c r="AM77" i="71"/>
  <c r="AM148" i="71"/>
  <c r="AM152" i="71"/>
  <c r="AM79" i="71"/>
  <c r="AM102" i="71"/>
  <c r="AM150" i="71"/>
  <c r="AM11" i="71"/>
  <c r="AM123" i="71"/>
  <c r="AM8" i="71"/>
  <c r="AM98" i="71"/>
  <c r="AM172" i="71"/>
  <c r="AM125" i="71"/>
  <c r="AM143" i="71"/>
  <c r="AM83" i="71"/>
  <c r="AM74" i="71"/>
  <c r="AM117" i="71"/>
  <c r="AM44" i="71"/>
  <c r="AM129" i="71"/>
  <c r="AM30" i="71"/>
  <c r="AM26" i="71"/>
  <c r="AM23" i="71"/>
  <c r="AM24" i="71"/>
  <c r="AM119" i="71"/>
  <c r="AM138" i="71"/>
  <c r="AM28" i="71"/>
  <c r="AM36" i="71"/>
  <c r="AM40" i="71"/>
  <c r="AM21" i="71"/>
  <c r="AM103" i="71"/>
  <c r="K36" i="64"/>
  <c r="J266" i="75"/>
  <c r="I266" i="75"/>
  <c r="E3" i="26"/>
  <c r="AC94" i="71"/>
  <c r="AM97" i="71"/>
  <c r="AC65" i="71"/>
  <c r="AO73" i="71"/>
  <c r="AM61" i="71"/>
  <c r="M79" i="101"/>
  <c r="O60" i="71"/>
  <c r="I55" i="101"/>
  <c r="J55" i="101"/>
  <c r="K55" i="101"/>
  <c r="I156" i="75"/>
  <c r="J156" i="75"/>
  <c r="F62" i="75"/>
  <c r="O512" i="187"/>
  <c r="Z100" i="71"/>
  <c r="Z99" i="71"/>
  <c r="AB96" i="71"/>
  <c r="AM96" i="71"/>
  <c r="I168" i="75"/>
  <c r="J168" i="75"/>
  <c r="E17" i="167"/>
  <c r="G17" i="167"/>
  <c r="B37" i="170"/>
  <c r="AO20" i="71"/>
  <c r="J25" i="101"/>
  <c r="K25" i="101"/>
  <c r="J103" i="75"/>
  <c r="I103" i="75"/>
  <c r="I25" i="101"/>
  <c r="O46" i="71"/>
  <c r="AD48" i="71"/>
  <c r="I236" i="75"/>
  <c r="J236" i="75"/>
  <c r="I389" i="75"/>
  <c r="J389" i="75"/>
  <c r="J125" i="75"/>
  <c r="I125" i="75"/>
  <c r="I308" i="75"/>
  <c r="J308" i="75"/>
  <c r="I378" i="75"/>
  <c r="J378" i="75"/>
  <c r="AC90" i="71"/>
  <c r="AC72" i="71"/>
  <c r="AC89" i="71"/>
  <c r="AC145" i="71"/>
  <c r="AC86" i="71"/>
  <c r="AC152" i="71"/>
  <c r="AC34" i="71"/>
  <c r="AC91" i="71"/>
  <c r="AC163" i="71"/>
  <c r="AC114" i="71"/>
  <c r="AC54" i="71"/>
  <c r="AC40" i="71"/>
  <c r="AC156" i="71"/>
  <c r="AC69" i="71"/>
  <c r="AC16" i="71"/>
  <c r="AC131" i="71"/>
  <c r="AC93" i="71"/>
  <c r="AC130" i="71"/>
  <c r="AC168" i="71"/>
  <c r="AC33" i="71"/>
  <c r="AC167" i="71"/>
  <c r="AC155" i="71"/>
  <c r="AC45" i="71"/>
  <c r="AC11" i="71"/>
  <c r="AC108" i="71"/>
  <c r="AC154" i="71"/>
  <c r="AC126" i="71"/>
  <c r="AC55" i="71"/>
  <c r="AC17" i="71"/>
  <c r="AC127" i="71"/>
  <c r="AC112" i="71"/>
  <c r="AC68" i="71"/>
  <c r="AC66" i="71"/>
  <c r="AC120" i="71"/>
  <c r="AC137" i="71"/>
  <c r="AC138" i="71"/>
  <c r="AC169" i="71"/>
  <c r="AC31" i="71"/>
  <c r="AC62" i="71"/>
  <c r="AC135" i="71"/>
  <c r="AC160" i="71"/>
  <c r="AC121" i="71"/>
  <c r="AC49" i="71"/>
  <c r="AC165" i="71"/>
  <c r="AC139" i="71"/>
  <c r="AC59" i="71"/>
  <c r="AC117" i="71"/>
  <c r="AC148" i="71"/>
  <c r="AC151" i="71"/>
  <c r="AC116" i="71"/>
  <c r="AC19" i="71"/>
  <c r="AC113" i="71"/>
  <c r="AC87" i="71"/>
  <c r="AC125" i="71"/>
  <c r="AC128" i="71"/>
  <c r="AC18" i="71"/>
  <c r="AC140" i="71"/>
  <c r="AC170" i="71"/>
  <c r="AC153" i="71"/>
  <c r="AC38" i="71"/>
  <c r="AC146" i="71"/>
  <c r="AC150" i="71"/>
  <c r="AC81" i="71"/>
  <c r="AC115" i="71"/>
  <c r="AC147" i="71"/>
  <c r="AC9" i="71"/>
  <c r="AC44" i="71"/>
  <c r="AC136" i="71"/>
  <c r="AC51" i="71"/>
  <c r="AC30" i="71"/>
  <c r="AC161" i="71"/>
  <c r="AC164" i="71"/>
  <c r="AC166" i="71"/>
  <c r="AC13" i="71"/>
  <c r="AC85" i="71"/>
  <c r="AC56" i="71"/>
  <c r="AC23" i="71"/>
  <c r="AC74" i="71"/>
  <c r="AC83" i="71"/>
  <c r="AC88" i="71"/>
  <c r="AC162" i="71"/>
  <c r="AC71" i="71"/>
  <c r="AC50" i="71"/>
  <c r="AC24" i="71"/>
  <c r="AC149" i="71"/>
  <c r="AC134" i="71"/>
  <c r="AC75" i="71"/>
  <c r="AC29" i="71"/>
  <c r="AC67" i="71"/>
  <c r="AC158" i="71"/>
  <c r="AC8" i="71"/>
  <c r="AC21" i="71"/>
  <c r="AC80" i="71"/>
  <c r="AC144" i="71"/>
  <c r="AC14" i="71"/>
  <c r="AC171" i="71"/>
  <c r="AC84" i="71"/>
  <c r="AC28" i="71"/>
  <c r="AC129" i="71"/>
  <c r="AC79" i="71"/>
  <c r="AC52" i="71"/>
  <c r="AC172" i="71"/>
  <c r="AC15" i="71"/>
  <c r="AC123" i="71"/>
  <c r="AC118" i="71"/>
  <c r="AC70" i="71"/>
  <c r="AC82" i="71"/>
  <c r="AC10" i="71"/>
  <c r="AC26" i="71"/>
  <c r="AC78" i="71"/>
  <c r="AC109" i="71"/>
  <c r="AC22" i="71"/>
  <c r="AC92" i="71"/>
  <c r="AC98" i="71"/>
  <c r="AC157" i="71"/>
  <c r="AC32" i="71"/>
  <c r="AC159" i="71"/>
  <c r="AC77" i="71"/>
  <c r="AC143" i="71"/>
  <c r="AC95" i="71"/>
  <c r="AC12" i="71"/>
  <c r="AC132" i="71"/>
  <c r="AC119" i="71"/>
  <c r="AC36" i="71"/>
  <c r="AC141" i="71"/>
  <c r="AC107" i="71"/>
  <c r="AC102" i="71"/>
  <c r="AC122" i="71"/>
  <c r="AC133" i="71"/>
  <c r="AC142" i="71"/>
  <c r="J327" i="75"/>
  <c r="I327" i="75"/>
  <c r="AC103" i="71"/>
  <c r="J336" i="75"/>
  <c r="I336" i="75"/>
  <c r="M13" i="64"/>
  <c r="L13" i="64"/>
  <c r="J210" i="75"/>
  <c r="I210" i="75"/>
  <c r="I34" i="101"/>
  <c r="J34" i="101"/>
  <c r="J152" i="75"/>
  <c r="I152" i="75"/>
  <c r="K34" i="101"/>
  <c r="J209" i="75"/>
  <c r="I209" i="75"/>
  <c r="J17" i="170"/>
  <c r="K17" i="170"/>
  <c r="I274" i="75"/>
  <c r="J274" i="75"/>
  <c r="AM46" i="71"/>
  <c r="AC48" i="71"/>
  <c r="I193" i="75"/>
  <c r="J193" i="75"/>
  <c r="AC39" i="71"/>
  <c r="I273" i="75"/>
  <c r="J273" i="75"/>
  <c r="J310" i="75"/>
  <c r="I310" i="75"/>
  <c r="I202" i="75"/>
  <c r="J202" i="75"/>
  <c r="J287" i="75"/>
  <c r="I287" i="75"/>
  <c r="A37" i="26"/>
  <c r="D9" i="28"/>
  <c r="J367" i="75"/>
  <c r="I367" i="75"/>
  <c r="I240" i="75"/>
  <c r="J240" i="75"/>
  <c r="M80" i="101"/>
  <c r="O103" i="71"/>
  <c r="AC57" i="71"/>
  <c r="Q102" i="75"/>
  <c r="F102" i="75"/>
  <c r="O102" i="187"/>
  <c r="Q106" i="75"/>
  <c r="F106" i="75"/>
  <c r="AC76" i="71"/>
  <c r="I49" i="101"/>
  <c r="K49" i="101"/>
  <c r="J49" i="101"/>
  <c r="I142" i="75"/>
  <c r="J142" i="75"/>
  <c r="I314" i="75"/>
  <c r="J314" i="75"/>
  <c r="I36" i="101"/>
  <c r="K36" i="101"/>
  <c r="J158" i="75"/>
  <c r="J36" i="101"/>
  <c r="I158" i="75"/>
  <c r="AM47" i="71"/>
  <c r="AC96" i="71"/>
  <c r="AC53" i="71"/>
  <c r="I128" i="75"/>
  <c r="J128" i="75"/>
  <c r="J47" i="101"/>
  <c r="I47" i="101"/>
  <c r="I163" i="75"/>
  <c r="K47" i="101"/>
  <c r="J163" i="75"/>
  <c r="I199" i="75"/>
  <c r="J199" i="75"/>
  <c r="AO124" i="71"/>
  <c r="K64" i="101"/>
  <c r="J64" i="101"/>
  <c r="I64" i="101"/>
  <c r="J256" i="75"/>
  <c r="I256" i="75"/>
  <c r="O12" i="71"/>
  <c r="AO60" i="71"/>
  <c r="I162" i="75"/>
  <c r="J162" i="75"/>
  <c r="J154" i="75"/>
  <c r="I154" i="75"/>
  <c r="AB48" i="71"/>
  <c r="I275" i="75"/>
  <c r="J275" i="75"/>
  <c r="I312" i="75"/>
  <c r="J312" i="75"/>
  <c r="J298" i="75"/>
  <c r="I298" i="75"/>
  <c r="J135" i="75"/>
  <c r="I135" i="75"/>
  <c r="B10" i="158"/>
  <c r="AB103" i="71"/>
  <c r="I130" i="75"/>
  <c r="J130" i="75"/>
  <c r="AM25" i="71"/>
  <c r="AO57" i="71"/>
  <c r="J306" i="75"/>
  <c r="I306" i="75"/>
  <c r="AD157" i="71"/>
  <c r="AD50" i="71"/>
  <c r="AD171" i="71"/>
  <c r="AD159" i="71"/>
  <c r="AD32" i="71"/>
  <c r="AD91" i="71"/>
  <c r="AD158" i="71"/>
  <c r="AD102" i="71"/>
  <c r="AD38" i="71"/>
  <c r="AD137" i="71"/>
  <c r="AD168" i="71"/>
  <c r="AD28" i="71"/>
  <c r="AD8" i="71"/>
  <c r="AD30" i="71"/>
  <c r="AD45" i="71"/>
  <c r="AD77" i="71"/>
  <c r="AD95" i="71"/>
  <c r="AD68" i="71"/>
  <c r="AD170" i="71"/>
  <c r="AD146" i="71"/>
  <c r="AD132" i="71"/>
  <c r="AD130" i="71"/>
  <c r="AD81" i="71"/>
  <c r="AD114" i="71"/>
  <c r="AD122" i="71"/>
  <c r="AD86" i="71"/>
  <c r="AD88" i="71"/>
  <c r="AD169" i="71"/>
  <c r="AD71" i="71"/>
  <c r="AD70" i="71"/>
  <c r="AD165" i="71"/>
  <c r="AD167" i="71"/>
  <c r="AD93" i="71"/>
  <c r="AD127" i="71"/>
  <c r="AD126" i="71"/>
  <c r="AD151" i="71"/>
  <c r="AD123" i="71"/>
  <c r="AD164" i="71"/>
  <c r="AD121" i="71"/>
  <c r="AD116" i="71"/>
  <c r="AD161" i="71"/>
  <c r="AD62" i="71"/>
  <c r="AD69" i="71"/>
  <c r="AD152" i="71"/>
  <c r="AD115" i="71"/>
  <c r="AD40" i="71"/>
  <c r="AD166" i="71"/>
  <c r="AD29" i="71"/>
  <c r="AD67" i="71"/>
  <c r="AD82" i="71"/>
  <c r="AD117" i="71"/>
  <c r="AD163" i="71"/>
  <c r="AD44" i="71"/>
  <c r="AD162" i="71"/>
  <c r="AD125" i="71"/>
  <c r="AD72" i="71"/>
  <c r="AD135" i="71"/>
  <c r="AD172" i="71"/>
  <c r="AD87" i="71"/>
  <c r="AD131" i="71"/>
  <c r="AD74" i="71"/>
  <c r="AD22" i="71"/>
  <c r="AD153" i="71"/>
  <c r="AD78" i="71"/>
  <c r="AD33" i="71"/>
  <c r="AD148" i="71"/>
  <c r="AD140" i="71"/>
  <c r="AD145" i="71"/>
  <c r="AD24" i="71"/>
  <c r="AD79" i="71"/>
  <c r="AD128" i="71"/>
  <c r="AD119" i="71"/>
  <c r="AD59" i="71"/>
  <c r="AD85" i="71"/>
  <c r="AD108" i="71"/>
  <c r="AD31" i="71"/>
  <c r="AD133" i="71"/>
  <c r="AD129" i="71"/>
  <c r="AD21" i="71"/>
  <c r="AD98" i="71"/>
  <c r="AD143" i="71"/>
  <c r="AD109" i="71"/>
  <c r="AD155" i="71"/>
  <c r="AD120" i="71"/>
  <c r="AD66" i="71"/>
  <c r="AD112" i="71"/>
  <c r="AD113" i="71"/>
  <c r="AD75" i="71"/>
  <c r="AD36" i="71"/>
  <c r="AD156" i="71"/>
  <c r="AD149" i="71"/>
  <c r="AD154" i="71"/>
  <c r="AD150" i="71"/>
  <c r="AD84" i="71"/>
  <c r="AD118" i="71"/>
  <c r="AD12" i="71"/>
  <c r="AD144" i="71"/>
  <c r="AD90" i="71"/>
  <c r="AD160" i="71"/>
  <c r="AD141" i="71"/>
  <c r="AD80" i="71"/>
  <c r="AD49" i="71"/>
  <c r="AD34" i="71"/>
  <c r="AD26" i="71"/>
  <c r="AD83" i="71"/>
  <c r="AD142" i="71"/>
  <c r="AD134" i="71"/>
  <c r="AD56" i="71"/>
  <c r="AD92" i="71"/>
  <c r="AD89" i="71"/>
  <c r="AD147" i="71"/>
  <c r="AD23" i="71"/>
  <c r="AD19" i="71"/>
  <c r="AD9" i="71"/>
  <c r="AD11" i="71"/>
  <c r="AD136" i="71"/>
  <c r="AD14" i="71"/>
  <c r="AD52" i="71"/>
  <c r="AD18" i="71"/>
  <c r="AD138" i="71"/>
  <c r="AD15" i="71"/>
  <c r="AD54" i="71"/>
  <c r="AD107" i="71"/>
  <c r="AD17" i="71"/>
  <c r="AD139" i="71"/>
  <c r="AD10" i="71"/>
  <c r="AD51" i="71"/>
  <c r="AD13" i="71"/>
  <c r="AD16" i="71"/>
  <c r="AD55" i="71"/>
  <c r="I42" i="101"/>
  <c r="K42" i="101"/>
  <c r="J42" i="101"/>
  <c r="I200" i="75"/>
  <c r="J200" i="75"/>
  <c r="I16" i="75"/>
  <c r="J16" i="75"/>
  <c r="I288" i="75"/>
  <c r="J288" i="75"/>
  <c r="M87" i="101"/>
  <c r="O107" i="71"/>
  <c r="O10" i="71"/>
  <c r="M78" i="101"/>
  <c r="E12" i="167"/>
  <c r="AD58" i="71"/>
  <c r="AM63" i="71"/>
  <c r="J265" i="75"/>
  <c r="I265" i="75"/>
  <c r="K75" i="101"/>
  <c r="J75" i="101"/>
  <c r="I75" i="101"/>
  <c r="I20" i="75"/>
  <c r="J20" i="75"/>
  <c r="I276" i="75"/>
  <c r="J276" i="75"/>
  <c r="AG53" i="71"/>
  <c r="AM53" i="71"/>
  <c r="AO37" i="71"/>
  <c r="AM37" i="71"/>
  <c r="I213" i="75"/>
  <c r="J213" i="75"/>
  <c r="A39" i="27"/>
  <c r="B12" i="28"/>
  <c r="J284" i="75"/>
  <c r="I284" i="75"/>
  <c r="I133" i="75"/>
  <c r="J133" i="75"/>
  <c r="AG104" i="71"/>
  <c r="AC104" i="71"/>
  <c r="AO48" i="71"/>
  <c r="I178" i="75"/>
  <c r="J178" i="75"/>
  <c r="I124" i="75"/>
  <c r="J124" i="75"/>
  <c r="J88" i="75"/>
  <c r="I88" i="75"/>
  <c r="K52" i="101"/>
  <c r="J52" i="101"/>
  <c r="I52" i="101"/>
  <c r="J174" i="75"/>
  <c r="I174" i="75"/>
  <c r="L23" i="64"/>
  <c r="J343" i="75"/>
  <c r="I343" i="75"/>
  <c r="M23" i="64"/>
  <c r="J66" i="101"/>
  <c r="I66" i="101"/>
  <c r="I272" i="75"/>
  <c r="J272" i="75"/>
  <c r="K66" i="101"/>
  <c r="I301" i="75"/>
  <c r="J301" i="75"/>
  <c r="J270" i="75"/>
  <c r="I270" i="75"/>
  <c r="O25" i="187"/>
  <c r="Q26" i="75"/>
  <c r="F26" i="75"/>
  <c r="O24" i="187"/>
  <c r="Q25" i="75"/>
  <c r="F25" i="75"/>
  <c r="Q21" i="75"/>
  <c r="F21" i="75"/>
  <c r="I54" i="101"/>
  <c r="K54" i="101"/>
  <c r="J54" i="101"/>
  <c r="I161" i="75"/>
  <c r="J161" i="75"/>
  <c r="AO53" i="71"/>
  <c r="AC20" i="71"/>
  <c r="AM20" i="71"/>
  <c r="AO46" i="71"/>
  <c r="AO104" i="71"/>
  <c r="AM104" i="71"/>
  <c r="AM48" i="71"/>
  <c r="J177" i="75"/>
  <c r="I177" i="75"/>
  <c r="AM39" i="71"/>
  <c r="J86" i="75"/>
  <c r="I86" i="75"/>
  <c r="I172" i="75"/>
  <c r="J172" i="75"/>
  <c r="J235" i="75"/>
  <c r="I235" i="75"/>
  <c r="J300" i="75"/>
  <c r="I300" i="75"/>
  <c r="J269" i="75"/>
  <c r="I269" i="75"/>
  <c r="AC60" i="71"/>
  <c r="B45" i="174"/>
  <c r="AC7" i="71"/>
  <c r="AB169" i="71"/>
  <c r="H169" i="71"/>
  <c r="AB161" i="71"/>
  <c r="H161" i="71"/>
  <c r="AB52" i="71"/>
  <c r="AB157" i="71"/>
  <c r="H157" i="71"/>
  <c r="AB85" i="71"/>
  <c r="AB78" i="71"/>
  <c r="AB144" i="71"/>
  <c r="H144" i="71"/>
  <c r="AB98" i="71"/>
  <c r="AB32" i="71"/>
  <c r="AB146" i="71"/>
  <c r="H146" i="71"/>
  <c r="AB116" i="71"/>
  <c r="AB81" i="71"/>
  <c r="H81" i="71"/>
  <c r="AB67" i="71"/>
  <c r="AB34" i="71"/>
  <c r="AB129" i="71"/>
  <c r="AB87" i="71"/>
  <c r="AB51" i="71"/>
  <c r="AB21" i="71"/>
  <c r="AB77" i="71"/>
  <c r="AB121" i="71"/>
  <c r="H121" i="71"/>
  <c r="AB18" i="71"/>
  <c r="AB49" i="71"/>
  <c r="AB24" i="71"/>
  <c r="AB55" i="71"/>
  <c r="AB50" i="71"/>
  <c r="H50" i="71"/>
  <c r="AB148" i="71"/>
  <c r="H148" i="71"/>
  <c r="AB131" i="71"/>
  <c r="AB168" i="71"/>
  <c r="H168" i="71"/>
  <c r="AB14" i="71"/>
  <c r="AB108" i="71"/>
  <c r="H108" i="71"/>
  <c r="AB45" i="71"/>
  <c r="AB70" i="71"/>
  <c r="AB93" i="71"/>
  <c r="AB69" i="71"/>
  <c r="AB28" i="71"/>
  <c r="AB30" i="71"/>
  <c r="AB125" i="71"/>
  <c r="AB82" i="71"/>
  <c r="H82" i="71"/>
  <c r="AB130" i="71"/>
  <c r="AB123" i="71"/>
  <c r="AB149" i="71"/>
  <c r="H149" i="71"/>
  <c r="AB138" i="71"/>
  <c r="AB83" i="71"/>
  <c r="H83" i="71"/>
  <c r="AB159" i="71"/>
  <c r="H159" i="71"/>
  <c r="AB162" i="71"/>
  <c r="H162" i="71"/>
  <c r="AB155" i="71"/>
  <c r="H155" i="71"/>
  <c r="AB26" i="71"/>
  <c r="AB164" i="71"/>
  <c r="H164" i="71"/>
  <c r="AB117" i="71"/>
  <c r="AB134" i="71"/>
  <c r="AB166" i="71"/>
  <c r="H166" i="71"/>
  <c r="AB127" i="71"/>
  <c r="AB10" i="71"/>
  <c r="AB16" i="71"/>
  <c r="AB120" i="71"/>
  <c r="H120" i="71"/>
  <c r="AB23" i="71"/>
  <c r="AB15" i="71"/>
  <c r="AB139" i="71"/>
  <c r="AB95" i="71"/>
  <c r="AB171" i="71"/>
  <c r="H171" i="71"/>
  <c r="AB75" i="71"/>
  <c r="H75" i="71"/>
  <c r="AB17" i="71"/>
  <c r="AB9" i="71"/>
  <c r="AB141" i="71"/>
  <c r="AB88" i="71"/>
  <c r="AB12" i="71"/>
  <c r="AB143" i="71"/>
  <c r="AB33" i="71"/>
  <c r="AB114" i="71"/>
  <c r="AB165" i="71"/>
  <c r="H165" i="71"/>
  <c r="AB90" i="71"/>
  <c r="AB160" i="71"/>
  <c r="H160" i="71"/>
  <c r="AB44" i="71"/>
  <c r="AB91" i="71"/>
  <c r="AB40" i="71"/>
  <c r="AB107" i="71"/>
  <c r="AB142" i="71"/>
  <c r="AB119" i="71"/>
  <c r="AB154" i="71"/>
  <c r="H154" i="71"/>
  <c r="AB147" i="71"/>
  <c r="H147" i="71"/>
  <c r="AB132" i="71"/>
  <c r="AB31" i="71"/>
  <c r="AB156" i="71"/>
  <c r="H156" i="71"/>
  <c r="AB29" i="71"/>
  <c r="AB113" i="71"/>
  <c r="AB170" i="71"/>
  <c r="H170" i="71"/>
  <c r="AB163" i="71"/>
  <c r="H163" i="71"/>
  <c r="AB71" i="71"/>
  <c r="AB136" i="71"/>
  <c r="AB112" i="71"/>
  <c r="AB72" i="71"/>
  <c r="AB86" i="71"/>
  <c r="AB84" i="71"/>
  <c r="AB158" i="71"/>
  <c r="H158" i="71"/>
  <c r="AB151" i="71"/>
  <c r="H151" i="71"/>
  <c r="AB135" i="71"/>
  <c r="AB118" i="71"/>
  <c r="AB128" i="71"/>
  <c r="AB62" i="71"/>
  <c r="AB140" i="71"/>
  <c r="AB115" i="71"/>
  <c r="AB126" i="71"/>
  <c r="AB150" i="71"/>
  <c r="H150" i="71"/>
  <c r="AB36" i="71"/>
  <c r="AB80" i="71"/>
  <c r="H80" i="71"/>
  <c r="AB38" i="71"/>
  <c r="AB92" i="71"/>
  <c r="AB122" i="71"/>
  <c r="AB145" i="71"/>
  <c r="H145" i="71"/>
  <c r="AB74" i="71"/>
  <c r="AB68" i="71"/>
  <c r="AB11" i="71"/>
  <c r="AB13" i="71"/>
  <c r="AB56" i="71"/>
  <c r="H56" i="71"/>
  <c r="AB133" i="71"/>
  <c r="AB152" i="71"/>
  <c r="H152" i="71"/>
  <c r="AB102" i="71"/>
  <c r="AB66" i="71"/>
  <c r="AB172" i="71"/>
  <c r="H172" i="71"/>
  <c r="AB137" i="71"/>
  <c r="AB54" i="71"/>
  <c r="AB167" i="71"/>
  <c r="H167" i="71"/>
  <c r="AB22" i="71"/>
  <c r="AB89" i="71"/>
  <c r="AB59" i="71"/>
  <c r="AB153" i="71"/>
  <c r="H153" i="71"/>
  <c r="AB109" i="71"/>
  <c r="H109" i="71"/>
  <c r="AB79" i="71"/>
  <c r="AB19" i="71"/>
  <c r="AB8" i="71"/>
  <c r="H8" i="71"/>
  <c r="I388" i="75"/>
  <c r="J388" i="75"/>
  <c r="I120" i="75"/>
  <c r="J120" i="75"/>
  <c r="AM64" i="71"/>
  <c r="AC64" i="71"/>
  <c r="AO25" i="71"/>
  <c r="AM76" i="71"/>
  <c r="AC97" i="71"/>
  <c r="AO65" i="71"/>
  <c r="I53" i="101"/>
  <c r="J53" i="101"/>
  <c r="K53" i="101"/>
  <c r="J201" i="75"/>
  <c r="I201" i="75"/>
  <c r="AC124" i="71"/>
  <c r="O21" i="71"/>
  <c r="M88" i="101"/>
  <c r="O152" i="71"/>
  <c r="M91" i="101"/>
  <c r="AB61" i="71"/>
  <c r="J8" i="170"/>
  <c r="K8" i="170"/>
  <c r="F35" i="170"/>
  <c r="H35" i="170"/>
  <c r="B17" i="169"/>
  <c r="B17" i="167"/>
  <c r="AC58" i="71"/>
  <c r="AM58" i="71"/>
  <c r="AB63" i="71"/>
  <c r="AM60" i="71"/>
  <c r="J285" i="75"/>
  <c r="I285" i="75"/>
  <c r="I136" i="75"/>
  <c r="J136" i="75"/>
  <c r="AB106" i="71"/>
  <c r="J246" i="75"/>
  <c r="I246" i="75"/>
  <c r="I260" i="75"/>
  <c r="J260" i="75"/>
  <c r="AD47" i="71"/>
  <c r="J376" i="75"/>
  <c r="I376" i="75"/>
  <c r="J48" i="101"/>
  <c r="J157" i="75"/>
  <c r="I48" i="101"/>
  <c r="K48" i="101"/>
  <c r="I157" i="75"/>
  <c r="AD96" i="71"/>
  <c r="AB37" i="71"/>
  <c r="AG46" i="71"/>
  <c r="AC46" i="71"/>
  <c r="AB39" i="71"/>
  <c r="I16" i="101"/>
  <c r="K16" i="101"/>
  <c r="J16" i="101"/>
  <c r="J85" i="75"/>
  <c r="I85" i="75"/>
  <c r="I41" i="101"/>
  <c r="K41" i="101"/>
  <c r="J41" i="101"/>
  <c r="J173" i="75"/>
  <c r="I173" i="75"/>
  <c r="J299" i="75"/>
  <c r="I299" i="75"/>
  <c r="J271" i="75"/>
  <c r="I271" i="75"/>
  <c r="F10" i="169"/>
  <c r="H10" i="167"/>
  <c r="F10" i="167"/>
  <c r="I242" i="75"/>
  <c r="J242" i="75"/>
  <c r="I364" i="75"/>
  <c r="J364" i="75"/>
  <c r="J194" i="75"/>
  <c r="I194" i="75"/>
  <c r="I132" i="75"/>
  <c r="J132" i="75"/>
  <c r="I280" i="75"/>
  <c r="J280" i="75"/>
  <c r="J316" i="75"/>
  <c r="I316" i="75"/>
  <c r="I263" i="75"/>
  <c r="J263" i="75"/>
  <c r="I396" i="75"/>
  <c r="J396" i="75"/>
  <c r="J51" i="101"/>
  <c r="I51" i="101"/>
  <c r="J171" i="75"/>
  <c r="I171" i="75"/>
  <c r="K51" i="101"/>
  <c r="I181" i="75"/>
  <c r="J181" i="75"/>
  <c r="AO103" i="71"/>
  <c r="J371" i="75"/>
  <c r="I371" i="75"/>
  <c r="AB64" i="71"/>
  <c r="AC25" i="71"/>
  <c r="J259" i="75"/>
  <c r="I259" i="75"/>
  <c r="J117" i="75"/>
  <c r="I117" i="75"/>
  <c r="AB65" i="71"/>
  <c r="N43" i="71"/>
  <c r="O43" i="71"/>
  <c r="AQ43" i="71"/>
  <c r="AD43" i="71"/>
  <c r="AN43" i="71"/>
  <c r="AL43" i="71"/>
  <c r="AC43" i="71"/>
  <c r="AB43" i="71"/>
  <c r="AP43" i="71"/>
  <c r="AR43" i="71"/>
  <c r="AK43" i="71"/>
  <c r="AO43" i="71"/>
  <c r="AS43" i="71"/>
  <c r="AG43" i="71"/>
  <c r="AM43" i="71"/>
  <c r="I19" i="75"/>
  <c r="J19" i="75"/>
  <c r="AB73" i="71"/>
  <c r="AO61" i="71"/>
  <c r="AD61" i="71"/>
  <c r="AO58" i="71"/>
  <c r="AO63" i="71"/>
  <c r="AD63" i="71"/>
  <c r="AB60" i="71"/>
  <c r="I342" i="75"/>
  <c r="J342" i="75"/>
  <c r="L21" i="64"/>
  <c r="M21" i="64"/>
  <c r="J61" i="101"/>
  <c r="I61" i="101"/>
  <c r="K61" i="101"/>
  <c r="J245" i="75"/>
  <c r="I245" i="75"/>
  <c r="AO96" i="71"/>
  <c r="AB53" i="71"/>
  <c r="I24" i="75"/>
  <c r="J24" i="75"/>
  <c r="AB46" i="71"/>
  <c r="J99" i="75"/>
  <c r="I99" i="75"/>
  <c r="K67" i="101"/>
  <c r="I67" i="101"/>
  <c r="I311" i="75"/>
  <c r="J311" i="75"/>
  <c r="J67" i="101"/>
  <c r="J17" i="75"/>
  <c r="I17" i="75"/>
  <c r="J89" i="75"/>
  <c r="I89" i="75"/>
  <c r="I296" i="75"/>
  <c r="J296" i="75"/>
  <c r="AL50" i="71"/>
  <c r="AL120" i="71"/>
  <c r="AL85" i="71"/>
  <c r="AL119" i="71"/>
  <c r="AL109" i="71"/>
  <c r="AL122" i="71"/>
  <c r="AL78" i="71"/>
  <c r="AL108" i="71"/>
  <c r="AL33" i="71"/>
  <c r="AL29" i="71"/>
  <c r="AL71" i="71"/>
  <c r="AL161" i="71"/>
  <c r="AL151" i="71"/>
  <c r="AL147" i="71"/>
  <c r="AL79" i="71"/>
  <c r="AL159" i="71"/>
  <c r="AL88" i="71"/>
  <c r="AL30" i="71"/>
  <c r="AL158" i="71"/>
  <c r="AL77" i="71"/>
  <c r="AL156" i="71"/>
  <c r="AL133" i="71"/>
  <c r="AL92" i="71"/>
  <c r="AL118" i="71"/>
  <c r="AL168" i="71"/>
  <c r="AL66" i="71"/>
  <c r="AL87" i="71"/>
  <c r="AL155" i="71"/>
  <c r="AL132" i="71"/>
  <c r="AL142" i="71"/>
  <c r="AL38" i="71"/>
  <c r="AL93" i="71"/>
  <c r="AL89" i="71"/>
  <c r="AL62" i="71"/>
  <c r="AL74" i="71"/>
  <c r="AL170" i="71"/>
  <c r="AL80" i="71"/>
  <c r="AL98" i="71"/>
  <c r="AL141" i="71"/>
  <c r="AL95" i="71"/>
  <c r="AL107" i="71"/>
  <c r="AL59" i="71"/>
  <c r="AL165" i="71"/>
  <c r="AL131" i="71"/>
  <c r="AL145" i="71"/>
  <c r="AL154" i="71"/>
  <c r="AL28" i="71"/>
  <c r="AL72" i="71"/>
  <c r="AL138" i="71"/>
  <c r="AL125" i="71"/>
  <c r="AL22" i="71"/>
  <c r="AL163" i="71"/>
  <c r="AL160" i="71"/>
  <c r="AL69" i="71"/>
  <c r="AL34" i="71"/>
  <c r="AL68" i="71"/>
  <c r="AL67" i="71"/>
  <c r="AL153" i="71"/>
  <c r="AL112" i="71"/>
  <c r="AL84" i="71"/>
  <c r="AL149" i="71"/>
  <c r="AL150" i="71"/>
  <c r="AL169" i="71"/>
  <c r="AL121" i="71"/>
  <c r="AL82" i="71"/>
  <c r="AL36" i="71"/>
  <c r="AL162" i="71"/>
  <c r="AL75" i="71"/>
  <c r="AL54" i="71"/>
  <c r="AL55" i="71"/>
  <c r="AL136" i="71"/>
  <c r="AL152" i="71"/>
  <c r="AL40" i="71"/>
  <c r="AL167" i="71"/>
  <c r="AL140" i="71"/>
  <c r="AL116" i="71"/>
  <c r="AL91" i="71"/>
  <c r="AL143" i="71"/>
  <c r="AL148" i="71"/>
  <c r="AL135" i="71"/>
  <c r="AL157" i="71"/>
  <c r="AL172" i="71"/>
  <c r="AL31" i="71"/>
  <c r="AL70" i="71"/>
  <c r="AL164" i="71"/>
  <c r="AL56" i="71"/>
  <c r="AL166" i="71"/>
  <c r="AL45" i="71"/>
  <c r="AL23" i="71"/>
  <c r="AL114" i="71"/>
  <c r="AL90" i="71"/>
  <c r="AL130" i="71"/>
  <c r="AL14" i="71"/>
  <c r="AL123" i="71"/>
  <c r="AL8" i="71"/>
  <c r="AL146" i="71"/>
  <c r="AL81" i="71"/>
  <c r="AL9" i="71"/>
  <c r="AL171" i="71"/>
  <c r="AL86" i="71"/>
  <c r="AL83" i="71"/>
  <c r="AL113" i="71"/>
  <c r="AL27" i="71"/>
  <c r="AL32" i="71"/>
  <c r="AL134" i="71"/>
  <c r="AL115" i="71"/>
  <c r="AL139" i="71"/>
  <c r="AL15" i="71"/>
  <c r="AL49" i="71"/>
  <c r="AL16" i="71"/>
  <c r="AL19" i="71"/>
  <c r="AL13" i="71"/>
  <c r="AL18" i="71"/>
  <c r="AL10" i="71"/>
  <c r="AL126" i="71"/>
  <c r="AL24" i="71"/>
  <c r="AL12" i="71"/>
  <c r="AL128" i="71"/>
  <c r="AL137" i="71"/>
  <c r="AL44" i="71"/>
  <c r="AL127" i="71"/>
  <c r="AL11" i="71"/>
  <c r="AL21" i="71"/>
  <c r="AL17" i="71"/>
  <c r="AL129" i="71"/>
  <c r="AL144" i="71"/>
  <c r="AL51" i="71"/>
  <c r="AL26" i="71"/>
  <c r="AL52" i="71"/>
  <c r="AL102" i="71"/>
  <c r="AL117" i="71"/>
  <c r="J278" i="75"/>
  <c r="I278" i="75"/>
  <c r="J68" i="101"/>
  <c r="I68" i="101"/>
  <c r="K68" i="101"/>
  <c r="I295" i="75"/>
  <c r="J295" i="75"/>
  <c r="I131" i="75"/>
  <c r="J131" i="75"/>
  <c r="H7" i="69"/>
  <c r="AM65" i="71"/>
  <c r="I383" i="75"/>
  <c r="J383" i="75"/>
  <c r="M22" i="102"/>
  <c r="B8" i="157"/>
  <c r="P9" i="102"/>
  <c r="P22" i="102"/>
  <c r="AO66" i="71"/>
  <c r="AO172" i="71"/>
  <c r="AO149" i="71"/>
  <c r="AO143" i="71"/>
  <c r="AO52" i="71"/>
  <c r="AO13" i="71"/>
  <c r="AO139" i="71"/>
  <c r="AO49" i="71"/>
  <c r="AO160" i="71"/>
  <c r="AO95" i="71"/>
  <c r="AO17" i="71"/>
  <c r="AO134" i="71"/>
  <c r="AO44" i="71"/>
  <c r="AO153" i="71"/>
  <c r="AO69" i="71"/>
  <c r="AO54" i="71"/>
  <c r="AO132" i="71"/>
  <c r="AO90" i="71"/>
  <c r="AO152" i="71"/>
  <c r="AO87" i="71"/>
  <c r="AO33" i="71"/>
  <c r="AO72" i="71"/>
  <c r="AO137" i="71"/>
  <c r="AO40" i="71"/>
  <c r="AO84" i="71"/>
  <c r="AO127" i="71"/>
  <c r="AO147" i="71"/>
  <c r="AO164" i="71"/>
  <c r="AO136" i="71"/>
  <c r="AO91" i="71"/>
  <c r="AO10" i="71"/>
  <c r="AO128" i="71"/>
  <c r="AO121" i="71"/>
  <c r="AO86" i="71"/>
  <c r="AO119" i="71"/>
  <c r="AO36" i="71"/>
  <c r="AO158" i="71"/>
  <c r="AO133" i="71"/>
  <c r="AO142" i="71"/>
  <c r="AO45" i="71"/>
  <c r="AO135" i="71"/>
  <c r="AO171" i="71"/>
  <c r="AO131" i="71"/>
  <c r="AO15" i="71"/>
  <c r="AO115" i="71"/>
  <c r="AO170" i="71"/>
  <c r="AO144" i="71"/>
  <c r="AO28" i="71"/>
  <c r="AO18" i="71"/>
  <c r="AO55" i="71"/>
  <c r="AO98" i="71"/>
  <c r="AO154" i="71"/>
  <c r="AO151" i="71"/>
  <c r="AO162" i="71"/>
  <c r="AO117" i="71"/>
  <c r="AO80" i="71"/>
  <c r="AO16" i="71"/>
  <c r="AO140" i="71"/>
  <c r="AO51" i="71"/>
  <c r="AO75" i="71"/>
  <c r="AO88" i="71"/>
  <c r="AO11" i="71"/>
  <c r="AO113" i="71"/>
  <c r="AO31" i="71"/>
  <c r="AO112" i="71"/>
  <c r="AO59" i="71"/>
  <c r="AO12" i="71"/>
  <c r="AO93" i="71"/>
  <c r="AO165" i="71"/>
  <c r="AO125" i="71"/>
  <c r="AO38" i="71"/>
  <c r="AO81" i="71"/>
  <c r="AO8" i="71"/>
  <c r="AO19" i="71"/>
  <c r="AO21" i="71"/>
  <c r="AO89" i="71"/>
  <c r="AO30" i="71"/>
  <c r="AO129" i="71"/>
  <c r="AO159" i="71"/>
  <c r="AO130" i="71"/>
  <c r="AO118" i="71"/>
  <c r="AO71" i="71"/>
  <c r="AO169" i="71"/>
  <c r="AO14" i="71"/>
  <c r="AO22" i="71"/>
  <c r="AO83" i="71"/>
  <c r="AO85" i="71"/>
  <c r="AO157" i="71"/>
  <c r="AO23" i="71"/>
  <c r="AO120" i="71"/>
  <c r="AO116" i="71"/>
  <c r="AO9" i="71"/>
  <c r="AO70" i="71"/>
  <c r="AO163" i="71"/>
  <c r="AO168" i="71"/>
  <c r="AO156" i="71"/>
  <c r="AO146" i="71"/>
  <c r="AO26" i="71"/>
  <c r="AO79" i="71"/>
  <c r="AO122" i="71"/>
  <c r="AO141" i="71"/>
  <c r="AO29" i="71"/>
  <c r="AO109" i="71"/>
  <c r="AO166" i="71"/>
  <c r="AO148" i="71"/>
  <c r="AO77" i="71"/>
  <c r="AO67" i="71"/>
  <c r="AO34" i="71"/>
  <c r="AO167" i="71"/>
  <c r="AO155" i="71"/>
  <c r="AO92" i="71"/>
  <c r="AO123" i="71"/>
  <c r="AO150" i="71"/>
  <c r="AO82" i="71"/>
  <c r="AO68" i="71"/>
  <c r="AO24" i="71"/>
  <c r="AO74" i="71"/>
  <c r="AO108" i="71"/>
  <c r="AO56" i="71"/>
  <c r="AO32" i="71"/>
  <c r="AO161" i="71"/>
  <c r="AO78" i="71"/>
  <c r="AO102" i="71"/>
  <c r="AO138" i="71"/>
  <c r="AO145" i="71"/>
  <c r="AO50" i="71"/>
  <c r="AO126" i="71"/>
  <c r="AO114" i="71"/>
  <c r="AO62" i="71"/>
  <c r="AO107" i="71"/>
  <c r="J22" i="170"/>
  <c r="K22" i="170"/>
  <c r="M89" i="101"/>
  <c r="O154" i="71"/>
  <c r="I91" i="75"/>
  <c r="J91" i="75"/>
  <c r="AC63" i="71"/>
  <c r="I307" i="75"/>
  <c r="J307" i="75"/>
  <c r="AO105" i="71"/>
  <c r="C3" i="27"/>
  <c r="J345" i="75"/>
  <c r="I345" i="75"/>
  <c r="L24" i="64"/>
  <c r="M24" i="64"/>
  <c r="I31" i="101"/>
  <c r="K31" i="101"/>
  <c r="I169" i="75"/>
  <c r="J31" i="101"/>
  <c r="J169" i="75"/>
  <c r="I180" i="75"/>
  <c r="J180" i="75"/>
  <c r="K63" i="101"/>
  <c r="J63" i="101"/>
  <c r="I63" i="101"/>
  <c r="I267" i="75"/>
  <c r="J267" i="75"/>
  <c r="A36" i="26"/>
  <c r="E5" i="26"/>
  <c r="B9" i="28"/>
  <c r="AB7" i="71"/>
  <c r="AM7" i="71"/>
  <c r="AO94" i="71"/>
  <c r="AO76" i="71"/>
  <c r="AD65" i="71"/>
  <c r="AR35" i="71"/>
  <c r="AK35" i="71"/>
  <c r="AM35" i="71"/>
  <c r="AQ35" i="71"/>
  <c r="AL35" i="71"/>
  <c r="N35" i="71"/>
  <c r="O35" i="71"/>
  <c r="AC35" i="71"/>
  <c r="AB35" i="71"/>
  <c r="AN35" i="71"/>
  <c r="AS35" i="71"/>
  <c r="AO35" i="71"/>
  <c r="AD35" i="71"/>
  <c r="AP35" i="71"/>
  <c r="AG35" i="71"/>
  <c r="O124" i="71"/>
  <c r="M81" i="101"/>
  <c r="AC73" i="71"/>
  <c r="O38" i="71"/>
  <c r="O11" i="71"/>
  <c r="M82" i="101"/>
  <c r="AC61" i="71"/>
  <c r="AB58" i="71"/>
  <c r="AO106" i="71"/>
  <c r="AC106" i="71"/>
  <c r="AB47" i="71"/>
  <c r="AC47" i="71"/>
  <c r="AS101" i="71"/>
  <c r="N101" i="71"/>
  <c r="O101" i="71"/>
  <c r="AR101" i="71"/>
  <c r="AL101" i="71"/>
  <c r="AC101" i="71"/>
  <c r="AD101" i="71"/>
  <c r="AQ101" i="71"/>
  <c r="AO101" i="71"/>
  <c r="AK101" i="71"/>
  <c r="AN101" i="71"/>
  <c r="AP101" i="71"/>
  <c r="AB101" i="71"/>
  <c r="AG101" i="71"/>
  <c r="AM101" i="71"/>
  <c r="AD37" i="71"/>
  <c r="J24" i="101"/>
  <c r="I24" i="101"/>
  <c r="K24" i="101"/>
  <c r="J105" i="75"/>
  <c r="I105" i="75"/>
  <c r="AB104" i="71"/>
  <c r="AG122" i="71"/>
  <c r="AG117" i="71"/>
  <c r="AG139" i="71"/>
  <c r="AG149" i="71"/>
  <c r="AG145" i="71"/>
  <c r="AG108" i="71"/>
  <c r="AG15" i="71"/>
  <c r="AG24" i="71"/>
  <c r="AG32" i="71"/>
  <c r="AG40" i="71"/>
  <c r="AG91" i="71"/>
  <c r="AG135" i="71"/>
  <c r="AG160" i="71"/>
  <c r="AG153" i="71"/>
  <c r="AG52" i="71"/>
  <c r="AG74" i="71"/>
  <c r="AG125" i="71"/>
  <c r="AG140" i="71"/>
  <c r="AG144" i="71"/>
  <c r="AG158" i="71"/>
  <c r="AG164" i="71"/>
  <c r="AG16" i="71"/>
  <c r="AG33" i="71"/>
  <c r="AG49" i="71"/>
  <c r="AG93" i="71"/>
  <c r="AG113" i="71"/>
  <c r="AG165" i="71"/>
  <c r="AG120" i="71"/>
  <c r="AG154" i="71"/>
  <c r="AG66" i="71"/>
  <c r="AG89" i="71"/>
  <c r="AG123" i="71"/>
  <c r="AG130" i="71"/>
  <c r="AG69" i="71"/>
  <c r="AG85" i="71"/>
  <c r="AG134" i="71"/>
  <c r="AG172" i="71"/>
  <c r="AG82" i="71"/>
  <c r="AG163" i="71"/>
  <c r="AG11" i="71"/>
  <c r="AG19" i="71"/>
  <c r="AG28" i="71"/>
  <c r="AG36" i="71"/>
  <c r="AG44" i="71"/>
  <c r="AG78" i="71"/>
  <c r="AG8" i="71"/>
  <c r="AG152" i="71"/>
  <c r="AG67" i="71"/>
  <c r="AG90" i="71"/>
  <c r="AG129" i="71"/>
  <c r="AG167" i="71"/>
  <c r="AG50" i="71"/>
  <c r="AG17" i="71"/>
  <c r="AG30" i="71"/>
  <c r="AG88" i="71"/>
  <c r="AG126" i="71"/>
  <c r="AG162" i="71"/>
  <c r="AG118" i="71"/>
  <c r="AG68" i="71"/>
  <c r="AG92" i="71"/>
  <c r="AG170" i="71"/>
  <c r="AG151" i="71"/>
  <c r="AG31" i="71"/>
  <c r="AG45" i="71"/>
  <c r="AG128" i="71"/>
  <c r="AG54" i="71"/>
  <c r="AG98" i="71"/>
  <c r="AG137" i="71"/>
  <c r="AG34" i="71"/>
  <c r="AG131" i="71"/>
  <c r="AG21" i="71"/>
  <c r="AG136" i="71"/>
  <c r="AG18" i="71"/>
  <c r="AG95" i="71"/>
  <c r="AG168" i="71"/>
  <c r="AG77" i="71"/>
  <c r="AG107" i="71"/>
  <c r="AG146" i="71"/>
  <c r="AG114" i="71"/>
  <c r="AG62" i="71"/>
  <c r="AG87" i="71"/>
  <c r="AG127" i="71"/>
  <c r="AG169" i="71"/>
  <c r="AG161" i="71"/>
  <c r="AG14" i="71"/>
  <c r="AG29" i="71"/>
  <c r="AG86" i="71"/>
  <c r="AG119" i="71"/>
  <c r="AG166" i="71"/>
  <c r="AG132" i="71"/>
  <c r="AG133" i="71"/>
  <c r="AG70" i="71"/>
  <c r="AG156" i="71"/>
  <c r="AG83" i="71"/>
  <c r="AG59" i="71"/>
  <c r="AG75" i="71"/>
  <c r="AG26" i="71"/>
  <c r="AG109" i="71"/>
  <c r="AG121" i="71"/>
  <c r="AG80" i="71"/>
  <c r="AG9" i="71"/>
  <c r="AG115" i="71"/>
  <c r="AG84" i="71"/>
  <c r="AG71" i="71"/>
  <c r="AG138" i="71"/>
  <c r="AG157" i="71"/>
  <c r="AG150" i="71"/>
  <c r="AG12" i="71"/>
  <c r="AG38" i="71"/>
  <c r="AG56" i="71"/>
  <c r="AG142" i="71"/>
  <c r="AG79" i="71"/>
  <c r="AG13" i="71"/>
  <c r="AG171" i="71"/>
  <c r="AG116" i="71"/>
  <c r="AG143" i="71"/>
  <c r="AG147" i="71"/>
  <c r="AG51" i="71"/>
  <c r="AG155" i="71"/>
  <c r="AG148" i="71"/>
  <c r="AG55" i="71"/>
  <c r="AG10" i="71"/>
  <c r="AG159" i="71"/>
  <c r="AG72" i="71"/>
  <c r="AG22" i="71"/>
  <c r="AG81" i="71"/>
  <c r="AG112" i="71"/>
  <c r="AG23" i="71"/>
  <c r="AG141" i="71"/>
  <c r="AG102" i="71"/>
  <c r="J237" i="75"/>
  <c r="I237" i="75"/>
  <c r="AK82" i="71"/>
  <c r="AK145" i="71"/>
  <c r="AK31" i="71"/>
  <c r="AK68" i="71"/>
  <c r="AK56" i="71"/>
  <c r="AK151" i="71"/>
  <c r="AK155" i="71"/>
  <c r="AK38" i="71"/>
  <c r="AK75" i="71"/>
  <c r="AK67" i="71"/>
  <c r="AK19" i="71"/>
  <c r="AK9" i="71"/>
  <c r="AK93" i="71"/>
  <c r="AK8" i="71"/>
  <c r="AK95" i="71"/>
  <c r="AK149" i="71"/>
  <c r="AK148" i="71"/>
  <c r="AK169" i="71"/>
  <c r="AK167" i="71"/>
  <c r="AK147" i="71"/>
  <c r="AK154" i="71"/>
  <c r="AK44" i="71"/>
  <c r="AK66" i="71"/>
  <c r="AK88" i="71"/>
  <c r="AK121" i="71"/>
  <c r="AK81" i="71"/>
  <c r="AK164" i="71"/>
  <c r="AK29" i="71"/>
  <c r="AK125" i="71"/>
  <c r="AK158" i="71"/>
  <c r="AK30" i="71"/>
  <c r="AK45" i="71"/>
  <c r="AK139" i="71"/>
  <c r="AK160" i="71"/>
  <c r="AK123" i="71"/>
  <c r="AK55" i="71"/>
  <c r="AK126" i="71"/>
  <c r="AK50" i="71"/>
  <c r="AK128" i="71"/>
  <c r="AK152" i="71"/>
  <c r="AK138" i="71"/>
  <c r="AK114" i="71"/>
  <c r="AK92" i="71"/>
  <c r="AK137" i="71"/>
  <c r="AK59" i="71"/>
  <c r="AK22" i="71"/>
  <c r="AK156" i="71"/>
  <c r="AK87" i="71"/>
  <c r="AK72" i="71"/>
  <c r="AK11" i="71"/>
  <c r="AK109" i="71"/>
  <c r="AK79" i="71"/>
  <c r="AK36" i="71"/>
  <c r="AK108" i="71"/>
  <c r="AK15" i="71"/>
  <c r="AK16" i="71"/>
  <c r="AK21" i="71"/>
  <c r="AK12" i="71"/>
  <c r="AK129" i="71"/>
  <c r="AK18" i="71"/>
  <c r="AK69" i="71"/>
  <c r="AK80" i="71"/>
  <c r="AK140" i="71"/>
  <c r="AK85" i="71"/>
  <c r="AK13" i="71"/>
  <c r="AK166" i="71"/>
  <c r="AK115" i="71"/>
  <c r="AK168" i="71"/>
  <c r="AK153" i="71"/>
  <c r="AK120" i="71"/>
  <c r="AK134" i="71"/>
  <c r="AK172" i="71"/>
  <c r="AK119" i="71"/>
  <c r="AK71" i="71"/>
  <c r="AK86" i="71"/>
  <c r="AK136" i="71"/>
  <c r="AK70" i="71"/>
  <c r="AK165" i="71"/>
  <c r="AK77" i="71"/>
  <c r="AK54" i="71"/>
  <c r="AK127" i="71"/>
  <c r="AK24" i="71"/>
  <c r="AK83" i="71"/>
  <c r="AK33" i="71"/>
  <c r="AK52" i="71"/>
  <c r="AK171" i="71"/>
  <c r="AK112" i="71"/>
  <c r="AK17" i="71"/>
  <c r="AK62" i="71"/>
  <c r="AK34" i="71"/>
  <c r="AK159" i="71"/>
  <c r="AK150" i="71"/>
  <c r="AK91" i="71"/>
  <c r="AK161" i="71"/>
  <c r="AK142" i="71"/>
  <c r="AK107" i="71"/>
  <c r="AK130" i="71"/>
  <c r="AK90" i="71"/>
  <c r="AK170" i="71"/>
  <c r="AK14" i="71"/>
  <c r="AK26" i="71"/>
  <c r="AK23" i="71"/>
  <c r="AK141" i="71"/>
  <c r="AK89" i="71"/>
  <c r="AK32" i="71"/>
  <c r="AK162" i="71"/>
  <c r="AK74" i="71"/>
  <c r="AK131" i="71"/>
  <c r="AK117" i="71"/>
  <c r="AK116" i="71"/>
  <c r="AK146" i="71"/>
  <c r="AK122" i="71"/>
  <c r="AK84" i="71"/>
  <c r="AK28" i="71"/>
  <c r="AK157" i="71"/>
  <c r="AK10" i="71"/>
  <c r="AK163" i="71"/>
  <c r="AK113" i="71"/>
  <c r="AK98" i="71"/>
  <c r="AK40" i="71"/>
  <c r="AK78" i="71"/>
  <c r="AK135" i="71"/>
  <c r="AK143" i="71"/>
  <c r="AK49" i="71"/>
  <c r="AK132" i="71"/>
  <c r="AK102" i="71"/>
  <c r="AK133" i="71"/>
  <c r="AK144" i="71"/>
  <c r="AK118" i="71"/>
  <c r="AK51" i="71"/>
  <c r="I297" i="75"/>
  <c r="J297" i="75"/>
  <c r="I134" i="75"/>
  <c r="J134" i="75"/>
  <c r="I309" i="75"/>
  <c r="J309" i="75"/>
  <c r="J279" i="75"/>
  <c r="I279" i="75"/>
  <c r="I137" i="75"/>
  <c r="J137" i="75"/>
  <c r="F69" i="75"/>
  <c r="F64" i="75"/>
  <c r="I64" i="75"/>
  <c r="R62" i="1"/>
  <c r="F63" i="75"/>
  <c r="I63" i="75"/>
  <c r="J75" i="75"/>
  <c r="H39" i="1"/>
  <c r="I7" i="101"/>
  <c r="F48" i="75"/>
  <c r="I48" i="75"/>
  <c r="F49" i="75"/>
  <c r="J49" i="75"/>
  <c r="H10" i="69"/>
  <c r="K10" i="69"/>
  <c r="AI35" i="71"/>
  <c r="F71" i="75"/>
  <c r="J14" i="101"/>
  <c r="R39" i="1"/>
  <c r="F74" i="75"/>
  <c r="I74" i="75"/>
  <c r="H108" i="1"/>
  <c r="F76" i="75"/>
  <c r="J76" i="75"/>
  <c r="F51" i="75"/>
  <c r="I51" i="75"/>
  <c r="H100" i="1"/>
  <c r="F52" i="75"/>
  <c r="I52" i="75"/>
  <c r="R100" i="1"/>
  <c r="F54" i="75"/>
  <c r="I13" i="101"/>
  <c r="F13" i="75"/>
  <c r="I13" i="75"/>
  <c r="F8" i="75"/>
  <c r="I8" i="75"/>
  <c r="F27" i="75"/>
  <c r="I27" i="75"/>
  <c r="R181" i="1"/>
  <c r="F11" i="75"/>
  <c r="J11" i="75"/>
  <c r="H21" i="69"/>
  <c r="K21" i="69"/>
  <c r="AE43" i="71"/>
  <c r="H181" i="1"/>
  <c r="I7" i="75"/>
  <c r="F408" i="75"/>
  <c r="M30" i="64"/>
  <c r="M36" i="64"/>
  <c r="C29" i="169"/>
  <c r="A36" i="169"/>
  <c r="B36" i="169"/>
  <c r="I33" i="173"/>
  <c r="I33" i="174"/>
  <c r="F10" i="75"/>
  <c r="J10" i="75"/>
  <c r="J7" i="75"/>
  <c r="K7" i="101"/>
  <c r="F9" i="75"/>
  <c r="I9" i="75"/>
  <c r="F14" i="75"/>
  <c r="I14" i="75"/>
  <c r="F12" i="75"/>
  <c r="J12" i="75"/>
  <c r="F34" i="75"/>
  <c r="I34" i="75"/>
  <c r="F35" i="75"/>
  <c r="I35" i="75"/>
  <c r="F29" i="75"/>
  <c r="J29" i="75"/>
  <c r="F31" i="75"/>
  <c r="I31" i="75"/>
  <c r="F32" i="75"/>
  <c r="I32" i="75"/>
  <c r="F33" i="75"/>
  <c r="J33" i="75"/>
  <c r="R101" i="1"/>
  <c r="F28" i="75"/>
  <c r="K8" i="101"/>
  <c r="I68" i="75"/>
  <c r="R19" i="1"/>
  <c r="F73" i="75"/>
  <c r="J73" i="75"/>
  <c r="H19" i="1"/>
  <c r="F56" i="75"/>
  <c r="I56" i="75"/>
  <c r="H16" i="69"/>
  <c r="K16" i="69"/>
  <c r="AH111" i="71"/>
  <c r="F57" i="75"/>
  <c r="J57" i="75"/>
  <c r="I55" i="75"/>
  <c r="H150" i="1"/>
  <c r="R150" i="1"/>
  <c r="R108" i="1"/>
  <c r="J46" i="75"/>
  <c r="I46" i="75"/>
  <c r="R144" i="1"/>
  <c r="F44" i="75"/>
  <c r="H15" i="69"/>
  <c r="K15" i="69"/>
  <c r="AJ7" i="71"/>
  <c r="H144" i="1"/>
  <c r="F45" i="75"/>
  <c r="H101" i="1"/>
  <c r="F70" i="75"/>
  <c r="J70" i="75"/>
  <c r="I65" i="75"/>
  <c r="J65" i="75"/>
  <c r="G238" i="149"/>
  <c r="G241" i="149"/>
  <c r="G243" i="149"/>
  <c r="G247" i="149"/>
  <c r="G240" i="149"/>
  <c r="G244" i="149"/>
  <c r="G245" i="149"/>
  <c r="G239" i="149"/>
  <c r="G242" i="149"/>
  <c r="G246" i="149"/>
  <c r="G256" i="149"/>
  <c r="G262" i="149"/>
  <c r="G265" i="149"/>
  <c r="G258" i="149"/>
  <c r="G263" i="149"/>
  <c r="G261" i="149"/>
  <c r="G264" i="149"/>
  <c r="F221" i="146"/>
  <c r="J221" i="146"/>
  <c r="G257" i="149"/>
  <c r="G259" i="149"/>
  <c r="G260" i="149"/>
  <c r="F224" i="149"/>
  <c r="F226" i="149"/>
  <c r="F225" i="149"/>
  <c r="E222" i="146"/>
  <c r="I222" i="146"/>
  <c r="E35" i="170"/>
  <c r="G35" i="170"/>
  <c r="D17" i="167"/>
  <c r="F17" i="167"/>
  <c r="E184" i="146"/>
  <c r="I184" i="146"/>
  <c r="E185" i="146"/>
  <c r="I185" i="146"/>
  <c r="M83" i="101"/>
  <c r="F36" i="170"/>
  <c r="H36" i="170"/>
  <c r="B16" i="169"/>
  <c r="B16" i="167"/>
  <c r="E7" i="175"/>
  <c r="J7" i="175"/>
  <c r="E36" i="170"/>
  <c r="AB27" i="71"/>
  <c r="AD27" i="71"/>
  <c r="AO27" i="71"/>
  <c r="I359" i="75"/>
  <c r="J359" i="75"/>
  <c r="AK37" i="71"/>
  <c r="N37" i="71"/>
  <c r="O37" i="71"/>
  <c r="AN37" i="71"/>
  <c r="AL37" i="71"/>
  <c r="AS37" i="71"/>
  <c r="AP37" i="71"/>
  <c r="AQ37" i="71"/>
  <c r="AG37" i="71"/>
  <c r="AR37" i="71"/>
  <c r="AR27" i="71"/>
  <c r="AS27" i="71"/>
  <c r="AQ27" i="71"/>
  <c r="AN27" i="71"/>
  <c r="AP27" i="71"/>
  <c r="N27" i="71"/>
  <c r="O27" i="71"/>
  <c r="AC27" i="71"/>
  <c r="AO7" i="71"/>
  <c r="AQ7" i="71"/>
  <c r="AP7" i="71"/>
  <c r="AR7" i="71"/>
  <c r="N7" i="71"/>
  <c r="O7" i="71"/>
  <c r="AS7" i="71"/>
  <c r="AK7" i="71"/>
  <c r="AL7" i="71"/>
  <c r="AN7" i="71"/>
  <c r="AG7" i="71"/>
  <c r="AD7" i="71"/>
  <c r="I360" i="75"/>
  <c r="J360" i="75"/>
  <c r="AK27" i="71"/>
  <c r="AG27" i="71"/>
  <c r="AC37" i="71"/>
  <c r="AR39" i="71"/>
  <c r="AS39" i="71"/>
  <c r="AL39" i="71"/>
  <c r="AG39" i="71"/>
  <c r="AK39" i="71"/>
  <c r="N39" i="71"/>
  <c r="AQ39" i="71"/>
  <c r="AP39" i="71"/>
  <c r="AN39" i="71"/>
  <c r="Z41" i="71"/>
  <c r="O456" i="187"/>
  <c r="Z42" i="71"/>
  <c r="C8" i="157"/>
  <c r="AI134" i="71"/>
  <c r="D20" i="28"/>
  <c r="AS100" i="71"/>
  <c r="AQ100" i="71"/>
  <c r="AR100" i="71"/>
  <c r="AL100" i="71"/>
  <c r="AD100" i="71"/>
  <c r="AC100" i="71"/>
  <c r="AN100" i="71"/>
  <c r="AM100" i="71"/>
  <c r="N100" i="71"/>
  <c r="O100" i="71"/>
  <c r="AB100" i="71"/>
  <c r="AO100" i="71"/>
  <c r="AK100" i="71"/>
  <c r="AP100" i="71"/>
  <c r="AG100" i="71"/>
  <c r="C36" i="26"/>
  <c r="B36" i="26"/>
  <c r="H9" i="28"/>
  <c r="K7" i="69"/>
  <c r="AF99" i="71"/>
  <c r="AA145" i="71"/>
  <c r="I145" i="71"/>
  <c r="AA75" i="71"/>
  <c r="I75" i="71"/>
  <c r="AA162" i="71"/>
  <c r="I162" i="71"/>
  <c r="F37" i="170"/>
  <c r="E37" i="170"/>
  <c r="G37" i="170"/>
  <c r="E45" i="175"/>
  <c r="J26" i="75"/>
  <c r="I26" i="75"/>
  <c r="B23" i="28"/>
  <c r="J71" i="75"/>
  <c r="P28" i="140"/>
  <c r="AI111" i="71"/>
  <c r="B20" i="28"/>
  <c r="I170" i="71"/>
  <c r="AA170" i="71"/>
  <c r="AA82" i="71"/>
  <c r="I82" i="71"/>
  <c r="C7" i="27"/>
  <c r="I152" i="71"/>
  <c r="AA152" i="71"/>
  <c r="AA171" i="71"/>
  <c r="I171" i="71"/>
  <c r="I159" i="71"/>
  <c r="AA159" i="71"/>
  <c r="I168" i="71"/>
  <c r="AA168" i="71"/>
  <c r="I121" i="71"/>
  <c r="AA121" i="71"/>
  <c r="I81" i="71"/>
  <c r="AA81" i="71"/>
  <c r="I157" i="71"/>
  <c r="AA157" i="71"/>
  <c r="AE120" i="71"/>
  <c r="J106" i="75"/>
  <c r="I106" i="75"/>
  <c r="I25" i="75"/>
  <c r="J25" i="75"/>
  <c r="P27" i="140"/>
  <c r="AA8" i="71"/>
  <c r="I8" i="71"/>
  <c r="I156" i="71"/>
  <c r="AA156" i="71"/>
  <c r="AA166" i="71"/>
  <c r="I166" i="71"/>
  <c r="I83" i="71"/>
  <c r="AA83" i="71"/>
  <c r="J69" i="75"/>
  <c r="I69" i="75"/>
  <c r="J102" i="75"/>
  <c r="I102" i="75"/>
  <c r="I158" i="71"/>
  <c r="AA158" i="71"/>
  <c r="AA165" i="71"/>
  <c r="I165" i="71"/>
  <c r="I155" i="71"/>
  <c r="AA155" i="71"/>
  <c r="J12" i="101"/>
  <c r="I12" i="101"/>
  <c r="K12" i="101"/>
  <c r="I50" i="75"/>
  <c r="J50" i="75"/>
  <c r="H12" i="167"/>
  <c r="F12" i="167"/>
  <c r="I10" i="167"/>
  <c r="I167" i="71"/>
  <c r="AA167" i="71"/>
  <c r="I56" i="71"/>
  <c r="AA56" i="71"/>
  <c r="AA148" i="71"/>
  <c r="I148" i="71"/>
  <c r="AA146" i="71"/>
  <c r="I146" i="71"/>
  <c r="I161" i="71"/>
  <c r="AA161" i="71"/>
  <c r="AA153" i="71"/>
  <c r="I153" i="71"/>
  <c r="I108" i="71"/>
  <c r="AA108" i="71"/>
  <c r="I80" i="71"/>
  <c r="AA80" i="71"/>
  <c r="AA149" i="71"/>
  <c r="I149" i="71"/>
  <c r="AA50" i="71"/>
  <c r="I50" i="71"/>
  <c r="I169" i="71"/>
  <c r="AA169" i="71"/>
  <c r="I62" i="75"/>
  <c r="J62" i="75"/>
  <c r="AA147" i="71"/>
  <c r="I147" i="71"/>
  <c r="AA160" i="71"/>
  <c r="I160" i="71"/>
  <c r="I164" i="71"/>
  <c r="AA164" i="71"/>
  <c r="B12" i="158"/>
  <c r="AA109" i="71"/>
  <c r="I109" i="71"/>
  <c r="I172" i="71"/>
  <c r="AA172" i="71"/>
  <c r="I150" i="71"/>
  <c r="AA150" i="71"/>
  <c r="I151" i="71"/>
  <c r="AA151" i="71"/>
  <c r="I163" i="71"/>
  <c r="AA163" i="71"/>
  <c r="AA154" i="71"/>
  <c r="I154" i="71"/>
  <c r="AA120" i="71"/>
  <c r="I120" i="71"/>
  <c r="I144" i="71"/>
  <c r="AA144" i="71"/>
  <c r="I21" i="75"/>
  <c r="J21" i="75"/>
  <c r="J30" i="75"/>
  <c r="I30" i="75"/>
  <c r="I11" i="101"/>
  <c r="K11" i="101"/>
  <c r="J47" i="75"/>
  <c r="J11" i="101"/>
  <c r="I47" i="75"/>
  <c r="AL99" i="71"/>
  <c r="AS99" i="71"/>
  <c r="N99" i="71"/>
  <c r="AN99" i="71"/>
  <c r="AC99" i="71"/>
  <c r="AP99" i="71"/>
  <c r="AD99" i="71"/>
  <c r="AG99" i="71"/>
  <c r="AQ99" i="71"/>
  <c r="AB99" i="71"/>
  <c r="AM99" i="71"/>
  <c r="AK99" i="71"/>
  <c r="AO99" i="71"/>
  <c r="AR99" i="71"/>
  <c r="AE98" i="71"/>
  <c r="AE52" i="71"/>
  <c r="J64" i="75"/>
  <c r="AE31" i="71"/>
  <c r="AI58" i="71"/>
  <c r="AE142" i="71"/>
  <c r="AI164" i="71"/>
  <c r="AE124" i="71"/>
  <c r="AE109" i="71"/>
  <c r="AI138" i="71"/>
  <c r="AE36" i="71"/>
  <c r="AE132" i="71"/>
  <c r="AI121" i="71"/>
  <c r="AE28" i="71"/>
  <c r="J56" i="75"/>
  <c r="AI104" i="71"/>
  <c r="AI78" i="71"/>
  <c r="AI53" i="71"/>
  <c r="AI160" i="71"/>
  <c r="AE44" i="71"/>
  <c r="AE114" i="71"/>
  <c r="AI68" i="71"/>
  <c r="AH71" i="71"/>
  <c r="AH134" i="71"/>
  <c r="I71" i="75"/>
  <c r="AE71" i="71"/>
  <c r="K14" i="101"/>
  <c r="I14" i="101"/>
  <c r="J74" i="75"/>
  <c r="AI98" i="71"/>
  <c r="AE88" i="71"/>
  <c r="AI10" i="71"/>
  <c r="J31" i="75"/>
  <c r="J63" i="75"/>
  <c r="AJ99" i="71"/>
  <c r="I57" i="75"/>
  <c r="J14" i="75"/>
  <c r="I76" i="75"/>
  <c r="J27" i="75"/>
  <c r="J48" i="75"/>
  <c r="I21" i="173"/>
  <c r="I21" i="174"/>
  <c r="I111" i="149"/>
  <c r="K93" i="146"/>
  <c r="AE94" i="71"/>
  <c r="AE161" i="71"/>
  <c r="AE87" i="71"/>
  <c r="AI40" i="71"/>
  <c r="AI93" i="71"/>
  <c r="AE108" i="71"/>
  <c r="AE8" i="71"/>
  <c r="AI46" i="71"/>
  <c r="AI156" i="71"/>
  <c r="AE60" i="71"/>
  <c r="AE171" i="71"/>
  <c r="AE172" i="71"/>
  <c r="AE155" i="71"/>
  <c r="AE157" i="71"/>
  <c r="AI97" i="71"/>
  <c r="AI117" i="71"/>
  <c r="AI87" i="71"/>
  <c r="AI145" i="71"/>
  <c r="AE76" i="71"/>
  <c r="AE21" i="71"/>
  <c r="AE159" i="71"/>
  <c r="AE80" i="71"/>
  <c r="AE107" i="71"/>
  <c r="AI11" i="71"/>
  <c r="AI32" i="71"/>
  <c r="AI154" i="71"/>
  <c r="AI84" i="71"/>
  <c r="AE99" i="71"/>
  <c r="AE96" i="71"/>
  <c r="AE26" i="71"/>
  <c r="AE116" i="71"/>
  <c r="AE67" i="71"/>
  <c r="AE162" i="71"/>
  <c r="AI25" i="71"/>
  <c r="AI135" i="71"/>
  <c r="AI56" i="71"/>
  <c r="AI88" i="71"/>
  <c r="AE64" i="71"/>
  <c r="AE83" i="71"/>
  <c r="AE55" i="71"/>
  <c r="AE133" i="71"/>
  <c r="AE102" i="71"/>
  <c r="AI39" i="71"/>
  <c r="AI55" i="71"/>
  <c r="AI130" i="71"/>
  <c r="AI165" i="71"/>
  <c r="AE41" i="71"/>
  <c r="J51" i="75"/>
  <c r="AE58" i="71"/>
  <c r="AE20" i="71"/>
  <c r="AE24" i="71"/>
  <c r="AE82" i="71"/>
  <c r="AE59" i="71"/>
  <c r="AE143" i="71"/>
  <c r="AE19" i="71"/>
  <c r="AE78" i="71"/>
  <c r="AE14" i="71"/>
  <c r="AE154" i="71"/>
  <c r="AI61" i="71"/>
  <c r="AI34" i="71"/>
  <c r="AI12" i="71"/>
  <c r="AI36" i="71"/>
  <c r="AI137" i="71"/>
  <c r="AI83" i="71"/>
  <c r="AI19" i="71"/>
  <c r="AI81" i="71"/>
  <c r="AI120" i="71"/>
  <c r="AI149" i="71"/>
  <c r="I11" i="75"/>
  <c r="AE110" i="71"/>
  <c r="AE7" i="71"/>
  <c r="AE48" i="71"/>
  <c r="AE63" i="71"/>
  <c r="AE65" i="71"/>
  <c r="AE34" i="71"/>
  <c r="AE29" i="71"/>
  <c r="AE79" i="71"/>
  <c r="AE95" i="71"/>
  <c r="AE156" i="71"/>
  <c r="AE22" i="71"/>
  <c r="AE160" i="71"/>
  <c r="AE134" i="71"/>
  <c r="AE126" i="71"/>
  <c r="AE113" i="71"/>
  <c r="AE131" i="71"/>
  <c r="AE165" i="71"/>
  <c r="AE122" i="71"/>
  <c r="AE18" i="71"/>
  <c r="AE12" i="71"/>
  <c r="AE90" i="71"/>
  <c r="I49" i="75"/>
  <c r="AI100" i="71"/>
  <c r="AI106" i="71"/>
  <c r="AI64" i="71"/>
  <c r="AI60" i="71"/>
  <c r="AI30" i="71"/>
  <c r="AI49" i="71"/>
  <c r="AI70" i="71"/>
  <c r="AI38" i="71"/>
  <c r="AI66" i="71"/>
  <c r="AI13" i="71"/>
  <c r="AI75" i="71"/>
  <c r="AI62" i="71"/>
  <c r="AI52" i="71"/>
  <c r="AI118" i="71"/>
  <c r="AI162" i="71"/>
  <c r="AI8" i="71"/>
  <c r="AI95" i="71"/>
  <c r="AI172" i="71"/>
  <c r="AI109" i="71"/>
  <c r="AI147" i="71"/>
  <c r="AI122" i="71"/>
  <c r="AI41" i="71"/>
  <c r="AE61" i="71"/>
  <c r="AE30" i="71"/>
  <c r="AE86" i="71"/>
  <c r="AE27" i="71"/>
  <c r="AE13" i="71"/>
  <c r="AE49" i="71"/>
  <c r="AE141" i="71"/>
  <c r="AE152" i="71"/>
  <c r="AE168" i="71"/>
  <c r="AI73" i="71"/>
  <c r="AI124" i="71"/>
  <c r="AI23" i="71"/>
  <c r="AI45" i="71"/>
  <c r="AI125" i="71"/>
  <c r="AI51" i="71"/>
  <c r="AI72" i="71"/>
  <c r="AI91" i="71"/>
  <c r="AI126" i="71"/>
  <c r="AI123" i="71"/>
  <c r="J32" i="75"/>
  <c r="AE111" i="71"/>
  <c r="AE47" i="71"/>
  <c r="AE105" i="71"/>
  <c r="AE104" i="71"/>
  <c r="AE39" i="71"/>
  <c r="AE32" i="71"/>
  <c r="AE137" i="71"/>
  <c r="AE149" i="71"/>
  <c r="AE62" i="71"/>
  <c r="AE145" i="71"/>
  <c r="AE91" i="71"/>
  <c r="AE129" i="71"/>
  <c r="AE23" i="71"/>
  <c r="AE163" i="71"/>
  <c r="AE150" i="71"/>
  <c r="AE93" i="71"/>
  <c r="AE130" i="71"/>
  <c r="AE158" i="71"/>
  <c r="AE151" i="71"/>
  <c r="AE146" i="71"/>
  <c r="AE127" i="71"/>
  <c r="AI96" i="71"/>
  <c r="AI65" i="71"/>
  <c r="AI63" i="71"/>
  <c r="AI24" i="71"/>
  <c r="AI131" i="71"/>
  <c r="AI74" i="71"/>
  <c r="AI9" i="71"/>
  <c r="AI132" i="71"/>
  <c r="AI44" i="71"/>
  <c r="AI107" i="71"/>
  <c r="AI128" i="71"/>
  <c r="AI77" i="71"/>
  <c r="AI152" i="71"/>
  <c r="AI71" i="71"/>
  <c r="AI146" i="71"/>
  <c r="AI69" i="71"/>
  <c r="AI168" i="71"/>
  <c r="AI86" i="71"/>
  <c r="AI148" i="71"/>
  <c r="AI141" i="71"/>
  <c r="AI85" i="71"/>
  <c r="AI15" i="71"/>
  <c r="AI159" i="71"/>
  <c r="J52" i="75"/>
  <c r="AE53" i="71"/>
  <c r="AE25" i="71"/>
  <c r="AE33" i="71"/>
  <c r="AE119" i="71"/>
  <c r="AE164" i="71"/>
  <c r="AE138" i="71"/>
  <c r="AE70" i="71"/>
  <c r="AE125" i="71"/>
  <c r="AE75" i="71"/>
  <c r="AE89" i="71"/>
  <c r="AE66" i="71"/>
  <c r="AI47" i="71"/>
  <c r="AI76" i="71"/>
  <c r="AI48" i="71"/>
  <c r="AI133" i="71"/>
  <c r="AI67" i="71"/>
  <c r="AI21" i="71"/>
  <c r="AI112" i="71"/>
  <c r="AI28" i="71"/>
  <c r="AI129" i="71"/>
  <c r="AI136" i="71"/>
  <c r="AI16" i="71"/>
  <c r="AI79" i="71"/>
  <c r="AI166" i="71"/>
  <c r="AI102" i="71"/>
  <c r="AI158" i="71"/>
  <c r="AI54" i="71"/>
  <c r="AI144" i="71"/>
  <c r="AI163" i="71"/>
  <c r="AI92" i="71"/>
  <c r="AI155" i="71"/>
  <c r="AI80" i="71"/>
  <c r="AE73" i="71"/>
  <c r="AE117" i="71"/>
  <c r="AE11" i="71"/>
  <c r="AE15" i="71"/>
  <c r="AE148" i="71"/>
  <c r="AE16" i="71"/>
  <c r="AE115" i="71"/>
  <c r="AE121" i="71"/>
  <c r="AE166" i="71"/>
  <c r="AI99" i="71"/>
  <c r="AI101" i="71"/>
  <c r="AE42" i="71"/>
  <c r="AE46" i="71"/>
  <c r="AE106" i="71"/>
  <c r="AE57" i="71"/>
  <c r="AE40" i="71"/>
  <c r="AE45" i="71"/>
  <c r="AE50" i="71"/>
  <c r="AE54" i="71"/>
  <c r="AE69" i="71"/>
  <c r="AE147" i="71"/>
  <c r="AE140" i="71"/>
  <c r="AE84" i="71"/>
  <c r="AE72" i="71"/>
  <c r="AE9" i="71"/>
  <c r="AE144" i="71"/>
  <c r="AE92" i="71"/>
  <c r="AE128" i="71"/>
  <c r="AE56" i="71"/>
  <c r="AE85" i="71"/>
  <c r="AE170" i="71"/>
  <c r="AE74" i="71"/>
  <c r="AE100" i="71"/>
  <c r="AI37" i="71"/>
  <c r="AI105" i="71"/>
  <c r="AI103" i="71"/>
  <c r="AI31" i="71"/>
  <c r="AI26" i="71"/>
  <c r="AI18" i="71"/>
  <c r="AI27" i="71"/>
  <c r="AI167" i="71"/>
  <c r="AI142" i="71"/>
  <c r="AI119" i="71"/>
  <c r="AI17" i="71"/>
  <c r="AI50" i="71"/>
  <c r="AI89" i="71"/>
  <c r="AI153" i="71"/>
  <c r="AI90" i="71"/>
  <c r="AI116" i="71"/>
  <c r="AI127" i="71"/>
  <c r="AI82" i="71"/>
  <c r="AI170" i="71"/>
  <c r="AE101" i="71"/>
  <c r="AI169" i="71"/>
  <c r="AI151" i="71"/>
  <c r="AE103" i="71"/>
  <c r="AE37" i="71"/>
  <c r="AE97" i="71"/>
  <c r="AE112" i="71"/>
  <c r="AE38" i="71"/>
  <c r="AE135" i="71"/>
  <c r="AE10" i="71"/>
  <c r="AE169" i="71"/>
  <c r="AE77" i="71"/>
  <c r="AE167" i="71"/>
  <c r="AE68" i="71"/>
  <c r="AE118" i="71"/>
  <c r="AE139" i="71"/>
  <c r="AE123" i="71"/>
  <c r="AE81" i="71"/>
  <c r="AE153" i="71"/>
  <c r="AE136" i="71"/>
  <c r="AE51" i="71"/>
  <c r="AE17" i="71"/>
  <c r="AI43" i="71"/>
  <c r="AI110" i="71"/>
  <c r="AI94" i="71"/>
  <c r="AI20" i="71"/>
  <c r="AI7" i="71"/>
  <c r="AI57" i="71"/>
  <c r="AI14" i="71"/>
  <c r="AI33" i="71"/>
  <c r="AI143" i="71"/>
  <c r="AI29" i="71"/>
  <c r="AI22" i="71"/>
  <c r="AI113" i="71"/>
  <c r="AI114" i="71"/>
  <c r="AI59" i="71"/>
  <c r="AI140" i="71"/>
  <c r="AI150" i="71"/>
  <c r="AI157" i="71"/>
  <c r="AI115" i="71"/>
  <c r="AI139" i="71"/>
  <c r="AI171" i="71"/>
  <c r="AI108" i="71"/>
  <c r="AI161" i="71"/>
  <c r="AE35" i="71"/>
  <c r="I10" i="75"/>
  <c r="L30" i="64"/>
  <c r="L36" i="64"/>
  <c r="C9" i="158"/>
  <c r="J13" i="75"/>
  <c r="J8" i="101"/>
  <c r="I29" i="75"/>
  <c r="I73" i="75"/>
  <c r="I20" i="173"/>
  <c r="I20" i="174"/>
  <c r="I110" i="149"/>
  <c r="I29" i="173"/>
  <c r="I29" i="174"/>
  <c r="I192" i="149"/>
  <c r="K165" i="146"/>
  <c r="J8" i="75"/>
  <c r="I15" i="173"/>
  <c r="I15" i="174"/>
  <c r="I66" i="149"/>
  <c r="K61" i="146"/>
  <c r="I12" i="75"/>
  <c r="I39" i="173"/>
  <c r="I39" i="174"/>
  <c r="J218" i="149"/>
  <c r="L186" i="146"/>
  <c r="AH47" i="71"/>
  <c r="AH37" i="71"/>
  <c r="AH66" i="71"/>
  <c r="J9" i="75"/>
  <c r="AH23" i="71"/>
  <c r="AH57" i="71"/>
  <c r="AH93" i="71"/>
  <c r="AH106" i="71"/>
  <c r="J54" i="75"/>
  <c r="AH16" i="71"/>
  <c r="AH149" i="71"/>
  <c r="I46" i="173"/>
  <c r="K47" i="175"/>
  <c r="I36" i="173"/>
  <c r="I36" i="174"/>
  <c r="K36" i="175"/>
  <c r="I18" i="173"/>
  <c r="I18" i="174"/>
  <c r="J100" i="149"/>
  <c r="L85" i="146"/>
  <c r="I17" i="173"/>
  <c r="I17" i="174"/>
  <c r="I75" i="149"/>
  <c r="K65" i="146"/>
  <c r="I13" i="173"/>
  <c r="I13" i="174"/>
  <c r="J61" i="149"/>
  <c r="L55" i="146"/>
  <c r="AH53" i="71"/>
  <c r="AH15" i="71"/>
  <c r="AH146" i="71"/>
  <c r="AH161" i="71"/>
  <c r="I408" i="75"/>
  <c r="J35" i="75"/>
  <c r="J34" i="75"/>
  <c r="I8" i="173"/>
  <c r="I8" i="174"/>
  <c r="I237" i="149"/>
  <c r="K202" i="146"/>
  <c r="I28" i="173"/>
  <c r="I28" i="174"/>
  <c r="J185" i="149"/>
  <c r="L159" i="146"/>
  <c r="I10" i="173"/>
  <c r="I10" i="174"/>
  <c r="I34" i="149"/>
  <c r="K33" i="146"/>
  <c r="I34" i="173"/>
  <c r="I34" i="174"/>
  <c r="I208" i="149"/>
  <c r="K178" i="146"/>
  <c r="I14" i="173"/>
  <c r="I14" i="174"/>
  <c r="I63" i="149"/>
  <c r="K57" i="146"/>
  <c r="AH46" i="71"/>
  <c r="AH143" i="71"/>
  <c r="AH85" i="71"/>
  <c r="AH40" i="71"/>
  <c r="J408" i="75"/>
  <c r="I16" i="173"/>
  <c r="I16" i="174"/>
  <c r="I227" i="149"/>
  <c r="K194" i="146"/>
  <c r="I25" i="173"/>
  <c r="I25" i="174"/>
  <c r="J137" i="149"/>
  <c r="L113" i="146"/>
  <c r="I30" i="173"/>
  <c r="I30" i="174"/>
  <c r="I203" i="149"/>
  <c r="K174" i="146"/>
  <c r="I26" i="173"/>
  <c r="I26" i="174"/>
  <c r="K26" i="175"/>
  <c r="I43" i="173"/>
  <c r="I43" i="174"/>
  <c r="K43" i="175"/>
  <c r="I54" i="75"/>
  <c r="I32" i="173"/>
  <c r="I32" i="174"/>
  <c r="J222" i="149"/>
  <c r="L190" i="146"/>
  <c r="I35" i="173"/>
  <c r="I35" i="174"/>
  <c r="I181" i="149"/>
  <c r="K156" i="146"/>
  <c r="AH99" i="71"/>
  <c r="AH65" i="71"/>
  <c r="AH98" i="71"/>
  <c r="I12" i="173"/>
  <c r="I12" i="174"/>
  <c r="J170" i="149"/>
  <c r="L146" i="146"/>
  <c r="I42" i="173"/>
  <c r="I42" i="174"/>
  <c r="J154" i="149"/>
  <c r="L132" i="146"/>
  <c r="I11" i="173"/>
  <c r="I11" i="174"/>
  <c r="J49" i="149"/>
  <c r="L45" i="146"/>
  <c r="I9" i="173"/>
  <c r="I9" i="174"/>
  <c r="K9" i="175"/>
  <c r="J13" i="101"/>
  <c r="AH129" i="71"/>
  <c r="AH58" i="71"/>
  <c r="AH21" i="71"/>
  <c r="AH30" i="71"/>
  <c r="I19" i="173"/>
  <c r="I19" i="174"/>
  <c r="J104" i="149"/>
  <c r="L89" i="146"/>
  <c r="I45" i="173"/>
  <c r="K46" i="175"/>
  <c r="I27" i="173"/>
  <c r="I27" i="174"/>
  <c r="I144" i="149"/>
  <c r="K123" i="146"/>
  <c r="I24" i="173"/>
  <c r="I24" i="174"/>
  <c r="J118" i="149"/>
  <c r="L99" i="146"/>
  <c r="K13" i="101"/>
  <c r="I23" i="173"/>
  <c r="I23" i="174"/>
  <c r="I199" i="149"/>
  <c r="K171" i="146"/>
  <c r="I22" i="173"/>
  <c r="I22" i="174"/>
  <c r="I143" i="149"/>
  <c r="K121" i="146"/>
  <c r="I37" i="173"/>
  <c r="I37" i="174"/>
  <c r="J165" i="149"/>
  <c r="L143" i="146"/>
  <c r="AH60" i="71"/>
  <c r="AH18" i="71"/>
  <c r="AH113" i="71"/>
  <c r="I31" i="173"/>
  <c r="I31" i="174"/>
  <c r="J212" i="149"/>
  <c r="L181" i="146"/>
  <c r="I44" i="173"/>
  <c r="I44" i="174"/>
  <c r="J140" i="149"/>
  <c r="L118" i="146"/>
  <c r="I38" i="173"/>
  <c r="I38" i="174"/>
  <c r="I267" i="149"/>
  <c r="K224" i="146"/>
  <c r="AH104" i="71"/>
  <c r="AH73" i="71"/>
  <c r="AH103" i="71"/>
  <c r="AH141" i="71"/>
  <c r="AH125" i="71"/>
  <c r="AH119" i="71"/>
  <c r="AH72" i="71"/>
  <c r="AH155" i="71"/>
  <c r="AH117" i="71"/>
  <c r="AH80" i="71"/>
  <c r="AH44" i="71"/>
  <c r="AH59" i="71"/>
  <c r="AH168" i="71"/>
  <c r="AH169" i="71"/>
  <c r="AH128" i="71"/>
  <c r="AH34" i="71"/>
  <c r="AH164" i="71"/>
  <c r="AH67" i="71"/>
  <c r="AH55" i="71"/>
  <c r="AH43" i="71"/>
  <c r="AH110" i="71"/>
  <c r="AH7" i="71"/>
  <c r="AH48" i="71"/>
  <c r="AH94" i="71"/>
  <c r="AH139" i="71"/>
  <c r="AH17" i="71"/>
  <c r="AH171" i="71"/>
  <c r="AH28" i="71"/>
  <c r="AH33" i="71"/>
  <c r="AH158" i="71"/>
  <c r="AH166" i="71"/>
  <c r="AH11" i="71"/>
  <c r="AH24" i="71"/>
  <c r="AH27" i="71"/>
  <c r="AH77" i="71"/>
  <c r="AH118" i="71"/>
  <c r="AH88" i="71"/>
  <c r="AH154" i="71"/>
  <c r="AH131" i="71"/>
  <c r="AH79" i="71"/>
  <c r="AH64" i="71"/>
  <c r="AH39" i="71"/>
  <c r="AH25" i="71"/>
  <c r="AH52" i="71"/>
  <c r="AH123" i="71"/>
  <c r="AH133" i="71"/>
  <c r="AH135" i="71"/>
  <c r="AH127" i="71"/>
  <c r="AH14" i="71"/>
  <c r="AH142" i="71"/>
  <c r="AH45" i="71"/>
  <c r="AH170" i="71"/>
  <c r="AH56" i="71"/>
  <c r="AH84" i="71"/>
  <c r="AH167" i="71"/>
  <c r="AH26" i="71"/>
  <c r="AH70" i="71"/>
  <c r="AH147" i="71"/>
  <c r="AH81" i="71"/>
  <c r="AH101" i="71"/>
  <c r="AH61" i="71"/>
  <c r="AH124" i="71"/>
  <c r="AH63" i="71"/>
  <c r="AH76" i="71"/>
  <c r="AH49" i="71"/>
  <c r="AH165" i="71"/>
  <c r="AH68" i="71"/>
  <c r="AH22" i="71"/>
  <c r="AH74" i="71"/>
  <c r="AH78" i="71"/>
  <c r="AH132" i="71"/>
  <c r="AH144" i="71"/>
  <c r="AH89" i="71"/>
  <c r="AH122" i="71"/>
  <c r="AH145" i="71"/>
  <c r="AH159" i="71"/>
  <c r="AH82" i="71"/>
  <c r="AH162" i="71"/>
  <c r="AH8" i="71"/>
  <c r="AH116" i="71"/>
  <c r="AH42" i="71"/>
  <c r="AH97" i="71"/>
  <c r="AH96" i="71"/>
  <c r="AH105" i="71"/>
  <c r="AH20" i="71"/>
  <c r="AH19" i="71"/>
  <c r="AH29" i="71"/>
  <c r="AH112" i="71"/>
  <c r="AH156" i="71"/>
  <c r="AH152" i="71"/>
  <c r="AH95" i="71"/>
  <c r="AH160" i="71"/>
  <c r="AH121" i="71"/>
  <c r="AH115" i="71"/>
  <c r="AH108" i="71"/>
  <c r="AH137" i="71"/>
  <c r="AH109" i="71"/>
  <c r="AH50" i="71"/>
  <c r="AH83" i="71"/>
  <c r="AH75" i="71"/>
  <c r="AH126" i="71"/>
  <c r="I33" i="75"/>
  <c r="AH91" i="71"/>
  <c r="AH31" i="71"/>
  <c r="AH163" i="71"/>
  <c r="AH36" i="71"/>
  <c r="AH90" i="71"/>
  <c r="AH86" i="71"/>
  <c r="AH140" i="71"/>
  <c r="AH102" i="71"/>
  <c r="AH13" i="71"/>
  <c r="AH130" i="71"/>
  <c r="AH151" i="71"/>
  <c r="AH172" i="71"/>
  <c r="AH153" i="71"/>
  <c r="AH38" i="71"/>
  <c r="AH32" i="71"/>
  <c r="AH100" i="71"/>
  <c r="AH35" i="71"/>
  <c r="AH138" i="71"/>
  <c r="AH12" i="71"/>
  <c r="AH92" i="71"/>
  <c r="AH136" i="71"/>
  <c r="AH150" i="71"/>
  <c r="AH87" i="71"/>
  <c r="AH148" i="71"/>
  <c r="AH51" i="71"/>
  <c r="AH69" i="71"/>
  <c r="AH9" i="71"/>
  <c r="AH10" i="71"/>
  <c r="AH157" i="71"/>
  <c r="AH107" i="71"/>
  <c r="AH120" i="71"/>
  <c r="AH62" i="71"/>
  <c r="AH54" i="71"/>
  <c r="AH114" i="71"/>
  <c r="I8" i="101"/>
  <c r="AJ39" i="71"/>
  <c r="AJ37" i="71"/>
  <c r="J28" i="75"/>
  <c r="AJ27" i="71"/>
  <c r="R185" i="1"/>
  <c r="D7" i="31"/>
  <c r="C3" i="32"/>
  <c r="F3" i="32"/>
  <c r="J7" i="28"/>
  <c r="I28" i="75"/>
  <c r="AJ100" i="71"/>
  <c r="B7" i="31"/>
  <c r="I70" i="75"/>
  <c r="G36" i="170"/>
  <c r="D16" i="167"/>
  <c r="F16" i="167"/>
  <c r="A21" i="167"/>
  <c r="A24" i="167"/>
  <c r="C24" i="167"/>
  <c r="J45" i="75"/>
  <c r="I45" i="75"/>
  <c r="AJ47" i="71"/>
  <c r="AJ97" i="71"/>
  <c r="AJ63" i="71"/>
  <c r="AJ151" i="71"/>
  <c r="AJ50" i="71"/>
  <c r="AJ93" i="71"/>
  <c r="AJ172" i="71"/>
  <c r="AJ95" i="71"/>
  <c r="AJ85" i="71"/>
  <c r="AJ169" i="71"/>
  <c r="AJ40" i="71"/>
  <c r="AJ170" i="71"/>
  <c r="AJ34" i="71"/>
  <c r="AJ145" i="71"/>
  <c r="AJ88" i="71"/>
  <c r="AJ152" i="71"/>
  <c r="AJ138" i="71"/>
  <c r="AJ161" i="71"/>
  <c r="AJ130" i="71"/>
  <c r="AJ101" i="71"/>
  <c r="AJ76" i="71"/>
  <c r="AJ58" i="71"/>
  <c r="AJ139" i="71"/>
  <c r="AJ148" i="71"/>
  <c r="AJ79" i="71"/>
  <c r="AJ112" i="71"/>
  <c r="AJ149" i="71"/>
  <c r="AJ71" i="71"/>
  <c r="AJ146" i="71"/>
  <c r="AJ15" i="71"/>
  <c r="AJ31" i="71"/>
  <c r="AJ131" i="71"/>
  <c r="AJ147" i="71"/>
  <c r="AJ102" i="71"/>
  <c r="AJ23" i="71"/>
  <c r="AJ114" i="71"/>
  <c r="AJ55" i="71"/>
  <c r="AJ26" i="71"/>
  <c r="AJ46" i="71"/>
  <c r="AJ60" i="71"/>
  <c r="AJ65" i="71"/>
  <c r="AJ107" i="71"/>
  <c r="AJ163" i="71"/>
  <c r="AJ14" i="71"/>
  <c r="AJ86" i="71"/>
  <c r="AJ142" i="71"/>
  <c r="AJ143" i="71"/>
  <c r="AJ125" i="71"/>
  <c r="AJ66" i="71"/>
  <c r="AJ12" i="71"/>
  <c r="AJ84" i="71"/>
  <c r="AJ165" i="71"/>
  <c r="AJ28" i="71"/>
  <c r="AJ134" i="71"/>
  <c r="AJ155" i="71"/>
  <c r="AJ120" i="71"/>
  <c r="AJ22" i="71"/>
  <c r="AJ43" i="71"/>
  <c r="AJ35" i="71"/>
  <c r="AJ106" i="71"/>
  <c r="AJ96" i="71"/>
  <c r="AJ92" i="71"/>
  <c r="AJ140" i="71"/>
  <c r="AJ87" i="71"/>
  <c r="AJ108" i="71"/>
  <c r="AJ98" i="71"/>
  <c r="AJ68" i="71"/>
  <c r="AJ33" i="71"/>
  <c r="AJ117" i="71"/>
  <c r="AJ13" i="71"/>
  <c r="AJ113" i="71"/>
  <c r="AJ115" i="71"/>
  <c r="AJ164" i="71"/>
  <c r="AJ137" i="71"/>
  <c r="AJ80" i="71"/>
  <c r="AJ122" i="71"/>
  <c r="AJ77" i="71"/>
  <c r="AJ104" i="71"/>
  <c r="AJ48" i="71"/>
  <c r="AJ53" i="71"/>
  <c r="AJ110" i="71"/>
  <c r="AJ111" i="71"/>
  <c r="AJ75" i="71"/>
  <c r="AJ16" i="71"/>
  <c r="AJ81" i="71"/>
  <c r="AJ136" i="71"/>
  <c r="AJ127" i="71"/>
  <c r="AJ171" i="71"/>
  <c r="AJ154" i="71"/>
  <c r="AJ8" i="71"/>
  <c r="AJ158" i="71"/>
  <c r="AJ59" i="71"/>
  <c r="AJ69" i="71"/>
  <c r="AJ162" i="71"/>
  <c r="AJ56" i="71"/>
  <c r="AJ156" i="71"/>
  <c r="AJ150" i="71"/>
  <c r="AJ72" i="71"/>
  <c r="AJ103" i="71"/>
  <c r="AJ25" i="71"/>
  <c r="AJ20" i="71"/>
  <c r="AJ105" i="71"/>
  <c r="AJ133" i="71"/>
  <c r="AJ167" i="71"/>
  <c r="AJ91" i="71"/>
  <c r="AJ166" i="71"/>
  <c r="AJ153" i="71"/>
  <c r="AJ132" i="71"/>
  <c r="AJ45" i="71"/>
  <c r="AJ82" i="71"/>
  <c r="AJ78" i="71"/>
  <c r="AJ157" i="71"/>
  <c r="AJ38" i="71"/>
  <c r="AJ17" i="71"/>
  <c r="AJ89" i="71"/>
  <c r="AJ160" i="71"/>
  <c r="AJ54" i="71"/>
  <c r="AJ62" i="71"/>
  <c r="AJ94" i="71"/>
  <c r="AJ124" i="71"/>
  <c r="AJ52" i="71"/>
  <c r="AJ67" i="71"/>
  <c r="AJ19" i="71"/>
  <c r="AJ121" i="71"/>
  <c r="AJ109" i="71"/>
  <c r="AJ144" i="71"/>
  <c r="AJ119" i="71"/>
  <c r="AJ118" i="71"/>
  <c r="AJ49" i="71"/>
  <c r="AJ36" i="71"/>
  <c r="AJ159" i="71"/>
  <c r="AJ123" i="71"/>
  <c r="AJ129" i="71"/>
  <c r="AJ70" i="71"/>
  <c r="AJ116" i="71"/>
  <c r="AJ18" i="71"/>
  <c r="AJ32" i="71"/>
  <c r="AJ57" i="71"/>
  <c r="AJ64" i="71"/>
  <c r="AJ61" i="71"/>
  <c r="AJ73" i="71"/>
  <c r="AJ9" i="71"/>
  <c r="AJ128" i="71"/>
  <c r="AJ135" i="71"/>
  <c r="AJ74" i="71"/>
  <c r="AJ10" i="71"/>
  <c r="AJ90" i="71"/>
  <c r="AJ30" i="71"/>
  <c r="AJ168" i="71"/>
  <c r="AJ141" i="71"/>
  <c r="AJ11" i="71"/>
  <c r="AJ51" i="71"/>
  <c r="AJ44" i="71"/>
  <c r="AJ83" i="71"/>
  <c r="AJ126" i="71"/>
  <c r="AJ29" i="71"/>
  <c r="AJ24" i="71"/>
  <c r="AJ21" i="71"/>
  <c r="I44" i="75"/>
  <c r="I10" i="101"/>
  <c r="J10" i="101"/>
  <c r="K10" i="101"/>
  <c r="K103" i="101"/>
  <c r="D4" i="30"/>
  <c r="J44" i="75"/>
  <c r="J233" i="149"/>
  <c r="L197" i="146"/>
  <c r="I232" i="149"/>
  <c r="K196" i="146"/>
  <c r="J232" i="149"/>
  <c r="L196" i="146"/>
  <c r="I273" i="149"/>
  <c r="K229" i="146"/>
  <c r="I233" i="149"/>
  <c r="K197" i="146"/>
  <c r="J274" i="149"/>
  <c r="L230" i="146"/>
  <c r="J273" i="149"/>
  <c r="L229" i="146"/>
  <c r="I274" i="149"/>
  <c r="K230" i="146"/>
  <c r="G224" i="149"/>
  <c r="G225" i="149"/>
  <c r="G226" i="149"/>
  <c r="F222" i="146"/>
  <c r="J222" i="146"/>
  <c r="F184" i="146"/>
  <c r="J184" i="146"/>
  <c r="F185" i="146"/>
  <c r="J185" i="146"/>
  <c r="I12" i="167"/>
  <c r="A21" i="169"/>
  <c r="A24" i="169"/>
  <c r="C24" i="169"/>
  <c r="AP42" i="71"/>
  <c r="AC42" i="71"/>
  <c r="AJ42" i="71"/>
  <c r="AD42" i="71"/>
  <c r="AO42" i="71"/>
  <c r="N42" i="71"/>
  <c r="O42" i="71"/>
  <c r="AR42" i="71"/>
  <c r="AL42" i="71"/>
  <c r="AM42" i="71"/>
  <c r="AG42" i="71"/>
  <c r="AQ42" i="71"/>
  <c r="AK42" i="71"/>
  <c r="AB42" i="71"/>
  <c r="AN42" i="71"/>
  <c r="AS42" i="71"/>
  <c r="O39" i="71"/>
  <c r="M86" i="101"/>
  <c r="AI42" i="71"/>
  <c r="AD41" i="71"/>
  <c r="AG41" i="71"/>
  <c r="AL41" i="71"/>
  <c r="AP41" i="71"/>
  <c r="AH41" i="71"/>
  <c r="AC41" i="71"/>
  <c r="N41" i="71"/>
  <c r="AS41" i="71"/>
  <c r="AM41" i="71"/>
  <c r="AB41" i="71"/>
  <c r="AJ41" i="71"/>
  <c r="AR41" i="71"/>
  <c r="AK41" i="71"/>
  <c r="AN41" i="71"/>
  <c r="AQ41" i="71"/>
  <c r="AO41" i="71"/>
  <c r="B37" i="26"/>
  <c r="B38" i="26"/>
  <c r="K33" i="175"/>
  <c r="AF155" i="71"/>
  <c r="AF50" i="71"/>
  <c r="AF139" i="71"/>
  <c r="AF28" i="71"/>
  <c r="AF161" i="71"/>
  <c r="AF108" i="71"/>
  <c r="AF128" i="71"/>
  <c r="AF122" i="71"/>
  <c r="AF133" i="71"/>
  <c r="AF167" i="71"/>
  <c r="AF141" i="71"/>
  <c r="AF10" i="71"/>
  <c r="AF147" i="71"/>
  <c r="AF32" i="71"/>
  <c r="AF13" i="71"/>
  <c r="AF143" i="71"/>
  <c r="AF30" i="71"/>
  <c r="AF51" i="71"/>
  <c r="AF34" i="71"/>
  <c r="AF22" i="71"/>
  <c r="AF144" i="71"/>
  <c r="AF84" i="71"/>
  <c r="AF27" i="71"/>
  <c r="AF21" i="71"/>
  <c r="AF112" i="71"/>
  <c r="AF163" i="71"/>
  <c r="AF44" i="71"/>
  <c r="AF68" i="71"/>
  <c r="AF17" i="71"/>
  <c r="AF56" i="71"/>
  <c r="AF15" i="71"/>
  <c r="AF156" i="71"/>
  <c r="AF135" i="71"/>
  <c r="AF38" i="71"/>
  <c r="AF80" i="71"/>
  <c r="AF16" i="71"/>
  <c r="AF88" i="71"/>
  <c r="AF24" i="71"/>
  <c r="AF170" i="71"/>
  <c r="AF168" i="71"/>
  <c r="AF40" i="71"/>
  <c r="AF9" i="71"/>
  <c r="AF162" i="71"/>
  <c r="AF91" i="71"/>
  <c r="AF169" i="71"/>
  <c r="AF90" i="71"/>
  <c r="AF166" i="71"/>
  <c r="AF86" i="71"/>
  <c r="AF157" i="71"/>
  <c r="AF140" i="71"/>
  <c r="AF45" i="71"/>
  <c r="AF153" i="71"/>
  <c r="AF12" i="71"/>
  <c r="AF31" i="71"/>
  <c r="AF29" i="71"/>
  <c r="AF18" i="71"/>
  <c r="AF109" i="71"/>
  <c r="AF151" i="71"/>
  <c r="AF127" i="71"/>
  <c r="AF125" i="71"/>
  <c r="AF116" i="71"/>
  <c r="AF164" i="71"/>
  <c r="AF78" i="71"/>
  <c r="AF138" i="71"/>
  <c r="AF36" i="71"/>
  <c r="AF172" i="71"/>
  <c r="AF55" i="71"/>
  <c r="AF23" i="71"/>
  <c r="AF132" i="71"/>
  <c r="AF152" i="71"/>
  <c r="AF171" i="71"/>
  <c r="AF114" i="71"/>
  <c r="AF145" i="71"/>
  <c r="AF121" i="71"/>
  <c r="AF95" i="71"/>
  <c r="AF159" i="71"/>
  <c r="AF98" i="71"/>
  <c r="AF71" i="71"/>
  <c r="AF165" i="71"/>
  <c r="AF8" i="71"/>
  <c r="AF82" i="71"/>
  <c r="AF136" i="71"/>
  <c r="AF93" i="71"/>
  <c r="AF126" i="71"/>
  <c r="AF117" i="71"/>
  <c r="AF113" i="71"/>
  <c r="AF158" i="71"/>
  <c r="AF137" i="71"/>
  <c r="AF149" i="71"/>
  <c r="AF120" i="71"/>
  <c r="AF89" i="71"/>
  <c r="AF123" i="71"/>
  <c r="AF129" i="71"/>
  <c r="AF160" i="71"/>
  <c r="AF19" i="71"/>
  <c r="AF148" i="71"/>
  <c r="AF130" i="71"/>
  <c r="AF66" i="71"/>
  <c r="AF134" i="71"/>
  <c r="AF49" i="71"/>
  <c r="AF119" i="71"/>
  <c r="AF142" i="71"/>
  <c r="AF92" i="71"/>
  <c r="AF102" i="71"/>
  <c r="AF85" i="71"/>
  <c r="AF52" i="71"/>
  <c r="AF11" i="71"/>
  <c r="AF67" i="71"/>
  <c r="AF33" i="71"/>
  <c r="AF77" i="71"/>
  <c r="AF154" i="71"/>
  <c r="AF75" i="71"/>
  <c r="AF131" i="71"/>
  <c r="AF74" i="71"/>
  <c r="AF69" i="71"/>
  <c r="AF107" i="71"/>
  <c r="AF115" i="71"/>
  <c r="AF150" i="71"/>
  <c r="AF146" i="71"/>
  <c r="AF26" i="71"/>
  <c r="AF83" i="71"/>
  <c r="AF79" i="71"/>
  <c r="AF54" i="71"/>
  <c r="AF87" i="71"/>
  <c r="AF62" i="71"/>
  <c r="AF72" i="71"/>
  <c r="AF81" i="71"/>
  <c r="AF59" i="71"/>
  <c r="AF118" i="71"/>
  <c r="AF14" i="71"/>
  <c r="AF70" i="71"/>
  <c r="AF46" i="71"/>
  <c r="AF97" i="71"/>
  <c r="AF25" i="71"/>
  <c r="AF60" i="71"/>
  <c r="AF124" i="71"/>
  <c r="AF65" i="71"/>
  <c r="AF105" i="71"/>
  <c r="AF61" i="71"/>
  <c r="AF103" i="71"/>
  <c r="AF104" i="71"/>
  <c r="AF53" i="71"/>
  <c r="AF73" i="71"/>
  <c r="AF57" i="71"/>
  <c r="AF7" i="71"/>
  <c r="AF39" i="71"/>
  <c r="AF48" i="71"/>
  <c r="AF20" i="71"/>
  <c r="AF63" i="71"/>
  <c r="AF76" i="71"/>
  <c r="AF58" i="71"/>
  <c r="AF37" i="71"/>
  <c r="AF96" i="71"/>
  <c r="AF47" i="71"/>
  <c r="AF94" i="71"/>
  <c r="AF64" i="71"/>
  <c r="AF106" i="71"/>
  <c r="AF111" i="71"/>
  <c r="AF35" i="71"/>
  <c r="AF41" i="71"/>
  <c r="AF43" i="71"/>
  <c r="AF101" i="71"/>
  <c r="AF110" i="71"/>
  <c r="AF42" i="71"/>
  <c r="O99" i="71"/>
  <c r="M90" i="101"/>
  <c r="D45" i="174"/>
  <c r="E45" i="174"/>
  <c r="H45" i="174"/>
  <c r="G45" i="175"/>
  <c r="H37" i="170"/>
  <c r="A40" i="27"/>
  <c r="D12" i="28"/>
  <c r="H20" i="28"/>
  <c r="D12" i="158"/>
  <c r="AF100" i="71"/>
  <c r="J62" i="149"/>
  <c r="L56" i="146"/>
  <c r="I178" i="149"/>
  <c r="K117" i="146"/>
  <c r="I190" i="149"/>
  <c r="K163" i="146"/>
  <c r="K29" i="175"/>
  <c r="J110" i="149"/>
  <c r="J112" i="149"/>
  <c r="L94" i="146"/>
  <c r="I117" i="149"/>
  <c r="K98" i="146"/>
  <c r="I114" i="149"/>
  <c r="K95" i="146"/>
  <c r="J67" i="149"/>
  <c r="L60" i="146"/>
  <c r="K21" i="175"/>
  <c r="I37" i="149"/>
  <c r="K36" i="146"/>
  <c r="J115" i="149"/>
  <c r="L96" i="146"/>
  <c r="J134" i="149"/>
  <c r="L112" i="146"/>
  <c r="K42" i="175"/>
  <c r="J117" i="149"/>
  <c r="L98" i="146"/>
  <c r="I113" i="149"/>
  <c r="J116" i="149"/>
  <c r="L97" i="146"/>
  <c r="I30" i="149"/>
  <c r="K29" i="146"/>
  <c r="I116" i="149"/>
  <c r="K97" i="146"/>
  <c r="J113" i="149"/>
  <c r="J111" i="149"/>
  <c r="L93" i="146"/>
  <c r="I115" i="149"/>
  <c r="K96" i="146"/>
  <c r="K10" i="175"/>
  <c r="I112" i="149"/>
  <c r="K94" i="146"/>
  <c r="J114" i="149"/>
  <c r="L95" i="146"/>
  <c r="I107" i="149"/>
  <c r="K90" i="146"/>
  <c r="J275" i="149"/>
  <c r="L231" i="146"/>
  <c r="J189" i="149"/>
  <c r="L162" i="146"/>
  <c r="I191" i="149"/>
  <c r="K164" i="146"/>
  <c r="I177" i="149"/>
  <c r="K152" i="146"/>
  <c r="K22" i="175"/>
  <c r="J235" i="149"/>
  <c r="L199" i="146"/>
  <c r="J201" i="149"/>
  <c r="I125" i="149"/>
  <c r="K105" i="146"/>
  <c r="I21" i="149"/>
  <c r="J193" i="149"/>
  <c r="L166" i="146"/>
  <c r="J271" i="149"/>
  <c r="L227" i="146"/>
  <c r="J126" i="149"/>
  <c r="L106" i="146"/>
  <c r="K14" i="175"/>
  <c r="J20" i="149"/>
  <c r="L20" i="146"/>
  <c r="I22" i="149"/>
  <c r="K21" i="146"/>
  <c r="I193" i="149"/>
  <c r="K166" i="146"/>
  <c r="J175" i="149"/>
  <c r="L153" i="146"/>
  <c r="I189" i="149"/>
  <c r="K162" i="146"/>
  <c r="I175" i="149"/>
  <c r="K153" i="146"/>
  <c r="J125" i="149"/>
  <c r="L105" i="146"/>
  <c r="I62" i="149"/>
  <c r="K56" i="146"/>
  <c r="I20" i="149"/>
  <c r="K20" i="146"/>
  <c r="J22" i="149"/>
  <c r="L21" i="146"/>
  <c r="J192" i="149"/>
  <c r="L165" i="146"/>
  <c r="I234" i="149"/>
  <c r="K198" i="146"/>
  <c r="J178" i="149"/>
  <c r="L117" i="146"/>
  <c r="J234" i="149"/>
  <c r="L198" i="146"/>
  <c r="I142" i="149"/>
  <c r="K120" i="146"/>
  <c r="J202" i="149"/>
  <c r="L173" i="146"/>
  <c r="J204" i="149"/>
  <c r="L175" i="146"/>
  <c r="I201" i="149"/>
  <c r="I124" i="149"/>
  <c r="K104" i="146"/>
  <c r="J64" i="149"/>
  <c r="L58" i="146"/>
  <c r="J143" i="149"/>
  <c r="L121" i="146"/>
  <c r="J176" i="149"/>
  <c r="L151" i="146"/>
  <c r="J191" i="149"/>
  <c r="L164" i="146"/>
  <c r="I204" i="149"/>
  <c r="K175" i="146"/>
  <c r="I103" i="101"/>
  <c r="B4" i="30"/>
  <c r="I56" i="149"/>
  <c r="K50" i="146"/>
  <c r="J124" i="149"/>
  <c r="L104" i="146"/>
  <c r="I53" i="149"/>
  <c r="K49" i="146"/>
  <c r="I126" i="149"/>
  <c r="K106" i="146"/>
  <c r="K30" i="175"/>
  <c r="J63" i="149"/>
  <c r="L57" i="146"/>
  <c r="J99" i="149"/>
  <c r="L84" i="146"/>
  <c r="J142" i="149"/>
  <c r="L120" i="146"/>
  <c r="I176" i="149"/>
  <c r="K151" i="146"/>
  <c r="I202" i="149"/>
  <c r="K173" i="146"/>
  <c r="J177" i="149"/>
  <c r="L152" i="146"/>
  <c r="I64" i="149"/>
  <c r="K58" i="146"/>
  <c r="J21" i="149"/>
  <c r="J203" i="149"/>
  <c r="L174" i="146"/>
  <c r="J190" i="149"/>
  <c r="L163" i="146"/>
  <c r="I103" i="149"/>
  <c r="K88" i="146"/>
  <c r="I106" i="149"/>
  <c r="J102" i="149"/>
  <c r="L87" i="146"/>
  <c r="J65" i="149"/>
  <c r="L59" i="146"/>
  <c r="I102" i="149"/>
  <c r="K87" i="146"/>
  <c r="I65" i="149"/>
  <c r="K59" i="146"/>
  <c r="J156" i="149"/>
  <c r="L134" i="146"/>
  <c r="J106" i="149"/>
  <c r="K18" i="175"/>
  <c r="J103" i="149"/>
  <c r="L88" i="146"/>
  <c r="J155" i="149"/>
  <c r="L133" i="146"/>
  <c r="K15" i="175"/>
  <c r="K19" i="175"/>
  <c r="J101" i="149"/>
  <c r="L86" i="146"/>
  <c r="H70" i="71"/>
  <c r="AA70" i="71"/>
  <c r="H134" i="71"/>
  <c r="AA134" i="71"/>
  <c r="I104" i="149"/>
  <c r="K89" i="146"/>
  <c r="J196" i="149"/>
  <c r="L129" i="146"/>
  <c r="I154" i="149"/>
  <c r="K132" i="146"/>
  <c r="J105" i="149"/>
  <c r="I105" i="149"/>
  <c r="I196" i="149"/>
  <c r="K129" i="146"/>
  <c r="I156" i="149"/>
  <c r="K134" i="146"/>
  <c r="I67" i="149"/>
  <c r="K60" i="146"/>
  <c r="I100" i="149"/>
  <c r="K85" i="146"/>
  <c r="J66" i="149"/>
  <c r="L61" i="146"/>
  <c r="I101" i="149"/>
  <c r="K86" i="146"/>
  <c r="I59" i="149"/>
  <c r="K53" i="146"/>
  <c r="K28" i="175"/>
  <c r="J211" i="149"/>
  <c r="L180" i="146"/>
  <c r="J127" i="149"/>
  <c r="J229" i="149"/>
  <c r="L195" i="146"/>
  <c r="I45" i="149"/>
  <c r="I118" i="149"/>
  <c r="K99" i="146"/>
  <c r="I188" i="149"/>
  <c r="K161" i="146"/>
  <c r="J174" i="149"/>
  <c r="L150" i="146"/>
  <c r="H104" i="71"/>
  <c r="I104" i="71"/>
  <c r="H62" i="71"/>
  <c r="AA62" i="71"/>
  <c r="I95" i="149"/>
  <c r="K201" i="146"/>
  <c r="J103" i="101"/>
  <c r="C4" i="30"/>
  <c r="C3" i="30"/>
  <c r="J76" i="149"/>
  <c r="L66" i="146"/>
  <c r="I76" i="149"/>
  <c r="K66" i="146"/>
  <c r="K11" i="175"/>
  <c r="J75" i="149"/>
  <c r="L65" i="146"/>
  <c r="I46" i="149"/>
  <c r="J73" i="149"/>
  <c r="I73" i="149"/>
  <c r="H93" i="71"/>
  <c r="I93" i="71"/>
  <c r="J128" i="149"/>
  <c r="I129" i="149"/>
  <c r="K107" i="146"/>
  <c r="I212" i="149"/>
  <c r="K181" i="146"/>
  <c r="I180" i="149"/>
  <c r="K155" i="146"/>
  <c r="H44" i="71"/>
  <c r="AA44" i="71"/>
  <c r="H139" i="71"/>
  <c r="AA139" i="71"/>
  <c r="J119" i="149"/>
  <c r="L100" i="146"/>
  <c r="J130" i="149"/>
  <c r="L108" i="146"/>
  <c r="J60" i="149"/>
  <c r="L54" i="146"/>
  <c r="J187" i="149"/>
  <c r="L160" i="146"/>
  <c r="I228" i="149"/>
  <c r="I229" i="149"/>
  <c r="K195" i="146"/>
  <c r="H49" i="71"/>
  <c r="I49" i="71"/>
  <c r="I119" i="149"/>
  <c r="K100" i="146"/>
  <c r="I60" i="149"/>
  <c r="K54" i="146"/>
  <c r="I187" i="149"/>
  <c r="K160" i="146"/>
  <c r="K35" i="175"/>
  <c r="K24" i="175"/>
  <c r="H47" i="71"/>
  <c r="AA47" i="71"/>
  <c r="H105" i="71"/>
  <c r="I105" i="71"/>
  <c r="H52" i="71"/>
  <c r="AA52" i="71"/>
  <c r="H136" i="71"/>
  <c r="I136" i="71"/>
  <c r="H38" i="71"/>
  <c r="I38" i="71"/>
  <c r="J97" i="149"/>
  <c r="L82" i="146"/>
  <c r="I130" i="149"/>
  <c r="K108" i="146"/>
  <c r="J188" i="149"/>
  <c r="L161" i="146"/>
  <c r="J220" i="149"/>
  <c r="L188" i="146"/>
  <c r="I179" i="149"/>
  <c r="K154" i="146"/>
  <c r="J180" i="149"/>
  <c r="L155" i="146"/>
  <c r="J129" i="149"/>
  <c r="L107" i="146"/>
  <c r="I185" i="149"/>
  <c r="K159" i="146"/>
  <c r="J230" i="149"/>
  <c r="I128" i="149"/>
  <c r="J12" i="149"/>
  <c r="L12" i="146"/>
  <c r="I186" i="149"/>
  <c r="J179" i="149"/>
  <c r="L154" i="146"/>
  <c r="I184" i="149"/>
  <c r="I131" i="149"/>
  <c r="K109" i="146"/>
  <c r="J228" i="149"/>
  <c r="J135" i="149"/>
  <c r="J131" i="149"/>
  <c r="L109" i="146"/>
  <c r="K31" i="175"/>
  <c r="J44" i="149"/>
  <c r="L42" i="146"/>
  <c r="J186" i="149"/>
  <c r="I213" i="149"/>
  <c r="K182" i="146"/>
  <c r="J181" i="149"/>
  <c r="L156" i="146"/>
  <c r="H7" i="71"/>
  <c r="AA7" i="71"/>
  <c r="K12" i="175"/>
  <c r="I127" i="149"/>
  <c r="H142" i="71"/>
  <c r="I142" i="71"/>
  <c r="J59" i="149"/>
  <c r="L53" i="146"/>
  <c r="J171" i="149"/>
  <c r="L147" i="146"/>
  <c r="I211" i="149"/>
  <c r="K180" i="146"/>
  <c r="I231" i="149"/>
  <c r="H99" i="71"/>
  <c r="AA99" i="71"/>
  <c r="I108" i="149"/>
  <c r="K91" i="146"/>
  <c r="I140" i="149"/>
  <c r="K118" i="146"/>
  <c r="J107" i="149"/>
  <c r="L90" i="146"/>
  <c r="J30" i="149"/>
  <c r="L29" i="146"/>
  <c r="K16" i="175"/>
  <c r="H16" i="71"/>
  <c r="I16" i="71"/>
  <c r="J108" i="149"/>
  <c r="L91" i="146"/>
  <c r="J68" i="149"/>
  <c r="L62" i="146"/>
  <c r="I70" i="149"/>
  <c r="H94" i="71"/>
  <c r="AA94" i="71"/>
  <c r="H89" i="71"/>
  <c r="O19" i="102"/>
  <c r="H127" i="71"/>
  <c r="I127" i="71"/>
  <c r="I71" i="149"/>
  <c r="K63" i="146"/>
  <c r="K25" i="175"/>
  <c r="H48" i="71"/>
  <c r="I48" i="71"/>
  <c r="J71" i="149"/>
  <c r="L63" i="146"/>
  <c r="I137" i="149"/>
  <c r="K113" i="146"/>
  <c r="J70" i="149"/>
  <c r="H66" i="71"/>
  <c r="I66" i="71"/>
  <c r="J38" i="149"/>
  <c r="L37" i="146"/>
  <c r="I109" i="149"/>
  <c r="K92" i="146"/>
  <c r="K20" i="175"/>
  <c r="J37" i="149"/>
  <c r="L36" i="146"/>
  <c r="J109" i="149"/>
  <c r="L92" i="146"/>
  <c r="D12" i="31"/>
  <c r="C7" i="45"/>
  <c r="F7" i="45"/>
  <c r="J213" i="149"/>
  <c r="L182" i="146"/>
  <c r="J231" i="149"/>
  <c r="I230" i="149"/>
  <c r="H11" i="71"/>
  <c r="I11" i="71"/>
  <c r="H37" i="71"/>
  <c r="I37" i="71"/>
  <c r="I35" i="149"/>
  <c r="K34" i="146"/>
  <c r="J205" i="149"/>
  <c r="L176" i="146"/>
  <c r="J199" i="149"/>
  <c r="L171" i="146"/>
  <c r="J272" i="149"/>
  <c r="L228" i="146"/>
  <c r="I55" i="149"/>
  <c r="H117" i="71"/>
  <c r="AA117" i="71"/>
  <c r="J13" i="149"/>
  <c r="L13" i="146"/>
  <c r="I26" i="149"/>
  <c r="K25" i="146"/>
  <c r="I52" i="149"/>
  <c r="K48" i="146"/>
  <c r="I170" i="149"/>
  <c r="K146" i="146"/>
  <c r="J236" i="149"/>
  <c r="L200" i="146"/>
  <c r="J184" i="149"/>
  <c r="I11" i="149"/>
  <c r="K11" i="146"/>
  <c r="I98" i="149"/>
  <c r="K83" i="146"/>
  <c r="J52" i="149"/>
  <c r="L48" i="146"/>
  <c r="I171" i="149"/>
  <c r="K147" i="146"/>
  <c r="I236" i="149"/>
  <c r="K200" i="146"/>
  <c r="I13" i="149"/>
  <c r="K13" i="146"/>
  <c r="J11" i="149"/>
  <c r="L11" i="146"/>
  <c r="J14" i="149"/>
  <c r="L14" i="146"/>
  <c r="I235" i="149"/>
  <c r="K199" i="146"/>
  <c r="J54" i="149"/>
  <c r="K37" i="175"/>
  <c r="H39" i="71"/>
  <c r="I39" i="71"/>
  <c r="J96" i="149"/>
  <c r="L81" i="146"/>
  <c r="J98" i="149"/>
  <c r="L83" i="146"/>
  <c r="I14" i="149"/>
  <c r="K14" i="146"/>
  <c r="J58" i="149"/>
  <c r="L52" i="146"/>
  <c r="J164" i="149"/>
  <c r="L142" i="146"/>
  <c r="J57" i="149"/>
  <c r="L51" i="146"/>
  <c r="J55" i="149"/>
  <c r="I12" i="149"/>
  <c r="J133" i="149"/>
  <c r="L111" i="146"/>
  <c r="I133" i="149"/>
  <c r="K111" i="146"/>
  <c r="I58" i="149"/>
  <c r="K52" i="146"/>
  <c r="I164" i="149"/>
  <c r="K142" i="146"/>
  <c r="I57" i="149"/>
  <c r="K51" i="146"/>
  <c r="J25" i="149"/>
  <c r="L24" i="146"/>
  <c r="I96" i="149"/>
  <c r="K81" i="146"/>
  <c r="I99" i="149"/>
  <c r="K84" i="146"/>
  <c r="I165" i="149"/>
  <c r="K143" i="146"/>
  <c r="I54" i="149"/>
  <c r="J53" i="149"/>
  <c r="L49" i="146"/>
  <c r="H92" i="71"/>
  <c r="AA92" i="71"/>
  <c r="I97" i="149"/>
  <c r="K82" i="146"/>
  <c r="J26" i="149"/>
  <c r="L25" i="146"/>
  <c r="I25" i="149"/>
  <c r="K24" i="146"/>
  <c r="J56" i="149"/>
  <c r="L50" i="146"/>
  <c r="J93" i="149"/>
  <c r="L80" i="146"/>
  <c r="J277" i="149"/>
  <c r="L233" i="146"/>
  <c r="I219" i="149"/>
  <c r="K187" i="146"/>
  <c r="H110" i="71"/>
  <c r="I110" i="71"/>
  <c r="H95" i="71"/>
  <c r="AA95" i="71"/>
  <c r="H141" i="71"/>
  <c r="AA141" i="71"/>
  <c r="J9" i="149"/>
  <c r="L9" i="146"/>
  <c r="I9" i="149"/>
  <c r="K9" i="146"/>
  <c r="I220" i="149"/>
  <c r="K188" i="146"/>
  <c r="J153" i="149"/>
  <c r="L131" i="146"/>
  <c r="I155" i="149"/>
  <c r="K133" i="146"/>
  <c r="J42" i="149"/>
  <c r="L40" i="146"/>
  <c r="H9" i="71"/>
  <c r="O10" i="102"/>
  <c r="I42" i="149"/>
  <c r="K40" i="146"/>
  <c r="I43" i="149"/>
  <c r="K41" i="146"/>
  <c r="I173" i="149"/>
  <c r="K149" i="146"/>
  <c r="I172" i="149"/>
  <c r="K148" i="146"/>
  <c r="J173" i="149"/>
  <c r="L149" i="146"/>
  <c r="J8" i="149"/>
  <c r="L8" i="146"/>
  <c r="I8" i="149"/>
  <c r="K8" i="146"/>
  <c r="I153" i="149"/>
  <c r="K131" i="146"/>
  <c r="I174" i="149"/>
  <c r="K150" i="146"/>
  <c r="K39" i="175"/>
  <c r="H21" i="71"/>
  <c r="I21" i="71"/>
  <c r="I7" i="149"/>
  <c r="K7" i="146"/>
  <c r="J43" i="149"/>
  <c r="L41" i="146"/>
  <c r="J172" i="149"/>
  <c r="L148" i="146"/>
  <c r="I218" i="149"/>
  <c r="K186" i="146"/>
  <c r="I44" i="149"/>
  <c r="K42" i="146"/>
  <c r="I135" i="149"/>
  <c r="J7" i="149"/>
  <c r="L7" i="146"/>
  <c r="J219" i="149"/>
  <c r="L187" i="146"/>
  <c r="I214" i="149"/>
  <c r="J253" i="149"/>
  <c r="L214" i="146"/>
  <c r="I275" i="149"/>
  <c r="K231" i="146"/>
  <c r="J223" i="149"/>
  <c r="L191" i="146"/>
  <c r="I276" i="149"/>
  <c r="K232" i="146"/>
  <c r="I158" i="149"/>
  <c r="K136" i="146"/>
  <c r="I253" i="149"/>
  <c r="K214" i="146"/>
  <c r="J159" i="149"/>
  <c r="L137" i="146"/>
  <c r="J248" i="149"/>
  <c r="L209" i="146"/>
  <c r="J163" i="149"/>
  <c r="L140" i="146"/>
  <c r="I223" i="149"/>
  <c r="K191" i="146"/>
  <c r="J254" i="149"/>
  <c r="L215" i="146"/>
  <c r="I248" i="149"/>
  <c r="K209" i="146"/>
  <c r="H140" i="71"/>
  <c r="I140" i="71"/>
  <c r="J46" i="149"/>
  <c r="K27" i="175"/>
  <c r="K8" i="175"/>
  <c r="J16" i="149"/>
  <c r="L16" i="146"/>
  <c r="J28" i="149"/>
  <c r="L27" i="146"/>
  <c r="J74" i="149"/>
  <c r="H118" i="71"/>
  <c r="AA118" i="71"/>
  <c r="H85" i="71"/>
  <c r="AA85" i="71"/>
  <c r="H133" i="71"/>
  <c r="I133" i="71"/>
  <c r="I77" i="149"/>
  <c r="K67" i="146"/>
  <c r="I47" i="149"/>
  <c r="K43" i="146"/>
  <c r="I182" i="149"/>
  <c r="K157" i="146"/>
  <c r="J145" i="149"/>
  <c r="L122" i="146"/>
  <c r="J221" i="149"/>
  <c r="L189" i="146"/>
  <c r="J24" i="149"/>
  <c r="L23" i="146"/>
  <c r="J19" i="149"/>
  <c r="L19" i="146"/>
  <c r="I19" i="149"/>
  <c r="K19" i="146"/>
  <c r="J45" i="149"/>
  <c r="I28" i="149"/>
  <c r="K27" i="146"/>
  <c r="J15" i="149"/>
  <c r="L15" i="146"/>
  <c r="J27" i="149"/>
  <c r="L26" i="146"/>
  <c r="K13" i="175"/>
  <c r="I74" i="149"/>
  <c r="H124" i="71"/>
  <c r="AA124" i="71"/>
  <c r="H18" i="71"/>
  <c r="I18" i="71"/>
  <c r="H143" i="71"/>
  <c r="AA143" i="71"/>
  <c r="J77" i="149"/>
  <c r="L67" i="146"/>
  <c r="J47" i="149"/>
  <c r="L43" i="146"/>
  <c r="I183" i="149"/>
  <c r="K158" i="146"/>
  <c r="I145" i="149"/>
  <c r="K122" i="146"/>
  <c r="I221" i="149"/>
  <c r="K189" i="146"/>
  <c r="I222" i="149"/>
  <c r="K190" i="146"/>
  <c r="J18" i="149"/>
  <c r="L18" i="146"/>
  <c r="I24" i="149"/>
  <c r="K23" i="146"/>
  <c r="I61" i="149"/>
  <c r="K55" i="146"/>
  <c r="H78" i="71"/>
  <c r="I78" i="71"/>
  <c r="H27" i="71"/>
  <c r="I27" i="71"/>
  <c r="J17" i="149"/>
  <c r="L17" i="146"/>
  <c r="J48" i="149"/>
  <c r="L44" i="146"/>
  <c r="I72" i="149"/>
  <c r="K64" i="146"/>
  <c r="J237" i="149"/>
  <c r="L202" i="146"/>
  <c r="J144" i="149"/>
  <c r="L123" i="146"/>
  <c r="I23" i="149"/>
  <c r="K22" i="146"/>
  <c r="H74" i="71"/>
  <c r="I74" i="71"/>
  <c r="I277" i="149"/>
  <c r="K233" i="146"/>
  <c r="I146" i="149"/>
  <c r="K124" i="146"/>
  <c r="H60" i="71"/>
  <c r="AA60" i="71"/>
  <c r="H53" i="71"/>
  <c r="I53" i="71"/>
  <c r="H113" i="71"/>
  <c r="I113" i="71"/>
  <c r="H32" i="71"/>
  <c r="AA32" i="71"/>
  <c r="I17" i="149"/>
  <c r="K17" i="146"/>
  <c r="I49" i="149"/>
  <c r="K45" i="146"/>
  <c r="J72" i="149"/>
  <c r="L64" i="146"/>
  <c r="J182" i="149"/>
  <c r="L157" i="146"/>
  <c r="J146" i="149"/>
  <c r="L124" i="146"/>
  <c r="K32" i="175"/>
  <c r="J29" i="149"/>
  <c r="L28" i="146"/>
  <c r="I27" i="149"/>
  <c r="K26" i="146"/>
  <c r="I29" i="149"/>
  <c r="K28" i="146"/>
  <c r="I15" i="149"/>
  <c r="K15" i="146"/>
  <c r="I278" i="149"/>
  <c r="K234" i="146"/>
  <c r="I18" i="149"/>
  <c r="K18" i="146"/>
  <c r="J278" i="149"/>
  <c r="L234" i="146"/>
  <c r="I93" i="149"/>
  <c r="K80" i="146"/>
  <c r="J95" i="149"/>
  <c r="L201" i="146"/>
  <c r="K17" i="175"/>
  <c r="H106" i="71"/>
  <c r="I106" i="71"/>
  <c r="H115" i="71"/>
  <c r="I115" i="71"/>
  <c r="H33" i="71"/>
  <c r="I33" i="71"/>
  <c r="H119" i="71"/>
  <c r="AA119" i="71"/>
  <c r="H88" i="71"/>
  <c r="AA88" i="71"/>
  <c r="I48" i="149"/>
  <c r="K44" i="146"/>
  <c r="J183" i="149"/>
  <c r="L158" i="146"/>
  <c r="J214" i="149"/>
  <c r="H51" i="71"/>
  <c r="AA51" i="71"/>
  <c r="I16" i="149"/>
  <c r="K16" i="146"/>
  <c r="J23" i="149"/>
  <c r="L22" i="146"/>
  <c r="H46" i="71"/>
  <c r="AA46" i="71"/>
  <c r="H87" i="71"/>
  <c r="I87" i="71"/>
  <c r="H123" i="71"/>
  <c r="I123" i="71"/>
  <c r="H125" i="71"/>
  <c r="AA125" i="71"/>
  <c r="H22" i="71"/>
  <c r="I22" i="71"/>
  <c r="I209" i="149"/>
  <c r="I136" i="149"/>
  <c r="K114" i="146"/>
  <c r="I200" i="149"/>
  <c r="K172" i="146"/>
  <c r="I266" i="149"/>
  <c r="K223" i="146"/>
  <c r="I268" i="149"/>
  <c r="K225" i="146"/>
  <c r="J136" i="149"/>
  <c r="L114" i="146"/>
  <c r="H65" i="71"/>
  <c r="AA65" i="71"/>
  <c r="H131" i="71"/>
  <c r="AA131" i="71"/>
  <c r="H135" i="71"/>
  <c r="I135" i="71"/>
  <c r="J121" i="149"/>
  <c r="L102" i="146"/>
  <c r="J120" i="149"/>
  <c r="L101" i="146"/>
  <c r="I51" i="149"/>
  <c r="K47" i="146"/>
  <c r="J34" i="149"/>
  <c r="L33" i="146"/>
  <c r="I68" i="149"/>
  <c r="K62" i="146"/>
  <c r="J206" i="149"/>
  <c r="L177" i="146"/>
  <c r="J200" i="149"/>
  <c r="L172" i="146"/>
  <c r="I272" i="149"/>
  <c r="K228" i="146"/>
  <c r="I271" i="149"/>
  <c r="K227" i="146"/>
  <c r="I251" i="149"/>
  <c r="K212" i="146"/>
  <c r="I152" i="149"/>
  <c r="K130" i="146"/>
  <c r="J249" i="149"/>
  <c r="L210" i="146"/>
  <c r="I255" i="149"/>
  <c r="K216" i="146"/>
  <c r="J250" i="149"/>
  <c r="L211" i="146"/>
  <c r="I169" i="149"/>
  <c r="K145" i="146"/>
  <c r="I168" i="149"/>
  <c r="K144" i="146"/>
  <c r="I134" i="149"/>
  <c r="K112" i="146"/>
  <c r="J50" i="149"/>
  <c r="L46" i="146"/>
  <c r="I31" i="149"/>
  <c r="K30" i="146"/>
  <c r="J207" i="149"/>
  <c r="I206" i="149"/>
  <c r="K177" i="146"/>
  <c r="J269" i="149"/>
  <c r="L226" i="146"/>
  <c r="J268" i="149"/>
  <c r="L225" i="146"/>
  <c r="J139" i="149"/>
  <c r="L116" i="146"/>
  <c r="J251" i="149"/>
  <c r="L212" i="146"/>
  <c r="J255" i="149"/>
  <c r="L216" i="146"/>
  <c r="I252" i="149"/>
  <c r="K213" i="146"/>
  <c r="J152" i="149"/>
  <c r="L130" i="146"/>
  <c r="I160" i="149"/>
  <c r="K138" i="146"/>
  <c r="J166" i="149"/>
  <c r="K23" i="175"/>
  <c r="K34" i="175"/>
  <c r="H58" i="71"/>
  <c r="AA58" i="71"/>
  <c r="H15" i="71"/>
  <c r="I15" i="71"/>
  <c r="H13" i="71"/>
  <c r="I13" i="71"/>
  <c r="H128" i="71"/>
  <c r="I128" i="71"/>
  <c r="K38" i="175"/>
  <c r="I36" i="149"/>
  <c r="K35" i="146"/>
  <c r="J51" i="149"/>
  <c r="L47" i="146"/>
  <c r="J33" i="149"/>
  <c r="L32" i="146"/>
  <c r="I205" i="149"/>
  <c r="K176" i="146"/>
  <c r="J209" i="149"/>
  <c r="J270" i="149"/>
  <c r="I210" i="149"/>
  <c r="K179" i="146"/>
  <c r="J162" i="149"/>
  <c r="L141" i="146"/>
  <c r="I249" i="149"/>
  <c r="K210" i="146"/>
  <c r="I197" i="149"/>
  <c r="K169" i="146"/>
  <c r="J169" i="149"/>
  <c r="L145" i="146"/>
  <c r="I141" i="149"/>
  <c r="K119" i="146"/>
  <c r="I151" i="149"/>
  <c r="K128" i="146"/>
  <c r="J157" i="149"/>
  <c r="L135" i="146"/>
  <c r="K44" i="175"/>
  <c r="I38" i="149"/>
  <c r="K37" i="146"/>
  <c r="I120" i="149"/>
  <c r="K101" i="146"/>
  <c r="J31" i="149"/>
  <c r="L30" i="146"/>
  <c r="I207" i="149"/>
  <c r="I138" i="149"/>
  <c r="K115" i="146"/>
  <c r="J267" i="149"/>
  <c r="L224" i="146"/>
  <c r="J167" i="149"/>
  <c r="I167" i="149"/>
  <c r="I139" i="149"/>
  <c r="K116" i="146"/>
  <c r="J158" i="149"/>
  <c r="L136" i="146"/>
  <c r="J276" i="149"/>
  <c r="L232" i="146"/>
  <c r="I250" i="149"/>
  <c r="K211" i="146"/>
  <c r="J210" i="149"/>
  <c r="L179" i="146"/>
  <c r="I166" i="149"/>
  <c r="I69" i="149"/>
  <c r="I32" i="149"/>
  <c r="K31" i="146"/>
  <c r="H129" i="71"/>
  <c r="AA129" i="71"/>
  <c r="H132" i="71"/>
  <c r="I132" i="71"/>
  <c r="I94" i="149"/>
  <c r="K74" i="146"/>
  <c r="J36" i="149"/>
  <c r="L35" i="146"/>
  <c r="I121" i="149"/>
  <c r="K102" i="146"/>
  <c r="I33" i="149"/>
  <c r="K32" i="146"/>
  <c r="J208" i="149"/>
  <c r="L178" i="146"/>
  <c r="J138" i="149"/>
  <c r="L115" i="146"/>
  <c r="J266" i="149"/>
  <c r="L223" i="146"/>
  <c r="I270" i="149"/>
  <c r="I162" i="149"/>
  <c r="K141" i="146"/>
  <c r="J161" i="149"/>
  <c r="L139" i="146"/>
  <c r="I254" i="149"/>
  <c r="K215" i="146"/>
  <c r="I159" i="149"/>
  <c r="K137" i="146"/>
  <c r="J141" i="149"/>
  <c r="L119" i="146"/>
  <c r="J198" i="149"/>
  <c r="L170" i="146"/>
  <c r="J168" i="149"/>
  <c r="L144" i="146"/>
  <c r="I157" i="149"/>
  <c r="K135" i="146"/>
  <c r="J227" i="149"/>
  <c r="L194" i="146"/>
  <c r="J69" i="149"/>
  <c r="J32" i="149"/>
  <c r="L31" i="146"/>
  <c r="H91" i="71"/>
  <c r="I91" i="71"/>
  <c r="J94" i="149"/>
  <c r="L74" i="146"/>
  <c r="J35" i="149"/>
  <c r="L34" i="146"/>
  <c r="I50" i="149"/>
  <c r="K46" i="146"/>
  <c r="I269" i="149"/>
  <c r="K226" i="146"/>
  <c r="J151" i="149"/>
  <c r="L128" i="146"/>
  <c r="J197" i="149"/>
  <c r="L169" i="146"/>
  <c r="I161" i="149"/>
  <c r="K139" i="146"/>
  <c r="J252" i="149"/>
  <c r="L213" i="146"/>
  <c r="I198" i="149"/>
  <c r="K170" i="146"/>
  <c r="I163" i="149"/>
  <c r="K140" i="146"/>
  <c r="J160" i="149"/>
  <c r="L138" i="146"/>
  <c r="H79" i="71"/>
  <c r="I79" i="71"/>
  <c r="H26" i="71"/>
  <c r="I26" i="71"/>
  <c r="H138" i="71"/>
  <c r="AA138" i="71"/>
  <c r="H31" i="71"/>
  <c r="AA31" i="71"/>
  <c r="H116" i="71"/>
  <c r="I116" i="71"/>
  <c r="H100" i="71"/>
  <c r="I100" i="71"/>
  <c r="H43" i="71"/>
  <c r="AA43" i="71"/>
  <c r="H130" i="71"/>
  <c r="AA130" i="71"/>
  <c r="H36" i="71"/>
  <c r="AA36" i="71"/>
  <c r="H40" i="71"/>
  <c r="AA40" i="71"/>
  <c r="H112" i="71"/>
  <c r="AA112" i="71"/>
  <c r="H57" i="71"/>
  <c r="I57" i="71"/>
  <c r="H102" i="71"/>
  <c r="AA102" i="71"/>
  <c r="H137" i="71"/>
  <c r="AA137" i="71"/>
  <c r="D3" i="30"/>
  <c r="H35" i="71"/>
  <c r="AA35" i="71"/>
  <c r="H19" i="71"/>
  <c r="AA19" i="71"/>
  <c r="H111" i="71"/>
  <c r="I111" i="71"/>
  <c r="H72" i="71"/>
  <c r="I72" i="71"/>
  <c r="H90" i="71"/>
  <c r="AA90" i="71"/>
  <c r="H84" i="71"/>
  <c r="I84" i="71"/>
  <c r="H63" i="71"/>
  <c r="I63" i="71"/>
  <c r="H97" i="71"/>
  <c r="I97" i="71"/>
  <c r="H98" i="71"/>
  <c r="I98" i="71"/>
  <c r="H12" i="71"/>
  <c r="I12" i="71"/>
  <c r="H17" i="71"/>
  <c r="I17" i="71"/>
  <c r="H64" i="71"/>
  <c r="AA64" i="71"/>
  <c r="H103" i="71"/>
  <c r="I103" i="71"/>
  <c r="H107" i="71"/>
  <c r="AA107" i="71"/>
  <c r="H67" i="71"/>
  <c r="I67" i="71"/>
  <c r="H126" i="71"/>
  <c r="AA126" i="71"/>
  <c r="H23" i="71"/>
  <c r="AA23" i="71"/>
  <c r="H68" i="71"/>
  <c r="AA68" i="71"/>
  <c r="H10" i="71"/>
  <c r="AA10" i="71"/>
  <c r="H28" i="71"/>
  <c r="AA28" i="71"/>
  <c r="H61" i="71"/>
  <c r="AA61" i="71"/>
  <c r="H54" i="71"/>
  <c r="I54" i="71"/>
  <c r="H69" i="71"/>
  <c r="I69" i="71"/>
  <c r="H55" i="71"/>
  <c r="I55" i="71"/>
  <c r="H45" i="71"/>
  <c r="I45" i="71"/>
  <c r="H34" i="71"/>
  <c r="AA34" i="71"/>
  <c r="H101" i="71"/>
  <c r="I101" i="71"/>
  <c r="H14" i="71"/>
  <c r="AA14" i="71"/>
  <c r="H96" i="71"/>
  <c r="I96" i="71"/>
  <c r="H30" i="71"/>
  <c r="AA30" i="71"/>
  <c r="H59" i="71"/>
  <c r="AA59" i="71"/>
  <c r="H114" i="71"/>
  <c r="AA114" i="71"/>
  <c r="H86" i="71"/>
  <c r="I86" i="71"/>
  <c r="H122" i="71"/>
  <c r="I122" i="71"/>
  <c r="H20" i="71"/>
  <c r="I20" i="71"/>
  <c r="H73" i="71"/>
  <c r="AA73" i="71"/>
  <c r="H29" i="71"/>
  <c r="I29" i="71"/>
  <c r="H76" i="71"/>
  <c r="I76" i="71"/>
  <c r="H25" i="71"/>
  <c r="AA25" i="71"/>
  <c r="H77" i="71"/>
  <c r="AA77" i="71"/>
  <c r="H71" i="71"/>
  <c r="AA71" i="71"/>
  <c r="H24" i="71"/>
  <c r="I24" i="71"/>
  <c r="K12" i="146"/>
  <c r="C21" i="169"/>
  <c r="K22" i="69"/>
  <c r="C21" i="167"/>
  <c r="E42" i="173"/>
  <c r="G42" i="173"/>
  <c r="I42" i="175"/>
  <c r="H42" i="71"/>
  <c r="AA42" i="71"/>
  <c r="H41" i="71"/>
  <c r="AA41" i="71"/>
  <c r="O41" i="71"/>
  <c r="C4" i="110"/>
  <c r="C5" i="110"/>
  <c r="M85" i="101"/>
  <c r="M103" i="101"/>
  <c r="L81" i="101"/>
  <c r="L84" i="101"/>
  <c r="L79" i="101"/>
  <c r="L86" i="101"/>
  <c r="L83" i="101"/>
  <c r="L88" i="101"/>
  <c r="L85" i="101"/>
  <c r="L90" i="101"/>
  <c r="B3" i="110"/>
  <c r="L89" i="101"/>
  <c r="L78" i="101"/>
  <c r="L87" i="101"/>
  <c r="L80" i="101"/>
  <c r="L82" i="101"/>
  <c r="L91" i="101"/>
  <c r="J18" i="28"/>
  <c r="F87" i="149"/>
  <c r="O100" i="101"/>
  <c r="F82" i="149"/>
  <c r="E125" i="146"/>
  <c r="I125" i="146"/>
  <c r="F132" i="149"/>
  <c r="E219" i="146"/>
  <c r="I219" i="146"/>
  <c r="J45" i="175"/>
  <c r="D23" i="28"/>
  <c r="AA93" i="71"/>
  <c r="I134" i="71"/>
  <c r="O17" i="102"/>
  <c r="I89" i="71"/>
  <c r="H19" i="140"/>
  <c r="AA66" i="71"/>
  <c r="AA9" i="71"/>
  <c r="AA89" i="71"/>
  <c r="AA142" i="71"/>
  <c r="AA11" i="71"/>
  <c r="AA113" i="71"/>
  <c r="O9" i="102"/>
  <c r="I44" i="71"/>
  <c r="AA37" i="71"/>
  <c r="AA16" i="71"/>
  <c r="I143" i="71"/>
  <c r="AA39" i="71"/>
  <c r="AA38" i="71"/>
  <c r="C7" i="158"/>
  <c r="C10" i="158"/>
  <c r="I70" i="71"/>
  <c r="O21" i="102"/>
  <c r="AA133" i="71"/>
  <c r="I65" i="71"/>
  <c r="AA105" i="71"/>
  <c r="AA132" i="71"/>
  <c r="AA18" i="71"/>
  <c r="I139" i="71"/>
  <c r="I9" i="71"/>
  <c r="H10" i="140"/>
  <c r="AA104" i="71"/>
  <c r="I62" i="71"/>
  <c r="AA136" i="71"/>
  <c r="AA49" i="71"/>
  <c r="I52" i="71"/>
  <c r="AA48" i="71"/>
  <c r="AA106" i="71"/>
  <c r="AA97" i="71"/>
  <c r="I99" i="71"/>
  <c r="AA135" i="71"/>
  <c r="I7" i="71"/>
  <c r="I92" i="71"/>
  <c r="I94" i="71"/>
  <c r="AA110" i="71"/>
  <c r="AA79" i="71"/>
  <c r="I47" i="71"/>
  <c r="O18" i="102"/>
  <c r="I85" i="71"/>
  <c r="AA127" i="71"/>
  <c r="AA45" i="71"/>
  <c r="I95" i="71"/>
  <c r="I51" i="71"/>
  <c r="AA123" i="71"/>
  <c r="AA53" i="71"/>
  <c r="I35" i="71"/>
  <c r="I46" i="71"/>
  <c r="I88" i="71"/>
  <c r="AA27" i="71"/>
  <c r="AA116" i="71"/>
  <c r="C8" i="32"/>
  <c r="F8" i="32"/>
  <c r="J11" i="28"/>
  <c r="J22" i="28"/>
  <c r="J24" i="28"/>
  <c r="E28" i="28"/>
  <c r="I117" i="71"/>
  <c r="I129" i="71"/>
  <c r="O15" i="102"/>
  <c r="AA74" i="71"/>
  <c r="I141" i="71"/>
  <c r="H18" i="140"/>
  <c r="AA140" i="71"/>
  <c r="I138" i="71"/>
  <c r="I77" i="71"/>
  <c r="H14" i="140"/>
  <c r="AA78" i="71"/>
  <c r="AA63" i="71"/>
  <c r="I124" i="71"/>
  <c r="I31" i="71"/>
  <c r="I58" i="71"/>
  <c r="I28" i="71"/>
  <c r="AA91" i="71"/>
  <c r="AA115" i="71"/>
  <c r="I64" i="71"/>
  <c r="AA22" i="71"/>
  <c r="O16" i="102"/>
  <c r="AA21" i="71"/>
  <c r="AA33" i="71"/>
  <c r="AA15" i="71"/>
  <c r="I68" i="71"/>
  <c r="I23" i="71"/>
  <c r="I32" i="71"/>
  <c r="I130" i="71"/>
  <c r="H7" i="140"/>
  <c r="AA98" i="71"/>
  <c r="O7" i="102"/>
  <c r="I125" i="71"/>
  <c r="AA111" i="71"/>
  <c r="AA20" i="71"/>
  <c r="AA17" i="71"/>
  <c r="I40" i="71"/>
  <c r="I10" i="71"/>
  <c r="I118" i="71"/>
  <c r="H21" i="140"/>
  <c r="AA87" i="71"/>
  <c r="I119" i="71"/>
  <c r="I60" i="71"/>
  <c r="AA13" i="71"/>
  <c r="I25" i="71"/>
  <c r="AA128" i="71"/>
  <c r="AA100" i="71"/>
  <c r="I137" i="71"/>
  <c r="O14" i="102"/>
  <c r="I19" i="71"/>
  <c r="I36" i="71"/>
  <c r="AA55" i="71"/>
  <c r="I126" i="71"/>
  <c r="I43" i="71"/>
  <c r="AA24" i="71"/>
  <c r="AA12" i="71"/>
  <c r="AA26" i="71"/>
  <c r="I131" i="71"/>
  <c r="I61" i="71"/>
  <c r="I90" i="71"/>
  <c r="AA29" i="71"/>
  <c r="O12" i="102"/>
  <c r="AA72" i="71"/>
  <c r="I112" i="71"/>
  <c r="H12" i="140"/>
  <c r="I14" i="71"/>
  <c r="AA96" i="71"/>
  <c r="AA57" i="71"/>
  <c r="AA103" i="71"/>
  <c r="I73" i="71"/>
  <c r="I114" i="71"/>
  <c r="H13" i="140"/>
  <c r="AA84" i="71"/>
  <c r="AA76" i="71"/>
  <c r="O11" i="102"/>
  <c r="I107" i="71"/>
  <c r="H28" i="140"/>
  <c r="AA54" i="71"/>
  <c r="AA67" i="71"/>
  <c r="I102" i="71"/>
  <c r="H11" i="140"/>
  <c r="AA69" i="71"/>
  <c r="I30" i="71"/>
  <c r="O13" i="102"/>
  <c r="I59" i="71"/>
  <c r="H20" i="140"/>
  <c r="O20" i="102"/>
  <c r="O8" i="102"/>
  <c r="AA122" i="71"/>
  <c r="AA101" i="71"/>
  <c r="I34" i="71"/>
  <c r="I71" i="71"/>
  <c r="AA86" i="71"/>
  <c r="F46" i="173"/>
  <c r="H46" i="173"/>
  <c r="G47" i="174"/>
  <c r="H47" i="174"/>
  <c r="G47" i="175"/>
  <c r="E47" i="175"/>
  <c r="F39" i="173"/>
  <c r="H39" i="173"/>
  <c r="G39" i="174"/>
  <c r="H39" i="174"/>
  <c r="G39" i="175"/>
  <c r="F42" i="149"/>
  <c r="F13" i="173"/>
  <c r="H13" i="173"/>
  <c r="G13" i="174"/>
  <c r="H13" i="174"/>
  <c r="G13" i="175"/>
  <c r="E13" i="175"/>
  <c r="F12" i="173"/>
  <c r="H12" i="173"/>
  <c r="G12" i="174"/>
  <c r="H12" i="174"/>
  <c r="G12" i="175"/>
  <c r="F36" i="173"/>
  <c r="H36" i="173"/>
  <c r="G36" i="174"/>
  <c r="H36" i="174"/>
  <c r="G36" i="175"/>
  <c r="F21" i="173"/>
  <c r="H21" i="173"/>
  <c r="G21" i="174"/>
  <c r="H21" i="174"/>
  <c r="G21" i="175"/>
  <c r="F116" i="149"/>
  <c r="F18" i="173"/>
  <c r="H18" i="173"/>
  <c r="G18" i="174"/>
  <c r="H18" i="174"/>
  <c r="G18" i="175"/>
  <c r="E18" i="175"/>
  <c r="F42" i="173"/>
  <c r="H42" i="173"/>
  <c r="G42" i="174"/>
  <c r="H42" i="174"/>
  <c r="G42" i="175"/>
  <c r="E42" i="175"/>
  <c r="F26" i="173"/>
  <c r="H26" i="173"/>
  <c r="G26" i="174"/>
  <c r="H26" i="174"/>
  <c r="G26" i="175"/>
  <c r="F44" i="173"/>
  <c r="H44" i="173"/>
  <c r="G44" i="174"/>
  <c r="H44" i="174"/>
  <c r="G44" i="175"/>
  <c r="F31" i="173"/>
  <c r="H31" i="173"/>
  <c r="G31" i="174"/>
  <c r="H31" i="174"/>
  <c r="G31" i="175"/>
  <c r="E31" i="175"/>
  <c r="F37" i="173"/>
  <c r="H37" i="173"/>
  <c r="G37" i="174"/>
  <c r="H37" i="174"/>
  <c r="G37" i="175"/>
  <c r="F28" i="173"/>
  <c r="H28" i="173"/>
  <c r="G28" i="174"/>
  <c r="H28" i="174"/>
  <c r="G28" i="175"/>
  <c r="F9" i="173"/>
  <c r="H9" i="173"/>
  <c r="G9" i="174"/>
  <c r="H9" i="174"/>
  <c r="G9" i="175"/>
  <c r="F17" i="149"/>
  <c r="F45" i="173"/>
  <c r="H45" i="173"/>
  <c r="G46" i="174"/>
  <c r="H46" i="174"/>
  <c r="G46" i="175"/>
  <c r="F15" i="173"/>
  <c r="H15" i="173"/>
  <c r="G15" i="174"/>
  <c r="H15" i="174"/>
  <c r="G15" i="175"/>
  <c r="E15" i="175"/>
  <c r="F32" i="173"/>
  <c r="H32" i="173"/>
  <c r="G32" i="174"/>
  <c r="H32" i="174"/>
  <c r="G32" i="175"/>
  <c r="E32" i="175"/>
  <c r="E18" i="173"/>
  <c r="G18" i="173"/>
  <c r="I18" i="175"/>
  <c r="E10" i="173"/>
  <c r="G10" i="173"/>
  <c r="I10" i="175"/>
  <c r="F24" i="173"/>
  <c r="H24" i="173"/>
  <c r="G24" i="174"/>
  <c r="H24" i="174"/>
  <c r="G24" i="175"/>
  <c r="F127" i="149"/>
  <c r="F17" i="173"/>
  <c r="H17" i="173"/>
  <c r="G17" i="174"/>
  <c r="H17" i="174"/>
  <c r="G17" i="175"/>
  <c r="F29" i="173"/>
  <c r="H29" i="173"/>
  <c r="G29" i="174"/>
  <c r="H29" i="174"/>
  <c r="G29" i="175"/>
  <c r="F10" i="173"/>
  <c r="H10" i="173"/>
  <c r="G10" i="174"/>
  <c r="H10" i="174"/>
  <c r="G10" i="175"/>
  <c r="F34" i="149"/>
  <c r="O102" i="101"/>
  <c r="F8" i="173"/>
  <c r="H8" i="173"/>
  <c r="G8" i="174"/>
  <c r="H8" i="174"/>
  <c r="G8" i="175"/>
  <c r="F30" i="173"/>
  <c r="H30" i="173"/>
  <c r="G30" i="174"/>
  <c r="H30" i="174"/>
  <c r="G30" i="175"/>
  <c r="F23" i="173"/>
  <c r="H23" i="173"/>
  <c r="G23" i="174"/>
  <c r="H23" i="174"/>
  <c r="G23" i="175"/>
  <c r="E23" i="175"/>
  <c r="F19" i="173"/>
  <c r="H19" i="173"/>
  <c r="G19" i="174"/>
  <c r="H19" i="174"/>
  <c r="G19" i="175"/>
  <c r="F104" i="149"/>
  <c r="E78" i="146"/>
  <c r="I78" i="146"/>
  <c r="F34" i="173"/>
  <c r="H34" i="173"/>
  <c r="G34" i="174"/>
  <c r="H34" i="174"/>
  <c r="G34" i="175"/>
  <c r="F20" i="173"/>
  <c r="H20" i="173"/>
  <c r="G20" i="174"/>
  <c r="H20" i="174"/>
  <c r="G20" i="175"/>
  <c r="F109" i="149"/>
  <c r="E79" i="146"/>
  <c r="I79" i="146"/>
  <c r="F11" i="173"/>
  <c r="H11" i="173"/>
  <c r="G11" i="174"/>
  <c r="H11" i="174"/>
  <c r="G11" i="175"/>
  <c r="F35" i="173"/>
  <c r="H35" i="173"/>
  <c r="G35" i="174"/>
  <c r="H35" i="174"/>
  <c r="G35" i="175"/>
  <c r="E35" i="175"/>
  <c r="F33" i="173"/>
  <c r="H33" i="173"/>
  <c r="G33" i="174"/>
  <c r="H33" i="174"/>
  <c r="G33" i="175"/>
  <c r="E33" i="175"/>
  <c r="F43" i="173"/>
  <c r="H43" i="173"/>
  <c r="G43" i="174"/>
  <c r="H43" i="174"/>
  <c r="G43" i="175"/>
  <c r="E43" i="175"/>
  <c r="F22" i="173"/>
  <c r="H22" i="173"/>
  <c r="G22" i="174"/>
  <c r="H22" i="174"/>
  <c r="G22" i="175"/>
  <c r="E22" i="175"/>
  <c r="F16" i="173"/>
  <c r="H16" i="173"/>
  <c r="G16" i="174"/>
  <c r="H16" i="174"/>
  <c r="G16" i="175"/>
  <c r="F227" i="149"/>
  <c r="I42" i="71"/>
  <c r="F38" i="173"/>
  <c r="H38" i="173"/>
  <c r="G38" i="174"/>
  <c r="H38" i="174"/>
  <c r="G38" i="175"/>
  <c r="F14" i="173"/>
  <c r="H14" i="173"/>
  <c r="G14" i="174"/>
  <c r="H14" i="174"/>
  <c r="G14" i="175"/>
  <c r="E14" i="175"/>
  <c r="F25" i="173"/>
  <c r="H25" i="173"/>
  <c r="G25" i="174"/>
  <c r="H25" i="174"/>
  <c r="G25" i="175"/>
  <c r="F27" i="173"/>
  <c r="H27" i="173"/>
  <c r="G27" i="174"/>
  <c r="H27" i="174"/>
  <c r="G27" i="175"/>
  <c r="E34" i="173"/>
  <c r="G34" i="173"/>
  <c r="I34" i="175"/>
  <c r="E27" i="173"/>
  <c r="G27" i="173"/>
  <c r="I27" i="175"/>
  <c r="E30" i="173"/>
  <c r="G30" i="173"/>
  <c r="I30" i="175"/>
  <c r="E33" i="173"/>
  <c r="G33" i="173"/>
  <c r="I33" i="175"/>
  <c r="E19" i="173"/>
  <c r="G19" i="173"/>
  <c r="I19" i="175"/>
  <c r="E28" i="173"/>
  <c r="G28" i="173"/>
  <c r="I28" i="175"/>
  <c r="E36" i="173"/>
  <c r="G36" i="173"/>
  <c r="I36" i="175"/>
  <c r="E15" i="173"/>
  <c r="G15" i="173"/>
  <c r="I15" i="175"/>
  <c r="E14" i="173"/>
  <c r="G14" i="173"/>
  <c r="I14" i="175"/>
  <c r="E39" i="173"/>
  <c r="G39" i="173"/>
  <c r="I39" i="175"/>
  <c r="E9" i="173"/>
  <c r="G9" i="173"/>
  <c r="I9" i="175"/>
  <c r="E13" i="173"/>
  <c r="G13" i="173"/>
  <c r="I13" i="175"/>
  <c r="E37" i="173"/>
  <c r="G37" i="173"/>
  <c r="I37" i="175"/>
  <c r="E26" i="173"/>
  <c r="G26" i="173"/>
  <c r="I26" i="175"/>
  <c r="E22" i="173"/>
  <c r="G22" i="173"/>
  <c r="I22" i="175"/>
  <c r="E24" i="173"/>
  <c r="G24" i="173"/>
  <c r="I24" i="175"/>
  <c r="E35" i="173"/>
  <c r="G35" i="173"/>
  <c r="I35" i="175"/>
  <c r="E16" i="173"/>
  <c r="G16" i="173"/>
  <c r="I16" i="175"/>
  <c r="E17" i="173"/>
  <c r="G17" i="173"/>
  <c r="I17" i="175"/>
  <c r="E11" i="173"/>
  <c r="G11" i="173"/>
  <c r="I11" i="175"/>
  <c r="E20" i="173"/>
  <c r="G20" i="173"/>
  <c r="I20" i="175"/>
  <c r="E46" i="173"/>
  <c r="G46" i="173"/>
  <c r="I47" i="175"/>
  <c r="E25" i="173"/>
  <c r="G25" i="173"/>
  <c r="I25" i="175"/>
  <c r="E44" i="173"/>
  <c r="G44" i="173"/>
  <c r="I44" i="175"/>
  <c r="E8" i="173"/>
  <c r="G8" i="173"/>
  <c r="I8" i="175"/>
  <c r="E21" i="173"/>
  <c r="G21" i="173"/>
  <c r="I21" i="175"/>
  <c r="E23" i="173"/>
  <c r="G23" i="173"/>
  <c r="I23" i="175"/>
  <c r="E45" i="173"/>
  <c r="G45" i="173"/>
  <c r="I46" i="175"/>
  <c r="E38" i="173"/>
  <c r="G38" i="173"/>
  <c r="I38" i="175"/>
  <c r="E31" i="173"/>
  <c r="G31" i="173"/>
  <c r="I31" i="175"/>
  <c r="E32" i="173"/>
  <c r="G32" i="173"/>
  <c r="I32" i="175"/>
  <c r="E29" i="173"/>
  <c r="G29" i="173"/>
  <c r="I29" i="175"/>
  <c r="E12" i="173"/>
  <c r="G12" i="173"/>
  <c r="I12" i="175"/>
  <c r="E43" i="173"/>
  <c r="G43" i="173"/>
  <c r="I43" i="175"/>
  <c r="E44" i="175"/>
  <c r="E217" i="146"/>
  <c r="I217" i="146"/>
  <c r="I41" i="71"/>
  <c r="H16" i="140"/>
  <c r="N91" i="101"/>
  <c r="N82" i="101"/>
  <c r="N88" i="101"/>
  <c r="H17" i="140"/>
  <c r="K121" i="71"/>
  <c r="L121" i="71"/>
  <c r="R121" i="71"/>
  <c r="K82" i="71"/>
  <c r="L82" i="71"/>
  <c r="R82" i="71"/>
  <c r="K138" i="71"/>
  <c r="L138" i="71"/>
  <c r="K146" i="71"/>
  <c r="L146" i="71"/>
  <c r="R146" i="71"/>
  <c r="K75" i="71"/>
  <c r="L75" i="71"/>
  <c r="R75" i="71"/>
  <c r="K147" i="71"/>
  <c r="L147" i="71"/>
  <c r="R147" i="71"/>
  <c r="K17" i="71"/>
  <c r="L17" i="71"/>
  <c r="R17" i="71"/>
  <c r="K90" i="71"/>
  <c r="L90" i="71"/>
  <c r="K172" i="71"/>
  <c r="L172" i="71"/>
  <c r="R172" i="71"/>
  <c r="K92" i="71"/>
  <c r="L92" i="71"/>
  <c r="K120" i="71"/>
  <c r="L120" i="71"/>
  <c r="R120" i="71"/>
  <c r="K149" i="71"/>
  <c r="L149" i="71"/>
  <c r="R149" i="71"/>
  <c r="K102" i="71"/>
  <c r="K78" i="71"/>
  <c r="L78" i="71"/>
  <c r="R78" i="71"/>
  <c r="K108" i="71"/>
  <c r="L108" i="71"/>
  <c r="R108" i="71"/>
  <c r="K143" i="71"/>
  <c r="L143" i="71"/>
  <c r="R143" i="71"/>
  <c r="K139" i="71"/>
  <c r="L139" i="71"/>
  <c r="K148" i="71"/>
  <c r="L148" i="71"/>
  <c r="R148" i="71"/>
  <c r="K137" i="71"/>
  <c r="L137" i="71"/>
  <c r="K70" i="71"/>
  <c r="L70" i="71"/>
  <c r="R70" i="71"/>
  <c r="K15" i="71"/>
  <c r="L15" i="71"/>
  <c r="R15" i="71"/>
  <c r="K83" i="71"/>
  <c r="L83" i="71"/>
  <c r="R83" i="71"/>
  <c r="K136" i="71"/>
  <c r="L136" i="71"/>
  <c r="R136" i="71"/>
  <c r="K14" i="71"/>
  <c r="L14" i="71"/>
  <c r="K10" i="71"/>
  <c r="L10" i="71"/>
  <c r="K154" i="71"/>
  <c r="L154" i="71"/>
  <c r="R154" i="71"/>
  <c r="K165" i="71"/>
  <c r="L165" i="71"/>
  <c r="R165" i="71"/>
  <c r="K12" i="71"/>
  <c r="L12" i="71"/>
  <c r="R12" i="71"/>
  <c r="K152" i="71"/>
  <c r="L152" i="71"/>
  <c r="R152" i="71"/>
  <c r="K132" i="71"/>
  <c r="K161" i="71"/>
  <c r="L161" i="71"/>
  <c r="R161" i="71"/>
  <c r="K18" i="71"/>
  <c r="L18" i="71"/>
  <c r="R18" i="71"/>
  <c r="K85" i="71"/>
  <c r="L85" i="71"/>
  <c r="K127" i="71"/>
  <c r="L127" i="71"/>
  <c r="R127" i="71"/>
  <c r="K77" i="71"/>
  <c r="K123" i="71"/>
  <c r="K84" i="71"/>
  <c r="L84" i="71"/>
  <c r="R84" i="71"/>
  <c r="K157" i="71"/>
  <c r="L157" i="71"/>
  <c r="R157" i="71"/>
  <c r="K81" i="71"/>
  <c r="L81" i="71"/>
  <c r="R81" i="71"/>
  <c r="K79" i="71"/>
  <c r="L79" i="71"/>
  <c r="R79" i="71"/>
  <c r="K119" i="71"/>
  <c r="L119" i="71"/>
  <c r="K51" i="71"/>
  <c r="L51" i="71"/>
  <c r="R51" i="71"/>
  <c r="K168" i="71"/>
  <c r="L168" i="71"/>
  <c r="R168" i="71"/>
  <c r="K162" i="71"/>
  <c r="L162" i="71"/>
  <c r="R162" i="71"/>
  <c r="K16" i="71"/>
  <c r="L16" i="71"/>
  <c r="R16" i="71"/>
  <c r="K140" i="71"/>
  <c r="L140" i="71"/>
  <c r="R140" i="71"/>
  <c r="K129" i="71"/>
  <c r="L129" i="71"/>
  <c r="K167" i="71"/>
  <c r="L167" i="71"/>
  <c r="R167" i="71"/>
  <c r="K50" i="71"/>
  <c r="L50" i="71"/>
  <c r="R50" i="71"/>
  <c r="K116" i="71"/>
  <c r="L116" i="71"/>
  <c r="K69" i="71"/>
  <c r="L69" i="71"/>
  <c r="R69" i="71"/>
  <c r="K87" i="71"/>
  <c r="L87" i="71"/>
  <c r="R87" i="71"/>
  <c r="K62" i="71"/>
  <c r="L62" i="71"/>
  <c r="K150" i="71"/>
  <c r="L150" i="71"/>
  <c r="R150" i="71"/>
  <c r="K71" i="71"/>
  <c r="L71" i="71"/>
  <c r="K59" i="71"/>
  <c r="K91" i="71"/>
  <c r="L91" i="71"/>
  <c r="K107" i="71"/>
  <c r="L107" i="71"/>
  <c r="L28" i="140"/>
  <c r="K169" i="71"/>
  <c r="L169" i="71"/>
  <c r="R169" i="71"/>
  <c r="K13" i="71"/>
  <c r="L13" i="71"/>
  <c r="R13" i="71"/>
  <c r="K159" i="71"/>
  <c r="L159" i="71"/>
  <c r="R159" i="71"/>
  <c r="K115" i="71"/>
  <c r="L115" i="71"/>
  <c r="R115" i="71"/>
  <c r="K163" i="71"/>
  <c r="L163" i="71"/>
  <c r="R163" i="71"/>
  <c r="K49" i="71"/>
  <c r="L49" i="71"/>
  <c r="R49" i="71"/>
  <c r="K141" i="71"/>
  <c r="K93" i="71"/>
  <c r="L93" i="71"/>
  <c r="R93" i="71"/>
  <c r="K122" i="71"/>
  <c r="L122" i="71"/>
  <c r="L29" i="140"/>
  <c r="K125" i="71"/>
  <c r="L125" i="71"/>
  <c r="K19" i="71"/>
  <c r="L19" i="71"/>
  <c r="K145" i="71"/>
  <c r="L145" i="71"/>
  <c r="R145" i="71"/>
  <c r="K135" i="71"/>
  <c r="L135" i="71"/>
  <c r="R135" i="71"/>
  <c r="K151" i="71"/>
  <c r="L151" i="71"/>
  <c r="R151" i="71"/>
  <c r="K160" i="71"/>
  <c r="L160" i="71"/>
  <c r="R160" i="71"/>
  <c r="K170" i="71"/>
  <c r="L170" i="71"/>
  <c r="R170" i="71"/>
  <c r="K89" i="71"/>
  <c r="K144" i="71"/>
  <c r="L144" i="71"/>
  <c r="R144" i="71"/>
  <c r="K153" i="71"/>
  <c r="L153" i="71"/>
  <c r="R153" i="71"/>
  <c r="K52" i="71"/>
  <c r="L52" i="71"/>
  <c r="K80" i="71"/>
  <c r="L80" i="71"/>
  <c r="R80" i="71"/>
  <c r="K126" i="71"/>
  <c r="L126" i="71"/>
  <c r="K114" i="71"/>
  <c r="K22" i="71"/>
  <c r="L22" i="71"/>
  <c r="R22" i="71"/>
  <c r="K142" i="71"/>
  <c r="K8" i="71"/>
  <c r="L8" i="71"/>
  <c r="R8" i="71"/>
  <c r="K95" i="71"/>
  <c r="L95" i="71"/>
  <c r="K11" i="71"/>
  <c r="L11" i="71"/>
  <c r="R11" i="71"/>
  <c r="K86" i="71"/>
  <c r="L86" i="71"/>
  <c r="R86" i="71"/>
  <c r="K166" i="71"/>
  <c r="L166" i="71"/>
  <c r="R166" i="71"/>
  <c r="K156" i="71"/>
  <c r="L156" i="71"/>
  <c r="R156" i="71"/>
  <c r="K155" i="71"/>
  <c r="L155" i="71"/>
  <c r="R155" i="71"/>
  <c r="K134" i="71"/>
  <c r="L134" i="71"/>
  <c r="R134" i="71"/>
  <c r="K117" i="71"/>
  <c r="L117" i="71"/>
  <c r="K55" i="71"/>
  <c r="L55" i="71"/>
  <c r="R55" i="71"/>
  <c r="K9" i="71"/>
  <c r="K54" i="71"/>
  <c r="K158" i="71"/>
  <c r="L158" i="71"/>
  <c r="R158" i="71"/>
  <c r="K171" i="71"/>
  <c r="L171" i="71"/>
  <c r="R171" i="71"/>
  <c r="K133" i="71"/>
  <c r="K164" i="71"/>
  <c r="L164" i="71"/>
  <c r="R164" i="71"/>
  <c r="K66" i="71"/>
  <c r="L66" i="71"/>
  <c r="L25" i="140"/>
  <c r="K56" i="71"/>
  <c r="L56" i="71"/>
  <c r="R56" i="71"/>
  <c r="K28" i="71"/>
  <c r="L28" i="71"/>
  <c r="K74" i="71"/>
  <c r="L74" i="71"/>
  <c r="R74" i="71"/>
  <c r="K88" i="71"/>
  <c r="L88" i="71"/>
  <c r="K72" i="71"/>
  <c r="L72" i="71"/>
  <c r="R72" i="71"/>
  <c r="K24" i="71"/>
  <c r="L24" i="71"/>
  <c r="R24" i="71"/>
  <c r="K118" i="71"/>
  <c r="K109" i="71"/>
  <c r="L109" i="71"/>
  <c r="R109" i="71"/>
  <c r="K21" i="71"/>
  <c r="L21" i="71"/>
  <c r="L27" i="140"/>
  <c r="K128" i="71"/>
  <c r="L128" i="71"/>
  <c r="R128" i="71"/>
  <c r="K98" i="71"/>
  <c r="L98" i="71"/>
  <c r="K29" i="71"/>
  <c r="L29" i="71"/>
  <c r="R29" i="71"/>
  <c r="K26" i="71"/>
  <c r="L26" i="71"/>
  <c r="R26" i="71"/>
  <c r="K113" i="71"/>
  <c r="L113" i="71"/>
  <c r="R113" i="71"/>
  <c r="K31" i="71"/>
  <c r="L31" i="71"/>
  <c r="K38" i="71"/>
  <c r="L38" i="71"/>
  <c r="R38" i="71"/>
  <c r="K23" i="71"/>
  <c r="L23" i="71"/>
  <c r="K131" i="71"/>
  <c r="L131" i="71"/>
  <c r="K33" i="71"/>
  <c r="L33" i="71"/>
  <c r="R33" i="71"/>
  <c r="K30" i="71"/>
  <c r="L30" i="71"/>
  <c r="K36" i="71"/>
  <c r="L36" i="71"/>
  <c r="K44" i="71"/>
  <c r="L44" i="71"/>
  <c r="K112" i="71"/>
  <c r="K27" i="71"/>
  <c r="L27" i="71"/>
  <c r="R27" i="71"/>
  <c r="K34" i="71"/>
  <c r="L34" i="71"/>
  <c r="K45" i="71"/>
  <c r="L45" i="71"/>
  <c r="R45" i="71"/>
  <c r="K130" i="71"/>
  <c r="K40" i="71"/>
  <c r="L40" i="71"/>
  <c r="K67" i="71"/>
  <c r="L67" i="71"/>
  <c r="R67" i="71"/>
  <c r="K32" i="71"/>
  <c r="L32" i="71"/>
  <c r="K68" i="71"/>
  <c r="L68" i="71"/>
  <c r="K39" i="71"/>
  <c r="L39" i="71"/>
  <c r="R39" i="71"/>
  <c r="K104" i="71"/>
  <c r="L104" i="71"/>
  <c r="K37" i="71"/>
  <c r="L37" i="71"/>
  <c r="R37" i="71"/>
  <c r="K96" i="71"/>
  <c r="L96" i="71"/>
  <c r="K61" i="71"/>
  <c r="L61" i="71"/>
  <c r="K57" i="71"/>
  <c r="L57" i="71"/>
  <c r="R57" i="71"/>
  <c r="K25" i="71"/>
  <c r="L25" i="71"/>
  <c r="K124" i="71"/>
  <c r="L124" i="71"/>
  <c r="K20" i="71"/>
  <c r="L20" i="71"/>
  <c r="R20" i="71"/>
  <c r="K76" i="71"/>
  <c r="L76" i="71"/>
  <c r="R76" i="71"/>
  <c r="K64" i="71"/>
  <c r="L64" i="71"/>
  <c r="K7" i="71"/>
  <c r="L7" i="71"/>
  <c r="K103" i="71"/>
  <c r="L103" i="71"/>
  <c r="K46" i="71"/>
  <c r="L46" i="71"/>
  <c r="K65" i="71"/>
  <c r="L65" i="71"/>
  <c r="K97" i="71"/>
  <c r="L97" i="71"/>
  <c r="K48" i="71"/>
  <c r="L48" i="71"/>
  <c r="R48" i="71"/>
  <c r="K47" i="71"/>
  <c r="L47" i="71"/>
  <c r="K73" i="71"/>
  <c r="L73" i="71"/>
  <c r="K94" i="71"/>
  <c r="L94" i="71"/>
  <c r="K105" i="71"/>
  <c r="L105" i="71"/>
  <c r="K106" i="71"/>
  <c r="L106" i="71"/>
  <c r="K60" i="71"/>
  <c r="L60" i="71"/>
  <c r="K53" i="71"/>
  <c r="L53" i="71"/>
  <c r="R53" i="71"/>
  <c r="K63" i="71"/>
  <c r="L63" i="71"/>
  <c r="L26" i="140"/>
  <c r="K58" i="71"/>
  <c r="L58" i="71"/>
  <c r="K41" i="71"/>
  <c r="L41" i="71"/>
  <c r="K35" i="71"/>
  <c r="L35" i="71"/>
  <c r="K101" i="71"/>
  <c r="L101" i="71"/>
  <c r="K43" i="71"/>
  <c r="L43" i="71"/>
  <c r="K110" i="71"/>
  <c r="L110" i="71"/>
  <c r="K42" i="71"/>
  <c r="L42" i="71"/>
  <c r="K111" i="71"/>
  <c r="L111" i="71"/>
  <c r="K99" i="71"/>
  <c r="L99" i="71"/>
  <c r="K100" i="71"/>
  <c r="L100" i="71"/>
  <c r="B3" i="46"/>
  <c r="H27" i="140"/>
  <c r="N80" i="101"/>
  <c r="N83" i="101"/>
  <c r="H8" i="140"/>
  <c r="N87" i="101"/>
  <c r="N86" i="101"/>
  <c r="G87" i="149"/>
  <c r="G132" i="149"/>
  <c r="F219" i="146"/>
  <c r="J219" i="146"/>
  <c r="G82" i="149"/>
  <c r="F125" i="146"/>
  <c r="J125" i="146"/>
  <c r="C6" i="30"/>
  <c r="N78" i="101"/>
  <c r="L103" i="101"/>
  <c r="N79" i="101"/>
  <c r="B3" i="30"/>
  <c r="E4" i="30"/>
  <c r="D6" i="30"/>
  <c r="N89" i="101"/>
  <c r="N84" i="101"/>
  <c r="H29" i="140"/>
  <c r="N85" i="101"/>
  <c r="D8" i="28"/>
  <c r="A12" i="110"/>
  <c r="B5" i="110"/>
  <c r="E3" i="110"/>
  <c r="N81" i="101"/>
  <c r="H26" i="140"/>
  <c r="H15" i="140"/>
  <c r="N90" i="101"/>
  <c r="H9" i="140"/>
  <c r="H25" i="140"/>
  <c r="R46" i="71"/>
  <c r="R85" i="71"/>
  <c r="R62" i="71"/>
  <c r="R65" i="71"/>
  <c r="R44" i="71"/>
  <c r="R10" i="71"/>
  <c r="R47" i="71"/>
  <c r="R139" i="71"/>
  <c r="R30" i="71"/>
  <c r="R129" i="71"/>
  <c r="R52" i="71"/>
  <c r="R92" i="71"/>
  <c r="R36" i="71"/>
  <c r="R28" i="71"/>
  <c r="R88" i="71"/>
  <c r="R73" i="71"/>
  <c r="R35" i="71"/>
  <c r="R124" i="71"/>
  <c r="R125" i="71"/>
  <c r="R31" i="71"/>
  <c r="R58" i="71"/>
  <c r="E39" i="175"/>
  <c r="J39" i="175"/>
  <c r="J13" i="28"/>
  <c r="R68" i="71"/>
  <c r="R137" i="71"/>
  <c r="R138" i="71"/>
  <c r="R60" i="71"/>
  <c r="R61" i="71"/>
  <c r="E16" i="175"/>
  <c r="J16" i="175"/>
  <c r="E24" i="175"/>
  <c r="J24" i="175"/>
  <c r="G129" i="149"/>
  <c r="R64" i="71"/>
  <c r="R25" i="71"/>
  <c r="R23" i="71"/>
  <c r="R32" i="71"/>
  <c r="E21" i="175"/>
  <c r="J21" i="175"/>
  <c r="G112" i="149"/>
  <c r="R40" i="71"/>
  <c r="R126" i="71"/>
  <c r="R131" i="71"/>
  <c r="R19" i="71"/>
  <c r="R71" i="71"/>
  <c r="R34" i="71"/>
  <c r="E10" i="175"/>
  <c r="E9" i="175"/>
  <c r="J9" i="175"/>
  <c r="G17" i="149"/>
  <c r="E20" i="175"/>
  <c r="J20" i="175"/>
  <c r="G109" i="149"/>
  <c r="F79" i="146"/>
  <c r="J79" i="146"/>
  <c r="R43" i="71"/>
  <c r="R14" i="71"/>
  <c r="O22" i="102"/>
  <c r="C7" i="157"/>
  <c r="F8" i="149"/>
  <c r="E8" i="146"/>
  <c r="I8" i="146"/>
  <c r="F72" i="149"/>
  <c r="E64" i="146"/>
  <c r="I64" i="146"/>
  <c r="E17" i="175"/>
  <c r="J17" i="175"/>
  <c r="G72" i="149"/>
  <c r="F7" i="149"/>
  <c r="E7" i="146"/>
  <c r="I7" i="146"/>
  <c r="F135" i="149"/>
  <c r="F44" i="149"/>
  <c r="E42" i="146"/>
  <c r="I42" i="146"/>
  <c r="E29" i="175"/>
  <c r="J29" i="175"/>
  <c r="F192" i="149"/>
  <c r="E165" i="146"/>
  <c r="I165" i="146"/>
  <c r="F193" i="149"/>
  <c r="E166" i="146"/>
  <c r="I166" i="146"/>
  <c r="F235" i="149"/>
  <c r="E199" i="146"/>
  <c r="I199" i="146"/>
  <c r="F236" i="149"/>
  <c r="E200" i="146"/>
  <c r="I200" i="146"/>
  <c r="F165" i="149"/>
  <c r="E143" i="146"/>
  <c r="I143" i="146"/>
  <c r="F164" i="149"/>
  <c r="E142" i="146"/>
  <c r="I142" i="146"/>
  <c r="F58" i="149"/>
  <c r="E52" i="146"/>
  <c r="I52" i="146"/>
  <c r="F171" i="149"/>
  <c r="F170" i="149"/>
  <c r="F230" i="149"/>
  <c r="F231" i="149"/>
  <c r="F179" i="149"/>
  <c r="F228" i="149"/>
  <c r="F229" i="149"/>
  <c r="E195" i="146"/>
  <c r="I195" i="146"/>
  <c r="F181" i="149"/>
  <c r="F180" i="149"/>
  <c r="F142" i="149"/>
  <c r="F143" i="149"/>
  <c r="E121" i="146"/>
  <c r="I121" i="146"/>
  <c r="F200" i="149"/>
  <c r="E172" i="146"/>
  <c r="I172" i="146"/>
  <c r="F199" i="149"/>
  <c r="E171" i="146"/>
  <c r="I171" i="146"/>
  <c r="E207" i="146"/>
  <c r="I207" i="146"/>
  <c r="F211" i="149"/>
  <c r="F212" i="149"/>
  <c r="E181" i="146"/>
  <c r="I181" i="146"/>
  <c r="F213" i="149"/>
  <c r="E182" i="146"/>
  <c r="I182" i="146"/>
  <c r="F156" i="149"/>
  <c r="E134" i="146"/>
  <c r="I134" i="146"/>
  <c r="F155" i="149"/>
  <c r="E133" i="146"/>
  <c r="I133" i="146"/>
  <c r="F154" i="149"/>
  <c r="F188" i="149"/>
  <c r="F187" i="149"/>
  <c r="E160" i="146"/>
  <c r="I160" i="146"/>
  <c r="F185" i="149"/>
  <c r="E159" i="146"/>
  <c r="I159" i="146"/>
  <c r="F186" i="149"/>
  <c r="E183" i="146"/>
  <c r="I183" i="146"/>
  <c r="F196" i="149"/>
  <c r="E129" i="146"/>
  <c r="I129" i="146"/>
  <c r="E30" i="175"/>
  <c r="J30" i="175"/>
  <c r="F202" i="149"/>
  <c r="F191" i="149"/>
  <c r="E164" i="146"/>
  <c r="I164" i="146"/>
  <c r="F176" i="149"/>
  <c r="E151" i="146"/>
  <c r="I151" i="146"/>
  <c r="F203" i="149"/>
  <c r="E174" i="146"/>
  <c r="I174" i="146"/>
  <c r="F189" i="149"/>
  <c r="E162" i="146"/>
  <c r="I162" i="146"/>
  <c r="F201" i="149"/>
  <c r="F175" i="149"/>
  <c r="F190" i="149"/>
  <c r="E163" i="146"/>
  <c r="I163" i="146"/>
  <c r="F204" i="149"/>
  <c r="E175" i="146"/>
  <c r="I175" i="146"/>
  <c r="F234" i="149"/>
  <c r="E198" i="146"/>
  <c r="I198" i="146"/>
  <c r="F177" i="149"/>
  <c r="E152" i="146"/>
  <c r="I152" i="146"/>
  <c r="F178" i="149"/>
  <c r="E117" i="146"/>
  <c r="I117" i="146"/>
  <c r="F160" i="149"/>
  <c r="E138" i="146"/>
  <c r="I138" i="146"/>
  <c r="F163" i="149"/>
  <c r="E140" i="146"/>
  <c r="I140" i="146"/>
  <c r="F166" i="149"/>
  <c r="F198" i="149"/>
  <c r="E170" i="146"/>
  <c r="I170" i="146"/>
  <c r="F140" i="149"/>
  <c r="E118" i="146"/>
  <c r="I118" i="146"/>
  <c r="F158" i="149"/>
  <c r="E136" i="146"/>
  <c r="I136" i="146"/>
  <c r="F167" i="149"/>
  <c r="F223" i="149"/>
  <c r="E191" i="146"/>
  <c r="I191" i="146"/>
  <c r="F248" i="149"/>
  <c r="E209" i="146"/>
  <c r="I209" i="146"/>
  <c r="F250" i="149"/>
  <c r="F253" i="149"/>
  <c r="E214" i="146"/>
  <c r="I214" i="146"/>
  <c r="F276" i="149"/>
  <c r="E232" i="146"/>
  <c r="I232" i="146"/>
  <c r="F152" i="149"/>
  <c r="E130" i="146"/>
  <c r="I130" i="146"/>
  <c r="F168" i="149"/>
  <c r="F252" i="149"/>
  <c r="E213" i="146"/>
  <c r="I213" i="146"/>
  <c r="F159" i="149"/>
  <c r="E137" i="146"/>
  <c r="I137" i="146"/>
  <c r="F249" i="149"/>
  <c r="F255" i="149"/>
  <c r="E216" i="146"/>
  <c r="I216" i="146"/>
  <c r="F161" i="149"/>
  <c r="E139" i="146"/>
  <c r="I139" i="146"/>
  <c r="F210" i="149"/>
  <c r="F141" i="149"/>
  <c r="E119" i="146"/>
  <c r="I119" i="146"/>
  <c r="F162" i="149"/>
  <c r="E141" i="146"/>
  <c r="I141" i="146"/>
  <c r="F151" i="149"/>
  <c r="F169" i="149"/>
  <c r="E145" i="146"/>
  <c r="I145" i="146"/>
  <c r="F275" i="149"/>
  <c r="E231" i="146"/>
  <c r="I231" i="146"/>
  <c r="F254" i="149"/>
  <c r="E215" i="146"/>
  <c r="I215" i="146"/>
  <c r="F157" i="149"/>
  <c r="E135" i="146"/>
  <c r="I135" i="146"/>
  <c r="F251" i="149"/>
  <c r="E212" i="146"/>
  <c r="I212" i="146"/>
  <c r="F197" i="149"/>
  <c r="E169" i="146"/>
  <c r="I169" i="146"/>
  <c r="F139" i="149"/>
  <c r="E116" i="146"/>
  <c r="I116" i="146"/>
  <c r="F9" i="149"/>
  <c r="F174" i="149"/>
  <c r="F220" i="149"/>
  <c r="E188" i="146"/>
  <c r="I188" i="146"/>
  <c r="F172" i="149"/>
  <c r="F219" i="149"/>
  <c r="E187" i="146"/>
  <c r="I187" i="146"/>
  <c r="F218" i="149"/>
  <c r="E186" i="146"/>
  <c r="I186" i="146"/>
  <c r="F153" i="149"/>
  <c r="E131" i="146"/>
  <c r="I131" i="146"/>
  <c r="F173" i="149"/>
  <c r="F138" i="149"/>
  <c r="E115" i="146"/>
  <c r="I115" i="146"/>
  <c r="F137" i="149"/>
  <c r="F122" i="149"/>
  <c r="F195" i="149"/>
  <c r="E168" i="146"/>
  <c r="I168" i="146"/>
  <c r="F148" i="149"/>
  <c r="F194" i="149"/>
  <c r="F150" i="149"/>
  <c r="E127" i="146"/>
  <c r="I127" i="146"/>
  <c r="F149" i="149"/>
  <c r="E126" i="146"/>
  <c r="I126" i="146"/>
  <c r="F268" i="149"/>
  <c r="E225" i="146"/>
  <c r="I225" i="146"/>
  <c r="F270" i="149"/>
  <c r="F266" i="149"/>
  <c r="E223" i="146"/>
  <c r="I223" i="146"/>
  <c r="F269" i="149"/>
  <c r="F272" i="149"/>
  <c r="E228" i="146"/>
  <c r="I228" i="146"/>
  <c r="F267" i="149"/>
  <c r="F271" i="149"/>
  <c r="E227" i="146"/>
  <c r="I227" i="146"/>
  <c r="F208" i="149"/>
  <c r="E178" i="146"/>
  <c r="I178" i="146"/>
  <c r="F206" i="149"/>
  <c r="E177" i="146"/>
  <c r="I177" i="146"/>
  <c r="F209" i="149"/>
  <c r="F207" i="149"/>
  <c r="F205" i="149"/>
  <c r="E176" i="146"/>
  <c r="I176" i="146"/>
  <c r="E27" i="175"/>
  <c r="J27" i="175"/>
  <c r="F146" i="149"/>
  <c r="F144" i="149"/>
  <c r="E123" i="146"/>
  <c r="I123" i="146"/>
  <c r="F145" i="149"/>
  <c r="E122" i="146"/>
  <c r="I122" i="146"/>
  <c r="F232" i="149"/>
  <c r="E196" i="146"/>
  <c r="I196" i="146"/>
  <c r="F273" i="149"/>
  <c r="E229" i="146"/>
  <c r="I229" i="146"/>
  <c r="F274" i="149"/>
  <c r="E230" i="146"/>
  <c r="I230" i="146"/>
  <c r="F233" i="149"/>
  <c r="E8" i="175"/>
  <c r="J8" i="175"/>
  <c r="F277" i="149"/>
  <c r="F182" i="149"/>
  <c r="F183" i="149"/>
  <c r="F237" i="149"/>
  <c r="F214" i="149"/>
  <c r="F222" i="149"/>
  <c r="E190" i="146"/>
  <c r="I190" i="146"/>
  <c r="F221" i="149"/>
  <c r="E189" i="146"/>
  <c r="I189" i="146"/>
  <c r="E26" i="175"/>
  <c r="J26" i="175"/>
  <c r="G184" i="149"/>
  <c r="F184" i="149"/>
  <c r="F21" i="149"/>
  <c r="F37" i="149"/>
  <c r="E36" i="146"/>
  <c r="I36" i="146"/>
  <c r="J47" i="175"/>
  <c r="F11" i="149"/>
  <c r="E110" i="146"/>
  <c r="I110" i="146"/>
  <c r="F13" i="149"/>
  <c r="F54" i="149"/>
  <c r="E12" i="175"/>
  <c r="J12" i="175"/>
  <c r="F14" i="149"/>
  <c r="E14" i="146"/>
  <c r="I14" i="146"/>
  <c r="F98" i="149"/>
  <c r="E83" i="146"/>
  <c r="I83" i="146"/>
  <c r="F133" i="149"/>
  <c r="E111" i="146"/>
  <c r="I111" i="146"/>
  <c r="E36" i="175"/>
  <c r="J36" i="175"/>
  <c r="F19" i="149"/>
  <c r="E19" i="146"/>
  <c r="I19" i="146"/>
  <c r="F113" i="149"/>
  <c r="F114" i="149"/>
  <c r="E95" i="146"/>
  <c r="I95" i="146"/>
  <c r="F117" i="149"/>
  <c r="E98" i="146"/>
  <c r="I98" i="146"/>
  <c r="F74" i="149"/>
  <c r="E28" i="175"/>
  <c r="J28" i="175"/>
  <c r="F61" i="149"/>
  <c r="E55" i="146"/>
  <c r="I55" i="146"/>
  <c r="F92" i="149"/>
  <c r="F100" i="149"/>
  <c r="E85" i="146"/>
  <c r="I85" i="146"/>
  <c r="F46" i="149"/>
  <c r="F47" i="149"/>
  <c r="F79" i="149"/>
  <c r="F86" i="149"/>
  <c r="E73" i="146"/>
  <c r="I73" i="146"/>
  <c r="F123" i="149"/>
  <c r="E103" i="146"/>
  <c r="I103" i="146"/>
  <c r="F81" i="149"/>
  <c r="F101" i="149"/>
  <c r="E86" i="146"/>
  <c r="I86" i="146"/>
  <c r="F75" i="149"/>
  <c r="E10" i="146"/>
  <c r="I10" i="146"/>
  <c r="F43" i="149"/>
  <c r="E41" i="146"/>
  <c r="I41" i="146"/>
  <c r="J23" i="175"/>
  <c r="E46" i="175"/>
  <c r="J46" i="175"/>
  <c r="F68" i="149"/>
  <c r="E62" i="146"/>
  <c r="I62" i="146"/>
  <c r="F71" i="149"/>
  <c r="E63" i="146"/>
  <c r="I63" i="146"/>
  <c r="F99" i="149"/>
  <c r="E84" i="146"/>
  <c r="I84" i="146"/>
  <c r="F56" i="149"/>
  <c r="E50" i="146"/>
  <c r="I50" i="146"/>
  <c r="F22" i="149"/>
  <c r="E21" i="146"/>
  <c r="I21" i="146"/>
  <c r="F83" i="149"/>
  <c r="F115" i="149"/>
  <c r="E96" i="146"/>
  <c r="I96" i="146"/>
  <c r="F88" i="149"/>
  <c r="E76" i="146"/>
  <c r="I76" i="146"/>
  <c r="F78" i="149"/>
  <c r="F136" i="149"/>
  <c r="E114" i="146"/>
  <c r="I114" i="146"/>
  <c r="F26" i="149"/>
  <c r="F33" i="149"/>
  <c r="E32" i="146"/>
  <c r="I32" i="146"/>
  <c r="F52" i="149"/>
  <c r="E48" i="146"/>
  <c r="I48" i="146"/>
  <c r="F30" i="149"/>
  <c r="F65" i="149"/>
  <c r="E59" i="146"/>
  <c r="I59" i="146"/>
  <c r="F67" i="149"/>
  <c r="E60" i="146"/>
  <c r="I60" i="146"/>
  <c r="F18" i="149"/>
  <c r="E18" i="146"/>
  <c r="I18" i="146"/>
  <c r="F84" i="149"/>
  <c r="F57" i="149"/>
  <c r="E51" i="146"/>
  <c r="I51" i="146"/>
  <c r="F25" i="149"/>
  <c r="F111" i="149"/>
  <c r="E93" i="146"/>
  <c r="I93" i="146"/>
  <c r="F41" i="149"/>
  <c r="E39" i="146"/>
  <c r="I39" i="146"/>
  <c r="F49" i="149"/>
  <c r="F66" i="149"/>
  <c r="E61" i="146"/>
  <c r="I61" i="146"/>
  <c r="F85" i="149"/>
  <c r="F55" i="149"/>
  <c r="F96" i="149"/>
  <c r="E81" i="146"/>
  <c r="I81" i="146"/>
  <c r="F12" i="149"/>
  <c r="F112" i="149"/>
  <c r="E94" i="146"/>
  <c r="I94" i="146"/>
  <c r="F39" i="149"/>
  <c r="E38" i="146"/>
  <c r="I38" i="146"/>
  <c r="F89" i="149"/>
  <c r="E220" i="146"/>
  <c r="I220" i="146"/>
  <c r="F40" i="149"/>
  <c r="J42" i="175"/>
  <c r="F80" i="149"/>
  <c r="F53" i="149"/>
  <c r="E49" i="146"/>
  <c r="I49" i="146"/>
  <c r="F97" i="149"/>
  <c r="E82" i="146"/>
  <c r="I82" i="146"/>
  <c r="E205" i="146"/>
  <c r="I205" i="146"/>
  <c r="E206" i="146"/>
  <c r="I206" i="146"/>
  <c r="F35" i="149"/>
  <c r="E34" i="146"/>
  <c r="I34" i="146"/>
  <c r="F121" i="149"/>
  <c r="E102" i="146"/>
  <c r="I102" i="146"/>
  <c r="F134" i="149"/>
  <c r="J18" i="175"/>
  <c r="G101" i="149"/>
  <c r="F20" i="149"/>
  <c r="E17" i="146"/>
  <c r="I17" i="146"/>
  <c r="F36" i="149"/>
  <c r="E35" i="146"/>
  <c r="I35" i="146"/>
  <c r="F38" i="149"/>
  <c r="E37" i="146"/>
  <c r="I37" i="146"/>
  <c r="F94" i="149"/>
  <c r="E74" i="146"/>
  <c r="I74" i="146"/>
  <c r="F120" i="149"/>
  <c r="E101" i="146"/>
  <c r="I101" i="146"/>
  <c r="F50" i="149"/>
  <c r="E46" i="146"/>
  <c r="I46" i="146"/>
  <c r="E218" i="146"/>
  <c r="I218" i="146"/>
  <c r="F51" i="149"/>
  <c r="E47" i="146"/>
  <c r="I47" i="146"/>
  <c r="E37" i="175"/>
  <c r="J37" i="175"/>
  <c r="J31" i="175"/>
  <c r="F69" i="149"/>
  <c r="F128" i="149"/>
  <c r="F70" i="149"/>
  <c r="E19" i="175"/>
  <c r="J19" i="175"/>
  <c r="G102" i="149"/>
  <c r="F131" i="149"/>
  <c r="E109" i="146"/>
  <c r="I109" i="146"/>
  <c r="J10" i="175"/>
  <c r="G30" i="149"/>
  <c r="E40" i="146"/>
  <c r="I40" i="146"/>
  <c r="E194" i="146"/>
  <c r="I194" i="146"/>
  <c r="F119" i="149"/>
  <c r="E100" i="146"/>
  <c r="I100" i="146"/>
  <c r="F129" i="149"/>
  <c r="E107" i="146"/>
  <c r="I107" i="146"/>
  <c r="F106" i="149"/>
  <c r="F107" i="149"/>
  <c r="E90" i="146"/>
  <c r="I90" i="146"/>
  <c r="E92" i="146"/>
  <c r="I92" i="146"/>
  <c r="F77" i="149"/>
  <c r="F130" i="149"/>
  <c r="E75" i="146"/>
  <c r="I75" i="146"/>
  <c r="F105" i="149"/>
  <c r="F108" i="149"/>
  <c r="E91" i="146"/>
  <c r="I91" i="146"/>
  <c r="F102" i="149"/>
  <c r="E87" i="146"/>
  <c r="I87" i="146"/>
  <c r="F118" i="149"/>
  <c r="E99" i="146"/>
  <c r="I99" i="146"/>
  <c r="E34" i="175"/>
  <c r="J34" i="175"/>
  <c r="F103" i="149"/>
  <c r="E88" i="146"/>
  <c r="I88" i="146"/>
  <c r="F73" i="149"/>
  <c r="F48" i="149"/>
  <c r="E44" i="146"/>
  <c r="I44" i="146"/>
  <c r="F45" i="149"/>
  <c r="F110" i="149"/>
  <c r="F76" i="149"/>
  <c r="E11" i="175"/>
  <c r="J11" i="175"/>
  <c r="F31" i="149"/>
  <c r="E89" i="146"/>
  <c r="I89" i="146"/>
  <c r="J33" i="175"/>
  <c r="F60" i="149"/>
  <c r="E54" i="146"/>
  <c r="I54" i="146"/>
  <c r="F32" i="149"/>
  <c r="E31" i="146"/>
  <c r="I31" i="146"/>
  <c r="E33" i="146"/>
  <c r="I33" i="146"/>
  <c r="E25" i="175"/>
  <c r="J25" i="175"/>
  <c r="C5" i="30"/>
  <c r="D6" i="107"/>
  <c r="D8" i="107"/>
  <c r="J22" i="175"/>
  <c r="R42" i="71"/>
  <c r="F62" i="149"/>
  <c r="E56" i="146"/>
  <c r="I56" i="146"/>
  <c r="E38" i="175"/>
  <c r="J38" i="175"/>
  <c r="J14" i="175"/>
  <c r="G62" i="149"/>
  <c r="F64" i="149"/>
  <c r="E58" i="146"/>
  <c r="I58" i="146"/>
  <c r="F59" i="149"/>
  <c r="E193" i="146"/>
  <c r="I193" i="146"/>
  <c r="E192" i="146"/>
  <c r="I192" i="146"/>
  <c r="F63" i="149"/>
  <c r="E208" i="146"/>
  <c r="I208" i="146"/>
  <c r="F124" i="149"/>
  <c r="E204" i="146"/>
  <c r="I204" i="146"/>
  <c r="F126" i="149"/>
  <c r="F125" i="149"/>
  <c r="E203" i="146"/>
  <c r="I203" i="146"/>
  <c r="E97" i="146"/>
  <c r="I97" i="146"/>
  <c r="J35" i="175"/>
  <c r="J15" i="175"/>
  <c r="G65" i="149"/>
  <c r="J44" i="175"/>
  <c r="J13" i="175"/>
  <c r="G61" i="149"/>
  <c r="J43" i="175"/>
  <c r="J32" i="175"/>
  <c r="R41" i="71"/>
  <c r="E6" i="30"/>
  <c r="R7" i="71"/>
  <c r="R107" i="71"/>
  <c r="R116" i="71"/>
  <c r="R66" i="71"/>
  <c r="R117" i="71"/>
  <c r="R111" i="71"/>
  <c r="R63" i="71"/>
  <c r="R97" i="71"/>
  <c r="R122" i="71"/>
  <c r="R94" i="71"/>
  <c r="R100" i="71"/>
  <c r="R90" i="71"/>
  <c r="R91" i="71"/>
  <c r="R101" i="71"/>
  <c r="R110" i="71"/>
  <c r="R98" i="71"/>
  <c r="R106" i="71"/>
  <c r="R96" i="71"/>
  <c r="R103" i="71"/>
  <c r="R21" i="71"/>
  <c r="R105" i="71"/>
  <c r="R119" i="71"/>
  <c r="L130" i="71"/>
  <c r="Q7" i="102"/>
  <c r="L54" i="71"/>
  <c r="Q8" i="102"/>
  <c r="R104" i="71"/>
  <c r="L9" i="71"/>
  <c r="Q10" i="102"/>
  <c r="L132" i="71"/>
  <c r="Q16" i="102"/>
  <c r="A11" i="110"/>
  <c r="B8" i="28"/>
  <c r="N103" i="101"/>
  <c r="D7" i="158"/>
  <c r="R99" i="71"/>
  <c r="L123" i="71"/>
  <c r="Q15" i="102"/>
  <c r="D7" i="157"/>
  <c r="L112" i="71"/>
  <c r="Q12" i="102"/>
  <c r="Q21" i="102"/>
  <c r="L118" i="71"/>
  <c r="L142" i="71"/>
  <c r="Q17" i="102"/>
  <c r="Q19" i="102"/>
  <c r="L89" i="71"/>
  <c r="L77" i="71"/>
  <c r="Q14" i="102"/>
  <c r="D19" i="28"/>
  <c r="Q11" i="102"/>
  <c r="L102" i="71"/>
  <c r="F16" i="149"/>
  <c r="F24" i="149"/>
  <c r="F28" i="149"/>
  <c r="E70" i="146"/>
  <c r="I70" i="146"/>
  <c r="F29" i="149"/>
  <c r="F15" i="149"/>
  <c r="F95" i="149"/>
  <c r="F278" i="149"/>
  <c r="F27" i="149"/>
  <c r="F93" i="149"/>
  <c r="F23" i="149"/>
  <c r="L133" i="71"/>
  <c r="Q9" i="102"/>
  <c r="B7" i="30"/>
  <c r="E3" i="30"/>
  <c r="C6" i="107"/>
  <c r="L114" i="71"/>
  <c r="Q13" i="102"/>
  <c r="L141" i="71"/>
  <c r="Q18" i="102"/>
  <c r="R95" i="71"/>
  <c r="E3" i="46"/>
  <c r="B4" i="46"/>
  <c r="L59" i="71"/>
  <c r="Q20" i="102"/>
  <c r="C38" i="28"/>
  <c r="C28" i="28"/>
  <c r="G192" i="149"/>
  <c r="G193" i="149"/>
  <c r="G186" i="149"/>
  <c r="G185" i="149"/>
  <c r="F159" i="146"/>
  <c r="J159" i="146"/>
  <c r="G188" i="149"/>
  <c r="G187" i="149"/>
  <c r="F160" i="146"/>
  <c r="J160" i="146"/>
  <c r="G125" i="149"/>
  <c r="F105" i="146"/>
  <c r="J105" i="146"/>
  <c r="G142" i="149"/>
  <c r="F120" i="146"/>
  <c r="J120" i="146"/>
  <c r="G143" i="149"/>
  <c r="G195" i="149"/>
  <c r="G194" i="149"/>
  <c r="G148" i="149"/>
  <c r="G150" i="149"/>
  <c r="G149" i="149"/>
  <c r="G68" i="149"/>
  <c r="F62" i="146"/>
  <c r="J62" i="146"/>
  <c r="G227" i="149"/>
  <c r="G137" i="149"/>
  <c r="G138" i="149"/>
  <c r="F115" i="146"/>
  <c r="J115" i="146"/>
  <c r="G165" i="149"/>
  <c r="G164" i="149"/>
  <c r="F142" i="146"/>
  <c r="J142" i="146"/>
  <c r="G156" i="149"/>
  <c r="F134" i="146"/>
  <c r="J134" i="146"/>
  <c r="G154" i="149"/>
  <c r="G155" i="149"/>
  <c r="F133" i="146"/>
  <c r="J133" i="146"/>
  <c r="G206" i="149"/>
  <c r="G208" i="149"/>
  <c r="F178" i="146"/>
  <c r="J178" i="146"/>
  <c r="G205" i="149"/>
  <c r="F176" i="146"/>
  <c r="J176" i="146"/>
  <c r="G209" i="149"/>
  <c r="G207" i="149"/>
  <c r="G230" i="149"/>
  <c r="G229" i="149"/>
  <c r="G180" i="149"/>
  <c r="F155" i="146"/>
  <c r="J155" i="146"/>
  <c r="G231" i="149"/>
  <c r="G228" i="149"/>
  <c r="G179" i="149"/>
  <c r="G181" i="149"/>
  <c r="G169" i="149"/>
  <c r="F145" i="146"/>
  <c r="J145" i="146"/>
  <c r="G160" i="149"/>
  <c r="G163" i="149"/>
  <c r="G250" i="149"/>
  <c r="G253" i="149"/>
  <c r="G140" i="149"/>
  <c r="F118" i="146"/>
  <c r="J118" i="146"/>
  <c r="G151" i="149"/>
  <c r="G167" i="149"/>
  <c r="G276" i="149"/>
  <c r="G223" i="149"/>
  <c r="G252" i="149"/>
  <c r="G275" i="149"/>
  <c r="G168" i="149"/>
  <c r="G249" i="149"/>
  <c r="F210" i="146"/>
  <c r="J210" i="146"/>
  <c r="G255" i="149"/>
  <c r="G159" i="149"/>
  <c r="G161" i="149"/>
  <c r="G251" i="149"/>
  <c r="G152" i="149"/>
  <c r="G141" i="149"/>
  <c r="F119" i="146"/>
  <c r="J119" i="146"/>
  <c r="G248" i="149"/>
  <c r="G162" i="149"/>
  <c r="G158" i="149"/>
  <c r="G198" i="149"/>
  <c r="F170" i="146"/>
  <c r="J170" i="146"/>
  <c r="G157" i="149"/>
  <c r="G210" i="149"/>
  <c r="G254" i="149"/>
  <c r="G197" i="149"/>
  <c r="G139" i="149"/>
  <c r="G166" i="149"/>
  <c r="F207" i="146"/>
  <c r="J207" i="146"/>
  <c r="G212" i="149"/>
  <c r="F181" i="146"/>
  <c r="J181" i="146"/>
  <c r="G211" i="149"/>
  <c r="G213" i="149"/>
  <c r="G56" i="149"/>
  <c r="F50" i="146"/>
  <c r="J50" i="146"/>
  <c r="G171" i="149"/>
  <c r="G170" i="149"/>
  <c r="G144" i="149"/>
  <c r="G146" i="149"/>
  <c r="G145" i="149"/>
  <c r="G271" i="149"/>
  <c r="F227" i="146"/>
  <c r="J227" i="146"/>
  <c r="G267" i="149"/>
  <c r="G268" i="149"/>
  <c r="G270" i="149"/>
  <c r="G272" i="149"/>
  <c r="F228" i="146"/>
  <c r="J228" i="146"/>
  <c r="G269" i="149"/>
  <c r="G266" i="149"/>
  <c r="F183" i="146"/>
  <c r="J183" i="146"/>
  <c r="G196" i="149"/>
  <c r="F129" i="146"/>
  <c r="J129" i="146"/>
  <c r="G8" i="149"/>
  <c r="F8" i="146"/>
  <c r="J8" i="146"/>
  <c r="G173" i="149"/>
  <c r="G174" i="149"/>
  <c r="G218" i="149"/>
  <c r="F186" i="146"/>
  <c r="J186" i="146"/>
  <c r="G220" i="149"/>
  <c r="G219" i="149"/>
  <c r="G172" i="149"/>
  <c r="G153" i="149"/>
  <c r="G236" i="149"/>
  <c r="G235" i="149"/>
  <c r="G277" i="149"/>
  <c r="G182" i="149"/>
  <c r="G183" i="149"/>
  <c r="F158" i="146"/>
  <c r="J158" i="146"/>
  <c r="G237" i="149"/>
  <c r="G214" i="149"/>
  <c r="G222" i="149"/>
  <c r="F190" i="146"/>
  <c r="J190" i="146"/>
  <c r="G221" i="149"/>
  <c r="E11" i="146"/>
  <c r="I11" i="146"/>
  <c r="G273" i="149"/>
  <c r="F229" i="146"/>
  <c r="J229" i="146"/>
  <c r="G232" i="149"/>
  <c r="F196" i="146"/>
  <c r="J196" i="146"/>
  <c r="G233" i="149"/>
  <c r="F197" i="146"/>
  <c r="J197" i="146"/>
  <c r="G274" i="149"/>
  <c r="F230" i="146"/>
  <c r="J230" i="146"/>
  <c r="G201" i="149"/>
  <c r="G177" i="149"/>
  <c r="F152" i="146"/>
  <c r="J152" i="146"/>
  <c r="G203" i="149"/>
  <c r="G234" i="149"/>
  <c r="F198" i="146"/>
  <c r="J198" i="146"/>
  <c r="G191" i="149"/>
  <c r="G202" i="149"/>
  <c r="G176" i="149"/>
  <c r="F151" i="146"/>
  <c r="J151" i="146"/>
  <c r="G178" i="149"/>
  <c r="G175" i="149"/>
  <c r="F153" i="146"/>
  <c r="J153" i="146"/>
  <c r="G189" i="149"/>
  <c r="F162" i="146"/>
  <c r="J162" i="146"/>
  <c r="G190" i="149"/>
  <c r="G204" i="149"/>
  <c r="F175" i="146"/>
  <c r="J175" i="146"/>
  <c r="G200" i="149"/>
  <c r="G199" i="149"/>
  <c r="F171" i="146"/>
  <c r="J171" i="146"/>
  <c r="E13" i="146"/>
  <c r="I13" i="146"/>
  <c r="E149" i="146"/>
  <c r="I149" i="146"/>
  <c r="E29" i="146"/>
  <c r="I29" i="146"/>
  <c r="F205" i="146"/>
  <c r="J205" i="146"/>
  <c r="E43" i="146"/>
  <c r="I43" i="146"/>
  <c r="O101" i="101"/>
  <c r="O103" i="101"/>
  <c r="E7" i="158"/>
  <c r="E179" i="146"/>
  <c r="I179" i="146"/>
  <c r="E72" i="146"/>
  <c r="I72" i="146"/>
  <c r="G69" i="149"/>
  <c r="E144" i="146"/>
  <c r="I144" i="146"/>
  <c r="E20" i="146"/>
  <c r="I20" i="146"/>
  <c r="E210" i="146"/>
  <c r="I210" i="146"/>
  <c r="E68" i="146"/>
  <c r="I68" i="146"/>
  <c r="E71" i="146"/>
  <c r="I71" i="146"/>
  <c r="E65" i="146"/>
  <c r="I65" i="146"/>
  <c r="E146" i="146"/>
  <c r="I146" i="146"/>
  <c r="G79" i="149"/>
  <c r="F68" i="146"/>
  <c r="J68" i="146"/>
  <c r="G81" i="149"/>
  <c r="G123" i="149"/>
  <c r="G86" i="149"/>
  <c r="E108" i="146"/>
  <c r="I108" i="146"/>
  <c r="G22" i="149"/>
  <c r="G71" i="149"/>
  <c r="F63" i="146"/>
  <c r="J63" i="146"/>
  <c r="G70" i="149"/>
  <c r="E12" i="146"/>
  <c r="I12" i="146"/>
  <c r="E173" i="146"/>
  <c r="I173" i="146"/>
  <c r="E150" i="146"/>
  <c r="I150" i="146"/>
  <c r="E69" i="146"/>
  <c r="I69" i="146"/>
  <c r="E128" i="146"/>
  <c r="I128" i="146"/>
  <c r="G49" i="149"/>
  <c r="F45" i="146"/>
  <c r="J45" i="146"/>
  <c r="G47" i="149"/>
  <c r="E77" i="146"/>
  <c r="I77" i="146"/>
  <c r="E211" i="146"/>
  <c r="I211" i="146"/>
  <c r="E147" i="146"/>
  <c r="I147" i="146"/>
  <c r="E167" i="146"/>
  <c r="I167" i="146"/>
  <c r="E132" i="146"/>
  <c r="I132" i="146"/>
  <c r="E45" i="146"/>
  <c r="I45" i="146"/>
  <c r="E24" i="146"/>
  <c r="I24" i="146"/>
  <c r="E161" i="146"/>
  <c r="I161" i="146"/>
  <c r="G33" i="149"/>
  <c r="F32" i="146"/>
  <c r="J32" i="146"/>
  <c r="G20" i="149"/>
  <c r="F20" i="146"/>
  <c r="J20" i="146"/>
  <c r="F206" i="146"/>
  <c r="J206" i="146"/>
  <c r="G100" i="149"/>
  <c r="G31" i="149"/>
  <c r="G34" i="149"/>
  <c r="F33" i="146"/>
  <c r="J33" i="146"/>
  <c r="E180" i="146"/>
  <c r="I180" i="146"/>
  <c r="E112" i="146"/>
  <c r="I112" i="146"/>
  <c r="G32" i="149"/>
  <c r="F31" i="146"/>
  <c r="J31" i="146"/>
  <c r="E57" i="146"/>
  <c r="I57" i="146"/>
  <c r="G21" i="149"/>
  <c r="E105" i="146"/>
  <c r="I105" i="146"/>
  <c r="F17" i="146"/>
  <c r="J17" i="146"/>
  <c r="E124" i="146"/>
  <c r="I124" i="146"/>
  <c r="E153" i="146"/>
  <c r="I153" i="146"/>
  <c r="G126" i="149"/>
  <c r="G124" i="149"/>
  <c r="F204" i="146"/>
  <c r="J204" i="146"/>
  <c r="E197" i="146"/>
  <c r="I197" i="146"/>
  <c r="E30" i="146"/>
  <c r="I30" i="146"/>
  <c r="G64" i="149"/>
  <c r="F58" i="146"/>
  <c r="J58" i="146"/>
  <c r="G73" i="149"/>
  <c r="G63" i="149"/>
  <c r="G77" i="149"/>
  <c r="G76" i="149"/>
  <c r="E202" i="146"/>
  <c r="I202" i="146"/>
  <c r="G74" i="149"/>
  <c r="E66" i="146"/>
  <c r="I66" i="146"/>
  <c r="G104" i="149"/>
  <c r="F78" i="146"/>
  <c r="J78" i="146"/>
  <c r="E201" i="146"/>
  <c r="I201" i="146"/>
  <c r="G75" i="149"/>
  <c r="F10" i="146"/>
  <c r="J10" i="146"/>
  <c r="E158" i="146"/>
  <c r="I158" i="146"/>
  <c r="G78" i="149"/>
  <c r="F220" i="146"/>
  <c r="J220" i="146"/>
  <c r="F55" i="146"/>
  <c r="J55" i="146"/>
  <c r="G105" i="149"/>
  <c r="G42" i="149"/>
  <c r="E157" i="146"/>
  <c r="I157" i="146"/>
  <c r="F59" i="146"/>
  <c r="J59" i="146"/>
  <c r="E15" i="146"/>
  <c r="I15" i="146"/>
  <c r="E156" i="146"/>
  <c r="I156" i="146"/>
  <c r="F107" i="146"/>
  <c r="J107" i="146"/>
  <c r="E106" i="146"/>
  <c r="I106" i="146"/>
  <c r="E28" i="146"/>
  <c r="I28" i="146"/>
  <c r="C7" i="30"/>
  <c r="D7" i="28"/>
  <c r="E27" i="146"/>
  <c r="I27" i="146"/>
  <c r="E104" i="146"/>
  <c r="I104" i="146"/>
  <c r="E53" i="146"/>
  <c r="I53" i="146"/>
  <c r="F192" i="146"/>
  <c r="J192" i="146"/>
  <c r="E26" i="146"/>
  <c r="I26" i="146"/>
  <c r="E25" i="146"/>
  <c r="I25" i="146"/>
  <c r="E233" i="146"/>
  <c r="I233" i="146"/>
  <c r="E80" i="146"/>
  <c r="I80" i="146"/>
  <c r="E148" i="146"/>
  <c r="I148" i="146"/>
  <c r="E120" i="146"/>
  <c r="I120" i="146"/>
  <c r="E67" i="146"/>
  <c r="I67" i="146"/>
  <c r="E234" i="146"/>
  <c r="I234" i="146"/>
  <c r="F94" i="146"/>
  <c r="J94" i="146"/>
  <c r="E9" i="146"/>
  <c r="I9" i="146"/>
  <c r="E224" i="146"/>
  <c r="I224" i="146"/>
  <c r="G106" i="149"/>
  <c r="E16" i="146"/>
  <c r="I16" i="146"/>
  <c r="E113" i="146"/>
  <c r="I113" i="146"/>
  <c r="E226" i="146"/>
  <c r="I226" i="146"/>
  <c r="G103" i="149"/>
  <c r="F88" i="146"/>
  <c r="J88" i="146"/>
  <c r="F208" i="146"/>
  <c r="J208" i="146"/>
  <c r="F87" i="146"/>
  <c r="J87" i="146"/>
  <c r="E23" i="146"/>
  <c r="I23" i="146"/>
  <c r="F193" i="146"/>
  <c r="J193" i="146"/>
  <c r="E22" i="146"/>
  <c r="I22" i="146"/>
  <c r="E154" i="146"/>
  <c r="I154" i="146"/>
  <c r="E155" i="146"/>
  <c r="I155" i="146"/>
  <c r="G66" i="149"/>
  <c r="G41" i="149"/>
  <c r="G40" i="149"/>
  <c r="F203" i="146"/>
  <c r="J203" i="146"/>
  <c r="G39" i="149"/>
  <c r="G52" i="149"/>
  <c r="G58" i="149"/>
  <c r="F218" i="146"/>
  <c r="J218" i="146"/>
  <c r="F217" i="146"/>
  <c r="J217" i="146"/>
  <c r="G44" i="149"/>
  <c r="G134" i="149"/>
  <c r="F112" i="146"/>
  <c r="J112" i="146"/>
  <c r="G9" i="149"/>
  <c r="G135" i="149"/>
  <c r="G7" i="149"/>
  <c r="G36" i="149"/>
  <c r="F86" i="146"/>
  <c r="J86" i="146"/>
  <c r="G12" i="149"/>
  <c r="G107" i="149"/>
  <c r="G43" i="149"/>
  <c r="G108" i="149"/>
  <c r="G59" i="149"/>
  <c r="G60" i="149"/>
  <c r="G50" i="149"/>
  <c r="G110" i="149"/>
  <c r="F56" i="146"/>
  <c r="J56" i="146"/>
  <c r="G120" i="149"/>
  <c r="G84" i="149"/>
  <c r="G83" i="149"/>
  <c r="G85" i="149"/>
  <c r="G67" i="149"/>
  <c r="G92" i="149"/>
  <c r="G94" i="149"/>
  <c r="G38" i="149"/>
  <c r="G37" i="149"/>
  <c r="G51" i="149"/>
  <c r="G121" i="149"/>
  <c r="G35" i="149"/>
  <c r="G54" i="149"/>
  <c r="G88" i="149"/>
  <c r="G122" i="149"/>
  <c r="G131" i="149"/>
  <c r="G80" i="149"/>
  <c r="G128" i="149"/>
  <c r="G89" i="149"/>
  <c r="G13" i="149"/>
  <c r="G98" i="149"/>
  <c r="F92" i="146"/>
  <c r="J92" i="146"/>
  <c r="G14" i="149"/>
  <c r="G130" i="149"/>
  <c r="F75" i="146"/>
  <c r="J75" i="146"/>
  <c r="G113" i="149"/>
  <c r="G118" i="149"/>
  <c r="G119" i="149"/>
  <c r="G53" i="149"/>
  <c r="G99" i="149"/>
  <c r="F84" i="146"/>
  <c r="J84" i="146"/>
  <c r="G55" i="149"/>
  <c r="G97" i="149"/>
  <c r="G25" i="149"/>
  <c r="G19" i="149"/>
  <c r="F19" i="146"/>
  <c r="J19" i="146"/>
  <c r="G133" i="149"/>
  <c r="G11" i="149"/>
  <c r="F110" i="146"/>
  <c r="J110" i="146"/>
  <c r="G57" i="149"/>
  <c r="G18" i="149"/>
  <c r="G96" i="149"/>
  <c r="F82" i="146"/>
  <c r="J82" i="146"/>
  <c r="G127" i="149"/>
  <c r="G26" i="149"/>
  <c r="G45" i="149"/>
  <c r="G116" i="149"/>
  <c r="G46" i="149"/>
  <c r="G117" i="149"/>
  <c r="G48" i="149"/>
  <c r="G111" i="149"/>
  <c r="G136" i="149"/>
  <c r="G114" i="149"/>
  <c r="G115" i="149"/>
  <c r="C5" i="53"/>
  <c r="E7" i="157"/>
  <c r="F10" i="140"/>
  <c r="B4" i="110"/>
  <c r="D10" i="158"/>
  <c r="B19" i="28"/>
  <c r="L11" i="140"/>
  <c r="R102" i="71"/>
  <c r="L17" i="140"/>
  <c r="R142" i="71"/>
  <c r="L15" i="140"/>
  <c r="R123" i="71"/>
  <c r="L8" i="140"/>
  <c r="R54" i="71"/>
  <c r="C8" i="107"/>
  <c r="E7" i="107"/>
  <c r="L9" i="140"/>
  <c r="R133" i="71"/>
  <c r="L21" i="140"/>
  <c r="R118" i="71"/>
  <c r="L16" i="140"/>
  <c r="R132" i="71"/>
  <c r="Q22" i="102"/>
  <c r="L18" i="140"/>
  <c r="R141" i="71"/>
  <c r="L7" i="140"/>
  <c r="R130" i="71"/>
  <c r="L20" i="140"/>
  <c r="R59" i="71"/>
  <c r="A12" i="30"/>
  <c r="B7" i="28"/>
  <c r="L10" i="140"/>
  <c r="R9" i="71"/>
  <c r="L13" i="140"/>
  <c r="R114" i="71"/>
  <c r="G95" i="149"/>
  <c r="F201" i="146"/>
  <c r="J201" i="146"/>
  <c r="G28" i="149"/>
  <c r="F70" i="146"/>
  <c r="J70" i="146"/>
  <c r="G278" i="149"/>
  <c r="G27" i="149"/>
  <c r="G16" i="149"/>
  <c r="G15" i="149"/>
  <c r="G23" i="149"/>
  <c r="G24" i="149"/>
  <c r="G29" i="149"/>
  <c r="G93" i="149"/>
  <c r="F29" i="146"/>
  <c r="J29" i="146"/>
  <c r="L14" i="140"/>
  <c r="R77" i="71"/>
  <c r="L12" i="140"/>
  <c r="R112" i="71"/>
  <c r="B11" i="28"/>
  <c r="E4" i="46"/>
  <c r="H11" i="28"/>
  <c r="L19" i="140"/>
  <c r="R89" i="71"/>
  <c r="F143" i="146"/>
  <c r="J143" i="146"/>
  <c r="F156" i="146"/>
  <c r="J156" i="146"/>
  <c r="F124" i="146"/>
  <c r="J124" i="146"/>
  <c r="F41" i="146"/>
  <c r="J41" i="146"/>
  <c r="F182" i="146"/>
  <c r="J182" i="146"/>
  <c r="F165" i="146"/>
  <c r="J165" i="146"/>
  <c r="F200" i="146"/>
  <c r="J200" i="146"/>
  <c r="F21" i="146"/>
  <c r="J21" i="146"/>
  <c r="F172" i="146"/>
  <c r="J172" i="146"/>
  <c r="F132" i="146"/>
  <c r="J132" i="146"/>
  <c r="F103" i="146"/>
  <c r="J103" i="146"/>
  <c r="F30" i="146"/>
  <c r="J30" i="146"/>
  <c r="E10" i="158"/>
  <c r="B5" i="53"/>
  <c r="D9" i="157"/>
  <c r="F43" i="146"/>
  <c r="J43" i="146"/>
  <c r="F52" i="146"/>
  <c r="J52" i="146"/>
  <c r="F69" i="146"/>
  <c r="J69" i="146"/>
  <c r="F177" i="146"/>
  <c r="J177" i="146"/>
  <c r="F73" i="146"/>
  <c r="J73" i="146"/>
  <c r="F194" i="146"/>
  <c r="J194" i="146"/>
  <c r="F144" i="146"/>
  <c r="J144" i="146"/>
  <c r="F141" i="146"/>
  <c r="J141" i="146"/>
  <c r="F164" i="146"/>
  <c r="J164" i="146"/>
  <c r="F180" i="146"/>
  <c r="J180" i="146"/>
  <c r="F173" i="146"/>
  <c r="J173" i="146"/>
  <c r="F174" i="146"/>
  <c r="J174" i="146"/>
  <c r="F85" i="146"/>
  <c r="J85" i="146"/>
  <c r="F161" i="146"/>
  <c r="J161" i="146"/>
  <c r="F89" i="146"/>
  <c r="J89" i="146"/>
  <c r="F106" i="146"/>
  <c r="J106" i="146"/>
  <c r="F149" i="146"/>
  <c r="J149" i="146"/>
  <c r="F167" i="146"/>
  <c r="J167" i="146"/>
  <c r="F57" i="146"/>
  <c r="J57" i="146"/>
  <c r="F121" i="146"/>
  <c r="J121" i="146"/>
  <c r="F66" i="146"/>
  <c r="J66" i="146"/>
  <c r="A13" i="30"/>
  <c r="F122" i="146"/>
  <c r="J122" i="146"/>
  <c r="F104" i="146"/>
  <c r="J104" i="146"/>
  <c r="F65" i="146"/>
  <c r="J65" i="146"/>
  <c r="F14" i="146"/>
  <c r="J14" i="146"/>
  <c r="F81" i="146"/>
  <c r="J81" i="146"/>
  <c r="F136" i="146"/>
  <c r="J136" i="146"/>
  <c r="F24" i="146"/>
  <c r="J24" i="146"/>
  <c r="F148" i="146"/>
  <c r="J148" i="146"/>
  <c r="F123" i="146"/>
  <c r="J123" i="146"/>
  <c r="F169" i="146"/>
  <c r="J169" i="146"/>
  <c r="F111" i="146"/>
  <c r="J111" i="146"/>
  <c r="F72" i="146"/>
  <c r="J72" i="146"/>
  <c r="F13" i="146"/>
  <c r="J13" i="146"/>
  <c r="F216" i="146"/>
  <c r="J216" i="146"/>
  <c r="F40" i="146"/>
  <c r="J40" i="146"/>
  <c r="F128" i="146"/>
  <c r="J128" i="146"/>
  <c r="F166" i="146"/>
  <c r="J166" i="146"/>
  <c r="F211" i="146"/>
  <c r="J211" i="146"/>
  <c r="F199" i="146"/>
  <c r="J199" i="146"/>
  <c r="F195" i="146"/>
  <c r="J195" i="146"/>
  <c r="F213" i="146"/>
  <c r="J213" i="146"/>
  <c r="F18" i="146"/>
  <c r="J18" i="146"/>
  <c r="F60" i="146"/>
  <c r="J60" i="146"/>
  <c r="F16" i="146"/>
  <c r="J16" i="146"/>
  <c r="F137" i="146"/>
  <c r="J137" i="146"/>
  <c r="F138" i="146"/>
  <c r="J138" i="146"/>
  <c r="F126" i="146"/>
  <c r="J126" i="146"/>
  <c r="F11" i="146"/>
  <c r="J11" i="146"/>
  <c r="F130" i="146"/>
  <c r="J130" i="146"/>
  <c r="F209" i="146"/>
  <c r="J209" i="146"/>
  <c r="F28" i="146"/>
  <c r="J28" i="146"/>
  <c r="F108" i="146"/>
  <c r="J108" i="146"/>
  <c r="F7" i="146"/>
  <c r="J7" i="146"/>
  <c r="F35" i="146"/>
  <c r="J35" i="146"/>
  <c r="F46" i="146"/>
  <c r="J46" i="146"/>
  <c r="F109" i="146"/>
  <c r="J109" i="146"/>
  <c r="F202" i="146"/>
  <c r="J202" i="146"/>
  <c r="F168" i="146"/>
  <c r="J168" i="146"/>
  <c r="F90" i="146"/>
  <c r="J90" i="146"/>
  <c r="F225" i="146"/>
  <c r="J225" i="146"/>
  <c r="F61" i="146"/>
  <c r="J61" i="146"/>
  <c r="F12" i="146"/>
  <c r="J12" i="146"/>
  <c r="F131" i="146"/>
  <c r="J131" i="146"/>
  <c r="F42" i="146"/>
  <c r="J42" i="146"/>
  <c r="F15" i="146"/>
  <c r="J15" i="146"/>
  <c r="F223" i="146"/>
  <c r="J223" i="146"/>
  <c r="F71" i="146"/>
  <c r="J71" i="146"/>
  <c r="F191" i="146"/>
  <c r="J191" i="146"/>
  <c r="F135" i="146"/>
  <c r="J135" i="146"/>
  <c r="F113" i="146"/>
  <c r="J113" i="146"/>
  <c r="F226" i="146"/>
  <c r="J226" i="146"/>
  <c r="F80" i="146"/>
  <c r="J80" i="146"/>
  <c r="F44" i="146"/>
  <c r="J44" i="146"/>
  <c r="F49" i="146"/>
  <c r="J49" i="146"/>
  <c r="F39" i="146"/>
  <c r="J39" i="146"/>
  <c r="F91" i="146"/>
  <c r="J91" i="146"/>
  <c r="F215" i="146"/>
  <c r="J215" i="146"/>
  <c r="F188" i="146"/>
  <c r="J188" i="146"/>
  <c r="F101" i="146"/>
  <c r="J101" i="146"/>
  <c r="F54" i="146"/>
  <c r="J54" i="146"/>
  <c r="F23" i="146"/>
  <c r="J23" i="146"/>
  <c r="F117" i="146"/>
  <c r="J117" i="146"/>
  <c r="F93" i="146"/>
  <c r="J93" i="146"/>
  <c r="F147" i="146"/>
  <c r="J147" i="146"/>
  <c r="F38" i="146"/>
  <c r="J38" i="146"/>
  <c r="F27" i="146"/>
  <c r="J27" i="146"/>
  <c r="F163" i="146"/>
  <c r="J163" i="146"/>
  <c r="F114" i="146"/>
  <c r="J114" i="146"/>
  <c r="F76" i="146"/>
  <c r="J76" i="146"/>
  <c r="F100" i="146"/>
  <c r="J100" i="146"/>
  <c r="F9" i="146"/>
  <c r="J9" i="146"/>
  <c r="F224" i="146"/>
  <c r="J224" i="146"/>
  <c r="F187" i="146"/>
  <c r="J187" i="146"/>
  <c r="F47" i="146"/>
  <c r="J47" i="146"/>
  <c r="F116" i="146"/>
  <c r="J116" i="146"/>
  <c r="F77" i="146"/>
  <c r="J77" i="146"/>
  <c r="F127" i="146"/>
  <c r="J127" i="146"/>
  <c r="F214" i="146"/>
  <c r="J214" i="146"/>
  <c r="F64" i="146"/>
  <c r="J64" i="146"/>
  <c r="F232" i="146"/>
  <c r="J232" i="146"/>
  <c r="F212" i="146"/>
  <c r="J212" i="146"/>
  <c r="F36" i="146"/>
  <c r="J36" i="146"/>
  <c r="F74" i="146"/>
  <c r="J74" i="146"/>
  <c r="F26" i="146"/>
  <c r="J26" i="146"/>
  <c r="F48" i="146"/>
  <c r="J48" i="146"/>
  <c r="F146" i="146"/>
  <c r="J146" i="146"/>
  <c r="F51" i="146"/>
  <c r="J51" i="146"/>
  <c r="F189" i="146"/>
  <c r="J189" i="146"/>
  <c r="F22" i="146"/>
  <c r="J22" i="146"/>
  <c r="F231" i="146"/>
  <c r="J231" i="146"/>
  <c r="F67" i="146"/>
  <c r="J67" i="146"/>
  <c r="F234" i="146"/>
  <c r="J234" i="146"/>
  <c r="F98" i="146"/>
  <c r="J98" i="146"/>
  <c r="F102" i="146"/>
  <c r="J102" i="146"/>
  <c r="F157" i="146"/>
  <c r="J157" i="146"/>
  <c r="F25" i="146"/>
  <c r="J25" i="146"/>
  <c r="F233" i="146"/>
  <c r="J233" i="146"/>
  <c r="F139" i="146"/>
  <c r="J139" i="146"/>
  <c r="F34" i="146"/>
  <c r="J34" i="146"/>
  <c r="F99" i="146"/>
  <c r="J99" i="146"/>
  <c r="F83" i="146"/>
  <c r="J83" i="146"/>
  <c r="F179" i="146"/>
  <c r="J179" i="146"/>
  <c r="F96" i="146"/>
  <c r="J96" i="146"/>
  <c r="F53" i="146"/>
  <c r="J53" i="146"/>
  <c r="F150" i="146"/>
  <c r="J150" i="146"/>
  <c r="F37" i="146"/>
  <c r="J37" i="146"/>
  <c r="F97" i="146"/>
  <c r="J97" i="146"/>
  <c r="F154" i="146"/>
  <c r="J154" i="146"/>
  <c r="F140" i="146"/>
  <c r="J140" i="146"/>
  <c r="F95" i="146"/>
  <c r="J95" i="146"/>
  <c r="F28" i="140"/>
  <c r="I28" i="140"/>
  <c r="F26" i="140"/>
  <c r="I26" i="140"/>
  <c r="F21" i="140"/>
  <c r="I21" i="140"/>
  <c r="F27" i="140"/>
  <c r="F19" i="140"/>
  <c r="F20" i="140"/>
  <c r="F14" i="140"/>
  <c r="F11" i="140"/>
  <c r="F29" i="140"/>
  <c r="I29" i="140"/>
  <c r="J122" i="71"/>
  <c r="F25" i="140"/>
  <c r="I25" i="140"/>
  <c r="F15" i="140"/>
  <c r="F12" i="140"/>
  <c r="I12" i="140"/>
  <c r="F7" i="140"/>
  <c r="I7" i="140"/>
  <c r="F8" i="140"/>
  <c r="I8" i="140"/>
  <c r="F16" i="140"/>
  <c r="F13" i="140"/>
  <c r="I13" i="140"/>
  <c r="F17" i="140"/>
  <c r="F9" i="140"/>
  <c r="I9" i="140"/>
  <c r="F18" i="140"/>
  <c r="I10" i="140"/>
  <c r="B22" i="28"/>
  <c r="H22" i="28"/>
  <c r="B18" i="28"/>
  <c r="D18" i="28"/>
  <c r="C9" i="157"/>
  <c r="D8" i="157"/>
  <c r="E9" i="157"/>
  <c r="J27" i="140"/>
  <c r="I27" i="140"/>
  <c r="J22" i="71"/>
  <c r="I15" i="140"/>
  <c r="J128" i="71"/>
  <c r="I18" i="140"/>
  <c r="J141" i="71"/>
  <c r="I17" i="140"/>
  <c r="J142" i="71"/>
  <c r="I19" i="140"/>
  <c r="J90" i="71"/>
  <c r="I14" i="140"/>
  <c r="J78" i="71"/>
  <c r="I20" i="140"/>
  <c r="J73" i="71"/>
  <c r="I16" i="140"/>
  <c r="J132" i="71"/>
  <c r="I11" i="140"/>
  <c r="J106" i="71"/>
  <c r="J112" i="71"/>
  <c r="J113" i="71"/>
  <c r="J117" i="71"/>
  <c r="J67" i="71"/>
  <c r="J66" i="71"/>
  <c r="J74" i="71"/>
  <c r="J68" i="71"/>
  <c r="J76" i="71"/>
  <c r="J107" i="71"/>
  <c r="J118" i="71"/>
  <c r="J119" i="71"/>
  <c r="J63" i="71"/>
  <c r="J65" i="71"/>
  <c r="J64" i="71"/>
  <c r="J13" i="71"/>
  <c r="J14" i="71"/>
  <c r="J11" i="71"/>
  <c r="J49" i="71"/>
  <c r="J51" i="71"/>
  <c r="J52" i="71"/>
  <c r="J10" i="71"/>
  <c r="J19" i="71"/>
  <c r="J12" i="71"/>
  <c r="J16" i="71"/>
  <c r="J15" i="71"/>
  <c r="J9" i="71"/>
  <c r="J18" i="71"/>
  <c r="J17" i="71"/>
  <c r="J20" i="71"/>
  <c r="J47" i="71"/>
  <c r="J48" i="71"/>
  <c r="J46" i="71"/>
  <c r="J53" i="71"/>
  <c r="J135" i="71"/>
  <c r="J136" i="71"/>
  <c r="J133" i="71"/>
  <c r="J134" i="71"/>
  <c r="J143" i="71"/>
  <c r="J137" i="71"/>
  <c r="J55" i="71"/>
  <c r="J54" i="71"/>
  <c r="J58" i="71"/>
  <c r="J57" i="71"/>
  <c r="J131" i="71"/>
  <c r="J130" i="71"/>
  <c r="J115" i="71"/>
  <c r="J114" i="71"/>
  <c r="J116" i="71"/>
  <c r="E8" i="157"/>
  <c r="J29" i="140"/>
  <c r="M29" i="140"/>
  <c r="M122" i="71"/>
  <c r="J26" i="140"/>
  <c r="M26" i="140"/>
  <c r="J14" i="140"/>
  <c r="M14" i="140"/>
  <c r="J19" i="140"/>
  <c r="M19" i="140"/>
  <c r="J7" i="140"/>
  <c r="M7" i="140"/>
  <c r="J21" i="140"/>
  <c r="M21" i="140"/>
  <c r="J126" i="71"/>
  <c r="J10" i="140"/>
  <c r="M10" i="140"/>
  <c r="J13" i="140"/>
  <c r="M13" i="140"/>
  <c r="J28" i="140"/>
  <c r="M28" i="140"/>
  <c r="J8" i="140"/>
  <c r="M8" i="140"/>
  <c r="J25" i="140"/>
  <c r="M25" i="140"/>
  <c r="J15" i="140"/>
  <c r="M15" i="140"/>
  <c r="J20" i="140"/>
  <c r="M20" i="140"/>
  <c r="J17" i="140"/>
  <c r="M17" i="140"/>
  <c r="J9" i="140"/>
  <c r="M9" i="140"/>
  <c r="J11" i="140"/>
  <c r="M11" i="140"/>
  <c r="J12" i="140"/>
  <c r="M12" i="140"/>
  <c r="J16" i="140"/>
  <c r="M16" i="140"/>
  <c r="J18" i="140"/>
  <c r="M18" i="140"/>
  <c r="J129" i="71"/>
  <c r="J125" i="71"/>
  <c r="J36" i="71"/>
  <c r="J44" i="71"/>
  <c r="J7" i="71"/>
  <c r="J29" i="71"/>
  <c r="J34" i="71"/>
  <c r="J30" i="71"/>
  <c r="J41" i="71"/>
  <c r="J37" i="71"/>
  <c r="J40" i="71"/>
  <c r="J21" i="71"/>
  <c r="J70" i="71"/>
  <c r="J45" i="71"/>
  <c r="J28" i="71"/>
  <c r="J35" i="71"/>
  <c r="J42" i="71"/>
  <c r="J38" i="71"/>
  <c r="J62" i="71"/>
  <c r="J84" i="71"/>
  <c r="J24" i="71"/>
  <c r="J23" i="71"/>
  <c r="J79" i="71"/>
  <c r="J39" i="71"/>
  <c r="J32" i="71"/>
  <c r="J31" i="71"/>
  <c r="J85" i="71"/>
  <c r="J25" i="71"/>
  <c r="J27" i="71"/>
  <c r="J60" i="71"/>
  <c r="J61" i="71"/>
  <c r="J71" i="71"/>
  <c r="J43" i="71"/>
  <c r="J26" i="71"/>
  <c r="J33" i="71"/>
  <c r="J123" i="71"/>
  <c r="J127" i="71"/>
  <c r="J100" i="71"/>
  <c r="J95" i="71"/>
  <c r="J97" i="71"/>
  <c r="J124" i="71"/>
  <c r="J104" i="71"/>
  <c r="J101" i="71"/>
  <c r="J89" i="71"/>
  <c r="J86" i="71"/>
  <c r="J94" i="71"/>
  <c r="J93" i="71"/>
  <c r="J98" i="71"/>
  <c r="J87" i="71"/>
  <c r="J77" i="71"/>
  <c r="J88" i="71"/>
  <c r="J91" i="71"/>
  <c r="J111" i="71"/>
  <c r="J99" i="71"/>
  <c r="J92" i="71"/>
  <c r="J110" i="71"/>
  <c r="J105" i="71"/>
  <c r="J96" i="71"/>
  <c r="J69" i="71"/>
  <c r="J103" i="71"/>
  <c r="J72" i="71"/>
  <c r="J102" i="71"/>
  <c r="J59" i="71"/>
  <c r="N11" i="140"/>
  <c r="N12" i="140"/>
  <c r="N26" i="140"/>
  <c r="N21" i="140"/>
  <c r="N19" i="140"/>
  <c r="N15" i="140"/>
  <c r="N7" i="140"/>
  <c r="N8" i="140"/>
  <c r="N20" i="140"/>
  <c r="N29" i="140"/>
  <c r="Q29" i="140"/>
  <c r="N14" i="140"/>
  <c r="N9" i="140"/>
  <c r="N10" i="140"/>
  <c r="N16" i="140"/>
  <c r="N25" i="140"/>
  <c r="N28" i="140"/>
  <c r="N13" i="140"/>
  <c r="N18" i="140"/>
  <c r="N17" i="140"/>
  <c r="N27" i="140"/>
  <c r="M27" i="140"/>
  <c r="D5" i="30"/>
  <c r="E6" i="107"/>
  <c r="M137" i="71"/>
  <c r="M134" i="71"/>
  <c r="M135" i="71"/>
  <c r="M143" i="71"/>
  <c r="M133" i="71"/>
  <c r="M136" i="71"/>
  <c r="Q28" i="140"/>
  <c r="Q8" i="140"/>
  <c r="M141" i="71"/>
  <c r="Q25" i="140"/>
  <c r="Q7" i="140"/>
  <c r="M78" i="71"/>
  <c r="M86" i="71"/>
  <c r="M77" i="71"/>
  <c r="M88" i="71"/>
  <c r="M85" i="71"/>
  <c r="M84" i="71"/>
  <c r="M87" i="71"/>
  <c r="M79" i="71"/>
  <c r="Q16" i="140"/>
  <c r="Q15" i="140"/>
  <c r="M142" i="71"/>
  <c r="M132" i="71"/>
  <c r="M128" i="71"/>
  <c r="M126" i="71"/>
  <c r="M125" i="71"/>
  <c r="M123" i="71"/>
  <c r="M129" i="71"/>
  <c r="M127" i="71"/>
  <c r="M124" i="71"/>
  <c r="M115" i="71"/>
  <c r="M114" i="71"/>
  <c r="M116" i="71"/>
  <c r="M107" i="71"/>
  <c r="Q10" i="140"/>
  <c r="Q19" i="140"/>
  <c r="M102" i="71"/>
  <c r="M105" i="71"/>
  <c r="M103" i="71"/>
  <c r="M104" i="71"/>
  <c r="M106" i="71"/>
  <c r="M110" i="71"/>
  <c r="M111" i="71"/>
  <c r="M29" i="71"/>
  <c r="M44" i="71"/>
  <c r="M26" i="71"/>
  <c r="M22" i="71"/>
  <c r="M33" i="71"/>
  <c r="M34" i="71"/>
  <c r="M30" i="71"/>
  <c r="M32" i="71"/>
  <c r="M27" i="71"/>
  <c r="M23" i="71"/>
  <c r="M38" i="71"/>
  <c r="M31" i="71"/>
  <c r="M45" i="71"/>
  <c r="M21" i="71"/>
  <c r="M40" i="71"/>
  <c r="M24" i="71"/>
  <c r="M36" i="71"/>
  <c r="M28" i="71"/>
  <c r="M39" i="71"/>
  <c r="M37" i="71"/>
  <c r="M25" i="71"/>
  <c r="M7" i="71"/>
  <c r="M42" i="71"/>
  <c r="M43" i="71"/>
  <c r="M41" i="71"/>
  <c r="M35" i="71"/>
  <c r="M71" i="71"/>
  <c r="M62" i="71"/>
  <c r="M70" i="71"/>
  <c r="M72" i="71"/>
  <c r="M69" i="71"/>
  <c r="M59" i="71"/>
  <c r="M60" i="71"/>
  <c r="M73" i="71"/>
  <c r="M61" i="71"/>
  <c r="M118" i="71"/>
  <c r="M119" i="71"/>
  <c r="M63" i="71"/>
  <c r="M64" i="71"/>
  <c r="M65" i="71"/>
  <c r="Q27" i="140"/>
  <c r="Q9" i="140"/>
  <c r="Q21" i="140"/>
  <c r="M74" i="71"/>
  <c r="M67" i="71"/>
  <c r="M68" i="71"/>
  <c r="M66" i="71"/>
  <c r="M76" i="71"/>
  <c r="M16" i="71"/>
  <c r="M49" i="71"/>
  <c r="M14" i="71"/>
  <c r="M19" i="71"/>
  <c r="M51" i="71"/>
  <c r="M52" i="71"/>
  <c r="M15" i="71"/>
  <c r="M12" i="71"/>
  <c r="M11" i="71"/>
  <c r="M17" i="71"/>
  <c r="M9" i="71"/>
  <c r="M10" i="71"/>
  <c r="M13" i="71"/>
  <c r="M18" i="71"/>
  <c r="M53" i="71"/>
  <c r="M46" i="71"/>
  <c r="M47" i="71"/>
  <c r="M20" i="71"/>
  <c r="M48" i="71"/>
  <c r="M89" i="71"/>
  <c r="M98" i="71"/>
  <c r="M92" i="71"/>
  <c r="M90" i="71"/>
  <c r="M93" i="71"/>
  <c r="M95" i="71"/>
  <c r="M91" i="71"/>
  <c r="M96" i="71"/>
  <c r="M94" i="71"/>
  <c r="M97" i="71"/>
  <c r="M101" i="71"/>
  <c r="M99" i="71"/>
  <c r="M100" i="71"/>
  <c r="Q17" i="140"/>
  <c r="Q14" i="140"/>
  <c r="Q26" i="140"/>
  <c r="Q18" i="140"/>
  <c r="P122" i="71"/>
  <c r="Q12" i="140"/>
  <c r="M113" i="71"/>
  <c r="M112" i="71"/>
  <c r="M117" i="71"/>
  <c r="M130" i="71"/>
  <c r="M131" i="71"/>
  <c r="M55" i="71"/>
  <c r="M54" i="71"/>
  <c r="M57" i="71"/>
  <c r="M58" i="71"/>
  <c r="Q13" i="140"/>
  <c r="Q20" i="140"/>
  <c r="Q11" i="140"/>
  <c r="D5" i="53"/>
  <c r="E5" i="30"/>
  <c r="D7" i="30"/>
  <c r="E7" i="30"/>
  <c r="P62" i="71"/>
  <c r="P71" i="71"/>
  <c r="P72" i="71"/>
  <c r="P70" i="71"/>
  <c r="P69" i="71"/>
  <c r="P59" i="71"/>
  <c r="P60" i="71"/>
  <c r="P61" i="71"/>
  <c r="P73" i="71"/>
  <c r="P88" i="71"/>
  <c r="P87" i="71"/>
  <c r="P78" i="71"/>
  <c r="P86" i="71"/>
  <c r="P77" i="71"/>
  <c r="P85" i="71"/>
  <c r="S85" i="71"/>
  <c r="P79" i="71"/>
  <c r="P84" i="71"/>
  <c r="P130" i="71"/>
  <c r="P131" i="71"/>
  <c r="P55" i="71"/>
  <c r="P54" i="71"/>
  <c r="P58" i="71"/>
  <c r="P57" i="71"/>
  <c r="P126" i="71"/>
  <c r="P125" i="71"/>
  <c r="P123" i="71"/>
  <c r="P128" i="71"/>
  <c r="P127" i="71"/>
  <c r="P129" i="71"/>
  <c r="P124" i="71"/>
  <c r="P90" i="71"/>
  <c r="P92" i="71"/>
  <c r="P91" i="71"/>
  <c r="P98" i="71"/>
  <c r="P89" i="71"/>
  <c r="P95" i="71"/>
  <c r="P93" i="71"/>
  <c r="P97" i="71"/>
  <c r="P94" i="71"/>
  <c r="P96" i="71"/>
  <c r="P101" i="71"/>
  <c r="P99" i="71"/>
  <c r="P100" i="71"/>
  <c r="P114" i="71"/>
  <c r="P115" i="71"/>
  <c r="P116" i="71"/>
  <c r="P32" i="71"/>
  <c r="P44" i="71"/>
  <c r="P29" i="71"/>
  <c r="S29" i="71"/>
  <c r="P45" i="71"/>
  <c r="P23" i="71"/>
  <c r="S23" i="71"/>
  <c r="P28" i="71"/>
  <c r="P24" i="71"/>
  <c r="P30" i="71"/>
  <c r="P31" i="71"/>
  <c r="P21" i="71"/>
  <c r="P36" i="71"/>
  <c r="P27" i="71"/>
  <c r="P33" i="71"/>
  <c r="P22" i="71"/>
  <c r="P26" i="71"/>
  <c r="P34" i="71"/>
  <c r="P40" i="71"/>
  <c r="P38" i="71"/>
  <c r="P39" i="71"/>
  <c r="S39" i="71"/>
  <c r="P37" i="71"/>
  <c r="P25" i="71"/>
  <c r="P7" i="71"/>
  <c r="S7" i="71"/>
  <c r="P35" i="71"/>
  <c r="P41" i="71"/>
  <c r="P43" i="71"/>
  <c r="P42" i="71"/>
  <c r="S42" i="71"/>
  <c r="P142" i="71"/>
  <c r="P52" i="71"/>
  <c r="P51" i="71"/>
  <c r="P19" i="71"/>
  <c r="P14" i="71"/>
  <c r="P13" i="71"/>
  <c r="P11" i="71"/>
  <c r="P49" i="71"/>
  <c r="P17" i="71"/>
  <c r="S17" i="71"/>
  <c r="P18" i="71"/>
  <c r="P15" i="71"/>
  <c r="P9" i="71"/>
  <c r="P10" i="71"/>
  <c r="P16" i="71"/>
  <c r="P12" i="71"/>
  <c r="P46" i="71"/>
  <c r="P20" i="71"/>
  <c r="P53" i="71"/>
  <c r="P48" i="71"/>
  <c r="P47" i="71"/>
  <c r="P107" i="71"/>
  <c r="S107" i="71"/>
  <c r="P112" i="71"/>
  <c r="P117" i="71"/>
  <c r="P113" i="71"/>
  <c r="P141" i="71"/>
  <c r="P132" i="71"/>
  <c r="P67" i="71"/>
  <c r="P68" i="71"/>
  <c r="P66" i="71"/>
  <c r="P74" i="71"/>
  <c r="P76" i="71"/>
  <c r="P102" i="71"/>
  <c r="S102" i="71"/>
  <c r="P106" i="71"/>
  <c r="P105" i="71"/>
  <c r="P104" i="71"/>
  <c r="P103" i="71"/>
  <c r="P111" i="71"/>
  <c r="P110" i="71"/>
  <c r="P119" i="71"/>
  <c r="P118" i="71"/>
  <c r="S122" i="71"/>
  <c r="P64" i="71"/>
  <c r="P65" i="71"/>
  <c r="P63" i="71"/>
  <c r="P135" i="71"/>
  <c r="P143" i="71"/>
  <c r="P134" i="71"/>
  <c r="P136" i="71"/>
  <c r="P137" i="71"/>
  <c r="P133" i="71"/>
  <c r="E8" i="107"/>
  <c r="E5" i="53"/>
  <c r="C13" i="30"/>
  <c r="F7" i="28"/>
  <c r="F18" i="28"/>
  <c r="S54" i="71"/>
  <c r="S93" i="71"/>
  <c r="S114" i="71"/>
  <c r="S77" i="71"/>
  <c r="S62" i="71"/>
  <c r="S76" i="71"/>
  <c r="S55" i="71"/>
  <c r="S15" i="71"/>
  <c r="S36" i="71"/>
  <c r="S73" i="71"/>
  <c r="S71" i="71"/>
  <c r="S95" i="71"/>
  <c r="S97" i="71"/>
  <c r="S94" i="71"/>
  <c r="S45" i="71"/>
  <c r="S78" i="71"/>
  <c r="S37" i="71"/>
  <c r="S142" i="71"/>
  <c r="S66" i="71"/>
  <c r="S69" i="71"/>
  <c r="S72" i="71"/>
  <c r="S92" i="71"/>
  <c r="S128" i="71"/>
  <c r="S87" i="71"/>
  <c r="S38" i="71"/>
  <c r="S49" i="71"/>
  <c r="S70" i="71"/>
  <c r="S74" i="71"/>
  <c r="S12" i="71"/>
  <c r="S111" i="71"/>
  <c r="S46" i="71"/>
  <c r="S112" i="71"/>
  <c r="S88" i="71"/>
  <c r="S20" i="71"/>
  <c r="S127" i="71"/>
  <c r="S32" i="71"/>
  <c r="S27" i="71"/>
  <c r="S101" i="71"/>
  <c r="S11" i="71"/>
  <c r="S115" i="71"/>
  <c r="S100" i="71"/>
  <c r="S143" i="71"/>
  <c r="S130" i="71"/>
  <c r="S25" i="71"/>
  <c r="S21" i="71"/>
  <c r="S124" i="71"/>
  <c r="S43" i="71"/>
  <c r="S113" i="71"/>
  <c r="S58" i="71"/>
  <c r="S10" i="71"/>
  <c r="S129" i="71"/>
  <c r="S132" i="71"/>
  <c r="S141" i="71"/>
  <c r="S59" i="71"/>
  <c r="S28" i="71"/>
  <c r="S99" i="71"/>
  <c r="S135" i="71"/>
  <c r="S31" i="71"/>
  <c r="S84" i="71"/>
  <c r="S44" i="71"/>
  <c r="S53" i="71"/>
  <c r="S63" i="71"/>
  <c r="S60" i="71"/>
  <c r="S52" i="71"/>
  <c r="S137" i="71"/>
  <c r="S16" i="71"/>
  <c r="S117" i="71"/>
  <c r="S65" i="71"/>
  <c r="D4" i="110"/>
  <c r="S125" i="71"/>
  <c r="S61" i="71"/>
  <c r="S136" i="71"/>
  <c r="S96" i="71"/>
  <c r="S116" i="71"/>
  <c r="S67" i="71"/>
  <c r="S118" i="71"/>
  <c r="S40" i="71"/>
  <c r="S134" i="71"/>
  <c r="S47" i="71"/>
  <c r="S35" i="71"/>
  <c r="S103" i="71"/>
  <c r="S14" i="71"/>
  <c r="S30" i="71"/>
  <c r="S123" i="71"/>
  <c r="S98" i="71"/>
  <c r="S90" i="71"/>
  <c r="S41" i="71"/>
  <c r="S57" i="71"/>
  <c r="S64" i="71"/>
  <c r="S126" i="71"/>
  <c r="S9" i="71"/>
  <c r="S119" i="71"/>
  <c r="S104" i="71"/>
  <c r="S110" i="71"/>
  <c r="S106" i="71"/>
  <c r="S68" i="71"/>
  <c r="S131" i="71"/>
  <c r="H7" i="28"/>
  <c r="C12" i="30"/>
  <c r="B12" i="30"/>
  <c r="B13" i="30"/>
  <c r="B14" i="30"/>
  <c r="S24" i="71"/>
  <c r="S86" i="71"/>
  <c r="S26" i="71"/>
  <c r="S22" i="71"/>
  <c r="S48" i="71"/>
  <c r="S51" i="71"/>
  <c r="S79" i="71"/>
  <c r="S91" i="71"/>
  <c r="S18" i="71"/>
  <c r="S33" i="71"/>
  <c r="S34" i="71"/>
  <c r="S13" i="71"/>
  <c r="S105" i="71"/>
  <c r="S19" i="71"/>
  <c r="S133" i="71"/>
  <c r="S89" i="71"/>
  <c r="D5" i="110"/>
  <c r="E4" i="110"/>
  <c r="H18" i="28"/>
  <c r="F8" i="28"/>
  <c r="C12" i="110"/>
  <c r="E5" i="110"/>
  <c r="F19" i="28"/>
  <c r="C11" i="110"/>
  <c r="B11" i="110"/>
  <c r="B12" i="110"/>
  <c r="B13" i="110"/>
  <c r="H8" i="28"/>
  <c r="H19" i="28"/>
  <c r="G1273" i="144"/>
  <c r="G239" i="144"/>
  <c r="G284" i="144"/>
  <c r="G1667" i="144"/>
  <c r="G1819" i="144"/>
  <c r="G13" i="144"/>
  <c r="G303" i="144"/>
  <c r="G246" i="144"/>
  <c r="G558" i="144"/>
  <c r="G1805" i="144"/>
  <c r="G26" i="144"/>
  <c r="G39" i="144"/>
  <c r="G1380" i="144"/>
  <c r="G88" i="144"/>
  <c r="G508" i="144"/>
  <c r="G1829" i="144"/>
  <c r="G247" i="144"/>
  <c r="G510" i="144"/>
  <c r="G1631" i="144"/>
  <c r="G155" i="144"/>
  <c r="G318" i="144"/>
  <c r="G1685" i="144"/>
  <c r="G1839" i="144"/>
  <c r="G1265" i="144"/>
  <c r="G235" i="144"/>
  <c r="G286" i="144"/>
  <c r="G1669" i="144"/>
  <c r="G1823" i="144"/>
  <c r="G10" i="144"/>
  <c r="G96" i="144"/>
  <c r="G664" i="144"/>
  <c r="G146" i="144"/>
  <c r="G560" i="144"/>
  <c r="G1853" i="144"/>
  <c r="G107" i="144"/>
  <c r="G1679" i="144"/>
  <c r="G80" i="144"/>
  <c r="G1838" i="144"/>
  <c r="G62" i="144"/>
  <c r="G1654" i="144"/>
  <c r="G112" i="144"/>
  <c r="G1656" i="144"/>
  <c r="G443" i="144"/>
  <c r="G380" i="144"/>
  <c r="G65" i="144"/>
  <c r="G1695" i="144"/>
  <c r="G1742" i="144"/>
  <c r="G554" i="144"/>
  <c r="G33" i="144"/>
  <c r="G52" i="144"/>
  <c r="G283" i="144"/>
  <c r="G191" i="144"/>
  <c r="G282" i="144"/>
  <c r="G124" i="144"/>
  <c r="G439" i="144"/>
  <c r="G1794" i="144"/>
  <c r="G192" i="144"/>
  <c r="G1871" i="144"/>
  <c r="G1887" i="144"/>
  <c r="G904" i="144"/>
  <c r="G813" i="144"/>
  <c r="G1010" i="144"/>
  <c r="G608" i="144"/>
  <c r="G1892" i="144"/>
  <c r="G1645" i="144"/>
  <c r="G782" i="144"/>
  <c r="G1894" i="144"/>
  <c r="G576" i="144"/>
  <c r="G656" i="144"/>
  <c r="G1418" i="144"/>
  <c r="G1890" i="144"/>
  <c r="G421" i="144"/>
  <c r="G1126" i="144"/>
  <c r="G1938" i="144"/>
  <c r="G1942" i="144"/>
  <c r="G758" i="144"/>
  <c r="G1454" i="144"/>
  <c r="G449" i="144"/>
  <c r="G1947" i="144"/>
  <c r="G1008" i="144"/>
  <c r="G1902" i="144"/>
  <c r="G1107" i="144"/>
  <c r="G1024" i="144"/>
  <c r="G735" i="144"/>
  <c r="G795" i="144"/>
  <c r="G713" i="144"/>
  <c r="G1238" i="144"/>
  <c r="G1870" i="144"/>
  <c r="G581" i="144"/>
  <c r="G1940" i="144"/>
  <c r="G1002" i="144"/>
  <c r="G828" i="144"/>
  <c r="G1360" i="144"/>
  <c r="G1303" i="144"/>
  <c r="G666" i="144"/>
  <c r="G471" i="144"/>
  <c r="G1701" i="144"/>
  <c r="G877" i="144"/>
  <c r="G1876" i="144"/>
  <c r="G561" i="144"/>
  <c r="G754" i="144"/>
  <c r="G121" i="144"/>
  <c r="G91" i="144"/>
  <c r="G362" i="144"/>
  <c r="G1706" i="144"/>
  <c r="G1856" i="144"/>
  <c r="G1583" i="144"/>
  <c r="G151" i="144"/>
  <c r="G330" i="144"/>
  <c r="G1686" i="144"/>
  <c r="G1840" i="144"/>
  <c r="G535" i="144"/>
  <c r="G1356" i="144"/>
  <c r="G1013" i="144"/>
  <c r="G194" i="144"/>
  <c r="G1674" i="144"/>
  <c r="G1646" i="144"/>
  <c r="G102" i="144"/>
  <c r="G1703" i="144"/>
  <c r="G36" i="144"/>
  <c r="G1046" i="144"/>
  <c r="G37" i="144"/>
  <c r="G78" i="144"/>
  <c r="G160" i="144"/>
  <c r="G1709" i="144"/>
  <c r="G343" i="144"/>
  <c r="G428" i="144"/>
  <c r="G427" i="144"/>
  <c r="G1746" i="144"/>
  <c r="G751" i="144"/>
  <c r="G1696" i="144"/>
  <c r="G174" i="144"/>
  <c r="G287" i="144"/>
  <c r="G23" i="144"/>
  <c r="G334" i="144"/>
  <c r="G1718" i="144"/>
  <c r="G432" i="144"/>
  <c r="G222" i="144"/>
  <c r="G30" i="144"/>
  <c r="G294" i="144"/>
  <c r="G74" i="144"/>
  <c r="G1897" i="144"/>
  <c r="G1602" i="144"/>
  <c r="G1062" i="144"/>
  <c r="G1877" i="144"/>
  <c r="G1327" i="144"/>
  <c r="G1383" i="144"/>
  <c r="G1878" i="144"/>
  <c r="G1104" i="144"/>
  <c r="G1603" i="144"/>
  <c r="G706" i="144"/>
  <c r="G1922" i="144"/>
  <c r="G1147" i="144"/>
  <c r="G886" i="144"/>
  <c r="G1886" i="144"/>
  <c r="G1899" i="144"/>
  <c r="G1606" i="144"/>
  <c r="G1015" i="144"/>
  <c r="G832" i="144"/>
  <c r="G1881" i="144"/>
  <c r="G1073" i="144"/>
  <c r="G1941" i="144"/>
  <c r="G1372" i="144"/>
  <c r="G731" i="144"/>
  <c r="G165" i="144"/>
  <c r="G1236" i="144"/>
  <c r="G693" i="144"/>
  <c r="G1339" i="144"/>
  <c r="G1677" i="144"/>
  <c r="G259" i="144"/>
  <c r="G1932" i="144"/>
  <c r="G1543" i="144"/>
  <c r="G843" i="144"/>
  <c r="G774" i="144"/>
  <c r="G580" i="144"/>
  <c r="G669" i="144"/>
  <c r="G1505" i="144"/>
  <c r="G67" i="144"/>
  <c r="G1847" i="144"/>
  <c r="G927" i="144"/>
  <c r="G92" i="144"/>
  <c r="G404" i="144"/>
  <c r="G1722" i="144"/>
  <c r="G1648" i="144"/>
  <c r="G609" i="144"/>
  <c r="G87" i="144"/>
  <c r="G364" i="144"/>
  <c r="G1707" i="144"/>
  <c r="G1859" i="144"/>
  <c r="G447" i="144"/>
  <c r="G777" i="144"/>
  <c r="G755" i="144"/>
  <c r="G258" i="144"/>
  <c r="G1698" i="144"/>
  <c r="G64" i="144"/>
  <c r="G198" i="144"/>
  <c r="G1731" i="144"/>
  <c r="G16" i="144"/>
  <c r="G921" i="144"/>
  <c r="G17" i="144"/>
  <c r="G1640" i="144"/>
  <c r="G216" i="144"/>
  <c r="G1757" i="144"/>
  <c r="G195" i="144"/>
  <c r="G1658" i="144"/>
  <c r="G183" i="144"/>
  <c r="G1795" i="144"/>
  <c r="G399" i="144"/>
  <c r="G1752" i="144"/>
  <c r="G272" i="144"/>
  <c r="G188" i="144"/>
  <c r="G190" i="144"/>
  <c r="G1741" i="144"/>
  <c r="G1867" i="144"/>
  <c r="G1693" i="144"/>
  <c r="G534" i="144"/>
  <c r="G388" i="144"/>
  <c r="G390" i="144"/>
  <c r="G46" i="144"/>
  <c r="G1929" i="144"/>
  <c r="G1318" i="144"/>
  <c r="G1212" i="144"/>
  <c r="G1426" i="144"/>
  <c r="G1120" i="144"/>
  <c r="G1904" i="144"/>
  <c r="G1639" i="144"/>
  <c r="G389" i="144"/>
  <c r="G1914" i="144"/>
  <c r="G1365" i="144"/>
  <c r="G781" i="144"/>
  <c r="G1900" i="144"/>
  <c r="G1284" i="144"/>
  <c r="G1480" i="144"/>
  <c r="G1435" i="144"/>
  <c r="G1885" i="144"/>
  <c r="G1172" i="144"/>
  <c r="G1282" i="144"/>
  <c r="G1924" i="144"/>
  <c r="G1088" i="144"/>
  <c r="G1874" i="144"/>
  <c r="G984" i="144"/>
  <c r="G197" i="144"/>
  <c r="G811" i="144"/>
  <c r="G970" i="144"/>
  <c r="G584" i="144"/>
  <c r="G515" i="144"/>
  <c r="G1835" i="144"/>
  <c r="G158" i="144"/>
  <c r="G1896" i="144"/>
  <c r="G712" i="144"/>
  <c r="G771" i="144"/>
  <c r="G1461" i="144"/>
  <c r="G1604" i="144"/>
  <c r="G1569" i="144"/>
  <c r="G543" i="144"/>
  <c r="G126" i="144"/>
  <c r="G436" i="144"/>
  <c r="G1743" i="144"/>
  <c r="G77" i="144"/>
  <c r="G586" i="144"/>
  <c r="G94" i="144"/>
  <c r="G406" i="144"/>
  <c r="G1728" i="144"/>
  <c r="G1653" i="144"/>
  <c r="G383" i="144"/>
  <c r="G1445" i="144"/>
  <c r="G495" i="144"/>
  <c r="G304" i="144"/>
  <c r="G1730" i="144"/>
  <c r="G40" i="144"/>
  <c r="G262" i="144"/>
  <c r="G1781" i="144"/>
  <c r="G479" i="144"/>
  <c r="G168" i="144"/>
  <c r="G478" i="144"/>
  <c r="G1765" i="144"/>
  <c r="G61" i="144"/>
  <c r="G539" i="144"/>
  <c r="G136" i="144"/>
  <c r="G442" i="144"/>
  <c r="G1744" i="144"/>
  <c r="G76" i="144"/>
  <c r="G299" i="144"/>
  <c r="G658" i="144"/>
  <c r="G375" i="144"/>
  <c r="G356" i="144"/>
  <c r="G1754" i="144"/>
  <c r="G18" i="144"/>
  <c r="G308" i="144"/>
  <c r="G1807" i="144"/>
  <c r="G532" i="144"/>
  <c r="G358" i="144"/>
  <c r="G1680" i="144"/>
  <c r="G483" i="144"/>
  <c r="G314" i="144"/>
  <c r="G56" i="144"/>
  <c r="G114" i="144"/>
  <c r="G1759" i="144"/>
  <c r="G238" i="144"/>
  <c r="G66" i="144"/>
  <c r="G144" i="144"/>
  <c r="G1851" i="144"/>
  <c r="G1659" i="144"/>
  <c r="G1818" i="144"/>
  <c r="G500" i="144"/>
  <c r="G336" i="144"/>
  <c r="G118" i="144"/>
  <c r="G69" i="144"/>
  <c r="G1842" i="144"/>
  <c r="G1523" i="144"/>
  <c r="G1671" i="144"/>
  <c r="G430" i="144"/>
  <c r="G1903" i="144"/>
  <c r="G1183" i="144"/>
  <c r="G1325" i="144"/>
  <c r="G722" i="144"/>
  <c r="G1875" i="144"/>
  <c r="G1634" i="144"/>
  <c r="G963" i="144"/>
  <c r="G1332" i="144"/>
  <c r="G1898" i="144"/>
  <c r="G1257" i="144"/>
  <c r="G35" i="144"/>
  <c r="G569" i="144"/>
  <c r="G1945" i="144"/>
  <c r="G720" i="144"/>
  <c r="G1884" i="144"/>
  <c r="G659" i="144"/>
  <c r="G1930" i="144"/>
  <c r="G1007" i="144"/>
  <c r="G1580" i="144"/>
  <c r="G853" i="144"/>
  <c r="G1182" i="144"/>
  <c r="G537" i="144"/>
  <c r="G1292" i="144"/>
  <c r="G835" i="144"/>
  <c r="G1232" i="144"/>
  <c r="G85" i="144"/>
  <c r="G321" i="144"/>
  <c r="G224" i="144"/>
  <c r="G171" i="144"/>
  <c r="G548" i="144"/>
  <c r="G1466" i="144"/>
  <c r="G97" i="144"/>
  <c r="G453" i="144"/>
  <c r="G780" i="144"/>
  <c r="G707" i="144"/>
  <c r="G444" i="144"/>
  <c r="G395" i="144"/>
  <c r="G210" i="144"/>
  <c r="G512" i="144"/>
  <c r="G1782" i="144"/>
  <c r="G44" i="144"/>
  <c r="G475" i="144"/>
  <c r="G172" i="144"/>
  <c r="G484" i="144"/>
  <c r="G1766" i="144"/>
  <c r="G60" i="144"/>
  <c r="G227" i="144"/>
  <c r="G573" i="144"/>
  <c r="G255" i="144"/>
  <c r="G410" i="144"/>
  <c r="G1778" i="144"/>
  <c r="G491" i="144"/>
  <c r="G412" i="144"/>
  <c r="G1830" i="144"/>
  <c r="G1682" i="144"/>
  <c r="G1655" i="144"/>
  <c r="G1733" i="144"/>
  <c r="G347" i="144"/>
  <c r="G366" i="144"/>
  <c r="G476" i="144"/>
  <c r="G166" i="144"/>
  <c r="G1815" i="144"/>
  <c r="G340" i="144"/>
  <c r="G29" i="144"/>
  <c r="G240" i="144"/>
  <c r="G54" i="144"/>
  <c r="G1717" i="144"/>
  <c r="G14" i="144"/>
  <c r="G1719" i="144"/>
  <c r="G382" i="144"/>
  <c r="G72" i="144"/>
  <c r="G384" i="144"/>
  <c r="G187" i="144"/>
  <c r="G523" i="144"/>
  <c r="G1720" i="144"/>
  <c r="G1792" i="144"/>
  <c r="G1912" i="144"/>
  <c r="G1396" i="144"/>
  <c r="G89" i="144"/>
  <c r="G1907" i="144"/>
  <c r="G1275" i="144"/>
  <c r="G1597" i="144"/>
  <c r="G217" i="144"/>
  <c r="G1893" i="144"/>
  <c r="G596" i="144"/>
  <c r="G1625" i="144"/>
  <c r="G960" i="144"/>
  <c r="G1889" i="144"/>
  <c r="G1549" i="144"/>
  <c r="G1919" i="144"/>
  <c r="G1214" i="144"/>
  <c r="G1883" i="144"/>
  <c r="G1451" i="144"/>
  <c r="G465" i="144"/>
  <c r="G1908" i="144"/>
  <c r="G1405" i="144"/>
  <c r="G881" i="144"/>
  <c r="G1131" i="144"/>
  <c r="G798" i="144"/>
  <c r="G1230" i="144"/>
  <c r="G994" i="144"/>
  <c r="G1438" i="144"/>
  <c r="G1135" i="144"/>
  <c r="G420" i="144"/>
  <c r="G204" i="144"/>
  <c r="G1739" i="144"/>
  <c r="G1173" i="144"/>
  <c r="G871" i="144"/>
  <c r="G293" i="144"/>
  <c r="G1608" i="144"/>
  <c r="G944" i="144"/>
  <c r="G1485" i="144"/>
  <c r="G1687" i="144"/>
  <c r="G230" i="144"/>
  <c r="G1751" i="144"/>
  <c r="G753" i="144"/>
  <c r="G905" i="144"/>
  <c r="G481" i="144"/>
  <c r="G762" i="144"/>
  <c r="G323" i="144"/>
  <c r="G242" i="144"/>
  <c r="G556" i="144"/>
  <c r="G1803" i="144"/>
  <c r="G28" i="144"/>
  <c r="G387" i="144"/>
  <c r="G214" i="144"/>
  <c r="G526" i="144"/>
  <c r="G1783" i="144"/>
  <c r="G42" i="144"/>
  <c r="G143" i="144"/>
  <c r="G809" i="144"/>
  <c r="G131" i="144"/>
  <c r="G458" i="144"/>
  <c r="G1806" i="144"/>
  <c r="G351" i="144"/>
  <c r="G462" i="144"/>
  <c r="G1855" i="144"/>
  <c r="G1734" i="144"/>
  <c r="G1755" i="144"/>
  <c r="G1814" i="144"/>
  <c r="G203" i="144"/>
  <c r="G464" i="144"/>
  <c r="G1863" i="144"/>
  <c r="G220" i="144"/>
  <c r="G1564" i="144"/>
  <c r="G452" i="144"/>
  <c r="G1661" i="144"/>
  <c r="G342" i="144"/>
  <c r="G22" i="144"/>
  <c r="G1816" i="144"/>
  <c r="G1568" i="144"/>
  <c r="G1869" i="144"/>
  <c r="G1767" i="144"/>
  <c r="G1103" i="144"/>
  <c r="G1770" i="144"/>
  <c r="G236" i="144"/>
  <c r="G279" i="144"/>
  <c r="G1776" i="144"/>
  <c r="G34" i="144"/>
  <c r="G1921" i="144"/>
  <c r="G1626" i="144"/>
  <c r="G723" i="144"/>
  <c r="G1589" i="144"/>
  <c r="G1923" i="144"/>
  <c r="G1074" i="144"/>
  <c r="G1219" i="144"/>
  <c r="G1593" i="144"/>
  <c r="G1925" i="144"/>
  <c r="G1643" i="144"/>
  <c r="G1294" i="144"/>
  <c r="G1209" i="144"/>
  <c r="G686" i="144"/>
  <c r="G951" i="144"/>
  <c r="G1891" i="144"/>
  <c r="G1239" i="144"/>
  <c r="G1097" i="144"/>
  <c r="G600" i="144"/>
  <c r="G1216" i="144"/>
  <c r="G1934" i="144"/>
  <c r="G995" i="144"/>
  <c r="G1200" i="144"/>
  <c r="G591" i="144"/>
  <c r="G1504" i="144"/>
  <c r="G737" i="144"/>
  <c r="G879" i="144"/>
  <c r="G173" i="144"/>
  <c r="G1675" i="144"/>
  <c r="G398" i="144"/>
  <c r="G626" i="144"/>
  <c r="G1358" i="144"/>
  <c r="G807" i="144"/>
  <c r="G1409" i="144"/>
  <c r="G361" i="144"/>
  <c r="G1082" i="144"/>
  <c r="G1784" i="144"/>
  <c r="G1789" i="144"/>
  <c r="G99" i="144"/>
  <c r="G316" i="144"/>
  <c r="G264" i="144"/>
  <c r="G140" i="144"/>
  <c r="G486" i="144"/>
  <c r="G1771" i="144"/>
  <c r="G506" i="144"/>
  <c r="G1221" i="144"/>
  <c r="G1535" i="144"/>
  <c r="G1943" i="144"/>
  <c r="G607" i="144"/>
  <c r="G935" i="144"/>
  <c r="G739" i="144"/>
  <c r="G350" i="144"/>
  <c r="G252" i="144"/>
  <c r="G378" i="144"/>
  <c r="G967" i="144"/>
  <c r="G806" i="144"/>
  <c r="G823" i="144"/>
  <c r="G1424" i="144"/>
  <c r="G844" i="144"/>
  <c r="G1797" i="144"/>
  <c r="G1738" i="144"/>
  <c r="G301" i="144"/>
  <c r="G977" i="144"/>
  <c r="G248" i="144"/>
  <c r="G1935" i="144"/>
  <c r="G996" i="144"/>
  <c r="G854" i="144"/>
  <c r="G964" i="144"/>
  <c r="G297" i="144"/>
  <c r="G1203" i="144"/>
  <c r="G1357" i="144"/>
  <c r="G1750" i="144"/>
  <c r="G111" i="144"/>
  <c r="G1570" i="144"/>
  <c r="G1619" i="144"/>
  <c r="G897" i="144"/>
  <c r="G1392" i="144"/>
  <c r="G933" i="144"/>
  <c r="G1225" i="144"/>
  <c r="G128" i="144"/>
  <c r="G1762" i="144"/>
  <c r="G256" i="144"/>
  <c r="G1180" i="144"/>
  <c r="G602" i="144"/>
  <c r="G470" i="144"/>
  <c r="G1289" i="144"/>
  <c r="G1715" i="144"/>
  <c r="G1148" i="144"/>
  <c r="G1142" i="144"/>
  <c r="G1016" i="144"/>
  <c r="G1022" i="144"/>
  <c r="G1309" i="144"/>
  <c r="G1749" i="144"/>
  <c r="G624" i="144"/>
  <c r="G1053" i="144"/>
  <c r="G670" i="144"/>
  <c r="G975" i="144"/>
  <c r="G1290" i="144"/>
  <c r="G409" i="144"/>
  <c r="G1057" i="144"/>
  <c r="G365" i="144"/>
  <c r="G546" i="144"/>
  <c r="G1459" i="144"/>
  <c r="G1522" i="144"/>
  <c r="G1243" i="144"/>
  <c r="G1760" i="144"/>
  <c r="G816" i="144"/>
  <c r="G1376" i="144"/>
  <c r="G644" i="144"/>
  <c r="G695" i="144"/>
  <c r="G1198" i="144"/>
  <c r="G1474" i="144"/>
  <c r="G1201" i="144"/>
  <c r="G788" i="144"/>
  <c r="G562" i="144"/>
  <c r="G1552" i="144"/>
  <c r="G1592" i="144"/>
  <c r="G891" i="144"/>
  <c r="G520" i="144"/>
  <c r="G257" i="144"/>
  <c r="G345" i="144"/>
  <c r="G650" i="144"/>
  <c r="G1791" i="144"/>
  <c r="G528" i="144"/>
  <c r="G550" i="144"/>
  <c r="G1866" i="144"/>
  <c r="G431" i="144"/>
  <c r="G1827" i="144"/>
  <c r="G1134" i="144"/>
  <c r="G401" i="144"/>
  <c r="G1021" i="144"/>
  <c r="G1895" i="144"/>
  <c r="G1270" i="144"/>
  <c r="G718" i="144"/>
  <c r="G1190" i="144"/>
  <c r="G1837" i="144"/>
  <c r="G776" i="144"/>
  <c r="G81" i="144"/>
  <c r="G1651" i="144"/>
  <c r="G867" i="144"/>
  <c r="G1493" i="144"/>
  <c r="G1444" i="144"/>
  <c r="G883" i="144"/>
  <c r="G1227" i="144"/>
  <c r="G68" i="144"/>
  <c r="G555" i="144"/>
  <c r="G840" i="144"/>
  <c r="G221" i="144"/>
  <c r="G49" i="144"/>
  <c r="G1497" i="144"/>
  <c r="G922" i="144"/>
  <c r="G1089" i="144"/>
  <c r="G865" i="144"/>
  <c r="G715" i="144"/>
  <c r="G367" i="144"/>
  <c r="G702" i="144"/>
  <c r="G232" i="144"/>
  <c r="G1567" i="144"/>
  <c r="G979" i="144"/>
  <c r="G1610" i="144"/>
  <c r="G469" i="144"/>
  <c r="G337" i="144"/>
  <c r="G320" i="144"/>
  <c r="G1125" i="144"/>
  <c r="G448" i="144"/>
  <c r="G1641" i="144"/>
  <c r="G643" i="144"/>
  <c r="G267" i="144"/>
  <c r="G1553" i="144"/>
  <c r="G502" i="144"/>
  <c r="G1432" i="144"/>
  <c r="G1071" i="144"/>
  <c r="G397" i="144"/>
  <c r="G772" i="144"/>
  <c r="G1800" i="144"/>
  <c r="G71" i="144"/>
  <c r="G588" i="144"/>
  <c r="G1431" i="144"/>
  <c r="G1313" i="144"/>
  <c r="G1705" i="144"/>
  <c r="G1162" i="144"/>
  <c r="G986" i="144"/>
  <c r="G1050" i="144"/>
  <c r="G1798" i="144"/>
  <c r="G601" i="144"/>
  <c r="G1790" i="144"/>
  <c r="G1495" i="144"/>
  <c r="G1487" i="144"/>
  <c r="G1614" i="144"/>
  <c r="G1563" i="144"/>
  <c r="G917" i="144"/>
  <c r="G1713" i="144"/>
  <c r="G631" i="144"/>
  <c r="G1447" i="144"/>
  <c r="G445" i="144"/>
  <c r="G1692" i="144"/>
  <c r="G914" i="144"/>
  <c r="G683" i="144"/>
  <c r="G150" i="144"/>
  <c r="G1831" i="144"/>
  <c r="G1850" i="144"/>
  <c r="G490" i="144"/>
  <c r="G1845" i="144"/>
  <c r="G837" i="144"/>
  <c r="G1157" i="144"/>
  <c r="G729" i="144"/>
  <c r="G1628" i="144"/>
  <c r="G1174" i="144"/>
  <c r="G1579" i="144"/>
  <c r="G1320" i="144"/>
  <c r="G910" i="144"/>
  <c r="G764" i="144"/>
  <c r="G511" i="144"/>
  <c r="G1848" i="144"/>
  <c r="G872" i="144"/>
  <c r="G724" i="144"/>
  <c r="G1512" i="144"/>
  <c r="G1077" i="144"/>
  <c r="G1118" i="144"/>
  <c r="G1725" i="144"/>
  <c r="G159" i="144"/>
  <c r="G648" i="144"/>
  <c r="G1425" i="144"/>
  <c r="G379" i="144"/>
  <c r="G1068" i="144"/>
  <c r="G1371" i="144"/>
  <c r="G857" i="144"/>
  <c r="G1455" i="144"/>
  <c r="G866" i="144"/>
  <c r="G918" i="144"/>
  <c r="G104" i="144"/>
  <c r="G411" i="144"/>
  <c r="G426" i="144"/>
  <c r="G824" i="144"/>
  <c r="G1315" i="144"/>
  <c r="G957" i="144"/>
  <c r="G903" i="144"/>
  <c r="G1000" i="144"/>
  <c r="G529" i="144"/>
  <c r="G516" i="144"/>
  <c r="G363" i="144"/>
  <c r="G1690" i="144"/>
  <c r="G632" i="144"/>
  <c r="G976" i="144"/>
  <c r="G542" i="144"/>
  <c r="G310" i="144"/>
  <c r="G1220" i="144"/>
  <c r="G1341" i="144"/>
  <c r="G313" i="144"/>
  <c r="G955" i="144"/>
  <c r="G941" i="144"/>
  <c r="G1786" i="144"/>
  <c r="G1317" i="144"/>
  <c r="G1704" i="144"/>
  <c r="G1211" i="144"/>
  <c r="G189" i="144"/>
  <c r="G983" i="144"/>
  <c r="G1429" i="144"/>
  <c r="G675" i="144"/>
  <c r="G1111" i="144"/>
  <c r="G403" i="144"/>
  <c r="G1769" i="144"/>
  <c r="G357" i="144"/>
  <c r="G1019" i="144"/>
  <c r="G1066" i="144"/>
  <c r="G130" i="144"/>
  <c r="G884" i="144"/>
  <c r="G1694" i="144"/>
  <c r="G655" i="144"/>
  <c r="G1448" i="144"/>
  <c r="G1287" i="144"/>
  <c r="G1381" i="144"/>
  <c r="G1420" i="144"/>
  <c r="G229" i="144"/>
  <c r="G1433" i="144"/>
  <c r="G1323" i="144"/>
  <c r="G423" i="144"/>
  <c r="G1756" i="144"/>
  <c r="G1094" i="144"/>
  <c r="G850" i="144"/>
  <c r="G1650" i="144"/>
  <c r="G414" i="144"/>
  <c r="G95" i="144"/>
  <c r="G139" i="144"/>
  <c r="G292" i="144"/>
  <c r="G1691" i="144"/>
  <c r="G1882" i="144"/>
  <c r="G1916" i="144"/>
  <c r="G1909" i="144"/>
  <c r="G1906" i="144"/>
  <c r="G1888" i="144"/>
  <c r="G1910" i="144"/>
  <c r="G839" i="144"/>
  <c r="G127" i="144"/>
  <c r="G1531" i="144"/>
  <c r="G800" i="144"/>
  <c r="G422" i="144"/>
  <c r="G1936" i="144"/>
  <c r="G1473" i="144"/>
  <c r="G812" i="144"/>
  <c r="G825" i="144"/>
  <c r="G405" i="144"/>
  <c r="G55" i="144"/>
  <c r="G459" i="144"/>
  <c r="G400" i="144"/>
  <c r="G1202" i="144"/>
  <c r="G1832" i="144"/>
  <c r="G661" i="144"/>
  <c r="G1412" i="144"/>
  <c r="G943" i="144"/>
  <c r="G860" i="144"/>
  <c r="G738" i="144"/>
  <c r="G916" i="144"/>
  <c r="G492" i="144"/>
  <c r="G276" i="144"/>
  <c r="G1775" i="144"/>
  <c r="G633" i="144"/>
  <c r="G461" i="144"/>
  <c r="G985" i="144"/>
  <c r="G285" i="144"/>
  <c r="G1344" i="144"/>
  <c r="G300" i="144"/>
  <c r="G1920" i="144"/>
  <c r="G692" i="144"/>
  <c r="G1499" i="144"/>
  <c r="G496" i="144"/>
  <c r="G740" i="144"/>
  <c r="G335" i="144"/>
  <c r="G501" i="144"/>
  <c r="G959" i="144"/>
  <c r="G1482" i="144"/>
  <c r="G1092" i="144"/>
  <c r="G924" i="144"/>
  <c r="G1647" i="144"/>
  <c r="G1585" i="144"/>
  <c r="G288" i="144"/>
  <c r="G1462" i="144"/>
  <c r="G1113" i="144"/>
  <c r="G1517" i="144"/>
  <c r="G1058" i="144"/>
  <c r="G369" i="144"/>
  <c r="G58" i="144"/>
  <c r="G1032" i="144"/>
  <c r="G1153" i="144"/>
  <c r="G1450" i="144"/>
  <c r="G1664" i="144"/>
  <c r="G1620" i="144"/>
  <c r="G270" i="144"/>
  <c r="G1496" i="144"/>
  <c r="G1618" i="144"/>
  <c r="G663" i="144"/>
  <c r="G704" i="144"/>
  <c r="G1076" i="144"/>
  <c r="G115" i="144"/>
  <c r="G545" i="144"/>
  <c r="G791" i="144"/>
  <c r="G138" i="144"/>
  <c r="G8" i="144"/>
  <c r="G1443" i="144"/>
  <c r="G1915" i="144"/>
  <c r="G1862" i="144"/>
  <c r="G268" i="144"/>
  <c r="G454" i="144"/>
  <c r="G48" i="144"/>
  <c r="G538" i="144"/>
  <c r="G1880" i="144"/>
  <c r="G1913" i="144"/>
  <c r="G1465" i="144"/>
  <c r="G888" i="144"/>
  <c r="G1559" i="144"/>
  <c r="G1521" i="144"/>
  <c r="G1020" i="144"/>
  <c r="G1773" i="144"/>
  <c r="G1624" i="144"/>
  <c r="G1509" i="144"/>
  <c r="G1712" i="144"/>
  <c r="G1036" i="144"/>
  <c r="G289" i="144"/>
  <c r="G1475" i="144"/>
  <c r="G1065" i="144"/>
  <c r="G829" i="144"/>
  <c r="G274" i="144"/>
  <c r="G57" i="144"/>
  <c r="G1666" i="144"/>
  <c r="G1747" i="144"/>
  <c r="G765" i="144"/>
  <c r="G848" i="144"/>
  <c r="G253" i="144"/>
  <c r="G201" i="144"/>
  <c r="G847" i="144"/>
  <c r="G1389" i="144"/>
  <c r="G993" i="144"/>
  <c r="G1711" i="144"/>
  <c r="G494" i="144"/>
  <c r="G1872" i="144"/>
  <c r="G919" i="144"/>
  <c r="G708" i="144"/>
  <c r="G899" i="144"/>
  <c r="G1390" i="144"/>
  <c r="G1560" i="144"/>
  <c r="G565" i="144"/>
  <c r="G1821" i="144"/>
  <c r="G518" i="144"/>
  <c r="G1478" i="144"/>
  <c r="G1098" i="144"/>
  <c r="G594" i="144"/>
  <c r="G889" i="144"/>
  <c r="G1306" i="144"/>
  <c r="G911" i="144"/>
  <c r="G1370" i="144"/>
  <c r="G1151" i="144"/>
  <c r="G1879" i="144"/>
  <c r="G942" i="144"/>
  <c r="G1231" i="144"/>
  <c r="G86" i="144"/>
  <c r="G1060" i="144"/>
  <c r="G98" i="144"/>
  <c r="G1498" i="144"/>
  <c r="G1311" i="144"/>
  <c r="G1529" i="144"/>
  <c r="G1187" i="144"/>
  <c r="G646" i="144"/>
  <c r="G148" i="144"/>
  <c r="G1456" i="144"/>
  <c r="G1927" i="144"/>
  <c r="G629" i="144"/>
  <c r="G900" i="144"/>
  <c r="G110" i="144"/>
  <c r="G1034" i="144"/>
  <c r="G73" i="144"/>
  <c r="G1167" i="144"/>
  <c r="G1229" i="144"/>
  <c r="G1304" i="144"/>
  <c r="G952" i="144"/>
  <c r="G680" i="144"/>
  <c r="G164" i="144"/>
  <c r="G1841" i="144"/>
  <c r="G874" i="144"/>
  <c r="G329" i="144"/>
  <c r="G266" i="144"/>
  <c r="G1630" i="144"/>
  <c r="G1276" i="144"/>
  <c r="G93" i="144"/>
  <c r="G925" i="144"/>
  <c r="G1710" i="144"/>
  <c r="G1802" i="144"/>
  <c r="G11" i="144"/>
  <c r="G1826" i="144"/>
  <c r="G822" i="144"/>
  <c r="G1933" i="144"/>
  <c r="G592" i="144"/>
  <c r="G1514" i="144"/>
  <c r="G1367" i="144"/>
  <c r="G559" i="144"/>
  <c r="G1534" i="144"/>
  <c r="G1285" i="144"/>
  <c r="G215" i="144"/>
  <c r="G1596" i="144"/>
  <c r="G1197" i="144"/>
  <c r="G1533" i="144"/>
  <c r="G1067" i="144"/>
  <c r="G1305" i="144"/>
  <c r="G468" i="144"/>
  <c r="G254" i="144"/>
  <c r="G1763" i="144"/>
  <c r="G1457" i="144"/>
  <c r="G1662" i="144"/>
  <c r="G570" i="144"/>
  <c r="G1108" i="144"/>
  <c r="G1476" i="144"/>
  <c r="G878" i="144"/>
  <c r="G1301" i="144"/>
  <c r="G598" i="144"/>
  <c r="G1808" i="144"/>
  <c r="G1774" i="144"/>
  <c r="G1944" i="144"/>
  <c r="G1246" i="144"/>
  <c r="G1408" i="144"/>
  <c r="G1591" i="144"/>
  <c r="G505" i="144"/>
  <c r="G802" i="144"/>
  <c r="G137" i="144"/>
  <c r="G341" i="144"/>
  <c r="G225" i="144"/>
  <c r="G945" i="144"/>
  <c r="G176" i="144"/>
  <c r="G672" i="144"/>
  <c r="G1538" i="144"/>
  <c r="G694" i="144"/>
  <c r="G1539" i="144"/>
  <c r="G1547" i="144"/>
  <c r="G1440" i="144"/>
  <c r="G1163" i="144"/>
  <c r="G761" i="144"/>
  <c r="G522" i="144"/>
  <c r="G676" i="144"/>
  <c r="G419" i="144"/>
  <c r="G1194" i="144"/>
  <c r="G920" i="144"/>
  <c r="G962" i="144"/>
  <c r="G1642" i="144"/>
  <c r="G1581" i="144"/>
  <c r="G773" i="144"/>
  <c r="G290" i="144"/>
  <c r="G687" i="144"/>
  <c r="G1084" i="144"/>
  <c r="G1330" i="144"/>
  <c r="G381" i="144"/>
  <c r="G1702" i="144"/>
  <c r="G571" i="144"/>
  <c r="G463" i="144"/>
  <c r="G948" i="144"/>
  <c r="G689" i="144"/>
  <c r="G1374" i="144"/>
  <c r="G1075" i="144"/>
  <c r="G433" i="144"/>
  <c r="G306" i="144"/>
  <c r="G45" i="144"/>
  <c r="G1048" i="144"/>
  <c r="G636" i="144"/>
  <c r="G1623" i="144"/>
  <c r="G1337" i="144"/>
  <c r="G527" i="144"/>
  <c r="G710" i="144"/>
  <c r="G1149" i="144"/>
  <c r="G119" i="144"/>
  <c r="G141" i="144"/>
  <c r="G208" i="144"/>
  <c r="G1326" i="144"/>
  <c r="G627" i="144"/>
  <c r="G1678" i="144"/>
  <c r="G1578" i="144"/>
  <c r="G108" i="144"/>
  <c r="G311" i="144"/>
  <c r="G325" i="144"/>
  <c r="G219" i="144"/>
  <c r="G1441" i="144"/>
  <c r="G756" i="144"/>
  <c r="G931" i="144"/>
  <c r="G460" i="144"/>
  <c r="G992" i="144"/>
  <c r="G1093" i="144"/>
  <c r="G1638" i="144"/>
  <c r="G473" i="144"/>
  <c r="G1277" i="144"/>
  <c r="G134" i="144"/>
  <c r="G1373" i="144"/>
  <c r="G1683" i="144"/>
  <c r="G838" i="144"/>
  <c r="G896" i="144"/>
  <c r="G1427" i="144"/>
  <c r="G1286" i="144"/>
  <c r="G271" i="144"/>
  <c r="G606" i="144"/>
  <c r="G1600" i="144"/>
  <c r="G547" i="144"/>
  <c r="G1110" i="144"/>
  <c r="G789" i="144"/>
  <c r="G1548" i="144"/>
  <c r="G1481" i="144"/>
  <c r="G645" i="144"/>
  <c r="G1184" i="144"/>
  <c r="G1428" i="144"/>
  <c r="G1758" i="144"/>
  <c r="G477" i="144"/>
  <c r="G1086" i="144"/>
  <c r="G1627" i="144"/>
  <c r="G642" i="144"/>
  <c r="G1095" i="144"/>
  <c r="G1237" i="144"/>
  <c r="G517" i="144"/>
  <c r="G514" i="144"/>
  <c r="G1033" i="144"/>
  <c r="G129" i="144"/>
  <c r="G218" i="144"/>
  <c r="G161" i="144"/>
  <c r="G1249" i="144"/>
  <c r="G820" i="144"/>
  <c r="G273" i="144"/>
  <c r="G1171" i="144"/>
  <c r="G499" i="144"/>
  <c r="G70" i="144"/>
  <c r="G1556" i="144"/>
  <c r="G778" i="144"/>
  <c r="G536" i="144"/>
  <c r="G969" i="144"/>
  <c r="G1217" i="144"/>
  <c r="G1601" i="144"/>
  <c r="G407" i="144"/>
  <c r="G1562" i="144"/>
  <c r="G1218" i="144"/>
  <c r="G467" i="144"/>
  <c r="G1817" i="144"/>
  <c r="G1207" i="144"/>
  <c r="G938" i="144"/>
  <c r="G1716" i="144"/>
  <c r="G991" i="144"/>
  <c r="G1395" i="144"/>
  <c r="G711" i="144"/>
  <c r="G1510" i="144"/>
  <c r="G1622" i="144"/>
  <c r="G779" i="144"/>
  <c r="G630" i="144"/>
  <c r="G21" i="144"/>
  <c r="G1047" i="144"/>
  <c r="G149" i="144"/>
  <c r="G182" i="144"/>
  <c r="G349" i="144"/>
  <c r="G1861" i="144"/>
  <c r="G417" i="144"/>
  <c r="G649" i="144"/>
  <c r="G1918" i="144"/>
  <c r="G909" i="144"/>
  <c r="G451" i="144"/>
  <c r="G623" i="144"/>
  <c r="G1334" i="144"/>
  <c r="G864" i="144"/>
  <c r="G901" i="144"/>
  <c r="G429" i="144"/>
  <c r="G862" i="144"/>
  <c r="G1177" i="144"/>
  <c r="G946" i="144"/>
  <c r="G1251" i="144"/>
  <c r="G567" i="144"/>
  <c r="G1254" i="144"/>
  <c r="G438" i="144"/>
  <c r="G622" i="144"/>
  <c r="G1554" i="144"/>
  <c r="G1226" i="144"/>
  <c r="G1415" i="144"/>
  <c r="G1178" i="144"/>
  <c r="G603" i="144"/>
  <c r="G394" i="144"/>
  <c r="G769" i="144"/>
  <c r="G1263" i="144"/>
  <c r="G333" i="144"/>
  <c r="G845" i="144"/>
  <c r="G1054" i="144"/>
  <c r="G1928" i="144"/>
  <c r="G1140" i="144"/>
  <c r="G674" i="144"/>
  <c r="G302" i="144"/>
  <c r="G1169" i="144"/>
  <c r="G566" i="144"/>
  <c r="G982" i="144"/>
  <c r="G1635" i="144"/>
  <c r="G1410" i="144"/>
  <c r="G1566" i="144"/>
  <c r="G736" i="144"/>
  <c r="G583" i="144"/>
  <c r="G1721" i="144"/>
  <c r="G716" i="144"/>
  <c r="G605" i="144"/>
  <c r="G360" i="144"/>
  <c r="G1393" i="144"/>
  <c r="G660" i="144"/>
  <c r="G1506" i="144"/>
  <c r="G585" i="144"/>
  <c r="G801" i="144"/>
  <c r="G1363" i="144"/>
  <c r="G1526" i="144"/>
  <c r="G179" i="144"/>
  <c r="G1612" i="144"/>
  <c r="G1398" i="144"/>
  <c r="G923" i="144"/>
  <c r="G1708" i="144"/>
  <c r="G1159" i="144"/>
  <c r="G1037" i="144"/>
  <c r="G965" i="144"/>
  <c r="G1144" i="144"/>
  <c r="G882" i="144"/>
  <c r="G1508" i="144"/>
  <c r="G83" i="144"/>
  <c r="G32" i="144"/>
  <c r="G1537" i="144"/>
  <c r="G50" i="144"/>
  <c r="G1946" i="144"/>
  <c r="G541" i="144"/>
  <c r="G1917" i="144"/>
  <c r="G628" i="144"/>
  <c r="G19" i="144"/>
  <c r="G579" i="144"/>
  <c r="G929" i="144"/>
  <c r="G1278" i="144"/>
  <c r="G1055" i="144"/>
  <c r="G1787" i="144"/>
  <c r="G1087" i="144"/>
  <c r="G1530" i="144"/>
  <c r="G1175" i="144"/>
  <c r="G147" i="144"/>
  <c r="G1295" i="144"/>
  <c r="G1266" i="144"/>
  <c r="G1297" i="144"/>
  <c r="G1124" i="144"/>
  <c r="G413" i="144"/>
  <c r="G1458" i="144"/>
  <c r="G368" i="144"/>
  <c r="G1714" i="144"/>
  <c r="G1005" i="144"/>
  <c r="G956" i="144"/>
  <c r="G1460" i="144"/>
  <c r="G1586" i="144"/>
  <c r="G688" i="144"/>
  <c r="G1576" i="144"/>
  <c r="G1846" i="144"/>
  <c r="G485" i="144"/>
  <c r="G1864" i="144"/>
  <c r="G814" i="144"/>
  <c r="G1041" i="144"/>
  <c r="G1248" i="144"/>
  <c r="G1193" i="144"/>
  <c r="G1322" i="144"/>
  <c r="G999" i="144"/>
  <c r="G1799" i="144"/>
  <c r="G902" i="144"/>
  <c r="G374" i="144"/>
  <c r="G1349" i="144"/>
  <c r="G1419" i="144"/>
  <c r="G1164" i="144"/>
  <c r="G175" i="144"/>
  <c r="G667" i="144"/>
  <c r="G997" i="144"/>
  <c r="G743" i="144"/>
  <c r="G1801" i="144"/>
  <c r="G1003" i="144"/>
  <c r="G749" i="144"/>
  <c r="G504" i="144"/>
  <c r="G277" i="144"/>
  <c r="G873" i="144"/>
  <c r="G1404" i="144"/>
  <c r="G699" i="144"/>
  <c r="G1536" i="144"/>
  <c r="G1359" i="144"/>
  <c r="G196" i="144"/>
  <c r="G1328" i="144"/>
  <c r="G1255" i="144"/>
  <c r="G31" i="144"/>
  <c r="G1780" i="144"/>
  <c r="G1540" i="144"/>
  <c r="G265" i="144"/>
  <c r="G322" i="144"/>
  <c r="G1138" i="144"/>
  <c r="G1115" i="144"/>
  <c r="G1342" i="144"/>
  <c r="G212" i="144"/>
  <c r="G1520" i="144"/>
  <c r="G1382" i="144"/>
  <c r="G958" i="144"/>
  <c r="G690" i="144"/>
  <c r="G415" i="144"/>
  <c r="G1911" i="144"/>
  <c r="G53" i="144"/>
  <c r="G1133" i="144"/>
  <c r="G1351" i="144"/>
  <c r="G681" i="144"/>
  <c r="G980" i="144"/>
  <c r="G1777" i="144"/>
  <c r="G1083" i="144"/>
  <c r="G237" i="144"/>
  <c r="G1670" i="144"/>
  <c r="G1939" i="144"/>
  <c r="G1699" i="144"/>
  <c r="G185" i="144"/>
  <c r="G75" i="144"/>
  <c r="G1185" i="144"/>
  <c r="G1735" i="144"/>
  <c r="G617" i="144"/>
  <c r="G841" i="144"/>
  <c r="G1308" i="144"/>
  <c r="G1525" i="144"/>
  <c r="G637" i="144"/>
  <c r="G1834" i="144"/>
  <c r="G574" i="144"/>
  <c r="G123" i="144"/>
  <c r="G898" i="144"/>
  <c r="G1004" i="144"/>
  <c r="G1345" i="144"/>
  <c r="G989" i="144"/>
  <c r="G1402" i="144"/>
  <c r="G163" i="144"/>
  <c r="G1594" i="144"/>
  <c r="G1044" i="144"/>
  <c r="G612" i="144"/>
  <c r="G745" i="144"/>
  <c r="G1854" i="144"/>
  <c r="G797" i="144"/>
  <c r="G205" i="144"/>
  <c r="G1843" i="144"/>
  <c r="G1155" i="144"/>
  <c r="G354" i="144"/>
  <c r="G1414" i="144"/>
  <c r="G1700" i="144"/>
  <c r="G1361" i="144"/>
  <c r="G482" i="144"/>
  <c r="G153" i="144"/>
  <c r="G1186" i="144"/>
  <c r="G370" i="144"/>
  <c r="G1017" i="144"/>
  <c r="G90" i="144"/>
  <c r="G533" i="144"/>
  <c r="G269" i="144"/>
  <c r="G1736" i="144"/>
  <c r="G805" i="144"/>
  <c r="G1657" i="144"/>
  <c r="G1064" i="144"/>
  <c r="G106" i="144"/>
  <c r="G425" i="144"/>
  <c r="G868" i="144"/>
  <c r="G1100" i="144"/>
  <c r="G1296" i="144"/>
  <c r="G1042" i="144"/>
  <c r="G435" i="144"/>
  <c r="G1081" i="144"/>
  <c r="G668" i="144"/>
  <c r="G424" i="144"/>
  <c r="G700" i="144"/>
  <c r="G513" i="144"/>
  <c r="G861" i="144"/>
  <c r="G836" i="144"/>
  <c r="G906" i="144"/>
  <c r="G685" i="144"/>
  <c r="G1660" i="144"/>
  <c r="G744" i="144"/>
  <c r="G665" i="144"/>
  <c r="G635" i="144"/>
  <c r="G940" i="144"/>
  <c r="G1407" i="144"/>
  <c r="G116" i="144"/>
  <c r="G913" i="144"/>
  <c r="G1127" i="144"/>
  <c r="G1636" i="144"/>
  <c r="G1857" i="144"/>
  <c r="G331" i="144"/>
  <c r="G819" i="144"/>
  <c r="G1503" i="144"/>
  <c r="G1335" i="144"/>
  <c r="G1469" i="144"/>
  <c r="G503" i="144"/>
  <c r="G319" i="144"/>
  <c r="G1811" i="144"/>
  <c r="G1416" i="144"/>
  <c r="G1584" i="144"/>
  <c r="G1541" i="144"/>
  <c r="G1006" i="144"/>
  <c r="G763" i="144"/>
  <c r="G974" i="144"/>
  <c r="G1931" i="144"/>
  <c r="G1205" i="144"/>
  <c r="G1551" i="144"/>
  <c r="G1196" i="144"/>
  <c r="G241" i="144"/>
  <c r="G611" i="144"/>
  <c r="G38" i="144"/>
  <c r="G145" i="144"/>
  <c r="G1362" i="144"/>
  <c r="G926" i="144"/>
  <c r="G1561" i="144"/>
  <c r="G392" i="144"/>
  <c r="G1119" i="144"/>
  <c r="G156" i="144"/>
  <c r="G1545" i="144"/>
  <c r="G133" i="144"/>
  <c r="G1146" i="144"/>
  <c r="G1346" i="144"/>
  <c r="G1463" i="144"/>
  <c r="G178" i="144"/>
  <c r="G880" i="144"/>
  <c r="G1434" i="144"/>
  <c r="G759" i="144"/>
  <c r="G540" i="144"/>
  <c r="G207" i="144"/>
  <c r="G1511" i="144"/>
  <c r="G1128" i="144"/>
  <c r="G1386" i="144"/>
  <c r="G1168" i="144"/>
  <c r="G1607" i="144"/>
  <c r="G907" i="144"/>
  <c r="G1598" i="144"/>
  <c r="G742" i="144"/>
  <c r="G971" i="144"/>
  <c r="G613" i="144"/>
  <c r="G1136" i="144"/>
  <c r="G966" i="144"/>
  <c r="G376" i="144"/>
  <c r="G249" i="144"/>
  <c r="G1195" i="144"/>
  <c r="G1406" i="144"/>
  <c r="G105" i="144"/>
  <c r="G261" i="144"/>
  <c r="G408" i="144"/>
  <c r="G651" i="144"/>
  <c r="G590" i="144"/>
  <c r="G1689" i="144"/>
  <c r="G1258" i="144"/>
  <c r="G1059" i="144"/>
  <c r="G1329" i="144"/>
  <c r="G1379" i="144"/>
  <c r="G673" i="144"/>
  <c r="G1796" i="144"/>
  <c r="G1571" i="144"/>
  <c r="G1471" i="144"/>
  <c r="G84" i="144"/>
  <c r="G9" i="144"/>
  <c r="G1501" i="144"/>
  <c r="G487" i="144"/>
  <c r="G1467" i="144"/>
  <c r="G1310" i="144"/>
  <c r="G587" i="144"/>
  <c r="G709" i="144"/>
  <c r="G634" i="144"/>
  <c r="G524" i="144"/>
  <c r="G1288" i="144"/>
  <c r="G939" i="144"/>
  <c r="G260" i="144"/>
  <c r="G1605" i="144"/>
  <c r="G1336" i="144"/>
  <c r="G135" i="144"/>
  <c r="G1488" i="144"/>
  <c r="G1210" i="144"/>
  <c r="G1343" i="144"/>
  <c r="G808" i="144"/>
  <c r="G51" i="144"/>
  <c r="G1421" i="144"/>
  <c r="G1688" i="144"/>
  <c r="G1542" i="144"/>
  <c r="G1644" i="144"/>
  <c r="G1449" i="144"/>
  <c r="G441" i="144"/>
  <c r="G677" i="144"/>
  <c r="G1001" i="144"/>
  <c r="G480" i="144"/>
  <c r="G1436" i="144"/>
  <c r="G117" i="144"/>
  <c r="G662" i="144"/>
  <c r="G1820" i="144"/>
  <c r="G1188" i="144"/>
  <c r="G766" i="144"/>
  <c r="G1507" i="144"/>
  <c r="G799" i="144"/>
  <c r="G732" i="144"/>
  <c r="G912" i="144"/>
  <c r="G1132" i="144"/>
  <c r="G1242" i="144"/>
  <c r="G1768" i="144"/>
  <c r="G1321" i="144"/>
  <c r="G1215" i="144"/>
  <c r="G1272" i="144"/>
  <c r="G1858" i="144"/>
  <c r="G1026" i="144"/>
  <c r="G553" i="144"/>
  <c r="G1486" i="144"/>
  <c r="G1152" i="144"/>
  <c r="G1582" i="144"/>
  <c r="G932" i="144"/>
  <c r="G1391" i="144"/>
  <c r="G181" i="144"/>
  <c r="G1241" i="144"/>
  <c r="G1279" i="144"/>
  <c r="G1385" i="144"/>
  <c r="G1377" i="144"/>
  <c r="G15" i="144"/>
  <c r="G1809" i="144"/>
  <c r="G1852" i="144"/>
  <c r="G705" i="144"/>
  <c r="G1354" i="144"/>
  <c r="G1314" i="144"/>
  <c r="G614" i="144"/>
  <c r="G1267" i="144"/>
  <c r="G652" i="144"/>
  <c r="G552" i="144"/>
  <c r="G1181" i="144"/>
  <c r="G1446" i="144"/>
  <c r="G1204" i="144"/>
  <c r="G1245" i="144"/>
  <c r="G863" i="144"/>
  <c r="G1012" i="144"/>
  <c r="G402" i="144"/>
  <c r="G1121" i="144"/>
  <c r="G1369" i="144"/>
  <c r="G519" i="144"/>
  <c r="G1868" i="144"/>
  <c r="G1492" i="144"/>
  <c r="G1300" i="144"/>
  <c r="G1280" i="144"/>
  <c r="G244" i="144"/>
  <c r="G1271" i="144"/>
  <c r="G1353" i="144"/>
  <c r="G199" i="144"/>
  <c r="G1649" i="144"/>
  <c r="G1247" i="144"/>
  <c r="G1235" i="144"/>
  <c r="G703" i="144"/>
  <c r="G544" i="144"/>
  <c r="G1143" i="144"/>
  <c r="G682" i="144"/>
  <c r="G377" i="144"/>
  <c r="G1442" i="144"/>
  <c r="G305" i="144"/>
  <c r="G466" i="144"/>
  <c r="G1298" i="144"/>
  <c r="G1099" i="144"/>
  <c r="G170" i="144"/>
  <c r="G1513" i="144"/>
  <c r="G691" i="144"/>
  <c r="G1629" i="144"/>
  <c r="G796" i="144"/>
  <c r="G1176" i="144"/>
  <c r="G309" i="144"/>
  <c r="G549" i="144"/>
  <c r="G1387" i="144"/>
  <c r="G1347" i="144"/>
  <c r="G43" i="144"/>
  <c r="G125" i="144"/>
  <c r="G1394" i="144"/>
  <c r="G200" i="144"/>
  <c r="G1491" i="144"/>
  <c r="G714" i="144"/>
  <c r="G1779" i="144"/>
  <c r="G1595" i="144"/>
  <c r="G278" i="144"/>
  <c r="G595" i="144"/>
  <c r="G1368" i="144"/>
  <c r="G223" i="144"/>
  <c r="G803" i="144"/>
  <c r="G949" i="144"/>
  <c r="G162" i="144"/>
  <c r="G211" i="144"/>
  <c r="G998" i="144"/>
  <c r="G1565" i="144"/>
  <c r="G152" i="144"/>
  <c r="G770" i="144"/>
  <c r="G968" i="144"/>
  <c r="G721" i="144"/>
  <c r="G1621" i="144"/>
  <c r="G551" i="144"/>
  <c r="G1259" i="144"/>
  <c r="G1617" i="144"/>
  <c r="G1726" i="144"/>
  <c r="G1234" i="144"/>
  <c r="G1519" i="144"/>
  <c r="G280" i="144"/>
  <c r="G1299" i="144"/>
  <c r="G1090" i="144"/>
  <c r="G1240" i="144"/>
  <c r="G440" i="144"/>
  <c r="G775" i="144"/>
  <c r="G1905" i="144"/>
  <c r="G1252" i="144"/>
  <c r="G1633" i="144"/>
  <c r="G696" i="144"/>
  <c r="G972" i="144"/>
  <c r="G639" i="144"/>
  <c r="G1668" i="144"/>
  <c r="G1244" i="144"/>
  <c r="G373" i="144"/>
  <c r="G243" i="144"/>
  <c r="G1378" i="144"/>
  <c r="G1546" i="144"/>
  <c r="G1160" i="144"/>
  <c r="G338" i="144"/>
  <c r="G870" i="144"/>
  <c r="G1045" i="144"/>
  <c r="G1423" i="144"/>
  <c r="G618" i="144"/>
  <c r="G557" i="144"/>
  <c r="G1331" i="144"/>
  <c r="G1748" i="144"/>
  <c r="G1764" i="144"/>
  <c r="G1364" i="144"/>
  <c r="G446" i="144"/>
  <c r="G973" i="144"/>
  <c r="G887" i="144"/>
  <c r="G876" i="144"/>
  <c r="G1051" i="144"/>
  <c r="G226" i="144"/>
  <c r="G1029" i="144"/>
  <c r="G489" i="144"/>
  <c r="G1727" i="144"/>
  <c r="G892" i="144"/>
  <c r="G760" i="144"/>
  <c r="G177" i="144"/>
  <c r="G833" i="144"/>
  <c r="G768" i="144"/>
  <c r="G180" i="144"/>
  <c r="G1080" i="144"/>
  <c r="G1011" i="144"/>
  <c r="G748" i="144"/>
  <c r="G1411" i="144"/>
  <c r="G1025" i="144"/>
  <c r="G1527" i="144"/>
  <c r="G1737" i="144"/>
  <c r="G263" i="144"/>
  <c r="G1515" i="144"/>
  <c r="G493" i="144"/>
  <c r="G291" i="144"/>
  <c r="G1489" i="144"/>
  <c r="G1745" i="144"/>
  <c r="G1191" i="144"/>
  <c r="G568" i="144"/>
  <c r="G859" i="144"/>
  <c r="G1250" i="144"/>
  <c r="G1673" i="144"/>
  <c r="G1156" i="144"/>
  <c r="G1732" i="144"/>
  <c r="G577" i="144"/>
  <c r="G1165" i="144"/>
  <c r="G1439" i="144"/>
  <c r="G678" i="144"/>
  <c r="G209" i="144"/>
  <c r="G852" i="144"/>
  <c r="G1078" i="144"/>
  <c r="G521" i="144"/>
  <c r="G1740" i="144"/>
  <c r="G1422" i="144"/>
  <c r="G578" i="144"/>
  <c r="G1452" i="144"/>
  <c r="G831" i="144"/>
  <c r="G1464" i="144"/>
  <c r="G582" i="144"/>
  <c r="G1213" i="144"/>
  <c r="G1123" i="144"/>
  <c r="G815" i="144"/>
  <c r="G1470" i="144"/>
  <c r="G1116" i="144"/>
  <c r="G1613" i="144"/>
  <c r="G961" i="144"/>
  <c r="G416" i="144"/>
  <c r="G1723" i="144"/>
  <c r="G371" i="144"/>
  <c r="G1810" i="144"/>
  <c r="G1260" i="144"/>
  <c r="G1268" i="144"/>
  <c r="G1028" i="144"/>
  <c r="G1558" i="144"/>
  <c r="G1384" i="144"/>
  <c r="G324" i="144"/>
  <c r="G184" i="144"/>
  <c r="G1079" i="144"/>
  <c r="G1166" i="144"/>
  <c r="G327" i="144"/>
  <c r="G59" i="144"/>
  <c r="G372" i="144"/>
  <c r="G599" i="144"/>
  <c r="G1192" i="144"/>
  <c r="G1061" i="144"/>
  <c r="G1117" i="144"/>
  <c r="G1401" i="144"/>
  <c r="G250" i="144"/>
  <c r="G1319" i="144"/>
  <c r="G275" i="144"/>
  <c r="G741" i="144"/>
  <c r="G169" i="144"/>
  <c r="G1825" i="144"/>
  <c r="G851" i="144"/>
  <c r="G1724" i="144"/>
  <c r="G978" i="144"/>
  <c r="G1753" i="144"/>
  <c r="G730" i="144"/>
  <c r="G1804" i="144"/>
  <c r="G767" i="144"/>
  <c r="G834" i="144"/>
  <c r="G1102" i="144"/>
  <c r="G12" i="144"/>
  <c r="G1403" i="144"/>
  <c r="G509" i="144"/>
  <c r="G157" i="144"/>
  <c r="G701" i="144"/>
  <c r="G1812" i="144"/>
  <c r="G597" i="144"/>
  <c r="G328" i="144"/>
  <c r="G846" i="144"/>
  <c r="G572" i="144"/>
  <c r="G315" i="144"/>
  <c r="G1430" i="144"/>
  <c r="G245" i="144"/>
  <c r="G498" i="144"/>
  <c r="G1072" i="144"/>
  <c r="G885" i="144"/>
  <c r="G1697" i="144"/>
  <c r="G79" i="144"/>
  <c r="G1516" i="144"/>
  <c r="G1937" i="144"/>
  <c r="G697" i="144"/>
  <c r="G856" i="144"/>
  <c r="G1179" i="144"/>
  <c r="G418" i="144"/>
  <c r="G167" i="144"/>
  <c r="G792" i="144"/>
  <c r="G1293" i="144"/>
  <c r="G1105" i="144"/>
  <c r="G954" i="144"/>
  <c r="G1233" i="144"/>
  <c r="G593" i="144"/>
  <c r="G385" i="144"/>
  <c r="G1590" i="144"/>
  <c r="G1637" i="144"/>
  <c r="G1518" i="144"/>
  <c r="G1772" i="144"/>
  <c r="G750" i="144"/>
  <c r="G142" i="144"/>
  <c r="G947" i="144"/>
  <c r="G193" i="144"/>
  <c r="G1338" i="144"/>
  <c r="G213" i="144"/>
  <c r="G1043" i="144"/>
  <c r="G785" i="144"/>
  <c r="G1788" i="144"/>
  <c r="G725" i="144"/>
  <c r="G638" i="144"/>
  <c r="G930" i="144"/>
  <c r="G621" i="144"/>
  <c r="G1366" i="144"/>
  <c r="G810" i="144"/>
  <c r="G1587" i="144"/>
  <c r="G936" i="144"/>
  <c r="G679" i="144"/>
  <c r="G1632" i="144"/>
  <c r="G827" i="144"/>
  <c r="G1550" i="144"/>
  <c r="G784" i="144"/>
  <c r="G326" i="144"/>
  <c r="G1524" i="144"/>
  <c r="G894" i="144"/>
  <c r="G100" i="144"/>
  <c r="G1112" i="144"/>
  <c r="G610" i="144"/>
  <c r="G1018" i="144"/>
  <c r="G625" i="144"/>
  <c r="G928" i="144"/>
  <c r="G317" i="144"/>
  <c r="G1572" i="144"/>
  <c r="G472" i="144"/>
  <c r="G1039" i="144"/>
  <c r="G359" i="144"/>
  <c r="G1145" i="144"/>
  <c r="G1307" i="144"/>
  <c r="G727" i="144"/>
  <c r="G1437" i="144"/>
  <c r="G1291" i="144"/>
  <c r="G604" i="144"/>
  <c r="G1615" i="144"/>
  <c r="G746" i="144"/>
  <c r="G120" i="144"/>
  <c r="G1833" i="144"/>
  <c r="G1302" i="144"/>
  <c r="G1528" i="144"/>
  <c r="G1069" i="144"/>
  <c r="G893" i="144"/>
  <c r="G1672" i="144"/>
  <c r="G1532" i="144"/>
  <c r="G1109" i="144"/>
  <c r="G1091" i="144"/>
  <c r="G1085" i="144"/>
  <c r="G348" i="144"/>
  <c r="G1544" i="144"/>
  <c r="G1161" i="144"/>
  <c r="G1844" i="144"/>
  <c r="G869" i="144"/>
  <c r="G1253" i="144"/>
  <c r="G530" i="144"/>
  <c r="G620" i="144"/>
  <c r="G1035" i="144"/>
  <c r="G564" i="144"/>
  <c r="G804" i="144"/>
  <c r="G1223" i="144"/>
  <c r="G1860" i="144"/>
  <c r="G915" i="144"/>
  <c r="G1170" i="144"/>
  <c r="G1575" i="144"/>
  <c r="G25" i="144"/>
  <c r="G734" i="144"/>
  <c r="G1189" i="144"/>
  <c r="G1348" i="144"/>
  <c r="G339" i="144"/>
  <c r="G1333" i="144"/>
  <c r="G641" i="144"/>
  <c r="G1101" i="144"/>
  <c r="G101" i="144"/>
  <c r="G1494" i="144"/>
  <c r="G352" i="144"/>
  <c r="G1399" i="144"/>
  <c r="G1106" i="144"/>
  <c r="G1256" i="144"/>
  <c r="G455" i="144"/>
  <c r="G1038" i="144"/>
  <c r="G1400" i="144"/>
  <c r="G344" i="144"/>
  <c r="G1388" i="144"/>
  <c r="G1616" i="144"/>
  <c r="G488" i="144"/>
  <c r="G1588" i="144"/>
  <c r="G717" i="144"/>
  <c r="G1063" i="144"/>
  <c r="G733" i="144"/>
  <c r="G1793" i="144"/>
  <c r="G1873" i="144"/>
  <c r="G818" i="144"/>
  <c r="G298" i="144"/>
  <c r="G1316" i="144"/>
  <c r="G346" i="144"/>
  <c r="G1417" i="144"/>
  <c r="G647" i="144"/>
  <c r="G1141" i="144"/>
  <c r="G1901" i="144"/>
  <c r="G619" i="144"/>
  <c r="G396" i="144"/>
  <c r="G1049" i="144"/>
  <c r="G654" i="144"/>
  <c r="G1014" i="144"/>
  <c r="G281" i="144"/>
  <c r="G1375" i="144"/>
  <c r="G1574" i="144"/>
  <c r="G950" i="144"/>
  <c r="G1865" i="144"/>
  <c r="G953" i="144"/>
  <c r="G1729" i="144"/>
  <c r="G295" i="144"/>
  <c r="G895" i="144"/>
  <c r="G251" i="144"/>
  <c r="G653" i="144"/>
  <c r="G908" i="144"/>
  <c r="G1262" i="144"/>
  <c r="G1158" i="144"/>
  <c r="G1663" i="144"/>
  <c r="G1500" i="144"/>
  <c r="G228" i="144"/>
  <c r="G817" i="144"/>
  <c r="G231" i="144"/>
  <c r="G1009" i="144"/>
  <c r="G1472" i="144"/>
  <c r="G575" i="144"/>
  <c r="G154" i="144"/>
  <c r="G1030" i="144"/>
  <c r="G1785" i="144"/>
  <c r="G1283" i="144"/>
  <c r="G497" i="144"/>
  <c r="G1056" i="144"/>
  <c r="G1453" i="144"/>
  <c r="G1681" i="144"/>
  <c r="G1483" i="144"/>
  <c r="G312" i="144"/>
  <c r="G793" i="144"/>
  <c r="G1139" i="144"/>
  <c r="G1397" i="144"/>
  <c r="G1836" i="144"/>
  <c r="G132" i="144"/>
  <c r="G1352" i="144"/>
  <c r="G1324" i="144"/>
  <c r="G1824" i="144"/>
  <c r="G103" i="144"/>
  <c r="G186" i="144"/>
  <c r="G332" i="144"/>
  <c r="G63" i="144"/>
  <c r="G1129" i="144"/>
  <c r="G1031" i="144"/>
  <c r="G1023" i="144"/>
  <c r="G783" i="144"/>
  <c r="G1070" i="144"/>
  <c r="G787" i="144"/>
  <c r="G1822" i="144"/>
  <c r="G1040" i="144"/>
  <c r="G990" i="144"/>
  <c r="G20" i="144"/>
  <c r="G233" i="144"/>
  <c r="G1130" i="144"/>
  <c r="G41" i="144"/>
  <c r="G1150" i="144"/>
  <c r="G698" i="144"/>
  <c r="G1261" i="144"/>
  <c r="G987" i="144"/>
  <c r="G1413" i="144"/>
  <c r="G890" i="144"/>
  <c r="G616" i="144"/>
  <c r="G531" i="144"/>
  <c r="G1555" i="144"/>
  <c r="G934" i="144"/>
  <c r="G1122" i="144"/>
  <c r="G1224" i="144"/>
  <c r="G450" i="144"/>
  <c r="G1502" i="144"/>
  <c r="G1264" i="144"/>
  <c r="G1052" i="144"/>
  <c r="G728" i="144"/>
  <c r="G1684" i="144"/>
  <c r="G434" i="144"/>
  <c r="G353" i="144"/>
  <c r="G657" i="144"/>
  <c r="G82" i="144"/>
  <c r="G757" i="144"/>
  <c r="G1027" i="144"/>
  <c r="G1269" i="144"/>
  <c r="G393" i="144"/>
  <c r="G1849" i="144"/>
  <c r="G24" i="144"/>
  <c r="G307" i="144"/>
  <c r="G786" i="144"/>
  <c r="G391" i="144"/>
  <c r="G684" i="144"/>
  <c r="G1208" i="144"/>
  <c r="G1340" i="144"/>
  <c r="G1355" i="144"/>
  <c r="G1274" i="144"/>
  <c r="G1490" i="144"/>
  <c r="G386" i="144"/>
  <c r="G355" i="144"/>
  <c r="G122" i="144"/>
  <c r="G1096" i="144"/>
  <c r="G719" i="144"/>
  <c r="G1761" i="144"/>
  <c r="G563" i="144"/>
  <c r="G826" i="144"/>
  <c r="G1676" i="144"/>
  <c r="G858" i="144"/>
  <c r="G525" i="144"/>
  <c r="G1228" i="144"/>
  <c r="G790" i="144"/>
  <c r="G27" i="144"/>
  <c r="G855" i="144"/>
  <c r="G109" i="144"/>
  <c r="G988" i="144"/>
  <c r="G457" i="144"/>
  <c r="G113" i="144"/>
  <c r="G937" i="144"/>
  <c r="G1828" i="144"/>
  <c r="G1114" i="144"/>
  <c r="G437" i="144"/>
  <c r="G981" i="144"/>
  <c r="G1652" i="144"/>
  <c r="G206" i="144"/>
  <c r="G1154" i="144"/>
  <c r="G1137" i="144"/>
  <c r="G234" i="144"/>
  <c r="G794" i="144"/>
  <c r="G830" i="144"/>
  <c r="G1199" i="144"/>
  <c r="G296" i="144"/>
  <c r="G1926" i="144"/>
  <c r="G1599" i="144"/>
  <c r="G1206" i="144"/>
  <c r="G1477" i="144"/>
  <c r="G202" i="144"/>
  <c r="G1573" i="144"/>
  <c r="G671" i="144"/>
  <c r="G849" i="144"/>
  <c r="G1577" i="144"/>
  <c r="G1813" i="144"/>
  <c r="G726" i="144"/>
  <c r="G1665" i="144"/>
  <c r="G615" i="144"/>
  <c r="G1222" i="144"/>
  <c r="G1312" i="144"/>
  <c r="G456" i="144"/>
  <c r="G752" i="144"/>
  <c r="G1479" i="144"/>
  <c r="G1281" i="144"/>
  <c r="G507" i="144"/>
  <c r="G1557" i="144"/>
  <c r="G1609" i="144"/>
  <c r="G474" i="144"/>
  <c r="G1484" i="144"/>
  <c r="G842" i="144"/>
  <c r="G1468" i="144"/>
  <c r="G1611" i="144"/>
  <c r="G1350" i="144"/>
  <c r="G589" i="144"/>
  <c r="G875" i="144"/>
  <c r="G747" i="144"/>
  <c r="G821" i="144"/>
  <c r="G47" i="144"/>
  <c r="G640" i="144"/>
  <c r="H1671" i="144"/>
  <c r="H1679" i="144"/>
  <c r="H1778" i="144"/>
  <c r="H854" i="144"/>
  <c r="H528" i="144"/>
  <c r="H1791" i="144"/>
  <c r="H432" i="144"/>
  <c r="H550" i="144"/>
  <c r="H443" i="144"/>
  <c r="H247" i="144"/>
  <c r="H384" i="144"/>
  <c r="H866" i="144"/>
  <c r="H843" i="144"/>
  <c r="H722" i="144"/>
  <c r="H1285" i="144"/>
  <c r="H293" i="144"/>
  <c r="H1257" i="144"/>
  <c r="H529" i="144"/>
  <c r="H856" i="144"/>
  <c r="H1615" i="144"/>
  <c r="H1428" i="144"/>
  <c r="J1428" i="144"/>
  <c r="H201" i="144"/>
  <c r="H1821" i="144"/>
  <c r="H655" i="144"/>
  <c r="H1321" i="144"/>
  <c r="H695" i="144"/>
  <c r="H471" i="144"/>
  <c r="H1232" i="144"/>
  <c r="H1664" i="144"/>
  <c r="H38" i="144"/>
  <c r="H1409" i="144"/>
  <c r="H453" i="144"/>
  <c r="H189" i="144"/>
  <c r="H944" i="144"/>
  <c r="H1837" i="144"/>
  <c r="H729" i="144"/>
  <c r="H1822" i="144"/>
  <c r="H1230" i="144"/>
  <c r="H1146" i="144"/>
  <c r="H1786" i="144"/>
  <c r="H184" i="144"/>
  <c r="H313" i="144"/>
  <c r="H1341" i="144"/>
  <c r="H667" i="144"/>
  <c r="H372" i="144"/>
  <c r="H975" i="144"/>
  <c r="H1120" i="144"/>
  <c r="H1226" i="144"/>
  <c r="H1325" i="144"/>
  <c r="H919" i="144"/>
  <c r="H1817" i="144"/>
  <c r="H1457" i="144"/>
  <c r="H226" i="144"/>
  <c r="H1087" i="144"/>
  <c r="H1303" i="144"/>
  <c r="H1212" i="144"/>
  <c r="H1340" i="144"/>
  <c r="H1589" i="144"/>
  <c r="H409" i="144"/>
  <c r="H872" i="144"/>
  <c r="H1178" i="144"/>
  <c r="H252" i="144"/>
  <c r="H1714" i="144"/>
  <c r="H946" i="144"/>
  <c r="H1174" i="144"/>
  <c r="H1194" i="144"/>
  <c r="H1810" i="144"/>
  <c r="H801" i="144"/>
  <c r="H1020" i="144"/>
  <c r="H230" i="144"/>
  <c r="H799" i="144"/>
  <c r="H1585" i="144"/>
  <c r="H544" i="144"/>
  <c r="H327" i="144"/>
  <c r="H1290" i="144"/>
  <c r="H1201" i="144"/>
  <c r="H1127" i="144"/>
  <c r="H1369" i="144"/>
  <c r="H403" i="144"/>
  <c r="J403" i="144"/>
  <c r="H1673" i="144"/>
  <c r="H392" i="144"/>
  <c r="H1393" i="144"/>
  <c r="H307" i="144"/>
  <c r="H148" i="144"/>
  <c r="H376" i="144"/>
  <c r="H193" i="144"/>
  <c r="H1825" i="144"/>
  <c r="H640" i="144"/>
  <c r="H726" i="144"/>
  <c r="H1697" i="144"/>
  <c r="H1777" i="144"/>
  <c r="H1753" i="144"/>
  <c r="H402" i="144"/>
  <c r="H1492" i="144"/>
  <c r="H1529" i="144"/>
  <c r="H1841" i="144"/>
  <c r="H1072" i="144"/>
  <c r="H1809" i="144"/>
  <c r="H1313" i="144"/>
  <c r="H1737" i="144"/>
  <c r="H1649" i="144"/>
  <c r="H1745" i="144"/>
  <c r="H675" i="144"/>
  <c r="H1462" i="144"/>
  <c r="H507" i="144"/>
  <c r="H82" i="144"/>
  <c r="H1601" i="144"/>
  <c r="H513" i="144"/>
  <c r="H1611" i="144"/>
  <c r="H399" i="144"/>
  <c r="H143" i="144"/>
  <c r="H823" i="144"/>
  <c r="H661" i="144"/>
  <c r="H893" i="144"/>
  <c r="H1155" i="144"/>
  <c r="H352" i="144"/>
  <c r="H1873" i="144"/>
  <c r="H18" i="144"/>
  <c r="H1356" i="144"/>
  <c r="H128" i="144"/>
  <c r="H818" i="144"/>
  <c r="H330" i="144"/>
  <c r="H72" i="144"/>
  <c r="H387" i="144"/>
  <c r="H168" i="144"/>
  <c r="H356" i="144"/>
  <c r="H478" i="144"/>
  <c r="J478" i="144"/>
  <c r="H1392" i="144"/>
  <c r="H574" i="144"/>
  <c r="H673" i="144"/>
  <c r="H1681" i="144"/>
  <c r="H793" i="144"/>
  <c r="H1352" i="144"/>
  <c r="H332" i="144"/>
  <c r="H1154" i="144"/>
  <c r="H84" i="144"/>
  <c r="H1479" i="144"/>
  <c r="H349" i="144"/>
  <c r="H1851" i="144"/>
  <c r="H62" i="144"/>
  <c r="H1402" i="144"/>
  <c r="H1669" i="144"/>
  <c r="H500" i="144"/>
  <c r="H1654" i="144"/>
  <c r="H1546" i="144"/>
  <c r="H1787" i="144"/>
  <c r="H342" i="144"/>
  <c r="H1775" i="144"/>
  <c r="H76" i="144"/>
  <c r="H558" i="144"/>
  <c r="H1445" i="144"/>
  <c r="H586" i="144"/>
  <c r="H1645" i="144"/>
  <c r="H17" i="144"/>
  <c r="H825" i="144"/>
  <c r="H323" i="144"/>
  <c r="T323" i="144"/>
  <c r="H699" i="144"/>
  <c r="H897" i="144"/>
  <c r="H415" i="144"/>
  <c r="H1819" i="144"/>
  <c r="H318" i="144"/>
  <c r="H918" i="144"/>
  <c r="H256" i="144"/>
  <c r="H837" i="144"/>
  <c r="H1542" i="144"/>
  <c r="H708" i="144"/>
  <c r="H130" i="144"/>
  <c r="H933" i="144"/>
  <c r="H107" i="144"/>
  <c r="H190" i="144"/>
  <c r="H847" i="144"/>
  <c r="H1861" i="144"/>
  <c r="H163" i="144"/>
  <c r="H798" i="144"/>
  <c r="H26" i="144"/>
  <c r="T26" i="144"/>
  <c r="H1327" i="144"/>
  <c r="H813" i="144"/>
  <c r="H1005" i="144"/>
  <c r="H172" i="144"/>
  <c r="H1711" i="144"/>
  <c r="H554" i="144"/>
  <c r="H34" i="144"/>
  <c r="H447" i="144"/>
  <c r="H664" i="144"/>
  <c r="H227" i="144"/>
  <c r="H1840" i="144"/>
  <c r="H1273" i="144"/>
  <c r="I1273" i="144"/>
  <c r="H458" i="144"/>
  <c r="H1383" i="144"/>
  <c r="H534" i="144"/>
  <c r="H803" i="144"/>
  <c r="H479" i="144"/>
  <c r="H1667" i="144"/>
  <c r="H362" i="144"/>
  <c r="H1707" i="144"/>
  <c r="H195" i="144"/>
  <c r="H715" i="144"/>
  <c r="H337" i="144"/>
  <c r="H759" i="144"/>
  <c r="H1364" i="144"/>
  <c r="H1721" i="144"/>
  <c r="H1847" i="144"/>
  <c r="H1603" i="144"/>
  <c r="H1484" i="144"/>
  <c r="H1481" i="144"/>
  <c r="H1411" i="144"/>
  <c r="H16" i="144"/>
  <c r="H1522" i="144"/>
  <c r="H966" i="144"/>
  <c r="H151" i="144"/>
  <c r="H1128" i="144"/>
  <c r="H366" i="144"/>
  <c r="H508" i="144"/>
  <c r="H454" i="144"/>
  <c r="H152" i="144"/>
  <c r="H276" i="144"/>
  <c r="H777" i="144"/>
  <c r="H1754" i="144"/>
  <c r="H549" i="144"/>
  <c r="H1633" i="144"/>
  <c r="H1185" i="144"/>
  <c r="H1674" i="144"/>
  <c r="H753" i="144"/>
  <c r="H1249" i="144"/>
  <c r="H279" i="144"/>
  <c r="J279" i="144"/>
  <c r="H404" i="144"/>
  <c r="H1742" i="144"/>
  <c r="H1770" i="144"/>
  <c r="H131" i="144"/>
  <c r="H44" i="144"/>
  <c r="H1806" i="144"/>
  <c r="H712" i="144"/>
  <c r="H1620" i="144"/>
  <c r="H48" i="144"/>
  <c r="H1691" i="144"/>
  <c r="H284" i="144"/>
  <c r="H494" i="144"/>
  <c r="H1504" i="144"/>
  <c r="H42" i="144"/>
  <c r="H1706" i="144"/>
  <c r="H1426" i="144"/>
  <c r="H215" i="144"/>
  <c r="H751" i="144"/>
  <c r="J751" i="144"/>
  <c r="H702" i="144"/>
  <c r="H66" i="144"/>
  <c r="H1336" i="144"/>
  <c r="H1380" i="144"/>
  <c r="H561" i="144"/>
  <c r="T561" i="144"/>
  <c r="H1666" i="144"/>
  <c r="H316" i="144"/>
  <c r="H464" i="144"/>
  <c r="H216" i="144"/>
  <c r="H35" i="144"/>
  <c r="H303" i="144"/>
  <c r="H468" i="144"/>
  <c r="H853" i="144"/>
  <c r="H931" i="144"/>
  <c r="H556" i="144"/>
  <c r="H57" i="144"/>
  <c r="H1503" i="144"/>
  <c r="H1658" i="144"/>
  <c r="H1405" i="144"/>
  <c r="H224" i="144"/>
  <c r="H264" i="144"/>
  <c r="H1578" i="144"/>
  <c r="H191" i="144"/>
  <c r="H1499" i="144"/>
  <c r="H845" i="144"/>
  <c r="H489" i="144"/>
  <c r="H1062" i="144"/>
  <c r="H828" i="144"/>
  <c r="H368" i="144"/>
  <c r="H1746" i="144"/>
  <c r="H1816" i="144"/>
  <c r="H1750" i="144"/>
  <c r="H580" i="144"/>
  <c r="H1842" i="144"/>
  <c r="H254" i="144"/>
  <c r="H1771" i="144"/>
  <c r="H878" i="144"/>
  <c r="H1680" i="144"/>
  <c r="H1089" i="144"/>
  <c r="H43" i="144"/>
  <c r="H274" i="144"/>
  <c r="H1830" i="144"/>
  <c r="H365" i="144"/>
  <c r="H77" i="144"/>
  <c r="J77" i="144"/>
  <c r="H361" i="144"/>
  <c r="H209" i="144"/>
  <c r="H565" i="144"/>
  <c r="H1278" i="144"/>
  <c r="H1015" i="144"/>
  <c r="H1060" i="144"/>
  <c r="H1549" i="144"/>
  <c r="H670" i="144"/>
  <c r="H1374" i="144"/>
  <c r="H1796" i="144"/>
  <c r="H755" i="144"/>
  <c r="H480" i="144"/>
  <c r="H1480" i="144"/>
  <c r="H1074" i="144"/>
  <c r="H1580" i="144"/>
  <c r="H347" i="144"/>
  <c r="H782" i="144"/>
  <c r="H1320" i="144"/>
  <c r="H1600" i="144"/>
  <c r="H246" i="144"/>
  <c r="J246" i="144"/>
  <c r="H1013" i="144"/>
  <c r="H994" i="144"/>
  <c r="H431" i="144"/>
  <c r="H940" i="144"/>
  <c r="H1200" i="144"/>
  <c r="H1835" i="144"/>
  <c r="H324" i="144"/>
  <c r="H591" i="144"/>
  <c r="H1209" i="144"/>
  <c r="H97" i="144"/>
  <c r="H612" i="144"/>
  <c r="H194" i="144"/>
  <c r="T194" i="144"/>
  <c r="H449" i="144"/>
  <c r="H1514" i="144"/>
  <c r="H1720" i="144"/>
  <c r="H1616" i="144"/>
  <c r="H1805" i="144"/>
  <c r="H1059" i="144"/>
  <c r="H1354" i="144"/>
  <c r="H1755" i="144"/>
  <c r="H1719" i="144"/>
  <c r="H1744" i="144"/>
  <c r="H1757" i="144"/>
  <c r="H1863" i="144"/>
  <c r="H465" i="144"/>
  <c r="H1833" i="144"/>
  <c r="H442" i="144"/>
  <c r="H1516" i="144"/>
  <c r="H573" i="144"/>
  <c r="H87" i="144"/>
  <c r="H289" i="144"/>
  <c r="H1425" i="144"/>
  <c r="H706" i="144"/>
  <c r="H1528" i="144"/>
  <c r="H21" i="144"/>
  <c r="T21" i="144"/>
  <c r="H1304" i="144"/>
  <c r="H1193" i="144"/>
  <c r="H1417" i="144"/>
  <c r="H412" i="144"/>
  <c r="H539" i="144"/>
  <c r="H1332" i="144"/>
  <c r="I1332" i="144"/>
  <c r="H594" i="144"/>
  <c r="H211" i="144"/>
  <c r="H741" i="144"/>
  <c r="H238" i="144"/>
  <c r="H593" i="144"/>
  <c r="H865" i="144"/>
  <c r="H754" i="144"/>
  <c r="H884" i="144"/>
  <c r="H921" i="144"/>
  <c r="H658" i="144"/>
  <c r="H1464" i="144"/>
  <c r="H426" i="144"/>
  <c r="H501" i="144"/>
  <c r="H1685" i="144"/>
  <c r="H481" i="144"/>
  <c r="H448" i="144"/>
  <c r="H723" i="144"/>
  <c r="H503" i="144"/>
  <c r="H1091" i="144"/>
  <c r="H470" i="144"/>
  <c r="H1625" i="144"/>
  <c r="H1610" i="144"/>
  <c r="H613" i="144"/>
  <c r="H693" i="144"/>
  <c r="H298" i="144"/>
  <c r="H408" i="144"/>
  <c r="H570" i="144"/>
  <c r="H1570" i="144"/>
  <c r="H94" i="144"/>
  <c r="T94" i="144"/>
  <c r="H627" i="144"/>
  <c r="H762" i="144"/>
  <c r="H955" i="144"/>
  <c r="H126" i="144"/>
  <c r="H411" i="144"/>
  <c r="H764" i="144"/>
  <c r="H206" i="144"/>
  <c r="H173" i="144"/>
  <c r="H263" i="144"/>
  <c r="H416" i="144"/>
  <c r="H350" i="144"/>
  <c r="H141" i="144"/>
  <c r="H1609" i="144"/>
  <c r="H1330" i="144"/>
  <c r="H333" i="144"/>
  <c r="H857" i="144"/>
  <c r="H791" i="144"/>
  <c r="H1450" i="144"/>
  <c r="H1811" i="144"/>
  <c r="H1829" i="144"/>
  <c r="H860" i="144"/>
  <c r="H1493" i="144"/>
  <c r="H36" i="144"/>
  <c r="H367" i="144"/>
  <c r="H758" i="144"/>
  <c r="H980" i="144"/>
  <c r="H737" i="144"/>
  <c r="H649" i="144"/>
  <c r="J649" i="144"/>
  <c r="H707" i="144"/>
  <c r="H378" i="144"/>
  <c r="H175" i="144"/>
  <c r="H1144" i="144"/>
  <c r="H483" i="144"/>
  <c r="H1239" i="144"/>
  <c r="H970" i="144"/>
  <c r="H1597" i="144"/>
  <c r="H1859" i="144"/>
  <c r="H1495" i="144"/>
  <c r="H560" i="144"/>
  <c r="H1634" i="144"/>
  <c r="H188" i="144"/>
  <c r="H1650" i="144"/>
  <c r="H1344" i="144"/>
  <c r="H292" i="144"/>
  <c r="H1220" i="144"/>
  <c r="H334" i="144"/>
  <c r="H477" i="144"/>
  <c r="H119" i="144"/>
  <c r="H629" i="144"/>
  <c r="H1665" i="144"/>
  <c r="H800" i="144"/>
  <c r="H1476" i="144"/>
  <c r="H1530" i="144"/>
  <c r="H829" i="144"/>
  <c r="H1845" i="144"/>
  <c r="H49" i="144"/>
  <c r="H1157" i="144"/>
  <c r="H1309" i="144"/>
  <c r="H202" i="144"/>
  <c r="H1741" i="144"/>
  <c r="H1560" i="144"/>
  <c r="H321" i="144"/>
  <c r="J321" i="144"/>
  <c r="H1541" i="144"/>
  <c r="H242" i="144"/>
  <c r="H518" i="144"/>
  <c r="H1826" i="144"/>
  <c r="H174" i="144"/>
  <c r="H1702" i="144"/>
  <c r="H1251" i="144"/>
  <c r="H1418" i="144"/>
  <c r="H259" i="144"/>
  <c r="H601" i="144"/>
  <c r="H648" i="144"/>
  <c r="H566" i="144"/>
  <c r="T566" i="144"/>
  <c r="H842" i="144"/>
  <c r="H311" i="144"/>
  <c r="H1098" i="144"/>
  <c r="H1698" i="144"/>
  <c r="H1497" i="144"/>
  <c r="H900" i="144"/>
  <c r="H1109" i="144"/>
  <c r="H1337" i="144"/>
  <c r="H1686" i="144"/>
  <c r="H1608" i="144"/>
  <c r="H1449" i="144"/>
  <c r="H1205" i="144"/>
  <c r="H1294" i="144"/>
  <c r="H1907" i="144"/>
  <c r="H1905" i="144"/>
  <c r="H1129" i="144"/>
  <c r="H436" i="144"/>
  <c r="H1647" i="144"/>
  <c r="H602" i="144"/>
  <c r="T602" i="144"/>
  <c r="H1505" i="144"/>
  <c r="H1016" i="144"/>
  <c r="H1789" i="144"/>
  <c r="H774" i="144"/>
  <c r="H78" i="144"/>
  <c r="J78" i="144"/>
  <c r="H576" i="144"/>
  <c r="H1902" i="144"/>
  <c r="H1940" i="144"/>
  <c r="T1940" i="144"/>
  <c r="H461" i="144"/>
  <c r="H1893" i="144"/>
  <c r="H1900" i="144"/>
  <c r="H638" i="144"/>
  <c r="H1901" i="144"/>
  <c r="H1908" i="144"/>
  <c r="H809" i="144"/>
  <c r="H1904" i="144"/>
  <c r="H1878" i="144"/>
  <c r="H1566" i="144"/>
  <c r="H1888" i="144"/>
  <c r="H1704" i="144"/>
  <c r="H1921" i="144"/>
  <c r="H1911" i="144"/>
  <c r="H1895" i="144"/>
  <c r="H1135" i="144"/>
  <c r="H846" i="144"/>
  <c r="H1668" i="144"/>
  <c r="H1524" i="144"/>
  <c r="H1564" i="144"/>
  <c r="H1508" i="144"/>
  <c r="H382" i="144"/>
  <c r="H1078" i="144"/>
  <c r="H1026" i="144"/>
  <c r="H1723" i="144"/>
  <c r="H1773" i="144"/>
  <c r="H1367" i="144"/>
  <c r="H1408" i="144"/>
  <c r="H473" i="144"/>
  <c r="H1363" i="144"/>
  <c r="H1678" i="144"/>
  <c r="T1678" i="144"/>
  <c r="H1317" i="144"/>
  <c r="H647" i="144"/>
  <c r="H1682" i="144"/>
  <c r="H53" i="144"/>
  <c r="H1501" i="144"/>
  <c r="H976" i="144"/>
  <c r="H1153" i="144"/>
  <c r="H1885" i="144"/>
  <c r="H1068" i="144"/>
  <c r="H1846" i="144"/>
  <c r="H269" i="144"/>
  <c r="H1386" i="144"/>
  <c r="H1130" i="144"/>
  <c r="H535" i="144"/>
  <c r="H67" i="144"/>
  <c r="H1301" i="144"/>
  <c r="H1225" i="144"/>
  <c r="H1008" i="144"/>
  <c r="H1762" i="144"/>
  <c r="H538" i="144"/>
  <c r="H724" i="144"/>
  <c r="H1111" i="144"/>
  <c r="H29" i="144"/>
  <c r="I29" i="144"/>
  <c r="H1858" i="144"/>
  <c r="H1132" i="144"/>
  <c r="H427" i="144"/>
  <c r="H144" i="144"/>
  <c r="H1655" i="144"/>
  <c r="H963" i="144"/>
  <c r="H136" i="144"/>
  <c r="H666" i="144"/>
  <c r="H834" i="144"/>
  <c r="H769" i="144"/>
  <c r="H730" i="144"/>
  <c r="H1424" i="144"/>
  <c r="H434" i="144"/>
  <c r="H672" i="144"/>
  <c r="H1038" i="144"/>
  <c r="H555" i="144"/>
  <c r="I555" i="144"/>
  <c r="H1726" i="144"/>
  <c r="H490" i="144"/>
  <c r="H1184" i="144"/>
  <c r="H1695" i="144"/>
  <c r="H892" i="144"/>
  <c r="H697" i="144"/>
  <c r="H110" i="144"/>
  <c r="T110" i="144"/>
  <c r="H1521" i="144"/>
  <c r="H1421" i="144"/>
  <c r="T1421" i="144"/>
  <c r="H713" i="144"/>
  <c r="H958" i="144"/>
  <c r="H1368" i="144"/>
  <c r="H1406" i="144"/>
  <c r="H10" i="144"/>
  <c r="H1663" i="144"/>
  <c r="H213" i="144"/>
  <c r="H692" i="144"/>
  <c r="H619" i="144"/>
  <c r="H498" i="144"/>
  <c r="H1377" i="144"/>
  <c r="H394" i="144"/>
  <c r="H429" i="144"/>
  <c r="H1606" i="144"/>
  <c r="H1263" i="144"/>
  <c r="H1703" i="144"/>
  <c r="H286" i="144"/>
  <c r="H1305" i="144"/>
  <c r="H984" i="144"/>
  <c r="H1238" i="144"/>
  <c r="H879" i="144"/>
  <c r="H832" i="144"/>
  <c r="H714" i="144"/>
  <c r="H220" i="144"/>
  <c r="H33" i="144"/>
  <c r="H1619" i="144"/>
  <c r="H1781" i="144"/>
  <c r="H1371" i="144"/>
  <c r="H876" i="144"/>
  <c r="H1559" i="144"/>
  <c r="H398" i="144"/>
  <c r="H1277" i="144"/>
  <c r="H99" i="144"/>
  <c r="H111" i="144"/>
  <c r="H1794" i="144"/>
  <c r="H537" i="144"/>
  <c r="H502" i="144"/>
  <c r="H1040" i="144"/>
  <c r="H444" i="144"/>
  <c r="H1334" i="144"/>
  <c r="H1314" i="144"/>
  <c r="H1151" i="144"/>
  <c r="H1229" i="144"/>
  <c r="H987" i="144"/>
  <c r="H585" i="144"/>
  <c r="H1179" i="144"/>
  <c r="H1198" i="144"/>
  <c r="H1730" i="144"/>
  <c r="H700" i="144"/>
  <c r="H1728" i="144"/>
  <c r="H789" i="144"/>
  <c r="H430" i="144"/>
  <c r="H319" i="144"/>
  <c r="H156" i="144"/>
  <c r="H909" i="144"/>
  <c r="H1394" i="144"/>
  <c r="H505" i="144"/>
  <c r="H1145" i="144"/>
  <c r="H1689" i="144"/>
  <c r="H727" i="144"/>
  <c r="H89" i="144"/>
  <c r="H309" i="144"/>
  <c r="H1591" i="144"/>
  <c r="H1629" i="144"/>
  <c r="H1073" i="144"/>
  <c r="H904" i="144"/>
  <c r="H476" i="144"/>
  <c r="H541" i="144"/>
  <c r="H241" i="144"/>
  <c r="H474" i="144"/>
  <c r="H1935" i="144"/>
  <c r="H1934" i="144"/>
  <c r="H905" i="144"/>
  <c r="H121" i="144"/>
  <c r="H1798" i="144"/>
  <c r="H979" i="144"/>
  <c r="H1807" i="144"/>
  <c r="H428" i="144"/>
  <c r="H491" i="144"/>
  <c r="H351" i="144"/>
  <c r="H1440" i="144"/>
  <c r="T1440" i="144"/>
  <c r="H1910" i="144"/>
  <c r="H1916" i="144"/>
  <c r="H526" i="144"/>
  <c r="H1416" i="144"/>
  <c r="H1909" i="144"/>
  <c r="H178" i="144"/>
  <c r="I178" i="144"/>
  <c r="H1899" i="144"/>
  <c r="H1932" i="144"/>
  <c r="H1439" i="144"/>
  <c r="H1919" i="144"/>
  <c r="H1941" i="144"/>
  <c r="H423" i="144"/>
  <c r="H1915" i="144"/>
  <c r="H1923" i="144"/>
  <c r="H1877" i="144"/>
  <c r="J1877" i="144"/>
  <c r="H1884" i="144"/>
  <c r="H1924" i="144"/>
  <c r="H1929" i="144"/>
  <c r="H1046" i="144"/>
  <c r="T1046" i="144"/>
  <c r="H24" i="144"/>
  <c r="H1083" i="144"/>
  <c r="H1709" i="144"/>
  <c r="H270" i="144"/>
  <c r="H446" i="144"/>
  <c r="H1766" i="144"/>
  <c r="H1507" i="144"/>
  <c r="H1169" i="144"/>
  <c r="H1729" i="144"/>
  <c r="H137" i="144"/>
  <c r="H414" i="144"/>
  <c r="T414" i="144"/>
  <c r="H1147" i="144"/>
  <c r="T1147" i="144"/>
  <c r="H14" i="144"/>
  <c r="H381" i="144"/>
  <c r="H766" i="144"/>
  <c r="H1891" i="144"/>
  <c r="H1887" i="144"/>
  <c r="H1240" i="144"/>
  <c r="H1945" i="144"/>
  <c r="H1469" i="144"/>
  <c r="H1738" i="144"/>
  <c r="H1947" i="144"/>
  <c r="H1433" i="144"/>
  <c r="H1886" i="144"/>
  <c r="H659" i="144"/>
  <c r="H540" i="144"/>
  <c r="H1657" i="144"/>
  <c r="H1938" i="144"/>
  <c r="H1946" i="144"/>
  <c r="H1358" i="144"/>
  <c r="H1054" i="144"/>
  <c r="H1936" i="144"/>
  <c r="H1623" i="144"/>
  <c r="H1879" i="144"/>
  <c r="H1896" i="144"/>
  <c r="H888" i="144"/>
  <c r="H1734" i="144"/>
  <c r="I1734" i="144"/>
  <c r="H1010" i="144"/>
  <c r="H1831" i="144"/>
  <c r="H542" i="144"/>
  <c r="H1463" i="144"/>
  <c r="H1856" i="144"/>
  <c r="T1856" i="144"/>
  <c r="H1659" i="144"/>
  <c r="H1311" i="144"/>
  <c r="I1311" i="144"/>
  <c r="H1272" i="144"/>
  <c r="H1743" i="144"/>
  <c r="H771" i="144"/>
  <c r="H614" i="144"/>
  <c r="H717" i="144"/>
  <c r="H314" i="144"/>
  <c r="H943" i="144"/>
  <c r="H1774" i="144"/>
  <c r="T1774" i="144"/>
  <c r="H1214" i="144"/>
  <c r="H543" i="144"/>
  <c r="H200" i="144"/>
  <c r="H1473" i="144"/>
  <c r="H1733" i="144"/>
  <c r="H1875" i="144"/>
  <c r="H1491" i="144"/>
  <c r="H1803" i="144"/>
  <c r="H177" i="144"/>
  <c r="H237" i="144"/>
  <c r="H637" i="144"/>
  <c r="H1631" i="144"/>
  <c r="H1944" i="144"/>
  <c r="H1933" i="144"/>
  <c r="H344" i="144"/>
  <c r="H1925" i="144"/>
  <c r="H1866" i="144"/>
  <c r="H1876" i="144"/>
  <c r="J1876" i="144"/>
  <c r="H1922" i="144"/>
  <c r="H1892" i="144"/>
  <c r="H819" i="144"/>
  <c r="H1360" i="144"/>
  <c r="H1028" i="144"/>
  <c r="H485" i="144"/>
  <c r="H650" i="144"/>
  <c r="H460" i="144"/>
  <c r="H606" i="144"/>
  <c r="H495" i="144"/>
  <c r="H690" i="144"/>
  <c r="H1927" i="144"/>
  <c r="H881" i="144"/>
  <c r="H524" i="144"/>
  <c r="H1617" i="144"/>
  <c r="H1025" i="144"/>
  <c r="H1188" i="144"/>
  <c r="H1914" i="144"/>
  <c r="H1920" i="144"/>
  <c r="H496" i="144"/>
  <c r="H1767" i="144"/>
  <c r="H1883" i="144"/>
  <c r="H880" i="144"/>
  <c r="H903" i="144"/>
  <c r="H1928" i="144"/>
  <c r="H1643" i="144"/>
  <c r="I1643" i="144"/>
  <c r="H1261" i="144"/>
  <c r="H1082" i="144"/>
  <c r="I1082" i="144"/>
  <c r="H1943" i="144"/>
  <c r="H1548" i="144"/>
  <c r="H95" i="144"/>
  <c r="H1912" i="144"/>
  <c r="H1894" i="144"/>
  <c r="H265" i="144"/>
  <c r="H1782" i="144"/>
  <c r="H1133" i="144"/>
  <c r="H1242" i="144"/>
  <c r="H1338" i="144"/>
  <c r="H1002" i="144"/>
  <c r="H1869" i="144"/>
  <c r="H1245" i="144"/>
  <c r="H1752" i="144"/>
  <c r="T1752" i="144"/>
  <c r="H795" i="144"/>
  <c r="H19" i="144"/>
  <c r="H1247" i="144"/>
  <c r="H13" i="144"/>
  <c r="H914" i="144"/>
  <c r="H1465" i="144"/>
  <c r="H1862" i="144"/>
  <c r="H406" i="144"/>
  <c r="H776" i="144"/>
  <c r="H569" i="144"/>
  <c r="H1889" i="144"/>
  <c r="I1889" i="144"/>
  <c r="H1049" i="144"/>
  <c r="T1049" i="144"/>
  <c r="H1125" i="144"/>
  <c r="H1535" i="144"/>
  <c r="H92" i="144"/>
  <c r="H609" i="144"/>
  <c r="H1903" i="144"/>
  <c r="H467" i="144"/>
  <c r="H607" i="144"/>
  <c r="H222" i="144"/>
  <c r="H587" i="144"/>
  <c r="J587" i="144"/>
  <c r="H233" i="144"/>
  <c r="H1931" i="144"/>
  <c r="H1271" i="144"/>
  <c r="H922" i="144"/>
  <c r="H1939" i="144"/>
  <c r="H304" i="144"/>
  <c r="H545" i="144"/>
  <c r="J545" i="144"/>
  <c r="H1918" i="144"/>
  <c r="J1918" i="144"/>
  <c r="H1175" i="144"/>
  <c r="H1852" i="144"/>
  <c r="H162" i="144"/>
  <c r="H784" i="144"/>
  <c r="H848" i="144"/>
  <c r="H1316" i="144"/>
  <c r="H462" i="144"/>
  <c r="H55" i="144"/>
  <c r="H297" i="144"/>
  <c r="H377" i="144"/>
  <c r="H1071" i="144"/>
  <c r="H149" i="144"/>
  <c r="H1088" i="144"/>
  <c r="H600" i="144"/>
  <c r="H1749" i="144"/>
  <c r="H113" i="144"/>
  <c r="H1593" i="144"/>
  <c r="H1890" i="144"/>
  <c r="H1531" i="144"/>
  <c r="H671" i="144"/>
  <c r="H1041" i="144"/>
  <c r="H1652" i="144"/>
  <c r="H1014" i="144"/>
  <c r="H1595" i="144"/>
  <c r="H681" i="144"/>
  <c r="H1882" i="144"/>
  <c r="H65" i="144"/>
  <c r="H1596" i="144"/>
  <c r="H506" i="144"/>
  <c r="H1881" i="144"/>
  <c r="T1881" i="144"/>
  <c r="H1084" i="144"/>
  <c r="H1897" i="144"/>
  <c r="H1370" i="144"/>
  <c r="H704" i="144"/>
  <c r="H1917" i="144"/>
  <c r="H1683" i="144"/>
  <c r="H1050" i="144"/>
  <c r="H1351" i="144"/>
  <c r="H1848" i="144"/>
  <c r="H993" i="144"/>
  <c r="H1431" i="144"/>
  <c r="H1241" i="144"/>
  <c r="H1583" i="144"/>
  <c r="H1688" i="144"/>
  <c r="H1458" i="144"/>
  <c r="H69" i="144"/>
  <c r="H301" i="144"/>
  <c r="H1694" i="144"/>
  <c r="T1694" i="144"/>
  <c r="H1211" i="144"/>
  <c r="H867" i="144"/>
  <c r="H1853" i="144"/>
  <c r="H788" i="144"/>
  <c r="H616" i="144"/>
  <c r="H796" i="144"/>
  <c r="H674" i="144"/>
  <c r="H1937" i="144"/>
  <c r="H336" i="144"/>
  <c r="H11" i="144"/>
  <c r="H1138" i="144"/>
  <c r="H310" i="144"/>
  <c r="H1475" i="144"/>
  <c r="H890" i="144"/>
  <c r="H300" i="144"/>
  <c r="H472" i="144"/>
  <c r="H964" i="144"/>
  <c r="H882" i="144"/>
  <c r="H278" i="144"/>
  <c r="H634" i="144"/>
  <c r="H1231" i="144"/>
  <c r="H1735" i="144"/>
  <c r="H158" i="144"/>
  <c r="H645" i="144"/>
  <c r="H564" i="144"/>
  <c r="H15" i="144"/>
  <c r="H1790" i="144"/>
  <c r="H1556" i="144"/>
  <c r="H1854" i="144"/>
  <c r="H924" i="144"/>
  <c r="H1512" i="144"/>
  <c r="H64" i="144"/>
  <c r="H1295" i="144"/>
  <c r="H1561" i="144"/>
  <c r="H654" i="144"/>
  <c r="H1710" i="144"/>
  <c r="H1434" i="144"/>
  <c r="J1434" i="144"/>
  <c r="H1906" i="144"/>
  <c r="J1906" i="144"/>
  <c r="H397" i="144"/>
  <c r="H1268" i="144"/>
  <c r="H1942" i="144"/>
  <c r="H686" i="144"/>
  <c r="H1355" i="144"/>
  <c r="H1898" i="144"/>
  <c r="H1880" i="144"/>
  <c r="H1282" i="144"/>
  <c r="H1065" i="144"/>
  <c r="H548" i="144"/>
  <c r="H56" i="144"/>
  <c r="H986" i="144"/>
  <c r="H124" i="144"/>
  <c r="H1724" i="144"/>
  <c r="H492" i="144"/>
  <c r="H1926" i="144"/>
  <c r="H1387" i="144"/>
  <c r="H475" i="144"/>
  <c r="T475" i="144"/>
  <c r="H1511" i="144"/>
  <c r="H523" i="144"/>
  <c r="H235" i="144"/>
  <c r="H1121" i="144"/>
  <c r="H1258" i="144"/>
  <c r="H248" i="144"/>
  <c r="H1802" i="144"/>
  <c r="H824" i="144"/>
  <c r="H1590" i="144"/>
  <c r="H957" i="144"/>
  <c r="H579" i="144"/>
  <c r="H1800" i="144"/>
  <c r="H1732" i="144"/>
  <c r="H1739" i="144"/>
  <c r="H1510" i="144"/>
  <c r="H340" i="144"/>
  <c r="H407" i="144"/>
  <c r="J407" i="144"/>
  <c r="H816" i="144"/>
  <c r="H420" i="144"/>
  <c r="H941" i="144"/>
  <c r="H1254" i="144"/>
  <c r="H1628" i="144"/>
  <c r="H139" i="144"/>
  <c r="H39" i="144"/>
  <c r="H375" i="144"/>
  <c r="H510" i="144"/>
  <c r="H1823" i="144"/>
  <c r="H1286" i="144"/>
  <c r="H689" i="144"/>
  <c r="H395" i="144"/>
  <c r="H967" i="144"/>
  <c r="H1381" i="144"/>
  <c r="H1874" i="144"/>
  <c r="H948" i="144"/>
  <c r="H1189" i="144"/>
  <c r="H849" i="144"/>
  <c r="H439" i="144"/>
  <c r="H1079" i="144"/>
  <c r="H1051" i="144"/>
  <c r="H160" i="144"/>
  <c r="H1799" i="144"/>
  <c r="H678" i="144"/>
  <c r="H1419" i="144"/>
  <c r="H930" i="144"/>
  <c r="H787" i="144"/>
  <c r="H1141" i="144"/>
  <c r="H1306" i="144"/>
  <c r="H176" i="144"/>
  <c r="H581" i="144"/>
  <c r="H626" i="144"/>
  <c r="H133" i="144"/>
  <c r="H1795" i="144"/>
  <c r="H1095" i="144"/>
  <c r="H71" i="144"/>
  <c r="H153" i="144"/>
  <c r="H709" i="144"/>
  <c r="H1202" i="144"/>
  <c r="H1868" i="144"/>
  <c r="H677" i="144"/>
  <c r="H781" i="144"/>
  <c r="H1855" i="144"/>
  <c r="J1855" i="144"/>
  <c r="H1203" i="144"/>
  <c r="H669" i="144"/>
  <c r="H1446" i="144"/>
  <c r="H267" i="144"/>
  <c r="H343" i="144"/>
  <c r="H165" i="144"/>
  <c r="H273" i="144"/>
  <c r="H123" i="144"/>
  <c r="H833" i="144"/>
  <c r="H1114" i="144"/>
  <c r="H633" i="144"/>
  <c r="H1594" i="144"/>
  <c r="H225" i="144"/>
  <c r="H598" i="144"/>
  <c r="H271" i="144"/>
  <c r="H1094" i="144"/>
  <c r="H1763" i="144"/>
  <c r="H1019" i="144"/>
  <c r="H886" i="144"/>
  <c r="H571" i="144"/>
  <c r="H1573" i="144"/>
  <c r="H118" i="144"/>
  <c r="H718" i="144"/>
  <c r="H951" i="144"/>
  <c r="H1832" i="144"/>
  <c r="H81" i="144"/>
  <c r="H30" i="144"/>
  <c r="H688" i="144"/>
  <c r="H145" i="144"/>
  <c r="H1307" i="144"/>
  <c r="H1483" i="144"/>
  <c r="H512" i="144"/>
  <c r="H961" i="144"/>
  <c r="H952" i="144"/>
  <c r="H180" i="144"/>
  <c r="H1651" i="144"/>
  <c r="H901" i="144"/>
  <c r="H896" i="144"/>
  <c r="H1513" i="144"/>
  <c r="H665" i="144"/>
  <c r="H50" i="144"/>
  <c r="H622" i="144"/>
  <c r="H1871" i="144"/>
  <c r="J1871" i="144"/>
  <c r="H547" i="144"/>
  <c r="H663" i="144"/>
  <c r="H1250" i="144"/>
  <c r="H1717" i="144"/>
  <c r="H205" i="144"/>
  <c r="H1834" i="144"/>
  <c r="H595" i="144"/>
  <c r="H1639" i="144"/>
  <c r="T1639" i="144"/>
  <c r="H973" i="144"/>
  <c r="H812" i="144"/>
  <c r="H1162" i="144"/>
  <c r="H1466" i="144"/>
  <c r="H1287" i="144"/>
  <c r="H790" i="144"/>
  <c r="H261" i="144"/>
  <c r="H906" i="144"/>
  <c r="T906" i="144"/>
  <c r="H1768" i="144"/>
  <c r="H80" i="144"/>
  <c r="H1498" i="144"/>
  <c r="H1653" i="144"/>
  <c r="H1487" i="144"/>
  <c r="H911" i="144"/>
  <c r="H288" i="144"/>
  <c r="H197" i="144"/>
  <c r="H567" i="144"/>
  <c r="H735" i="144"/>
  <c r="H1167" i="144"/>
  <c r="H410" i="144"/>
  <c r="H1064" i="144"/>
  <c r="H389" i="144"/>
  <c r="H223" i="144"/>
  <c r="H1173" i="144"/>
  <c r="H1215" i="144"/>
  <c r="H780" i="144"/>
  <c r="H768" i="144"/>
  <c r="H1797" i="144"/>
  <c r="H721" i="144"/>
  <c r="H219" i="144"/>
  <c r="H1001" i="144"/>
  <c r="H1760" i="144"/>
  <c r="H676" i="144"/>
  <c r="H1722" i="144"/>
  <c r="H1252" i="144"/>
  <c r="H281" i="144"/>
  <c r="H910" i="144"/>
  <c r="H644" i="144"/>
  <c r="H962" i="144"/>
  <c r="H287" i="144"/>
  <c r="H887" i="144"/>
  <c r="H1715" i="144"/>
  <c r="H88" i="144"/>
  <c r="H1769" i="144"/>
  <c r="H1571" i="144"/>
  <c r="H1930" i="144"/>
  <c r="H1637" i="144"/>
  <c r="H1780" i="144"/>
  <c r="H106" i="144"/>
  <c r="H1390" i="144"/>
  <c r="H1486" i="144"/>
  <c r="H1747" i="144"/>
  <c r="H1870" i="144"/>
  <c r="H738" i="144"/>
  <c r="H1053" i="144"/>
  <c r="H511" i="144"/>
  <c r="H750" i="144"/>
  <c r="H739" i="144"/>
  <c r="H1407" i="144"/>
  <c r="H1813" i="144"/>
  <c r="H1864" i="144"/>
  <c r="H1107" i="144"/>
  <c r="H1558" i="144"/>
  <c r="H1275" i="144"/>
  <c r="H1289" i="144"/>
  <c r="H929" i="144"/>
  <c r="H1627" i="144"/>
  <c r="H260" i="144"/>
  <c r="H1029" i="144"/>
  <c r="H525" i="144"/>
  <c r="H1069" i="144"/>
  <c r="H1349" i="144"/>
  <c r="H22" i="144"/>
  <c r="H1161" i="144"/>
  <c r="H1824" i="144"/>
  <c r="H1618" i="144"/>
  <c r="H1696" i="144"/>
  <c r="T1696" i="144"/>
  <c r="H657" i="144"/>
  <c r="H204" i="144"/>
  <c r="I204" i="144"/>
  <c r="H236" i="144"/>
  <c r="H740" i="144"/>
  <c r="H117" i="144"/>
  <c r="H1134" i="144"/>
  <c r="H1100" i="144"/>
  <c r="H291" i="144"/>
  <c r="H1913" i="144"/>
  <c r="H1318" i="144"/>
  <c r="H183" i="144"/>
  <c r="H1253" i="144"/>
  <c r="H85" i="144"/>
  <c r="H557" i="144"/>
  <c r="H1576" i="144"/>
  <c r="H954" i="144"/>
  <c r="H438" i="144"/>
  <c r="T438" i="144"/>
  <c r="H294" i="144"/>
  <c r="H1687" i="144"/>
  <c r="H908" i="144"/>
  <c r="H1518" i="144"/>
  <c r="H1256" i="144"/>
  <c r="H982" i="144"/>
  <c r="H1468" i="144"/>
  <c r="H75" i="144"/>
  <c r="H1598" i="144"/>
  <c r="H142" i="144"/>
  <c r="H870" i="144"/>
  <c r="J870" i="144"/>
  <c r="H1727" i="144"/>
  <c r="H1216" i="144"/>
  <c r="H898" i="144"/>
  <c r="H74" i="144"/>
  <c r="H60" i="144"/>
  <c r="H731" i="144"/>
  <c r="H335" i="144"/>
  <c r="H1804" i="144"/>
  <c r="H1731" i="144"/>
  <c r="H814" i="144"/>
  <c r="H1496" i="144"/>
  <c r="H985" i="144"/>
  <c r="H1843" i="144"/>
  <c r="H632" i="144"/>
  <c r="H112" i="144"/>
  <c r="H698" i="144"/>
  <c r="H258" i="144"/>
  <c r="H611" i="144"/>
  <c r="H1105" i="144"/>
  <c r="H1399" i="144"/>
  <c r="H401" i="144"/>
  <c r="I401" i="144"/>
  <c r="H1517" i="144"/>
  <c r="H617" i="144"/>
  <c r="H1740" i="144"/>
  <c r="H1333" i="144"/>
  <c r="H83" i="144"/>
  <c r="H680" i="144"/>
  <c r="H694" i="144"/>
  <c r="H1086" i="144"/>
  <c r="H68" i="144"/>
  <c r="H1036" i="144"/>
  <c r="H1347" i="144"/>
  <c r="H1460" i="144"/>
  <c r="H734" i="144"/>
  <c r="H1265" i="144"/>
  <c r="H341" i="144"/>
  <c r="H325" i="144"/>
  <c r="H1622" i="144"/>
  <c r="H134" i="144"/>
  <c r="H1635" i="144"/>
  <c r="H772" i="144"/>
  <c r="H353" i="144"/>
  <c r="H960" i="144"/>
  <c r="H1113" i="144"/>
  <c r="H390" i="144"/>
  <c r="H1792" i="144"/>
  <c r="H935" i="144"/>
  <c r="H1672" i="144"/>
  <c r="H1172" i="144"/>
  <c r="H1389" i="144"/>
  <c r="H93" i="144"/>
  <c r="H1000" i="144"/>
  <c r="H86" i="144"/>
  <c r="H355" i="144"/>
  <c r="H1632" i="144"/>
  <c r="H1638" i="144"/>
  <c r="H652" i="144"/>
  <c r="H450" i="144"/>
  <c r="H1646" i="144"/>
  <c r="H1604" i="144"/>
  <c r="H1538" i="144"/>
  <c r="H851" i="144"/>
  <c r="H515" i="144"/>
  <c r="H732" i="144"/>
  <c r="H516" i="144"/>
  <c r="H806" i="144"/>
  <c r="H519" i="144"/>
  <c r="H385" i="144"/>
  <c r="H400" i="144"/>
  <c r="H1759" i="144"/>
  <c r="H1004" i="144"/>
  <c r="H1640" i="144"/>
  <c r="H331" i="144"/>
  <c r="H150" i="144"/>
  <c r="H862" i="144"/>
  <c r="H1248" i="144"/>
  <c r="H203" i="144"/>
  <c r="H995" i="144"/>
  <c r="H588" i="144"/>
  <c r="H1675" i="144"/>
  <c r="H296" i="144"/>
  <c r="H1784" i="144"/>
  <c r="H765" i="144"/>
  <c r="H913" i="144"/>
  <c r="H1208" i="144"/>
  <c r="H61" i="144"/>
  <c r="H1006" i="144"/>
  <c r="I1006" i="144"/>
  <c r="H1485" i="144"/>
  <c r="H1335" i="144"/>
  <c r="H1165" i="144"/>
  <c r="H651" i="144"/>
  <c r="H923" i="144"/>
  <c r="H1414" i="144"/>
  <c r="H1605" i="144"/>
  <c r="H466" i="144"/>
  <c r="H947" i="144"/>
  <c r="H1388" i="144"/>
  <c r="H779" i="144"/>
  <c r="H1587" i="144"/>
  <c r="H155" i="144"/>
  <c r="H1718" i="144"/>
  <c r="H1461" i="144"/>
  <c r="H135" i="144"/>
  <c r="H624" i="144"/>
  <c r="H1693" i="144"/>
  <c r="H839" i="144"/>
  <c r="H386" i="144"/>
  <c r="H683" i="144"/>
  <c r="H520" i="144"/>
  <c r="H445" i="144"/>
  <c r="H1124" i="144"/>
  <c r="H1093" i="144"/>
  <c r="H562" i="144"/>
  <c r="H229" i="144"/>
  <c r="H459" i="144"/>
  <c r="H1765" i="144"/>
  <c r="H1176" i="144"/>
  <c r="H1196" i="144"/>
  <c r="H945" i="144"/>
  <c r="H272" i="144"/>
  <c r="H642" i="144"/>
  <c r="H363" i="144"/>
  <c r="H326" i="144"/>
  <c r="H1246" i="144"/>
  <c r="H1626" i="144"/>
  <c r="H1602" i="144"/>
  <c r="H1562" i="144"/>
  <c r="H1283" i="144"/>
  <c r="H807" i="144"/>
  <c r="H486" i="144"/>
  <c r="H315" i="144"/>
  <c r="H889" i="144"/>
  <c r="H1482" i="144"/>
  <c r="H463" i="144"/>
  <c r="H907" i="144"/>
  <c r="H999" i="144"/>
  <c r="H1195" i="144"/>
  <c r="H1092" i="144"/>
  <c r="H1444" i="144"/>
  <c r="H422" i="144"/>
  <c r="H1312" i="144"/>
  <c r="H864" i="144"/>
  <c r="H1199" i="144"/>
  <c r="H1836" i="144"/>
  <c r="H1075" i="144"/>
  <c r="H45" i="144"/>
  <c r="H171" i="144"/>
  <c r="H990" i="144"/>
  <c r="H532" i="144"/>
  <c r="H73" i="144"/>
  <c r="H873" i="144"/>
  <c r="H1259" i="144"/>
  <c r="H154" i="144"/>
  <c r="H1099" i="144"/>
  <c r="H1033" i="144"/>
  <c r="H339" i="144"/>
  <c r="H517" i="144"/>
  <c r="H912" i="144"/>
  <c r="H493" i="144"/>
  <c r="H915" i="144"/>
  <c r="H1565" i="144"/>
  <c r="H63" i="144"/>
  <c r="H373" i="144"/>
  <c r="H716" i="144"/>
  <c r="J716" i="144"/>
  <c r="H1865" i="144"/>
  <c r="H531" i="144"/>
  <c r="H1375" i="144"/>
  <c r="H1281" i="144"/>
  <c r="H1235" i="144"/>
  <c r="H1297" i="144"/>
  <c r="H1400" i="144"/>
  <c r="H1219" i="144"/>
  <c r="H380" i="144"/>
  <c r="H1384" i="144"/>
  <c r="H1379" i="144"/>
  <c r="H656" i="144"/>
  <c r="H959" i="144"/>
  <c r="H1432" i="144"/>
  <c r="H379" i="144"/>
  <c r="H925" i="144"/>
  <c r="H745" i="144"/>
  <c r="H91" i="144"/>
  <c r="H37" i="144"/>
  <c r="H1070" i="144"/>
  <c r="H1756" i="144"/>
  <c r="I1756" i="144"/>
  <c r="H383" i="144"/>
  <c r="J383" i="144"/>
  <c r="H283" i="144"/>
  <c r="H1712" i="144"/>
  <c r="H1850" i="144"/>
  <c r="H1429" i="144"/>
  <c r="H1034" i="144"/>
  <c r="H98" i="144"/>
  <c r="H1042" i="144"/>
  <c r="H920" i="144"/>
  <c r="H1509" i="144"/>
  <c r="H1554" i="144"/>
  <c r="J1554" i="144"/>
  <c r="H1326" i="144"/>
  <c r="H1266" i="144"/>
  <c r="H1030" i="144"/>
  <c r="H166" i="144"/>
  <c r="H902" i="144"/>
  <c r="H102" i="144"/>
  <c r="H1143" i="144"/>
  <c r="H1243" i="144"/>
  <c r="H643" i="144"/>
  <c r="H388" i="144"/>
  <c r="T388" i="144"/>
  <c r="H1551" i="144"/>
  <c r="H592" i="144"/>
  <c r="H761" i="144"/>
  <c r="H1021" i="144"/>
  <c r="H358" i="144"/>
  <c r="H988" i="144"/>
  <c r="H1039" i="144"/>
  <c r="H1624" i="144"/>
  <c r="H1456" i="144"/>
  <c r="H844" i="144"/>
  <c r="H1478" i="144"/>
  <c r="H1872" i="144"/>
  <c r="H514" i="144"/>
  <c r="H103" i="144"/>
  <c r="H457" i="144"/>
  <c r="H937" i="144"/>
  <c r="H20" i="144"/>
  <c r="H196" i="144"/>
  <c r="H1012" i="144"/>
  <c r="H1106" i="144"/>
  <c r="H1348" i="144"/>
  <c r="H1227" i="144"/>
  <c r="H268" i="144"/>
  <c r="H1315" i="144"/>
  <c r="T1315" i="144"/>
  <c r="H1670" i="144"/>
  <c r="H1396" i="144"/>
  <c r="H504" i="144"/>
  <c r="H1818" i="144"/>
  <c r="H305" i="144"/>
  <c r="H916" i="144"/>
  <c r="H522" i="144"/>
  <c r="H419" i="144"/>
  <c r="H1713" i="144"/>
  <c r="H553" i="144"/>
  <c r="H883" i="144"/>
  <c r="H364" i="144"/>
  <c r="H869" i="144"/>
  <c r="H835" i="144"/>
  <c r="H452" i="144"/>
  <c r="H240" i="144"/>
  <c r="I240" i="144"/>
  <c r="H720" i="144"/>
  <c r="H934" i="144"/>
  <c r="H198" i="144"/>
  <c r="T198" i="144"/>
  <c r="H1187" i="144"/>
  <c r="H826" i="144"/>
  <c r="H1621" i="144"/>
  <c r="H1339" i="144"/>
  <c r="T1339" i="144"/>
  <c r="H1563" i="144"/>
  <c r="H1716" i="144"/>
  <c r="I1716" i="144"/>
  <c r="H877" i="144"/>
  <c r="H1037" i="144"/>
  <c r="H950" i="144"/>
  <c r="H1828" i="144"/>
  <c r="H317" i="144"/>
  <c r="H1192" i="144"/>
  <c r="H32" i="144"/>
  <c r="H804" i="144"/>
  <c r="H1090" i="144"/>
  <c r="H1415" i="144"/>
  <c r="I1415" i="144"/>
  <c r="H1217" i="144"/>
  <c r="H1160" i="144"/>
  <c r="H568" i="144"/>
  <c r="H810" i="144"/>
  <c r="H1274" i="144"/>
  <c r="H1391" i="144"/>
  <c r="H354" i="144"/>
  <c r="H583" i="144"/>
  <c r="H1122" i="144"/>
  <c r="H1288" i="144"/>
  <c r="H1142" i="144"/>
  <c r="H1436" i="144"/>
  <c r="H1827" i="144"/>
  <c r="H1423" i="144"/>
  <c r="H1182" i="144"/>
  <c r="H838" i="144"/>
  <c r="H1302" i="144"/>
  <c r="H1177" i="144"/>
  <c r="H433" i="144"/>
  <c r="T433" i="144"/>
  <c r="H1104" i="144"/>
  <c r="H625" i="144"/>
  <c r="H1052" i="144"/>
  <c r="H360" i="144"/>
  <c r="H858" i="144"/>
  <c r="H1017" i="144"/>
  <c r="H1343" i="144"/>
  <c r="H509" i="144"/>
  <c r="H1329" i="144"/>
  <c r="H1442" i="144"/>
  <c r="H257" i="144"/>
  <c r="H96" i="144"/>
  <c r="H1553" i="144"/>
  <c r="H584" i="144"/>
  <c r="H1701" i="144"/>
  <c r="H488" i="144"/>
  <c r="H802" i="144"/>
  <c r="H1011" i="144"/>
  <c r="H1376" i="144"/>
  <c r="H232" i="144"/>
  <c r="H783" i="144"/>
  <c r="H596" i="144"/>
  <c r="H1557" i="144"/>
  <c r="H1118" i="144"/>
  <c r="H147" i="144"/>
  <c r="H1372" i="144"/>
  <c r="H1661" i="144"/>
  <c r="H1857" i="144"/>
  <c r="H559" i="144"/>
  <c r="I559" i="144"/>
  <c r="H277" i="144"/>
  <c r="H620" i="144"/>
  <c r="H58" i="144"/>
  <c r="H417" i="144"/>
  <c r="I417" i="144"/>
  <c r="H127" i="144"/>
  <c r="H1630" i="144"/>
  <c r="H746" i="144"/>
  <c r="H1284" i="144"/>
  <c r="H623" i="144"/>
  <c r="H1150" i="144"/>
  <c r="H391" i="144"/>
  <c r="H101" i="144"/>
  <c r="H1378" i="144"/>
  <c r="H31" i="144"/>
  <c r="H1031" i="144"/>
  <c r="H805" i="144"/>
  <c r="H484" i="144"/>
  <c r="J484" i="144"/>
  <c r="H338" i="144"/>
  <c r="H696" i="144"/>
  <c r="H1310" i="144"/>
  <c r="H52" i="144"/>
  <c r="H1700" i="144"/>
  <c r="H577" i="144"/>
  <c r="H167" i="144"/>
  <c r="H631" i="144"/>
  <c r="H992" i="144"/>
  <c r="H615" i="144"/>
  <c r="H1291" i="144"/>
  <c r="H1648" i="144"/>
  <c r="H1520" i="144"/>
  <c r="H635" i="144"/>
  <c r="H1785" i="144"/>
  <c r="I1785" i="144"/>
  <c r="H1586" i="144"/>
  <c r="H482" i="144"/>
  <c r="H711" i="144"/>
  <c r="H1536" i="144"/>
  <c r="H1102" i="144"/>
  <c r="H1489" i="144"/>
  <c r="H1116" i="144"/>
  <c r="H691" i="144"/>
  <c r="H1577" i="144"/>
  <c r="H1758" i="144"/>
  <c r="H725" i="144"/>
  <c r="H969" i="144"/>
  <c r="H170" i="144"/>
  <c r="H668" i="144"/>
  <c r="H1081" i="144"/>
  <c r="H563" i="144"/>
  <c r="H770" i="144"/>
  <c r="H1101" i="144"/>
  <c r="H1067" i="144"/>
  <c r="H187" i="144"/>
  <c r="H701" i="144"/>
  <c r="H1170" i="144"/>
  <c r="H742" i="144"/>
  <c r="H266" i="144"/>
  <c r="H874" i="144"/>
  <c r="H662" i="144"/>
  <c r="H1438" i="144"/>
  <c r="H1131" i="144"/>
  <c r="H792" i="144"/>
  <c r="H1035" i="144"/>
  <c r="H752" i="144"/>
  <c r="H610" i="144"/>
  <c r="H164" i="144"/>
  <c r="H1410" i="144"/>
  <c r="H1543" i="144"/>
  <c r="H1319" i="144"/>
  <c r="H1061" i="144"/>
  <c r="H231" i="144"/>
  <c r="H605" i="144"/>
  <c r="T605" i="144"/>
  <c r="H157" i="144"/>
  <c r="H1761" i="144"/>
  <c r="H757" i="144"/>
  <c r="H1171" i="144"/>
  <c r="I1171" i="144"/>
  <c r="H1506" i="144"/>
  <c r="H1181" i="144"/>
  <c r="H1812" i="144"/>
  <c r="H703" i="144"/>
  <c r="H996" i="144"/>
  <c r="H182" i="144"/>
  <c r="H821" i="144"/>
  <c r="H1467" i="144"/>
  <c r="H1058" i="144"/>
  <c r="H251" i="144"/>
  <c r="H1494" i="144"/>
  <c r="H1276" i="144"/>
  <c r="H1572" i="144"/>
  <c r="H971" i="144"/>
  <c r="H1764" i="144"/>
  <c r="H1401" i="144"/>
  <c r="H679" i="144"/>
  <c r="H965" i="144"/>
  <c r="H1427" i="144"/>
  <c r="H1224" i="144"/>
  <c r="H653" i="144"/>
  <c r="H1166" i="144"/>
  <c r="H775" i="144"/>
  <c r="H25" i="144"/>
  <c r="H1163" i="144"/>
  <c r="H894" i="144"/>
  <c r="H1455" i="144"/>
  <c r="J1455" i="144"/>
  <c r="H345" i="144"/>
  <c r="H1447" i="144"/>
  <c r="H917" i="144"/>
  <c r="H1537" i="144"/>
  <c r="H1607" i="144"/>
  <c r="H451" i="144"/>
  <c r="H1422" i="144"/>
  <c r="H747" i="144"/>
  <c r="H212" i="144"/>
  <c r="H115" i="144"/>
  <c r="H1708" i="144"/>
  <c r="H794" i="144"/>
  <c r="H1207" i="144"/>
  <c r="H981" i="144"/>
  <c r="H1454" i="144"/>
  <c r="H421" i="144"/>
  <c r="H1808" i="144"/>
  <c r="H308" i="144"/>
  <c r="H1156" i="144"/>
  <c r="H1267" i="144"/>
  <c r="H1641" i="144"/>
  <c r="H207" i="144"/>
  <c r="H1279" i="144"/>
  <c r="H763" i="144"/>
  <c r="H646" i="144"/>
  <c r="H1642" i="144"/>
  <c r="H582" i="144"/>
  <c r="H1027" i="144"/>
  <c r="H116" i="144"/>
  <c r="H1751" i="144"/>
  <c r="H312" i="144"/>
  <c r="H778" i="144"/>
  <c r="H1849" i="144"/>
  <c r="H1404" i="144"/>
  <c r="H1346" i="144"/>
  <c r="H1159" i="144"/>
  <c r="H1801" i="144"/>
  <c r="H997" i="144"/>
  <c r="T997" i="144"/>
  <c r="H895" i="144"/>
  <c r="H1452" i="144"/>
  <c r="T1452" i="144"/>
  <c r="H1526" i="144"/>
  <c r="H159" i="144"/>
  <c r="H1076" i="144"/>
  <c r="H41" i="144"/>
  <c r="H636" i="144"/>
  <c r="H1525" i="144"/>
  <c r="J1525" i="144"/>
  <c r="H1614" i="144"/>
  <c r="H1523" i="144"/>
  <c r="H822" i="144"/>
  <c r="H705" i="144"/>
  <c r="H1430" i="144"/>
  <c r="H855" i="144"/>
  <c r="H105" i="144"/>
  <c r="H1137" i="144"/>
  <c r="H359" i="144"/>
  <c r="H639" i="144"/>
  <c r="T639" i="144"/>
  <c r="H1793" i="144"/>
  <c r="H983" i="144"/>
  <c r="H932" i="144"/>
  <c r="H1474" i="144"/>
  <c r="H1048" i="144"/>
  <c r="H850" i="144"/>
  <c r="H891" i="144"/>
  <c r="H371" i="144"/>
  <c r="H991" i="144"/>
  <c r="H1814" i="144"/>
  <c r="J1814" i="144"/>
  <c r="H413" i="144"/>
  <c r="H140" i="144"/>
  <c r="H1097" i="144"/>
  <c r="H1515" i="144"/>
  <c r="H820" i="144"/>
  <c r="H1448" i="144"/>
  <c r="H660" i="144"/>
  <c r="H122" i="144"/>
  <c r="H1032" i="144"/>
  <c r="H546" i="144"/>
  <c r="H1264" i="144"/>
  <c r="H1357" i="144"/>
  <c r="H1636" i="144"/>
  <c r="H1867" i="144"/>
  <c r="H1552" i="144"/>
  <c r="H1568" i="144"/>
  <c r="H811" i="144"/>
  <c r="H1839" i="144"/>
  <c r="H282" i="144"/>
  <c r="H1692" i="144"/>
  <c r="H1110" i="144"/>
  <c r="H533" i="144"/>
  <c r="H536" i="144"/>
  <c r="H393" i="144"/>
  <c r="H736" i="144"/>
  <c r="H440" i="144"/>
  <c r="H685" i="144"/>
  <c r="H9" i="144"/>
  <c r="H1527" i="144"/>
  <c r="H968" i="144"/>
  <c r="H497" i="144"/>
  <c r="H109" i="144"/>
  <c r="H245" i="144"/>
  <c r="H1502" i="144"/>
  <c r="H1218" i="144"/>
  <c r="H1096" i="144"/>
  <c r="H275" i="144"/>
  <c r="H863" i="144"/>
  <c r="H1197" i="144"/>
  <c r="H125" i="144"/>
  <c r="H425" i="144"/>
  <c r="H1574" i="144"/>
  <c r="H938" i="144"/>
  <c r="H978" i="144"/>
  <c r="H1395" i="144"/>
  <c r="H1210" i="144"/>
  <c r="H1488" i="144"/>
  <c r="H181" i="144"/>
  <c r="H1063" i="144"/>
  <c r="H1612" i="144"/>
  <c r="H1234" i="144"/>
  <c r="H1108" i="144"/>
  <c r="H1044" i="144"/>
  <c r="H1435" i="144"/>
  <c r="T1435" i="144"/>
  <c r="H836" i="144"/>
  <c r="H1233" i="144"/>
  <c r="H840" i="144"/>
  <c r="H1443" i="144"/>
  <c r="H1592" i="144"/>
  <c r="J1592" i="144"/>
  <c r="H138" i="144"/>
  <c r="H8" i="144"/>
  <c r="H710" i="144"/>
  <c r="H1676" i="144"/>
  <c r="H817" i="144"/>
  <c r="H1555" i="144"/>
  <c r="H487" i="144"/>
  <c r="H1323" i="144"/>
  <c r="J1323" i="144"/>
  <c r="H1085" i="144"/>
  <c r="H797" i="144"/>
  <c r="H831" i="144"/>
  <c r="H1126" i="144"/>
  <c r="H374" i="144"/>
  <c r="H1397" i="144"/>
  <c r="H1365" i="144"/>
  <c r="H1221" i="144"/>
  <c r="H687" i="144"/>
  <c r="H1398" i="144"/>
  <c r="H1007" i="144"/>
  <c r="H1269" i="144"/>
  <c r="H956" i="144"/>
  <c r="H424" i="144"/>
  <c r="H1690" i="144"/>
  <c r="H1066" i="144"/>
  <c r="H1579" i="144"/>
  <c r="H1420" i="144"/>
  <c r="H108" i="144"/>
  <c r="H54" i="144"/>
  <c r="H942" i="144"/>
  <c r="H239" i="144"/>
  <c r="H733" i="144"/>
  <c r="H1844" i="144"/>
  <c r="H808" i="144"/>
  <c r="H435" i="144"/>
  <c r="H1453" i="144"/>
  <c r="H927" i="144"/>
  <c r="H161" i="144"/>
  <c r="H40" i="144"/>
  <c r="H1441" i="144"/>
  <c r="H199" i="144"/>
  <c r="I199" i="144"/>
  <c r="H989" i="144"/>
  <c r="J989" i="144"/>
  <c r="H255" i="144"/>
  <c r="T255" i="144"/>
  <c r="H1299" i="144"/>
  <c r="H253" i="144"/>
  <c r="H1662" i="144"/>
  <c r="H1677" i="144"/>
  <c r="T1677" i="144"/>
  <c r="H346" i="144"/>
  <c r="H841" i="144"/>
  <c r="H1705" i="144"/>
  <c r="H926" i="144"/>
  <c r="H1140" i="144"/>
  <c r="H1296" i="144"/>
  <c r="H28" i="144"/>
  <c r="J28" i="144"/>
  <c r="H1644" i="144"/>
  <c r="H1736" i="144"/>
  <c r="H1550" i="144"/>
  <c r="H684" i="144"/>
  <c r="H578" i="144"/>
  <c r="H369" i="144"/>
  <c r="H120" i="144"/>
  <c r="H1412" i="144"/>
  <c r="H262" i="144"/>
  <c r="H552" i="144"/>
  <c r="H1385" i="144"/>
  <c r="H749" i="144"/>
  <c r="H218" i="144"/>
  <c r="H1043" i="144"/>
  <c r="H320" i="144"/>
  <c r="H1077" i="144"/>
  <c r="H974" i="144"/>
  <c r="H1547" i="144"/>
  <c r="H302" i="144"/>
  <c r="H1345" i="144"/>
  <c r="H441" i="144"/>
  <c r="H186" i="144"/>
  <c r="H1117" i="144"/>
  <c r="H530" i="144"/>
  <c r="H1584" i="144"/>
  <c r="H885" i="144"/>
  <c r="H1599" i="144"/>
  <c r="H1373" i="144"/>
  <c r="H405" i="144"/>
  <c r="H1115" i="144"/>
  <c r="H859" i="144"/>
  <c r="H249" i="144"/>
  <c r="H250" i="144"/>
  <c r="H773" i="144"/>
  <c r="H1057" i="144"/>
  <c r="H1569" i="144"/>
  <c r="H1582" i="144"/>
  <c r="H1353" i="144"/>
  <c r="H70" i="144"/>
  <c r="H1748" i="144"/>
  <c r="H228" i="144"/>
  <c r="H1136" i="144"/>
  <c r="H1270" i="144"/>
  <c r="H1613" i="144"/>
  <c r="H217" i="144"/>
  <c r="H1292" i="144"/>
  <c r="H871" i="144"/>
  <c r="H1228" i="144"/>
  <c r="H527" i="144"/>
  <c r="H1656" i="144"/>
  <c r="I1656" i="144"/>
  <c r="H146" i="144"/>
  <c r="H437" i="144"/>
  <c r="J437" i="144"/>
  <c r="H744" i="144"/>
  <c r="H295" i="144"/>
  <c r="H998" i="144"/>
  <c r="H1298" i="144"/>
  <c r="H243" i="144"/>
  <c r="H599" i="144"/>
  <c r="H830" i="144"/>
  <c r="H786" i="144"/>
  <c r="H852" i="144"/>
  <c r="H1359" i="144"/>
  <c r="H79" i="144"/>
  <c r="H90" i="144"/>
  <c r="H785" i="144"/>
  <c r="H743" i="144"/>
  <c r="H861" i="144"/>
  <c r="H1544" i="144"/>
  <c r="H1236" i="144"/>
  <c r="H328" i="144"/>
  <c r="H1139" i="144"/>
  <c r="H1223" i="144"/>
  <c r="H370" i="144"/>
  <c r="H1437" i="144"/>
  <c r="H1403" i="144"/>
  <c r="H1180" i="144"/>
  <c r="H1362" i="144"/>
  <c r="H1366" i="144"/>
  <c r="T1366" i="144"/>
  <c r="H618" i="144"/>
  <c r="H1838" i="144"/>
  <c r="H827" i="144"/>
  <c r="H1080" i="144"/>
  <c r="H27" i="144"/>
  <c r="H214" i="144"/>
  <c r="H185" i="144"/>
  <c r="T185" i="144"/>
  <c r="H1123" i="144"/>
  <c r="H1331" i="144"/>
  <c r="H1237" i="144"/>
  <c r="H1003" i="144"/>
  <c r="H1472" i="144"/>
  <c r="H1539" i="144"/>
  <c r="H1056" i="144"/>
  <c r="H1222" i="144"/>
  <c r="H1191" i="144"/>
  <c r="H630" i="144"/>
  <c r="H604" i="144"/>
  <c r="H1103" i="144"/>
  <c r="H1280" i="144"/>
  <c r="H1022" i="144"/>
  <c r="H285" i="144"/>
  <c r="H1382" i="144"/>
  <c r="J1382" i="144"/>
  <c r="H1413" i="144"/>
  <c r="H1545" i="144"/>
  <c r="H1244" i="144"/>
  <c r="J1244" i="144"/>
  <c r="H1324" i="144"/>
  <c r="H608" i="144"/>
  <c r="H1152" i="144"/>
  <c r="H1470" i="144"/>
  <c r="H1459" i="144"/>
  <c r="H290" i="144"/>
  <c r="H1575" i="144"/>
  <c r="H1581" i="144"/>
  <c r="T1581" i="144"/>
  <c r="H1308" i="144"/>
  <c r="H132" i="144"/>
  <c r="H221" i="144"/>
  <c r="T221" i="144"/>
  <c r="H875" i="144"/>
  <c r="T875" i="144"/>
  <c r="H756" i="144"/>
  <c r="H455" i="144"/>
  <c r="I455" i="144"/>
  <c r="H1148" i="144"/>
  <c r="H1860" i="144"/>
  <c r="H977" i="144"/>
  <c r="H348" i="144"/>
  <c r="H469" i="144"/>
  <c r="H1164" i="144"/>
  <c r="H1024" i="144"/>
  <c r="H597" i="144"/>
  <c r="H551" i="144"/>
  <c r="H1519" i="144"/>
  <c r="H1328" i="144"/>
  <c r="H169" i="144"/>
  <c r="H1500" i="144"/>
  <c r="H928" i="144"/>
  <c r="H129" i="144"/>
  <c r="H1204" i="144"/>
  <c r="H1168" i="144"/>
  <c r="H1045" i="144"/>
  <c r="J1045" i="144"/>
  <c r="H589" i="144"/>
  <c r="H603" i="144"/>
  <c r="H1471" i="144"/>
  <c r="H234" i="144"/>
  <c r="H357" i="144"/>
  <c r="H1260" i="144"/>
  <c r="H1699" i="144"/>
  <c r="H641" i="144"/>
  <c r="H1293" i="144"/>
  <c r="H1815" i="144"/>
  <c r="H682" i="144"/>
  <c r="H1190" i="144"/>
  <c r="H1119" i="144"/>
  <c r="I1119" i="144"/>
  <c r="H1361" i="144"/>
  <c r="H51" i="144"/>
  <c r="H748" i="144"/>
  <c r="H1186" i="144"/>
  <c r="H1588" i="144"/>
  <c r="H1660" i="144"/>
  <c r="H210" i="144"/>
  <c r="H46" i="144"/>
  <c r="H12" i="144"/>
  <c r="H1533" i="144"/>
  <c r="H306" i="144"/>
  <c r="H1183" i="144"/>
  <c r="H1490" i="144"/>
  <c r="H1055" i="144"/>
  <c r="H322" i="144"/>
  <c r="H1772" i="144"/>
  <c r="H1783" i="144"/>
  <c r="H1322" i="144"/>
  <c r="H1018" i="144"/>
  <c r="H1262" i="144"/>
  <c r="H192" i="144"/>
  <c r="H179" i="144"/>
  <c r="H815" i="144"/>
  <c r="J815" i="144"/>
  <c r="H114" i="144"/>
  <c r="T114" i="144"/>
  <c r="H899" i="144"/>
  <c r="H1776" i="144"/>
  <c r="H1350" i="144"/>
  <c r="H23" i="144"/>
  <c r="H418" i="144"/>
  <c r="H521" i="144"/>
  <c r="H1213" i="144"/>
  <c r="H1684" i="144"/>
  <c r="H1158" i="144"/>
  <c r="H299" i="144"/>
  <c r="H628" i="144"/>
  <c r="H1023" i="144"/>
  <c r="H1047" i="144"/>
  <c r="H104" i="144"/>
  <c r="H1451" i="144"/>
  <c r="H280" i="144"/>
  <c r="H396" i="144"/>
  <c r="H719" i="144"/>
  <c r="H936" i="144"/>
  <c r="H1540" i="144"/>
  <c r="H456" i="144"/>
  <c r="H572" i="144"/>
  <c r="I572" i="144"/>
  <c r="H1112" i="144"/>
  <c r="H972" i="144"/>
  <c r="I972" i="144"/>
  <c r="H621" i="144"/>
  <c r="H1206" i="144"/>
  <c r="H953" i="144"/>
  <c r="H1725" i="144"/>
  <c r="H1788" i="144"/>
  <c r="H939" i="144"/>
  <c r="H1342" i="144"/>
  <c r="H1477" i="144"/>
  <c r="H499" i="144"/>
  <c r="H590" i="144"/>
  <c r="H868" i="144"/>
  <c r="H1779" i="144"/>
  <c r="H1820" i="144"/>
  <c r="H329" i="144"/>
  <c r="H760" i="144"/>
  <c r="H1567" i="144"/>
  <c r="H575" i="144"/>
  <c r="H1149" i="144"/>
  <c r="T1149" i="144"/>
  <c r="H728" i="144"/>
  <c r="H767" i="144"/>
  <c r="H1009" i="144"/>
  <c r="H1255" i="144"/>
  <c r="H100" i="144"/>
  <c r="H1300" i="144"/>
  <c r="H244" i="144"/>
  <c r="H59" i="144"/>
  <c r="T59" i="144"/>
  <c r="H208" i="144"/>
  <c r="H949" i="144"/>
  <c r="H1532" i="144"/>
  <c r="H1534" i="144"/>
  <c r="H47" i="144"/>
  <c r="T258" i="144"/>
  <c r="J984" i="144"/>
  <c r="T682" i="144"/>
  <c r="J1022" i="144"/>
  <c r="I938" i="144"/>
  <c r="J1118" i="144"/>
  <c r="I568" i="144"/>
  <c r="T1864" i="144"/>
  <c r="I1475" i="144"/>
  <c r="T848" i="144"/>
  <c r="I474" i="144"/>
  <c r="T480" i="144"/>
  <c r="J1681" i="144"/>
  <c r="J1313" i="144"/>
  <c r="I409" i="144"/>
  <c r="I1540" i="144"/>
  <c r="I527" i="144"/>
  <c r="J840" i="144"/>
  <c r="I1217" i="144"/>
  <c r="T1432" i="144"/>
  <c r="J486" i="144"/>
  <c r="T1748" i="144"/>
  <c r="I167" i="144"/>
  <c r="T805" i="144"/>
  <c r="I562" i="144"/>
  <c r="J816" i="144"/>
  <c r="T153" i="144"/>
  <c r="I1407" i="144"/>
  <c r="I1473" i="144"/>
  <c r="T1888" i="144"/>
  <c r="T857" i="144"/>
  <c r="I1744" i="144"/>
  <c r="I1620" i="144"/>
  <c r="I1433" i="144"/>
  <c r="J1845" i="144"/>
  <c r="T361" i="144"/>
  <c r="T1706" i="144"/>
  <c r="J479" i="144"/>
  <c r="J453" i="144"/>
  <c r="J785" i="144"/>
  <c r="T228" i="144"/>
  <c r="T1430" i="144"/>
  <c r="T1419" i="144"/>
  <c r="J1575" i="144"/>
  <c r="J685" i="144"/>
  <c r="J1067" i="144"/>
  <c r="J913" i="144"/>
  <c r="I1064" i="144"/>
  <c r="J506" i="144"/>
  <c r="I1041" i="144"/>
  <c r="J1499" i="144"/>
  <c r="T172" i="144"/>
  <c r="J825" i="144"/>
  <c r="I1778" i="144"/>
  <c r="I1055" i="144"/>
  <c r="I1471" i="144"/>
  <c r="I239" i="144"/>
  <c r="I283" i="144"/>
  <c r="J1887" i="144"/>
  <c r="I782" i="144"/>
  <c r="I52" i="144"/>
  <c r="J1805" i="144"/>
  <c r="I1221" i="144"/>
  <c r="J1765" i="144"/>
  <c r="I1797" i="144"/>
  <c r="T1807" i="144"/>
  <c r="T1725" i="144"/>
  <c r="J1023" i="144"/>
  <c r="I1183" i="144"/>
  <c r="T1186" i="144"/>
  <c r="I1324" i="144"/>
  <c r="J1103" i="144"/>
  <c r="T250" i="144"/>
  <c r="I1092" i="144"/>
  <c r="T1216" i="144"/>
  <c r="I1307" i="144"/>
  <c r="J278" i="144"/>
  <c r="J1071" i="144"/>
  <c r="J265" i="144"/>
  <c r="J1941" i="144"/>
  <c r="T173" i="144"/>
  <c r="J87" i="144"/>
  <c r="J1578" i="144"/>
  <c r="I1257" i="144"/>
  <c r="T641" i="144"/>
  <c r="T530" i="144"/>
  <c r="I956" i="144"/>
  <c r="J705" i="144"/>
  <c r="I1037" i="144"/>
  <c r="I1478" i="144"/>
  <c r="J85" i="144"/>
  <c r="J957" i="144"/>
  <c r="I1919" i="144"/>
  <c r="J1294" i="144"/>
  <c r="I712" i="144"/>
  <c r="T1327" i="144"/>
  <c r="I1533" i="144"/>
  <c r="I79" i="144"/>
  <c r="I998" i="144"/>
  <c r="T859" i="144"/>
  <c r="T253" i="144"/>
  <c r="T54" i="144"/>
  <c r="T1552" i="144"/>
  <c r="T1116" i="144"/>
  <c r="I877" i="144"/>
  <c r="T1259" i="144"/>
  <c r="T732" i="144"/>
  <c r="I547" i="144"/>
  <c r="T964" i="144"/>
  <c r="J336" i="144"/>
  <c r="I460" i="144"/>
  <c r="J1910" i="144"/>
  <c r="I958" i="144"/>
  <c r="I1698" i="144"/>
  <c r="I764" i="144"/>
  <c r="I570" i="144"/>
  <c r="I347" i="144"/>
  <c r="T1771" i="144"/>
  <c r="J1445" i="144"/>
  <c r="T143" i="144"/>
  <c r="J1529" i="144"/>
  <c r="I1759" i="144"/>
  <c r="I222" i="144"/>
  <c r="J1895" i="144"/>
  <c r="J723" i="144"/>
  <c r="I350" i="144"/>
  <c r="I1013" i="144"/>
  <c r="I216" i="144"/>
  <c r="T702" i="144"/>
  <c r="I179" i="144"/>
  <c r="T1660" i="144"/>
  <c r="I58" i="144"/>
  <c r="T1567" i="144"/>
  <c r="J129" i="144"/>
  <c r="T405" i="144"/>
  <c r="J8" i="144"/>
  <c r="J127" i="144"/>
  <c r="I1563" i="144"/>
  <c r="I1029" i="144"/>
  <c r="T156" i="144"/>
  <c r="T1663" i="144"/>
  <c r="T743" i="144"/>
  <c r="I1547" i="144"/>
  <c r="I546" i="144"/>
  <c r="J1159" i="144"/>
  <c r="T1537" i="144"/>
  <c r="J1701" i="144"/>
  <c r="T1160" i="144"/>
  <c r="J651" i="144"/>
  <c r="I93" i="144"/>
  <c r="J680" i="144"/>
  <c r="J1898" i="144"/>
  <c r="T1903" i="144"/>
  <c r="I1920" i="144"/>
  <c r="I1733" i="144"/>
  <c r="J879" i="144"/>
  <c r="T1168" i="144"/>
  <c r="I551" i="144"/>
  <c r="J871" i="144"/>
  <c r="I927" i="144"/>
  <c r="J1126" i="144"/>
  <c r="I836" i="144"/>
  <c r="J1197" i="144"/>
  <c r="T1090" i="144"/>
  <c r="T592" i="144"/>
  <c r="I1640" i="144"/>
  <c r="I1651" i="144"/>
  <c r="T581" i="144"/>
  <c r="T1295" i="144"/>
  <c r="I681" i="144"/>
  <c r="J1151" i="144"/>
  <c r="J1619" i="144"/>
  <c r="J1505" i="144"/>
  <c r="T1495" i="144"/>
  <c r="T42" i="144"/>
  <c r="I1356" i="144"/>
  <c r="J675" i="144"/>
  <c r="T432" i="144"/>
  <c r="J1353" i="144"/>
  <c r="T1448" i="144"/>
  <c r="J1391" i="144"/>
  <c r="I1687" i="144"/>
  <c r="I1595" i="144"/>
  <c r="I95" i="144"/>
  <c r="T880" i="144"/>
  <c r="I33" i="144"/>
  <c r="I1904" i="144"/>
  <c r="I1549" i="144"/>
  <c r="T454" i="144"/>
  <c r="T1791" i="144"/>
  <c r="T1470" i="144"/>
  <c r="J1180" i="144"/>
  <c r="J749" i="144"/>
  <c r="J451" i="144"/>
  <c r="I1930" i="144"/>
  <c r="J1832" i="144"/>
  <c r="T881" i="144"/>
  <c r="T1896" i="144"/>
  <c r="I1263" i="144"/>
  <c r="J436" i="144"/>
  <c r="T884" i="144"/>
  <c r="I1503" i="144"/>
  <c r="T801" i="144"/>
  <c r="T1232" i="144"/>
  <c r="J854" i="144"/>
  <c r="J1490" i="144"/>
  <c r="J1588" i="144"/>
  <c r="T1513" i="144"/>
  <c r="T241" i="144"/>
  <c r="T429" i="144"/>
  <c r="T1600" i="144"/>
  <c r="T450" i="144"/>
  <c r="J1256" i="144"/>
  <c r="J1169" i="144"/>
  <c r="T900" i="144"/>
  <c r="I109" i="144"/>
  <c r="T1852" i="144"/>
  <c r="T637" i="144"/>
  <c r="T953" i="144"/>
  <c r="T1031" i="144"/>
  <c r="J1330" i="144"/>
  <c r="I799" i="144"/>
  <c r="I1018" i="144"/>
  <c r="I1272" i="144"/>
  <c r="T830" i="144"/>
  <c r="I835" i="144"/>
  <c r="T1559" i="144"/>
  <c r="I1290" i="144"/>
  <c r="J418" i="144"/>
  <c r="T132" i="144"/>
  <c r="T1472" i="144"/>
  <c r="I552" i="144"/>
  <c r="J1736" i="144"/>
  <c r="J1690" i="144"/>
  <c r="J140" i="144"/>
  <c r="J482" i="144"/>
  <c r="J1265" i="144"/>
  <c r="I1782" i="144"/>
  <c r="J585" i="144"/>
  <c r="J502" i="144"/>
  <c r="J629" i="144"/>
  <c r="I755" i="144"/>
  <c r="T488" i="144"/>
  <c r="T339" i="144"/>
  <c r="I385" i="144"/>
  <c r="J137" i="144"/>
  <c r="I535" i="144"/>
  <c r="T1337" i="144"/>
  <c r="J1810" i="144"/>
  <c r="J471" i="144"/>
  <c r="T384" i="144"/>
  <c r="T1779" i="144"/>
  <c r="T1262" i="144"/>
  <c r="T827" i="144"/>
  <c r="J1584" i="144"/>
  <c r="T932" i="144"/>
  <c r="T1708" i="144"/>
  <c r="T1498" i="144"/>
  <c r="T1790" i="144"/>
  <c r="I1892" i="144"/>
  <c r="T430" i="144"/>
  <c r="T1371" i="144"/>
  <c r="T1320" i="144"/>
  <c r="I861" i="144"/>
  <c r="J696" i="144"/>
  <c r="I1621" i="144"/>
  <c r="J1113" i="144"/>
  <c r="T492" i="144"/>
  <c r="J1933" i="144"/>
  <c r="T115" i="144"/>
  <c r="I901" i="144"/>
  <c r="I606" i="144"/>
  <c r="I1922" i="144"/>
  <c r="T1781" i="144"/>
  <c r="I1424" i="144"/>
  <c r="I1016" i="144"/>
  <c r="J36" i="144"/>
  <c r="J1570" i="144"/>
  <c r="T573" i="144"/>
  <c r="J1374" i="144"/>
  <c r="T1654" i="144"/>
  <c r="J1207" i="144"/>
  <c r="T990" i="144"/>
  <c r="T1237" i="144"/>
  <c r="J1447" i="144"/>
  <c r="I51" i="144"/>
  <c r="I1215" i="144"/>
  <c r="T1799" i="144"/>
  <c r="I1431" i="144"/>
  <c r="I1370" i="144"/>
  <c r="J1869" i="144"/>
  <c r="T1184" i="144"/>
  <c r="T130" i="144"/>
  <c r="T1120" i="144"/>
  <c r="J1409" i="144"/>
  <c r="I1821" i="144"/>
  <c r="T1539" i="144"/>
  <c r="T996" i="144"/>
  <c r="J583" i="144"/>
  <c r="J1699" i="144"/>
  <c r="T1808" i="144"/>
  <c r="I1783" i="144"/>
  <c r="I421" i="144"/>
  <c r="I1520" i="144"/>
  <c r="I134" i="144"/>
  <c r="J1760" i="144"/>
  <c r="J442" i="144"/>
  <c r="T1062" i="144"/>
  <c r="I1405" i="144"/>
  <c r="I337" i="144"/>
  <c r="I756" i="144"/>
  <c r="J32" i="144"/>
  <c r="T1429" i="144"/>
  <c r="J1196" i="144"/>
  <c r="J669" i="144"/>
  <c r="J158" i="144"/>
  <c r="I462" i="144"/>
  <c r="I1925" i="144"/>
  <c r="I220" i="144"/>
  <c r="T1829" i="144"/>
  <c r="J97" i="144"/>
  <c r="I715" i="144"/>
  <c r="T1664" i="144"/>
  <c r="J456" i="144"/>
  <c r="J1047" i="144"/>
  <c r="I1080" i="144"/>
  <c r="T346" i="144"/>
  <c r="I1502" i="144"/>
  <c r="J440" i="144"/>
  <c r="T1764" i="144"/>
  <c r="J821" i="144"/>
  <c r="J992" i="144"/>
  <c r="I338" i="144"/>
  <c r="J514" i="144"/>
  <c r="J519" i="144"/>
  <c r="J1496" i="144"/>
  <c r="I1717" i="144"/>
  <c r="T1710" i="144"/>
  <c r="J1683" i="144"/>
  <c r="I784" i="144"/>
  <c r="I1944" i="144"/>
  <c r="I1729" i="144"/>
  <c r="T423" i="144"/>
  <c r="T1157" i="144"/>
  <c r="T791" i="144"/>
  <c r="T263" i="144"/>
  <c r="J1757" i="144"/>
  <c r="I1720" i="144"/>
  <c r="T1847" i="144"/>
  <c r="I327" i="144"/>
  <c r="I1589" i="144"/>
  <c r="T1335" i="144"/>
  <c r="I296" i="144"/>
  <c r="T377" i="144"/>
  <c r="T333" i="144"/>
  <c r="I1786" i="144"/>
  <c r="T1772" i="144"/>
  <c r="J852" i="144"/>
  <c r="I435" i="144"/>
  <c r="T1044" i="144"/>
  <c r="J275" i="144"/>
  <c r="T895" i="144"/>
  <c r="J1011" i="144"/>
  <c r="J625" i="144"/>
  <c r="T995" i="144"/>
  <c r="I962" i="144"/>
  <c r="T1065" i="144"/>
  <c r="T270" i="144"/>
  <c r="T692" i="144"/>
  <c r="J1858" i="144"/>
  <c r="J1833" i="144"/>
  <c r="T1020" i="144"/>
  <c r="I684" i="144"/>
  <c r="J1058" i="144"/>
  <c r="T1536" i="144"/>
  <c r="T1843" i="144"/>
  <c r="I50" i="144"/>
  <c r="I890" i="144"/>
  <c r="T1657" i="144"/>
  <c r="I837" i="144"/>
  <c r="I1775" i="144"/>
  <c r="T1500" i="144"/>
  <c r="T391" i="144"/>
  <c r="I509" i="144"/>
  <c r="T1437" i="144"/>
  <c r="T733" i="144"/>
  <c r="J41" i="144"/>
  <c r="J1027" i="144"/>
  <c r="T662" i="144"/>
  <c r="T70" i="144"/>
  <c r="I1488" i="144"/>
  <c r="I646" i="144"/>
  <c r="T360" i="144"/>
  <c r="J354" i="144"/>
  <c r="I553" i="144"/>
  <c r="I1070" i="144"/>
  <c r="J1860" i="144"/>
  <c r="T610" i="144"/>
  <c r="T1224" i="144"/>
  <c r="J746" i="144"/>
  <c r="J1117" i="144"/>
  <c r="T396" i="144"/>
  <c r="T1191" i="144"/>
  <c r="I328" i="144"/>
  <c r="T1299" i="144"/>
  <c r="J1222" i="144"/>
  <c r="I1527" i="144"/>
  <c r="T1422" i="144"/>
  <c r="T1038" i="144"/>
  <c r="J1130" i="144"/>
  <c r="T1631" i="144"/>
  <c r="T1894" i="144"/>
  <c r="I1024" i="144"/>
  <c r="J855" i="144"/>
  <c r="J1121" i="144"/>
  <c r="I819" i="144"/>
  <c r="I353" i="144"/>
  <c r="T162" i="144"/>
  <c r="I987" i="144"/>
  <c r="I1507" i="144"/>
  <c r="J1714" i="144"/>
  <c r="T1453" i="144"/>
  <c r="J1609" i="144"/>
  <c r="T408" i="144"/>
  <c r="J1274" i="144"/>
  <c r="I851" i="144"/>
  <c r="J1051" i="144"/>
  <c r="J1387" i="144"/>
  <c r="I1484" i="144"/>
  <c r="T826" i="144"/>
  <c r="T671" i="144"/>
  <c r="I1109" i="144"/>
  <c r="J1697" i="144"/>
  <c r="J748" i="144"/>
  <c r="I90" i="144"/>
  <c r="T1572" i="144"/>
  <c r="J883" i="144"/>
  <c r="I504" i="144"/>
  <c r="J1390" i="144"/>
  <c r="I1715" i="144"/>
  <c r="T80" i="144"/>
  <c r="J882" i="144"/>
  <c r="I1882" i="144"/>
  <c r="I92" i="144"/>
  <c r="J1928" i="144"/>
  <c r="J200" i="144"/>
  <c r="J936" i="144"/>
  <c r="T1439" i="144"/>
  <c r="J1145" i="144"/>
  <c r="J728" i="144"/>
  <c r="J575" i="144"/>
  <c r="T621" i="144"/>
  <c r="J1158" i="144"/>
  <c r="T12" i="144"/>
  <c r="I1260" i="144"/>
  <c r="T1413" i="144"/>
  <c r="I747" i="144"/>
  <c r="J20" i="144"/>
  <c r="T981" i="144"/>
  <c r="J657" i="144"/>
  <c r="I1737" i="144"/>
  <c r="I1003" i="144"/>
  <c r="I370" i="144"/>
  <c r="I1063" i="144"/>
  <c r="I811" i="144"/>
  <c r="J1577" i="144"/>
  <c r="J1302" i="144"/>
  <c r="T1187" i="144"/>
  <c r="I364" i="144"/>
  <c r="I1784" i="144"/>
  <c r="I118" i="144"/>
  <c r="I1583" i="144"/>
  <c r="T495" i="144"/>
  <c r="T1886" i="144"/>
  <c r="J727" i="144"/>
  <c r="I1367" i="144"/>
  <c r="I1417" i="144"/>
  <c r="I209" i="144"/>
  <c r="I208" i="144"/>
  <c r="I868" i="144"/>
  <c r="T628" i="144"/>
  <c r="I1350" i="144"/>
  <c r="I306" i="144"/>
  <c r="I249" i="144"/>
  <c r="J1412" i="144"/>
  <c r="I942" i="144"/>
  <c r="I125" i="144"/>
  <c r="I159" i="144"/>
  <c r="I1642" i="144"/>
  <c r="I1460" i="144"/>
  <c r="J117" i="144"/>
  <c r="I1241" i="144"/>
  <c r="J1689" i="144"/>
  <c r="J1773" i="144"/>
  <c r="T470" i="144"/>
  <c r="J1364" i="144"/>
  <c r="J1841" i="144"/>
  <c r="J655" i="144"/>
  <c r="I499" i="144"/>
  <c r="T1204" i="144"/>
  <c r="I295" i="144"/>
  <c r="I1043" i="144"/>
  <c r="I369" i="144"/>
  <c r="J108" i="144"/>
  <c r="T763" i="144"/>
  <c r="T135" i="144"/>
  <c r="T1173" i="144"/>
  <c r="T30" i="144"/>
  <c r="J64" i="144"/>
  <c r="I914" i="144"/>
  <c r="T1002" i="144"/>
  <c r="J1617" i="144"/>
  <c r="T1214" i="144"/>
  <c r="J1738" i="144"/>
  <c r="J1026" i="144"/>
  <c r="J1354" i="144"/>
  <c r="I1580" i="144"/>
  <c r="T365" i="144"/>
  <c r="J38" i="144"/>
  <c r="J46" i="144"/>
  <c r="J217" i="144"/>
  <c r="J1110" i="144"/>
  <c r="T1614" i="144"/>
  <c r="J312" i="144"/>
  <c r="I912" i="144"/>
  <c r="I595" i="144"/>
  <c r="I1469" i="144"/>
  <c r="J1934" i="144"/>
  <c r="I1629" i="144"/>
  <c r="I1885" i="144"/>
  <c r="I809" i="144"/>
  <c r="T489" i="144"/>
  <c r="J1185" i="144"/>
  <c r="I47" i="144"/>
  <c r="T322" i="144"/>
  <c r="J928" i="144"/>
  <c r="I1613" i="144"/>
  <c r="T1515" i="144"/>
  <c r="T1751" i="144"/>
  <c r="J1163" i="144"/>
  <c r="I457" i="144"/>
  <c r="T1926" i="144"/>
  <c r="J909" i="144"/>
  <c r="J842" i="144"/>
  <c r="J366" i="144"/>
  <c r="I1820" i="144"/>
  <c r="I1788" i="144"/>
  <c r="T599" i="144"/>
  <c r="I773" i="144"/>
  <c r="T1410" i="144"/>
  <c r="J1150" i="144"/>
  <c r="T1800" i="144"/>
  <c r="T1556" i="144"/>
  <c r="T795" i="144"/>
  <c r="T10" i="144"/>
  <c r="J672" i="144"/>
  <c r="J754" i="144"/>
  <c r="I1425" i="144"/>
  <c r="I57" i="144"/>
  <c r="T1793" i="144"/>
  <c r="T1328" i="144"/>
  <c r="I977" i="144"/>
  <c r="T424" i="144"/>
  <c r="J1555" i="144"/>
  <c r="I245" i="144"/>
  <c r="I1032" i="144"/>
  <c r="J1156" i="144"/>
  <c r="I917" i="144"/>
  <c r="I623" i="144"/>
  <c r="J596" i="144"/>
  <c r="J584" i="144"/>
  <c r="J150" i="144"/>
  <c r="I1389" i="144"/>
  <c r="J1486" i="144"/>
  <c r="T1167" i="144"/>
  <c r="T165" i="144"/>
  <c r="J1917" i="144"/>
  <c r="T1531" i="144"/>
  <c r="T979" i="144"/>
  <c r="I1406" i="144"/>
  <c r="I892" i="144"/>
  <c r="I529" i="144"/>
  <c r="J973" i="144"/>
  <c r="I1211" i="144"/>
  <c r="T1535" i="144"/>
  <c r="J1766" i="144"/>
  <c r="T1845" i="144"/>
  <c r="I1193" i="144"/>
  <c r="T1200" i="144"/>
  <c r="J878" i="144"/>
  <c r="T1819" i="144"/>
  <c r="T1585" i="144"/>
  <c r="I293" i="144"/>
  <c r="T656" i="144"/>
  <c r="J1283" i="144"/>
  <c r="I22" i="144"/>
  <c r="T1115" i="144"/>
  <c r="T186" i="144"/>
  <c r="T1210" i="144"/>
  <c r="I863" i="144"/>
  <c r="T1494" i="144"/>
  <c r="I617" i="144"/>
  <c r="J905" i="144"/>
  <c r="I1225" i="144"/>
  <c r="T1251" i="144"/>
  <c r="I741" i="144"/>
  <c r="J1146" i="144"/>
  <c r="I1281" i="144"/>
  <c r="I750" i="144"/>
  <c r="I357" i="144"/>
  <c r="I1459" i="144"/>
  <c r="J1362" i="144"/>
  <c r="J744" i="144"/>
  <c r="T1636" i="144"/>
  <c r="J701" i="144"/>
  <c r="I1384" i="144"/>
  <c r="I463" i="144"/>
  <c r="J61" i="144"/>
  <c r="I1318" i="144"/>
  <c r="J1069" i="144"/>
  <c r="J1053" i="144"/>
  <c r="J967" i="144"/>
  <c r="T524" i="144"/>
  <c r="I1730" i="144"/>
  <c r="T1078" i="144"/>
  <c r="T1859" i="144"/>
  <c r="T860" i="144"/>
  <c r="I612" i="144"/>
  <c r="T1139" i="144"/>
  <c r="I1269" i="144"/>
  <c r="I742" i="144"/>
  <c r="T1182" i="144"/>
  <c r="I688" i="144"/>
  <c r="I1300" i="144"/>
  <c r="T1451" i="144"/>
  <c r="J1190" i="144"/>
  <c r="J1164" i="144"/>
  <c r="J1096" i="144"/>
  <c r="I1137" i="144"/>
  <c r="J207" i="144"/>
  <c r="J1291" i="144"/>
  <c r="I522" i="144"/>
  <c r="I1176" i="144"/>
  <c r="J520" i="144"/>
  <c r="T1414" i="144"/>
  <c r="T203" i="144"/>
  <c r="J86" i="144"/>
  <c r="T1913" i="144"/>
  <c r="J395" i="144"/>
  <c r="T1628" i="144"/>
  <c r="J1945" i="144"/>
  <c r="T1709" i="144"/>
  <c r="J1591" i="144"/>
  <c r="J1911" i="144"/>
  <c r="T141" i="144"/>
  <c r="I1658" i="144"/>
  <c r="T843" i="144"/>
  <c r="I1206" i="144"/>
  <c r="T166" i="144"/>
  <c r="T1534" i="144"/>
  <c r="T329" i="144"/>
  <c r="J104" i="144"/>
  <c r="I1234" i="144"/>
  <c r="J282" i="144"/>
  <c r="J889" i="144"/>
  <c r="T1604" i="144"/>
  <c r="T74" i="144"/>
  <c r="I954" i="144"/>
  <c r="J951" i="144"/>
  <c r="I787" i="144"/>
  <c r="T1050" i="144"/>
  <c r="J1360" i="144"/>
  <c r="J1875" i="144"/>
  <c r="T1606" i="144"/>
  <c r="T458" i="144"/>
  <c r="T387" i="144"/>
  <c r="J148" i="144"/>
  <c r="I872" i="144"/>
  <c r="T546" i="144"/>
  <c r="J202" i="144"/>
  <c r="T434" i="144"/>
  <c r="J1844" i="144"/>
  <c r="J1615" i="144"/>
  <c r="T947" i="144"/>
  <c r="I714" i="144"/>
  <c r="J1321" i="144"/>
  <c r="T1361" i="144"/>
  <c r="I1308" i="144"/>
  <c r="T212" i="144"/>
  <c r="J667" i="144"/>
  <c r="T736" i="144"/>
  <c r="T1861" i="144"/>
  <c r="J1441" i="144"/>
  <c r="J1711" i="144"/>
  <c r="J1116" i="144"/>
  <c r="T1623" i="144"/>
  <c r="I1116" i="144"/>
  <c r="J1940" i="144"/>
  <c r="J15" i="144"/>
  <c r="T1561" i="144"/>
  <c r="T939" i="144"/>
  <c r="T1150" i="144"/>
  <c r="I1940" i="144"/>
  <c r="T773" i="144"/>
  <c r="T1592" i="144"/>
  <c r="T1244" i="144"/>
  <c r="I702" i="144"/>
  <c r="I1185" i="144"/>
  <c r="T756" i="144"/>
  <c r="I1315" i="144"/>
  <c r="I743" i="144"/>
  <c r="I1793" i="144"/>
  <c r="I1903" i="144"/>
  <c r="J459" i="144"/>
  <c r="T1582" i="144"/>
  <c r="J1854" i="144"/>
  <c r="T923" i="144"/>
  <c r="I1254" i="144"/>
  <c r="I689" i="144"/>
  <c r="T742" i="144"/>
  <c r="J1241" i="144"/>
  <c r="T928" i="144"/>
  <c r="J90" i="144"/>
  <c r="T1621" i="144"/>
  <c r="J1315" i="144"/>
  <c r="T249" i="144"/>
  <c r="J1277" i="144"/>
  <c r="I339" i="144"/>
  <c r="J166" i="144"/>
  <c r="T967" i="144"/>
  <c r="T589" i="144"/>
  <c r="T1416" i="144"/>
  <c r="J1339" i="144"/>
  <c r="I166" i="144"/>
  <c r="J283" i="144"/>
  <c r="I967" i="144"/>
  <c r="I217" i="144"/>
  <c r="J161" i="144"/>
  <c r="T747" i="144"/>
  <c r="T1455" i="144"/>
  <c r="I1577" i="144"/>
  <c r="J1345" i="144"/>
  <c r="T140" i="144"/>
  <c r="J688" i="144"/>
  <c r="I185" i="144"/>
  <c r="T1169" i="144"/>
  <c r="T672" i="144"/>
  <c r="J1838" i="144"/>
  <c r="I1815" i="144"/>
  <c r="I928" i="144"/>
  <c r="J745" i="144"/>
  <c r="J756" i="144"/>
  <c r="T785" i="144"/>
  <c r="T942" i="144"/>
  <c r="T159" i="144"/>
  <c r="T962" i="144"/>
  <c r="I1760" i="144"/>
  <c r="J377" i="144"/>
  <c r="I86" i="144"/>
  <c r="T575" i="144"/>
  <c r="I1045" i="144"/>
  <c r="I599" i="144"/>
  <c r="I744" i="144"/>
  <c r="T217" i="144"/>
  <c r="J773" i="144"/>
  <c r="I639" i="144"/>
  <c r="T514" i="144"/>
  <c r="I520" i="144"/>
  <c r="I135" i="144"/>
  <c r="T516" i="144"/>
  <c r="T1760" i="144"/>
  <c r="J1658" i="144"/>
  <c r="T619" i="144"/>
  <c r="J388" i="144"/>
  <c r="I1776" i="144"/>
  <c r="J100" i="144"/>
  <c r="I1236" i="144"/>
  <c r="J599" i="144"/>
  <c r="T1736" i="144"/>
  <c r="J610" i="144"/>
  <c r="I1067" i="144"/>
  <c r="J1713" i="144"/>
  <c r="T520" i="144"/>
  <c r="I1004" i="144"/>
  <c r="T1583" i="144"/>
  <c r="J1604" i="144"/>
  <c r="T1519" i="144"/>
  <c r="I794" i="144"/>
  <c r="J1622" i="144"/>
  <c r="I888" i="144"/>
  <c r="I1690" i="144"/>
  <c r="I21" i="144"/>
  <c r="T1342" i="144"/>
  <c r="J322" i="144"/>
  <c r="J210" i="144"/>
  <c r="I1736" i="144"/>
  <c r="J742" i="144"/>
  <c r="T1700" i="144"/>
  <c r="J1259" i="144"/>
  <c r="T1715" i="144"/>
  <c r="J1064" i="144"/>
  <c r="T506" i="144"/>
  <c r="I519" i="144"/>
  <c r="J998" i="144"/>
  <c r="J1677" i="144"/>
  <c r="I716" i="144"/>
  <c r="T1538" i="144"/>
  <c r="J1774" i="144"/>
  <c r="J21" i="144"/>
  <c r="J295" i="144"/>
  <c r="T1043" i="144"/>
  <c r="I424" i="144"/>
  <c r="J1210" i="144"/>
  <c r="J1502" i="144"/>
  <c r="T1527" i="144"/>
  <c r="I1410" i="144"/>
  <c r="I1536" i="144"/>
  <c r="I433" i="144"/>
  <c r="I1391" i="144"/>
  <c r="T383" i="144"/>
  <c r="J385" i="144"/>
  <c r="I1256" i="144"/>
  <c r="T954" i="144"/>
  <c r="T1318" i="144"/>
  <c r="J80" i="144"/>
  <c r="T957" i="144"/>
  <c r="I1121" i="144"/>
  <c r="T1041" i="144"/>
  <c r="J462" i="144"/>
  <c r="J1889" i="144"/>
  <c r="I1631" i="144"/>
  <c r="T1875" i="144"/>
  <c r="J94" i="144"/>
  <c r="T368" i="144"/>
  <c r="J822" i="144"/>
  <c r="I1592" i="144"/>
  <c r="J932" i="144"/>
  <c r="T562" i="144"/>
  <c r="T1460" i="144"/>
  <c r="J401" i="144"/>
  <c r="T1256" i="144"/>
  <c r="T204" i="144"/>
  <c r="I1628" i="144"/>
  <c r="T1121" i="144"/>
  <c r="J1903" i="144"/>
  <c r="T1889" i="144"/>
  <c r="I645" i="144"/>
  <c r="J369" i="144"/>
  <c r="I1126" i="144"/>
  <c r="T109" i="144"/>
  <c r="T685" i="144"/>
  <c r="T338" i="144"/>
  <c r="J990" i="144"/>
  <c r="T913" i="144"/>
  <c r="J203" i="144"/>
  <c r="J1460" i="144"/>
  <c r="T401" i="144"/>
  <c r="J1628" i="144"/>
  <c r="J1556" i="144"/>
  <c r="J848" i="144"/>
  <c r="T545" i="144"/>
  <c r="I587" i="144"/>
  <c r="T1473" i="144"/>
  <c r="T100" i="144"/>
  <c r="I469" i="144"/>
  <c r="T369" i="144"/>
  <c r="T840" i="144"/>
  <c r="T1096" i="144"/>
  <c r="J109" i="144"/>
  <c r="T855" i="144"/>
  <c r="I583" i="144"/>
  <c r="T504" i="144"/>
  <c r="J457" i="144"/>
  <c r="I848" i="144"/>
  <c r="I1025" i="144"/>
  <c r="I621" i="144"/>
  <c r="I1772" i="144"/>
  <c r="T90" i="144"/>
  <c r="T998" i="144"/>
  <c r="J552" i="144"/>
  <c r="I1677" i="144"/>
  <c r="I440" i="144"/>
  <c r="J1793" i="144"/>
  <c r="T240" i="144"/>
  <c r="I388" i="144"/>
  <c r="I203" i="144"/>
  <c r="T93" i="144"/>
  <c r="T1930" i="144"/>
  <c r="I1050" i="144"/>
  <c r="J495" i="144"/>
  <c r="I1933" i="144"/>
  <c r="J429" i="144"/>
  <c r="I1320" i="144"/>
  <c r="T209" i="144"/>
  <c r="I215" i="144"/>
  <c r="I1204" i="144"/>
  <c r="T552" i="144"/>
  <c r="T1502" i="144"/>
  <c r="J1536" i="144"/>
  <c r="I488" i="144"/>
  <c r="T1391" i="144"/>
  <c r="J617" i="144"/>
  <c r="T1486" i="144"/>
  <c r="T1387" i="144"/>
  <c r="I1875" i="144"/>
  <c r="I1505" i="144"/>
  <c r="I1378" i="144"/>
  <c r="T1183" i="144"/>
  <c r="I1237" i="144"/>
  <c r="T1362" i="144"/>
  <c r="I830" i="144"/>
  <c r="I108" i="144"/>
  <c r="J1552" i="144"/>
  <c r="J1614" i="144"/>
  <c r="J1642" i="144"/>
  <c r="I1494" i="144"/>
  <c r="J1410" i="144"/>
  <c r="T1577" i="144"/>
  <c r="T992" i="144"/>
  <c r="T52" i="144"/>
  <c r="J338" i="144"/>
  <c r="T583" i="144"/>
  <c r="T835" i="144"/>
  <c r="T1554" i="144"/>
  <c r="J1429" i="144"/>
  <c r="J1092" i="144"/>
  <c r="T889" i="144"/>
  <c r="J1176" i="144"/>
  <c r="J562" i="144"/>
  <c r="J74" i="144"/>
  <c r="J1930" i="144"/>
  <c r="T973" i="144"/>
  <c r="J1295" i="144"/>
  <c r="J1531" i="144"/>
  <c r="I1360" i="144"/>
  <c r="T1733" i="144"/>
  <c r="J602" i="144"/>
  <c r="I279" i="144"/>
  <c r="I876" i="144"/>
  <c r="J1204" i="144"/>
  <c r="I1222" i="144"/>
  <c r="I827" i="144"/>
  <c r="J830" i="144"/>
  <c r="I70" i="144"/>
  <c r="I1115" i="144"/>
  <c r="J186" i="144"/>
  <c r="I1412" i="144"/>
  <c r="T956" i="144"/>
  <c r="I1323" i="144"/>
  <c r="J863" i="144"/>
  <c r="T811" i="144"/>
  <c r="I1552" i="144"/>
  <c r="J1032" i="144"/>
  <c r="I1764" i="144"/>
  <c r="I605" i="144"/>
  <c r="T1520" i="144"/>
  <c r="J52" i="144"/>
  <c r="I391" i="144"/>
  <c r="I746" i="144"/>
  <c r="T1716" i="144"/>
  <c r="J1621" i="144"/>
  <c r="T522" i="144"/>
  <c r="I656" i="144"/>
  <c r="J1414" i="144"/>
  <c r="J258" i="144"/>
  <c r="T1064" i="144"/>
  <c r="I1531" i="144"/>
  <c r="I495" i="144"/>
  <c r="T1360" i="144"/>
  <c r="J1311" i="144"/>
  <c r="T1734" i="144"/>
  <c r="I429" i="144"/>
  <c r="I1845" i="144"/>
  <c r="T350" i="144"/>
  <c r="J702" i="144"/>
  <c r="T949" i="144"/>
  <c r="I808" i="144"/>
  <c r="T1579" i="144"/>
  <c r="J1260" i="144"/>
  <c r="T1045" i="144"/>
  <c r="T1838" i="144"/>
  <c r="J527" i="144"/>
  <c r="I186" i="144"/>
  <c r="I255" i="144"/>
  <c r="T239" i="144"/>
  <c r="J1269" i="144"/>
  <c r="T1126" i="144"/>
  <c r="T1323" i="144"/>
  <c r="J938" i="144"/>
  <c r="T863" i="144"/>
  <c r="J811" i="144"/>
  <c r="I932" i="144"/>
  <c r="J1751" i="144"/>
  <c r="J763" i="144"/>
  <c r="J1808" i="144"/>
  <c r="I115" i="144"/>
  <c r="T1163" i="144"/>
  <c r="I1572" i="144"/>
  <c r="I1058" i="144"/>
  <c r="J1520" i="144"/>
  <c r="T167" i="144"/>
  <c r="T696" i="144"/>
  <c r="I805" i="144"/>
  <c r="J391" i="144"/>
  <c r="J1716" i="144"/>
  <c r="J826" i="144"/>
  <c r="J240" i="144"/>
  <c r="J656" i="144"/>
  <c r="I1414" i="144"/>
  <c r="T1006" i="144"/>
  <c r="I1216" i="144"/>
  <c r="J1029" i="144"/>
  <c r="T1053" i="144"/>
  <c r="J1498" i="144"/>
  <c r="I158" i="144"/>
  <c r="I566" i="144"/>
  <c r="I1747" i="144"/>
  <c r="J370" i="144"/>
  <c r="J1043" i="144"/>
  <c r="J1453" i="144"/>
  <c r="I1447" i="144"/>
  <c r="I1163" i="144"/>
  <c r="J1572" i="144"/>
  <c r="I696" i="144"/>
  <c r="J1037" i="144"/>
  <c r="I1339" i="144"/>
  <c r="I1259" i="144"/>
  <c r="J135" i="144"/>
  <c r="T61" i="144"/>
  <c r="J296" i="144"/>
  <c r="J732" i="144"/>
  <c r="J93" i="144"/>
  <c r="J1216" i="144"/>
  <c r="J1715" i="144"/>
  <c r="T1832" i="144"/>
  <c r="J92" i="144"/>
  <c r="T1922" i="144"/>
  <c r="J566" i="144"/>
  <c r="I173" i="144"/>
  <c r="I94" i="144"/>
  <c r="I1706" i="144"/>
  <c r="J499" i="144"/>
  <c r="J1237" i="144"/>
  <c r="I1362" i="144"/>
  <c r="T199" i="144"/>
  <c r="J1435" i="144"/>
  <c r="I1515" i="144"/>
  <c r="J981" i="144"/>
  <c r="T417" i="144"/>
  <c r="T1037" i="144"/>
  <c r="J835" i="144"/>
  <c r="I1429" i="144"/>
  <c r="T1092" i="144"/>
  <c r="I61" i="144"/>
  <c r="J1843" i="144"/>
  <c r="T22" i="144"/>
  <c r="T78" i="144"/>
  <c r="I602" i="144"/>
  <c r="T279" i="144"/>
  <c r="I355" i="144"/>
  <c r="J355" i="144"/>
  <c r="T237" i="144"/>
  <c r="J237" i="144"/>
  <c r="T556" i="144"/>
  <c r="I556" i="144"/>
  <c r="J556" i="144"/>
  <c r="I775" i="144"/>
  <c r="J775" i="144"/>
  <c r="J1206" i="144"/>
  <c r="T1260" i="144"/>
  <c r="T1024" i="144"/>
  <c r="T1324" i="144"/>
  <c r="I1539" i="144"/>
  <c r="I146" i="144"/>
  <c r="J146" i="144"/>
  <c r="T146" i="144"/>
  <c r="J1436" i="144"/>
  <c r="T1436" i="144"/>
  <c r="I1436" i="144"/>
  <c r="J386" i="144"/>
  <c r="T386" i="144"/>
  <c r="I386" i="144"/>
  <c r="J1014" i="144"/>
  <c r="I1014" i="144"/>
  <c r="T1014" i="144"/>
  <c r="T233" i="144"/>
  <c r="J233" i="144"/>
  <c r="I233" i="144"/>
  <c r="T1946" i="144"/>
  <c r="I1946" i="144"/>
  <c r="J1946" i="144"/>
  <c r="I114" i="144"/>
  <c r="T748" i="144"/>
  <c r="J1783" i="144"/>
  <c r="J1471" i="144"/>
  <c r="I575" i="144"/>
  <c r="J939" i="144"/>
  <c r="J1772" i="144"/>
  <c r="J1183" i="144"/>
  <c r="I12" i="144"/>
  <c r="T1588" i="144"/>
  <c r="J1361" i="144"/>
  <c r="T1815" i="144"/>
  <c r="J1500" i="144"/>
  <c r="I1244" i="144"/>
  <c r="T1222" i="144"/>
  <c r="J185" i="144"/>
  <c r="I1403" i="144"/>
  <c r="J1403" i="144"/>
  <c r="I1612" i="144"/>
  <c r="T1612" i="144"/>
  <c r="I894" i="144"/>
  <c r="J894" i="144"/>
  <c r="J920" i="144"/>
  <c r="I920" i="144"/>
  <c r="T920" i="144"/>
  <c r="J238" i="144"/>
  <c r="I238" i="144"/>
  <c r="J797" i="144"/>
  <c r="I797" i="144"/>
  <c r="T797" i="144"/>
  <c r="J1533" i="144"/>
  <c r="T46" i="144"/>
  <c r="I1186" i="144"/>
  <c r="J1003" i="144"/>
  <c r="I1373" i="144"/>
  <c r="J1373" i="144"/>
  <c r="T1373" i="144"/>
  <c r="I1021" i="144"/>
  <c r="T1021" i="144"/>
  <c r="J1646" i="144"/>
  <c r="I1646" i="144"/>
  <c r="T1646" i="144"/>
  <c r="I1731" i="144"/>
  <c r="J1731" i="144"/>
  <c r="T1731" i="144"/>
  <c r="I235" i="144"/>
  <c r="J235" i="144"/>
  <c r="T235" i="144"/>
  <c r="J1242" i="144"/>
  <c r="T1242" i="144"/>
  <c r="T1074" i="144"/>
  <c r="J1074" i="144"/>
  <c r="I1074" i="144"/>
  <c r="I802" i="144"/>
  <c r="I1359" i="144"/>
  <c r="T1359" i="144"/>
  <c r="J1359" i="144"/>
  <c r="I1824" i="144"/>
  <c r="J1824" i="144"/>
  <c r="J614" i="144"/>
  <c r="T614" i="144"/>
  <c r="J1198" i="144"/>
  <c r="I1198" i="144"/>
  <c r="T1198" i="144"/>
  <c r="I144" i="144"/>
  <c r="T144" i="144"/>
  <c r="J1493" i="144"/>
  <c r="T1493" i="144"/>
  <c r="T1382" i="144"/>
  <c r="I46" i="144"/>
  <c r="T1119" i="144"/>
  <c r="I1103" i="144"/>
  <c r="J1264" i="144"/>
  <c r="I1264" i="144"/>
  <c r="I965" i="144"/>
  <c r="J965" i="144"/>
  <c r="T965" i="144"/>
  <c r="I770" i="144"/>
  <c r="J770" i="144"/>
  <c r="T770" i="144"/>
  <c r="J223" i="144"/>
  <c r="I223" i="144"/>
  <c r="T298" i="144"/>
  <c r="I298" i="144"/>
  <c r="T1516" i="144"/>
  <c r="I1516" i="144"/>
  <c r="I1336" i="144"/>
  <c r="T1336" i="144"/>
  <c r="I456" i="144"/>
  <c r="T1471" i="144"/>
  <c r="J1539" i="144"/>
  <c r="T1788" i="144"/>
  <c r="J1262" i="144"/>
  <c r="J1186" i="144"/>
  <c r="I949" i="144"/>
  <c r="T1158" i="144"/>
  <c r="I748" i="144"/>
  <c r="I1190" i="144"/>
  <c r="I221" i="144"/>
  <c r="T1103" i="144"/>
  <c r="J1569" i="144"/>
  <c r="I1569" i="144"/>
  <c r="T1345" i="144"/>
  <c r="J1028" i="144"/>
  <c r="T1028" i="144"/>
  <c r="T319" i="144"/>
  <c r="I319" i="144"/>
  <c r="J319" i="144"/>
  <c r="I1076" i="144"/>
  <c r="T1420" i="144"/>
  <c r="I1066" i="144"/>
  <c r="I426" i="144"/>
  <c r="I1068" i="144"/>
  <c r="T1512" i="144"/>
  <c r="T469" i="144"/>
  <c r="I1134" i="144"/>
  <c r="J345" i="144"/>
  <c r="J1243" i="144"/>
  <c r="I1762" i="144"/>
  <c r="I1935" i="144"/>
  <c r="I823" i="144"/>
  <c r="I1504" i="144"/>
  <c r="J1239" i="144"/>
  <c r="I1593" i="144"/>
  <c r="I526" i="144"/>
  <c r="J1135" i="144"/>
  <c r="T340" i="144"/>
  <c r="J512" i="144"/>
  <c r="T1466" i="144"/>
  <c r="T1088" i="144"/>
  <c r="I580" i="144"/>
  <c r="J693" i="144"/>
  <c r="T334" i="144"/>
  <c r="T1703" i="144"/>
  <c r="J62" i="144"/>
  <c r="I664" i="144"/>
  <c r="J1547" i="144"/>
  <c r="J504" i="144"/>
  <c r="I383" i="144"/>
  <c r="J1050" i="144"/>
  <c r="T1370" i="144"/>
  <c r="I1071" i="144"/>
  <c r="T462" i="144"/>
  <c r="I795" i="144"/>
  <c r="J606" i="144"/>
  <c r="J1733" i="144"/>
  <c r="J1440" i="144"/>
  <c r="J33" i="144"/>
  <c r="J860" i="144"/>
  <c r="J857" i="144"/>
  <c r="T1425" i="144"/>
  <c r="T393" i="144"/>
  <c r="J1574" i="144"/>
  <c r="I352" i="144"/>
  <c r="J142" i="144"/>
  <c r="I1489" i="144"/>
  <c r="T803" i="144"/>
  <c r="T1298" i="144"/>
  <c r="J1012" i="144"/>
  <c r="J1267" i="144"/>
  <c r="T1288" i="144"/>
  <c r="T1329" i="144"/>
  <c r="T1576" i="144"/>
  <c r="I603" i="144"/>
  <c r="J290" i="144"/>
  <c r="I285" i="144"/>
  <c r="J738" i="144"/>
  <c r="J1474" i="144"/>
  <c r="T720" i="144"/>
  <c r="J1523" i="144"/>
  <c r="T1867" i="144"/>
  <c r="T23" i="144"/>
  <c r="I124" i="144"/>
  <c r="I1430" i="144"/>
  <c r="J115" i="144"/>
  <c r="I1422" i="144"/>
  <c r="I996" i="144"/>
  <c r="I610" i="144"/>
  <c r="I701" i="144"/>
  <c r="T1291" i="144"/>
  <c r="I484" i="144"/>
  <c r="T746" i="144"/>
  <c r="T625" i="144"/>
  <c r="T1281" i="144"/>
  <c r="I1843" i="144"/>
  <c r="I1486" i="144"/>
  <c r="J962" i="144"/>
  <c r="J1120" i="144"/>
  <c r="J861" i="144"/>
  <c r="T852" i="144"/>
  <c r="T1547" i="144"/>
  <c r="I253" i="144"/>
  <c r="J199" i="144"/>
  <c r="J997" i="144"/>
  <c r="I312" i="144"/>
  <c r="T1156" i="144"/>
  <c r="T1447" i="144"/>
  <c r="J996" i="144"/>
  <c r="I1150" i="144"/>
  <c r="J1182" i="144"/>
  <c r="I1160" i="144"/>
  <c r="T296" i="144"/>
  <c r="J1370" i="144"/>
  <c r="T1071" i="144"/>
  <c r="J1049" i="144"/>
  <c r="T606" i="144"/>
  <c r="J1925" i="144"/>
  <c r="J1631" i="144"/>
  <c r="J1473" i="144"/>
  <c r="J1507" i="144"/>
  <c r="I423" i="144"/>
  <c r="I1440" i="144"/>
  <c r="T33" i="144"/>
  <c r="J1109" i="144"/>
  <c r="I842" i="144"/>
  <c r="I860" i="144"/>
  <c r="T754" i="144"/>
  <c r="J1425" i="144"/>
  <c r="J42" i="144"/>
  <c r="T861" i="144"/>
  <c r="J253" i="144"/>
  <c r="J808" i="144"/>
  <c r="J1044" i="144"/>
  <c r="I705" i="144"/>
  <c r="T1207" i="144"/>
  <c r="I1224" i="144"/>
  <c r="J605" i="144"/>
  <c r="I1291" i="144"/>
  <c r="I990" i="144"/>
  <c r="J1006" i="144"/>
  <c r="I913" i="144"/>
  <c r="J438" i="144"/>
  <c r="I80" i="144"/>
  <c r="J743" i="144"/>
  <c r="T1412" i="144"/>
  <c r="I346" i="144"/>
  <c r="J956" i="144"/>
  <c r="T687" i="144"/>
  <c r="I840" i="144"/>
  <c r="I1096" i="144"/>
  <c r="I685" i="144"/>
  <c r="I140" i="144"/>
  <c r="J747" i="144"/>
  <c r="J1537" i="144"/>
  <c r="J1764" i="144"/>
  <c r="T821" i="144"/>
  <c r="J805" i="144"/>
  <c r="J433" i="144"/>
  <c r="I1182" i="144"/>
  <c r="J1160" i="144"/>
  <c r="I514" i="144"/>
  <c r="T283" i="144"/>
  <c r="J912" i="144"/>
  <c r="T486" i="144"/>
  <c r="T385" i="144"/>
  <c r="I732" i="144"/>
  <c r="T870" i="144"/>
  <c r="J954" i="144"/>
  <c r="T1407" i="144"/>
  <c r="I973" i="144"/>
  <c r="T158" i="144"/>
  <c r="T681" i="144"/>
  <c r="I377" i="144"/>
  <c r="J222" i="144"/>
  <c r="J1892" i="144"/>
  <c r="T1311" i="144"/>
  <c r="J1734" i="144"/>
  <c r="I1766" i="144"/>
  <c r="J423" i="144"/>
  <c r="T842" i="144"/>
  <c r="I1829" i="144"/>
  <c r="I754" i="144"/>
  <c r="J530" i="144"/>
  <c r="J1234" i="144"/>
  <c r="I1708" i="144"/>
  <c r="I1537" i="144"/>
  <c r="I821" i="144"/>
  <c r="I992" i="144"/>
  <c r="I20" i="144"/>
  <c r="T912" i="144"/>
  <c r="I486" i="144"/>
  <c r="J1173" i="144"/>
  <c r="T222" i="144"/>
  <c r="T1933" i="144"/>
  <c r="T1609" i="144"/>
  <c r="J173" i="144"/>
  <c r="T1744" i="144"/>
  <c r="I1662" i="144"/>
  <c r="T1662" i="144"/>
  <c r="I1567" i="144"/>
  <c r="J1567" i="144"/>
  <c r="I590" i="144"/>
  <c r="J590" i="144"/>
  <c r="T299" i="144"/>
  <c r="I299" i="144"/>
  <c r="J1280" i="144"/>
  <c r="I1280" i="144"/>
  <c r="I1641" i="144"/>
  <c r="T1641" i="144"/>
  <c r="J466" i="144"/>
  <c r="T466" i="144"/>
  <c r="I466" i="144"/>
  <c r="J27" i="144"/>
  <c r="I27" i="144"/>
  <c r="J983" i="144"/>
  <c r="J1579" i="144"/>
  <c r="I1292" i="144"/>
  <c r="J1056" i="144"/>
  <c r="I1056" i="144"/>
  <c r="J1310" i="144"/>
  <c r="T1310" i="144"/>
  <c r="I1310" i="144"/>
  <c r="J945" i="144"/>
  <c r="T945" i="144"/>
  <c r="J1007" i="144"/>
  <c r="T1007" i="144"/>
  <c r="I1007" i="144"/>
  <c r="T1676" i="144"/>
  <c r="J1676" i="144"/>
  <c r="I1676" i="144"/>
  <c r="I679" i="144"/>
  <c r="T679" i="144"/>
  <c r="T1081" i="144"/>
  <c r="J1081" i="144"/>
  <c r="I1081" i="144"/>
  <c r="J1106" i="144"/>
  <c r="T1106" i="144"/>
  <c r="I1106" i="144"/>
  <c r="J1266" i="144"/>
  <c r="T1266" i="144"/>
  <c r="I1266" i="144"/>
  <c r="T915" i="144"/>
  <c r="J915" i="144"/>
  <c r="I915" i="144"/>
  <c r="I1545" i="144"/>
  <c r="J1545" i="144"/>
  <c r="T1545" i="144"/>
  <c r="J1718" i="144"/>
  <c r="T1718" i="144"/>
  <c r="I1718" i="144"/>
  <c r="I885" i="144"/>
  <c r="J885" i="144"/>
  <c r="T885" i="144"/>
  <c r="J425" i="144"/>
  <c r="I425" i="144"/>
  <c r="T359" i="144"/>
  <c r="J359" i="144"/>
  <c r="I359" i="144"/>
  <c r="I1801" i="144"/>
  <c r="J1801" i="144"/>
  <c r="J308" i="144"/>
  <c r="I308" i="144"/>
  <c r="T308" i="144"/>
  <c r="T577" i="144"/>
  <c r="T783" i="144"/>
  <c r="J783" i="144"/>
  <c r="I783" i="144"/>
  <c r="T1675" i="144"/>
  <c r="I1675" i="144"/>
  <c r="J1675" i="144"/>
  <c r="T862" i="144"/>
  <c r="J862" i="144"/>
  <c r="I862" i="144"/>
  <c r="T1544" i="144"/>
  <c r="J1544" i="144"/>
  <c r="I1544" i="144"/>
  <c r="T968" i="144"/>
  <c r="J968" i="144"/>
  <c r="T1319" i="144"/>
  <c r="J1319" i="144"/>
  <c r="I1319" i="144"/>
  <c r="T1442" i="144"/>
  <c r="J1442" i="144"/>
  <c r="I1442" i="144"/>
  <c r="T572" i="144"/>
  <c r="J869" i="144"/>
  <c r="I869" i="144"/>
  <c r="T869" i="144"/>
  <c r="I1149" i="144"/>
  <c r="J1149" i="144"/>
  <c r="I786" i="144"/>
  <c r="J786" i="144"/>
  <c r="T786" i="144"/>
  <c r="I630" i="144"/>
  <c r="T630" i="144"/>
  <c r="J630" i="144"/>
  <c r="J1331" i="144"/>
  <c r="I1331" i="144"/>
  <c r="T1331" i="144"/>
  <c r="I1223" i="144"/>
  <c r="J1122" i="144"/>
  <c r="I1246" i="144"/>
  <c r="J1246" i="144"/>
  <c r="T1246" i="144"/>
  <c r="J650" i="144"/>
  <c r="T650" i="144"/>
  <c r="I214" i="144"/>
  <c r="J214" i="144"/>
  <c r="J935" i="144"/>
  <c r="T935" i="144"/>
  <c r="I935" i="144"/>
  <c r="T1270" i="144"/>
  <c r="I1270" i="144"/>
  <c r="J1270" i="144"/>
  <c r="J1077" i="144"/>
  <c r="I1077" i="144"/>
  <c r="T1077" i="144"/>
  <c r="J1181" i="144"/>
  <c r="T1181" i="144"/>
  <c r="I1181" i="144"/>
  <c r="I988" i="144"/>
  <c r="T988" i="144"/>
  <c r="J988" i="144"/>
  <c r="T1870" i="144"/>
  <c r="J1870" i="144"/>
  <c r="I1870" i="144"/>
  <c r="J910" i="144"/>
  <c r="T910" i="144"/>
  <c r="J56" i="144"/>
  <c r="I56" i="144"/>
  <c r="T56" i="144"/>
  <c r="J899" i="144"/>
  <c r="T899" i="144"/>
  <c r="J1055" i="144"/>
  <c r="T1055" i="144"/>
  <c r="I1532" i="144"/>
  <c r="T1532" i="144"/>
  <c r="J1532" i="144"/>
  <c r="I192" i="144"/>
  <c r="J192" i="144"/>
  <c r="I1365" i="144"/>
  <c r="J1365" i="144"/>
  <c r="J1395" i="144"/>
  <c r="I1395" i="144"/>
  <c r="T1048" i="144"/>
  <c r="I1048" i="144"/>
  <c r="J1131" i="144"/>
  <c r="T1131" i="144"/>
  <c r="I1131" i="144"/>
  <c r="T1284" i="144"/>
  <c r="J1284" i="144"/>
  <c r="I1284" i="144"/>
  <c r="I147" i="144"/>
  <c r="J147" i="144"/>
  <c r="T147" i="144"/>
  <c r="J1828" i="144"/>
  <c r="T1828" i="144"/>
  <c r="J1297" i="144"/>
  <c r="T1297" i="144"/>
  <c r="I1297" i="144"/>
  <c r="J1518" i="144"/>
  <c r="T1518" i="144"/>
  <c r="I608" i="144"/>
  <c r="J1605" i="144"/>
  <c r="T1605" i="144"/>
  <c r="T1165" i="144"/>
  <c r="I1165" i="144"/>
  <c r="J740" i="144"/>
  <c r="I740" i="144"/>
  <c r="J280" i="144"/>
  <c r="I1168" i="144"/>
  <c r="I1519" i="144"/>
  <c r="T1575" i="144"/>
  <c r="T1003" i="144"/>
  <c r="I1139" i="144"/>
  <c r="T527" i="144"/>
  <c r="J249" i="144"/>
  <c r="J255" i="144"/>
  <c r="I1453" i="144"/>
  <c r="I54" i="144"/>
  <c r="J1063" i="144"/>
  <c r="J978" i="144"/>
  <c r="T978" i="144"/>
  <c r="J125" i="144"/>
  <c r="T125" i="144"/>
  <c r="T245" i="144"/>
  <c r="J1527" i="144"/>
  <c r="T1110" i="144"/>
  <c r="I1110" i="144"/>
  <c r="I1159" i="144"/>
  <c r="J646" i="144"/>
  <c r="I981" i="144"/>
  <c r="J917" i="144"/>
  <c r="I1455" i="144"/>
  <c r="J1224" i="144"/>
  <c r="T1058" i="144"/>
  <c r="T1067" i="144"/>
  <c r="I1700" i="144"/>
  <c r="J1031" i="144"/>
  <c r="I1031" i="144"/>
  <c r="J417" i="144"/>
  <c r="J559" i="144"/>
  <c r="T1118" i="144"/>
  <c r="I1118" i="144"/>
  <c r="I1701" i="144"/>
  <c r="T1701" i="144"/>
  <c r="J1329" i="144"/>
  <c r="I625" i="144"/>
  <c r="T1302" i="144"/>
  <c r="I1302" i="144"/>
  <c r="J452" i="144"/>
  <c r="I452" i="144"/>
  <c r="T1713" i="144"/>
  <c r="T457" i="144"/>
  <c r="J1478" i="144"/>
  <c r="T1478" i="144"/>
  <c r="T1384" i="144"/>
  <c r="J1384" i="144"/>
  <c r="J339" i="144"/>
  <c r="I889" i="144"/>
  <c r="I1605" i="144"/>
  <c r="J1165" i="144"/>
  <c r="T765" i="144"/>
  <c r="I765" i="144"/>
  <c r="J765" i="144"/>
  <c r="J1638" i="144"/>
  <c r="T1638" i="144"/>
  <c r="I1638" i="144"/>
  <c r="J134" i="144"/>
  <c r="T134" i="144"/>
  <c r="I75" i="144"/>
  <c r="T75" i="144"/>
  <c r="T750" i="144"/>
  <c r="J750" i="144"/>
  <c r="T1525" i="144"/>
  <c r="I1525" i="144"/>
  <c r="I1526" i="144"/>
  <c r="T1526" i="144"/>
  <c r="I1265" i="144"/>
  <c r="T1265" i="144"/>
  <c r="T1653" i="144"/>
  <c r="I1653" i="144"/>
  <c r="J1534" i="144"/>
  <c r="T1009" i="144"/>
  <c r="I760" i="144"/>
  <c r="T1490" i="144"/>
  <c r="T1533" i="144"/>
  <c r="T603" i="144"/>
  <c r="J551" i="144"/>
  <c r="T455" i="144"/>
  <c r="T290" i="144"/>
  <c r="T1123" i="144"/>
  <c r="J1366" i="144"/>
  <c r="J328" i="144"/>
  <c r="T295" i="144"/>
  <c r="T108" i="144"/>
  <c r="T1690" i="144"/>
  <c r="I1555" i="144"/>
  <c r="I181" i="144"/>
  <c r="T181" i="144"/>
  <c r="J1515" i="144"/>
  <c r="T1137" i="144"/>
  <c r="I1452" i="144"/>
  <c r="T1267" i="144"/>
  <c r="J1171" i="144"/>
  <c r="T701" i="144"/>
  <c r="T1489" i="144"/>
  <c r="T482" i="144"/>
  <c r="T58" i="144"/>
  <c r="T452" i="144"/>
  <c r="T364" i="144"/>
  <c r="J364" i="144"/>
  <c r="I1012" i="144"/>
  <c r="J1021" i="144"/>
  <c r="I1554" i="144"/>
  <c r="I1432" i="144"/>
  <c r="J1432" i="144"/>
  <c r="J1281" i="144"/>
  <c r="T716" i="144"/>
  <c r="I1283" i="144"/>
  <c r="T1283" i="144"/>
  <c r="J1335" i="144"/>
  <c r="I1335" i="144"/>
  <c r="J1784" i="144"/>
  <c r="T1784" i="144"/>
  <c r="J390" i="144"/>
  <c r="T390" i="144"/>
  <c r="I390" i="144"/>
  <c r="T617" i="144"/>
  <c r="I1161" i="144"/>
  <c r="J1639" i="144"/>
  <c r="I1639" i="144"/>
  <c r="T663" i="144"/>
  <c r="J663" i="144"/>
  <c r="I663" i="144"/>
  <c r="I492" i="144"/>
  <c r="J492" i="144"/>
  <c r="I1026" i="144"/>
  <c r="T846" i="144"/>
  <c r="I846" i="144"/>
  <c r="I629" i="144"/>
  <c r="T629" i="144"/>
  <c r="J416" i="144"/>
  <c r="I416" i="144"/>
  <c r="I1059" i="144"/>
  <c r="T1059" i="144"/>
  <c r="I1480" i="144"/>
  <c r="T1480" i="144"/>
  <c r="J234" i="144"/>
  <c r="J1298" i="144"/>
  <c r="J1108" i="144"/>
  <c r="T1108" i="144"/>
  <c r="I116" i="144"/>
  <c r="J116" i="144"/>
  <c r="J212" i="144"/>
  <c r="T231" i="144"/>
  <c r="I170" i="144"/>
  <c r="T170" i="144"/>
  <c r="T1378" i="144"/>
  <c r="T1661" i="144"/>
  <c r="I1661" i="144"/>
  <c r="T32" i="144"/>
  <c r="I32" i="144"/>
  <c r="T37" i="144"/>
  <c r="I37" i="144"/>
  <c r="I680" i="144"/>
  <c r="T680" i="144"/>
  <c r="I335" i="144"/>
  <c r="J982" i="144"/>
  <c r="I982" i="144"/>
  <c r="I291" i="144"/>
  <c r="T291" i="144"/>
  <c r="T1571" i="144"/>
  <c r="J1571" i="144"/>
  <c r="I389" i="144"/>
  <c r="J389" i="144"/>
  <c r="T248" i="144"/>
  <c r="T11" i="144"/>
  <c r="J11" i="144"/>
  <c r="I11" i="144"/>
  <c r="I1294" i="144"/>
  <c r="T1294" i="144"/>
  <c r="J188" i="144"/>
  <c r="I188" i="144"/>
  <c r="I1534" i="144"/>
  <c r="T728" i="144"/>
  <c r="I1725" i="144"/>
  <c r="J972" i="144"/>
  <c r="J1540" i="144"/>
  <c r="T1350" i="144"/>
  <c r="T815" i="144"/>
  <c r="T1018" i="144"/>
  <c r="I1490" i="144"/>
  <c r="T234" i="144"/>
  <c r="T551" i="144"/>
  <c r="J455" i="144"/>
  <c r="I132" i="144"/>
  <c r="T285" i="144"/>
  <c r="I1366" i="144"/>
  <c r="I1437" i="144"/>
  <c r="T328" i="144"/>
  <c r="T744" i="144"/>
  <c r="T871" i="144"/>
  <c r="J1115" i="144"/>
  <c r="I530" i="144"/>
  <c r="I989" i="144"/>
  <c r="T161" i="144"/>
  <c r="T435" i="144"/>
  <c r="J942" i="144"/>
  <c r="T1555" i="144"/>
  <c r="I1233" i="144"/>
  <c r="J1233" i="144"/>
  <c r="T1488" i="144"/>
  <c r="T1197" i="144"/>
  <c r="I1218" i="144"/>
  <c r="J1218" i="144"/>
  <c r="J9" i="144"/>
  <c r="T9" i="144"/>
  <c r="I282" i="144"/>
  <c r="I1636" i="144"/>
  <c r="J122" i="144"/>
  <c r="T122" i="144"/>
  <c r="T1523" i="144"/>
  <c r="J895" i="144"/>
  <c r="T1279" i="144"/>
  <c r="J1279" i="144"/>
  <c r="T421" i="144"/>
  <c r="T1607" i="144"/>
  <c r="I1607" i="144"/>
  <c r="J1494" i="144"/>
  <c r="T1171" i="144"/>
  <c r="I231" i="144"/>
  <c r="J170" i="144"/>
  <c r="I482" i="144"/>
  <c r="T623" i="144"/>
  <c r="J623" i="144"/>
  <c r="J58" i="144"/>
  <c r="J1661" i="144"/>
  <c r="I596" i="144"/>
  <c r="J810" i="144"/>
  <c r="T810" i="144"/>
  <c r="J1192" i="144"/>
  <c r="J720" i="144"/>
  <c r="I883" i="144"/>
  <c r="J37" i="144"/>
  <c r="T642" i="144"/>
  <c r="J1388" i="144"/>
  <c r="I1485" i="144"/>
  <c r="J1485" i="144"/>
  <c r="J1208" i="144"/>
  <c r="T1208" i="144"/>
  <c r="J325" i="144"/>
  <c r="I325" i="144"/>
  <c r="I657" i="144"/>
  <c r="T657" i="144"/>
  <c r="J1627" i="144"/>
  <c r="T1627" i="144"/>
  <c r="J1709" i="144"/>
  <c r="J976" i="144"/>
  <c r="I976" i="144"/>
  <c r="T976" i="144"/>
  <c r="I244" i="144"/>
  <c r="T1213" i="144"/>
  <c r="J597" i="144"/>
  <c r="T604" i="144"/>
  <c r="I1574" i="144"/>
  <c r="I393" i="144"/>
  <c r="I1357" i="144"/>
  <c r="T1357" i="144"/>
  <c r="I850" i="144"/>
  <c r="J1076" i="144"/>
  <c r="I778" i="144"/>
  <c r="T582" i="144"/>
  <c r="I582" i="144"/>
  <c r="J421" i="144"/>
  <c r="I1166" i="144"/>
  <c r="J1166" i="144"/>
  <c r="I620" i="144"/>
  <c r="J620" i="144"/>
  <c r="J257" i="144"/>
  <c r="I257" i="144"/>
  <c r="J1288" i="144"/>
  <c r="I810" i="144"/>
  <c r="T1192" i="144"/>
  <c r="J877" i="144"/>
  <c r="T877" i="144"/>
  <c r="I826" i="144"/>
  <c r="T883" i="144"/>
  <c r="J522" i="144"/>
  <c r="T20" i="144"/>
  <c r="I272" i="144"/>
  <c r="J272" i="144"/>
  <c r="T1485" i="144"/>
  <c r="I1208" i="144"/>
  <c r="T86" i="144"/>
  <c r="T325" i="144"/>
  <c r="I1627" i="144"/>
  <c r="I1879" i="144"/>
  <c r="J1879" i="144"/>
  <c r="I1112" i="144"/>
  <c r="I728" i="144"/>
  <c r="T868" i="144"/>
  <c r="J1342" i="144"/>
  <c r="I953" i="144"/>
  <c r="J1112" i="144"/>
  <c r="I936" i="144"/>
  <c r="I628" i="144"/>
  <c r="J1213" i="144"/>
  <c r="J179" i="144"/>
  <c r="J169" i="144"/>
  <c r="T977" i="144"/>
  <c r="J1470" i="144"/>
  <c r="J1472" i="144"/>
  <c r="I1299" i="144"/>
  <c r="T1221" i="144"/>
  <c r="T836" i="144"/>
  <c r="T282" i="144"/>
  <c r="J850" i="144"/>
  <c r="J778" i="144"/>
  <c r="I207" i="144"/>
  <c r="I1454" i="144"/>
  <c r="T1454" i="144"/>
  <c r="I127" i="144"/>
  <c r="T127" i="144"/>
  <c r="T620" i="144"/>
  <c r="I1187" i="144"/>
  <c r="J1187" i="144"/>
  <c r="I592" i="144"/>
  <c r="J592" i="144"/>
  <c r="I745" i="144"/>
  <c r="J463" i="144"/>
  <c r="T463" i="144"/>
  <c r="T272" i="144"/>
  <c r="T851" i="144"/>
  <c r="J851" i="144"/>
  <c r="J1333" i="144"/>
  <c r="T1333" i="144"/>
  <c r="I1333" i="144"/>
  <c r="T112" i="144"/>
  <c r="I112" i="144"/>
  <c r="J112" i="144"/>
  <c r="I117" i="144"/>
  <c r="T117" i="144"/>
  <c r="T1069" i="144"/>
  <c r="I1069" i="144"/>
  <c r="T622" i="144"/>
  <c r="I622" i="144"/>
  <c r="J622" i="144"/>
  <c r="T1084" i="144"/>
  <c r="I1084" i="144"/>
  <c r="J1084" i="144"/>
  <c r="T1879" i="144"/>
  <c r="T1474" i="144"/>
  <c r="I1196" i="144"/>
  <c r="T1196" i="144"/>
  <c r="T651" i="144"/>
  <c r="I651" i="144"/>
  <c r="J1640" i="144"/>
  <c r="T1640" i="144"/>
  <c r="J1913" i="144"/>
  <c r="I1913" i="144"/>
  <c r="I1637" i="144"/>
  <c r="J1637" i="144"/>
  <c r="T1637" i="144"/>
  <c r="J1215" i="144"/>
  <c r="T1215" i="144"/>
  <c r="T816" i="144"/>
  <c r="I816" i="144"/>
  <c r="T1434" i="144"/>
  <c r="I1434" i="144"/>
  <c r="J1363" i="144"/>
  <c r="I1363" i="144"/>
  <c r="T1330" i="144"/>
  <c r="I1330" i="144"/>
  <c r="J570" i="144"/>
  <c r="T570" i="144"/>
  <c r="T1617" i="144"/>
  <c r="I1617" i="144"/>
  <c r="T1945" i="144"/>
  <c r="I1945" i="144"/>
  <c r="T347" i="144"/>
  <c r="J347" i="144"/>
  <c r="J1867" i="144"/>
  <c r="J1759" i="144"/>
  <c r="T1759" i="144"/>
  <c r="I1496" i="144"/>
  <c r="T1496" i="144"/>
  <c r="T85" i="144"/>
  <c r="I85" i="144"/>
  <c r="I1864" i="144"/>
  <c r="J1864" i="144"/>
  <c r="J287" i="144"/>
  <c r="I287" i="144"/>
  <c r="I1167" i="144"/>
  <c r="J1167" i="144"/>
  <c r="I1590" i="144"/>
  <c r="J1590" i="144"/>
  <c r="T1590" i="144"/>
  <c r="I162" i="144"/>
  <c r="J162" i="144"/>
  <c r="J1782" i="144"/>
  <c r="I1214" i="144"/>
  <c r="J1214" i="144"/>
  <c r="J1016" i="144"/>
  <c r="T1016" i="144"/>
  <c r="T1698" i="144"/>
  <c r="J1698" i="144"/>
  <c r="J412" i="144"/>
  <c r="I412" i="144"/>
  <c r="I246" i="144"/>
  <c r="T246" i="144"/>
  <c r="I1499" i="144"/>
  <c r="T1457" i="144"/>
  <c r="J1457" i="144"/>
  <c r="T1803" i="144"/>
  <c r="J1803" i="144"/>
  <c r="I1869" i="144"/>
  <c r="I1803" i="144"/>
  <c r="I1337" i="144"/>
  <c r="J1337" i="144"/>
  <c r="T764" i="144"/>
  <c r="J764" i="144"/>
  <c r="I194" i="144"/>
  <c r="J361" i="144"/>
  <c r="I361" i="144"/>
  <c r="I60" i="144"/>
  <c r="I219" i="144"/>
  <c r="I1800" i="144"/>
  <c r="T278" i="144"/>
  <c r="T890" i="144"/>
  <c r="J524" i="144"/>
  <c r="T1944" i="144"/>
  <c r="J1856" i="144"/>
  <c r="J1657" i="144"/>
  <c r="I414" i="144"/>
  <c r="T1591" i="144"/>
  <c r="T29" i="144"/>
  <c r="I436" i="144"/>
  <c r="J612" i="144"/>
  <c r="I480" i="144"/>
  <c r="I1120" i="144"/>
  <c r="J1019" i="144"/>
  <c r="I548" i="144"/>
  <c r="T1027" i="144"/>
  <c r="J228" i="144"/>
  <c r="J733" i="144"/>
  <c r="I25" i="144"/>
  <c r="I1035" i="144"/>
  <c r="I1524" i="144"/>
  <c r="T275" i="144"/>
  <c r="T1464" i="144"/>
  <c r="I1011" i="144"/>
  <c r="T775" i="144"/>
  <c r="T1726" i="144"/>
  <c r="J1368" i="144"/>
  <c r="T796" i="144"/>
  <c r="J1247" i="144"/>
  <c r="I1258" i="144"/>
  <c r="T1017" i="144"/>
  <c r="I354" i="144"/>
  <c r="I123" i="144"/>
  <c r="T1248" i="144"/>
  <c r="T1144" i="144"/>
  <c r="T1054" i="144"/>
  <c r="T451" i="144"/>
  <c r="J70" i="144"/>
  <c r="J119" i="144"/>
  <c r="I571" i="144"/>
  <c r="J1408" i="144"/>
  <c r="T559" i="144"/>
  <c r="I594" i="144"/>
  <c r="I274" i="144"/>
  <c r="I496" i="144"/>
  <c r="T461" i="144"/>
  <c r="T1769" i="144"/>
  <c r="T1497" i="144"/>
  <c r="T686" i="144"/>
  <c r="I1923" i="144"/>
  <c r="I131" i="144"/>
  <c r="I871" i="144"/>
  <c r="J1883" i="144"/>
  <c r="T484" i="144"/>
  <c r="I224" i="144"/>
  <c r="I658" i="144"/>
  <c r="I1765" i="144"/>
  <c r="I304" i="144"/>
  <c r="T1914" i="144"/>
  <c r="I198" i="144"/>
  <c r="J927" i="144"/>
  <c r="I731" i="144"/>
  <c r="J1674" i="144"/>
  <c r="I183" i="144"/>
  <c r="J906" i="144"/>
  <c r="T407" i="144"/>
  <c r="J1800" i="144"/>
  <c r="I278" i="144"/>
  <c r="T1882" i="144"/>
  <c r="I524" i="144"/>
  <c r="J1944" i="144"/>
  <c r="I1856" i="144"/>
  <c r="I1657" i="144"/>
  <c r="T1738" i="144"/>
  <c r="J414" i="144"/>
  <c r="J241" i="144"/>
  <c r="I1591" i="144"/>
  <c r="J29" i="144"/>
  <c r="T436" i="144"/>
  <c r="T442" i="144"/>
  <c r="J480" i="144"/>
  <c r="J1062" i="144"/>
  <c r="I1578" i="144"/>
  <c r="J1503" i="144"/>
  <c r="I42" i="144"/>
  <c r="I366" i="144"/>
  <c r="J515" i="144"/>
  <c r="I258" i="144"/>
  <c r="I74" i="144"/>
  <c r="T1687" i="144"/>
  <c r="J1696" i="144"/>
  <c r="J22" i="144"/>
  <c r="T1029" i="144"/>
  <c r="J1407" i="144"/>
  <c r="I738" i="144"/>
  <c r="T1797" i="144"/>
  <c r="I1173" i="144"/>
  <c r="I1498" i="144"/>
  <c r="I906" i="144"/>
  <c r="T547" i="144"/>
  <c r="J1651" i="144"/>
  <c r="I951" i="144"/>
  <c r="I1855" i="144"/>
  <c r="I407" i="144"/>
  <c r="I1387" i="144"/>
  <c r="I1556" i="144"/>
  <c r="J1583" i="144"/>
  <c r="I1881" i="144"/>
  <c r="J681" i="144"/>
  <c r="J1041" i="144"/>
  <c r="T1918" i="144"/>
  <c r="I1049" i="144"/>
  <c r="I880" i="144"/>
  <c r="I881" i="144"/>
  <c r="T1892" i="144"/>
  <c r="T1925" i="144"/>
  <c r="I237" i="144"/>
  <c r="I1738" i="144"/>
  <c r="T1766" i="144"/>
  <c r="I10" i="144"/>
  <c r="I672" i="144"/>
  <c r="J144" i="144"/>
  <c r="I1895" i="144"/>
  <c r="T1505" i="144"/>
  <c r="T1109" i="144"/>
  <c r="I1157" i="144"/>
  <c r="T1833" i="144"/>
  <c r="J57" i="144"/>
  <c r="T366" i="144"/>
  <c r="I1146" i="144"/>
  <c r="T1651" i="144"/>
  <c r="I957" i="144"/>
  <c r="I1295" i="144"/>
  <c r="I964" i="144"/>
  <c r="I506" i="144"/>
  <c r="I545" i="144"/>
  <c r="T92" i="144"/>
  <c r="J1922" i="144"/>
  <c r="T1257" i="144"/>
  <c r="I1943" i="144"/>
  <c r="I1495" i="144"/>
  <c r="J333" i="144"/>
  <c r="T723" i="144"/>
  <c r="T1599" i="144"/>
  <c r="J1599" i="144"/>
  <c r="T1467" i="144"/>
  <c r="J1467" i="144"/>
  <c r="I1467" i="144"/>
  <c r="I1506" i="144"/>
  <c r="T1506" i="144"/>
  <c r="J1506" i="144"/>
  <c r="T157" i="144"/>
  <c r="J157" i="144"/>
  <c r="I157" i="144"/>
  <c r="I1170" i="144"/>
  <c r="J1170" i="144"/>
  <c r="T1170" i="144"/>
  <c r="J1343" i="144"/>
  <c r="I1343" i="144"/>
  <c r="T517" i="144"/>
  <c r="J517" i="144"/>
  <c r="I517" i="144"/>
  <c r="T1487" i="144"/>
  <c r="I1487" i="144"/>
  <c r="J1487" i="144"/>
  <c r="J1761" i="144"/>
  <c r="I1761" i="144"/>
  <c r="J1849" i="144"/>
  <c r="I1849" i="144"/>
  <c r="I1122" i="144"/>
  <c r="T1122" i="144"/>
  <c r="J63" i="144"/>
  <c r="T63" i="144"/>
  <c r="I63" i="144"/>
  <c r="T1348" i="144"/>
  <c r="I1348" i="144"/>
  <c r="T1632" i="144"/>
  <c r="J1632" i="144"/>
  <c r="I1632" i="144"/>
  <c r="T371" i="144"/>
  <c r="I371" i="144"/>
  <c r="J177" i="144"/>
  <c r="T177" i="144"/>
  <c r="I721" i="144"/>
  <c r="J721" i="144"/>
  <c r="J652" i="144"/>
  <c r="T652" i="144"/>
  <c r="T261" i="144"/>
  <c r="I261" i="144"/>
  <c r="J331" i="144"/>
  <c r="I331" i="144"/>
  <c r="I31" i="144"/>
  <c r="T31" i="144"/>
  <c r="J31" i="144"/>
  <c r="I999" i="144"/>
  <c r="J999" i="144"/>
  <c r="T999" i="144"/>
  <c r="T864" i="144"/>
  <c r="I864" i="144"/>
  <c r="J864" i="144"/>
  <c r="J1630" i="144"/>
  <c r="T1630" i="144"/>
  <c r="I1630" i="144"/>
  <c r="T98" i="144"/>
  <c r="I98" i="144"/>
  <c r="I911" i="144"/>
  <c r="T911" i="144"/>
  <c r="J1036" i="144"/>
  <c r="T1036" i="144"/>
  <c r="I1036" i="144"/>
  <c r="I400" i="144"/>
  <c r="T400" i="144"/>
  <c r="I422" i="144"/>
  <c r="T422" i="144"/>
  <c r="J422" i="144"/>
  <c r="J363" i="144"/>
  <c r="T363" i="144"/>
  <c r="I363" i="144"/>
  <c r="I960" i="144"/>
  <c r="T960" i="144"/>
  <c r="J960" i="144"/>
  <c r="T1693" i="144"/>
  <c r="J1693" i="144"/>
  <c r="I1693" i="144"/>
  <c r="J1602" i="144"/>
  <c r="T1602" i="144"/>
  <c r="I1602" i="144"/>
  <c r="I91" i="144"/>
  <c r="T91" i="144"/>
  <c r="J91" i="144"/>
  <c r="J1890" i="144"/>
  <c r="T1890" i="144"/>
  <c r="J59" i="144"/>
  <c r="J1300" i="144"/>
  <c r="I1009" i="144"/>
  <c r="J329" i="144"/>
  <c r="I1779" i="144"/>
  <c r="T590" i="144"/>
  <c r="J1788" i="144"/>
  <c r="J953" i="144"/>
  <c r="J621" i="144"/>
  <c r="T1112" i="144"/>
  <c r="T456" i="144"/>
  <c r="T936" i="144"/>
  <c r="I280" i="144"/>
  <c r="T104" i="144"/>
  <c r="T1023" i="144"/>
  <c r="J299" i="144"/>
  <c r="I899" i="144"/>
  <c r="I815" i="144"/>
  <c r="T192" i="144"/>
  <c r="I322" i="144"/>
  <c r="J306" i="144"/>
  <c r="J1660" i="144"/>
  <c r="J1119" i="144"/>
  <c r="J682" i="144"/>
  <c r="J641" i="144"/>
  <c r="T357" i="144"/>
  <c r="J357" i="144"/>
  <c r="I1328" i="144"/>
  <c r="J977" i="144"/>
  <c r="J132" i="144"/>
  <c r="I1581" i="144"/>
  <c r="T608" i="144"/>
  <c r="I1472" i="144"/>
  <c r="J1123" i="144"/>
  <c r="T27" i="144"/>
  <c r="J1437" i="144"/>
  <c r="J1223" i="144"/>
  <c r="T1292" i="144"/>
  <c r="J1292" i="144"/>
  <c r="I228" i="144"/>
  <c r="I1582" i="144"/>
  <c r="T120" i="144"/>
  <c r="I120" i="144"/>
  <c r="J120" i="144"/>
  <c r="I1550" i="144"/>
  <c r="J1550" i="144"/>
  <c r="T1550" i="144"/>
  <c r="I1296" i="144"/>
  <c r="J1296" i="144"/>
  <c r="T1296" i="144"/>
  <c r="T1066" i="144"/>
  <c r="I487" i="144"/>
  <c r="T487" i="144"/>
  <c r="J487" i="144"/>
  <c r="T536" i="144"/>
  <c r="J536" i="144"/>
  <c r="I536" i="144"/>
  <c r="I1568" i="144"/>
  <c r="J1568" i="144"/>
  <c r="T1568" i="144"/>
  <c r="J413" i="144"/>
  <c r="T413" i="144"/>
  <c r="I413" i="144"/>
  <c r="T794" i="144"/>
  <c r="I451" i="144"/>
  <c r="T25" i="144"/>
  <c r="J969" i="144"/>
  <c r="I969" i="144"/>
  <c r="T969" i="144"/>
  <c r="J1378" i="144"/>
  <c r="J232" i="144"/>
  <c r="T232" i="144"/>
  <c r="I232" i="144"/>
  <c r="I804" i="144"/>
  <c r="T804" i="144"/>
  <c r="I807" i="144"/>
  <c r="T807" i="144"/>
  <c r="J807" i="144"/>
  <c r="I652" i="144"/>
  <c r="I597" i="144"/>
  <c r="T597" i="144"/>
  <c r="T437" i="144"/>
  <c r="I437" i="144"/>
  <c r="I1061" i="144"/>
  <c r="J1061" i="144"/>
  <c r="T1061" i="144"/>
  <c r="J1102" i="144"/>
  <c r="T1102" i="144"/>
  <c r="I1102" i="144"/>
  <c r="J1177" i="144"/>
  <c r="I1177" i="144"/>
  <c r="T1177" i="144"/>
  <c r="J1626" i="144"/>
  <c r="I1626" i="144"/>
  <c r="T1626" i="144"/>
  <c r="J1287" i="144"/>
  <c r="T1287" i="144"/>
  <c r="I1287" i="144"/>
  <c r="T1836" i="144"/>
  <c r="I1836" i="144"/>
  <c r="J1836" i="144"/>
  <c r="I908" i="144"/>
  <c r="J908" i="144"/>
  <c r="T908" i="144"/>
  <c r="T950" i="144"/>
  <c r="J950" i="144"/>
  <c r="J1099" i="144"/>
  <c r="I1099" i="144"/>
  <c r="T1099" i="144"/>
  <c r="I1100" i="144"/>
  <c r="J1100" i="144"/>
  <c r="T1100" i="144"/>
  <c r="T1133" i="144"/>
  <c r="I1133" i="144"/>
  <c r="T19" i="144"/>
  <c r="I19" i="144"/>
  <c r="T588" i="144"/>
  <c r="I588" i="144"/>
  <c r="J949" i="144"/>
  <c r="I59" i="144"/>
  <c r="T1300" i="144"/>
  <c r="J1009" i="144"/>
  <c r="I329" i="144"/>
  <c r="J1779" i="144"/>
  <c r="T499" i="144"/>
  <c r="I939" i="144"/>
  <c r="J1725" i="144"/>
  <c r="T1206" i="144"/>
  <c r="T972" i="144"/>
  <c r="J572" i="144"/>
  <c r="T1540" i="144"/>
  <c r="T280" i="144"/>
  <c r="I104" i="144"/>
  <c r="I1023" i="144"/>
  <c r="I1158" i="144"/>
  <c r="J114" i="144"/>
  <c r="T179" i="144"/>
  <c r="I1262" i="144"/>
  <c r="T1783" i="144"/>
  <c r="I1588" i="144"/>
  <c r="I641" i="144"/>
  <c r="I1500" i="144"/>
  <c r="J1024" i="144"/>
  <c r="J469" i="144"/>
  <c r="T1860" i="144"/>
  <c r="I1860" i="144"/>
  <c r="I1575" i="144"/>
  <c r="I1470" i="144"/>
  <c r="J1324" i="144"/>
  <c r="J1139" i="144"/>
  <c r="I1748" i="144"/>
  <c r="J1748" i="144"/>
  <c r="I405" i="144"/>
  <c r="J405" i="144"/>
  <c r="I1345" i="144"/>
  <c r="J974" i="144"/>
  <c r="T974" i="144"/>
  <c r="I974" i="144"/>
  <c r="J1140" i="144"/>
  <c r="T1140" i="144"/>
  <c r="T808" i="144"/>
  <c r="I374" i="144"/>
  <c r="T374" i="144"/>
  <c r="J374" i="144"/>
  <c r="T533" i="144"/>
  <c r="I533" i="144"/>
  <c r="I983" i="144"/>
  <c r="I41" i="144"/>
  <c r="I164" i="144"/>
  <c r="J164" i="144"/>
  <c r="T164" i="144"/>
  <c r="T792" i="144"/>
  <c r="I792" i="144"/>
  <c r="J792" i="144"/>
  <c r="I874" i="144"/>
  <c r="J874" i="144"/>
  <c r="T874" i="144"/>
  <c r="T1101" i="144"/>
  <c r="J1101" i="144"/>
  <c r="I1101" i="144"/>
  <c r="T1586" i="144"/>
  <c r="J1586" i="144"/>
  <c r="I1586" i="144"/>
  <c r="I1648" i="144"/>
  <c r="J1648" i="144"/>
  <c r="T1648" i="144"/>
  <c r="I1557" i="144"/>
  <c r="J1376" i="144"/>
  <c r="I1376" i="144"/>
  <c r="T1376" i="144"/>
  <c r="I1423" i="144"/>
  <c r="J1423" i="144"/>
  <c r="T1423" i="144"/>
  <c r="I1243" i="144"/>
  <c r="J1030" i="144"/>
  <c r="I1030" i="144"/>
  <c r="T1030" i="144"/>
  <c r="J98" i="144"/>
  <c r="T624" i="144"/>
  <c r="I624" i="144"/>
  <c r="J624" i="144"/>
  <c r="I947" i="144"/>
  <c r="J588" i="144"/>
  <c r="I691" i="144"/>
  <c r="J691" i="144"/>
  <c r="T691" i="144"/>
  <c r="T244" i="144"/>
  <c r="T1820" i="144"/>
  <c r="I396" i="144"/>
  <c r="J1451" i="144"/>
  <c r="I1047" i="144"/>
  <c r="I418" i="144"/>
  <c r="J51" i="144"/>
  <c r="I1699" i="144"/>
  <c r="T1699" i="144"/>
  <c r="T129" i="144"/>
  <c r="J875" i="144"/>
  <c r="J1413" i="144"/>
  <c r="I1022" i="144"/>
  <c r="J1191" i="144"/>
  <c r="T1056" i="144"/>
  <c r="J1080" i="144"/>
  <c r="I1180" i="144"/>
  <c r="J1582" i="144"/>
  <c r="I687" i="144"/>
  <c r="T710" i="144"/>
  <c r="I710" i="144"/>
  <c r="J710" i="144"/>
  <c r="I1443" i="144"/>
  <c r="T1443" i="144"/>
  <c r="J1443" i="144"/>
  <c r="J736" i="144"/>
  <c r="T251" i="144"/>
  <c r="J251" i="144"/>
  <c r="I251" i="144"/>
  <c r="J1812" i="144"/>
  <c r="I1812" i="144"/>
  <c r="T266" i="144"/>
  <c r="J266" i="144"/>
  <c r="J1758" i="144"/>
  <c r="T1758" i="144"/>
  <c r="I1758" i="144"/>
  <c r="T1372" i="144"/>
  <c r="I1372" i="144"/>
  <c r="J1372" i="144"/>
  <c r="T858" i="144"/>
  <c r="J858" i="144"/>
  <c r="I858" i="144"/>
  <c r="T1104" i="144"/>
  <c r="J1104" i="144"/>
  <c r="I1104" i="144"/>
  <c r="I950" i="144"/>
  <c r="T103" i="144"/>
  <c r="I103" i="144"/>
  <c r="J103" i="144"/>
  <c r="I171" i="144"/>
  <c r="T171" i="144"/>
  <c r="J171" i="144"/>
  <c r="I683" i="144"/>
  <c r="J683" i="144"/>
  <c r="T683" i="144"/>
  <c r="T721" i="144"/>
  <c r="I1468" i="144"/>
  <c r="J1468" i="144"/>
  <c r="T1468" i="144"/>
  <c r="I113" i="144"/>
  <c r="T113" i="144"/>
  <c r="T684" i="144"/>
  <c r="J684" i="144"/>
  <c r="I531" i="144"/>
  <c r="J531" i="144"/>
  <c r="T531" i="144"/>
  <c r="J1070" i="144"/>
  <c r="T1070" i="144"/>
  <c r="J1785" i="144"/>
  <c r="T1785" i="144"/>
  <c r="J281" i="144"/>
  <c r="I281" i="144"/>
  <c r="J101" i="144"/>
  <c r="I101" i="144"/>
  <c r="T101" i="144"/>
  <c r="T1035" i="144"/>
  <c r="J1035" i="144"/>
  <c r="T1587" i="144"/>
  <c r="I1587" i="144"/>
  <c r="I1105" i="144"/>
  <c r="T1105" i="144"/>
  <c r="J1105" i="144"/>
  <c r="T730" i="144"/>
  <c r="J730" i="144"/>
  <c r="T1558" i="144"/>
  <c r="I1558" i="144"/>
  <c r="J152" i="144"/>
  <c r="I152" i="144"/>
  <c r="J305" i="144"/>
  <c r="I305" i="144"/>
  <c r="T305" i="144"/>
  <c r="J553" i="144"/>
  <c r="T553" i="144"/>
  <c r="T1132" i="144"/>
  <c r="I1132" i="144"/>
  <c r="J1132" i="144"/>
  <c r="I662" i="144"/>
  <c r="J662" i="144"/>
  <c r="T1598" i="144"/>
  <c r="I1598" i="144"/>
  <c r="J1598" i="144"/>
  <c r="I145" i="144"/>
  <c r="T145" i="144"/>
  <c r="I1017" i="144"/>
  <c r="J1017" i="144"/>
  <c r="T749" i="144"/>
  <c r="I749" i="144"/>
  <c r="I1124" i="144"/>
  <c r="J1124" i="144"/>
  <c r="T1124" i="144"/>
  <c r="I360" i="144"/>
  <c r="J360" i="144"/>
  <c r="T1415" i="144"/>
  <c r="J1415" i="144"/>
  <c r="I1086" i="144"/>
  <c r="T1086" i="144"/>
  <c r="J1086" i="144"/>
  <c r="I789" i="144"/>
  <c r="J789" i="144"/>
  <c r="J896" i="144"/>
  <c r="I896" i="144"/>
  <c r="J45" i="144"/>
  <c r="I45" i="144"/>
  <c r="T45" i="144"/>
  <c r="I1476" i="144"/>
  <c r="T1476" i="144"/>
  <c r="T73" i="144"/>
  <c r="J73" i="144"/>
  <c r="I73" i="144"/>
  <c r="I1231" i="144"/>
  <c r="T1231" i="144"/>
  <c r="I1624" i="144"/>
  <c r="J1624" i="144"/>
  <c r="J1880" i="144"/>
  <c r="T1880" i="144"/>
  <c r="T8" i="144"/>
  <c r="I8" i="144"/>
  <c r="J1618" i="144"/>
  <c r="T1618" i="144"/>
  <c r="J1647" i="144"/>
  <c r="T1647" i="144"/>
  <c r="T1756" i="144"/>
  <c r="J1756" i="144"/>
  <c r="J1448" i="144"/>
  <c r="I1448" i="144"/>
  <c r="J1848" i="144"/>
  <c r="I1848" i="144"/>
  <c r="T1563" i="144"/>
  <c r="J1563" i="144"/>
  <c r="J772" i="144"/>
  <c r="T772" i="144"/>
  <c r="I772" i="144"/>
  <c r="J1289" i="144"/>
  <c r="I1289" i="144"/>
  <c r="J1789" i="144"/>
  <c r="T1789" i="144"/>
  <c r="T236" i="144"/>
  <c r="I236" i="144"/>
  <c r="J236" i="144"/>
  <c r="I1814" i="144"/>
  <c r="T1814" i="144"/>
  <c r="I28" i="144"/>
  <c r="T28" i="144"/>
  <c r="T853" i="144"/>
  <c r="I853" i="144"/>
  <c r="T1172" i="144"/>
  <c r="J1172" i="144"/>
  <c r="I1172" i="144"/>
  <c r="J1929" i="144"/>
  <c r="I1929" i="144"/>
  <c r="J294" i="144"/>
  <c r="T294" i="144"/>
  <c r="I294" i="144"/>
  <c r="J174" i="144"/>
  <c r="I174" i="144"/>
  <c r="J561" i="144"/>
  <c r="I561" i="144"/>
  <c r="I735" i="144"/>
  <c r="J735" i="144"/>
  <c r="I1823" i="144"/>
  <c r="J1823" i="144"/>
  <c r="J39" i="144"/>
  <c r="T39" i="144"/>
  <c r="I39" i="144"/>
  <c r="I1057" i="144"/>
  <c r="J1057" i="144"/>
  <c r="T348" i="144"/>
  <c r="I348" i="144"/>
  <c r="J1228" i="144"/>
  <c r="T1228" i="144"/>
  <c r="I262" i="144"/>
  <c r="J262" i="144"/>
  <c r="T262" i="144"/>
  <c r="I1705" i="144"/>
  <c r="T1705" i="144"/>
  <c r="J1705" i="144"/>
  <c r="I1085" i="144"/>
  <c r="J1085" i="144"/>
  <c r="T1085" i="144"/>
  <c r="I1401" i="144"/>
  <c r="J1401" i="144"/>
  <c r="T1401" i="144"/>
  <c r="J1093" i="144"/>
  <c r="I1093" i="144"/>
  <c r="T1093" i="144"/>
  <c r="J244" i="144"/>
  <c r="J760" i="144"/>
  <c r="J396" i="144"/>
  <c r="T1047" i="144"/>
  <c r="T1293" i="144"/>
  <c r="I1293" i="144"/>
  <c r="I129" i="144"/>
  <c r="J348" i="144"/>
  <c r="J1308" i="144"/>
  <c r="I1413" i="144"/>
  <c r="J79" i="144"/>
  <c r="T302" i="144"/>
  <c r="I302" i="144"/>
  <c r="J302" i="144"/>
  <c r="T1844" i="144"/>
  <c r="J1420" i="144"/>
  <c r="I736" i="144"/>
  <c r="T1404" i="144"/>
  <c r="J1404" i="144"/>
  <c r="I1404" i="144"/>
  <c r="I182" i="144"/>
  <c r="J182" i="144"/>
  <c r="T182" i="144"/>
  <c r="T757" i="144"/>
  <c r="J757" i="144"/>
  <c r="I757" i="144"/>
  <c r="J1543" i="144"/>
  <c r="T1543" i="144"/>
  <c r="I1543" i="144"/>
  <c r="I187" i="144"/>
  <c r="J187" i="144"/>
  <c r="T187" i="144"/>
  <c r="I711" i="144"/>
  <c r="J711" i="144"/>
  <c r="T711" i="144"/>
  <c r="I635" i="144"/>
  <c r="J635" i="144"/>
  <c r="T635" i="144"/>
  <c r="J802" i="144"/>
  <c r="J1553" i="144"/>
  <c r="T1553" i="144"/>
  <c r="I1553" i="144"/>
  <c r="J838" i="144"/>
  <c r="I838" i="144"/>
  <c r="T838" i="144"/>
  <c r="T902" i="144"/>
  <c r="I902" i="144"/>
  <c r="J902" i="144"/>
  <c r="I1033" i="144"/>
  <c r="T1033" i="144"/>
  <c r="J1033" i="144"/>
  <c r="J1075" i="144"/>
  <c r="I1075" i="144"/>
  <c r="T1075" i="144"/>
  <c r="J326" i="144"/>
  <c r="I326" i="144"/>
  <c r="T326" i="144"/>
  <c r="J1587" i="144"/>
  <c r="J923" i="144"/>
  <c r="J859" i="144"/>
  <c r="I859" i="144"/>
  <c r="I218" i="144"/>
  <c r="T218" i="144"/>
  <c r="J218" i="144"/>
  <c r="T208" i="144"/>
  <c r="J1820" i="144"/>
  <c r="I1451" i="144"/>
  <c r="T418" i="144"/>
  <c r="T51" i="144"/>
  <c r="I589" i="144"/>
  <c r="I875" i="144"/>
  <c r="T1022" i="144"/>
  <c r="I1191" i="144"/>
  <c r="T1080" i="144"/>
  <c r="T1180" i="144"/>
  <c r="I852" i="144"/>
  <c r="I1228" i="144"/>
  <c r="J1136" i="144"/>
  <c r="T1136" i="144"/>
  <c r="J1018" i="144"/>
  <c r="J12" i="144"/>
  <c r="T210" i="144"/>
  <c r="T1190" i="144"/>
  <c r="J1293" i="144"/>
  <c r="J589" i="144"/>
  <c r="J1168" i="144"/>
  <c r="I169" i="144"/>
  <c r="T1164" i="144"/>
  <c r="I1164" i="144"/>
  <c r="J221" i="144"/>
  <c r="T1308" i="144"/>
  <c r="I1382" i="144"/>
  <c r="I604" i="144"/>
  <c r="J827" i="144"/>
  <c r="T1403" i="144"/>
  <c r="T370" i="144"/>
  <c r="I785" i="144"/>
  <c r="T79" i="144"/>
  <c r="J1656" i="144"/>
  <c r="T1656" i="144"/>
  <c r="I1136" i="144"/>
  <c r="J250" i="144"/>
  <c r="I250" i="144"/>
  <c r="I1584" i="144"/>
  <c r="T1584" i="144"/>
  <c r="T578" i="144"/>
  <c r="J578" i="144"/>
  <c r="I578" i="144"/>
  <c r="T1644" i="144"/>
  <c r="I1644" i="144"/>
  <c r="J1644" i="144"/>
  <c r="I1441" i="144"/>
  <c r="I733" i="144"/>
  <c r="I1579" i="144"/>
  <c r="J817" i="144"/>
  <c r="I817" i="144"/>
  <c r="T817" i="144"/>
  <c r="T138" i="144"/>
  <c r="J138" i="144"/>
  <c r="I138" i="144"/>
  <c r="J371" i="144"/>
  <c r="I822" i="144"/>
  <c r="T345" i="144"/>
  <c r="I1276" i="144"/>
  <c r="J1276" i="144"/>
  <c r="T1276" i="144"/>
  <c r="T1761" i="144"/>
  <c r="T802" i="144"/>
  <c r="I1052" i="144"/>
  <c r="J1052" i="144"/>
  <c r="T1052" i="144"/>
  <c r="T937" i="144"/>
  <c r="J937" i="144"/>
  <c r="I937" i="144"/>
  <c r="J1456" i="144"/>
  <c r="T1456" i="144"/>
  <c r="J532" i="144"/>
  <c r="I532" i="144"/>
  <c r="T532" i="144"/>
  <c r="I1562" i="144"/>
  <c r="T1562" i="144"/>
  <c r="J1562" i="144"/>
  <c r="I445" i="144"/>
  <c r="T445" i="144"/>
  <c r="J445" i="144"/>
  <c r="I341" i="144"/>
  <c r="J341" i="144"/>
  <c r="T341" i="144"/>
  <c r="J1459" i="144"/>
  <c r="T1459" i="144"/>
  <c r="I1117" i="144"/>
  <c r="T1117" i="144"/>
  <c r="T1839" i="144"/>
  <c r="J1839" i="144"/>
  <c r="I1839" i="144"/>
  <c r="I1097" i="144"/>
  <c r="T1097" i="144"/>
  <c r="J1097" i="144"/>
  <c r="J991" i="144"/>
  <c r="I991" i="144"/>
  <c r="T991" i="144"/>
  <c r="T1427" i="144"/>
  <c r="I1427" i="144"/>
  <c r="J1427" i="144"/>
  <c r="T668" i="144"/>
  <c r="J668" i="144"/>
  <c r="I668" i="144"/>
  <c r="T631" i="144"/>
  <c r="I631" i="144"/>
  <c r="J631" i="144"/>
  <c r="T873" i="144"/>
  <c r="J873" i="144"/>
  <c r="I873" i="144"/>
  <c r="T306" i="144"/>
  <c r="I1660" i="144"/>
  <c r="I1361" i="144"/>
  <c r="I682" i="144"/>
  <c r="J1328" i="144"/>
  <c r="J1581" i="144"/>
  <c r="J608" i="144"/>
  <c r="I1123" i="144"/>
  <c r="T1223" i="144"/>
  <c r="T1613" i="144"/>
  <c r="J1613" i="144"/>
  <c r="I1353" i="144"/>
  <c r="T1353" i="144"/>
  <c r="T1057" i="144"/>
  <c r="I1599" i="144"/>
  <c r="J320" i="144"/>
  <c r="T320" i="144"/>
  <c r="I320" i="144"/>
  <c r="J1385" i="144"/>
  <c r="T1385" i="144"/>
  <c r="I1385" i="144"/>
  <c r="I831" i="144"/>
  <c r="J831" i="144"/>
  <c r="T831" i="144"/>
  <c r="T1692" i="144"/>
  <c r="I1692" i="144"/>
  <c r="J1692" i="144"/>
  <c r="I820" i="144"/>
  <c r="T820" i="144"/>
  <c r="J820" i="144"/>
  <c r="J891" i="144"/>
  <c r="T891" i="144"/>
  <c r="I891" i="144"/>
  <c r="T1849" i="144"/>
  <c r="J794" i="144"/>
  <c r="J653" i="144"/>
  <c r="I653" i="144"/>
  <c r="T752" i="144"/>
  <c r="J752" i="144"/>
  <c r="I752" i="144"/>
  <c r="T563" i="144"/>
  <c r="J563" i="144"/>
  <c r="I563" i="144"/>
  <c r="T615" i="144"/>
  <c r="J615" i="144"/>
  <c r="I615" i="144"/>
  <c r="J577" i="144"/>
  <c r="T1142" i="144"/>
  <c r="J1142" i="144"/>
  <c r="I1142" i="144"/>
  <c r="J154" i="144"/>
  <c r="I154" i="144"/>
  <c r="T154" i="144"/>
  <c r="J229" i="144"/>
  <c r="I229" i="144"/>
  <c r="T229" i="144"/>
  <c r="J1221" i="144"/>
  <c r="I1435" i="144"/>
  <c r="I1108" i="144"/>
  <c r="J1612" i="144"/>
  <c r="J181" i="144"/>
  <c r="I1210" i="144"/>
  <c r="I978" i="144"/>
  <c r="J1357" i="144"/>
  <c r="J546" i="144"/>
  <c r="I122" i="144"/>
  <c r="J1048" i="144"/>
  <c r="I855" i="144"/>
  <c r="T705" i="144"/>
  <c r="T1076" i="144"/>
  <c r="J1526" i="144"/>
  <c r="I895" i="144"/>
  <c r="T1801" i="144"/>
  <c r="I1751" i="144"/>
  <c r="I1027" i="144"/>
  <c r="T1642" i="144"/>
  <c r="I763" i="144"/>
  <c r="T207" i="144"/>
  <c r="I577" i="144"/>
  <c r="J198" i="144"/>
  <c r="T419" i="144"/>
  <c r="I419" i="144"/>
  <c r="J419" i="144"/>
  <c r="T1818" i="144"/>
  <c r="I1818" i="144"/>
  <c r="J1818" i="144"/>
  <c r="I1143" i="144"/>
  <c r="T1143" i="144"/>
  <c r="J1143" i="144"/>
  <c r="I1235" i="144"/>
  <c r="T1235" i="144"/>
  <c r="J1235" i="144"/>
  <c r="I1865" i="144"/>
  <c r="J1865" i="144"/>
  <c r="T1865" i="144"/>
  <c r="I1565" i="144"/>
  <c r="J1565" i="144"/>
  <c r="T1565" i="144"/>
  <c r="T1312" i="144"/>
  <c r="J1312" i="144"/>
  <c r="I1312" i="144"/>
  <c r="T1195" i="144"/>
  <c r="J1195" i="144"/>
  <c r="I1195" i="144"/>
  <c r="J1482" i="144"/>
  <c r="I1482" i="144"/>
  <c r="T1482" i="144"/>
  <c r="T1780" i="144"/>
  <c r="I1780" i="144"/>
  <c r="J1780" i="144"/>
  <c r="T596" i="144"/>
  <c r="T1217" i="144"/>
  <c r="J1217" i="144"/>
  <c r="I844" i="144"/>
  <c r="J844" i="144"/>
  <c r="T844" i="144"/>
  <c r="T358" i="144"/>
  <c r="I358" i="144"/>
  <c r="J358" i="144"/>
  <c r="T1551" i="144"/>
  <c r="J1551" i="144"/>
  <c r="I1551" i="144"/>
  <c r="T1509" i="144"/>
  <c r="J1509" i="144"/>
  <c r="I1509" i="144"/>
  <c r="T1034" i="144"/>
  <c r="J1034" i="144"/>
  <c r="I1034" i="144"/>
  <c r="T959" i="144"/>
  <c r="I959" i="144"/>
  <c r="J959" i="144"/>
  <c r="I380" i="144"/>
  <c r="J380" i="144"/>
  <c r="T380" i="144"/>
  <c r="J155" i="144"/>
  <c r="I155" i="144"/>
  <c r="T155" i="144"/>
  <c r="I923" i="144"/>
  <c r="J995" i="144"/>
  <c r="J346" i="144"/>
  <c r="J1662" i="144"/>
  <c r="J1299" i="144"/>
  <c r="T989" i="144"/>
  <c r="T1441" i="144"/>
  <c r="T927" i="144"/>
  <c r="J435" i="144"/>
  <c r="I1844" i="144"/>
  <c r="J239" i="144"/>
  <c r="J54" i="144"/>
  <c r="I1420" i="144"/>
  <c r="J1066" i="144"/>
  <c r="J424" i="144"/>
  <c r="T1269" i="144"/>
  <c r="T425" i="144"/>
  <c r="I1197" i="144"/>
  <c r="I275" i="144"/>
  <c r="T1218" i="144"/>
  <c r="J245" i="144"/>
  <c r="I9" i="144"/>
  <c r="T440" i="144"/>
  <c r="T983" i="144"/>
  <c r="J639" i="144"/>
  <c r="J1137" i="144"/>
  <c r="I1614" i="144"/>
  <c r="I1156" i="144"/>
  <c r="I1808" i="144"/>
  <c r="J1454" i="144"/>
  <c r="I1207" i="144"/>
  <c r="J1708" i="144"/>
  <c r="I212" i="144"/>
  <c r="J1422" i="144"/>
  <c r="J1607" i="144"/>
  <c r="T917" i="144"/>
  <c r="I345" i="144"/>
  <c r="T894" i="144"/>
  <c r="J25" i="144"/>
  <c r="T1166" i="144"/>
  <c r="T1557" i="144"/>
  <c r="I584" i="144"/>
  <c r="T568" i="144"/>
  <c r="J568" i="144"/>
  <c r="J268" i="144"/>
  <c r="I268" i="144"/>
  <c r="T268" i="144"/>
  <c r="T1624" i="144"/>
  <c r="T1400" i="144"/>
  <c r="J1400" i="144"/>
  <c r="I1400" i="144"/>
  <c r="T1444" i="144"/>
  <c r="I1444" i="144"/>
  <c r="J1444" i="144"/>
  <c r="I907" i="144"/>
  <c r="T907" i="144"/>
  <c r="J907" i="144"/>
  <c r="I1722" i="144"/>
  <c r="J1722" i="144"/>
  <c r="T1722" i="144"/>
  <c r="J687" i="144"/>
  <c r="T1365" i="144"/>
  <c r="J836" i="144"/>
  <c r="I1044" i="144"/>
  <c r="T1234" i="144"/>
  <c r="T1063" i="144"/>
  <c r="J1488" i="144"/>
  <c r="T1395" i="144"/>
  <c r="T938" i="144"/>
  <c r="J1636" i="144"/>
  <c r="T1264" i="144"/>
  <c r="T1032" i="144"/>
  <c r="J1430" i="144"/>
  <c r="T822" i="144"/>
  <c r="T41" i="144"/>
  <c r="J159" i="144"/>
  <c r="J1452" i="144"/>
  <c r="I997" i="144"/>
  <c r="T1159" i="144"/>
  <c r="T312" i="144"/>
  <c r="T116" i="144"/>
  <c r="J582" i="144"/>
  <c r="T646" i="144"/>
  <c r="I1279" i="144"/>
  <c r="J1641" i="144"/>
  <c r="J1872" i="144"/>
  <c r="T1872" i="144"/>
  <c r="I1872" i="144"/>
  <c r="J1326" i="144"/>
  <c r="I1326" i="144"/>
  <c r="T1326" i="144"/>
  <c r="J925" i="144"/>
  <c r="T925" i="144"/>
  <c r="I925" i="144"/>
  <c r="J839" i="144"/>
  <c r="I839" i="144"/>
  <c r="T839" i="144"/>
  <c r="J1461" i="144"/>
  <c r="T1461" i="144"/>
  <c r="I1461" i="144"/>
  <c r="I779" i="144"/>
  <c r="J779" i="144"/>
  <c r="T779" i="144"/>
  <c r="I1347" i="144"/>
  <c r="J1347" i="144"/>
  <c r="T1347" i="144"/>
  <c r="J1134" i="144"/>
  <c r="I510" i="144"/>
  <c r="J510" i="144"/>
  <c r="T510" i="144"/>
  <c r="J1557" i="144"/>
  <c r="T584" i="144"/>
  <c r="J509" i="144"/>
  <c r="T1274" i="144"/>
  <c r="I1274" i="144"/>
  <c r="I317" i="144"/>
  <c r="J317" i="144"/>
  <c r="J916" i="144"/>
  <c r="I916" i="144"/>
  <c r="T916" i="144"/>
  <c r="J1348" i="144"/>
  <c r="T196" i="144"/>
  <c r="I196" i="144"/>
  <c r="J196" i="144"/>
  <c r="I1039" i="144"/>
  <c r="J1039" i="144"/>
  <c r="T1039" i="144"/>
  <c r="J761" i="144"/>
  <c r="I761" i="144"/>
  <c r="T761" i="144"/>
  <c r="J643" i="144"/>
  <c r="T643" i="144"/>
  <c r="I643" i="144"/>
  <c r="I379" i="144"/>
  <c r="J379" i="144"/>
  <c r="I1379" i="144"/>
  <c r="J1379" i="144"/>
  <c r="T1379" i="144"/>
  <c r="T1375" i="144"/>
  <c r="J1375" i="144"/>
  <c r="I1375" i="144"/>
  <c r="I373" i="144"/>
  <c r="T373" i="144"/>
  <c r="J373" i="144"/>
  <c r="J493" i="144"/>
  <c r="T493" i="144"/>
  <c r="I493" i="144"/>
  <c r="J1199" i="144"/>
  <c r="T1199" i="144"/>
  <c r="I1199" i="144"/>
  <c r="T315" i="144"/>
  <c r="J315" i="144"/>
  <c r="I315" i="144"/>
  <c r="T331" i="144"/>
  <c r="T1000" i="144"/>
  <c r="I1000" i="144"/>
  <c r="J1000" i="144"/>
  <c r="T557" i="144"/>
  <c r="J557" i="144"/>
  <c r="I557" i="144"/>
  <c r="I1107" i="144"/>
  <c r="J1107" i="144"/>
  <c r="T1107" i="144"/>
  <c r="T739" i="144"/>
  <c r="I739" i="144"/>
  <c r="J739" i="144"/>
  <c r="J718" i="144"/>
  <c r="I718" i="144"/>
  <c r="J167" i="144"/>
  <c r="T1011" i="144"/>
  <c r="J488" i="144"/>
  <c r="T509" i="144"/>
  <c r="T354" i="144"/>
  <c r="J1090" i="144"/>
  <c r="I1090" i="144"/>
  <c r="T317" i="144"/>
  <c r="T1670" i="144"/>
  <c r="I1670" i="144"/>
  <c r="T1243" i="144"/>
  <c r="T1042" i="144"/>
  <c r="J1042" i="144"/>
  <c r="I1042" i="144"/>
  <c r="J1850" i="144"/>
  <c r="T1850" i="144"/>
  <c r="I1850" i="144"/>
  <c r="T1765" i="144"/>
  <c r="J947" i="144"/>
  <c r="I1248" i="144"/>
  <c r="T731" i="144"/>
  <c r="J1389" i="144"/>
  <c r="T1389" i="144"/>
  <c r="J1517" i="144"/>
  <c r="I1517" i="144"/>
  <c r="T1517" i="144"/>
  <c r="I611" i="144"/>
  <c r="T611" i="144"/>
  <c r="J611" i="144"/>
  <c r="J1250" i="144"/>
  <c r="I1250" i="144"/>
  <c r="T1250" i="144"/>
  <c r="J1942" i="144"/>
  <c r="T1942" i="144"/>
  <c r="I1942" i="144"/>
  <c r="T1939" i="144"/>
  <c r="T1125" i="144"/>
  <c r="J1125" i="144"/>
  <c r="I1125" i="144"/>
  <c r="T569" i="144"/>
  <c r="I1835" i="144"/>
  <c r="I1113" i="144"/>
  <c r="T1113" i="144"/>
  <c r="I1622" i="144"/>
  <c r="T1622" i="144"/>
  <c r="T694" i="144"/>
  <c r="J694" i="144"/>
  <c r="I694" i="144"/>
  <c r="T632" i="144"/>
  <c r="J632" i="144"/>
  <c r="I632" i="144"/>
  <c r="T814" i="144"/>
  <c r="J814" i="144"/>
  <c r="I814" i="144"/>
  <c r="I1727" i="144"/>
  <c r="J1727" i="144"/>
  <c r="T1727" i="144"/>
  <c r="T525" i="144"/>
  <c r="J525" i="144"/>
  <c r="I525" i="144"/>
  <c r="I929" i="144"/>
  <c r="T929" i="144"/>
  <c r="J929" i="144"/>
  <c r="J106" i="144"/>
  <c r="T106" i="144"/>
  <c r="I106" i="144"/>
  <c r="I644" i="144"/>
  <c r="J644" i="144"/>
  <c r="T644" i="144"/>
  <c r="T961" i="144"/>
  <c r="I961" i="144"/>
  <c r="J961" i="144"/>
  <c r="T941" i="144"/>
  <c r="I941" i="144"/>
  <c r="J941" i="144"/>
  <c r="I55" i="144"/>
  <c r="J55" i="144"/>
  <c r="T55" i="144"/>
  <c r="I1175" i="144"/>
  <c r="T1899" i="144"/>
  <c r="I1792" i="144"/>
  <c r="T1792" i="144"/>
  <c r="I1635" i="144"/>
  <c r="J1635" i="144"/>
  <c r="T1740" i="144"/>
  <c r="J1740" i="144"/>
  <c r="I1740" i="144"/>
  <c r="T1289" i="144"/>
  <c r="J1813" i="144"/>
  <c r="T1813" i="144"/>
  <c r="I1813" i="144"/>
  <c r="I511" i="144"/>
  <c r="J511" i="144"/>
  <c r="T511" i="144"/>
  <c r="I768" i="144"/>
  <c r="J768" i="144"/>
  <c r="T768" i="144"/>
  <c r="J197" i="144"/>
  <c r="T197" i="144"/>
  <c r="I197" i="144"/>
  <c r="T812" i="144"/>
  <c r="I812" i="144"/>
  <c r="J812" i="144"/>
  <c r="J1931" i="144"/>
  <c r="I1931" i="144"/>
  <c r="T1931" i="144"/>
  <c r="T1862" i="144"/>
  <c r="T1091" i="144"/>
  <c r="I1091" i="144"/>
  <c r="J1091" i="144"/>
  <c r="I945" i="144"/>
  <c r="T1176" i="144"/>
  <c r="I995" i="144"/>
  <c r="J1248" i="144"/>
  <c r="I150" i="144"/>
  <c r="J400" i="144"/>
  <c r="T519" i="144"/>
  <c r="I1604" i="144"/>
  <c r="I450" i="144"/>
  <c r="T355" i="144"/>
  <c r="J1792" i="144"/>
  <c r="T1635" i="144"/>
  <c r="I1618" i="144"/>
  <c r="T1275" i="144"/>
  <c r="J1275" i="144"/>
  <c r="I1275" i="144"/>
  <c r="T1001" i="144"/>
  <c r="J1001" i="144"/>
  <c r="I1001" i="144"/>
  <c r="T780" i="144"/>
  <c r="J780" i="144"/>
  <c r="I780" i="144"/>
  <c r="T410" i="144"/>
  <c r="I410" i="144"/>
  <c r="J410" i="144"/>
  <c r="T1834" i="144"/>
  <c r="J1834" i="144"/>
  <c r="I1834" i="144"/>
  <c r="T1739" i="144"/>
  <c r="J1739" i="144"/>
  <c r="I1739" i="144"/>
  <c r="T311" i="144"/>
  <c r="J311" i="144"/>
  <c r="I311" i="144"/>
  <c r="T601" i="144"/>
  <c r="I1672" i="144"/>
  <c r="T1672" i="144"/>
  <c r="J734" i="144"/>
  <c r="I734" i="144"/>
  <c r="T734" i="144"/>
  <c r="T1399" i="144"/>
  <c r="J1399" i="144"/>
  <c r="I1399" i="144"/>
  <c r="T985" i="144"/>
  <c r="J985" i="144"/>
  <c r="I985" i="144"/>
  <c r="J1804" i="144"/>
  <c r="I1804" i="144"/>
  <c r="T1804" i="144"/>
  <c r="J898" i="144"/>
  <c r="I898" i="144"/>
  <c r="T898" i="144"/>
  <c r="J1349" i="144"/>
  <c r="T1349" i="144"/>
  <c r="I1349" i="144"/>
  <c r="T260" i="144"/>
  <c r="J260" i="144"/>
  <c r="I260" i="144"/>
  <c r="J261" i="144"/>
  <c r="T205" i="144"/>
  <c r="I205" i="144"/>
  <c r="J205" i="144"/>
  <c r="J523" i="144"/>
  <c r="T523" i="144"/>
  <c r="I523" i="144"/>
  <c r="J1231" i="144"/>
  <c r="T1905" i="144"/>
  <c r="J1905" i="144"/>
  <c r="I1905" i="144"/>
  <c r="T150" i="144"/>
  <c r="J450" i="144"/>
  <c r="J1672" i="144"/>
  <c r="J353" i="144"/>
  <c r="T353" i="144"/>
  <c r="I68" i="144"/>
  <c r="T68" i="144"/>
  <c r="J68" i="144"/>
  <c r="J83" i="144"/>
  <c r="I83" i="144"/>
  <c r="T83" i="144"/>
  <c r="I1253" i="144"/>
  <c r="J1253" i="144"/>
  <c r="T1253" i="144"/>
  <c r="J1558" i="144"/>
  <c r="J790" i="144"/>
  <c r="T790" i="144"/>
  <c r="T1094" i="144"/>
  <c r="J1094" i="144"/>
  <c r="I788" i="144"/>
  <c r="T788" i="144"/>
  <c r="J788" i="144"/>
  <c r="I491" i="144"/>
  <c r="J491" i="144"/>
  <c r="T491" i="144"/>
  <c r="I1704" i="144"/>
  <c r="J1769" i="144"/>
  <c r="I1162" i="144"/>
  <c r="J1162" i="144"/>
  <c r="T1871" i="144"/>
  <c r="I1871" i="144"/>
  <c r="I1202" i="144"/>
  <c r="T1202" i="144"/>
  <c r="T1254" i="144"/>
  <c r="J1254" i="144"/>
  <c r="I1880" i="144"/>
  <c r="I654" i="144"/>
  <c r="T654" i="144"/>
  <c r="J654" i="144"/>
  <c r="J924" i="144"/>
  <c r="I924" i="144"/>
  <c r="T924" i="144"/>
  <c r="J564" i="144"/>
  <c r="T564" i="144"/>
  <c r="I564" i="144"/>
  <c r="I485" i="144"/>
  <c r="J485" i="144"/>
  <c r="T485" i="144"/>
  <c r="J1866" i="144"/>
  <c r="T1866" i="144"/>
  <c r="I1866" i="144"/>
  <c r="J771" i="144"/>
  <c r="I771" i="144"/>
  <c r="T771" i="144"/>
  <c r="I1083" i="144"/>
  <c r="J1721" i="144"/>
  <c r="I1721" i="144"/>
  <c r="T1721" i="144"/>
  <c r="I1769" i="144"/>
  <c r="T287" i="144"/>
  <c r="T389" i="144"/>
  <c r="T1162" i="144"/>
  <c r="I1513" i="144"/>
  <c r="J1513" i="144"/>
  <c r="T395" i="144"/>
  <c r="I395" i="144"/>
  <c r="T1258" i="144"/>
  <c r="J1258" i="144"/>
  <c r="I397" i="144"/>
  <c r="J397" i="144"/>
  <c r="T397" i="144"/>
  <c r="T634" i="144"/>
  <c r="J69" i="144"/>
  <c r="T69" i="144"/>
  <c r="I69" i="144"/>
  <c r="T1271" i="144"/>
  <c r="J1271" i="144"/>
  <c r="I1271" i="144"/>
  <c r="T1912" i="144"/>
  <c r="I1912" i="144"/>
  <c r="J1912" i="144"/>
  <c r="I1743" i="144"/>
  <c r="J1743" i="144"/>
  <c r="T1743" i="144"/>
  <c r="T1936" i="144"/>
  <c r="J1936" i="144"/>
  <c r="J1932" i="144"/>
  <c r="I1932" i="144"/>
  <c r="T1932" i="144"/>
  <c r="J490" i="144"/>
  <c r="T490" i="144"/>
  <c r="I490" i="144"/>
  <c r="J434" i="144"/>
  <c r="I1449" i="144"/>
  <c r="T1449" i="144"/>
  <c r="J1449" i="144"/>
  <c r="I180" i="144"/>
  <c r="T180" i="144"/>
  <c r="J123" i="144"/>
  <c r="I1874" i="144"/>
  <c r="J1874" i="144"/>
  <c r="J689" i="144"/>
  <c r="T139" i="144"/>
  <c r="J139" i="144"/>
  <c r="J420" i="144"/>
  <c r="T420" i="144"/>
  <c r="T824" i="144"/>
  <c r="I824" i="144"/>
  <c r="T1848" i="144"/>
  <c r="I943" i="144"/>
  <c r="T943" i="144"/>
  <c r="J943" i="144"/>
  <c r="T398" i="144"/>
  <c r="J398" i="144"/>
  <c r="I398" i="144"/>
  <c r="I1521" i="144"/>
  <c r="J1521" i="144"/>
  <c r="T1521" i="144"/>
  <c r="J1655" i="144"/>
  <c r="T1655" i="144"/>
  <c r="I1655" i="144"/>
  <c r="J126" i="144"/>
  <c r="T126" i="144"/>
  <c r="I126" i="144"/>
  <c r="J1755" i="144"/>
  <c r="T1755" i="144"/>
  <c r="T1514" i="144"/>
  <c r="J1514" i="144"/>
  <c r="I1514" i="144"/>
  <c r="J1842" i="144"/>
  <c r="T1842" i="144"/>
  <c r="I1842" i="144"/>
  <c r="J731" i="144"/>
  <c r="I870" i="144"/>
  <c r="J75" i="144"/>
  <c r="T982" i="144"/>
  <c r="I1518" i="144"/>
  <c r="J1687" i="144"/>
  <c r="I438" i="144"/>
  <c r="J1318" i="144"/>
  <c r="J291" i="144"/>
  <c r="T1134" i="144"/>
  <c r="T740" i="144"/>
  <c r="J204" i="144"/>
  <c r="I1696" i="144"/>
  <c r="T1824" i="144"/>
  <c r="I1053" i="144"/>
  <c r="J1747" i="144"/>
  <c r="T1390" i="144"/>
  <c r="I1571" i="144"/>
  <c r="I910" i="144"/>
  <c r="J1797" i="144"/>
  <c r="T223" i="144"/>
  <c r="T595" i="144"/>
  <c r="J1717" i="144"/>
  <c r="T1717" i="144"/>
  <c r="T896" i="144"/>
  <c r="J180" i="144"/>
  <c r="I1483" i="144"/>
  <c r="T1483" i="144"/>
  <c r="J81" i="144"/>
  <c r="I81" i="144"/>
  <c r="T598" i="144"/>
  <c r="T1874" i="144"/>
  <c r="T689" i="144"/>
  <c r="I139" i="144"/>
  <c r="I420" i="144"/>
  <c r="I579" i="144"/>
  <c r="T579" i="144"/>
  <c r="J579" i="144"/>
  <c r="J824" i="144"/>
  <c r="T867" i="144"/>
  <c r="J867" i="144"/>
  <c r="I867" i="144"/>
  <c r="J65" i="144"/>
  <c r="I65" i="144"/>
  <c r="T65" i="144"/>
  <c r="T1749" i="144"/>
  <c r="I1749" i="144"/>
  <c r="J1749" i="144"/>
  <c r="I542" i="144"/>
  <c r="J542" i="144"/>
  <c r="T542" i="144"/>
  <c r="I659" i="144"/>
  <c r="J659" i="144"/>
  <c r="T659" i="144"/>
  <c r="I730" i="144"/>
  <c r="I1390" i="144"/>
  <c r="I1466" i="144"/>
  <c r="T952" i="144"/>
  <c r="I952" i="144"/>
  <c r="T375" i="144"/>
  <c r="I375" i="144"/>
  <c r="T1802" i="144"/>
  <c r="J1802" i="144"/>
  <c r="T1735" i="144"/>
  <c r="J600" i="144"/>
  <c r="I600" i="144"/>
  <c r="J1927" i="144"/>
  <c r="J717" i="144"/>
  <c r="T717" i="144"/>
  <c r="I717" i="144"/>
  <c r="J381" i="144"/>
  <c r="I381" i="144"/>
  <c r="T381" i="144"/>
  <c r="J476" i="144"/>
  <c r="T476" i="144"/>
  <c r="I476" i="144"/>
  <c r="J286" i="144"/>
  <c r="T286" i="144"/>
  <c r="I286" i="144"/>
  <c r="J1528" i="144"/>
  <c r="I1528" i="144"/>
  <c r="T1528" i="144"/>
  <c r="I43" i="144"/>
  <c r="T43" i="144"/>
  <c r="J43" i="144"/>
  <c r="J35" i="144"/>
  <c r="T35" i="144"/>
  <c r="T1747" i="144"/>
  <c r="T281" i="144"/>
  <c r="J219" i="144"/>
  <c r="T735" i="144"/>
  <c r="J911" i="144"/>
  <c r="J1653" i="144"/>
  <c r="J1466" i="144"/>
  <c r="J595" i="144"/>
  <c r="J547" i="144"/>
  <c r="J50" i="144"/>
  <c r="T50" i="144"/>
  <c r="T901" i="144"/>
  <c r="J901" i="144"/>
  <c r="J952" i="144"/>
  <c r="J145" i="144"/>
  <c r="I1832" i="144"/>
  <c r="J571" i="144"/>
  <c r="T1594" i="144"/>
  <c r="I1594" i="144"/>
  <c r="J677" i="144"/>
  <c r="I133" i="144"/>
  <c r="J375" i="144"/>
  <c r="I1802" i="144"/>
  <c r="T1138" i="144"/>
  <c r="J1138" i="144"/>
  <c r="I1138" i="144"/>
  <c r="J297" i="144"/>
  <c r="I297" i="144"/>
  <c r="T297" i="144"/>
  <c r="J1767" i="144"/>
  <c r="T1767" i="144"/>
  <c r="I1767" i="144"/>
  <c r="J690" i="144"/>
  <c r="I690" i="144"/>
  <c r="T690" i="144"/>
  <c r="J904" i="144"/>
  <c r="T576" i="144"/>
  <c r="I576" i="144"/>
  <c r="J576" i="144"/>
  <c r="J1702" i="144"/>
  <c r="I1702" i="144"/>
  <c r="T1702" i="144"/>
  <c r="T1597" i="144"/>
  <c r="J1597" i="144"/>
  <c r="I1597" i="144"/>
  <c r="J304" i="144"/>
  <c r="I444" i="144"/>
  <c r="T99" i="144"/>
  <c r="J99" i="144"/>
  <c r="J427" i="144"/>
  <c r="T427" i="144"/>
  <c r="T1008" i="144"/>
  <c r="I1008" i="144"/>
  <c r="J1008" i="144"/>
  <c r="I1921" i="144"/>
  <c r="J1921" i="144"/>
  <c r="J461" i="144"/>
  <c r="I461" i="144"/>
  <c r="I1647" i="144"/>
  <c r="J1907" i="144"/>
  <c r="T1907" i="144"/>
  <c r="T1098" i="144"/>
  <c r="J1098" i="144"/>
  <c r="I289" i="144"/>
  <c r="J289" i="144"/>
  <c r="J468" i="144"/>
  <c r="I468" i="144"/>
  <c r="T1313" i="144"/>
  <c r="I1313" i="144"/>
  <c r="I307" i="144"/>
  <c r="T307" i="144"/>
  <c r="J964" i="144"/>
  <c r="T1241" i="144"/>
  <c r="T304" i="144"/>
  <c r="J795" i="144"/>
  <c r="T1782" i="144"/>
  <c r="I650" i="144"/>
  <c r="J637" i="144"/>
  <c r="I637" i="144"/>
  <c r="J1938" i="144"/>
  <c r="T1938" i="144"/>
  <c r="I1709" i="144"/>
  <c r="T444" i="144"/>
  <c r="J10" i="144"/>
  <c r="I427" i="144"/>
  <c r="T1921" i="144"/>
  <c r="I1907" i="144"/>
  <c r="I1098" i="144"/>
  <c r="T648" i="144"/>
  <c r="T36" i="144"/>
  <c r="I36" i="144"/>
  <c r="I857" i="144"/>
  <c r="J408" i="144"/>
  <c r="I408" i="144"/>
  <c r="T289" i="144"/>
  <c r="T940" i="144"/>
  <c r="J940" i="144"/>
  <c r="I940" i="144"/>
  <c r="J489" i="144"/>
  <c r="T512" i="144"/>
  <c r="T1823" i="144"/>
  <c r="I1065" i="144"/>
  <c r="I64" i="144"/>
  <c r="J1790" i="144"/>
  <c r="J1735" i="144"/>
  <c r="J634" i="144"/>
  <c r="T882" i="144"/>
  <c r="T1431" i="144"/>
  <c r="T1917" i="144"/>
  <c r="J1881" i="144"/>
  <c r="J113" i="144"/>
  <c r="I1918" i="144"/>
  <c r="T587" i="144"/>
  <c r="I1535" i="144"/>
  <c r="I1247" i="144"/>
  <c r="T460" i="144"/>
  <c r="J819" i="144"/>
  <c r="T819" i="144"/>
  <c r="T1876" i="144"/>
  <c r="I1896" i="144"/>
  <c r="T502" i="144"/>
  <c r="I502" i="144"/>
  <c r="I984" i="144"/>
  <c r="T1111" i="144"/>
  <c r="J1111" i="144"/>
  <c r="I1111" i="144"/>
  <c r="T1682" i="144"/>
  <c r="I1078" i="144"/>
  <c r="J1078" i="144"/>
  <c r="J1888" i="144"/>
  <c r="I1888" i="144"/>
  <c r="J1497" i="144"/>
  <c r="I1497" i="144"/>
  <c r="I259" i="144"/>
  <c r="T259" i="144"/>
  <c r="I970" i="144"/>
  <c r="T970" i="144"/>
  <c r="J970" i="144"/>
  <c r="I955" i="144"/>
  <c r="J955" i="144"/>
  <c r="T955" i="144"/>
  <c r="I1570" i="144"/>
  <c r="T1570" i="144"/>
  <c r="J573" i="144"/>
  <c r="I573" i="144"/>
  <c r="I97" i="144"/>
  <c r="T97" i="144"/>
  <c r="I994" i="144"/>
  <c r="J994" i="144"/>
  <c r="I494" i="144"/>
  <c r="J494" i="144"/>
  <c r="T494" i="144"/>
  <c r="J44" i="144"/>
  <c r="T44" i="144"/>
  <c r="I44" i="144"/>
  <c r="J84" i="144"/>
  <c r="J1673" i="144"/>
  <c r="T946" i="144"/>
  <c r="J384" i="144"/>
  <c r="J986" i="144"/>
  <c r="I1245" i="144"/>
  <c r="T344" i="144"/>
  <c r="J344" i="144"/>
  <c r="J14" i="144"/>
  <c r="I14" i="144"/>
  <c r="T769" i="144"/>
  <c r="J769" i="144"/>
  <c r="J67" i="144"/>
  <c r="I67" i="144"/>
  <c r="I1789" i="144"/>
  <c r="T242" i="144"/>
  <c r="I242" i="144"/>
  <c r="I334" i="144"/>
  <c r="J737" i="144"/>
  <c r="T737" i="144"/>
  <c r="T503" i="144"/>
  <c r="T211" i="144"/>
  <c r="I211" i="144"/>
  <c r="T1209" i="144"/>
  <c r="I1209" i="144"/>
  <c r="T994" i="144"/>
  <c r="T1278" i="144"/>
  <c r="I1278" i="144"/>
  <c r="J1336" i="144"/>
  <c r="T753" i="144"/>
  <c r="J753" i="144"/>
  <c r="J1065" i="144"/>
  <c r="T64" i="144"/>
  <c r="I1790" i="144"/>
  <c r="I1735" i="144"/>
  <c r="I634" i="144"/>
  <c r="I882" i="144"/>
  <c r="J796" i="144"/>
  <c r="J1431" i="144"/>
  <c r="I1917" i="144"/>
  <c r="J1595" i="144"/>
  <c r="J1852" i="144"/>
  <c r="J1535" i="144"/>
  <c r="J1245" i="144"/>
  <c r="I1894" i="144"/>
  <c r="J460" i="144"/>
  <c r="I1876" i="144"/>
  <c r="I344" i="144"/>
  <c r="T1272" i="144"/>
  <c r="J1896" i="144"/>
  <c r="T14" i="144"/>
  <c r="T984" i="144"/>
  <c r="T213" i="144"/>
  <c r="I213" i="144"/>
  <c r="I1368" i="144"/>
  <c r="T1368" i="144"/>
  <c r="I769" i="144"/>
  <c r="I538" i="144"/>
  <c r="T538" i="144"/>
  <c r="I1317" i="144"/>
  <c r="T1317" i="144"/>
  <c r="J1317" i="144"/>
  <c r="J1367" i="144"/>
  <c r="J1902" i="144"/>
  <c r="I1902" i="144"/>
  <c r="J1129" i="144"/>
  <c r="I1129" i="144"/>
  <c r="J242" i="144"/>
  <c r="I737" i="144"/>
  <c r="I627" i="144"/>
  <c r="T627" i="144"/>
  <c r="J211" i="144"/>
  <c r="T1796" i="144"/>
  <c r="J1796" i="144"/>
  <c r="J828" i="144"/>
  <c r="I828" i="144"/>
  <c r="T828" i="144"/>
  <c r="T66" i="144"/>
  <c r="I1691" i="144"/>
  <c r="T1691" i="144"/>
  <c r="J1691" i="144"/>
  <c r="I1770" i="144"/>
  <c r="J1770" i="144"/>
  <c r="T152" i="144"/>
  <c r="T151" i="144"/>
  <c r="T1114" i="144"/>
  <c r="J890" i="144"/>
  <c r="I796" i="144"/>
  <c r="J1882" i="144"/>
  <c r="T1595" i="144"/>
  <c r="I1852" i="144"/>
  <c r="J880" i="144"/>
  <c r="J881" i="144"/>
  <c r="I1028" i="144"/>
  <c r="I200" i="144"/>
  <c r="T200" i="144"/>
  <c r="I1774" i="144"/>
  <c r="I614" i="144"/>
  <c r="J1272" i="144"/>
  <c r="I905" i="144"/>
  <c r="T905" i="144"/>
  <c r="J1394" i="144"/>
  <c r="T789" i="144"/>
  <c r="I1314" i="144"/>
  <c r="J1305" i="144"/>
  <c r="J213" i="144"/>
  <c r="J1424" i="144"/>
  <c r="T1424" i="144"/>
  <c r="T1858" i="144"/>
  <c r="I1858" i="144"/>
  <c r="J538" i="144"/>
  <c r="I1893" i="144"/>
  <c r="T1893" i="144"/>
  <c r="J1893" i="144"/>
  <c r="T1902" i="144"/>
  <c r="T1129" i="144"/>
  <c r="J292" i="144"/>
  <c r="T292" i="144"/>
  <c r="I1144" i="144"/>
  <c r="J1144" i="144"/>
  <c r="J980" i="144"/>
  <c r="T980" i="144"/>
  <c r="J627" i="144"/>
  <c r="I1796" i="144"/>
  <c r="J191" i="144"/>
  <c r="J931" i="144"/>
  <c r="T931" i="144"/>
  <c r="J966" i="144"/>
  <c r="I966" i="144"/>
  <c r="J586" i="144"/>
  <c r="J1679" i="144"/>
  <c r="J1350" i="144"/>
  <c r="I1477" i="144"/>
  <c r="I234" i="144"/>
  <c r="I1828" i="144"/>
  <c r="I790" i="144"/>
  <c r="J719" i="144"/>
  <c r="J393" i="144"/>
  <c r="I1684" i="144"/>
  <c r="I934" i="144"/>
  <c r="J698" i="144"/>
  <c r="I1397" i="144"/>
  <c r="T497" i="144"/>
  <c r="J231" i="144"/>
  <c r="T653" i="144"/>
  <c r="T1574" i="144"/>
  <c r="T1388" i="144"/>
  <c r="T1189" i="144"/>
  <c r="J804" i="144"/>
  <c r="J1161" i="144"/>
  <c r="J604" i="144"/>
  <c r="J472" i="144"/>
  <c r="I100" i="144"/>
  <c r="J679" i="144"/>
  <c r="I725" i="144"/>
  <c r="T142" i="144"/>
  <c r="T1233" i="144"/>
  <c r="T856" i="144"/>
  <c r="T498" i="144"/>
  <c r="T1812" i="144"/>
  <c r="I767" i="144"/>
  <c r="T169" i="144"/>
  <c r="I1192" i="144"/>
  <c r="I1213" i="144"/>
  <c r="I521" i="144"/>
  <c r="T1732" i="144"/>
  <c r="J1489" i="144"/>
  <c r="T1411" i="144"/>
  <c r="T760" i="144"/>
  <c r="I887" i="144"/>
  <c r="T618" i="144"/>
  <c r="I243" i="144"/>
  <c r="I1252" i="144"/>
  <c r="J1519" i="144"/>
  <c r="I968" i="144"/>
  <c r="J1491" i="144"/>
  <c r="T309" i="144"/>
  <c r="I1298" i="144"/>
  <c r="T703" i="144"/>
  <c r="T1280" i="144"/>
  <c r="T1012" i="144"/>
  <c r="I1267" i="144"/>
  <c r="I1377" i="144"/>
  <c r="J1152" i="144"/>
  <c r="I1768" i="144"/>
  <c r="T1188" i="144"/>
  <c r="J441" i="144"/>
  <c r="T1343" i="144"/>
  <c r="I1288" i="144"/>
  <c r="I1329" i="144"/>
  <c r="I105" i="144"/>
  <c r="I971" i="144"/>
  <c r="T1346" i="144"/>
  <c r="J926" i="144"/>
  <c r="J1857" i="144"/>
  <c r="J665" i="144"/>
  <c r="T700" i="144"/>
  <c r="J868" i="144"/>
  <c r="J533" i="144"/>
  <c r="J1700" i="144"/>
  <c r="T745" i="144"/>
  <c r="T1004" i="144"/>
  <c r="I841" i="144"/>
  <c r="J1670" i="144"/>
  <c r="I1342" i="144"/>
  <c r="T966" i="144"/>
  <c r="J195" i="144"/>
  <c r="J1463" i="144"/>
  <c r="I540" i="144"/>
  <c r="J541" i="144"/>
  <c r="T1363" i="144"/>
  <c r="J846" i="144"/>
  <c r="T1878" i="144"/>
  <c r="J900" i="144"/>
  <c r="J1251" i="144"/>
  <c r="T174" i="144"/>
  <c r="J1476" i="144"/>
  <c r="J141" i="144"/>
  <c r="T416" i="144"/>
  <c r="J884" i="144"/>
  <c r="T87" i="144"/>
  <c r="J1320" i="144"/>
  <c r="J755" i="144"/>
  <c r="T1549" i="144"/>
  <c r="I878" i="144"/>
  <c r="J224" i="144"/>
  <c r="T1503" i="144"/>
  <c r="J853" i="144"/>
  <c r="T216" i="144"/>
  <c r="T1620" i="144"/>
  <c r="T847" i="144"/>
  <c r="J648" i="144"/>
  <c r="T1344" i="144"/>
  <c r="I758" i="144"/>
  <c r="I503" i="144"/>
  <c r="I1230" i="144"/>
  <c r="J722" i="144"/>
  <c r="T1524" i="144"/>
  <c r="I900" i="144"/>
  <c r="I648" i="144"/>
  <c r="I1251" i="144"/>
  <c r="T321" i="144"/>
  <c r="I119" i="144"/>
  <c r="T758" i="144"/>
  <c r="I141" i="144"/>
  <c r="J263" i="144"/>
  <c r="I1464" i="144"/>
  <c r="J1332" i="144"/>
  <c r="I87" i="144"/>
  <c r="T1354" i="144"/>
  <c r="J1720" i="144"/>
  <c r="T755" i="144"/>
  <c r="J1549" i="144"/>
  <c r="T878" i="144"/>
  <c r="J1405" i="144"/>
  <c r="J216" i="144"/>
  <c r="J1620" i="144"/>
  <c r="T1929" i="144"/>
  <c r="T1026" i="144"/>
  <c r="J1524" i="144"/>
  <c r="T1895" i="144"/>
  <c r="I78" i="144"/>
  <c r="I321" i="144"/>
  <c r="T119" i="144"/>
  <c r="I1859" i="144"/>
  <c r="I649" i="144"/>
  <c r="J791" i="144"/>
  <c r="I723" i="144"/>
  <c r="J1464" i="144"/>
  <c r="T1332" i="144"/>
  <c r="I442" i="144"/>
  <c r="J1744" i="144"/>
  <c r="I1354" i="144"/>
  <c r="T1405" i="144"/>
  <c r="J131" i="144"/>
  <c r="T1484" i="144"/>
  <c r="J1484" i="144"/>
  <c r="T933" i="144"/>
  <c r="T793" i="144"/>
  <c r="T1255" i="144"/>
  <c r="I277" i="144"/>
  <c r="T1322" i="144"/>
  <c r="J1576" i="144"/>
  <c r="J628" i="144"/>
  <c r="I1398" i="144"/>
  <c r="I660" i="144"/>
  <c r="I1140" i="144"/>
  <c r="J603" i="144"/>
  <c r="T567" i="144"/>
  <c r="T1334" i="144"/>
  <c r="T1510" i="144"/>
  <c r="T778" i="144"/>
  <c r="I161" i="144"/>
  <c r="I642" i="144"/>
  <c r="T219" i="144"/>
  <c r="J208" i="144"/>
  <c r="I636" i="144"/>
  <c r="J948" i="144"/>
  <c r="I290" i="144"/>
  <c r="T676" i="144"/>
  <c r="J1538" i="144"/>
  <c r="I505" i="144"/>
  <c r="I1285" i="144"/>
  <c r="I266" i="144"/>
  <c r="T1229" i="144"/>
  <c r="I1456" i="144"/>
  <c r="I993" i="144"/>
  <c r="I1712" i="144"/>
  <c r="I1465" i="144"/>
  <c r="I704" i="144"/>
  <c r="J1153" i="144"/>
  <c r="J288" i="144"/>
  <c r="T335" i="144"/>
  <c r="J285" i="144"/>
  <c r="T738" i="144"/>
  <c r="T459" i="144"/>
  <c r="T1916" i="144"/>
  <c r="T850" i="144"/>
  <c r="J1341" i="144"/>
  <c r="J516" i="144"/>
  <c r="T379" i="144"/>
  <c r="T1174" i="144"/>
  <c r="I1831" i="144"/>
  <c r="I1713" i="144"/>
  <c r="T1798" i="144"/>
  <c r="J267" i="144"/>
  <c r="I1227" i="144"/>
  <c r="I1837" i="144"/>
  <c r="I1827" i="144"/>
  <c r="T257" i="144"/>
  <c r="I1474" i="144"/>
  <c r="I1148" i="144"/>
  <c r="I128" i="144"/>
  <c r="I248" i="144"/>
  <c r="J806" i="144"/>
  <c r="I1219" i="144"/>
  <c r="J1776" i="144"/>
  <c r="T214" i="144"/>
  <c r="I1438" i="144"/>
  <c r="I1396" i="144"/>
  <c r="J1815" i="144"/>
  <c r="T60" i="144"/>
  <c r="I210" i="144"/>
  <c r="I720" i="144"/>
  <c r="I1523" i="144"/>
  <c r="T40" i="144"/>
  <c r="I406" i="144"/>
  <c r="T1569" i="144"/>
  <c r="I515" i="144"/>
  <c r="I1212" i="144"/>
  <c r="I1867" i="144"/>
  <c r="T183" i="144"/>
  <c r="J447" i="144"/>
  <c r="J1236" i="144"/>
  <c r="I1897" i="144"/>
  <c r="I23" i="144"/>
  <c r="J102" i="144"/>
  <c r="J1303" i="144"/>
  <c r="T713" i="144"/>
  <c r="I1010" i="144"/>
  <c r="T1695" i="144"/>
  <c r="I1838" i="144"/>
  <c r="I96" i="144"/>
  <c r="J88" i="144"/>
  <c r="I1154" i="144"/>
  <c r="I843" i="144"/>
  <c r="I1128" i="144"/>
  <c r="T1146" i="144"/>
  <c r="T403" i="144"/>
  <c r="J1127" i="144"/>
  <c r="T372" i="144"/>
  <c r="J729" i="144"/>
  <c r="T1714" i="144"/>
  <c r="T729" i="144"/>
  <c r="J642" i="144"/>
  <c r="I459" i="144"/>
  <c r="I1388" i="144"/>
  <c r="J1004" i="144"/>
  <c r="I516" i="144"/>
  <c r="T515" i="144"/>
  <c r="I1538" i="144"/>
  <c r="J335" i="144"/>
  <c r="J60" i="144"/>
  <c r="I142" i="144"/>
  <c r="I1576" i="144"/>
  <c r="J183" i="144"/>
  <c r="T1161" i="144"/>
  <c r="T1307" i="144"/>
  <c r="T118" i="144"/>
  <c r="I1019" i="144"/>
  <c r="J598" i="144"/>
  <c r="J1114" i="144"/>
  <c r="J165" i="144"/>
  <c r="I669" i="144"/>
  <c r="T677" i="144"/>
  <c r="J153" i="144"/>
  <c r="T787" i="144"/>
  <c r="J787" i="144"/>
  <c r="J160" i="144"/>
  <c r="T160" i="144"/>
  <c r="I160" i="144"/>
  <c r="I1189" i="144"/>
  <c r="J1724" i="144"/>
  <c r="I1724" i="144"/>
  <c r="I1282" i="144"/>
  <c r="J1282" i="144"/>
  <c r="T1268" i="144"/>
  <c r="I1268" i="144"/>
  <c r="T1937" i="144"/>
  <c r="I1937" i="144"/>
  <c r="T1683" i="144"/>
  <c r="I1683" i="144"/>
  <c r="J704" i="144"/>
  <c r="I149" i="144"/>
  <c r="T149" i="144"/>
  <c r="J149" i="144"/>
  <c r="J784" i="144"/>
  <c r="T784" i="144"/>
  <c r="T1943" i="144"/>
  <c r="I903" i="144"/>
  <c r="J903" i="144"/>
  <c r="T903" i="144"/>
  <c r="J1355" i="144"/>
  <c r="T1355" i="144"/>
  <c r="T1616" i="144"/>
  <c r="I1616" i="144"/>
  <c r="I638" i="144"/>
  <c r="T638" i="144"/>
  <c r="J638" i="144"/>
  <c r="T593" i="144"/>
  <c r="I593" i="144"/>
  <c r="J593" i="144"/>
  <c r="J834" i="144"/>
  <c r="T834" i="144"/>
  <c r="I834" i="144"/>
  <c r="I1825" i="144"/>
  <c r="J1825" i="144"/>
  <c r="J1025" i="144"/>
  <c r="T1025" i="144"/>
  <c r="I1633" i="144"/>
  <c r="T1633" i="144"/>
  <c r="J549" i="144"/>
  <c r="T549" i="144"/>
  <c r="T15" i="144"/>
  <c r="I15" i="144"/>
  <c r="I766" i="144"/>
  <c r="T766" i="144"/>
  <c r="J766" i="144"/>
  <c r="T613" i="144"/>
  <c r="J613" i="144"/>
  <c r="T1128" i="144"/>
  <c r="I1463" i="144"/>
  <c r="T1463" i="144"/>
  <c r="T1854" i="144"/>
  <c r="I1854" i="144"/>
  <c r="I1939" i="144"/>
  <c r="J1939" i="144"/>
  <c r="T1175" i="144"/>
  <c r="J1175" i="144"/>
  <c r="J1249" i="144"/>
  <c r="T1249" i="144"/>
  <c r="J645" i="144"/>
  <c r="T645" i="144"/>
  <c r="T1304" i="144"/>
  <c r="I1304" i="144"/>
  <c r="T1927" i="144"/>
  <c r="I1927" i="144"/>
  <c r="J565" i="144"/>
  <c r="I565" i="144"/>
  <c r="T565" i="144"/>
  <c r="I1862" i="144"/>
  <c r="J1862" i="144"/>
  <c r="I1450" i="144"/>
  <c r="T1450" i="144"/>
  <c r="I501" i="144"/>
  <c r="T501" i="144"/>
  <c r="J1344" i="144"/>
  <c r="I1344" i="144"/>
  <c r="T1650" i="144"/>
  <c r="J1650" i="144"/>
  <c r="I1650" i="144"/>
  <c r="I1512" i="144"/>
  <c r="J1512" i="144"/>
  <c r="I601" i="144"/>
  <c r="J601" i="144"/>
  <c r="I865" i="144"/>
  <c r="J865" i="144"/>
  <c r="T865" i="144"/>
  <c r="I776" i="144"/>
  <c r="T776" i="144"/>
  <c r="J776" i="144"/>
  <c r="J1201" i="144"/>
  <c r="I1201" i="144"/>
  <c r="T264" i="144"/>
  <c r="I264" i="144"/>
  <c r="J264" i="144"/>
  <c r="T1593" i="144"/>
  <c r="J1593" i="144"/>
  <c r="J1863" i="144"/>
  <c r="T762" i="144"/>
  <c r="J762" i="144"/>
  <c r="T89" i="144"/>
  <c r="J89" i="144"/>
  <c r="J340" i="144"/>
  <c r="I340" i="144"/>
  <c r="J1682" i="144"/>
  <c r="I1682" i="144"/>
  <c r="I1884" i="144"/>
  <c r="J1884" i="144"/>
  <c r="T1884" i="144"/>
  <c r="I963" i="144"/>
  <c r="T963" i="144"/>
  <c r="J963" i="144"/>
  <c r="J1659" i="144"/>
  <c r="I1659" i="144"/>
  <c r="T314" i="144"/>
  <c r="I314" i="144"/>
  <c r="J314" i="144"/>
  <c r="I136" i="144"/>
  <c r="T136" i="144"/>
  <c r="J136" i="144"/>
  <c r="I543" i="144"/>
  <c r="J543" i="144"/>
  <c r="T543" i="144"/>
  <c r="T1835" i="144"/>
  <c r="J1835" i="144"/>
  <c r="I1088" i="144"/>
  <c r="J1088" i="144"/>
  <c r="I1900" i="144"/>
  <c r="J1900" i="144"/>
  <c r="T1426" i="144"/>
  <c r="J1426" i="144"/>
  <c r="T921" i="144"/>
  <c r="I921" i="144"/>
  <c r="T777" i="144"/>
  <c r="J777" i="144"/>
  <c r="T706" i="144"/>
  <c r="I706" i="144"/>
  <c r="J706" i="144"/>
  <c r="T666" i="144"/>
  <c r="I666" i="144"/>
  <c r="J666" i="144"/>
  <c r="I1742" i="144"/>
  <c r="J1742" i="144"/>
  <c r="T508" i="144"/>
  <c r="J508" i="144"/>
  <c r="T303" i="144"/>
  <c r="I303" i="144"/>
  <c r="J303" i="144"/>
  <c r="J609" i="144"/>
  <c r="I609" i="144"/>
  <c r="T609" i="144"/>
  <c r="J1511" i="144"/>
  <c r="I1511" i="144"/>
  <c r="I1255" i="144"/>
  <c r="T719" i="144"/>
  <c r="J521" i="144"/>
  <c r="T1776" i="144"/>
  <c r="J1322" i="144"/>
  <c r="I618" i="144"/>
  <c r="T1236" i="144"/>
  <c r="T243" i="144"/>
  <c r="I926" i="144"/>
  <c r="I40" i="144"/>
  <c r="J1398" i="144"/>
  <c r="T1397" i="144"/>
  <c r="I497" i="144"/>
  <c r="T660" i="144"/>
  <c r="J105" i="144"/>
  <c r="T636" i="144"/>
  <c r="J1346" i="144"/>
  <c r="J971" i="144"/>
  <c r="J703" i="144"/>
  <c r="J1438" i="144"/>
  <c r="J725" i="144"/>
  <c r="T277" i="144"/>
  <c r="T1857" i="144"/>
  <c r="T96" i="144"/>
  <c r="J1827" i="144"/>
  <c r="J934" i="144"/>
  <c r="T1396" i="144"/>
  <c r="T1227" i="144"/>
  <c r="I102" i="144"/>
  <c r="T1712" i="144"/>
  <c r="J1219" i="144"/>
  <c r="I806" i="144"/>
  <c r="T698" i="144"/>
  <c r="T88" i="144"/>
  <c r="T887" i="144"/>
  <c r="T1252" i="144"/>
  <c r="I676" i="144"/>
  <c r="J567" i="144"/>
  <c r="T288" i="144"/>
  <c r="J1768" i="144"/>
  <c r="T665" i="144"/>
  <c r="I512" i="144"/>
  <c r="J1307" i="144"/>
  <c r="I30" i="144"/>
  <c r="T951" i="144"/>
  <c r="J118" i="144"/>
  <c r="T1019" i="144"/>
  <c r="I598" i="144"/>
  <c r="I1114" i="144"/>
  <c r="I165" i="144"/>
  <c r="T669" i="144"/>
  <c r="I677" i="144"/>
  <c r="I153" i="144"/>
  <c r="I581" i="144"/>
  <c r="J581" i="144"/>
  <c r="T930" i="144"/>
  <c r="I930" i="144"/>
  <c r="J930" i="144"/>
  <c r="J1732" i="144"/>
  <c r="T1511" i="144"/>
  <c r="I1926" i="144"/>
  <c r="J1926" i="144"/>
  <c r="J548" i="144"/>
  <c r="T548" i="144"/>
  <c r="I686" i="144"/>
  <c r="J686" i="144"/>
  <c r="J1561" i="144"/>
  <c r="I1561" i="144"/>
  <c r="I1853" i="144"/>
  <c r="J1853" i="144"/>
  <c r="I1596" i="144"/>
  <c r="T1596" i="144"/>
  <c r="J1596" i="144"/>
  <c r="J671" i="144"/>
  <c r="I671" i="144"/>
  <c r="T607" i="144"/>
  <c r="I607" i="144"/>
  <c r="J607" i="144"/>
  <c r="T626" i="144"/>
  <c r="I626" i="144"/>
  <c r="J626" i="144"/>
  <c r="T1051" i="144"/>
  <c r="I1051" i="144"/>
  <c r="I674" i="144"/>
  <c r="T674" i="144"/>
  <c r="J674" i="144"/>
  <c r="I1688" i="144"/>
  <c r="J1688" i="144"/>
  <c r="T1688" i="144"/>
  <c r="I1863" i="144"/>
  <c r="T1863" i="144"/>
  <c r="T1458" i="144"/>
  <c r="I1458" i="144"/>
  <c r="T467" i="144"/>
  <c r="I467" i="144"/>
  <c r="T1286" i="144"/>
  <c r="I1286" i="144"/>
  <c r="T948" i="144"/>
  <c r="I948" i="144"/>
  <c r="J1381" i="144"/>
  <c r="T1381" i="144"/>
  <c r="T124" i="144"/>
  <c r="J124" i="144"/>
  <c r="T767" i="144"/>
  <c r="J1477" i="144"/>
  <c r="J1684" i="144"/>
  <c r="J23" i="144"/>
  <c r="T1148" i="144"/>
  <c r="T1152" i="144"/>
  <c r="I441" i="144"/>
  <c r="T841" i="144"/>
  <c r="J30" i="144"/>
  <c r="T1573" i="144"/>
  <c r="I1573" i="144"/>
  <c r="J1573" i="144"/>
  <c r="T1763" i="144"/>
  <c r="I1763" i="144"/>
  <c r="J1763" i="144"/>
  <c r="T225" i="144"/>
  <c r="I225" i="144"/>
  <c r="J225" i="144"/>
  <c r="T833" i="144"/>
  <c r="J833" i="144"/>
  <c r="I833" i="144"/>
  <c r="J343" i="144"/>
  <c r="I343" i="144"/>
  <c r="T343" i="144"/>
  <c r="I1203" i="144"/>
  <c r="T1203" i="144"/>
  <c r="J1203" i="144"/>
  <c r="I1868" i="144"/>
  <c r="J1868" i="144"/>
  <c r="T1868" i="144"/>
  <c r="I71" i="144"/>
  <c r="J71" i="144"/>
  <c r="T71" i="144"/>
  <c r="I1419" i="144"/>
  <c r="J1419" i="144"/>
  <c r="T1079" i="144"/>
  <c r="J1079" i="144"/>
  <c r="I1079" i="144"/>
  <c r="J1286" i="144"/>
  <c r="I1732" i="144"/>
  <c r="J248" i="144"/>
  <c r="J1475" i="144"/>
  <c r="T1475" i="144"/>
  <c r="T1853" i="144"/>
  <c r="J1694" i="144"/>
  <c r="I1694" i="144"/>
  <c r="J1351" i="144"/>
  <c r="T1351" i="144"/>
  <c r="I1351" i="144"/>
  <c r="J1316" i="144"/>
  <c r="T1316" i="144"/>
  <c r="I1316" i="144"/>
  <c r="J467" i="144"/>
  <c r="J1465" i="144"/>
  <c r="T1920" i="144"/>
  <c r="J1920" i="144"/>
  <c r="I49" i="144"/>
  <c r="J49" i="144"/>
  <c r="T521" i="144"/>
  <c r="T441" i="144"/>
  <c r="T926" i="144"/>
  <c r="J40" i="144"/>
  <c r="T105" i="144"/>
  <c r="I703" i="144"/>
  <c r="J277" i="144"/>
  <c r="J96" i="144"/>
  <c r="T934" i="144"/>
  <c r="J1396" i="144"/>
  <c r="I88" i="144"/>
  <c r="J887" i="144"/>
  <c r="J1252" i="144"/>
  <c r="J676" i="144"/>
  <c r="I567" i="144"/>
  <c r="I288" i="144"/>
  <c r="T1768" i="144"/>
  <c r="I665" i="144"/>
  <c r="T1095" i="144"/>
  <c r="J1095" i="144"/>
  <c r="I176" i="144"/>
  <c r="J176" i="144"/>
  <c r="T176" i="144"/>
  <c r="I439" i="144"/>
  <c r="T439" i="144"/>
  <c r="J1510" i="144"/>
  <c r="I475" i="144"/>
  <c r="J475" i="144"/>
  <c r="I986" i="144"/>
  <c r="T986" i="144"/>
  <c r="I1710" i="144"/>
  <c r="J1710" i="144"/>
  <c r="J301" i="144"/>
  <c r="T301" i="144"/>
  <c r="I301" i="144"/>
  <c r="T1261" i="144"/>
  <c r="I1261" i="144"/>
  <c r="J1261" i="144"/>
  <c r="T1386" i="144"/>
  <c r="I1386" i="144"/>
  <c r="J1386" i="144"/>
  <c r="J1380" i="144"/>
  <c r="T1380" i="144"/>
  <c r="I1380" i="144"/>
  <c r="J767" i="144"/>
  <c r="I1322" i="144"/>
  <c r="J618" i="144"/>
  <c r="I1857" i="144"/>
  <c r="T102" i="144"/>
  <c r="T806" i="144"/>
  <c r="J1255" i="144"/>
  <c r="T1477" i="144"/>
  <c r="T1684" i="144"/>
  <c r="I1152" i="144"/>
  <c r="J243" i="144"/>
  <c r="J841" i="144"/>
  <c r="T1398" i="144"/>
  <c r="J1397" i="144"/>
  <c r="J497" i="144"/>
  <c r="J660" i="144"/>
  <c r="J636" i="144"/>
  <c r="I1346" i="144"/>
  <c r="T971" i="144"/>
  <c r="T1438" i="144"/>
  <c r="T725" i="144"/>
  <c r="T1827" i="144"/>
  <c r="J1227" i="144"/>
  <c r="J1712" i="144"/>
  <c r="T1219" i="144"/>
  <c r="I698" i="144"/>
  <c r="I267" i="144"/>
  <c r="I1095" i="144"/>
  <c r="I1306" i="144"/>
  <c r="T1306" i="144"/>
  <c r="J678" i="144"/>
  <c r="T678" i="144"/>
  <c r="I678" i="144"/>
  <c r="J439" i="144"/>
  <c r="I1510" i="144"/>
  <c r="T310" i="144"/>
  <c r="I310" i="144"/>
  <c r="J310" i="144"/>
  <c r="T1652" i="144"/>
  <c r="I1652" i="144"/>
  <c r="J1652" i="144"/>
  <c r="I569" i="144"/>
  <c r="J569" i="144"/>
  <c r="J914" i="144"/>
  <c r="T914" i="144"/>
  <c r="I1002" i="144"/>
  <c r="J1002" i="144"/>
  <c r="I1883" i="144"/>
  <c r="T1883" i="144"/>
  <c r="J1010" i="144"/>
  <c r="T1010" i="144"/>
  <c r="T1794" i="144"/>
  <c r="I1794" i="144"/>
  <c r="J1794" i="144"/>
  <c r="J1483" i="144"/>
  <c r="T688" i="144"/>
  <c r="T81" i="144"/>
  <c r="T718" i="144"/>
  <c r="T571" i="144"/>
  <c r="I1094" i="144"/>
  <c r="J1594" i="144"/>
  <c r="T123" i="144"/>
  <c r="T267" i="144"/>
  <c r="T1855" i="144"/>
  <c r="J1202" i="144"/>
  <c r="I1795" i="144"/>
  <c r="T1795" i="144"/>
  <c r="J1795" i="144"/>
  <c r="J1306" i="144"/>
  <c r="I1799" i="144"/>
  <c r="J1799" i="144"/>
  <c r="J849" i="144"/>
  <c r="I849" i="144"/>
  <c r="T849" i="144"/>
  <c r="I1898" i="144"/>
  <c r="T1898" i="144"/>
  <c r="I1906" i="144"/>
  <c r="T1906" i="144"/>
  <c r="J993" i="144"/>
  <c r="J1897" i="144"/>
  <c r="J13" i="144"/>
  <c r="I13" i="144"/>
  <c r="T13" i="144"/>
  <c r="J1752" i="144"/>
  <c r="I1752" i="144"/>
  <c r="T1338" i="144"/>
  <c r="I1338" i="144"/>
  <c r="J1338" i="144"/>
  <c r="T265" i="144"/>
  <c r="I265" i="144"/>
  <c r="J95" i="144"/>
  <c r="T95" i="144"/>
  <c r="J1358" i="144"/>
  <c r="T1358" i="144"/>
  <c r="I1358" i="144"/>
  <c r="J1947" i="144"/>
  <c r="I1947" i="144"/>
  <c r="T1947" i="144"/>
  <c r="I1416" i="144"/>
  <c r="J1741" i="144"/>
  <c r="I1741" i="144"/>
  <c r="T1741" i="144"/>
  <c r="J47" i="144"/>
  <c r="I719" i="144"/>
  <c r="J1148" i="144"/>
  <c r="J886" i="144"/>
  <c r="T886" i="144"/>
  <c r="I886" i="144"/>
  <c r="T271" i="144"/>
  <c r="I271" i="144"/>
  <c r="J271" i="144"/>
  <c r="J633" i="144"/>
  <c r="I633" i="144"/>
  <c r="T633" i="144"/>
  <c r="T273" i="144"/>
  <c r="I273" i="144"/>
  <c r="J273" i="144"/>
  <c r="J1446" i="144"/>
  <c r="I1446" i="144"/>
  <c r="T1446" i="144"/>
  <c r="T781" i="144"/>
  <c r="J781" i="144"/>
  <c r="I781" i="144"/>
  <c r="J709" i="144"/>
  <c r="I709" i="144"/>
  <c r="T709" i="144"/>
  <c r="J133" i="144"/>
  <c r="T133" i="144"/>
  <c r="I1141" i="144"/>
  <c r="T1141" i="144"/>
  <c r="J1141" i="144"/>
  <c r="J1189" i="144"/>
  <c r="I1381" i="144"/>
  <c r="T1724" i="144"/>
  <c r="T1282" i="144"/>
  <c r="I1355" i="144"/>
  <c r="J1268" i="144"/>
  <c r="T300" i="144"/>
  <c r="I300" i="144"/>
  <c r="J300" i="144"/>
  <c r="J1937" i="144"/>
  <c r="I922" i="144"/>
  <c r="T922" i="144"/>
  <c r="J922" i="144"/>
  <c r="J406" i="144"/>
  <c r="T406" i="144"/>
  <c r="T1548" i="144"/>
  <c r="J1548" i="144"/>
  <c r="I1548" i="144"/>
  <c r="I1928" i="144"/>
  <c r="T1928" i="144"/>
  <c r="I1240" i="144"/>
  <c r="J1240" i="144"/>
  <c r="T1240" i="144"/>
  <c r="I434" i="144"/>
  <c r="J616" i="144"/>
  <c r="T616" i="144"/>
  <c r="J1458" i="144"/>
  <c r="T993" i="144"/>
  <c r="J19" i="144"/>
  <c r="T1245" i="144"/>
  <c r="J1133" i="144"/>
  <c r="J1894" i="144"/>
  <c r="J1082" i="144"/>
  <c r="T1082" i="144"/>
  <c r="T888" i="144"/>
  <c r="I1924" i="144"/>
  <c r="T1909" i="144"/>
  <c r="J1846" i="144"/>
  <c r="I1668" i="144"/>
  <c r="T1668" i="144"/>
  <c r="J1668" i="144"/>
  <c r="J367" i="144"/>
  <c r="I367" i="144"/>
  <c r="T367" i="144"/>
  <c r="J431" i="144"/>
  <c r="I431" i="144"/>
  <c r="T431" i="144"/>
  <c r="I616" i="144"/>
  <c r="J1914" i="144"/>
  <c r="I1914" i="144"/>
  <c r="J1623" i="144"/>
  <c r="I1623" i="144"/>
  <c r="J1068" i="144"/>
  <c r="T1869" i="144"/>
  <c r="I177" i="144"/>
  <c r="T1659" i="144"/>
  <c r="I1891" i="144"/>
  <c r="T1729" i="144"/>
  <c r="J1729" i="144"/>
  <c r="T829" i="144"/>
  <c r="I829" i="144"/>
  <c r="T336" i="144"/>
  <c r="I336" i="144"/>
  <c r="J1211" i="144"/>
  <c r="T1211" i="144"/>
  <c r="T1897" i="144"/>
  <c r="T600" i="144"/>
  <c r="T1247" i="144"/>
  <c r="I1242" i="144"/>
  <c r="J496" i="144"/>
  <c r="T496" i="144"/>
  <c r="I1054" i="144"/>
  <c r="J1054" i="144"/>
  <c r="J1433" i="144"/>
  <c r="T1433" i="144"/>
  <c r="J1147" i="144"/>
  <c r="T1073" i="144"/>
  <c r="J1073" i="144"/>
  <c r="I1073" i="144"/>
  <c r="J535" i="144"/>
  <c r="T535" i="144"/>
  <c r="T1564" i="144"/>
  <c r="I1564" i="144"/>
  <c r="J1564" i="144"/>
  <c r="T1309" i="144"/>
  <c r="I1309" i="144"/>
  <c r="J1309" i="144"/>
  <c r="J560" i="144"/>
  <c r="I560" i="144"/>
  <c r="T560" i="144"/>
  <c r="T704" i="144"/>
  <c r="I1890" i="144"/>
  <c r="T1465" i="144"/>
  <c r="J1943" i="144"/>
  <c r="J1643" i="144"/>
  <c r="T1643" i="144"/>
  <c r="J1704" i="144"/>
  <c r="T1704" i="144"/>
  <c r="T378" i="144"/>
  <c r="J378" i="144"/>
  <c r="I378" i="144"/>
  <c r="T1374" i="144"/>
  <c r="I1374" i="144"/>
  <c r="J368" i="144"/>
  <c r="I845" i="144"/>
  <c r="T845" i="144"/>
  <c r="J446" i="144"/>
  <c r="I446" i="144"/>
  <c r="I24" i="144"/>
  <c r="T24" i="144"/>
  <c r="I1689" i="144"/>
  <c r="T1689" i="144"/>
  <c r="T585" i="144"/>
  <c r="I585" i="144"/>
  <c r="J1238" i="144"/>
  <c r="J1885" i="144"/>
  <c r="T1885" i="144"/>
  <c r="I647" i="144"/>
  <c r="T647" i="144"/>
  <c r="T1773" i="144"/>
  <c r="I1773" i="144"/>
  <c r="J809" i="144"/>
  <c r="T809" i="144"/>
  <c r="I1541" i="144"/>
  <c r="J1541" i="144"/>
  <c r="T202" i="144"/>
  <c r="J1680" i="144"/>
  <c r="I1680" i="144"/>
  <c r="T1680" i="144"/>
  <c r="T1671" i="144"/>
  <c r="T1887" i="144"/>
  <c r="I1887" i="144"/>
  <c r="T446" i="144"/>
  <c r="J24" i="144"/>
  <c r="J1416" i="144"/>
  <c r="J1807" i="144"/>
  <c r="I1807" i="144"/>
  <c r="J1935" i="144"/>
  <c r="T1935" i="144"/>
  <c r="J1040" i="144"/>
  <c r="T876" i="144"/>
  <c r="J876" i="144"/>
  <c r="J1225" i="144"/>
  <c r="T1225" i="144"/>
  <c r="J647" i="144"/>
  <c r="I1911" i="144"/>
  <c r="T1911" i="144"/>
  <c r="J1908" i="144"/>
  <c r="T1541" i="144"/>
  <c r="T477" i="144"/>
  <c r="J477" i="144"/>
  <c r="I206" i="144"/>
  <c r="J206" i="144"/>
  <c r="I697" i="144"/>
  <c r="J697" i="144"/>
  <c r="J269" i="144"/>
  <c r="I518" i="144"/>
  <c r="J518" i="144"/>
  <c r="T1220" i="144"/>
  <c r="J1220" i="144"/>
  <c r="I1239" i="144"/>
  <c r="J707" i="144"/>
  <c r="I707" i="144"/>
  <c r="J274" i="144"/>
  <c r="T274" i="144"/>
  <c r="I48" i="144"/>
  <c r="T48" i="144"/>
  <c r="J48" i="144"/>
  <c r="T975" i="144"/>
  <c r="I1936" i="144"/>
  <c r="J1886" i="144"/>
  <c r="T1507" i="144"/>
  <c r="J1923" i="144"/>
  <c r="T1923" i="144"/>
  <c r="T1919" i="144"/>
  <c r="J1919" i="144"/>
  <c r="T121" i="144"/>
  <c r="T714" i="144"/>
  <c r="J714" i="144"/>
  <c r="I619" i="144"/>
  <c r="J619" i="144"/>
  <c r="I713" i="144"/>
  <c r="T697" i="144"/>
  <c r="T1762" i="144"/>
  <c r="J1762" i="144"/>
  <c r="I1408" i="144"/>
  <c r="T1408" i="144"/>
  <c r="T1135" i="144"/>
  <c r="I1135" i="144"/>
  <c r="T518" i="144"/>
  <c r="I1220" i="144"/>
  <c r="T1239" i="144"/>
  <c r="I693" i="144"/>
  <c r="J501" i="144"/>
  <c r="J594" i="144"/>
  <c r="T594" i="144"/>
  <c r="T1417" i="144"/>
  <c r="T1805" i="144"/>
  <c r="I1805" i="144"/>
  <c r="T1742" i="144"/>
  <c r="I549" i="144"/>
  <c r="J888" i="144"/>
  <c r="I1915" i="144"/>
  <c r="J178" i="144"/>
  <c r="T178" i="144"/>
  <c r="I1916" i="144"/>
  <c r="I89" i="144"/>
  <c r="T909" i="144"/>
  <c r="I909" i="144"/>
  <c r="J1314" i="144"/>
  <c r="T1314" i="144"/>
  <c r="I1846" i="144"/>
  <c r="T1846" i="144"/>
  <c r="I1678" i="144"/>
  <c r="J1678" i="144"/>
  <c r="J1878" i="144"/>
  <c r="I1878" i="144"/>
  <c r="T1900" i="144"/>
  <c r="I762" i="144"/>
  <c r="I351" i="144"/>
  <c r="I980" i="144"/>
  <c r="J1450" i="144"/>
  <c r="I613" i="144"/>
  <c r="J658" i="144"/>
  <c r="T658" i="144"/>
  <c r="T782" i="144"/>
  <c r="J782" i="144"/>
  <c r="J316" i="144"/>
  <c r="T284" i="144"/>
  <c r="J284" i="144"/>
  <c r="J454" i="144"/>
  <c r="I454" i="144"/>
  <c r="I111" i="144"/>
  <c r="J832" i="144"/>
  <c r="J1495" i="144"/>
  <c r="I263" i="144"/>
  <c r="J921" i="144"/>
  <c r="J1193" i="144"/>
  <c r="T1193" i="144"/>
  <c r="J1200" i="144"/>
  <c r="I1200" i="144"/>
  <c r="J580" i="144"/>
  <c r="T1674" i="144"/>
  <c r="I1674" i="144"/>
  <c r="I777" i="144"/>
  <c r="I99" i="144"/>
  <c r="I1781" i="144"/>
  <c r="T879" i="144"/>
  <c r="T1263" i="144"/>
  <c r="T555" i="144"/>
  <c r="T67" i="144"/>
  <c r="I1130" i="144"/>
  <c r="T269" i="144"/>
  <c r="T1068" i="144"/>
  <c r="T1367" i="144"/>
  <c r="T1904" i="144"/>
  <c r="T1908" i="144"/>
  <c r="I202" i="144"/>
  <c r="J1157" i="144"/>
  <c r="J334" i="144"/>
  <c r="T649" i="144"/>
  <c r="I791" i="144"/>
  <c r="I333" i="144"/>
  <c r="I1609" i="144"/>
  <c r="J350" i="144"/>
  <c r="T741" i="144"/>
  <c r="J741" i="144"/>
  <c r="J1304" i="144"/>
  <c r="J1480" i="144"/>
  <c r="I77" i="144"/>
  <c r="T191" i="144"/>
  <c r="I191" i="144"/>
  <c r="I508" i="144"/>
  <c r="T715" i="144"/>
  <c r="J715" i="144"/>
  <c r="I72" i="144"/>
  <c r="I241" i="144"/>
  <c r="J444" i="144"/>
  <c r="I394" i="144"/>
  <c r="J259" i="144"/>
  <c r="J1829" i="144"/>
  <c r="J298" i="144"/>
  <c r="T426" i="144"/>
  <c r="J426" i="144"/>
  <c r="J1600" i="144"/>
  <c r="I1600" i="144"/>
  <c r="T751" i="144"/>
  <c r="I751" i="144"/>
  <c r="T276" i="144"/>
  <c r="I276" i="144"/>
  <c r="J276" i="144"/>
  <c r="T1809" i="144"/>
  <c r="I1809" i="144"/>
  <c r="J1809" i="144"/>
  <c r="T1393" i="144"/>
  <c r="I1393" i="144"/>
  <c r="T313" i="144"/>
  <c r="T247" i="144"/>
  <c r="I247" i="144"/>
  <c r="J537" i="144"/>
  <c r="J1781" i="144"/>
  <c r="I879" i="144"/>
  <c r="J1263" i="144"/>
  <c r="J555" i="144"/>
  <c r="T1130" i="144"/>
  <c r="I269" i="144"/>
  <c r="J1904" i="144"/>
  <c r="I1908" i="144"/>
  <c r="J1771" i="144"/>
  <c r="I1771" i="144"/>
  <c r="I1746" i="144"/>
  <c r="T1746" i="144"/>
  <c r="T215" i="144"/>
  <c r="T1504" i="144"/>
  <c r="J712" i="144"/>
  <c r="T712" i="144"/>
  <c r="J1072" i="144"/>
  <c r="T726" i="144"/>
  <c r="J726" i="144"/>
  <c r="J392" i="144"/>
  <c r="T392" i="144"/>
  <c r="I544" i="144"/>
  <c r="T428" i="144"/>
  <c r="I1728" i="144"/>
  <c r="T1179" i="144"/>
  <c r="J1859" i="144"/>
  <c r="J758" i="144"/>
  <c r="J448" i="144"/>
  <c r="I448" i="144"/>
  <c r="I884" i="144"/>
  <c r="I1719" i="144"/>
  <c r="J1719" i="144"/>
  <c r="T1719" i="144"/>
  <c r="T612" i="144"/>
  <c r="I324" i="144"/>
  <c r="T1013" i="144"/>
  <c r="J1013" i="144"/>
  <c r="J1580" i="144"/>
  <c r="J1746" i="144"/>
  <c r="J66" i="144"/>
  <c r="I66" i="144"/>
  <c r="I1426" i="144"/>
  <c r="I1249" i="144"/>
  <c r="J1257" i="144"/>
  <c r="T1522" i="144"/>
  <c r="T453" i="144"/>
  <c r="T580" i="144"/>
  <c r="J1504" i="144"/>
  <c r="T131" i="144"/>
  <c r="I1754" i="144"/>
  <c r="I1847" i="144"/>
  <c r="T1825" i="144"/>
  <c r="I432" i="144"/>
  <c r="T409" i="144"/>
  <c r="T1290" i="144"/>
  <c r="I675" i="144"/>
  <c r="I1757" i="144"/>
  <c r="I368" i="144"/>
  <c r="I1062" i="144"/>
  <c r="T224" i="144"/>
  <c r="T1658" i="144"/>
  <c r="T57" i="144"/>
  <c r="I931" i="144"/>
  <c r="T468" i="144"/>
  <c r="J1706" i="144"/>
  <c r="T1754" i="144"/>
  <c r="I151" i="144"/>
  <c r="J1847" i="144"/>
  <c r="J432" i="144"/>
  <c r="I471" i="144"/>
  <c r="T148" i="144"/>
  <c r="T1786" i="144"/>
  <c r="I1409" i="144"/>
  <c r="T206" i="144"/>
  <c r="J1417" i="144"/>
  <c r="J1516" i="144"/>
  <c r="J209" i="144"/>
  <c r="I489" i="144"/>
  <c r="T1364" i="144"/>
  <c r="T759" i="144"/>
  <c r="I1155" i="144"/>
  <c r="T1185" i="144"/>
  <c r="I1777" i="144"/>
  <c r="J845" i="144"/>
  <c r="T1226" i="144"/>
  <c r="I477" i="144"/>
  <c r="J829" i="144"/>
  <c r="T1499" i="144"/>
  <c r="I292" i="144"/>
  <c r="I403" i="144"/>
  <c r="J866" i="144"/>
  <c r="T448" i="144"/>
  <c r="T49" i="144"/>
  <c r="I1493" i="144"/>
  <c r="I365" i="144"/>
  <c r="I470" i="144"/>
  <c r="I1392" i="144"/>
  <c r="J1209" i="144"/>
  <c r="T1770" i="144"/>
  <c r="I1755" i="144"/>
  <c r="T1720" i="144"/>
  <c r="T1778" i="144"/>
  <c r="T707" i="144"/>
  <c r="T1580" i="144"/>
  <c r="I35" i="144"/>
  <c r="T238" i="144"/>
  <c r="T77" i="144"/>
  <c r="T188" i="144"/>
  <c r="J194" i="144"/>
  <c r="I443" i="144"/>
  <c r="I284" i="144"/>
  <c r="T693" i="144"/>
  <c r="J470" i="144"/>
  <c r="J503" i="144"/>
  <c r="T412" i="144"/>
  <c r="I1833" i="144"/>
  <c r="T1757" i="144"/>
  <c r="J1059" i="144"/>
  <c r="J1278" i="144"/>
  <c r="J365" i="144"/>
  <c r="T1578" i="144"/>
  <c r="J215" i="144"/>
  <c r="I753" i="144"/>
  <c r="J1754" i="144"/>
  <c r="J151" i="144"/>
  <c r="J337" i="144"/>
  <c r="T854" i="144"/>
  <c r="I946" i="144"/>
  <c r="I1529" i="144"/>
  <c r="J1786" i="144"/>
  <c r="T337" i="144"/>
  <c r="I854" i="144"/>
  <c r="T799" i="144"/>
  <c r="T1529" i="144"/>
  <c r="T1230" i="144"/>
  <c r="J1737" i="144"/>
  <c r="T1810" i="144"/>
  <c r="J799" i="144"/>
  <c r="T1821" i="144"/>
  <c r="I1938" i="144"/>
  <c r="T1891" i="144"/>
  <c r="I1147" i="144"/>
  <c r="I1046" i="144"/>
  <c r="J1046" i="144"/>
  <c r="I1941" i="144"/>
  <c r="T1941" i="144"/>
  <c r="J526" i="144"/>
  <c r="T526" i="144"/>
  <c r="J1798" i="144"/>
  <c r="T474" i="144"/>
  <c r="J474" i="144"/>
  <c r="J309" i="144"/>
  <c r="I309" i="144"/>
  <c r="T1730" i="144"/>
  <c r="J1730" i="144"/>
  <c r="J498" i="144"/>
  <c r="I498" i="144"/>
  <c r="T958" i="144"/>
  <c r="J958" i="144"/>
  <c r="I318" i="144"/>
  <c r="T318" i="144"/>
  <c r="J318" i="144"/>
  <c r="I1665" i="144"/>
  <c r="J1665" i="144"/>
  <c r="T1665" i="144"/>
  <c r="J1340" i="144"/>
  <c r="T1340" i="144"/>
  <c r="I1901" i="144"/>
  <c r="J1901" i="144"/>
  <c r="J324" i="144"/>
  <c r="T324" i="144"/>
  <c r="J1723" i="144"/>
  <c r="I1723" i="144"/>
  <c r="T1501" i="144"/>
  <c r="J1501" i="144"/>
  <c r="T1205" i="144"/>
  <c r="J1205" i="144"/>
  <c r="I1205" i="144"/>
  <c r="T1811" i="144"/>
  <c r="I1811" i="144"/>
  <c r="J1811" i="144"/>
  <c r="J53" i="144"/>
  <c r="T53" i="144"/>
  <c r="J175" i="144"/>
  <c r="T175" i="144"/>
  <c r="I175" i="144"/>
  <c r="J1530" i="144"/>
  <c r="I1530" i="144"/>
  <c r="T1530" i="144"/>
  <c r="J1508" i="144"/>
  <c r="T1508" i="144"/>
  <c r="T1566" i="144"/>
  <c r="J1566" i="144"/>
  <c r="I1481" i="144"/>
  <c r="J1481" i="144"/>
  <c r="T1481" i="144"/>
  <c r="I473" i="144"/>
  <c r="T473" i="144"/>
  <c r="I1301" i="144"/>
  <c r="J1301" i="144"/>
  <c r="T254" i="144"/>
  <c r="J254" i="144"/>
  <c r="I254" i="144"/>
  <c r="J1826" i="144"/>
  <c r="I1826" i="144"/>
  <c r="T1826" i="144"/>
  <c r="T1060" i="144"/>
  <c r="I1060" i="144"/>
  <c r="T1560" i="144"/>
  <c r="I1560" i="144"/>
  <c r="J1560" i="144"/>
  <c r="T1666" i="144"/>
  <c r="I1666" i="144"/>
  <c r="J1666" i="144"/>
  <c r="T1153" i="144"/>
  <c r="I1153" i="144"/>
  <c r="I800" i="144"/>
  <c r="J800" i="144"/>
  <c r="T800" i="144"/>
  <c r="T411" i="144"/>
  <c r="I411" i="144"/>
  <c r="J724" i="144"/>
  <c r="T724" i="144"/>
  <c r="J1610" i="144"/>
  <c r="T1610" i="144"/>
  <c r="I1610" i="144"/>
  <c r="J1089" i="144"/>
  <c r="I1089" i="144"/>
  <c r="T1089" i="144"/>
  <c r="I1522" i="144"/>
  <c r="J1522" i="144"/>
  <c r="T670" i="144"/>
  <c r="I670" i="144"/>
  <c r="J670" i="144"/>
  <c r="J1750" i="144"/>
  <c r="I1750" i="144"/>
  <c r="T1750" i="144"/>
  <c r="T316" i="144"/>
  <c r="I316" i="144"/>
  <c r="I591" i="144"/>
  <c r="T591" i="144"/>
  <c r="J591" i="144"/>
  <c r="T1816" i="144"/>
  <c r="J1816" i="144"/>
  <c r="T464" i="144"/>
  <c r="I464" i="144"/>
  <c r="J464" i="144"/>
  <c r="T1806" i="144"/>
  <c r="I1806" i="144"/>
  <c r="J1806" i="144"/>
  <c r="T481" i="144"/>
  <c r="J481" i="144"/>
  <c r="I481" i="144"/>
  <c r="J1608" i="144"/>
  <c r="I1608" i="144"/>
  <c r="T1608" i="144"/>
  <c r="J465" i="144"/>
  <c r="T465" i="144"/>
  <c r="T1625" i="144"/>
  <c r="I1625" i="144"/>
  <c r="J382" i="144"/>
  <c r="T382" i="144"/>
  <c r="I1830" i="144"/>
  <c r="J1830" i="144"/>
  <c r="J1634" i="144"/>
  <c r="I1634" i="144"/>
  <c r="T1634" i="144"/>
  <c r="I483" i="144"/>
  <c r="T483" i="144"/>
  <c r="J539" i="144"/>
  <c r="I539" i="144"/>
  <c r="T539" i="144"/>
  <c r="T16" i="144"/>
  <c r="J16" i="144"/>
  <c r="I16" i="144"/>
  <c r="I404" i="144"/>
  <c r="T404" i="144"/>
  <c r="J404" i="144"/>
  <c r="J774" i="144"/>
  <c r="T774" i="144"/>
  <c r="I1015" i="144"/>
  <c r="J1015" i="144"/>
  <c r="T1015" i="144"/>
  <c r="T1603" i="144"/>
  <c r="I1603" i="144"/>
  <c r="J1603" i="144"/>
  <c r="T1686" i="144"/>
  <c r="J1686" i="144"/>
  <c r="T449" i="144"/>
  <c r="J449" i="144"/>
  <c r="I449" i="144"/>
  <c r="T1418" i="144"/>
  <c r="J1418" i="144"/>
  <c r="I1418" i="144"/>
  <c r="I1685" i="144"/>
  <c r="T1685" i="144"/>
  <c r="J428" i="144"/>
  <c r="I428" i="144"/>
  <c r="T1394" i="144"/>
  <c r="I1394" i="144"/>
  <c r="T1151" i="144"/>
  <c r="I1151" i="144"/>
  <c r="T111" i="144"/>
  <c r="J111" i="144"/>
  <c r="T1619" i="144"/>
  <c r="I1619" i="144"/>
  <c r="T1305" i="144"/>
  <c r="I1305" i="144"/>
  <c r="T47" i="144"/>
  <c r="I472" i="144"/>
  <c r="J1188" i="144"/>
  <c r="T1491" i="144"/>
  <c r="J1831" i="144"/>
  <c r="T1469" i="144"/>
  <c r="J1891" i="144"/>
  <c r="J270" i="144"/>
  <c r="T1083" i="144"/>
  <c r="J1083" i="144"/>
  <c r="T1915" i="144"/>
  <c r="J1915" i="144"/>
  <c r="J1909" i="144"/>
  <c r="I1909" i="144"/>
  <c r="I1798" i="144"/>
  <c r="I1934" i="144"/>
  <c r="T1934" i="144"/>
  <c r="T1629" i="144"/>
  <c r="J1629" i="144"/>
  <c r="T1406" i="144"/>
  <c r="J1406" i="144"/>
  <c r="I1695" i="144"/>
  <c r="J1038" i="144"/>
  <c r="I1038" i="144"/>
  <c r="I1566" i="144"/>
  <c r="J411" i="144"/>
  <c r="T1005" i="144"/>
  <c r="I1005" i="144"/>
  <c r="J1005" i="144"/>
  <c r="J1916" i="144"/>
  <c r="J351" i="144"/>
  <c r="T351" i="144"/>
  <c r="J1728" i="144"/>
  <c r="T1728" i="144"/>
  <c r="I537" i="144"/>
  <c r="T537" i="144"/>
  <c r="J1371" i="144"/>
  <c r="I1371" i="144"/>
  <c r="T1238" i="144"/>
  <c r="I1238" i="144"/>
  <c r="T394" i="144"/>
  <c r="J394" i="144"/>
  <c r="J713" i="144"/>
  <c r="I110" i="144"/>
  <c r="J110" i="144"/>
  <c r="T1723" i="144"/>
  <c r="T1901" i="144"/>
  <c r="J1685" i="144"/>
  <c r="J534" i="144"/>
  <c r="I534" i="144"/>
  <c r="T534" i="144"/>
  <c r="T1303" i="144"/>
  <c r="T1285" i="144"/>
  <c r="T472" i="144"/>
  <c r="I1188" i="144"/>
  <c r="I1491" i="144"/>
  <c r="T1831" i="144"/>
  <c r="I1886" i="144"/>
  <c r="J1469" i="144"/>
  <c r="I1169" i="144"/>
  <c r="I270" i="144"/>
  <c r="I1877" i="144"/>
  <c r="T1877" i="144"/>
  <c r="I1899" i="144"/>
  <c r="J1899" i="144"/>
  <c r="J121" i="144"/>
  <c r="I121" i="144"/>
  <c r="T904" i="144"/>
  <c r="I904" i="144"/>
  <c r="T1145" i="144"/>
  <c r="I1145" i="144"/>
  <c r="I700" i="144"/>
  <c r="T987" i="144"/>
  <c r="J987" i="144"/>
  <c r="T1377" i="144"/>
  <c r="J1663" i="144"/>
  <c r="I1663" i="144"/>
  <c r="J1695" i="144"/>
  <c r="I1726" i="144"/>
  <c r="J1726" i="144"/>
  <c r="I724" i="144"/>
  <c r="T1830" i="144"/>
  <c r="J1411" i="144"/>
  <c r="I399" i="144"/>
  <c r="J399" i="144"/>
  <c r="T399" i="144"/>
  <c r="J540" i="144"/>
  <c r="I137" i="144"/>
  <c r="I1910" i="144"/>
  <c r="T1910" i="144"/>
  <c r="J505" i="144"/>
  <c r="J430" i="144"/>
  <c r="I430" i="144"/>
  <c r="I1229" i="144"/>
  <c r="I1040" i="144"/>
  <c r="T1040" i="144"/>
  <c r="J1559" i="144"/>
  <c r="I1559" i="144"/>
  <c r="T832" i="144"/>
  <c r="I832" i="144"/>
  <c r="I1606" i="144"/>
  <c r="J1606" i="144"/>
  <c r="J1421" i="144"/>
  <c r="I1421" i="144"/>
  <c r="T1301" i="144"/>
  <c r="J473" i="144"/>
  <c r="I1816" i="144"/>
  <c r="T1707" i="144"/>
  <c r="I1707" i="144"/>
  <c r="J1707" i="144"/>
  <c r="J332" i="144"/>
  <c r="I332" i="144"/>
  <c r="T332" i="144"/>
  <c r="T1924" i="144"/>
  <c r="J1924" i="144"/>
  <c r="I1439" i="144"/>
  <c r="J1439" i="144"/>
  <c r="I541" i="144"/>
  <c r="T541" i="144"/>
  <c r="I727" i="144"/>
  <c r="T727" i="144"/>
  <c r="J700" i="144"/>
  <c r="J1179" i="144"/>
  <c r="I1179" i="144"/>
  <c r="J1377" i="144"/>
  <c r="I692" i="144"/>
  <c r="J692" i="144"/>
  <c r="I1184" i="144"/>
  <c r="J1184" i="144"/>
  <c r="I1501" i="144"/>
  <c r="I382" i="144"/>
  <c r="I774" i="144"/>
  <c r="I1686" i="144"/>
  <c r="J483" i="144"/>
  <c r="J1625" i="144"/>
  <c r="J1060" i="144"/>
  <c r="T1851" i="144"/>
  <c r="I1851" i="144"/>
  <c r="J1851" i="144"/>
  <c r="J892" i="144"/>
  <c r="T892" i="144"/>
  <c r="T540" i="144"/>
  <c r="T137" i="144"/>
  <c r="I979" i="144"/>
  <c r="J979" i="144"/>
  <c r="T505" i="144"/>
  <c r="J156" i="144"/>
  <c r="I156" i="144"/>
  <c r="J1229" i="144"/>
  <c r="J1334" i="144"/>
  <c r="I1334" i="144"/>
  <c r="I1277" i="144"/>
  <c r="T1277" i="144"/>
  <c r="T220" i="144"/>
  <c r="J220" i="144"/>
  <c r="I1703" i="144"/>
  <c r="J1703" i="144"/>
  <c r="I53" i="144"/>
  <c r="I1508" i="144"/>
  <c r="T1546" i="144"/>
  <c r="J1546" i="144"/>
  <c r="I1546" i="144"/>
  <c r="I227" i="144"/>
  <c r="T227" i="144"/>
  <c r="J227" i="144"/>
  <c r="T163" i="144"/>
  <c r="J163" i="144"/>
  <c r="I163" i="144"/>
  <c r="I130" i="144"/>
  <c r="J130" i="144"/>
  <c r="J918" i="144"/>
  <c r="T918" i="144"/>
  <c r="I918" i="144"/>
  <c r="I1445" i="144"/>
  <c r="T1445" i="144"/>
  <c r="I1787" i="144"/>
  <c r="J1787" i="144"/>
  <c r="T1787" i="144"/>
  <c r="I574" i="144"/>
  <c r="T574" i="144"/>
  <c r="J574" i="144"/>
  <c r="T72" i="144"/>
  <c r="J72" i="144"/>
  <c r="I1873" i="144"/>
  <c r="T1873" i="144"/>
  <c r="J1873" i="144"/>
  <c r="I1364" i="144"/>
  <c r="I1383" i="144"/>
  <c r="J1383" i="144"/>
  <c r="T1383" i="144"/>
  <c r="I447" i="144"/>
  <c r="T447" i="144"/>
  <c r="T813" i="144"/>
  <c r="J813" i="144"/>
  <c r="I813" i="144"/>
  <c r="J847" i="144"/>
  <c r="I847" i="144"/>
  <c r="I708" i="144"/>
  <c r="T708" i="144"/>
  <c r="J708" i="144"/>
  <c r="I825" i="144"/>
  <c r="T825" i="144"/>
  <c r="J558" i="144"/>
  <c r="T558" i="144"/>
  <c r="I558" i="144"/>
  <c r="T1352" i="144"/>
  <c r="I1352" i="144"/>
  <c r="J1352" i="144"/>
  <c r="T478" i="144"/>
  <c r="I478" i="144"/>
  <c r="J330" i="144"/>
  <c r="T330" i="144"/>
  <c r="I330" i="144"/>
  <c r="J1155" i="144"/>
  <c r="T1155" i="144"/>
  <c r="T1611" i="144"/>
  <c r="J1611" i="144"/>
  <c r="I1611" i="144"/>
  <c r="J1745" i="144"/>
  <c r="I1745" i="144"/>
  <c r="I1492" i="144"/>
  <c r="T1492" i="144"/>
  <c r="T193" i="144"/>
  <c r="J193" i="144"/>
  <c r="T1369" i="144"/>
  <c r="I1369" i="144"/>
  <c r="J1369" i="144"/>
  <c r="T230" i="144"/>
  <c r="I230" i="144"/>
  <c r="J230" i="144"/>
  <c r="T252" i="144"/>
  <c r="J252" i="144"/>
  <c r="T1087" i="144"/>
  <c r="J1087" i="144"/>
  <c r="I975" i="144"/>
  <c r="J975" i="144"/>
  <c r="T38" i="144"/>
  <c r="T201" i="144"/>
  <c r="J201" i="144"/>
  <c r="I201" i="144"/>
  <c r="I722" i="144"/>
  <c r="T722" i="144"/>
  <c r="I1791" i="144"/>
  <c r="J1791" i="144"/>
  <c r="J1230" i="144"/>
  <c r="J843" i="144"/>
  <c r="I465" i="144"/>
  <c r="J1616" i="144"/>
  <c r="T362" i="144"/>
  <c r="I362" i="144"/>
  <c r="J362" i="144"/>
  <c r="I1542" i="144"/>
  <c r="T1542" i="144"/>
  <c r="J1542" i="144"/>
  <c r="J76" i="144"/>
  <c r="I76" i="144"/>
  <c r="T76" i="144"/>
  <c r="J349" i="144"/>
  <c r="T349" i="144"/>
  <c r="I349" i="144"/>
  <c r="T818" i="144"/>
  <c r="J818" i="144"/>
  <c r="I818" i="144"/>
  <c r="J1649" i="144"/>
  <c r="I1649" i="144"/>
  <c r="T1649" i="144"/>
  <c r="T402" i="144"/>
  <c r="I402" i="144"/>
  <c r="J402" i="144"/>
  <c r="T376" i="144"/>
  <c r="I376" i="144"/>
  <c r="J376" i="144"/>
  <c r="I1127" i="144"/>
  <c r="T1127" i="144"/>
  <c r="J1020" i="144"/>
  <c r="I1020" i="144"/>
  <c r="J1178" i="144"/>
  <c r="I1178" i="144"/>
  <c r="T1178" i="144"/>
  <c r="I226" i="144"/>
  <c r="T226" i="144"/>
  <c r="J372" i="144"/>
  <c r="I372" i="144"/>
  <c r="T1822" i="144"/>
  <c r="J1822" i="144"/>
  <c r="I1822" i="144"/>
  <c r="J1664" i="144"/>
  <c r="I1664" i="144"/>
  <c r="I1428" i="144"/>
  <c r="T1428" i="144"/>
  <c r="I528" i="144"/>
  <c r="T528" i="144"/>
  <c r="I193" i="144"/>
  <c r="I252" i="144"/>
  <c r="I1667" i="144"/>
  <c r="T1667" i="144"/>
  <c r="J1667" i="144"/>
  <c r="I34" i="144"/>
  <c r="T34" i="144"/>
  <c r="J34" i="144"/>
  <c r="J190" i="144"/>
  <c r="T190" i="144"/>
  <c r="I190" i="144"/>
  <c r="I415" i="144"/>
  <c r="T415" i="144"/>
  <c r="I17" i="144"/>
  <c r="T17" i="144"/>
  <c r="J17" i="144"/>
  <c r="T500" i="144"/>
  <c r="J500" i="144"/>
  <c r="I1479" i="144"/>
  <c r="J1479" i="144"/>
  <c r="T1479" i="144"/>
  <c r="T356" i="144"/>
  <c r="J356" i="144"/>
  <c r="I356" i="144"/>
  <c r="J893" i="144"/>
  <c r="T893" i="144"/>
  <c r="I893" i="144"/>
  <c r="I1601" i="144"/>
  <c r="T1601" i="144"/>
  <c r="I1615" i="144"/>
  <c r="J1633" i="144"/>
  <c r="J759" i="144"/>
  <c r="J1273" i="144"/>
  <c r="T1273" i="144"/>
  <c r="I554" i="144"/>
  <c r="J554" i="144"/>
  <c r="T554" i="144"/>
  <c r="J26" i="144"/>
  <c r="I26" i="144"/>
  <c r="T107" i="144"/>
  <c r="J107" i="144"/>
  <c r="I107" i="144"/>
  <c r="J415" i="144"/>
  <c r="J1645" i="144"/>
  <c r="I1645" i="144"/>
  <c r="T1645" i="144"/>
  <c r="I500" i="144"/>
  <c r="T1681" i="144"/>
  <c r="I1681" i="144"/>
  <c r="T168" i="144"/>
  <c r="J168" i="144"/>
  <c r="I168" i="144"/>
  <c r="T1356" i="144"/>
  <c r="J1356" i="144"/>
  <c r="J661" i="144"/>
  <c r="I661" i="144"/>
  <c r="T661" i="144"/>
  <c r="J1601" i="144"/>
  <c r="J1777" i="144"/>
  <c r="J1817" i="144"/>
  <c r="I1341" i="144"/>
  <c r="J1837" i="144"/>
  <c r="I856" i="144"/>
  <c r="J528" i="144"/>
  <c r="J1492" i="144"/>
  <c r="J226" i="144"/>
  <c r="I38" i="144"/>
  <c r="I256" i="144"/>
  <c r="T256" i="144"/>
  <c r="T897" i="144"/>
  <c r="I897" i="144"/>
  <c r="J897" i="144"/>
  <c r="I342" i="144"/>
  <c r="J342" i="144"/>
  <c r="I1669" i="144"/>
  <c r="J1669" i="144"/>
  <c r="T1669" i="144"/>
  <c r="I82" i="144"/>
  <c r="T82" i="144"/>
  <c r="J82" i="144"/>
  <c r="J1128" i="144"/>
  <c r="I1411" i="144"/>
  <c r="I759" i="144"/>
  <c r="J803" i="144"/>
  <c r="I803" i="144"/>
  <c r="T1840" i="144"/>
  <c r="I1840" i="144"/>
  <c r="J1840" i="144"/>
  <c r="I172" i="144"/>
  <c r="J172" i="144"/>
  <c r="I798" i="144"/>
  <c r="T798" i="144"/>
  <c r="J798" i="144"/>
  <c r="J256" i="144"/>
  <c r="T699" i="144"/>
  <c r="I699" i="144"/>
  <c r="J699" i="144"/>
  <c r="T342" i="144"/>
  <c r="T1402" i="144"/>
  <c r="I1402" i="144"/>
  <c r="J1402" i="144"/>
  <c r="J1154" i="144"/>
  <c r="T1154" i="144"/>
  <c r="I673" i="144"/>
  <c r="T673" i="144"/>
  <c r="J673" i="144"/>
  <c r="J18" i="144"/>
  <c r="T18" i="144"/>
  <c r="I18" i="144"/>
  <c r="J143" i="144"/>
  <c r="I143" i="144"/>
  <c r="I507" i="144"/>
  <c r="T507" i="144"/>
  <c r="J507" i="144"/>
  <c r="T1745" i="144"/>
  <c r="I1087" i="144"/>
  <c r="T1753" i="144"/>
  <c r="T1201" i="144"/>
  <c r="T667" i="144"/>
  <c r="T1615" i="144"/>
  <c r="T866" i="144"/>
  <c r="J247" i="144"/>
  <c r="J1393" i="144"/>
  <c r="T1697" i="144"/>
  <c r="I1697" i="144"/>
  <c r="J327" i="144"/>
  <c r="T327" i="144"/>
  <c r="I1194" i="144"/>
  <c r="T1194" i="144"/>
  <c r="J1589" i="144"/>
  <c r="T1589" i="144"/>
  <c r="T919" i="144"/>
  <c r="J919" i="144"/>
  <c r="I919" i="144"/>
  <c r="I313" i="144"/>
  <c r="J313" i="144"/>
  <c r="J944" i="144"/>
  <c r="T944" i="144"/>
  <c r="I695" i="144"/>
  <c r="J695" i="144"/>
  <c r="T529" i="144"/>
  <c r="J529" i="144"/>
  <c r="I1679" i="144"/>
  <c r="T1679" i="144"/>
  <c r="T195" i="144"/>
  <c r="I195" i="144"/>
  <c r="T479" i="144"/>
  <c r="I479" i="144"/>
  <c r="I458" i="144"/>
  <c r="J458" i="144"/>
  <c r="T664" i="144"/>
  <c r="J664" i="144"/>
  <c r="I1711" i="144"/>
  <c r="T1711" i="144"/>
  <c r="J1327" i="144"/>
  <c r="I1327" i="144"/>
  <c r="J1861" i="144"/>
  <c r="I1861" i="144"/>
  <c r="I933" i="144"/>
  <c r="J933" i="144"/>
  <c r="T837" i="144"/>
  <c r="J837" i="144"/>
  <c r="J1819" i="144"/>
  <c r="I1819" i="144"/>
  <c r="I323" i="144"/>
  <c r="J323" i="144"/>
  <c r="I586" i="144"/>
  <c r="T586" i="144"/>
  <c r="J1775" i="144"/>
  <c r="T1775" i="144"/>
  <c r="J1654" i="144"/>
  <c r="I1654" i="144"/>
  <c r="I62" i="144"/>
  <c r="T62" i="144"/>
  <c r="T84" i="144"/>
  <c r="I84" i="144"/>
  <c r="J793" i="144"/>
  <c r="I793" i="144"/>
  <c r="J1392" i="144"/>
  <c r="T1392" i="144"/>
  <c r="J387" i="144"/>
  <c r="I387" i="144"/>
  <c r="J128" i="144"/>
  <c r="T128" i="144"/>
  <c r="J352" i="144"/>
  <c r="T352" i="144"/>
  <c r="T823" i="144"/>
  <c r="J823" i="144"/>
  <c r="J513" i="144"/>
  <c r="I513" i="144"/>
  <c r="T1462" i="144"/>
  <c r="J1462" i="144"/>
  <c r="I1072" i="144"/>
  <c r="T544" i="144"/>
  <c r="J1174" i="144"/>
  <c r="I1340" i="144"/>
  <c r="I1325" i="144"/>
  <c r="J184" i="144"/>
  <c r="T189" i="144"/>
  <c r="T1321" i="144"/>
  <c r="T443" i="144"/>
  <c r="J1671" i="144"/>
  <c r="T695" i="144"/>
  <c r="J1194" i="144"/>
  <c r="T513" i="144"/>
  <c r="I1462" i="144"/>
  <c r="I1841" i="144"/>
  <c r="T1841" i="144"/>
  <c r="J640" i="144"/>
  <c r="I640" i="144"/>
  <c r="T1673" i="144"/>
  <c r="I1673" i="144"/>
  <c r="J1585" i="144"/>
  <c r="I1585" i="144"/>
  <c r="T1212" i="144"/>
  <c r="I1226" i="144"/>
  <c r="I655" i="144"/>
  <c r="I550" i="144"/>
  <c r="T640" i="144"/>
  <c r="I944" i="144"/>
  <c r="I1671" i="144"/>
  <c r="J443" i="144"/>
  <c r="T1737" i="144"/>
  <c r="J307" i="144"/>
  <c r="T471" i="144"/>
  <c r="I1303" i="144"/>
  <c r="I667" i="144"/>
  <c r="J1290" i="144"/>
  <c r="J946" i="144"/>
  <c r="J856" i="144"/>
  <c r="J1821" i="144"/>
  <c r="T675" i="144"/>
  <c r="I453" i="144"/>
  <c r="T1409" i="144"/>
  <c r="I1174" i="144"/>
  <c r="J1212" i="144"/>
  <c r="J1778" i="144"/>
  <c r="I726" i="144"/>
  <c r="T1777" i="144"/>
  <c r="T1837" i="144"/>
  <c r="T1072" i="144"/>
  <c r="I184" i="144"/>
  <c r="I384" i="144"/>
  <c r="J550" i="144"/>
  <c r="I1817" i="144"/>
  <c r="I1810" i="144"/>
  <c r="I1753" i="144"/>
  <c r="I1714" i="144"/>
  <c r="J801" i="144"/>
  <c r="I392" i="144"/>
  <c r="I1232" i="144"/>
  <c r="I148" i="144"/>
  <c r="T655" i="144"/>
  <c r="I189" i="144"/>
  <c r="I866" i="144"/>
  <c r="J1325" i="144"/>
  <c r="T293" i="144"/>
  <c r="I729" i="144"/>
  <c r="J872" i="144"/>
  <c r="T184" i="144"/>
  <c r="T550" i="144"/>
  <c r="J544" i="144"/>
  <c r="T1817" i="144"/>
  <c r="I1321" i="144"/>
  <c r="J1753" i="144"/>
  <c r="J409" i="144"/>
  <c r="I801" i="144"/>
  <c r="J1226" i="144"/>
  <c r="J1232" i="144"/>
  <c r="I1457" i="144"/>
  <c r="J189" i="144"/>
  <c r="T1341" i="144"/>
  <c r="T1325" i="144"/>
  <c r="J293" i="144"/>
  <c r="J1285" i="144"/>
  <c r="T872" i="144"/>
  <c r="B3" i="53"/>
  <c r="E3" i="53"/>
  <c r="B4" i="53"/>
  <c r="E4" i="53"/>
  <c r="C6" i="53"/>
  <c r="C7" i="53"/>
  <c r="B7" i="53"/>
  <c r="A38" i="53"/>
  <c r="A39" i="53"/>
  <c r="D10" i="28"/>
  <c r="B10" i="28"/>
  <c r="B13" i="28"/>
  <c r="D6" i="53"/>
  <c r="E6" i="53"/>
  <c r="D21" i="28"/>
  <c r="D24" i="28"/>
  <c r="D13" i="28"/>
  <c r="D7" i="53"/>
  <c r="C39" i="53"/>
  <c r="B21" i="28"/>
  <c r="B24" i="28"/>
  <c r="E29" i="28"/>
  <c r="E32" i="28"/>
  <c r="C29" i="28"/>
  <c r="C32" i="28"/>
  <c r="B38" i="28"/>
  <c r="E7" i="53"/>
  <c r="C38" i="53"/>
  <c r="F10" i="28"/>
  <c r="H10" i="28"/>
  <c r="F21" i="28"/>
  <c r="B38" i="53"/>
  <c r="B39" i="53"/>
  <c r="B40" i="53"/>
  <c r="H21" i="28"/>
  <c r="B8" i="182"/>
  <c r="C9" i="182"/>
  <c r="I500" i="56"/>
  <c r="K500" i="56"/>
  <c r="I498" i="56"/>
  <c r="K498" i="56"/>
  <c r="I499" i="56"/>
  <c r="K499" i="56"/>
  <c r="I504" i="56"/>
  <c r="K504" i="56"/>
  <c r="I506" i="56"/>
  <c r="K506" i="56"/>
  <c r="I511" i="56"/>
  <c r="K511" i="56"/>
  <c r="I512" i="56"/>
  <c r="K512" i="56"/>
  <c r="I513" i="56"/>
  <c r="K513" i="56"/>
  <c r="I516" i="56"/>
  <c r="K516" i="56"/>
  <c r="I518" i="56"/>
  <c r="K518" i="56"/>
  <c r="I522" i="56"/>
  <c r="K522" i="56"/>
  <c r="I523" i="56"/>
  <c r="K523" i="56"/>
  <c r="I524" i="56"/>
  <c r="K524" i="56"/>
  <c r="I526" i="56"/>
  <c r="K526" i="56"/>
  <c r="I527" i="56"/>
  <c r="K527" i="56"/>
  <c r="I528" i="56"/>
  <c r="K528" i="56"/>
  <c r="I529" i="56"/>
  <c r="K529" i="56"/>
  <c r="I530" i="56"/>
  <c r="K530" i="56"/>
  <c r="I531" i="56"/>
  <c r="K531" i="56"/>
  <c r="I532" i="56"/>
  <c r="K532" i="56"/>
  <c r="I533" i="56"/>
  <c r="K533" i="56"/>
  <c r="I534" i="56"/>
  <c r="K534" i="56"/>
  <c r="I535" i="56"/>
  <c r="K535" i="56"/>
  <c r="I536" i="56"/>
  <c r="K536" i="56"/>
  <c r="I537" i="56"/>
  <c r="K537" i="56"/>
  <c r="I538" i="56"/>
  <c r="K538" i="56"/>
  <c r="I539" i="56"/>
  <c r="K539" i="56"/>
  <c r="I540" i="56"/>
  <c r="K540" i="56"/>
  <c r="I541" i="56"/>
  <c r="K541" i="56"/>
  <c r="I542" i="56"/>
  <c r="K542" i="56"/>
  <c r="I543" i="56"/>
  <c r="K543" i="56"/>
  <c r="I544" i="56"/>
  <c r="K544" i="56"/>
  <c r="I545" i="56"/>
  <c r="K545" i="56"/>
  <c r="I546" i="56"/>
  <c r="K546" i="56"/>
  <c r="I547" i="56"/>
  <c r="K547" i="56"/>
  <c r="I548" i="56"/>
  <c r="K548" i="56"/>
  <c r="I549" i="56"/>
  <c r="K549" i="56"/>
  <c r="I550" i="56"/>
  <c r="K550" i="56"/>
  <c r="I551" i="56"/>
  <c r="K551" i="56"/>
  <c r="I552" i="56"/>
  <c r="K552" i="56"/>
  <c r="I553" i="56"/>
  <c r="K553" i="56"/>
  <c r="I554" i="56"/>
  <c r="K554" i="56"/>
  <c r="I555" i="56"/>
  <c r="K555" i="56"/>
  <c r="I556" i="56"/>
  <c r="K556" i="56"/>
  <c r="I557" i="56"/>
  <c r="K557" i="56"/>
  <c r="I558" i="56"/>
  <c r="K558" i="56"/>
  <c r="I559" i="56"/>
  <c r="K559" i="56"/>
  <c r="I560" i="56"/>
  <c r="K560" i="56"/>
  <c r="I561" i="56"/>
  <c r="K561" i="56"/>
  <c r="I562" i="56"/>
  <c r="K562" i="56"/>
  <c r="I563" i="56"/>
  <c r="K563" i="56"/>
  <c r="I564" i="56"/>
  <c r="K564" i="56"/>
  <c r="I565" i="56"/>
  <c r="K565" i="56"/>
  <c r="I566" i="56"/>
  <c r="K566" i="56"/>
  <c r="I567" i="56"/>
  <c r="K567" i="56"/>
  <c r="I568" i="56"/>
  <c r="K568" i="56"/>
  <c r="I569" i="56"/>
  <c r="K569" i="56"/>
  <c r="I570" i="56"/>
  <c r="K570" i="56"/>
  <c r="I571" i="56"/>
  <c r="K571" i="56"/>
  <c r="I572" i="56"/>
  <c r="K572" i="56"/>
  <c r="I573" i="56"/>
  <c r="K573" i="56"/>
  <c r="I574" i="56"/>
  <c r="K574" i="56"/>
  <c r="I575" i="56"/>
  <c r="K575" i="56"/>
  <c r="I576" i="56"/>
  <c r="K576" i="56"/>
  <c r="I577" i="56"/>
  <c r="K577" i="56"/>
  <c r="I578" i="56"/>
  <c r="K578" i="56"/>
  <c r="I579" i="56"/>
  <c r="K579" i="56"/>
  <c r="I580" i="56"/>
  <c r="K580" i="56"/>
  <c r="I581" i="56"/>
  <c r="K581" i="56"/>
  <c r="I582" i="56"/>
  <c r="K582" i="56"/>
  <c r="I583" i="56"/>
  <c r="K583" i="56"/>
  <c r="I584" i="56"/>
  <c r="K584" i="56"/>
  <c r="I585" i="56"/>
  <c r="K585" i="56"/>
  <c r="I586" i="56"/>
  <c r="K586" i="56"/>
  <c r="I587" i="56"/>
  <c r="K587" i="56"/>
  <c r="I588" i="56"/>
  <c r="K588" i="56"/>
  <c r="I589" i="56"/>
  <c r="K589" i="56"/>
  <c r="I590" i="56"/>
  <c r="K590" i="56"/>
  <c r="I591" i="56"/>
  <c r="K591" i="56"/>
  <c r="I592" i="56"/>
  <c r="K592" i="56"/>
  <c r="I593" i="56"/>
  <c r="K593" i="56"/>
  <c r="I594" i="56"/>
  <c r="K594" i="56"/>
  <c r="I595" i="56"/>
  <c r="K595" i="56"/>
  <c r="I596" i="56"/>
  <c r="K596" i="56"/>
  <c r="I597" i="56"/>
  <c r="K597" i="56"/>
  <c r="I598" i="56"/>
  <c r="K598" i="56"/>
  <c r="I599" i="56"/>
  <c r="K599" i="56"/>
  <c r="I600" i="56"/>
  <c r="K600" i="56"/>
  <c r="I601" i="56"/>
  <c r="K601" i="56"/>
  <c r="I602" i="56"/>
  <c r="K602" i="56"/>
  <c r="I603" i="56"/>
  <c r="K603" i="56"/>
  <c r="I604" i="56"/>
  <c r="K604" i="56"/>
  <c r="I605" i="56"/>
  <c r="K605" i="56"/>
  <c r="I606" i="56"/>
  <c r="K606" i="56"/>
  <c r="I607" i="56"/>
  <c r="K607" i="56"/>
  <c r="I608" i="56"/>
  <c r="K608" i="56"/>
  <c r="I609" i="56"/>
  <c r="K609" i="56"/>
  <c r="I610" i="56"/>
  <c r="K610" i="56"/>
  <c r="I611" i="56"/>
  <c r="K611" i="56"/>
  <c r="I612" i="56"/>
  <c r="K612" i="56"/>
  <c r="I613" i="56"/>
  <c r="K613" i="56"/>
  <c r="I614" i="56"/>
  <c r="K614" i="56"/>
  <c r="I615" i="56"/>
  <c r="K615" i="56"/>
  <c r="I616" i="56"/>
  <c r="K616" i="56"/>
  <c r="I617" i="56"/>
  <c r="K617" i="56"/>
  <c r="I618" i="56"/>
  <c r="K618" i="56"/>
  <c r="I619" i="56"/>
  <c r="K619" i="56"/>
  <c r="I620" i="56"/>
  <c r="K620" i="56"/>
  <c r="I621" i="56"/>
  <c r="K621" i="56"/>
  <c r="I622" i="56"/>
  <c r="K622" i="56"/>
  <c r="I623" i="56"/>
  <c r="K623" i="56"/>
  <c r="I624" i="56"/>
  <c r="K624" i="56"/>
  <c r="I625" i="56"/>
  <c r="K625" i="56"/>
  <c r="I626" i="56"/>
  <c r="K626" i="56"/>
  <c r="I627" i="56"/>
  <c r="K627" i="56"/>
  <c r="I628" i="56"/>
  <c r="K628" i="56"/>
  <c r="I629" i="56"/>
  <c r="K629" i="56"/>
  <c r="I630" i="56"/>
  <c r="K630" i="56"/>
  <c r="I631" i="56"/>
  <c r="K631" i="56"/>
  <c r="C8" i="182"/>
  <c r="I510" i="56"/>
  <c r="K510" i="56"/>
  <c r="I495" i="56"/>
  <c r="K495" i="56"/>
  <c r="I521" i="56"/>
  <c r="K521" i="56"/>
  <c r="I515" i="56"/>
  <c r="K515" i="56"/>
  <c r="I503" i="56"/>
  <c r="K503" i="56"/>
  <c r="I491" i="56"/>
  <c r="K491" i="56"/>
  <c r="I525" i="56"/>
  <c r="K525" i="56"/>
  <c r="I520" i="56"/>
  <c r="K520" i="56"/>
  <c r="I514" i="56"/>
  <c r="K514" i="56"/>
  <c r="I509" i="56"/>
  <c r="K509" i="56"/>
  <c r="I486" i="56"/>
  <c r="K486" i="56"/>
  <c r="I519" i="56"/>
  <c r="K519" i="56"/>
  <c r="I508" i="56"/>
  <c r="K508" i="56"/>
  <c r="I501" i="56"/>
  <c r="K501" i="56"/>
  <c r="I477" i="56"/>
  <c r="K477" i="56"/>
  <c r="I517" i="56"/>
  <c r="K517" i="56"/>
  <c r="I505" i="56"/>
  <c r="K505" i="56"/>
  <c r="I10" i="56"/>
  <c r="K10" i="56"/>
  <c r="I21" i="56"/>
  <c r="K21" i="56"/>
  <c r="I28" i="56"/>
  <c r="K28" i="56"/>
  <c r="I41" i="56"/>
  <c r="K41" i="56"/>
  <c r="I47" i="56"/>
  <c r="K47" i="56"/>
  <c r="I58" i="56"/>
  <c r="K58" i="56"/>
  <c r="I63" i="56"/>
  <c r="K63" i="56"/>
  <c r="I74" i="56"/>
  <c r="K74" i="56"/>
  <c r="I79" i="56"/>
  <c r="K79" i="56"/>
  <c r="I90" i="56"/>
  <c r="K90" i="56"/>
  <c r="I95" i="56"/>
  <c r="K95" i="56"/>
  <c r="I101" i="56"/>
  <c r="K101" i="56"/>
  <c r="I107" i="56"/>
  <c r="K107" i="56"/>
  <c r="I114" i="56"/>
  <c r="K114" i="56"/>
  <c r="I120" i="56"/>
  <c r="K120" i="56"/>
  <c r="I134" i="56"/>
  <c r="K134" i="56"/>
  <c r="I148" i="56"/>
  <c r="K148" i="56"/>
  <c r="I155" i="56"/>
  <c r="K155" i="56"/>
  <c r="I161" i="56"/>
  <c r="K161" i="56"/>
  <c r="I174" i="56"/>
  <c r="K174" i="56"/>
  <c r="I180" i="56"/>
  <c r="K180" i="56"/>
  <c r="I187" i="56"/>
  <c r="K187" i="56"/>
  <c r="I193" i="56"/>
  <c r="K193" i="56"/>
  <c r="I199" i="56"/>
  <c r="K199" i="56"/>
  <c r="I206" i="56"/>
  <c r="K206" i="56"/>
  <c r="I214" i="56"/>
  <c r="K214" i="56"/>
  <c r="I222" i="56"/>
  <c r="K222" i="56"/>
  <c r="I228" i="56"/>
  <c r="K228" i="56"/>
  <c r="I236" i="56"/>
  <c r="K236" i="56"/>
  <c r="I248" i="56"/>
  <c r="K248" i="56"/>
  <c r="I254" i="56"/>
  <c r="K254" i="56"/>
  <c r="I259" i="56"/>
  <c r="K259" i="56"/>
  <c r="I266" i="56"/>
  <c r="K266" i="56"/>
  <c r="I271" i="56"/>
  <c r="K271" i="56"/>
  <c r="I277" i="56"/>
  <c r="K277" i="56"/>
  <c r="I285" i="56"/>
  <c r="K285" i="56"/>
  <c r="I293" i="56"/>
  <c r="K293" i="56"/>
  <c r="I301" i="56"/>
  <c r="K301" i="56"/>
  <c r="I307" i="56"/>
  <c r="K307" i="56"/>
  <c r="I314" i="56"/>
  <c r="K314" i="56"/>
  <c r="I320" i="56"/>
  <c r="K320" i="56"/>
  <c r="I333" i="56"/>
  <c r="K333" i="56"/>
  <c r="I339" i="56"/>
  <c r="K339" i="56"/>
  <c r="I350" i="56"/>
  <c r="K350" i="56"/>
  <c r="I359" i="56"/>
  <c r="K359" i="56"/>
  <c r="I369" i="56"/>
  <c r="K369" i="56"/>
  <c r="I378" i="56"/>
  <c r="K378" i="56"/>
  <c r="I383" i="56"/>
  <c r="K383" i="56"/>
  <c r="I392" i="56"/>
  <c r="K392" i="56"/>
  <c r="I401" i="56"/>
  <c r="K401" i="56"/>
  <c r="I410" i="56"/>
  <c r="K410" i="56"/>
  <c r="I415" i="56"/>
  <c r="K415" i="56"/>
  <c r="I424" i="56"/>
  <c r="K424" i="56"/>
  <c r="I433" i="56"/>
  <c r="K433" i="56"/>
  <c r="I442" i="56"/>
  <c r="K442" i="56"/>
  <c r="I447" i="56"/>
  <c r="K447" i="56"/>
  <c r="I456" i="56"/>
  <c r="K456" i="56"/>
  <c r="I465" i="56"/>
  <c r="K465" i="56"/>
  <c r="I474" i="56"/>
  <c r="K474" i="56"/>
  <c r="I479" i="56"/>
  <c r="K479" i="56"/>
  <c r="I488" i="56"/>
  <c r="K488" i="56"/>
  <c r="I497" i="56"/>
  <c r="K497" i="56"/>
  <c r="I22" i="56"/>
  <c r="K22" i="56"/>
  <c r="I29" i="56"/>
  <c r="K29" i="56"/>
  <c r="I35" i="56"/>
  <c r="K35" i="56"/>
  <c r="I42" i="56"/>
  <c r="K42" i="56"/>
  <c r="I48" i="56"/>
  <c r="K48" i="56"/>
  <c r="I53" i="56"/>
  <c r="K53" i="56"/>
  <c r="I64" i="56"/>
  <c r="K64" i="56"/>
  <c r="I69" i="56"/>
  <c r="K69" i="56"/>
  <c r="I80" i="56"/>
  <c r="K80" i="56"/>
  <c r="I85" i="56"/>
  <c r="K85" i="56"/>
  <c r="I96" i="56"/>
  <c r="K96" i="56"/>
  <c r="I102" i="56"/>
  <c r="K102" i="56"/>
  <c r="I108" i="56"/>
  <c r="K108" i="56"/>
  <c r="I121" i="56"/>
  <c r="K121" i="56"/>
  <c r="I127" i="56"/>
  <c r="K127" i="56"/>
  <c r="I135" i="56"/>
  <c r="K135" i="56"/>
  <c r="I141" i="56"/>
  <c r="K141" i="56"/>
  <c r="I149" i="56"/>
  <c r="K149" i="56"/>
  <c r="I162" i="56"/>
  <c r="K162" i="56"/>
  <c r="I168" i="56"/>
  <c r="K168" i="56"/>
  <c r="I175" i="56"/>
  <c r="K175" i="56"/>
  <c r="I181" i="56"/>
  <c r="K181" i="56"/>
  <c r="I188" i="56"/>
  <c r="K188" i="56"/>
  <c r="I194" i="56"/>
  <c r="K194" i="56"/>
  <c r="I200" i="56"/>
  <c r="K200" i="56"/>
  <c r="I207" i="56"/>
  <c r="K207" i="56"/>
  <c r="I215" i="56"/>
  <c r="K215" i="56"/>
  <c r="I229" i="56"/>
  <c r="K229" i="56"/>
  <c r="I237" i="56"/>
  <c r="K237" i="56"/>
  <c r="I243" i="56"/>
  <c r="K243" i="56"/>
  <c r="I260" i="56"/>
  <c r="K260" i="56"/>
  <c r="I272" i="56"/>
  <c r="K272" i="56"/>
  <c r="I278" i="56"/>
  <c r="K278" i="56"/>
  <c r="I286" i="56"/>
  <c r="K286" i="56"/>
  <c r="I294" i="56"/>
  <c r="K294" i="56"/>
  <c r="I302" i="56"/>
  <c r="K302" i="56"/>
  <c r="I308" i="56"/>
  <c r="K308" i="56"/>
  <c r="I321" i="56"/>
  <c r="K321" i="56"/>
  <c r="I327" i="56"/>
  <c r="K327" i="56"/>
  <c r="I334" i="56"/>
  <c r="K334" i="56"/>
  <c r="I340" i="56"/>
  <c r="K340" i="56"/>
  <c r="I345" i="56"/>
  <c r="K345" i="56"/>
  <c r="I355" i="56"/>
  <c r="K355" i="56"/>
  <c r="I360" i="56"/>
  <c r="K360" i="56"/>
  <c r="I365" i="56"/>
  <c r="K365" i="56"/>
  <c r="I374" i="56"/>
  <c r="K374" i="56"/>
  <c r="I379" i="56"/>
  <c r="K379" i="56"/>
  <c r="I388" i="56"/>
  <c r="K388" i="56"/>
  <c r="I397" i="56"/>
  <c r="K397" i="56"/>
  <c r="I406" i="56"/>
  <c r="K406" i="56"/>
  <c r="I411" i="56"/>
  <c r="K411" i="56"/>
  <c r="I420" i="56"/>
  <c r="K420" i="56"/>
  <c r="I429" i="56"/>
  <c r="K429" i="56"/>
  <c r="I438" i="56"/>
  <c r="K438" i="56"/>
  <c r="I443" i="56"/>
  <c r="K443" i="56"/>
  <c r="I452" i="56"/>
  <c r="K452" i="56"/>
  <c r="I461" i="56"/>
  <c r="K461" i="56"/>
  <c r="I470" i="56"/>
  <c r="K470" i="56"/>
  <c r="I475" i="56"/>
  <c r="K475" i="56"/>
  <c r="I484" i="56"/>
  <c r="K484" i="56"/>
  <c r="I493" i="56"/>
  <c r="K493" i="56"/>
  <c r="I30" i="56"/>
  <c r="K30" i="56"/>
  <c r="I36" i="56"/>
  <c r="K36" i="56"/>
  <c r="I54" i="56"/>
  <c r="K54" i="56"/>
  <c r="I59" i="56"/>
  <c r="K59" i="56"/>
  <c r="I70" i="56"/>
  <c r="K70" i="56"/>
  <c r="I75" i="56"/>
  <c r="K75" i="56"/>
  <c r="I86" i="56"/>
  <c r="K86" i="56"/>
  <c r="I91" i="56"/>
  <c r="K91" i="56"/>
  <c r="I109" i="56"/>
  <c r="K109" i="56"/>
  <c r="I115" i="56"/>
  <c r="K115" i="56"/>
  <c r="I122" i="56"/>
  <c r="K122" i="56"/>
  <c r="I128" i="56"/>
  <c r="K128" i="56"/>
  <c r="I136" i="56"/>
  <c r="K136" i="56"/>
  <c r="I142" i="56"/>
  <c r="K142" i="56"/>
  <c r="I150" i="56"/>
  <c r="K150" i="56"/>
  <c r="I156" i="56"/>
  <c r="K156" i="56"/>
  <c r="I163" i="56"/>
  <c r="K163" i="56"/>
  <c r="I169" i="56"/>
  <c r="K169" i="56"/>
  <c r="I182" i="56"/>
  <c r="K182" i="56"/>
  <c r="I189" i="56"/>
  <c r="K189" i="56"/>
  <c r="I201" i="56"/>
  <c r="K201" i="56"/>
  <c r="I208" i="56"/>
  <c r="K208" i="56"/>
  <c r="I216" i="56"/>
  <c r="K216" i="56"/>
  <c r="I223" i="56"/>
  <c r="K223" i="56"/>
  <c r="I230" i="56"/>
  <c r="K230" i="56"/>
  <c r="I238" i="56"/>
  <c r="K238" i="56"/>
  <c r="I244" i="56"/>
  <c r="K244" i="56"/>
  <c r="I249" i="56"/>
  <c r="K249" i="56"/>
  <c r="I255" i="56"/>
  <c r="K255" i="56"/>
  <c r="I261" i="56"/>
  <c r="K261" i="56"/>
  <c r="I267" i="56"/>
  <c r="K267" i="56"/>
  <c r="I279" i="56"/>
  <c r="K279" i="56"/>
  <c r="I287" i="56"/>
  <c r="K287" i="56"/>
  <c r="I295" i="56"/>
  <c r="K295" i="56"/>
  <c r="I309" i="56"/>
  <c r="K309" i="56"/>
  <c r="I315" i="56"/>
  <c r="K315" i="56"/>
  <c r="I322" i="56"/>
  <c r="K322" i="56"/>
  <c r="I328" i="56"/>
  <c r="K328" i="56"/>
  <c r="I341" i="56"/>
  <c r="K341" i="56"/>
  <c r="I346" i="56"/>
  <c r="K346" i="56"/>
  <c r="I351" i="56"/>
  <c r="K351" i="56"/>
  <c r="I370" i="56"/>
  <c r="K370" i="56"/>
  <c r="I375" i="56"/>
  <c r="K375" i="56"/>
  <c r="I384" i="56"/>
  <c r="K384" i="56"/>
  <c r="I393" i="56"/>
  <c r="K393" i="56"/>
  <c r="I402" i="56"/>
  <c r="K402" i="56"/>
  <c r="I407" i="56"/>
  <c r="K407" i="56"/>
  <c r="I416" i="56"/>
  <c r="K416" i="56"/>
  <c r="I425" i="56"/>
  <c r="K425" i="56"/>
  <c r="I434" i="56"/>
  <c r="K434" i="56"/>
  <c r="I439" i="56"/>
  <c r="K439" i="56"/>
  <c r="I448" i="56"/>
  <c r="K448" i="56"/>
  <c r="I457" i="56"/>
  <c r="K457" i="56"/>
  <c r="I466" i="56"/>
  <c r="K466" i="56"/>
  <c r="I471" i="56"/>
  <c r="K471" i="56"/>
  <c r="I480" i="56"/>
  <c r="K480" i="56"/>
  <c r="I489" i="56"/>
  <c r="K489" i="56"/>
  <c r="I9" i="56"/>
  <c r="K9" i="56"/>
  <c r="I24" i="56"/>
  <c r="K24" i="56"/>
  <c r="I37" i="56"/>
  <c r="K37" i="56"/>
  <c r="I43" i="56"/>
  <c r="K43" i="56"/>
  <c r="I49" i="56"/>
  <c r="K49" i="56"/>
  <c r="I60" i="56"/>
  <c r="K60" i="56"/>
  <c r="I65" i="56"/>
  <c r="K65" i="56"/>
  <c r="I76" i="56"/>
  <c r="K76" i="56"/>
  <c r="I81" i="56"/>
  <c r="K81" i="56"/>
  <c r="I92" i="56"/>
  <c r="K92" i="56"/>
  <c r="I97" i="56"/>
  <c r="K97" i="56"/>
  <c r="I103" i="56"/>
  <c r="K103" i="56"/>
  <c r="I110" i="56"/>
  <c r="K110" i="56"/>
  <c r="I116" i="56"/>
  <c r="K116" i="56"/>
  <c r="I129" i="56"/>
  <c r="K129" i="56"/>
  <c r="I143" i="56"/>
  <c r="K143" i="56"/>
  <c r="I151" i="56"/>
  <c r="K151" i="56"/>
  <c r="I157" i="56"/>
  <c r="K157" i="56"/>
  <c r="I170" i="56"/>
  <c r="K170" i="56"/>
  <c r="I176" i="56"/>
  <c r="K176" i="56"/>
  <c r="I183" i="56"/>
  <c r="K183" i="56"/>
  <c r="I190" i="56"/>
  <c r="K190" i="56"/>
  <c r="I195" i="56"/>
  <c r="K195" i="56"/>
  <c r="I202" i="56"/>
  <c r="K202" i="56"/>
  <c r="I209" i="56"/>
  <c r="K209" i="56"/>
  <c r="I217" i="56"/>
  <c r="K217" i="56"/>
  <c r="I224" i="56"/>
  <c r="K224" i="56"/>
  <c r="I231" i="56"/>
  <c r="K231" i="56"/>
  <c r="I239" i="56"/>
  <c r="K239" i="56"/>
  <c r="I250" i="56"/>
  <c r="K250" i="56"/>
  <c r="I256" i="56"/>
  <c r="K256" i="56"/>
  <c r="I262" i="56"/>
  <c r="K262" i="56"/>
  <c r="I268" i="56"/>
  <c r="K268" i="56"/>
  <c r="I273" i="56"/>
  <c r="K273" i="56"/>
  <c r="I280" i="56"/>
  <c r="K280" i="56"/>
  <c r="I288" i="56"/>
  <c r="K288" i="56"/>
  <c r="I296" i="56"/>
  <c r="K296" i="56"/>
  <c r="I303" i="56"/>
  <c r="K303" i="56"/>
  <c r="I310" i="56"/>
  <c r="K310" i="56"/>
  <c r="I316" i="56"/>
  <c r="K316" i="56"/>
  <c r="I329" i="56"/>
  <c r="K329" i="56"/>
  <c r="I335" i="56"/>
  <c r="K335" i="56"/>
  <c r="I342" i="56"/>
  <c r="K342" i="56"/>
  <c r="I347" i="56"/>
  <c r="K347" i="56"/>
  <c r="I356" i="56"/>
  <c r="K356" i="56"/>
  <c r="I361" i="56"/>
  <c r="K361" i="56"/>
  <c r="I366" i="56"/>
  <c r="K366" i="56"/>
  <c r="I371" i="56"/>
  <c r="K371" i="56"/>
  <c r="I380" i="56"/>
  <c r="K380" i="56"/>
  <c r="I389" i="56"/>
  <c r="K389" i="56"/>
  <c r="I398" i="56"/>
  <c r="K398" i="56"/>
  <c r="I403" i="56"/>
  <c r="K403" i="56"/>
  <c r="I412" i="56"/>
  <c r="K412" i="56"/>
  <c r="I421" i="56"/>
  <c r="K421" i="56"/>
  <c r="I430" i="56"/>
  <c r="K430" i="56"/>
  <c r="I435" i="56"/>
  <c r="K435" i="56"/>
  <c r="I444" i="56"/>
  <c r="K444" i="56"/>
  <c r="I453" i="56"/>
  <c r="K453" i="56"/>
  <c r="I462" i="56"/>
  <c r="K462" i="56"/>
  <c r="I467" i="56"/>
  <c r="K467" i="56"/>
  <c r="I476" i="56"/>
  <c r="K476" i="56"/>
  <c r="I485" i="56"/>
  <c r="K485" i="56"/>
  <c r="I494" i="56"/>
  <c r="K494" i="56"/>
  <c r="I13" i="56"/>
  <c r="K13" i="56"/>
  <c r="I25" i="56"/>
  <c r="K25" i="56"/>
  <c r="I31" i="56"/>
  <c r="K31" i="56"/>
  <c r="I38" i="56"/>
  <c r="K38" i="56"/>
  <c r="I44" i="56"/>
  <c r="K44" i="56"/>
  <c r="I50" i="56"/>
  <c r="K50" i="56"/>
  <c r="I55" i="56"/>
  <c r="K55" i="56"/>
  <c r="I66" i="56"/>
  <c r="K66" i="56"/>
  <c r="I71" i="56"/>
  <c r="K71" i="56"/>
  <c r="I82" i="56"/>
  <c r="K82" i="56"/>
  <c r="I87" i="56"/>
  <c r="K87" i="56"/>
  <c r="I98" i="56"/>
  <c r="K98" i="56"/>
  <c r="I104" i="56"/>
  <c r="K104" i="56"/>
  <c r="I117" i="56"/>
  <c r="K117" i="56"/>
  <c r="I123" i="56"/>
  <c r="K123" i="56"/>
  <c r="I130" i="56"/>
  <c r="K130" i="56"/>
  <c r="I137" i="56"/>
  <c r="K137" i="56"/>
  <c r="I144" i="56"/>
  <c r="K144" i="56"/>
  <c r="I158" i="56"/>
  <c r="K158" i="56"/>
  <c r="I164" i="56"/>
  <c r="K164" i="56"/>
  <c r="I171" i="56"/>
  <c r="K171" i="56"/>
  <c r="I177" i="56"/>
  <c r="K177" i="56"/>
  <c r="I184" i="56"/>
  <c r="K184" i="56"/>
  <c r="I196" i="56"/>
  <c r="K196" i="56"/>
  <c r="I210" i="56"/>
  <c r="K210" i="56"/>
  <c r="I218" i="56"/>
  <c r="K218" i="56"/>
  <c r="I232" i="56"/>
  <c r="K232" i="56"/>
  <c r="I240" i="56"/>
  <c r="K240" i="56"/>
  <c r="I245" i="56"/>
  <c r="K245" i="56"/>
  <c r="I251" i="56"/>
  <c r="K251" i="56"/>
  <c r="I274" i="56"/>
  <c r="K274" i="56"/>
  <c r="I281" i="56"/>
  <c r="K281" i="56"/>
  <c r="I289" i="56"/>
  <c r="K289" i="56"/>
  <c r="I297" i="56"/>
  <c r="K297" i="56"/>
  <c r="I304" i="56"/>
  <c r="K304" i="56"/>
  <c r="I317" i="56"/>
  <c r="K317" i="56"/>
  <c r="I323" i="56"/>
  <c r="K323" i="56"/>
  <c r="I330" i="56"/>
  <c r="K330" i="56"/>
  <c r="I336" i="56"/>
  <c r="K336" i="56"/>
  <c r="I352" i="56"/>
  <c r="K352" i="56"/>
  <c r="I367" i="56"/>
  <c r="K367" i="56"/>
  <c r="I376" i="56"/>
  <c r="K376" i="56"/>
  <c r="I385" i="56"/>
  <c r="K385" i="56"/>
  <c r="I394" i="56"/>
  <c r="K394" i="56"/>
  <c r="I399" i="56"/>
  <c r="K399" i="56"/>
  <c r="I408" i="56"/>
  <c r="K408" i="56"/>
  <c r="I417" i="56"/>
  <c r="K417" i="56"/>
  <c r="I426" i="56"/>
  <c r="K426" i="56"/>
  <c r="I431" i="56"/>
  <c r="K431" i="56"/>
  <c r="I440" i="56"/>
  <c r="K440" i="56"/>
  <c r="I449" i="56"/>
  <c r="K449" i="56"/>
  <c r="I458" i="56"/>
  <c r="K458" i="56"/>
  <c r="I463" i="56"/>
  <c r="K463" i="56"/>
  <c r="I472" i="56"/>
  <c r="K472" i="56"/>
  <c r="I481" i="56"/>
  <c r="K481" i="56"/>
  <c r="I490" i="56"/>
  <c r="K490" i="56"/>
  <c r="I17" i="56"/>
  <c r="K17" i="56"/>
  <c r="I26" i="56"/>
  <c r="K26" i="56"/>
  <c r="I32" i="56"/>
  <c r="K32" i="56"/>
  <c r="I45" i="56"/>
  <c r="K45" i="56"/>
  <c r="I56" i="56"/>
  <c r="K56" i="56"/>
  <c r="I61" i="56"/>
  <c r="K61" i="56"/>
  <c r="I72" i="56"/>
  <c r="K72" i="56"/>
  <c r="I77" i="56"/>
  <c r="K77" i="56"/>
  <c r="I88" i="56"/>
  <c r="K88" i="56"/>
  <c r="I93" i="56"/>
  <c r="K93" i="56"/>
  <c r="I105" i="56"/>
  <c r="K105" i="56"/>
  <c r="I111" i="56"/>
  <c r="K111" i="56"/>
  <c r="I118" i="56"/>
  <c r="K118" i="56"/>
  <c r="I124" i="56"/>
  <c r="K124" i="56"/>
  <c r="I131" i="56"/>
  <c r="K131" i="56"/>
  <c r="I138" i="56"/>
  <c r="K138" i="56"/>
  <c r="I145" i="56"/>
  <c r="K145" i="56"/>
  <c r="I152" i="56"/>
  <c r="K152" i="56"/>
  <c r="I159" i="56"/>
  <c r="K159" i="56"/>
  <c r="I165" i="56"/>
  <c r="K165" i="56"/>
  <c r="I178" i="56"/>
  <c r="K178" i="56"/>
  <c r="I185" i="56"/>
  <c r="K185" i="56"/>
  <c r="I191" i="56"/>
  <c r="K191" i="56"/>
  <c r="I197" i="56"/>
  <c r="K197" i="56"/>
  <c r="I203" i="56"/>
  <c r="K203" i="56"/>
  <c r="I211" i="56"/>
  <c r="K211" i="56"/>
  <c r="I219" i="56"/>
  <c r="K219" i="56"/>
  <c r="I225" i="56"/>
  <c r="K225" i="56"/>
  <c r="I233" i="56"/>
  <c r="K233" i="56"/>
  <c r="I246" i="56"/>
  <c r="K246" i="56"/>
  <c r="I252" i="56"/>
  <c r="K252" i="56"/>
  <c r="I257" i="56"/>
  <c r="K257" i="56"/>
  <c r="I263" i="56"/>
  <c r="K263" i="56"/>
  <c r="I269" i="56"/>
  <c r="K269" i="56"/>
  <c r="I282" i="56"/>
  <c r="K282" i="56"/>
  <c r="I290" i="56"/>
  <c r="K290" i="56"/>
  <c r="I298" i="56"/>
  <c r="K298" i="56"/>
  <c r="I305" i="56"/>
  <c r="K305" i="56"/>
  <c r="I311" i="56"/>
  <c r="K311" i="56"/>
  <c r="I318" i="56"/>
  <c r="K318" i="56"/>
  <c r="I324" i="56"/>
  <c r="K324" i="56"/>
  <c r="I337" i="56"/>
  <c r="K337" i="56"/>
  <c r="I343" i="56"/>
  <c r="K343" i="56"/>
  <c r="I348" i="56"/>
  <c r="K348" i="56"/>
  <c r="I357" i="56"/>
  <c r="K357" i="56"/>
  <c r="I362" i="56"/>
  <c r="K362" i="56"/>
  <c r="I372" i="56"/>
  <c r="K372" i="56"/>
  <c r="I381" i="56"/>
  <c r="K381" i="56"/>
  <c r="I390" i="56"/>
  <c r="K390" i="56"/>
  <c r="I395" i="56"/>
  <c r="K395" i="56"/>
  <c r="I404" i="56"/>
  <c r="K404" i="56"/>
  <c r="I413" i="56"/>
  <c r="K413" i="56"/>
  <c r="I422" i="56"/>
  <c r="K422" i="56"/>
  <c r="I427" i="56"/>
  <c r="K427" i="56"/>
  <c r="I436" i="56"/>
  <c r="K436" i="56"/>
  <c r="I445" i="56"/>
  <c r="K445" i="56"/>
  <c r="I454" i="56"/>
  <c r="K454" i="56"/>
  <c r="I459" i="56"/>
  <c r="K459" i="56"/>
  <c r="I468" i="56"/>
  <c r="K468" i="56"/>
  <c r="I18" i="56"/>
  <c r="K18" i="56"/>
  <c r="I33" i="56"/>
  <c r="K33" i="56"/>
  <c r="I39" i="56"/>
  <c r="K39" i="56"/>
  <c r="I46" i="56"/>
  <c r="K46" i="56"/>
  <c r="I51" i="56"/>
  <c r="K51" i="56"/>
  <c r="I62" i="56"/>
  <c r="K62" i="56"/>
  <c r="I67" i="56"/>
  <c r="K67" i="56"/>
  <c r="I78" i="56"/>
  <c r="K78" i="56"/>
  <c r="I83" i="56"/>
  <c r="K83" i="56"/>
  <c r="I94" i="56"/>
  <c r="K94" i="56"/>
  <c r="I99" i="56"/>
  <c r="K99" i="56"/>
  <c r="I106" i="56"/>
  <c r="K106" i="56"/>
  <c r="I112" i="56"/>
  <c r="K112" i="56"/>
  <c r="I125" i="56"/>
  <c r="K125" i="56"/>
  <c r="I132" i="56"/>
  <c r="K132" i="56"/>
  <c r="I139" i="56"/>
  <c r="K139" i="56"/>
  <c r="I146" i="56"/>
  <c r="K146" i="56"/>
  <c r="I153" i="56"/>
  <c r="K153" i="56"/>
  <c r="I166" i="56"/>
  <c r="K166" i="56"/>
  <c r="I172" i="56"/>
  <c r="K172" i="56"/>
  <c r="I179" i="56"/>
  <c r="K179" i="56"/>
  <c r="I186" i="56"/>
  <c r="K186" i="56"/>
  <c r="I192" i="56"/>
  <c r="K192" i="56"/>
  <c r="I198" i="56"/>
  <c r="K198" i="56"/>
  <c r="I204" i="56"/>
  <c r="K204" i="56"/>
  <c r="I212" i="56"/>
  <c r="K212" i="56"/>
  <c r="I220" i="56"/>
  <c r="K220" i="56"/>
  <c r="I226" i="56"/>
  <c r="K226" i="56"/>
  <c r="I234" i="56"/>
  <c r="K234" i="56"/>
  <c r="I241" i="56"/>
  <c r="K241" i="56"/>
  <c r="I258" i="56"/>
  <c r="K258" i="56"/>
  <c r="I264" i="56"/>
  <c r="K264" i="56"/>
  <c r="I270" i="56"/>
  <c r="K270" i="56"/>
  <c r="I275" i="56"/>
  <c r="K275" i="56"/>
  <c r="I283" i="56"/>
  <c r="K283" i="56"/>
  <c r="I291" i="56"/>
  <c r="K291" i="56"/>
  <c r="I299" i="56"/>
  <c r="K299" i="56"/>
  <c r="I306" i="56"/>
  <c r="K306" i="56"/>
  <c r="I312" i="56"/>
  <c r="K312" i="56"/>
  <c r="I325" i="56"/>
  <c r="K325" i="56"/>
  <c r="I331" i="56"/>
  <c r="K331" i="56"/>
  <c r="I338" i="56"/>
  <c r="K338" i="56"/>
  <c r="I353" i="56"/>
  <c r="K353" i="56"/>
  <c r="I358" i="56"/>
  <c r="K358" i="56"/>
  <c r="I363" i="56"/>
  <c r="K363" i="56"/>
  <c r="I368" i="56"/>
  <c r="K368" i="56"/>
  <c r="I377" i="56"/>
  <c r="K377" i="56"/>
  <c r="I386" i="56"/>
  <c r="K386" i="56"/>
  <c r="I391" i="56"/>
  <c r="K391" i="56"/>
  <c r="I400" i="56"/>
  <c r="K400" i="56"/>
  <c r="I409" i="56"/>
  <c r="K409" i="56"/>
  <c r="I418" i="56"/>
  <c r="K418" i="56"/>
  <c r="I423" i="56"/>
  <c r="K423" i="56"/>
  <c r="I432" i="56"/>
  <c r="K432" i="56"/>
  <c r="I441" i="56"/>
  <c r="K441" i="56"/>
  <c r="I450" i="56"/>
  <c r="K450" i="56"/>
  <c r="I455" i="56"/>
  <c r="K455" i="56"/>
  <c r="I464" i="56"/>
  <c r="K464" i="56"/>
  <c r="I473" i="56"/>
  <c r="K473" i="56"/>
  <c r="I482" i="56"/>
  <c r="K482" i="56"/>
  <c r="I487" i="56"/>
  <c r="K487" i="56"/>
  <c r="I496" i="56"/>
  <c r="K496" i="56"/>
  <c r="I27" i="56"/>
  <c r="K27" i="56"/>
  <c r="I34" i="56"/>
  <c r="K34" i="56"/>
  <c r="I40" i="56"/>
  <c r="K40" i="56"/>
  <c r="I52" i="56"/>
  <c r="K52" i="56"/>
  <c r="I57" i="56"/>
  <c r="K57" i="56"/>
  <c r="I68" i="56"/>
  <c r="K68" i="56"/>
  <c r="I73" i="56"/>
  <c r="K73" i="56"/>
  <c r="I84" i="56"/>
  <c r="K84" i="56"/>
  <c r="I89" i="56"/>
  <c r="K89" i="56"/>
  <c r="I100" i="56"/>
  <c r="K100" i="56"/>
  <c r="I113" i="56"/>
  <c r="K113" i="56"/>
  <c r="I119" i="56"/>
  <c r="K119" i="56"/>
  <c r="I126" i="56"/>
  <c r="K126" i="56"/>
  <c r="I133" i="56"/>
  <c r="K133" i="56"/>
  <c r="I140" i="56"/>
  <c r="K140" i="56"/>
  <c r="I147" i="56"/>
  <c r="K147" i="56"/>
  <c r="I154" i="56"/>
  <c r="K154" i="56"/>
  <c r="I160" i="56"/>
  <c r="K160" i="56"/>
  <c r="I167" i="56"/>
  <c r="K167" i="56"/>
  <c r="I173" i="56"/>
  <c r="K173" i="56"/>
  <c r="I205" i="56"/>
  <c r="K205" i="56"/>
  <c r="I213" i="56"/>
  <c r="K213" i="56"/>
  <c r="I221" i="56"/>
  <c r="K221" i="56"/>
  <c r="I227" i="56"/>
  <c r="K227" i="56"/>
  <c r="I235" i="56"/>
  <c r="K235" i="56"/>
  <c r="I242" i="56"/>
  <c r="K242" i="56"/>
  <c r="I247" i="56"/>
  <c r="K247" i="56"/>
  <c r="I253" i="56"/>
  <c r="K253" i="56"/>
  <c r="I265" i="56"/>
  <c r="K265" i="56"/>
  <c r="I276" i="56"/>
  <c r="K276" i="56"/>
  <c r="I284" i="56"/>
  <c r="K284" i="56"/>
  <c r="I292" i="56"/>
  <c r="K292" i="56"/>
  <c r="I300" i="56"/>
  <c r="K300" i="56"/>
  <c r="I313" i="56"/>
  <c r="K313" i="56"/>
  <c r="I319" i="56"/>
  <c r="K319" i="56"/>
  <c r="I326" i="56"/>
  <c r="K326" i="56"/>
  <c r="I332" i="56"/>
  <c r="K332" i="56"/>
  <c r="I344" i="56"/>
  <c r="K344" i="56"/>
  <c r="I349" i="56"/>
  <c r="K349" i="56"/>
  <c r="I354" i="56"/>
  <c r="K354" i="56"/>
  <c r="I364" i="56"/>
  <c r="K364" i="56"/>
  <c r="I373" i="56"/>
  <c r="K373" i="56"/>
  <c r="I382" i="56"/>
  <c r="K382" i="56"/>
  <c r="I387" i="56"/>
  <c r="K387" i="56"/>
  <c r="I396" i="56"/>
  <c r="K396" i="56"/>
  <c r="I405" i="56"/>
  <c r="K405" i="56"/>
  <c r="I414" i="56"/>
  <c r="K414" i="56"/>
  <c r="I419" i="56"/>
  <c r="K419" i="56"/>
  <c r="I428" i="56"/>
  <c r="K428" i="56"/>
  <c r="I437" i="56"/>
  <c r="K437" i="56"/>
  <c r="I446" i="56"/>
  <c r="K446" i="56"/>
  <c r="I451" i="56"/>
  <c r="K451" i="56"/>
  <c r="I460" i="56"/>
  <c r="K460" i="56"/>
  <c r="I469" i="56"/>
  <c r="K469" i="56"/>
  <c r="I478" i="56"/>
  <c r="K478" i="56"/>
  <c r="I483" i="56"/>
  <c r="K483" i="56"/>
  <c r="I492" i="56"/>
  <c r="K492" i="56"/>
  <c r="I507" i="56"/>
  <c r="K507" i="56"/>
  <c r="I502" i="56"/>
  <c r="K502" i="56"/>
  <c r="I20" i="56"/>
  <c r="K20" i="56"/>
  <c r="I16" i="56"/>
  <c r="K16" i="56"/>
  <c r="I12" i="56"/>
  <c r="K12" i="56"/>
  <c r="I8" i="56"/>
  <c r="K8" i="56"/>
  <c r="I23" i="56"/>
  <c r="K23" i="56"/>
  <c r="I19" i="56"/>
  <c r="K19" i="56"/>
  <c r="I15" i="56"/>
  <c r="K15" i="56"/>
  <c r="I11" i="56"/>
  <c r="K11" i="56"/>
  <c r="I7" i="56"/>
  <c r="K7" i="56"/>
  <c r="I14" i="56"/>
  <c r="K14" i="56"/>
  <c r="K632" i="56"/>
  <c r="D3" i="27"/>
  <c r="E3" i="27"/>
  <c r="D7" i="27"/>
  <c r="F12" i="28"/>
  <c r="E7" i="27"/>
  <c r="C40" i="27"/>
  <c r="C39" i="27"/>
  <c r="H12" i="28"/>
  <c r="F13" i="28"/>
  <c r="C30" i="28"/>
  <c r="F23" i="28"/>
  <c r="F24" i="28"/>
  <c r="E30" i="28"/>
  <c r="H13" i="28"/>
  <c r="H23" i="28"/>
  <c r="H24" i="28"/>
  <c r="E31" i="28"/>
  <c r="B39" i="27"/>
  <c r="B40" i="27"/>
  <c r="B41" i="27"/>
  <c r="K26" i="28"/>
  <c r="E33" i="28"/>
  <c r="D38" i="28"/>
  <c r="C31" i="28"/>
  <c r="C33" i="28"/>
  <c r="C39" i="28"/>
  <c r="A38" i="28"/>
  <c r="E40" i="28"/>
  <c r="A39" i="28"/>
  <c r="B39" i="28"/>
  <c r="D39" i="28"/>
  <c r="E38" i="28"/>
  <c r="E37" i="28"/>
  <c r="F39" i="28"/>
  <c r="E39" i="28"/>
  <c r="F38" i="28"/>
</calcChain>
</file>

<file path=xl/comments1.xml><?xml version="1.0" encoding="utf-8"?>
<comments xmlns="http://schemas.openxmlformats.org/spreadsheetml/2006/main">
  <authors>
    <author>JK</author>
  </authors>
  <commentList>
    <comment ref="A4" authorId="0">
      <text>
        <r>
          <rPr>
            <sz val="8"/>
            <color indexed="81"/>
            <rFont val="Tahoma"/>
            <family val="2"/>
          </rPr>
          <t>Only added in to world total, as there is currently no good principle for allocating to individual nations.</t>
        </r>
      </text>
    </comment>
  </commentList>
</comments>
</file>

<file path=xl/comments2.xml><?xml version="1.0" encoding="utf-8"?>
<comments xmlns="http://schemas.openxmlformats.org/spreadsheetml/2006/main">
  <authors>
    <author>elias lazarus</author>
  </authors>
  <commentList>
    <comment ref="A4" authorId="0">
      <text>
        <r>
          <rPr>
            <sz val="8"/>
            <color indexed="81"/>
            <rFont val="Tahoma"/>
            <family val="2"/>
          </rPr>
          <t>Footprint of available crop feed  - domestic or from trade - for domestic livestock</t>
        </r>
      </text>
    </comment>
  </commentList>
</comments>
</file>

<file path=xl/comments3.xml><?xml version="1.0" encoding="utf-8"?>
<comments xmlns="http://schemas.openxmlformats.org/spreadsheetml/2006/main">
  <authors>
    <author>elias lazarus</author>
  </authors>
  <commentList>
    <comment ref="B4" authorId="0">
      <text>
        <r>
          <rPr>
            <sz val="9"/>
            <color indexed="81"/>
            <rFont val="Tahoma"/>
            <family val="2"/>
          </rPr>
          <t>Reference only. Represents livestock products already reported - including from trade - that are fed to domestic livestock. Not included in sum.</t>
        </r>
      </text>
    </comment>
  </commentList>
</comments>
</file>

<file path=xl/comments4.xml><?xml version="1.0" encoding="utf-8"?>
<comments xmlns="http://schemas.openxmlformats.org/spreadsheetml/2006/main">
  <authors>
    <author>elias lazarus</author>
    <author>david lin</author>
  </authors>
  <commentList>
    <comment ref="B5" authorId="0">
      <text>
        <r>
          <rPr>
            <sz val="9"/>
            <color indexed="81"/>
            <rFont val="Tahoma"/>
            <family val="2"/>
          </rPr>
          <t>Reference only. Represents fish products already reported - including from trade - that are fed to domestic livestock. Not included in sum.</t>
        </r>
      </text>
    </comment>
    <comment ref="B7" authorId="0">
      <text>
        <r>
          <rPr>
            <sz val="9"/>
            <color indexed="81"/>
            <rFont val="Tahoma"/>
            <family val="2"/>
          </rPr>
          <t>Fish in Livestock subtacted from sum to prevent double counting</t>
        </r>
      </text>
    </comment>
    <comment ref="C7" authorId="1">
      <text>
        <r>
          <rPr>
            <sz val="9"/>
            <color indexed="81"/>
            <rFont val="Tahoma"/>
            <family val="2"/>
          </rPr>
          <t>Total tons of Imports, uses (species distribution of) world fish production to calculate EFp.</t>
        </r>
      </text>
    </comment>
    <comment ref="D7" authorId="1">
      <text>
        <r>
          <rPr>
            <sz val="9"/>
            <color indexed="81"/>
            <rFont val="Tahoma"/>
            <family val="2"/>
          </rPr>
          <t>Total tons of Exports, uses (species distribution of) national fish production to calculate EFp.</t>
        </r>
      </text>
    </comment>
  </commentList>
</comments>
</file>

<file path=xl/comments5.xml><?xml version="1.0" encoding="utf-8"?>
<comments xmlns="http://schemas.openxmlformats.org/spreadsheetml/2006/main">
  <authors>
    <author>JK</author>
  </authors>
  <commentList>
    <comment ref="F7" authorId="0">
      <text>
        <r>
          <rPr>
            <sz val="8"/>
            <color indexed="81"/>
            <rFont val="Tahoma"/>
            <family val="2"/>
          </rPr>
          <t>Removes percentage sequestered by oceans from total production.</t>
        </r>
      </text>
    </comment>
  </commentList>
</comments>
</file>

<file path=xl/comments6.xml><?xml version="1.0" encoding="utf-8"?>
<comments xmlns="http://schemas.openxmlformats.org/spreadsheetml/2006/main">
  <authors>
    <author>JK</author>
    <author>Jon Martindill</author>
  </authors>
  <commentList>
    <comment ref="A6" authorId="0">
      <text>
        <r>
          <rPr>
            <sz val="8"/>
            <color indexed="81"/>
            <rFont val="Tahoma"/>
            <family val="2"/>
          </rPr>
          <t>Share of global fugitive emissions from fossil fuels</t>
        </r>
      </text>
    </comment>
    <comment ref="A7" authorId="1">
      <text>
        <r>
          <rPr>
            <sz val="9"/>
            <color indexed="81"/>
            <rFont val="Tahoma"/>
            <family val="2"/>
          </rPr>
          <t>CO2 emissions from the production of cement</t>
        </r>
      </text>
    </comment>
  </commentList>
</comments>
</file>

<file path=xl/comments7.xml><?xml version="1.0" encoding="utf-8"?>
<comments xmlns="http://schemas.openxmlformats.org/spreadsheetml/2006/main">
  <authors>
    <author>JK</author>
    <author>Elias Lazarus</author>
    <author>Michael Borucke</author>
  </authors>
  <commentList>
    <comment ref="H5" authorId="0">
      <text>
        <r>
          <rPr>
            <sz val="8"/>
            <color indexed="81"/>
            <rFont val="Tahoma"/>
            <family val="2"/>
          </rPr>
          <t>Using world-average carbon intensity.</t>
        </r>
      </text>
    </comment>
    <comment ref="E189" authorId="1">
      <text>
        <r>
          <rPr>
            <b/>
            <sz val="8"/>
            <color indexed="81"/>
            <rFont val="Tahoma"/>
            <family val="2"/>
          </rPr>
          <t>Elias Lazarus:</t>
        </r>
        <r>
          <rPr>
            <sz val="8"/>
            <color indexed="81"/>
            <rFont val="Tahoma"/>
            <family val="2"/>
          </rPr>
          <t xml:space="preserve">
Value updated 2013 from Ecoinvent (via SimaPro)</t>
        </r>
      </text>
    </comment>
    <comment ref="E192" authorId="1">
      <text>
        <r>
          <rPr>
            <b/>
            <sz val="8"/>
            <color indexed="81"/>
            <rFont val="Tahoma"/>
            <family val="2"/>
          </rPr>
          <t>Elias Lazarus:</t>
        </r>
        <r>
          <rPr>
            <sz val="8"/>
            <color indexed="81"/>
            <rFont val="Tahoma"/>
            <family val="2"/>
          </rPr>
          <t xml:space="preserve">
Value updated 2013 from Ecoinvent (via SimaPro)</t>
        </r>
      </text>
    </comment>
    <comment ref="E193" authorId="2">
      <text>
        <r>
          <rPr>
            <b/>
            <sz val="8"/>
            <color indexed="81"/>
            <rFont val="Tahoma"/>
            <family val="2"/>
          </rPr>
          <t>Michael Borucke:</t>
        </r>
        <r>
          <rPr>
            <sz val="8"/>
            <color indexed="81"/>
            <rFont val="Tahoma"/>
            <family val="2"/>
          </rPr>
          <t xml:space="preserve">
Changed from 361 to 16.1. 16 GJ/t is from the ratio of 83 : 10.3 of nickel to copper from the table of Embodied Energy of mineral extraction in the cited paper referenced. The two values come from the same research source.</t>
        </r>
      </text>
    </comment>
    <comment ref="E194" authorId="1">
      <text>
        <r>
          <rPr>
            <b/>
            <sz val="8"/>
            <color indexed="81"/>
            <rFont val="Tahoma"/>
            <family val="2"/>
          </rPr>
          <t>Elias Lazarus:</t>
        </r>
        <r>
          <rPr>
            <sz val="8"/>
            <color indexed="81"/>
            <rFont val="Tahoma"/>
            <family val="2"/>
          </rPr>
          <t xml:space="preserve">
Value updated 2013 from Ecoinvent (via SimaPro)</t>
        </r>
      </text>
    </comment>
    <comment ref="E195" authorId="1">
      <text>
        <r>
          <rPr>
            <b/>
            <sz val="8"/>
            <color indexed="81"/>
            <rFont val="Tahoma"/>
            <family val="2"/>
          </rPr>
          <t>Elias Lazarus:</t>
        </r>
        <r>
          <rPr>
            <sz val="8"/>
            <color indexed="81"/>
            <rFont val="Tahoma"/>
            <family val="2"/>
          </rPr>
          <t xml:space="preserve">
Value updated 2013 from Ecoinvent (via SimaPro)</t>
        </r>
      </text>
    </comment>
    <comment ref="E196" authorId="1">
      <text>
        <r>
          <rPr>
            <b/>
            <sz val="8"/>
            <color indexed="81"/>
            <rFont val="Tahoma"/>
            <family val="2"/>
          </rPr>
          <t>Elias Lazarus:</t>
        </r>
        <r>
          <rPr>
            <sz val="8"/>
            <color indexed="81"/>
            <rFont val="Tahoma"/>
            <family val="2"/>
          </rPr>
          <t xml:space="preserve">
Value updated 2013 from Ecoinvent (via SimaPro)</t>
        </r>
      </text>
    </comment>
    <comment ref="E198" authorId="1">
      <text>
        <r>
          <rPr>
            <b/>
            <sz val="8"/>
            <color indexed="81"/>
            <rFont val="Tahoma"/>
            <family val="2"/>
          </rPr>
          <t>Elias Lazarus:</t>
        </r>
        <r>
          <rPr>
            <sz val="8"/>
            <color indexed="81"/>
            <rFont val="Tahoma"/>
            <family val="2"/>
          </rPr>
          <t xml:space="preserve">
Value updated 2013 from Ecoinvent (via SimaPro)</t>
        </r>
      </text>
    </comment>
    <comment ref="E214" authorId="0">
      <text>
        <r>
          <rPr>
            <sz val="8"/>
            <color indexed="81"/>
            <rFont val="Tahoma"/>
            <family val="2"/>
          </rPr>
          <t>Briquettes and are assigned the same value as raw coal, although this is almost certainly an underestimate. No specific data for briquettes is available at this time.</t>
        </r>
      </text>
    </comment>
    <comment ref="E417" authorId="1">
      <text>
        <r>
          <rPr>
            <b/>
            <sz val="8"/>
            <color indexed="81"/>
            <rFont val="Tahoma"/>
            <family val="2"/>
          </rPr>
          <t>Elias Lazarus:</t>
        </r>
        <r>
          <rPr>
            <sz val="8"/>
            <color indexed="81"/>
            <rFont val="Tahoma"/>
            <family val="2"/>
          </rPr>
          <t xml:space="preserve">
Value updated 2013 from Ecoinvent (via SimaPro)</t>
        </r>
      </text>
    </comment>
    <comment ref="E419" authorId="1">
      <text>
        <r>
          <rPr>
            <b/>
            <sz val="8"/>
            <color indexed="81"/>
            <rFont val="Tahoma"/>
            <family val="2"/>
          </rPr>
          <t>Elias Lazarus:</t>
        </r>
        <r>
          <rPr>
            <sz val="8"/>
            <color indexed="81"/>
            <rFont val="Tahoma"/>
            <family val="2"/>
          </rPr>
          <t xml:space="preserve">
Value updated 2013 from Ecoinvent (via SimaPro)</t>
        </r>
      </text>
    </comment>
    <comment ref="E449" authorId="1">
      <text>
        <r>
          <rPr>
            <b/>
            <sz val="8"/>
            <color indexed="81"/>
            <rFont val="Tahoma"/>
            <family val="2"/>
          </rPr>
          <t>Elias Lazarus:</t>
        </r>
        <r>
          <rPr>
            <sz val="8"/>
            <color indexed="81"/>
            <rFont val="Tahoma"/>
            <family val="2"/>
          </rPr>
          <t xml:space="preserve">
Value updated 2013 from Ecoinvent (via SimaPro)</t>
        </r>
      </text>
    </comment>
    <comment ref="E450" authorId="1">
      <text>
        <r>
          <rPr>
            <b/>
            <sz val="8"/>
            <color indexed="81"/>
            <rFont val="Tahoma"/>
            <family val="2"/>
          </rPr>
          <t>Elias Lazarus:</t>
        </r>
        <r>
          <rPr>
            <sz val="8"/>
            <color indexed="81"/>
            <rFont val="Tahoma"/>
            <family val="2"/>
          </rPr>
          <t xml:space="preserve">
Value updated 2013 from Ecoinvent (via SimaPro)</t>
        </r>
      </text>
    </comment>
    <comment ref="E451" authorId="1">
      <text>
        <r>
          <rPr>
            <b/>
            <sz val="8"/>
            <color indexed="81"/>
            <rFont val="Tahoma"/>
            <family val="2"/>
          </rPr>
          <t>Elias Lazarus:</t>
        </r>
        <r>
          <rPr>
            <sz val="8"/>
            <color indexed="81"/>
            <rFont val="Tahoma"/>
            <family val="2"/>
          </rPr>
          <t xml:space="preserve">
Value updated 2013 from Ecoinvent (via SimaPro)</t>
        </r>
      </text>
    </comment>
    <comment ref="E452" authorId="1">
      <text>
        <r>
          <rPr>
            <b/>
            <sz val="8"/>
            <color indexed="81"/>
            <rFont val="Tahoma"/>
            <family val="2"/>
          </rPr>
          <t>Elias Lazarus:</t>
        </r>
        <r>
          <rPr>
            <sz val="8"/>
            <color indexed="81"/>
            <rFont val="Tahoma"/>
            <family val="2"/>
          </rPr>
          <t xml:space="preserve">
Value updated 2013 from Ecoinvent (via SimaPro)</t>
        </r>
      </text>
    </comment>
    <comment ref="E453" authorId="1">
      <text>
        <r>
          <rPr>
            <b/>
            <sz val="8"/>
            <color indexed="81"/>
            <rFont val="Tahoma"/>
            <family val="2"/>
          </rPr>
          <t>Elias Lazarus:</t>
        </r>
        <r>
          <rPr>
            <sz val="8"/>
            <color indexed="81"/>
            <rFont val="Tahoma"/>
            <family val="2"/>
          </rPr>
          <t xml:space="preserve">
Value updated 2013 from Ecoinvent (via SimaPro)</t>
        </r>
      </text>
    </comment>
    <comment ref="E455" authorId="1">
      <text>
        <r>
          <rPr>
            <b/>
            <sz val="8"/>
            <color indexed="81"/>
            <rFont val="Tahoma"/>
            <family val="2"/>
          </rPr>
          <t>Elias Lazarus:</t>
        </r>
        <r>
          <rPr>
            <sz val="8"/>
            <color indexed="81"/>
            <rFont val="Tahoma"/>
            <family val="2"/>
          </rPr>
          <t xml:space="preserve">
Value updated 2013 from Ecoinvent (via SimaPro)</t>
        </r>
      </text>
    </comment>
    <comment ref="E456" authorId="1">
      <text>
        <r>
          <rPr>
            <b/>
            <sz val="8"/>
            <color indexed="81"/>
            <rFont val="Tahoma"/>
            <family val="2"/>
          </rPr>
          <t>Elias Lazarus:</t>
        </r>
        <r>
          <rPr>
            <sz val="8"/>
            <color indexed="81"/>
            <rFont val="Tahoma"/>
            <family val="2"/>
          </rPr>
          <t xml:space="preserve">
Value updated 2013 from Ecoinvent (via SimaPro)</t>
        </r>
      </text>
    </comment>
    <comment ref="E457" authorId="1">
      <text>
        <r>
          <rPr>
            <b/>
            <sz val="8"/>
            <color indexed="81"/>
            <rFont val="Tahoma"/>
            <family val="2"/>
          </rPr>
          <t>Elias Lazarus:</t>
        </r>
        <r>
          <rPr>
            <sz val="8"/>
            <color indexed="81"/>
            <rFont val="Tahoma"/>
            <family val="2"/>
          </rPr>
          <t xml:space="preserve">
Value updated 2013 from Ecoinvent (via SimaPro)</t>
        </r>
      </text>
    </comment>
    <comment ref="E458" authorId="1">
      <text>
        <r>
          <rPr>
            <b/>
            <sz val="8"/>
            <color indexed="81"/>
            <rFont val="Tahoma"/>
            <family val="2"/>
          </rPr>
          <t>Elias Lazarus:</t>
        </r>
        <r>
          <rPr>
            <sz val="8"/>
            <color indexed="81"/>
            <rFont val="Tahoma"/>
            <family val="2"/>
          </rPr>
          <t xml:space="preserve">
Value updated 2013 from Ecoinvent (via SimaPro)</t>
        </r>
      </text>
    </comment>
    <comment ref="E459" authorId="1">
      <text>
        <r>
          <rPr>
            <b/>
            <sz val="8"/>
            <color indexed="81"/>
            <rFont val="Tahoma"/>
            <family val="2"/>
          </rPr>
          <t>Elias Lazarus:</t>
        </r>
        <r>
          <rPr>
            <sz val="8"/>
            <color indexed="81"/>
            <rFont val="Tahoma"/>
            <family val="2"/>
          </rPr>
          <t xml:space="preserve">
Value updated 2013 from Ecoinvent (via SimaPro)</t>
        </r>
      </text>
    </comment>
    <comment ref="E460" authorId="1">
      <text>
        <r>
          <rPr>
            <b/>
            <sz val="8"/>
            <color indexed="81"/>
            <rFont val="Tahoma"/>
            <family val="2"/>
          </rPr>
          <t>Elias Lazarus:</t>
        </r>
        <r>
          <rPr>
            <sz val="8"/>
            <color indexed="81"/>
            <rFont val="Tahoma"/>
            <family val="2"/>
          </rPr>
          <t xml:space="preserve">
Value updated 2013 from Ecoinvent (via SimaPro)</t>
        </r>
      </text>
    </comment>
    <comment ref="E463" authorId="1">
      <text>
        <r>
          <rPr>
            <b/>
            <sz val="8"/>
            <color indexed="81"/>
            <rFont val="Tahoma"/>
            <family val="2"/>
          </rPr>
          <t>Elias Lazarus:</t>
        </r>
        <r>
          <rPr>
            <sz val="8"/>
            <color indexed="81"/>
            <rFont val="Tahoma"/>
            <family val="2"/>
          </rPr>
          <t xml:space="preserve">
Value updated 2013 from Ecoinvent (via SimaPro)</t>
        </r>
      </text>
    </comment>
  </commentList>
</comments>
</file>

<file path=xl/comments8.xml><?xml version="1.0" encoding="utf-8"?>
<comments xmlns="http://schemas.openxmlformats.org/spreadsheetml/2006/main">
  <authors>
    <author>Anders Reed</author>
  </authors>
  <commentList>
    <comment ref="B9" authorId="0">
      <text>
        <r>
          <rPr>
            <sz val="8"/>
            <color indexed="81"/>
            <rFont val="Tahoma"/>
            <family val="2"/>
          </rPr>
          <t>Total Net Production</t>
        </r>
      </text>
    </comment>
  </commentList>
</comments>
</file>

<file path=xl/comments9.xml><?xml version="1.0" encoding="utf-8"?>
<comments xmlns="http://schemas.openxmlformats.org/spreadsheetml/2006/main">
  <authors>
    <author>David Moore</author>
    <author>Anders Reed</author>
  </authors>
  <commentList>
    <comment ref="A8" authorId="0">
      <text>
        <r>
          <rPr>
            <b/>
            <sz val="8"/>
            <color indexed="81"/>
            <rFont val="Tahoma"/>
            <family val="2"/>
          </rPr>
          <t>David Moore:</t>
        </r>
        <r>
          <rPr>
            <sz val="8"/>
            <color indexed="81"/>
            <rFont val="Tahoma"/>
            <family val="2"/>
          </rPr>
          <t xml:space="preserve">
Total Primary Energy Supply (TPES)</t>
        </r>
      </text>
    </comment>
    <comment ref="C8" authorId="1">
      <text>
        <r>
          <rPr>
            <b/>
            <sz val="8"/>
            <color indexed="81"/>
            <rFont val="Tahoma"/>
            <family val="2"/>
          </rPr>
          <t>Anders Reed:</t>
        </r>
        <r>
          <rPr>
            <sz val="8"/>
            <color indexed="81"/>
            <rFont val="Tahoma"/>
            <family val="2"/>
          </rPr>
          <t xml:space="preserve">
Use world average if no IEA values available</t>
        </r>
      </text>
    </comment>
  </commentList>
</comments>
</file>

<file path=xl/comments10.xml><?xml version="1.0" encoding="utf-8"?>
<comments xmlns="http://schemas.openxmlformats.org/spreadsheetml/2006/main">
  <authors>
    <author>Anders Reed</author>
    <author>david zimmerman</author>
  </authors>
  <commentList>
    <comment ref="D5" authorId="0">
      <text>
        <r>
          <rPr>
            <sz val="8"/>
            <color indexed="81"/>
            <rFont val="Tahoma"/>
            <family val="2"/>
          </rPr>
          <t>Primary only; including secondary leads to double counting</t>
        </r>
      </text>
    </comment>
    <comment ref="K5" authorId="0">
      <text>
        <r>
          <rPr>
            <sz val="8"/>
            <color indexed="81"/>
            <rFont val="Tahoma"/>
            <family val="2"/>
          </rPr>
          <t>Primary only; including secondary leads to double counting</t>
        </r>
      </text>
    </comment>
    <comment ref="R185" authorId="1">
      <text>
        <r>
          <rPr>
            <sz val="9"/>
            <color indexed="81"/>
            <rFont val="Tahoma"/>
            <family val="2"/>
          </rPr>
          <t>This is the area-weighted average of yield.</t>
        </r>
      </text>
    </comment>
  </commentList>
</comments>
</file>

<file path=xl/comments11.xml><?xml version="1.0" encoding="utf-8"?>
<comments xmlns="http://schemas.openxmlformats.org/spreadsheetml/2006/main">
  <authors>
    <author>JK</author>
    <author>elias lazarus</author>
  </authors>
  <commentList>
    <comment ref="Q6" authorId="0">
      <text>
        <r>
          <rPr>
            <sz val="8"/>
            <color indexed="81"/>
            <rFont val="Tahoma"/>
            <family val="2"/>
          </rPr>
          <t>Tonnes derived product per tonne parent product.</t>
        </r>
      </text>
    </comment>
    <comment ref="I18" authorId="1">
      <text>
        <r>
          <rPr>
            <b/>
            <sz val="9"/>
            <color indexed="81"/>
            <rFont val="Tahoma"/>
            <family val="2"/>
          </rPr>
          <t>elias lazarus:</t>
        </r>
        <r>
          <rPr>
            <sz val="9"/>
            <color indexed="81"/>
            <rFont val="Tahoma"/>
            <family val="2"/>
          </rPr>
          <t xml:space="preserve">
Only used if the sum of rice bran and milled/hisked rice is more than Total Rice</t>
        </r>
      </text>
    </comment>
    <comment ref="J18" authorId="1">
      <text>
        <r>
          <rPr>
            <b/>
            <sz val="9"/>
            <color indexed="81"/>
            <rFont val="Tahoma"/>
            <family val="2"/>
          </rPr>
          <t>elias lazarus:</t>
        </r>
        <r>
          <rPr>
            <sz val="9"/>
            <color indexed="81"/>
            <rFont val="Tahoma"/>
            <family val="2"/>
          </rPr>
          <t xml:space="preserve">
Only used if the sum of rice bran and milled/hisked rice is more than Total Rice</t>
        </r>
      </text>
    </comment>
    <comment ref="I19" authorId="1">
      <text>
        <r>
          <rPr>
            <b/>
            <sz val="9"/>
            <color indexed="81"/>
            <rFont val="Tahoma"/>
            <family val="2"/>
          </rPr>
          <t>elias lazarus:</t>
        </r>
        <r>
          <rPr>
            <sz val="9"/>
            <color indexed="81"/>
            <rFont val="Tahoma"/>
            <family val="2"/>
          </rPr>
          <t xml:space="preserve">
Only used if the sum of rice bran and milled/hisked rice is less than or equal to Total Rice</t>
        </r>
      </text>
    </comment>
    <comment ref="J19" authorId="1">
      <text>
        <r>
          <rPr>
            <b/>
            <sz val="9"/>
            <color indexed="81"/>
            <rFont val="Tahoma"/>
            <family val="2"/>
          </rPr>
          <t>elias lazarus:</t>
        </r>
        <r>
          <rPr>
            <sz val="9"/>
            <color indexed="81"/>
            <rFont val="Tahoma"/>
            <family val="2"/>
          </rPr>
          <t xml:space="preserve">
Only used if the sum of rice bran and milled/hisked rice is less than or equal to Total Rice</t>
        </r>
      </text>
    </comment>
    <comment ref="I22" authorId="1">
      <text>
        <r>
          <rPr>
            <b/>
            <sz val="9"/>
            <color indexed="81"/>
            <rFont val="Tahoma"/>
            <family val="2"/>
          </rPr>
          <t>elias lazarus:</t>
        </r>
        <r>
          <rPr>
            <sz val="9"/>
            <color indexed="81"/>
            <rFont val="Tahoma"/>
            <family val="2"/>
          </rPr>
          <t xml:space="preserve">
Only used if the sum of rice bran and milled/hisked rice is more than Total Rice</t>
        </r>
      </text>
    </comment>
    <comment ref="J22" authorId="1">
      <text>
        <r>
          <rPr>
            <b/>
            <sz val="9"/>
            <color indexed="81"/>
            <rFont val="Tahoma"/>
            <family val="2"/>
          </rPr>
          <t>elias lazarus:</t>
        </r>
        <r>
          <rPr>
            <sz val="9"/>
            <color indexed="81"/>
            <rFont val="Tahoma"/>
            <family val="2"/>
          </rPr>
          <t xml:space="preserve">
Only used if the sum of rice bran and milled/hisked rice is more than Total Rice</t>
        </r>
      </text>
    </comment>
  </commentList>
</comments>
</file>

<file path=xl/comments12.xml><?xml version="1.0" encoding="utf-8"?>
<comments xmlns="http://schemas.openxmlformats.org/spreadsheetml/2006/main">
  <authors>
    <author>JK</author>
    <author>Jon Martindill</author>
  </authors>
  <commentList>
    <comment ref="C18" authorId="0">
      <text>
        <r>
          <rPr>
            <sz val="9"/>
            <color indexed="81"/>
            <rFont val="Tahoma"/>
            <family val="2"/>
          </rPr>
          <t>Assume same as Maize</t>
        </r>
      </text>
    </comment>
    <comment ref="C29" authorId="0">
      <text>
        <r>
          <rPr>
            <sz val="9"/>
            <color indexed="81"/>
            <rFont val="Tahoma"/>
            <family val="2"/>
          </rPr>
          <t>Assume same as Millet</t>
        </r>
      </text>
    </comment>
    <comment ref="C146" authorId="1">
      <text>
        <r>
          <rPr>
            <sz val="9"/>
            <color indexed="81"/>
            <rFont val="Tahoma"/>
            <family val="2"/>
          </rPr>
          <t>Average of Apples and Pears</t>
        </r>
      </text>
    </comment>
    <comment ref="C323" authorId="1">
      <text>
        <r>
          <rPr>
            <sz val="9"/>
            <color indexed="81"/>
            <rFont val="Tahoma"/>
            <family val="2"/>
          </rPr>
          <t>From FAO - Fish Meal - http://www.fao.org/wairdocs/tan/x5926e/x5926e01.htm</t>
        </r>
      </text>
    </comment>
  </commentList>
</comments>
</file>

<file path=xl/comments13.xml><?xml version="1.0" encoding="utf-8"?>
<comments xmlns="http://schemas.openxmlformats.org/spreadsheetml/2006/main">
  <authors>
    <author>Anders</author>
    <author>Anders Reed</author>
  </authors>
  <commentList>
    <comment ref="C8" authorId="0">
      <text>
        <r>
          <rPr>
            <sz val="8"/>
            <color indexed="81"/>
            <rFont val="Tahoma"/>
            <family val="2"/>
          </rPr>
          <t>Assumed negligable, i.e. Footprint Allocation Factor = 0</t>
        </r>
      </text>
    </comment>
    <comment ref="A11" authorId="1">
      <text>
        <r>
          <rPr>
            <b/>
            <sz val="8"/>
            <color indexed="81"/>
            <rFont val="Tahoma"/>
            <family val="2"/>
          </rPr>
          <t>Anders Reed:</t>
        </r>
        <r>
          <rPr>
            <sz val="8"/>
            <color indexed="81"/>
            <rFont val="Tahoma"/>
            <family val="2"/>
          </rPr>
          <t xml:space="preserve">
Total amount which can be met with crop feed (i.e. not from animals consuming 100% grass)</t>
        </r>
      </text>
    </comment>
  </commentList>
</comments>
</file>

<file path=xl/comments14.xml><?xml version="1.0" encoding="utf-8"?>
<comments xmlns="http://schemas.openxmlformats.org/spreadsheetml/2006/main">
  <authors>
    <author>Anders</author>
  </authors>
  <commentList>
    <comment ref="O5" authorId="0">
      <text>
        <r>
          <rPr>
            <sz val="8"/>
            <color indexed="81"/>
            <rFont val="Tahoma"/>
            <family val="2"/>
          </rPr>
          <t>Expected crop * lifetime EF / lifetime feed qty</t>
        </r>
      </text>
    </comment>
  </commentList>
</comments>
</file>

<file path=xl/comments15.xml><?xml version="1.0" encoding="utf-8"?>
<comments xmlns="http://schemas.openxmlformats.org/spreadsheetml/2006/main">
  <authors>
    <author>alessandro galli</author>
    <author>elias lazarus</author>
    <author>Jon Martindill</author>
  </authors>
  <commentList>
    <comment ref="A5" authorId="0">
      <text>
        <r>
          <rPr>
            <sz val="8"/>
            <color indexed="81"/>
            <rFont val="Tahoma"/>
            <family val="2"/>
          </rPr>
          <t>Feed list downloaded from SUA/FBS section of FAOSTAT:
http://faostat.fao.org/site/355/DesktopDefault.aspx?PageID=355#ancor
List combines crops from SUA and FBS</t>
        </r>
      </text>
    </comment>
    <comment ref="G5" authorId="1">
      <text>
        <r>
          <rPr>
            <sz val="8"/>
            <color indexed="81"/>
            <rFont val="Tahoma"/>
            <family val="2"/>
          </rPr>
          <t xml:space="preserve">If feed amount is less than production+imports-exports, all 3 are reduced by that proportion in the EF calculation
</t>
        </r>
      </text>
    </comment>
    <comment ref="C48" authorId="2">
      <text>
        <r>
          <rPr>
            <sz val="9"/>
            <color indexed="81"/>
            <rFont val="Tahoma"/>
            <family val="2"/>
          </rPr>
          <t>Assume Palm Oil</t>
        </r>
      </text>
    </comment>
    <comment ref="C57" authorId="2">
      <text>
        <r>
          <rPr>
            <sz val="9"/>
            <color indexed="81"/>
            <rFont val="Tahoma"/>
            <family val="2"/>
          </rPr>
          <t>Assume Safflower</t>
        </r>
      </text>
    </comment>
    <comment ref="C58" authorId="2">
      <text>
        <r>
          <rPr>
            <sz val="9"/>
            <color indexed="81"/>
            <rFont val="Tahoma"/>
            <family val="2"/>
          </rPr>
          <t>Assume maize bran</t>
        </r>
      </text>
    </comment>
    <comment ref="C74" authorId="2">
      <text>
        <r>
          <rPr>
            <sz val="9"/>
            <color indexed="81"/>
            <rFont val="Tahoma"/>
            <family val="2"/>
          </rPr>
          <t>Assume flax fibre</t>
        </r>
      </text>
    </comment>
    <comment ref="O102" authorId="2">
      <text>
        <r>
          <rPr>
            <sz val="9"/>
            <color indexed="81"/>
            <rFont val="Tahoma"/>
            <family val="2"/>
          </rPr>
          <t>Uses weighted average of world and national fishmeal intensity from fish_feed_group_yield_w and fish_feed_group_yield_n</t>
        </r>
      </text>
    </comment>
  </commentList>
</comments>
</file>

<file path=xl/comments16.xml><?xml version="1.0" encoding="utf-8"?>
<comments xmlns="http://schemas.openxmlformats.org/spreadsheetml/2006/main">
  <authors>
    <author>JK</author>
    <author>alessandro galli</author>
  </authors>
  <commentList>
    <comment ref="E5" authorId="0">
      <text>
        <r>
          <rPr>
            <sz val="8"/>
            <color indexed="81"/>
            <rFont val="Tahoma"/>
            <family val="2"/>
          </rPr>
          <t>Tonnes of crop residue used as feed per tonne of non-residue, primary crop material harvested.</t>
        </r>
      </text>
    </comment>
    <comment ref="A11" authorId="1">
      <text>
        <r>
          <rPr>
            <sz val="8"/>
            <color indexed="81"/>
            <rFont val="Tahoma"/>
            <family val="2"/>
          </rPr>
          <t>Refers to the Macrocategory reported by FAOSTAT as Pulses + and contains all the crops listed below in italics.</t>
        </r>
      </text>
    </comment>
    <comment ref="A23" authorId="1">
      <text>
        <r>
          <rPr>
            <sz val="8"/>
            <color indexed="81"/>
            <rFont val="Tahoma"/>
            <family val="2"/>
          </rPr>
          <t>Refers to the Macrocategory reported by FAOSTAT as "Oilcrops Primary +" and contains all the crops listed below in italics.
"Groundnuts in shell", "Soybeans" and "Oil palm fruit" are usually included in this macrocategory but have been omitted here to avoid double counting.</t>
        </r>
      </text>
    </comment>
    <comment ref="A41" authorId="1">
      <text>
        <r>
          <rPr>
            <sz val="8"/>
            <color indexed="81"/>
            <rFont val="Tahoma"/>
            <family val="2"/>
          </rPr>
          <t>Refers to the Macrocategory reported by FAOSTAT as "Roots and Tubers, Total +" and contains all the crops listed below in italics.
"Cassava" is usually included in this macrocategory but has been omitted here to avoid double counting.</t>
        </r>
      </text>
    </comment>
  </commentList>
</comments>
</file>

<file path=xl/comments17.xml><?xml version="1.0" encoding="utf-8"?>
<comments xmlns="http://schemas.openxmlformats.org/spreadsheetml/2006/main">
  <authors>
    <author>Anders</author>
  </authors>
  <commentList>
    <comment ref="E9" authorId="0">
      <text>
        <r>
          <rPr>
            <sz val="8"/>
            <color indexed="81"/>
            <rFont val="Tahoma"/>
            <family val="2"/>
          </rPr>
          <t>Average live weight per head from FAOSTAT ProdSTAT database</t>
        </r>
      </text>
    </comment>
    <comment ref="F9" authorId="0">
      <text>
        <r>
          <rPr>
            <sz val="8"/>
            <color indexed="81"/>
            <rFont val="Tahoma"/>
            <family val="2"/>
          </rPr>
          <t>Average live weight per head from FAOSTAT ProdSTAT database</t>
        </r>
      </text>
    </comment>
  </commentList>
</comments>
</file>

<file path=xl/comments18.xml><?xml version="1.0" encoding="utf-8"?>
<comments xmlns="http://schemas.openxmlformats.org/spreadsheetml/2006/main">
  <authors>
    <author>Anders</author>
  </authors>
  <commentList>
    <comment ref="E7" authorId="0">
      <text>
        <r>
          <rPr>
            <sz val="8"/>
            <color indexed="81"/>
            <rFont val="Tahoma"/>
            <family val="2"/>
          </rPr>
          <t>Assume that the intensity of the stock is proportional to the intensity of its feed that year.</t>
        </r>
      </text>
    </comment>
  </commentList>
</comments>
</file>

<file path=xl/comments19.xml><?xml version="1.0" encoding="utf-8"?>
<comments xmlns="http://schemas.openxmlformats.org/spreadsheetml/2006/main">
  <authors>
    <author>alessandro galli</author>
  </authors>
  <commentList>
    <comment ref="A31" authorId="0">
      <text>
        <r>
          <rPr>
            <sz val="8"/>
            <color indexed="81"/>
            <rFont val="Tahoma"/>
            <family val="2"/>
          </rPr>
          <t>Assumed equal to Hen eggs.</t>
        </r>
      </text>
    </comment>
  </commentList>
</comments>
</file>

<file path=xl/comments20.xml><?xml version="1.0" encoding="utf-8"?>
<comments xmlns="http://schemas.openxmlformats.org/spreadsheetml/2006/main">
  <authors>
    <author>JK</author>
  </authors>
  <commentList>
    <comment ref="G6" authorId="0">
      <text>
        <r>
          <rPr>
            <sz val="8"/>
            <color indexed="81"/>
            <rFont val="Tahoma"/>
            <family val="2"/>
          </rPr>
          <t>Tonnes derived product per tonne parent product.</t>
        </r>
      </text>
    </comment>
    <comment ref="K23" authorId="0">
      <text>
        <r>
          <rPr>
            <sz val="8"/>
            <color indexed="81"/>
            <rFont val="Tahoma"/>
            <family val="2"/>
          </rPr>
          <t>Not counted.</t>
        </r>
      </text>
    </comment>
    <comment ref="H24" authorId="0">
      <text>
        <r>
          <rPr>
            <sz val="8"/>
            <color indexed="81"/>
            <rFont val="Tahoma"/>
            <family val="2"/>
          </rPr>
          <t>World-average grazing land yield, t dm per ha.</t>
        </r>
      </text>
    </comment>
    <comment ref="K24" authorId="0">
      <text>
        <r>
          <rPr>
            <sz val="8"/>
            <color indexed="81"/>
            <rFont val="Tahoma"/>
            <family val="2"/>
          </rPr>
          <t>This intensity is based on world-average pasture grass.
Note that this equivalent to cropped grass yielding approx. 22 t dm per ha. Actual cropped grass yields are 6-30 t dm per ha.</t>
        </r>
      </text>
    </comment>
  </commentList>
</comments>
</file>

<file path=xl/comments21.xml><?xml version="1.0" encoding="utf-8"?>
<comments xmlns="http://schemas.openxmlformats.org/spreadsheetml/2006/main">
  <authors>
    <author>JK</author>
    <author>alessandro galli</author>
    <author>Brad Ewing</author>
  </authors>
  <commentList>
    <comment ref="I5" authorId="0">
      <text>
        <r>
          <rPr>
            <sz val="8"/>
            <color indexed="81"/>
            <rFont val="Tahoma"/>
            <family val="2"/>
          </rPr>
          <t xml:space="preserve">Total Feed Requirement, in tonnes feed per tonnes live weight of parent animal of meat product. Edible weight percentages are taken into account in extraction rates used in livestock_intensity_w.
For products in italics, units refer to tonnes feed per tonne of product.
Source: </t>
        </r>
        <r>
          <rPr>
            <i/>
            <sz val="8"/>
            <color indexed="81"/>
            <rFont val="Tahoma"/>
            <family val="2"/>
          </rPr>
          <t>Feeding the World</t>
        </r>
        <r>
          <rPr>
            <sz val="8"/>
            <color indexed="81"/>
            <rFont val="Tahoma"/>
            <family val="2"/>
          </rPr>
          <t xml:space="preserve"> by Vaclav Smil, Chapter 5, Table 5.1 - "Efficiencies of Animal Food Production"</t>
        </r>
      </text>
    </comment>
    <comment ref="A7" authorId="0">
      <text>
        <r>
          <rPr>
            <sz val="8"/>
            <color indexed="81"/>
            <rFont val="Tahoma"/>
            <family val="2"/>
          </rPr>
          <t>Assumed equal to cattle.</t>
        </r>
      </text>
    </comment>
    <comment ref="A10" authorId="1">
      <text>
        <r>
          <rPr>
            <sz val="8"/>
            <color indexed="81"/>
            <rFont val="Tahoma"/>
            <family val="2"/>
          </rPr>
          <t>Assumed equal to Chickens.</t>
        </r>
      </text>
    </comment>
    <comment ref="A11" authorId="1">
      <text>
        <r>
          <rPr>
            <sz val="8"/>
            <color indexed="81"/>
            <rFont val="Tahoma"/>
            <family val="2"/>
          </rPr>
          <t>Assumed equal to Chickens.</t>
        </r>
      </text>
    </comment>
    <comment ref="A12" authorId="1">
      <text>
        <r>
          <rPr>
            <sz val="8"/>
            <color indexed="81"/>
            <rFont val="Tahoma"/>
            <family val="2"/>
          </rPr>
          <t>Assumed equal to Chickens.</t>
        </r>
      </text>
    </comment>
    <comment ref="A13" authorId="0">
      <text>
        <r>
          <rPr>
            <sz val="8"/>
            <color indexed="81"/>
            <rFont val="Tahoma"/>
            <family val="2"/>
          </rPr>
          <t>Assumed equal to sheep.</t>
        </r>
      </text>
    </comment>
    <comment ref="AA13" authorId="0">
      <text>
        <r>
          <rPr>
            <sz val="8"/>
            <color indexed="81"/>
            <rFont val="Tahoma"/>
            <family val="2"/>
          </rPr>
          <t>Without information on feed mix, assume goats eat 100% grass.</t>
        </r>
      </text>
    </comment>
    <comment ref="AA15" authorId="0">
      <text>
        <r>
          <rPr>
            <sz val="8"/>
            <color indexed="81"/>
            <rFont val="Tahoma"/>
            <family val="2"/>
          </rPr>
          <t>Without information on feed mix, assume sheep eat 100% grass.</t>
        </r>
      </text>
    </comment>
    <comment ref="A16" authorId="1">
      <text>
        <r>
          <rPr>
            <sz val="8"/>
            <color indexed="81"/>
            <rFont val="Tahoma"/>
            <family val="2"/>
          </rPr>
          <t>Assumed equal to Cattle.</t>
        </r>
      </text>
    </comment>
    <comment ref="A17" authorId="1">
      <text>
        <r>
          <rPr>
            <sz val="8"/>
            <color indexed="81"/>
            <rFont val="Tahoma"/>
            <family val="2"/>
          </rPr>
          <t>Assumed equal to Camels and therefore to Cattle.</t>
        </r>
      </text>
    </comment>
    <comment ref="A18" authorId="1">
      <text>
        <r>
          <rPr>
            <sz val="8"/>
            <color indexed="81"/>
            <rFont val="Tahoma"/>
            <family val="2"/>
          </rPr>
          <t>Assumed equal to Cattle</t>
        </r>
      </text>
    </comment>
    <comment ref="A19" authorId="1">
      <text>
        <r>
          <rPr>
            <sz val="8"/>
            <color indexed="81"/>
            <rFont val="Tahoma"/>
            <family val="2"/>
          </rPr>
          <t>Assumed equal to Horses and therefore to Cattle.</t>
        </r>
      </text>
    </comment>
    <comment ref="A20" authorId="1">
      <text>
        <r>
          <rPr>
            <sz val="8"/>
            <color indexed="81"/>
            <rFont val="Tahoma"/>
            <family val="2"/>
          </rPr>
          <t>Assumed equal to Horses and therefore to Cattle.</t>
        </r>
      </text>
    </comment>
    <comment ref="A21" authorId="1">
      <text>
        <r>
          <rPr>
            <sz val="8"/>
            <color indexed="81"/>
            <rFont val="Tahoma"/>
            <family val="2"/>
          </rPr>
          <t>No assumption has been made.</t>
        </r>
      </text>
    </comment>
    <comment ref="A22" authorId="1">
      <text>
        <r>
          <rPr>
            <sz val="8"/>
            <color indexed="81"/>
            <rFont val="Tahoma"/>
            <family val="2"/>
          </rPr>
          <t>No TFR has been assigned as assumed equal to Rabbits.</t>
        </r>
      </text>
    </comment>
    <comment ref="A25" authorId="1">
      <text>
        <r>
          <rPr>
            <sz val="8"/>
            <color indexed="81"/>
            <rFont val="Tahoma"/>
            <family val="2"/>
          </rPr>
          <t>Assumed equal to Hen eggs.</t>
        </r>
      </text>
    </comment>
    <comment ref="A27" authorId="1">
      <text>
        <r>
          <rPr>
            <sz val="8"/>
            <color indexed="81"/>
            <rFont val="Tahoma"/>
            <family val="2"/>
          </rPr>
          <t>Assumed equal to Sheep.</t>
        </r>
      </text>
    </comment>
    <comment ref="A28" authorId="2">
      <text>
        <r>
          <rPr>
            <sz val="8"/>
            <color indexed="81"/>
            <rFont val="Tahoma"/>
            <family val="2"/>
          </rPr>
          <t xml:space="preserve">Related codes are currently not available in MySQL for this name </t>
        </r>
        <r>
          <rPr>
            <i/>
            <sz val="8"/>
            <color indexed="81"/>
            <rFont val="Tahoma"/>
            <family val="2"/>
          </rPr>
          <t xml:space="preserve">Wool, not carded or combed, degreased. </t>
        </r>
        <r>
          <rPr>
            <sz val="8"/>
            <color indexed="81"/>
            <rFont val="Tahoma"/>
            <family val="2"/>
          </rPr>
          <t>There are other wool items</t>
        </r>
      </text>
    </comment>
    <comment ref="AA28" authorId="0">
      <text>
        <r>
          <rPr>
            <sz val="8"/>
            <color indexed="81"/>
            <rFont val="Tahoma"/>
            <family val="2"/>
          </rPr>
          <t>Without information on feed mix, assume sheep eat 100% grass.</t>
        </r>
      </text>
    </comment>
    <comment ref="A35" authorId="0">
      <text>
        <r>
          <rPr>
            <sz val="8"/>
            <color indexed="81"/>
            <rFont val="Tahoma"/>
            <family val="2"/>
          </rPr>
          <t>Assumed equal to cattle.</t>
        </r>
      </text>
    </comment>
    <comment ref="A38" authorId="1">
      <text>
        <r>
          <rPr>
            <sz val="8"/>
            <color indexed="81"/>
            <rFont val="Tahoma"/>
            <family val="2"/>
          </rPr>
          <t>Assumed equal to Chickens.</t>
        </r>
      </text>
    </comment>
    <comment ref="A39" authorId="1">
      <text>
        <r>
          <rPr>
            <sz val="8"/>
            <color indexed="81"/>
            <rFont val="Tahoma"/>
            <family val="2"/>
          </rPr>
          <t>Assumed equal to Chickens.</t>
        </r>
      </text>
    </comment>
    <comment ref="A40" authorId="1">
      <text>
        <r>
          <rPr>
            <sz val="8"/>
            <color indexed="81"/>
            <rFont val="Tahoma"/>
            <family val="2"/>
          </rPr>
          <t>Assumed equal to Chickens.</t>
        </r>
      </text>
    </comment>
    <comment ref="A41" authorId="0">
      <text>
        <r>
          <rPr>
            <sz val="8"/>
            <color indexed="81"/>
            <rFont val="Tahoma"/>
            <family val="2"/>
          </rPr>
          <t>Assumed equal to sheep.</t>
        </r>
      </text>
    </comment>
    <comment ref="A44" authorId="1">
      <text>
        <r>
          <rPr>
            <sz val="8"/>
            <color indexed="81"/>
            <rFont val="Tahoma"/>
            <family val="2"/>
          </rPr>
          <t>Assumed equal to Cattle.</t>
        </r>
      </text>
    </comment>
    <comment ref="A45" authorId="1">
      <text>
        <r>
          <rPr>
            <sz val="8"/>
            <color indexed="81"/>
            <rFont val="Tahoma"/>
            <family val="2"/>
          </rPr>
          <t>Assumed equal to Camels and therefore to Cattle.</t>
        </r>
      </text>
    </comment>
    <comment ref="A46" authorId="1">
      <text>
        <r>
          <rPr>
            <sz val="8"/>
            <color indexed="81"/>
            <rFont val="Tahoma"/>
            <family val="2"/>
          </rPr>
          <t>Assumed equal to Cattle</t>
        </r>
      </text>
    </comment>
    <comment ref="A47" authorId="1">
      <text>
        <r>
          <rPr>
            <sz val="8"/>
            <color indexed="81"/>
            <rFont val="Tahoma"/>
            <family val="2"/>
          </rPr>
          <t>Assumed equal to Horses and therefore to Cattle.</t>
        </r>
      </text>
    </comment>
    <comment ref="A48" authorId="1">
      <text>
        <r>
          <rPr>
            <sz val="8"/>
            <color indexed="81"/>
            <rFont val="Tahoma"/>
            <family val="2"/>
          </rPr>
          <t>Assumed equal to Horses and therefore to Cattle.</t>
        </r>
      </text>
    </comment>
    <comment ref="A49" authorId="1">
      <text>
        <r>
          <rPr>
            <sz val="8"/>
            <color indexed="81"/>
            <rFont val="Tahoma"/>
            <family val="2"/>
          </rPr>
          <t>No assumption has been made.</t>
        </r>
      </text>
    </comment>
    <comment ref="A50" authorId="1">
      <text>
        <r>
          <rPr>
            <sz val="8"/>
            <color indexed="81"/>
            <rFont val="Tahoma"/>
            <family val="2"/>
          </rPr>
          <t>No TFR has been assigned as assumed equal to Rabbits.</t>
        </r>
      </text>
    </comment>
    <comment ref="A53" authorId="1">
      <text>
        <r>
          <rPr>
            <sz val="8"/>
            <color indexed="81"/>
            <rFont val="Tahoma"/>
            <family val="2"/>
          </rPr>
          <t>Assumed equal to Hen eggs.</t>
        </r>
      </text>
    </comment>
    <comment ref="A55" authorId="1">
      <text>
        <r>
          <rPr>
            <sz val="8"/>
            <color indexed="81"/>
            <rFont val="Tahoma"/>
            <family val="2"/>
          </rPr>
          <t>Assumed equal to Cow milk.</t>
        </r>
      </text>
    </comment>
    <comment ref="A56" authorId="2">
      <text>
        <r>
          <rPr>
            <sz val="8"/>
            <color indexed="81"/>
            <rFont val="Tahoma"/>
            <family val="2"/>
          </rPr>
          <t xml:space="preserve">Related codes are currently not available in MySQL for this name </t>
        </r>
        <r>
          <rPr>
            <i/>
            <sz val="8"/>
            <color indexed="81"/>
            <rFont val="Tahoma"/>
            <family val="2"/>
          </rPr>
          <t xml:space="preserve">Wool, not carded or combed, degreased. </t>
        </r>
        <r>
          <rPr>
            <sz val="8"/>
            <color indexed="81"/>
            <rFont val="Tahoma"/>
            <family val="2"/>
          </rPr>
          <t>There are other wool items</t>
        </r>
      </text>
    </comment>
    <comment ref="A62" authorId="0">
      <text>
        <r>
          <rPr>
            <sz val="8"/>
            <color indexed="81"/>
            <rFont val="Tahoma"/>
            <family val="2"/>
          </rPr>
          <t>Assumed equal to cattle.</t>
        </r>
      </text>
    </comment>
    <comment ref="A65" authorId="1">
      <text>
        <r>
          <rPr>
            <sz val="8"/>
            <color indexed="81"/>
            <rFont val="Tahoma"/>
            <family val="2"/>
          </rPr>
          <t>Assumed equal to Chickens.</t>
        </r>
      </text>
    </comment>
    <comment ref="A66" authorId="1">
      <text>
        <r>
          <rPr>
            <sz val="8"/>
            <color indexed="81"/>
            <rFont val="Tahoma"/>
            <family val="2"/>
          </rPr>
          <t>Assumed equal to Chickens.</t>
        </r>
      </text>
    </comment>
    <comment ref="A67" authorId="1">
      <text>
        <r>
          <rPr>
            <sz val="8"/>
            <color indexed="81"/>
            <rFont val="Tahoma"/>
            <family val="2"/>
          </rPr>
          <t>Assumed equal to Chickens.</t>
        </r>
      </text>
    </comment>
    <comment ref="A68" authorId="0">
      <text>
        <r>
          <rPr>
            <sz val="8"/>
            <color indexed="81"/>
            <rFont val="Tahoma"/>
            <family val="2"/>
          </rPr>
          <t>Assumed equal to sheep.</t>
        </r>
      </text>
    </comment>
    <comment ref="A71" authorId="1">
      <text>
        <r>
          <rPr>
            <sz val="8"/>
            <color indexed="81"/>
            <rFont val="Tahoma"/>
            <family val="2"/>
          </rPr>
          <t>Assumed equal to Cattle.</t>
        </r>
      </text>
    </comment>
    <comment ref="A72" authorId="1">
      <text>
        <r>
          <rPr>
            <sz val="8"/>
            <color indexed="81"/>
            <rFont val="Tahoma"/>
            <family val="2"/>
          </rPr>
          <t>Assumed equal to Camels and therefore to Cattle.</t>
        </r>
      </text>
    </comment>
    <comment ref="A73" authorId="1">
      <text>
        <r>
          <rPr>
            <sz val="8"/>
            <color indexed="81"/>
            <rFont val="Tahoma"/>
            <family val="2"/>
          </rPr>
          <t>Assumed equal to Cattle</t>
        </r>
      </text>
    </comment>
    <comment ref="A74" authorId="1">
      <text>
        <r>
          <rPr>
            <sz val="8"/>
            <color indexed="81"/>
            <rFont val="Tahoma"/>
            <family val="2"/>
          </rPr>
          <t>Assumed equal to Horses and therefore to Cattle.</t>
        </r>
      </text>
    </comment>
    <comment ref="A75" authorId="1">
      <text>
        <r>
          <rPr>
            <sz val="8"/>
            <color indexed="81"/>
            <rFont val="Tahoma"/>
            <family val="2"/>
          </rPr>
          <t>Assumed equal to Horses and therefore to Cattle.</t>
        </r>
      </text>
    </comment>
    <comment ref="A76" authorId="1">
      <text>
        <r>
          <rPr>
            <sz val="8"/>
            <color indexed="81"/>
            <rFont val="Tahoma"/>
            <family val="2"/>
          </rPr>
          <t>No assumption has been made.</t>
        </r>
      </text>
    </comment>
    <comment ref="A77" authorId="1">
      <text>
        <r>
          <rPr>
            <sz val="8"/>
            <color indexed="81"/>
            <rFont val="Tahoma"/>
            <family val="2"/>
          </rPr>
          <t>No TFR has been assigned as assumed equal to Rabbits.</t>
        </r>
      </text>
    </comment>
    <comment ref="A80" authorId="1">
      <text>
        <r>
          <rPr>
            <sz val="8"/>
            <color indexed="81"/>
            <rFont val="Tahoma"/>
            <family val="2"/>
          </rPr>
          <t>Assumed equal to Hen eggs.</t>
        </r>
      </text>
    </comment>
    <comment ref="A82" authorId="1">
      <text>
        <r>
          <rPr>
            <sz val="8"/>
            <color indexed="81"/>
            <rFont val="Tahoma"/>
            <family val="2"/>
          </rPr>
          <t>Assumed equal to Cow milk.</t>
        </r>
      </text>
    </comment>
    <comment ref="A83" authorId="2">
      <text>
        <r>
          <rPr>
            <sz val="8"/>
            <color indexed="81"/>
            <rFont val="Tahoma"/>
            <family val="2"/>
          </rPr>
          <t xml:space="preserve">Related codes are currently not available in MySQL for this name </t>
        </r>
        <r>
          <rPr>
            <i/>
            <sz val="8"/>
            <color indexed="81"/>
            <rFont val="Tahoma"/>
            <family val="2"/>
          </rPr>
          <t xml:space="preserve">Wool, not carded or combed, degreased. </t>
        </r>
        <r>
          <rPr>
            <sz val="8"/>
            <color indexed="81"/>
            <rFont val="Tahoma"/>
            <family val="2"/>
          </rPr>
          <t>There are other wool items</t>
        </r>
      </text>
    </comment>
  </commentList>
</comments>
</file>

<file path=xl/comments22.xml><?xml version="1.0" encoding="utf-8"?>
<comments xmlns="http://schemas.openxmlformats.org/spreadsheetml/2006/main">
  <authors>
    <author>elias lazarus</author>
  </authors>
  <commentList>
    <comment ref="D7" authorId="0">
      <text>
        <r>
          <rPr>
            <sz val="9"/>
            <color indexed="81"/>
            <rFont val="Tahoma"/>
            <family val="2"/>
          </rPr>
          <t>see feed_intensity_w tab</t>
        </r>
      </text>
    </comment>
  </commentList>
</comments>
</file>

<file path=xl/comments23.xml><?xml version="1.0" encoding="utf-8"?>
<comments xmlns="http://schemas.openxmlformats.org/spreadsheetml/2006/main">
  <authors>
    <author>Jon Martindill</author>
  </authors>
  <commentList>
    <comment ref="J18" authorId="0">
      <text>
        <r>
          <rPr>
            <sz val="9"/>
            <color indexed="81"/>
            <rFont val="Tahoma"/>
            <family val="2"/>
          </rPr>
          <t>Assumed same as Rice Milled</t>
        </r>
      </text>
    </comment>
    <comment ref="J69" authorId="0">
      <text>
        <r>
          <rPr>
            <sz val="9"/>
            <color indexed="81"/>
            <rFont val="Tahoma"/>
            <family val="2"/>
          </rPr>
          <t>Assume TCF same as wheat flour to wafers</t>
        </r>
      </text>
    </comment>
    <comment ref="J106" authorId="0">
      <text>
        <r>
          <rPr>
            <sz val="9"/>
            <color indexed="81"/>
            <rFont val="Tahoma"/>
            <family val="2"/>
          </rPr>
          <t>U.S. National Research Council, 1983. Underutilized resources as animal feedstuffs</t>
        </r>
      </text>
    </comment>
    <comment ref="J177" authorId="0">
      <text>
        <r>
          <rPr>
            <sz val="9"/>
            <color indexed="81"/>
            <rFont val="Tahoma"/>
            <family val="2"/>
          </rPr>
          <t>Assume same TCF as sesame seed oil</t>
        </r>
      </text>
    </comment>
    <comment ref="J208" authorId="0">
      <text>
        <r>
          <rPr>
            <sz val="9"/>
            <color indexed="81"/>
            <rFont val="Tahoma"/>
            <family val="2"/>
          </rPr>
          <t>Assume same TCF as from rapeseed</t>
        </r>
      </text>
    </comment>
    <comment ref="J209" authorId="0">
      <text>
        <r>
          <rPr>
            <sz val="9"/>
            <color indexed="81"/>
            <rFont val="Tahoma"/>
            <family val="2"/>
          </rPr>
          <t>Assume same TCF as from rapeseed</t>
        </r>
      </text>
    </comment>
    <comment ref="J210" authorId="0">
      <text>
        <r>
          <rPr>
            <sz val="9"/>
            <color indexed="81"/>
            <rFont val="Tahoma"/>
            <family val="2"/>
          </rPr>
          <t>Assume same TCF as from soybeans</t>
        </r>
      </text>
    </comment>
    <comment ref="J243" authorId="0">
      <text>
        <r>
          <rPr>
            <sz val="9"/>
            <color indexed="81"/>
            <rFont val="Tahoma"/>
            <family val="2"/>
          </rPr>
          <t>Assume 1:1 extraction</t>
        </r>
      </text>
    </comment>
    <comment ref="J384" authorId="0">
      <text>
        <r>
          <rPr>
            <sz val="9"/>
            <color indexed="81"/>
            <rFont val="Tahoma"/>
            <family val="2"/>
          </rPr>
          <t>Assume no loss from cotton lint</t>
        </r>
      </text>
    </comment>
    <comment ref="J387" authorId="0">
      <text>
        <r>
          <rPr>
            <sz val="9"/>
            <color indexed="81"/>
            <rFont val="Tahoma"/>
            <family val="2"/>
          </rPr>
          <t>Assume same TCF as cotton lint</t>
        </r>
      </text>
    </comment>
    <comment ref="J389" authorId="0">
      <text>
        <r>
          <rPr>
            <b/>
            <sz val="9"/>
            <color indexed="81"/>
            <rFont val="Tahoma"/>
            <family val="2"/>
          </rPr>
          <t>Jon Martindill:</t>
        </r>
        <r>
          <rPr>
            <sz val="9"/>
            <color indexed="81"/>
            <rFont val="Tahoma"/>
            <family val="2"/>
          </rPr>
          <t xml:space="preserve">
</t>
        </r>
      </text>
    </comment>
    <comment ref="J421" authorId="0">
      <text>
        <r>
          <rPr>
            <sz val="9"/>
            <color indexed="81"/>
            <rFont val="Tahoma"/>
            <family val="2"/>
          </rPr>
          <t>Assume no loss from parent</t>
        </r>
      </text>
    </comment>
    <comment ref="J479" authorId="0">
      <text>
        <r>
          <rPr>
            <b/>
            <sz val="9"/>
            <color indexed="81"/>
            <rFont val="Tahoma"/>
            <family val="2"/>
          </rPr>
          <t>Jon Martindill:</t>
        </r>
        <r>
          <rPr>
            <sz val="9"/>
            <color indexed="81"/>
            <rFont val="Tahoma"/>
            <family val="2"/>
          </rPr>
          <t xml:space="preserve">
Wool is 10-25% grease - USDA 1996, "Wool Gaining Favor Outside of Apparel Industry"</t>
        </r>
      </text>
    </comment>
    <comment ref="J480" authorId="0">
      <text>
        <r>
          <rPr>
            <b/>
            <sz val="9"/>
            <color indexed="81"/>
            <rFont val="Tahoma"/>
            <family val="2"/>
          </rPr>
          <t>Jon Martindill:</t>
        </r>
        <r>
          <rPr>
            <sz val="9"/>
            <color indexed="81"/>
            <rFont val="Tahoma"/>
            <family val="2"/>
          </rPr>
          <t xml:space="preserve">
Wool is 10-25% grease - USDA 1996, "Wool Gaining Favor Outside of Apparel Industry"</t>
        </r>
      </text>
    </comment>
    <comment ref="J487" authorId="0">
      <text>
        <r>
          <rPr>
            <sz val="9"/>
            <color indexed="81"/>
            <rFont val="Tahoma"/>
            <family val="2"/>
          </rPr>
          <t>Assume no loss from degrased wool</t>
        </r>
      </text>
    </comment>
    <comment ref="J489" authorId="0">
      <text>
        <r>
          <rPr>
            <sz val="9"/>
            <color indexed="81"/>
            <rFont val="Tahoma"/>
            <family val="2"/>
          </rPr>
          <t>Assume no loss from degrased wool</t>
        </r>
      </text>
    </comment>
    <comment ref="J498" authorId="0">
      <text>
        <r>
          <rPr>
            <sz val="9"/>
            <color indexed="81"/>
            <rFont val="Tahoma"/>
            <family val="2"/>
          </rPr>
          <t>Assumed TCF - essentially negligable</t>
        </r>
      </text>
    </comment>
    <comment ref="J499" authorId="0">
      <text>
        <r>
          <rPr>
            <sz val="9"/>
            <color indexed="81"/>
            <rFont val="Tahoma"/>
            <family val="2"/>
          </rPr>
          <t>Assumed TCF - essentially negligable</t>
        </r>
      </text>
    </comment>
    <comment ref="J528" authorId="0">
      <text>
        <r>
          <rPr>
            <sz val="9"/>
            <color indexed="81"/>
            <rFont val="Tahoma"/>
            <family val="2"/>
          </rPr>
          <t>Assumed same as Offals Liver Chicken</t>
        </r>
      </text>
    </comment>
    <comment ref="J529" authorId="0">
      <text>
        <r>
          <rPr>
            <sz val="9"/>
            <color indexed="81"/>
            <rFont val="Tahoma"/>
            <family val="2"/>
          </rPr>
          <t>Assumed same as Offals Liver Chicken</t>
        </r>
      </text>
    </comment>
    <comment ref="J538" authorId="0">
      <text>
        <r>
          <rPr>
            <sz val="9"/>
            <color indexed="81"/>
            <rFont val="Tahoma"/>
            <family val="2"/>
          </rPr>
          <t xml:space="preserve">Assumed essentially negligable </t>
        </r>
      </text>
    </comment>
    <comment ref="J543" authorId="0">
      <text>
        <r>
          <rPr>
            <sz val="9"/>
            <color indexed="81"/>
            <rFont val="Tahoma"/>
            <family val="2"/>
          </rPr>
          <t>Assumed same as Horse Meat</t>
        </r>
      </text>
    </comment>
  </commentList>
</comments>
</file>

<file path=xl/comments24.xml><?xml version="1.0" encoding="utf-8"?>
<comments xmlns="http://schemas.openxmlformats.org/spreadsheetml/2006/main">
  <authors>
    <author>elias lazarus</author>
  </authors>
  <commentList>
    <comment ref="B51" authorId="0">
      <text>
        <r>
          <rPr>
            <b/>
            <sz val="9"/>
            <color indexed="81"/>
            <rFont val="Tahoma"/>
            <family val="2"/>
          </rPr>
          <t>elias lazarus:</t>
        </r>
        <r>
          <rPr>
            <sz val="9"/>
            <color indexed="81"/>
            <rFont val="Tahoma"/>
            <family val="2"/>
          </rPr>
          <t xml:space="preserve">
Assume same as China, mainland because no data on non-mainland China.</t>
        </r>
      </text>
    </comment>
  </commentList>
</comments>
</file>

<file path=xl/comments25.xml><?xml version="1.0" encoding="utf-8"?>
<comments xmlns="http://schemas.openxmlformats.org/spreadsheetml/2006/main">
  <authors>
    <author>elias lazarus</author>
  </authors>
  <commentList>
    <comment ref="C9"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2"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3"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6"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35"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36"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45"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51"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52"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77"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83"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93"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94"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41"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44"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51"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60"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66"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67"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79"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184"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224"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230"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244"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 ref="C245" authorId="0">
      <text>
        <r>
          <rPr>
            <b/>
            <sz val="9"/>
            <color indexed="81"/>
            <rFont val="Tahoma"/>
            <family val="2"/>
          </rPr>
          <t>elias lazarus:</t>
        </r>
        <r>
          <rPr>
            <sz val="9"/>
            <color indexed="81"/>
            <rFont val="Tahoma"/>
            <family val="2"/>
          </rPr>
          <t xml:space="preserve">
Assume island nations similar to Latin America and the Carribean which includes some island nations.</t>
        </r>
      </text>
    </comment>
  </commentList>
</comments>
</file>

<file path=xl/comments26.xml><?xml version="1.0" encoding="utf-8"?>
<comments xmlns="http://schemas.openxmlformats.org/spreadsheetml/2006/main">
  <authors>
    <author>JK</author>
  </authors>
  <commentList>
    <comment ref="L5" authorId="0">
      <text>
        <r>
          <rPr>
            <b/>
            <sz val="8"/>
            <color indexed="81"/>
            <rFont val="Tahoma"/>
            <family val="2"/>
          </rPr>
          <t>JK:</t>
        </r>
        <r>
          <rPr>
            <sz val="8"/>
            <color indexed="81"/>
            <rFont val="Tahoma"/>
            <family val="2"/>
          </rPr>
          <t xml:space="preserve">
HLOOKUP rows</t>
        </r>
      </text>
    </comment>
  </commentList>
</comments>
</file>

<file path=xl/comments27.xml><?xml version="1.0" encoding="utf-8"?>
<comments xmlns="http://schemas.openxmlformats.org/spreadsheetml/2006/main">
  <authors>
    <author>JK</author>
  </authors>
  <commentList>
    <comment ref="D6" authorId="0">
      <text>
        <r>
          <rPr>
            <sz val="8"/>
            <color indexed="81"/>
            <rFont val="Tahoma"/>
            <family val="2"/>
          </rPr>
          <t>ISSCAAP groups 61, 62, 63, and 73 are not included here, as they are reported in numbers instead of tonnes. These groups include marine mammals, among other species.</t>
        </r>
      </text>
    </comment>
    <comment ref="E6" authorId="0">
      <text>
        <r>
          <rPr>
            <sz val="8"/>
            <color indexed="81"/>
            <rFont val="Tahoma"/>
            <family val="2"/>
          </rPr>
          <t>ISSCAAP groups 61, 62, 63, and 73 are not included here, as they are reported in numbers instead of tonnes. These groups include marine mammals, among other species.</t>
        </r>
      </text>
    </comment>
    <comment ref="L6" authorId="0">
      <text>
        <r>
          <rPr>
            <sz val="8"/>
            <color indexed="81"/>
            <rFont val="Tahoma"/>
            <family val="2"/>
          </rPr>
          <t>ISSCAAP groups 61, 62, 63, and 73 are not included here, as they are reported in numbers instead of tonnes. These groups include marine mammals, among other species.</t>
        </r>
      </text>
    </comment>
    <comment ref="M6" authorId="0">
      <text>
        <r>
          <rPr>
            <sz val="8"/>
            <color indexed="81"/>
            <rFont val="Tahoma"/>
            <family val="2"/>
          </rPr>
          <t>ISSCAAP groups 61, 62, 63, and 73 are not included here, as they are reported in numbers instead of tonnes. These groups include marine mammals, among other species.</t>
        </r>
      </text>
    </comment>
    <comment ref="P6" authorId="0">
      <text>
        <r>
          <rPr>
            <sz val="8"/>
            <color indexed="81"/>
            <rFont val="Tahoma"/>
            <family val="2"/>
          </rPr>
          <t>ISSCAAP groups 61, 62, 63, and 73 are not included here, as they are reported in numbers instead of tonnes. These groups include marine mammals, among other species.</t>
        </r>
      </text>
    </comment>
    <comment ref="Q6" authorId="0">
      <text>
        <r>
          <rPr>
            <sz val="8"/>
            <color indexed="81"/>
            <rFont val="Tahoma"/>
            <family val="2"/>
          </rPr>
          <t>ISSCAAP groups 61, 62, 63, and 73 are not included here, as they are reported in numbers instead of tonnes. These groups include marine mammals, among other species.</t>
        </r>
      </text>
    </comment>
  </commentList>
</comments>
</file>

<file path=xl/comments28.xml><?xml version="1.0" encoding="utf-8"?>
<comments xmlns="http://schemas.openxmlformats.org/spreadsheetml/2006/main">
  <authors>
    <author>JK</author>
    <author>Anders</author>
  </authors>
  <commentList>
    <comment ref="E5" authorId="0">
      <text>
        <r>
          <rPr>
            <sz val="8"/>
            <color indexed="81"/>
            <rFont val="Tahoma"/>
            <family val="2"/>
          </rPr>
          <t>Errors and blanks indicate products that are currently omitted due to lack of data or possible double counting of simultaneous secondary products.</t>
        </r>
      </text>
    </comment>
    <comment ref="F5" authorId="1">
      <text>
        <r>
          <rPr>
            <sz val="8"/>
            <color indexed="81"/>
            <rFont val="Tahoma"/>
            <family val="2"/>
          </rPr>
          <t>World average</t>
        </r>
      </text>
    </comment>
    <comment ref="G5" authorId="1">
      <text>
        <r>
          <rPr>
            <sz val="8"/>
            <color indexed="81"/>
            <rFont val="Tahoma"/>
            <family val="2"/>
          </rPr>
          <t>Weighted average of imports and national catch</t>
        </r>
      </text>
    </comment>
  </commentList>
</comments>
</file>

<file path=xl/comments29.xml><?xml version="1.0" encoding="utf-8"?>
<comments xmlns="http://schemas.openxmlformats.org/spreadsheetml/2006/main">
  <authors>
    <author>Anders Reed</author>
  </authors>
  <commentList>
    <comment ref="K45" authorId="0">
      <text>
        <r>
          <rPr>
            <b/>
            <sz val="8"/>
            <color indexed="81"/>
            <rFont val="Tahoma"/>
            <family val="2"/>
          </rPr>
          <t>Anders Reed:</t>
        </r>
        <r>
          <rPr>
            <sz val="8"/>
            <color indexed="81"/>
            <rFont val="Tahoma"/>
            <family val="2"/>
          </rPr>
          <t xml:space="preserve">
We assume no farmed fish are turned into fishmeal</t>
        </r>
      </text>
    </comment>
  </commentList>
</comments>
</file>

<file path=xl/comments30.xml><?xml version="1.0" encoding="utf-8"?>
<comments xmlns="http://schemas.openxmlformats.org/spreadsheetml/2006/main">
  <authors>
    <author>Anders Reed</author>
  </authors>
  <commentList>
    <comment ref="A7" authorId="0">
      <text>
        <r>
          <rPr>
            <b/>
            <sz val="8"/>
            <color indexed="81"/>
            <rFont val="Tahoma"/>
            <family val="2"/>
          </rPr>
          <t>Anders Reed:</t>
        </r>
        <r>
          <rPr>
            <sz val="8"/>
            <color indexed="81"/>
            <rFont val="Tahoma"/>
            <family val="2"/>
          </rPr>
          <t xml:space="preserve">
Farmed seweeds are given a zero footprint (assumes negligable inputs)</t>
        </r>
      </text>
    </comment>
  </commentList>
</comments>
</file>

<file path=xl/comments31.xml><?xml version="1.0" encoding="utf-8"?>
<comments xmlns="http://schemas.openxmlformats.org/spreadsheetml/2006/main">
  <authors>
    <author>David Lin</author>
    <author>Jon Martindill</author>
  </authors>
  <commentList>
    <comment ref="B21" authorId="0">
      <text>
        <r>
          <rPr>
            <b/>
            <sz val="9"/>
            <color indexed="81"/>
            <rFont val="Tahoma"/>
            <family val="2"/>
          </rPr>
          <t>David Lin:</t>
        </r>
        <r>
          <rPr>
            <sz val="9"/>
            <color indexed="81"/>
            <rFont val="Tahoma"/>
            <family val="2"/>
          </rPr>
          <t xml:space="preserve">
HS_Code 305.1 "Fish flours fit for human consumption"</t>
        </r>
      </text>
    </comment>
    <comment ref="C21" authorId="1">
      <text>
        <r>
          <rPr>
            <sz val="9"/>
            <color indexed="81"/>
            <rFont val="Tahoma"/>
            <family val="2"/>
          </rPr>
          <t>We assume about 15% of fishmeal comes from residual parts from other processed fish, which has a FAF of 0.</t>
        </r>
      </text>
    </comment>
    <comment ref="B24" authorId="0">
      <text>
        <r>
          <rPr>
            <b/>
            <sz val="9"/>
            <color indexed="81"/>
            <rFont val="Tahoma"/>
            <family val="2"/>
          </rPr>
          <t>David Lin:</t>
        </r>
        <r>
          <rPr>
            <sz val="9"/>
            <color indexed="81"/>
            <rFont val="Tahoma"/>
            <family val="2"/>
          </rPr>
          <t xml:space="preserve">
HS_Code 1504.2 "Fish oils, other than liver oils"</t>
        </r>
      </text>
    </comment>
    <comment ref="C24" authorId="1">
      <text>
        <r>
          <rPr>
            <sz val="9"/>
            <color indexed="81"/>
            <rFont val="Tahoma"/>
            <family val="2"/>
          </rPr>
          <t>We assume about 15% of fishmeal comes from residual parts from other processed fish, which has a FAF of 0.</t>
        </r>
      </text>
    </comment>
  </commentList>
</comments>
</file>

<file path=xl/comments32.xml><?xml version="1.0" encoding="utf-8"?>
<comments xmlns="http://schemas.openxmlformats.org/spreadsheetml/2006/main">
  <authors>
    <author>David Lin</author>
    <author>Jon Martindill</author>
  </authors>
  <commentList>
    <comment ref="B21" authorId="0">
      <text>
        <r>
          <rPr>
            <b/>
            <sz val="9"/>
            <color indexed="81"/>
            <rFont val="Tahoma"/>
            <family val="2"/>
          </rPr>
          <t>David Lin:</t>
        </r>
        <r>
          <rPr>
            <sz val="9"/>
            <color indexed="81"/>
            <rFont val="Tahoma"/>
            <family val="2"/>
          </rPr>
          <t xml:space="preserve">
HS_Code 305.1 "Fish flours fit for human consumption"</t>
        </r>
      </text>
    </comment>
    <comment ref="C21" authorId="1">
      <text>
        <r>
          <rPr>
            <sz val="9"/>
            <color indexed="81"/>
            <rFont val="Tahoma"/>
            <family val="2"/>
          </rPr>
          <t>We assume about 15% of fishmeal comes from residual parts from other processed fish, which has a FAF of 0.</t>
        </r>
      </text>
    </comment>
    <comment ref="B24" authorId="0">
      <text>
        <r>
          <rPr>
            <b/>
            <sz val="9"/>
            <color indexed="81"/>
            <rFont val="Tahoma"/>
            <family val="2"/>
          </rPr>
          <t>David Lin:</t>
        </r>
        <r>
          <rPr>
            <sz val="9"/>
            <color indexed="81"/>
            <rFont val="Tahoma"/>
            <family val="2"/>
          </rPr>
          <t xml:space="preserve">
HS_Code 1504.2 "Fish oils, other than liver oils"</t>
        </r>
      </text>
    </comment>
    <comment ref="C24" authorId="1">
      <text>
        <r>
          <rPr>
            <sz val="9"/>
            <color indexed="81"/>
            <rFont val="Tahoma"/>
            <family val="2"/>
          </rPr>
          <t>We assume about 15% of fishmeal comes from residual parts from other processed fish, which has a FAF of 0.</t>
        </r>
      </text>
    </comment>
  </commentList>
</comments>
</file>

<file path=xl/comments33.xml><?xml version="1.0" encoding="utf-8"?>
<comments xmlns="http://schemas.openxmlformats.org/spreadsheetml/2006/main">
  <authors>
    <author>Anders Reed</author>
  </authors>
  <commentList>
    <comment ref="E5" authorId="0">
      <text>
        <r>
          <rPr>
            <sz val="8"/>
            <color indexed="81"/>
            <rFont val="Tahoma"/>
            <family val="2"/>
          </rPr>
          <t>Total for inland and marine</t>
        </r>
      </text>
    </comment>
  </commentList>
</comments>
</file>

<file path=xl/comments34.xml><?xml version="1.0" encoding="utf-8"?>
<comments xmlns="http://schemas.openxmlformats.org/spreadsheetml/2006/main">
  <authors>
    <author>JK</author>
  </authors>
  <commentList>
    <comment ref="A7" authorId="0">
      <text>
        <r>
          <rPr>
            <sz val="8"/>
            <color indexed="81"/>
            <rFont val="Tahoma"/>
            <family val="2"/>
          </rPr>
          <t>Pauly and Christensen 1995.</t>
        </r>
      </text>
    </comment>
    <comment ref="A8" authorId="0">
      <text>
        <r>
          <rPr>
            <sz val="8"/>
            <color indexed="81"/>
            <rFont val="Tahoma"/>
            <family val="2"/>
          </rPr>
          <t>Pauly and Christensen 1995.</t>
        </r>
      </text>
    </comment>
  </commentList>
</comments>
</file>

<file path=xl/comments35.xml><?xml version="1.0" encoding="utf-8"?>
<comments xmlns="http://schemas.openxmlformats.org/spreadsheetml/2006/main">
  <authors>
    <author>Jon Martindill</author>
  </authors>
  <commentList>
    <comment ref="D29" authorId="0">
      <text>
        <r>
          <rPr>
            <sz val="9"/>
            <color indexed="81"/>
            <rFont val="Tahoma"/>
            <family val="2"/>
          </rPr>
          <t>No value from FishBase, assume trophic level of 2</t>
        </r>
      </text>
    </comment>
    <comment ref="D43" authorId="0">
      <text>
        <r>
          <rPr>
            <sz val="9"/>
            <color indexed="81"/>
            <rFont val="Tahoma"/>
            <family val="2"/>
          </rPr>
          <t>No value from FishBase, assume trophic level of 2</t>
        </r>
      </text>
    </comment>
    <comment ref="D48" authorId="0">
      <text>
        <r>
          <rPr>
            <sz val="9"/>
            <color indexed="81"/>
            <rFont val="Tahoma"/>
            <family val="2"/>
          </rPr>
          <t>No value from FishBase, assume trophic level of 2</t>
        </r>
      </text>
    </comment>
    <comment ref="D65" authorId="0">
      <text>
        <r>
          <rPr>
            <sz val="9"/>
            <color indexed="81"/>
            <rFont val="Tahoma"/>
            <family val="2"/>
          </rPr>
          <t>No value from FishBase, assume trophic level of 2</t>
        </r>
      </text>
    </comment>
    <comment ref="D68" authorId="0">
      <text>
        <r>
          <rPr>
            <sz val="9"/>
            <color indexed="81"/>
            <rFont val="Tahoma"/>
            <family val="2"/>
          </rPr>
          <t>No value from FishBase, assume trophic level of 2</t>
        </r>
      </text>
    </comment>
    <comment ref="D78" authorId="0">
      <text>
        <r>
          <rPr>
            <sz val="9"/>
            <color indexed="81"/>
            <rFont val="Tahoma"/>
            <family val="2"/>
          </rPr>
          <t>No value from FishBase, assume trophic level of 2</t>
        </r>
      </text>
    </comment>
    <comment ref="D88" authorId="0">
      <text>
        <r>
          <rPr>
            <sz val="9"/>
            <color indexed="81"/>
            <rFont val="Tahoma"/>
            <family val="2"/>
          </rPr>
          <t>No value from FishBase, assume trophic level of 2</t>
        </r>
      </text>
    </comment>
    <comment ref="D90" authorId="0">
      <text>
        <r>
          <rPr>
            <sz val="9"/>
            <color indexed="81"/>
            <rFont val="Tahoma"/>
            <family val="2"/>
          </rPr>
          <t>No value from FishBase, assume trophic level of 2</t>
        </r>
      </text>
    </comment>
    <comment ref="D100" authorId="0">
      <text>
        <r>
          <rPr>
            <sz val="9"/>
            <color indexed="81"/>
            <rFont val="Tahoma"/>
            <family val="2"/>
          </rPr>
          <t>No value from FishBase, assume trophic level of 2</t>
        </r>
      </text>
    </comment>
    <comment ref="D102" authorId="0">
      <text>
        <r>
          <rPr>
            <sz val="9"/>
            <color indexed="81"/>
            <rFont val="Tahoma"/>
            <family val="2"/>
          </rPr>
          <t>No value from FishBase, assume trophic level of 2</t>
        </r>
      </text>
    </comment>
    <comment ref="D125" authorId="0">
      <text>
        <r>
          <rPr>
            <sz val="9"/>
            <color indexed="81"/>
            <rFont val="Tahoma"/>
            <family val="2"/>
          </rPr>
          <t>No value from FishBase, assume trophic level of 2</t>
        </r>
      </text>
    </comment>
    <comment ref="D127" authorId="0">
      <text>
        <r>
          <rPr>
            <sz val="9"/>
            <color indexed="81"/>
            <rFont val="Tahoma"/>
            <family val="2"/>
          </rPr>
          <t>No value from FishBase, assume trophic level of 2</t>
        </r>
      </text>
    </comment>
    <comment ref="D139" authorId="0">
      <text>
        <r>
          <rPr>
            <sz val="9"/>
            <color indexed="81"/>
            <rFont val="Tahoma"/>
            <family val="2"/>
          </rPr>
          <t>No value from FishBase, assume trophic level of 2</t>
        </r>
      </text>
    </comment>
    <comment ref="D144" authorId="0">
      <text>
        <r>
          <rPr>
            <sz val="9"/>
            <color indexed="81"/>
            <rFont val="Tahoma"/>
            <family val="2"/>
          </rPr>
          <t>No value from FishBase, assume trophic level of 2</t>
        </r>
      </text>
    </comment>
    <comment ref="D148" authorId="0">
      <text>
        <r>
          <rPr>
            <sz val="9"/>
            <color indexed="81"/>
            <rFont val="Tahoma"/>
            <family val="2"/>
          </rPr>
          <t>No value from FishBase, assume trophic level of 2</t>
        </r>
      </text>
    </comment>
    <comment ref="D163" authorId="0">
      <text>
        <r>
          <rPr>
            <sz val="9"/>
            <color indexed="81"/>
            <rFont val="Tahoma"/>
            <family val="2"/>
          </rPr>
          <t>No value from FishBase, assume trophic level of 2</t>
        </r>
      </text>
    </comment>
    <comment ref="D187" authorId="0">
      <text>
        <r>
          <rPr>
            <sz val="9"/>
            <color indexed="81"/>
            <rFont val="Tahoma"/>
            <family val="2"/>
          </rPr>
          <t>No value from FishBase, assume trophic level of 2</t>
        </r>
      </text>
    </comment>
    <comment ref="D191" authorId="0">
      <text>
        <r>
          <rPr>
            <sz val="9"/>
            <color indexed="81"/>
            <rFont val="Tahoma"/>
            <family val="2"/>
          </rPr>
          <t>No value from FishBase, assume trophic level of 2</t>
        </r>
      </text>
    </comment>
    <comment ref="D211" authorId="0">
      <text>
        <r>
          <rPr>
            <sz val="9"/>
            <color indexed="81"/>
            <rFont val="Tahoma"/>
            <family val="2"/>
          </rPr>
          <t>No value from FishBase, assume trophic level of 2</t>
        </r>
      </text>
    </comment>
    <comment ref="D221" authorId="0">
      <text>
        <r>
          <rPr>
            <sz val="9"/>
            <color indexed="81"/>
            <rFont val="Tahoma"/>
            <family val="2"/>
          </rPr>
          <t>No value from FishBase, assume trophic level of 2</t>
        </r>
      </text>
    </comment>
    <comment ref="D234" authorId="0">
      <text>
        <r>
          <rPr>
            <sz val="9"/>
            <color indexed="81"/>
            <rFont val="Tahoma"/>
            <family val="2"/>
          </rPr>
          <t>No value from FishBase, assume trophic level of 2</t>
        </r>
      </text>
    </comment>
    <comment ref="D236" authorId="0">
      <text>
        <r>
          <rPr>
            <sz val="9"/>
            <color indexed="81"/>
            <rFont val="Tahoma"/>
            <family val="2"/>
          </rPr>
          <t>No value from FishBase, assume trophic level of 2</t>
        </r>
      </text>
    </comment>
    <comment ref="D248" authorId="0">
      <text>
        <r>
          <rPr>
            <sz val="9"/>
            <color indexed="81"/>
            <rFont val="Tahoma"/>
            <family val="2"/>
          </rPr>
          <t>No value from FishBase, assume trophic level of 2</t>
        </r>
      </text>
    </comment>
    <comment ref="D267" authorId="0">
      <text>
        <r>
          <rPr>
            <sz val="9"/>
            <color indexed="81"/>
            <rFont val="Tahoma"/>
            <family val="2"/>
          </rPr>
          <t>No value from FishBase, assume trophic level of 2</t>
        </r>
      </text>
    </comment>
    <comment ref="D311" authorId="0">
      <text>
        <r>
          <rPr>
            <sz val="9"/>
            <color indexed="81"/>
            <rFont val="Tahoma"/>
            <family val="2"/>
          </rPr>
          <t>No value from FishBase, assume trophic level of 2</t>
        </r>
      </text>
    </comment>
    <comment ref="D352" authorId="0">
      <text>
        <r>
          <rPr>
            <sz val="9"/>
            <color indexed="81"/>
            <rFont val="Tahoma"/>
            <family val="2"/>
          </rPr>
          <t>No value from FishBase, assume trophic level of 2</t>
        </r>
      </text>
    </comment>
    <comment ref="D353" authorId="0">
      <text>
        <r>
          <rPr>
            <sz val="9"/>
            <color indexed="81"/>
            <rFont val="Tahoma"/>
            <family val="2"/>
          </rPr>
          <t>No value from FishBase, assume trophic level of 2</t>
        </r>
      </text>
    </comment>
    <comment ref="D354" authorId="0">
      <text>
        <r>
          <rPr>
            <sz val="9"/>
            <color indexed="81"/>
            <rFont val="Tahoma"/>
            <family val="2"/>
          </rPr>
          <t>No value from FishBase, assume trophic level of 2</t>
        </r>
      </text>
    </comment>
    <comment ref="D355" authorId="0">
      <text>
        <r>
          <rPr>
            <sz val="9"/>
            <color indexed="81"/>
            <rFont val="Tahoma"/>
            <family val="2"/>
          </rPr>
          <t>No value from FishBase, assume trophic level of 2</t>
        </r>
      </text>
    </comment>
    <comment ref="D356" authorId="0">
      <text>
        <r>
          <rPr>
            <sz val="9"/>
            <color indexed="81"/>
            <rFont val="Tahoma"/>
            <family val="2"/>
          </rPr>
          <t>No value from FishBase, assume trophic level of 2</t>
        </r>
      </text>
    </comment>
    <comment ref="D383" authorId="0">
      <text>
        <r>
          <rPr>
            <sz val="9"/>
            <color indexed="81"/>
            <rFont val="Tahoma"/>
            <family val="2"/>
          </rPr>
          <t>No value from FishBase, assume trophic level of 2</t>
        </r>
      </text>
    </comment>
    <comment ref="D385" authorId="0">
      <text>
        <r>
          <rPr>
            <sz val="9"/>
            <color indexed="81"/>
            <rFont val="Tahoma"/>
            <family val="2"/>
          </rPr>
          <t>No value from FishBase, assume trophic level of 2</t>
        </r>
      </text>
    </comment>
    <comment ref="D387" authorId="0">
      <text>
        <r>
          <rPr>
            <sz val="9"/>
            <color indexed="81"/>
            <rFont val="Tahoma"/>
            <family val="2"/>
          </rPr>
          <t>No value from FishBase, assume trophic level of 2</t>
        </r>
      </text>
    </comment>
    <comment ref="D395" authorId="0">
      <text>
        <r>
          <rPr>
            <sz val="9"/>
            <color indexed="81"/>
            <rFont val="Tahoma"/>
            <family val="2"/>
          </rPr>
          <t>No value from FishBase, assume trophic level of 2</t>
        </r>
      </text>
    </comment>
    <comment ref="D408" authorId="0">
      <text>
        <r>
          <rPr>
            <sz val="9"/>
            <color indexed="81"/>
            <rFont val="Tahoma"/>
            <family val="2"/>
          </rPr>
          <t>No value from FishBase, assume trophic level of 2</t>
        </r>
      </text>
    </comment>
    <comment ref="D415" authorId="0">
      <text>
        <r>
          <rPr>
            <sz val="9"/>
            <color indexed="81"/>
            <rFont val="Tahoma"/>
            <family val="2"/>
          </rPr>
          <t>No value from FishBase, assume trophic level of 2</t>
        </r>
      </text>
    </comment>
    <comment ref="D442" authorId="0">
      <text>
        <r>
          <rPr>
            <sz val="9"/>
            <color indexed="81"/>
            <rFont val="Tahoma"/>
            <family val="2"/>
          </rPr>
          <t>No value from FishBase, assume trophic level of 2</t>
        </r>
      </text>
    </comment>
    <comment ref="D467" authorId="0">
      <text>
        <r>
          <rPr>
            <sz val="9"/>
            <color indexed="81"/>
            <rFont val="Tahoma"/>
            <family val="2"/>
          </rPr>
          <t>No value from FishBase, assume trophic level of 2</t>
        </r>
      </text>
    </comment>
    <comment ref="D496" authorId="0">
      <text>
        <r>
          <rPr>
            <sz val="9"/>
            <color indexed="81"/>
            <rFont val="Tahoma"/>
            <family val="2"/>
          </rPr>
          <t>No value from FishBase, assume trophic level of 2</t>
        </r>
      </text>
    </comment>
    <comment ref="D497" authorId="0">
      <text>
        <r>
          <rPr>
            <sz val="9"/>
            <color indexed="81"/>
            <rFont val="Tahoma"/>
            <family val="2"/>
          </rPr>
          <t>No value from FishBase, assume trophic level of 2</t>
        </r>
      </text>
    </comment>
    <comment ref="D503" authorId="0">
      <text>
        <r>
          <rPr>
            <sz val="9"/>
            <color indexed="81"/>
            <rFont val="Tahoma"/>
            <family val="2"/>
          </rPr>
          <t>No value from FishBase, assume trophic level of 2</t>
        </r>
      </text>
    </comment>
    <comment ref="D510" authorId="0">
      <text>
        <r>
          <rPr>
            <sz val="9"/>
            <color indexed="81"/>
            <rFont val="Tahoma"/>
            <family val="2"/>
          </rPr>
          <t>No value from FishBase, assume trophic level of 2</t>
        </r>
      </text>
    </comment>
    <comment ref="D511" authorId="0">
      <text>
        <r>
          <rPr>
            <sz val="9"/>
            <color indexed="81"/>
            <rFont val="Tahoma"/>
            <family val="2"/>
          </rPr>
          <t>No value from FishBase, assume trophic level of 2</t>
        </r>
      </text>
    </comment>
    <comment ref="D512" authorId="0">
      <text>
        <r>
          <rPr>
            <sz val="9"/>
            <color indexed="81"/>
            <rFont val="Tahoma"/>
            <family val="2"/>
          </rPr>
          <t>No value from FishBase, assume trophic level of 2</t>
        </r>
      </text>
    </comment>
    <comment ref="D513" authorId="0">
      <text>
        <r>
          <rPr>
            <sz val="9"/>
            <color indexed="81"/>
            <rFont val="Tahoma"/>
            <family val="2"/>
          </rPr>
          <t>No value from FishBase, assume trophic level of 2</t>
        </r>
      </text>
    </comment>
    <comment ref="D518" authorId="0">
      <text>
        <r>
          <rPr>
            <sz val="9"/>
            <color indexed="81"/>
            <rFont val="Tahoma"/>
            <family val="2"/>
          </rPr>
          <t>No value from FishBase, assume trophic level of 2</t>
        </r>
      </text>
    </comment>
    <comment ref="D534" authorId="0">
      <text>
        <r>
          <rPr>
            <sz val="9"/>
            <color indexed="81"/>
            <rFont val="Tahoma"/>
            <family val="2"/>
          </rPr>
          <t>No value from FishBase, assume trophic level of 2</t>
        </r>
      </text>
    </comment>
    <comment ref="D536" authorId="0">
      <text>
        <r>
          <rPr>
            <sz val="9"/>
            <color indexed="81"/>
            <rFont val="Tahoma"/>
            <family val="2"/>
          </rPr>
          <t>No value from FishBase, assume trophic level of 2</t>
        </r>
      </text>
    </comment>
    <comment ref="D562" authorId="0">
      <text>
        <r>
          <rPr>
            <sz val="9"/>
            <color indexed="81"/>
            <rFont val="Tahoma"/>
            <family val="2"/>
          </rPr>
          <t>No value from FishBase, assume trophic level of 2</t>
        </r>
      </text>
    </comment>
    <comment ref="D566" authorId="0">
      <text>
        <r>
          <rPr>
            <sz val="9"/>
            <color indexed="81"/>
            <rFont val="Tahoma"/>
            <family val="2"/>
          </rPr>
          <t>No value from FishBase, assume trophic level of 2</t>
        </r>
      </text>
    </comment>
    <comment ref="D567" authorId="0">
      <text>
        <r>
          <rPr>
            <sz val="9"/>
            <color indexed="81"/>
            <rFont val="Tahoma"/>
            <family val="2"/>
          </rPr>
          <t>No value from FishBase, assume trophic level of 2</t>
        </r>
      </text>
    </comment>
    <comment ref="D586" authorId="0">
      <text>
        <r>
          <rPr>
            <sz val="9"/>
            <color indexed="81"/>
            <rFont val="Tahoma"/>
            <family val="2"/>
          </rPr>
          <t>No value from FishBase, assume trophic level of 2</t>
        </r>
      </text>
    </comment>
    <comment ref="D616" authorId="0">
      <text>
        <r>
          <rPr>
            <sz val="9"/>
            <color indexed="81"/>
            <rFont val="Tahoma"/>
            <family val="2"/>
          </rPr>
          <t>No value from FishBase, assume trophic level of 2</t>
        </r>
      </text>
    </comment>
    <comment ref="D621" authorId="0">
      <text>
        <r>
          <rPr>
            <sz val="9"/>
            <color indexed="81"/>
            <rFont val="Tahoma"/>
            <family val="2"/>
          </rPr>
          <t>No value from FishBase, assume trophic level of 2</t>
        </r>
      </text>
    </comment>
    <comment ref="D626" authorId="0">
      <text>
        <r>
          <rPr>
            <sz val="9"/>
            <color indexed="81"/>
            <rFont val="Tahoma"/>
            <family val="2"/>
          </rPr>
          <t>No value from FishBase, assume trophic level of 2</t>
        </r>
      </text>
    </comment>
    <comment ref="D630" authorId="0">
      <text>
        <r>
          <rPr>
            <sz val="9"/>
            <color indexed="81"/>
            <rFont val="Tahoma"/>
            <family val="2"/>
          </rPr>
          <t>No value from FishBase, assume trophic level of 2</t>
        </r>
      </text>
    </comment>
    <comment ref="D656" authorId="0">
      <text>
        <r>
          <rPr>
            <sz val="9"/>
            <color indexed="81"/>
            <rFont val="Tahoma"/>
            <family val="2"/>
          </rPr>
          <t>No value from FishBase, assume trophic level of 2</t>
        </r>
      </text>
    </comment>
    <comment ref="D670" authorId="0">
      <text>
        <r>
          <rPr>
            <sz val="9"/>
            <color indexed="81"/>
            <rFont val="Tahoma"/>
            <family val="2"/>
          </rPr>
          <t>No value from FishBase, assume trophic level of 2</t>
        </r>
      </text>
    </comment>
    <comment ref="D684" authorId="0">
      <text>
        <r>
          <rPr>
            <sz val="9"/>
            <color indexed="81"/>
            <rFont val="Tahoma"/>
            <family val="2"/>
          </rPr>
          <t>No value from FishBase, assume trophic level of 2</t>
        </r>
      </text>
    </comment>
    <comment ref="D687" authorId="0">
      <text>
        <r>
          <rPr>
            <sz val="9"/>
            <color indexed="81"/>
            <rFont val="Tahoma"/>
            <family val="2"/>
          </rPr>
          <t>No value from FishBase, assume trophic level of 2</t>
        </r>
      </text>
    </comment>
    <comment ref="D718" authorId="0">
      <text>
        <r>
          <rPr>
            <sz val="9"/>
            <color indexed="81"/>
            <rFont val="Tahoma"/>
            <family val="2"/>
          </rPr>
          <t>No value from FishBase, assume trophic level of 2</t>
        </r>
      </text>
    </comment>
    <comment ref="D723" authorId="0">
      <text>
        <r>
          <rPr>
            <sz val="9"/>
            <color indexed="81"/>
            <rFont val="Tahoma"/>
            <family val="2"/>
          </rPr>
          <t>No value from FishBase, assume trophic level of 2</t>
        </r>
      </text>
    </comment>
    <comment ref="D739" authorId="0">
      <text>
        <r>
          <rPr>
            <sz val="9"/>
            <color indexed="81"/>
            <rFont val="Tahoma"/>
            <family val="2"/>
          </rPr>
          <t>No value from FishBase, assume trophic level of 2</t>
        </r>
      </text>
    </comment>
    <comment ref="D741" authorId="0">
      <text>
        <r>
          <rPr>
            <sz val="9"/>
            <color indexed="81"/>
            <rFont val="Tahoma"/>
            <family val="2"/>
          </rPr>
          <t>No value from FishBase, assume trophic level of 2</t>
        </r>
      </text>
    </comment>
    <comment ref="D742" authorId="0">
      <text>
        <r>
          <rPr>
            <sz val="9"/>
            <color indexed="81"/>
            <rFont val="Tahoma"/>
            <family val="2"/>
          </rPr>
          <t>No value from FishBase, assume trophic level of 2</t>
        </r>
      </text>
    </comment>
    <comment ref="D753" authorId="0">
      <text>
        <r>
          <rPr>
            <sz val="9"/>
            <color indexed="81"/>
            <rFont val="Tahoma"/>
            <family val="2"/>
          </rPr>
          <t>No value from FishBase, assume trophic level of 2</t>
        </r>
      </text>
    </comment>
    <comment ref="D757" authorId="0">
      <text>
        <r>
          <rPr>
            <sz val="9"/>
            <color indexed="81"/>
            <rFont val="Tahoma"/>
            <family val="2"/>
          </rPr>
          <t>No value from FishBase, assume trophic level of 2</t>
        </r>
      </text>
    </comment>
    <comment ref="D779" authorId="0">
      <text>
        <r>
          <rPr>
            <sz val="9"/>
            <color indexed="81"/>
            <rFont val="Tahoma"/>
            <family val="2"/>
          </rPr>
          <t>No value from FishBase, assume trophic level of 2</t>
        </r>
      </text>
    </comment>
    <comment ref="D784" authorId="0">
      <text>
        <r>
          <rPr>
            <sz val="9"/>
            <color indexed="81"/>
            <rFont val="Tahoma"/>
            <family val="2"/>
          </rPr>
          <t>No value from FishBase, assume trophic level of 2</t>
        </r>
      </text>
    </comment>
    <comment ref="D793" authorId="0">
      <text>
        <r>
          <rPr>
            <sz val="9"/>
            <color indexed="81"/>
            <rFont val="Tahoma"/>
            <family val="2"/>
          </rPr>
          <t>No value from FishBase, assume trophic level of 2</t>
        </r>
      </text>
    </comment>
    <comment ref="D803" authorId="0">
      <text>
        <r>
          <rPr>
            <sz val="9"/>
            <color indexed="81"/>
            <rFont val="Tahoma"/>
            <family val="2"/>
          </rPr>
          <t>No value from FishBase, assume trophic level of 2</t>
        </r>
      </text>
    </comment>
    <comment ref="D814" authorId="0">
      <text>
        <r>
          <rPr>
            <sz val="9"/>
            <color indexed="81"/>
            <rFont val="Tahoma"/>
            <family val="2"/>
          </rPr>
          <t>No value from FishBase, assume trophic level of 2</t>
        </r>
      </text>
    </comment>
    <comment ref="D815" authorId="0">
      <text>
        <r>
          <rPr>
            <sz val="9"/>
            <color indexed="81"/>
            <rFont val="Tahoma"/>
            <family val="2"/>
          </rPr>
          <t>No value from FishBase, assume trophic level of 2</t>
        </r>
      </text>
    </comment>
    <comment ref="D821" authorId="0">
      <text>
        <r>
          <rPr>
            <sz val="9"/>
            <color indexed="81"/>
            <rFont val="Tahoma"/>
            <family val="2"/>
          </rPr>
          <t>No value from FishBase, assume trophic level of 2</t>
        </r>
      </text>
    </comment>
    <comment ref="D829" authorId="0">
      <text>
        <r>
          <rPr>
            <sz val="9"/>
            <color indexed="81"/>
            <rFont val="Tahoma"/>
            <family val="2"/>
          </rPr>
          <t>No value from FishBase, assume trophic level of 2</t>
        </r>
      </text>
    </comment>
    <comment ref="D853" authorId="0">
      <text>
        <r>
          <rPr>
            <sz val="9"/>
            <color indexed="81"/>
            <rFont val="Tahoma"/>
            <family val="2"/>
          </rPr>
          <t>No value from FishBase, assume trophic level of 2</t>
        </r>
      </text>
    </comment>
    <comment ref="D880" authorId="0">
      <text>
        <r>
          <rPr>
            <sz val="9"/>
            <color indexed="81"/>
            <rFont val="Tahoma"/>
            <family val="2"/>
          </rPr>
          <t>No value from FishBase, assume trophic level of 2</t>
        </r>
      </text>
    </comment>
    <comment ref="D890" authorId="0">
      <text>
        <r>
          <rPr>
            <sz val="9"/>
            <color indexed="81"/>
            <rFont val="Tahoma"/>
            <family val="2"/>
          </rPr>
          <t>No value from FishBase, assume trophic level of 2</t>
        </r>
      </text>
    </comment>
    <comment ref="D903" authorId="0">
      <text>
        <r>
          <rPr>
            <sz val="9"/>
            <color indexed="81"/>
            <rFont val="Tahoma"/>
            <family val="2"/>
          </rPr>
          <t>No value from FishBase, assume trophic level of 2</t>
        </r>
      </text>
    </comment>
    <comment ref="D905" authorId="0">
      <text>
        <r>
          <rPr>
            <sz val="9"/>
            <color indexed="81"/>
            <rFont val="Tahoma"/>
            <family val="2"/>
          </rPr>
          <t>No value from FishBase, assume trophic level of 2</t>
        </r>
      </text>
    </comment>
    <comment ref="D907" authorId="0">
      <text>
        <r>
          <rPr>
            <sz val="9"/>
            <color indexed="81"/>
            <rFont val="Tahoma"/>
            <family val="2"/>
          </rPr>
          <t>No value from FishBase, assume trophic level of 2</t>
        </r>
      </text>
    </comment>
    <comment ref="D908" authorId="0">
      <text>
        <r>
          <rPr>
            <sz val="9"/>
            <color indexed="81"/>
            <rFont val="Tahoma"/>
            <family val="2"/>
          </rPr>
          <t>No value from FishBase, assume trophic level of 2</t>
        </r>
      </text>
    </comment>
    <comment ref="D911" authorId="0">
      <text>
        <r>
          <rPr>
            <sz val="9"/>
            <color indexed="81"/>
            <rFont val="Tahoma"/>
            <family val="2"/>
          </rPr>
          <t>No value from FishBase, assume trophic level of 2</t>
        </r>
      </text>
    </comment>
    <comment ref="D928" authorId="0">
      <text>
        <r>
          <rPr>
            <sz val="9"/>
            <color indexed="81"/>
            <rFont val="Tahoma"/>
            <family val="2"/>
          </rPr>
          <t>No value from FishBase, assume trophic level of 2</t>
        </r>
      </text>
    </comment>
    <comment ref="D950" authorId="0">
      <text>
        <r>
          <rPr>
            <sz val="9"/>
            <color indexed="81"/>
            <rFont val="Tahoma"/>
            <family val="2"/>
          </rPr>
          <t>No value from FishBase, assume trophic level of 2</t>
        </r>
      </text>
    </comment>
    <comment ref="D964" authorId="0">
      <text>
        <r>
          <rPr>
            <sz val="9"/>
            <color indexed="81"/>
            <rFont val="Tahoma"/>
            <family val="2"/>
          </rPr>
          <t>No value from FishBase, assume trophic level of 2</t>
        </r>
      </text>
    </comment>
    <comment ref="D976" authorId="0">
      <text>
        <r>
          <rPr>
            <sz val="9"/>
            <color indexed="81"/>
            <rFont val="Tahoma"/>
            <family val="2"/>
          </rPr>
          <t>No value from FishBase, assume trophic level of 2</t>
        </r>
      </text>
    </comment>
    <comment ref="D979" authorId="0">
      <text>
        <r>
          <rPr>
            <sz val="9"/>
            <color indexed="81"/>
            <rFont val="Tahoma"/>
            <family val="2"/>
          </rPr>
          <t>No value from FishBase, assume trophic level of 2</t>
        </r>
      </text>
    </comment>
    <comment ref="D986" authorId="0">
      <text>
        <r>
          <rPr>
            <sz val="9"/>
            <color indexed="81"/>
            <rFont val="Tahoma"/>
            <family val="2"/>
          </rPr>
          <t>No value from FishBase, assume trophic level of 2</t>
        </r>
      </text>
    </comment>
    <comment ref="D998" authorId="0">
      <text>
        <r>
          <rPr>
            <sz val="9"/>
            <color indexed="81"/>
            <rFont val="Tahoma"/>
            <family val="2"/>
          </rPr>
          <t>No value from FishBase, assume trophic level of 2</t>
        </r>
      </text>
    </comment>
    <comment ref="D1007" authorId="0">
      <text>
        <r>
          <rPr>
            <sz val="9"/>
            <color indexed="81"/>
            <rFont val="Tahoma"/>
            <family val="2"/>
          </rPr>
          <t>No value from FishBase, assume trophic level of 2</t>
        </r>
      </text>
    </comment>
    <comment ref="D1051" authorId="0">
      <text>
        <r>
          <rPr>
            <sz val="9"/>
            <color indexed="81"/>
            <rFont val="Tahoma"/>
            <family val="2"/>
          </rPr>
          <t>No value from FishBase, assume trophic level of 2</t>
        </r>
      </text>
    </comment>
    <comment ref="D1055" authorId="0">
      <text>
        <r>
          <rPr>
            <sz val="9"/>
            <color indexed="81"/>
            <rFont val="Tahoma"/>
            <family val="2"/>
          </rPr>
          <t>No value from FishBase, assume trophic level of 2</t>
        </r>
      </text>
    </comment>
    <comment ref="D1090" authorId="0">
      <text>
        <r>
          <rPr>
            <sz val="9"/>
            <color indexed="81"/>
            <rFont val="Tahoma"/>
            <family val="2"/>
          </rPr>
          <t>No value from FishBase, assume trophic level of 2</t>
        </r>
      </text>
    </comment>
    <comment ref="D1104" authorId="0">
      <text>
        <r>
          <rPr>
            <sz val="9"/>
            <color indexed="81"/>
            <rFont val="Tahoma"/>
            <family val="2"/>
          </rPr>
          <t>No value from FishBase, assume trophic level of 2</t>
        </r>
      </text>
    </comment>
    <comment ref="D1118" authorId="0">
      <text>
        <r>
          <rPr>
            <sz val="9"/>
            <color indexed="81"/>
            <rFont val="Tahoma"/>
            <family val="2"/>
          </rPr>
          <t>No value from FishBase, assume trophic level of 2</t>
        </r>
      </text>
    </comment>
    <comment ref="D1129" authorId="0">
      <text>
        <r>
          <rPr>
            <sz val="9"/>
            <color indexed="81"/>
            <rFont val="Tahoma"/>
            <family val="2"/>
          </rPr>
          <t>No value from FishBase, assume trophic level of 2</t>
        </r>
      </text>
    </comment>
    <comment ref="D1135" authorId="0">
      <text>
        <r>
          <rPr>
            <sz val="9"/>
            <color indexed="81"/>
            <rFont val="Tahoma"/>
            <family val="2"/>
          </rPr>
          <t>No value from FishBase, assume trophic level of 2</t>
        </r>
      </text>
    </comment>
    <comment ref="D1166" authorId="0">
      <text>
        <r>
          <rPr>
            <sz val="9"/>
            <color indexed="81"/>
            <rFont val="Tahoma"/>
            <family val="2"/>
          </rPr>
          <t>No value from FishBase, assume trophic level of 2</t>
        </r>
      </text>
    </comment>
    <comment ref="D1246" authorId="0">
      <text>
        <r>
          <rPr>
            <sz val="9"/>
            <color indexed="81"/>
            <rFont val="Tahoma"/>
            <family val="2"/>
          </rPr>
          <t>No value from FishBase, assume trophic level of 2</t>
        </r>
      </text>
    </comment>
    <comment ref="D1293" authorId="0">
      <text>
        <r>
          <rPr>
            <sz val="9"/>
            <color indexed="81"/>
            <rFont val="Tahoma"/>
            <family val="2"/>
          </rPr>
          <t>No value from FishBase, assume trophic level of 2</t>
        </r>
      </text>
    </comment>
    <comment ref="D1310" authorId="0">
      <text>
        <r>
          <rPr>
            <sz val="9"/>
            <color indexed="81"/>
            <rFont val="Tahoma"/>
            <family val="2"/>
          </rPr>
          <t>No value from FishBase, assume trophic level of 2</t>
        </r>
      </text>
    </comment>
    <comment ref="D1332" authorId="0">
      <text>
        <r>
          <rPr>
            <sz val="9"/>
            <color indexed="81"/>
            <rFont val="Tahoma"/>
            <family val="2"/>
          </rPr>
          <t>No value from FishBase, assume trophic level of 2</t>
        </r>
      </text>
    </comment>
    <comment ref="D1342" authorId="0">
      <text>
        <r>
          <rPr>
            <sz val="9"/>
            <color indexed="81"/>
            <rFont val="Tahoma"/>
            <family val="2"/>
          </rPr>
          <t>No value from FishBase, assume trophic level of 2</t>
        </r>
      </text>
    </comment>
    <comment ref="D1350" authorId="0">
      <text>
        <r>
          <rPr>
            <sz val="9"/>
            <color indexed="81"/>
            <rFont val="Tahoma"/>
            <family val="2"/>
          </rPr>
          <t>No value from FishBase, assume trophic level of 2</t>
        </r>
      </text>
    </comment>
    <comment ref="D1379" authorId="0">
      <text>
        <r>
          <rPr>
            <sz val="9"/>
            <color indexed="81"/>
            <rFont val="Tahoma"/>
            <family val="2"/>
          </rPr>
          <t>No value from FishBase, assume trophic level of 2</t>
        </r>
      </text>
    </comment>
    <comment ref="D1395" authorId="0">
      <text>
        <r>
          <rPr>
            <sz val="9"/>
            <color indexed="81"/>
            <rFont val="Tahoma"/>
            <family val="2"/>
          </rPr>
          <t>No value from FishBase, assume trophic level of 2</t>
        </r>
      </text>
    </comment>
    <comment ref="D1412" authorId="0">
      <text>
        <r>
          <rPr>
            <sz val="9"/>
            <color indexed="81"/>
            <rFont val="Tahoma"/>
            <family val="2"/>
          </rPr>
          <t>No value from FishBase, assume trophic level of 2</t>
        </r>
      </text>
    </comment>
    <comment ref="D1441" authorId="0">
      <text>
        <r>
          <rPr>
            <sz val="9"/>
            <color indexed="81"/>
            <rFont val="Tahoma"/>
            <family val="2"/>
          </rPr>
          <t>No value from FishBase, assume trophic level of 2</t>
        </r>
      </text>
    </comment>
    <comment ref="D1455" authorId="0">
      <text>
        <r>
          <rPr>
            <sz val="9"/>
            <color indexed="81"/>
            <rFont val="Tahoma"/>
            <family val="2"/>
          </rPr>
          <t>No value from FishBase, assume trophic level of 2</t>
        </r>
      </text>
    </comment>
    <comment ref="D1462" authorId="0">
      <text>
        <r>
          <rPr>
            <sz val="9"/>
            <color indexed="81"/>
            <rFont val="Tahoma"/>
            <family val="2"/>
          </rPr>
          <t>No value from FishBase, assume trophic level of 2</t>
        </r>
      </text>
    </comment>
    <comment ref="D1463" authorId="0">
      <text>
        <r>
          <rPr>
            <sz val="9"/>
            <color indexed="81"/>
            <rFont val="Tahoma"/>
            <family val="2"/>
          </rPr>
          <t>No value from FishBase, assume trophic level of 2</t>
        </r>
      </text>
    </comment>
    <comment ref="D1464" authorId="0">
      <text>
        <r>
          <rPr>
            <sz val="9"/>
            <color indexed="81"/>
            <rFont val="Tahoma"/>
            <family val="2"/>
          </rPr>
          <t>No value from FishBase, assume trophic level of 2</t>
        </r>
      </text>
    </comment>
    <comment ref="D1489" authorId="0">
      <text>
        <r>
          <rPr>
            <sz val="9"/>
            <color indexed="81"/>
            <rFont val="Tahoma"/>
            <family val="2"/>
          </rPr>
          <t>No value from FishBase, assume trophic level of 2</t>
        </r>
      </text>
    </comment>
    <comment ref="D1507" authorId="0">
      <text>
        <r>
          <rPr>
            <sz val="9"/>
            <color indexed="81"/>
            <rFont val="Tahoma"/>
            <family val="2"/>
          </rPr>
          <t>No value from FishBase, assume trophic level of 2</t>
        </r>
      </text>
    </comment>
    <comment ref="D1552" authorId="0">
      <text>
        <r>
          <rPr>
            <sz val="9"/>
            <color indexed="81"/>
            <rFont val="Tahoma"/>
            <family val="2"/>
          </rPr>
          <t>No value from FishBase, assume trophic level of 2</t>
        </r>
      </text>
    </comment>
    <comment ref="D1575" authorId="0">
      <text>
        <r>
          <rPr>
            <sz val="9"/>
            <color indexed="81"/>
            <rFont val="Tahoma"/>
            <family val="2"/>
          </rPr>
          <t>No value from FishBase, assume trophic level of 2</t>
        </r>
      </text>
    </comment>
    <comment ref="D1578" authorId="0">
      <text>
        <r>
          <rPr>
            <sz val="9"/>
            <color indexed="81"/>
            <rFont val="Tahoma"/>
            <family val="2"/>
          </rPr>
          <t>No value from FishBase, assume trophic level of 2</t>
        </r>
      </text>
    </comment>
    <comment ref="D1600" authorId="0">
      <text>
        <r>
          <rPr>
            <sz val="9"/>
            <color indexed="81"/>
            <rFont val="Tahoma"/>
            <family val="2"/>
          </rPr>
          <t>No value from FishBase, assume trophic level of 2</t>
        </r>
      </text>
    </comment>
    <comment ref="D1601" authorId="0">
      <text>
        <r>
          <rPr>
            <sz val="9"/>
            <color indexed="81"/>
            <rFont val="Tahoma"/>
            <family val="2"/>
          </rPr>
          <t>No value from FishBase, assume trophic level of 2</t>
        </r>
      </text>
    </comment>
    <comment ref="D1604" authorId="0">
      <text>
        <r>
          <rPr>
            <sz val="9"/>
            <color indexed="81"/>
            <rFont val="Tahoma"/>
            <family val="2"/>
          </rPr>
          <t>No value from FishBase, assume trophic level of 2</t>
        </r>
      </text>
    </comment>
    <comment ref="D1607" authorId="0">
      <text>
        <r>
          <rPr>
            <sz val="9"/>
            <color indexed="81"/>
            <rFont val="Tahoma"/>
            <family val="2"/>
          </rPr>
          <t>No value from FishBase, assume trophic level of 2</t>
        </r>
      </text>
    </comment>
    <comment ref="D1608" authorId="0">
      <text>
        <r>
          <rPr>
            <sz val="9"/>
            <color indexed="81"/>
            <rFont val="Tahoma"/>
            <family val="2"/>
          </rPr>
          <t>No value from FishBase, assume trophic level of 2</t>
        </r>
      </text>
    </comment>
    <comment ref="D1610" authorId="0">
      <text>
        <r>
          <rPr>
            <sz val="9"/>
            <color indexed="81"/>
            <rFont val="Tahoma"/>
            <family val="2"/>
          </rPr>
          <t>No value from FishBase, assume trophic level of 2</t>
        </r>
      </text>
    </comment>
    <comment ref="D1614" authorId="0">
      <text>
        <r>
          <rPr>
            <sz val="9"/>
            <color indexed="81"/>
            <rFont val="Tahoma"/>
            <family val="2"/>
          </rPr>
          <t>No value from FishBase, assume trophic level of 2</t>
        </r>
      </text>
    </comment>
    <comment ref="D1619" authorId="0">
      <text>
        <r>
          <rPr>
            <sz val="9"/>
            <color indexed="81"/>
            <rFont val="Tahoma"/>
            <family val="2"/>
          </rPr>
          <t>No value from FishBase, assume trophic level of 2</t>
        </r>
      </text>
    </comment>
    <comment ref="D1623" authorId="0">
      <text>
        <r>
          <rPr>
            <sz val="9"/>
            <color indexed="81"/>
            <rFont val="Tahoma"/>
            <family val="2"/>
          </rPr>
          <t>No value from FishBase, assume trophic level of 2</t>
        </r>
      </text>
    </comment>
    <comment ref="D1624" authorId="0">
      <text>
        <r>
          <rPr>
            <sz val="9"/>
            <color indexed="81"/>
            <rFont val="Tahoma"/>
            <family val="2"/>
          </rPr>
          <t>No value from FishBase, assume trophic level of 2</t>
        </r>
      </text>
    </comment>
    <comment ref="D1648" authorId="0">
      <text>
        <r>
          <rPr>
            <sz val="9"/>
            <color indexed="81"/>
            <rFont val="Tahoma"/>
            <family val="2"/>
          </rPr>
          <t>No value from FishBase, assume trophic level of 2</t>
        </r>
      </text>
    </comment>
    <comment ref="D1660" authorId="0">
      <text>
        <r>
          <rPr>
            <sz val="9"/>
            <color indexed="81"/>
            <rFont val="Tahoma"/>
            <family val="2"/>
          </rPr>
          <t>No value from FishBase, assume trophic level of 2</t>
        </r>
      </text>
    </comment>
    <comment ref="D1663" authorId="0">
      <text>
        <r>
          <rPr>
            <sz val="9"/>
            <color indexed="81"/>
            <rFont val="Tahoma"/>
            <family val="2"/>
          </rPr>
          <t>No value from FishBase, assume trophic level of 2</t>
        </r>
      </text>
    </comment>
    <comment ref="D1671" authorId="0">
      <text>
        <r>
          <rPr>
            <sz val="9"/>
            <color indexed="81"/>
            <rFont val="Tahoma"/>
            <family val="2"/>
          </rPr>
          <t>No value from FishBase, assume trophic level of 2</t>
        </r>
      </text>
    </comment>
    <comment ref="D1684" authorId="0">
      <text>
        <r>
          <rPr>
            <sz val="9"/>
            <color indexed="81"/>
            <rFont val="Tahoma"/>
            <family val="2"/>
          </rPr>
          <t>No value from FishBase, assume trophic level of 2</t>
        </r>
      </text>
    </comment>
    <comment ref="D1706" authorId="0">
      <text>
        <r>
          <rPr>
            <sz val="9"/>
            <color indexed="81"/>
            <rFont val="Tahoma"/>
            <family val="2"/>
          </rPr>
          <t>No value from FishBase, assume trophic level of 2</t>
        </r>
      </text>
    </comment>
    <comment ref="D1720" authorId="0">
      <text>
        <r>
          <rPr>
            <sz val="9"/>
            <color indexed="81"/>
            <rFont val="Tahoma"/>
            <family val="2"/>
          </rPr>
          <t>No value from FishBase, assume trophic level of 2</t>
        </r>
      </text>
    </comment>
    <comment ref="D1768" authorId="0">
      <text>
        <r>
          <rPr>
            <sz val="9"/>
            <color indexed="81"/>
            <rFont val="Tahoma"/>
            <family val="2"/>
          </rPr>
          <t>No value from FishBase, assume trophic level of 2</t>
        </r>
      </text>
    </comment>
    <comment ref="D1773" authorId="0">
      <text>
        <r>
          <rPr>
            <sz val="9"/>
            <color indexed="81"/>
            <rFont val="Tahoma"/>
            <family val="2"/>
          </rPr>
          <t>No value from FishBase, assume trophic level of 2</t>
        </r>
      </text>
    </comment>
    <comment ref="D1780" authorId="0">
      <text>
        <r>
          <rPr>
            <sz val="9"/>
            <color indexed="81"/>
            <rFont val="Tahoma"/>
            <family val="2"/>
          </rPr>
          <t>No value from FishBase, assume trophic level of 2</t>
        </r>
      </text>
    </comment>
    <comment ref="D1798" authorId="0">
      <text>
        <r>
          <rPr>
            <sz val="9"/>
            <color indexed="81"/>
            <rFont val="Tahoma"/>
            <family val="2"/>
          </rPr>
          <t>No value from FishBase, assume trophic level of 2</t>
        </r>
      </text>
    </comment>
    <comment ref="D1815" authorId="0">
      <text>
        <r>
          <rPr>
            <sz val="9"/>
            <color indexed="81"/>
            <rFont val="Tahoma"/>
            <family val="2"/>
          </rPr>
          <t>No value from FishBase, assume trophic level of 2</t>
        </r>
      </text>
    </comment>
    <comment ref="D1818" authorId="0">
      <text>
        <r>
          <rPr>
            <sz val="9"/>
            <color indexed="81"/>
            <rFont val="Tahoma"/>
            <family val="2"/>
          </rPr>
          <t>No value from FishBase, assume trophic level of 2</t>
        </r>
      </text>
    </comment>
    <comment ref="D1832" authorId="0">
      <text>
        <r>
          <rPr>
            <sz val="9"/>
            <color indexed="81"/>
            <rFont val="Tahoma"/>
            <family val="2"/>
          </rPr>
          <t>No value from FishBase, assume trophic level of 2</t>
        </r>
      </text>
    </comment>
    <comment ref="D1871" authorId="0">
      <text>
        <r>
          <rPr>
            <sz val="9"/>
            <color indexed="81"/>
            <rFont val="Tahoma"/>
            <family val="2"/>
          </rPr>
          <t>No value from FishBase, assume trophic level of 2</t>
        </r>
      </text>
    </comment>
    <comment ref="D1873" authorId="0">
      <text>
        <r>
          <rPr>
            <sz val="9"/>
            <color indexed="81"/>
            <rFont val="Tahoma"/>
            <family val="2"/>
          </rPr>
          <t>No value from FishBase, assume trophic level of 2</t>
        </r>
      </text>
    </comment>
    <comment ref="D1874" authorId="0">
      <text>
        <r>
          <rPr>
            <sz val="9"/>
            <color indexed="81"/>
            <rFont val="Tahoma"/>
            <family val="2"/>
          </rPr>
          <t>No value from FishBase, assume trophic level of 2</t>
        </r>
      </text>
    </comment>
    <comment ref="D1907" authorId="0">
      <text>
        <r>
          <rPr>
            <sz val="9"/>
            <color indexed="81"/>
            <rFont val="Tahoma"/>
            <family val="2"/>
          </rPr>
          <t>No value from FishBase, assume trophic level of 2</t>
        </r>
      </text>
    </comment>
    <comment ref="D1928" authorId="0">
      <text>
        <r>
          <rPr>
            <sz val="9"/>
            <color indexed="81"/>
            <rFont val="Tahoma"/>
            <family val="2"/>
          </rPr>
          <t>No value from FishBase, assume trophic level of 2</t>
        </r>
      </text>
    </comment>
    <comment ref="D1961" authorId="0">
      <text>
        <r>
          <rPr>
            <sz val="9"/>
            <color indexed="81"/>
            <rFont val="Tahoma"/>
            <family val="2"/>
          </rPr>
          <t>No value from FishBase, assume trophic level of 2</t>
        </r>
      </text>
    </comment>
    <comment ref="D1981" authorId="0">
      <text>
        <r>
          <rPr>
            <sz val="9"/>
            <color indexed="81"/>
            <rFont val="Tahoma"/>
            <family val="2"/>
          </rPr>
          <t>No value from FishBase, assume trophic level of 2</t>
        </r>
      </text>
    </comment>
    <comment ref="D2021" authorId="0">
      <text>
        <r>
          <rPr>
            <sz val="9"/>
            <color indexed="81"/>
            <rFont val="Tahoma"/>
            <family val="2"/>
          </rPr>
          <t>No value from FishBase, assume trophic level of 2</t>
        </r>
      </text>
    </comment>
    <comment ref="D2031" authorId="0">
      <text>
        <r>
          <rPr>
            <sz val="9"/>
            <color indexed="81"/>
            <rFont val="Tahoma"/>
            <family val="2"/>
          </rPr>
          <t>No value from FishBase, assume trophic level of 2</t>
        </r>
      </text>
    </comment>
    <comment ref="D2041" authorId="0">
      <text>
        <r>
          <rPr>
            <sz val="9"/>
            <color indexed="81"/>
            <rFont val="Tahoma"/>
            <family val="2"/>
          </rPr>
          <t>No value from FishBase, assume trophic level of 2</t>
        </r>
      </text>
    </comment>
    <comment ref="D2049" authorId="0">
      <text>
        <r>
          <rPr>
            <sz val="9"/>
            <color indexed="81"/>
            <rFont val="Tahoma"/>
            <family val="2"/>
          </rPr>
          <t>No value from FishBase, assume trophic level of 2</t>
        </r>
      </text>
    </comment>
  </commentList>
</comments>
</file>

<file path=xl/comments36.xml><?xml version="1.0" encoding="utf-8"?>
<comments xmlns="http://schemas.openxmlformats.org/spreadsheetml/2006/main">
  <authors>
    <author>anders reed</author>
    <author>david zimmerman</author>
  </authors>
  <commentList>
    <comment ref="A7" authorId="0">
      <text>
        <r>
          <rPr>
            <sz val="8"/>
            <color indexed="81"/>
            <rFont val="Tahoma"/>
            <family val="2"/>
          </rPr>
          <t xml:space="preserve">Fuel wood is separated from other timber here, as in the forest summary sheet
</t>
        </r>
      </text>
    </comment>
    <comment ref="H49" authorId="1">
      <text>
        <r>
          <rPr>
            <sz val="9"/>
            <color indexed="81"/>
            <rFont val="Tahoma"/>
            <family val="2"/>
          </rPr>
          <t xml:space="preserve">Use max of 1676 + 1681 + 1683 vs. 1675
</t>
        </r>
      </text>
    </comment>
  </commentList>
</comments>
</file>

<file path=xl/comments37.xml><?xml version="1.0" encoding="utf-8"?>
<comments xmlns="http://schemas.openxmlformats.org/spreadsheetml/2006/main">
  <authors>
    <author>david zimmerman</author>
  </authors>
  <commentList>
    <comment ref="I49" authorId="0">
      <text>
        <r>
          <rPr>
            <b/>
            <sz val="9"/>
            <color indexed="81"/>
            <rFont val="Tahoma"/>
            <family val="2"/>
          </rPr>
          <t>Use max of 1676 + 1681 + 1683 vs. 1675</t>
        </r>
        <r>
          <rPr>
            <sz val="9"/>
            <color indexed="81"/>
            <rFont val="Tahoma"/>
            <family val="2"/>
          </rPr>
          <t xml:space="preserve">
</t>
        </r>
      </text>
    </comment>
    <comment ref="J49" authorId="0">
      <text>
        <r>
          <rPr>
            <b/>
            <sz val="9"/>
            <color indexed="81"/>
            <rFont val="Tahoma"/>
            <family val="2"/>
          </rPr>
          <t>Use max of 1676 + 1681 + 1683 vs. 1675</t>
        </r>
      </text>
    </comment>
  </commentList>
</comments>
</file>

<file path=xl/comments38.xml><?xml version="1.0" encoding="utf-8"?>
<comments xmlns="http://schemas.openxmlformats.org/spreadsheetml/2006/main">
  <authors>
    <author>JK</author>
    <author>David Moore</author>
  </authors>
  <commentList>
    <comment ref="A10" authorId="0">
      <text>
        <r>
          <rPr>
            <sz val="8"/>
            <color indexed="81"/>
            <rFont val="Tahoma"/>
            <family val="2"/>
          </rPr>
          <t>Yields in mgC m-² day</t>
        </r>
        <r>
          <rPr>
            <vertAlign val="superscript"/>
            <sz val="8"/>
            <color indexed="81"/>
            <rFont val="Tahoma"/>
            <family val="2"/>
          </rPr>
          <t>-1</t>
        </r>
        <r>
          <rPr>
            <sz val="8"/>
            <color indexed="81"/>
            <rFont val="Tahoma"/>
            <family val="2"/>
          </rPr>
          <t>.</t>
        </r>
      </text>
    </comment>
    <comment ref="B11" authorId="1">
      <text>
        <r>
          <rPr>
            <b/>
            <sz val="8"/>
            <color indexed="81"/>
            <rFont val="Tahoma"/>
            <family val="2"/>
          </rPr>
          <t>David Moore:</t>
        </r>
        <r>
          <rPr>
            <sz val="8"/>
            <color indexed="81"/>
            <rFont val="Tahoma"/>
            <family val="2"/>
          </rPr>
          <t xml:space="preserve">
Set equal to cropland</t>
        </r>
      </text>
    </comment>
    <comment ref="B12" authorId="0">
      <text>
        <r>
          <rPr>
            <sz val="8"/>
            <color indexed="81"/>
            <rFont val="Tahoma"/>
            <family val="2"/>
          </rPr>
          <t>Set equal to marine.</t>
        </r>
      </text>
    </comment>
    <comment ref="B13" authorId="0">
      <text>
        <r>
          <rPr>
            <sz val="8"/>
            <color indexed="81"/>
            <rFont val="Tahoma"/>
            <family val="2"/>
          </rPr>
          <t>Equal to forest.</t>
        </r>
      </text>
    </comment>
  </commentList>
</comments>
</file>

<file path=xl/comments39.xml><?xml version="1.0" encoding="utf-8"?>
<comments xmlns="http://schemas.openxmlformats.org/spreadsheetml/2006/main">
  <authors>
    <author>JK</author>
    <author>David Moore</author>
  </authors>
  <commentList>
    <comment ref="A8" authorId="0">
      <text>
        <r>
          <rPr>
            <sz val="8"/>
            <color indexed="81"/>
            <rFont val="Tahoma"/>
            <family val="2"/>
          </rPr>
          <t>Yields in t dm  ha</t>
        </r>
        <r>
          <rPr>
            <vertAlign val="superscript"/>
            <sz val="8"/>
            <color indexed="81"/>
            <rFont val="Tahoma"/>
            <family val="2"/>
          </rPr>
          <t>-1</t>
        </r>
        <r>
          <rPr>
            <sz val="8"/>
            <color indexed="81"/>
            <rFont val="Tahoma"/>
            <family val="2"/>
          </rPr>
          <t xml:space="preserve"> yr</t>
        </r>
        <r>
          <rPr>
            <vertAlign val="superscript"/>
            <sz val="8"/>
            <color indexed="81"/>
            <rFont val="Tahoma"/>
            <family val="2"/>
          </rPr>
          <t>-1</t>
        </r>
        <r>
          <rPr>
            <sz val="8"/>
            <color indexed="81"/>
            <rFont val="Tahoma"/>
            <family val="2"/>
          </rPr>
          <t>.</t>
        </r>
      </text>
    </comment>
    <comment ref="A9" authorId="0">
      <text>
        <r>
          <rPr>
            <sz val="8"/>
            <color indexed="81"/>
            <rFont val="Tahoma"/>
            <family val="2"/>
          </rPr>
          <t>Yields in mgC m-² day</t>
        </r>
        <r>
          <rPr>
            <vertAlign val="superscript"/>
            <sz val="8"/>
            <color indexed="81"/>
            <rFont val="Tahoma"/>
            <family val="2"/>
          </rPr>
          <t>-1</t>
        </r>
        <r>
          <rPr>
            <sz val="8"/>
            <color indexed="81"/>
            <rFont val="Tahoma"/>
            <family val="2"/>
          </rPr>
          <t>.</t>
        </r>
      </text>
    </comment>
    <comment ref="D10" authorId="0">
      <text>
        <r>
          <rPr>
            <sz val="8"/>
            <color indexed="81"/>
            <rFont val="Tahoma"/>
            <family val="2"/>
          </rPr>
          <t>Set equal to 1.</t>
        </r>
      </text>
    </comment>
    <comment ref="A11" authorId="0">
      <text>
        <r>
          <rPr>
            <sz val="8"/>
            <color indexed="81"/>
            <rFont val="Tahoma"/>
            <family val="2"/>
          </rPr>
          <t>Yield refers to net annual increment expressed in cubic meters of underbark per hectare.
NAI's were calculated utilizing the Temperate and Boreal Forest Resource Assessment (TBFRA) and the Global Fibre Supply Model (GFSM).
Country NAI's were calculated as follows: Use TBFRA national NAI if available, then GFSM national NAI, then TBFRA/GFSM regional average, then world average NAI.</t>
        </r>
      </text>
    </comment>
    <comment ref="A12" authorId="0">
      <text>
        <r>
          <rPr>
            <sz val="8"/>
            <color indexed="81"/>
            <rFont val="Tahoma"/>
            <family val="2"/>
          </rPr>
          <t>Yield factor equal to cropland (assumes most built-land occupies former cropland).</t>
        </r>
      </text>
    </comment>
    <comment ref="D12" authorId="1">
      <text>
        <r>
          <rPr>
            <b/>
            <sz val="8"/>
            <color indexed="81"/>
            <rFont val="Tahoma"/>
            <family val="2"/>
          </rPr>
          <t>David Moore:</t>
        </r>
        <r>
          <rPr>
            <sz val="8"/>
            <color indexed="81"/>
            <rFont val="Tahoma"/>
            <family val="2"/>
          </rPr>
          <t xml:space="preserve">
Set equal to cropland</t>
        </r>
      </text>
    </comment>
  </commentList>
</comments>
</file>

<file path=xl/comments40.xml><?xml version="1.0" encoding="utf-8"?>
<comments xmlns="http://schemas.openxmlformats.org/spreadsheetml/2006/main">
  <authors>
    <author>David Moore</author>
    <author>elias lazarus</author>
    <author>JK</author>
  </authors>
  <commentList>
    <comment ref="B7" authorId="0">
      <text>
        <r>
          <rPr>
            <b/>
            <sz val="8"/>
            <color indexed="81"/>
            <rFont val="Tahoma"/>
            <family val="2"/>
          </rPr>
          <t>David Moore:</t>
        </r>
        <r>
          <rPr>
            <sz val="8"/>
            <color indexed="81"/>
            <rFont val="Tahoma"/>
            <family val="2"/>
          </rPr>
          <t xml:space="preserve">
Equal to 1 in the base year (most recent year)</t>
        </r>
      </text>
    </comment>
    <comment ref="B8" authorId="0">
      <text>
        <r>
          <rPr>
            <b/>
            <sz val="8"/>
            <color indexed="81"/>
            <rFont val="Tahoma"/>
            <family val="2"/>
          </rPr>
          <t>David Moore:</t>
        </r>
        <r>
          <rPr>
            <sz val="8"/>
            <color indexed="81"/>
            <rFont val="Tahoma"/>
            <family val="2"/>
          </rPr>
          <t xml:space="preserve">
Currently, changes in yields are not measured for this land-use type</t>
        </r>
      </text>
    </comment>
    <comment ref="B9" authorId="1">
      <text>
        <r>
          <rPr>
            <b/>
            <sz val="9"/>
            <color indexed="81"/>
            <rFont val="Tahoma"/>
            <family val="2"/>
          </rPr>
          <t>Elias Lazarus:</t>
        </r>
        <r>
          <rPr>
            <sz val="9"/>
            <color indexed="81"/>
            <rFont val="Tahoma"/>
            <family val="2"/>
          </rPr>
          <t xml:space="preserve">
Equal to cropland as built is given the potential of cropland.</t>
        </r>
      </text>
    </comment>
    <comment ref="B10" authorId="0">
      <text>
        <r>
          <rPr>
            <b/>
            <sz val="8"/>
            <color indexed="81"/>
            <rFont val="Tahoma"/>
            <family val="2"/>
          </rPr>
          <t>David Moore:</t>
        </r>
        <r>
          <rPr>
            <sz val="8"/>
            <color indexed="81"/>
            <rFont val="Tahoma"/>
            <family val="2"/>
          </rPr>
          <t xml:space="preserve">
Currently, changes in yields are not measured for this land-use type</t>
        </r>
      </text>
    </comment>
    <comment ref="B11" authorId="0">
      <text>
        <r>
          <rPr>
            <b/>
            <sz val="8"/>
            <color indexed="81"/>
            <rFont val="Tahoma"/>
            <family val="2"/>
          </rPr>
          <t>David Moore:</t>
        </r>
        <r>
          <rPr>
            <sz val="8"/>
            <color indexed="81"/>
            <rFont val="Tahoma"/>
            <family val="2"/>
          </rPr>
          <t xml:space="preserve">
Currently, changes in yields are not measured for this land-use type</t>
        </r>
      </text>
    </comment>
    <comment ref="B12" authorId="2">
      <text>
        <r>
          <rPr>
            <sz val="8"/>
            <color indexed="81"/>
            <rFont val="Tahoma"/>
            <family val="2"/>
          </rPr>
          <t>Set equal to marine</t>
        </r>
      </text>
    </comment>
  </commentList>
</comments>
</file>

<file path=xl/comments41.xml><?xml version="1.0" encoding="utf-8"?>
<comments xmlns="http://schemas.openxmlformats.org/spreadsheetml/2006/main">
  <authors>
    <author>JK</author>
    <author>Laurel Hanscom</author>
  </authors>
  <commentList>
    <comment ref="A5" authorId="0">
      <text>
        <r>
          <rPr>
            <u/>
            <sz val="8"/>
            <color indexed="81"/>
            <rFont val="Tahoma"/>
            <family val="2"/>
          </rPr>
          <t>Country Coverage and Base Year</t>
        </r>
        <r>
          <rPr>
            <sz val="8"/>
            <color indexed="81"/>
            <rFont val="Tahoma"/>
            <family val="2"/>
          </rPr>
          <t xml:space="preserve">
CORINE Land Cover - available only for Europe, year 1990 and 2000 (approximated from 1961-1989 and 2001-2006 using country-specific population and land area data from FAO and interpolated linearly from CLC 1990 to CLC 2000)
FAOSTAT - all countries, all years
GAEZ - all countries, year 2000 (approximated from 1961-1999 and 2001-2006 using country-specific population and land area data from FAO)
GLC - all countries, year 2000 (approximated from 1961-1999 and 2001-2006 using country-specific population and land area data from FAO)
SAGE - all countries, year 1992 (approximated from 1961-1991 and 1992-2006 using country-specific population and land area data from FAO)
SeaAroundUs - all countries, no change over time
WRI - all countries, 2000</t>
        </r>
      </text>
    </comment>
    <comment ref="C13" authorId="1">
      <text>
        <r>
          <rPr>
            <sz val="9"/>
            <color indexed="81"/>
            <rFont val="Tahoma"/>
            <family val="2"/>
          </rPr>
          <t>Does not include Temporary meadows and pastures</t>
        </r>
      </text>
    </comment>
  </commentList>
</comments>
</file>

<file path=xl/comments42.xml><?xml version="1.0" encoding="utf-8"?>
<comments xmlns="http://schemas.openxmlformats.org/spreadsheetml/2006/main">
  <authors>
    <author>elizabethpaulukonis</author>
    <author>elias lazarus</author>
  </authors>
  <commentList>
    <comment ref="B113" authorId="0">
      <text>
        <r>
          <rPr>
            <b/>
            <sz val="8"/>
            <color indexed="81"/>
            <rFont val="Tahoma"/>
            <family val="2"/>
          </rPr>
          <t>elizabethpaulukonis:</t>
        </r>
        <r>
          <rPr>
            <sz val="8"/>
            <color indexed="81"/>
            <rFont val="Tahoma"/>
            <family val="2"/>
          </rPr>
          <t xml:space="preserve">
note that Navassa Islands is listed in The Sea Around Us EEZ data under the jurisdiction of Haiti
</t>
        </r>
      </text>
    </comment>
    <comment ref="B229" authorId="1">
      <text>
        <r>
          <rPr>
            <b/>
            <sz val="9"/>
            <color indexed="81"/>
            <rFont val="Tahoma"/>
            <family val="2"/>
          </rPr>
          <t>elias lazarus:</t>
        </r>
        <r>
          <rPr>
            <sz val="9"/>
            <color indexed="81"/>
            <rFont val="Tahoma"/>
            <family val="2"/>
          </rPr>
          <t xml:space="preserve">
Assumed same as 'Sudan' from before split because South Sudan is landlocked.</t>
        </r>
      </text>
    </comment>
    <comment ref="B273" authorId="0">
      <text>
        <r>
          <rPr>
            <b/>
            <sz val="8"/>
            <color indexed="81"/>
            <rFont val="Tahoma"/>
            <family val="2"/>
          </rPr>
          <t>elizabethpaulukonis:</t>
        </r>
        <r>
          <rPr>
            <sz val="8"/>
            <color indexed="81"/>
            <rFont val="Tahoma"/>
            <family val="2"/>
          </rPr>
          <t xml:space="preserve">
Sum of data from Northwest Islands and Mainland
</t>
        </r>
      </text>
    </comment>
    <comment ref="B293" authorId="1">
      <text>
        <r>
          <rPr>
            <b/>
            <sz val="9"/>
            <color indexed="81"/>
            <rFont val="Tahoma"/>
            <family val="2"/>
          </rPr>
          <t>elias lazarus:</t>
        </r>
        <r>
          <rPr>
            <sz val="9"/>
            <color indexed="81"/>
            <rFont val="Tahoma"/>
            <family val="2"/>
          </rPr>
          <t xml:space="preserve">
Sudan (former) same values as Sudan (South Sudan is landlocked), here below 'World' to prevent double-counting in 'World' sum.</t>
        </r>
      </text>
    </comment>
  </commentList>
</comments>
</file>

<file path=xl/sharedStrings.xml><?xml version="1.0" encoding="utf-8"?>
<sst xmlns="http://schemas.openxmlformats.org/spreadsheetml/2006/main" count="27879" uniqueCount="8765">
  <si>
    <t>ef_crop</t>
  </si>
  <si>
    <t>[t d (t p)-1]</t>
  </si>
  <si>
    <t>market_feed_supply_n</t>
  </si>
  <si>
    <t>grass_supply_n</t>
  </si>
  <si>
    <t>yf_crop</t>
  </si>
  <si>
    <t>residue_supply_n</t>
  </si>
  <si>
    <t>Other citrus fruit</t>
  </si>
  <si>
    <t>Bananas including plantains ,fresh</t>
  </si>
  <si>
    <t>Apples, fresh</t>
  </si>
  <si>
    <t>Grapes,fresh</t>
  </si>
  <si>
    <t>4101_l</t>
  </si>
  <si>
    <t>Goatskins</t>
  </si>
  <si>
    <t>4103.10_d</t>
  </si>
  <si>
    <t>Hen eggs, in shell (Number)</t>
  </si>
  <si>
    <t>0208.90ad</t>
  </si>
  <si>
    <t>0205_a</t>
  </si>
  <si>
    <t>Meat of Mules</t>
  </si>
  <si>
    <t>0205_b</t>
  </si>
  <si>
    <t>Meat of Other Rod</t>
  </si>
  <si>
    <t>0208.90_a</t>
  </si>
  <si>
    <t>Meat Oth Camelids</t>
  </si>
  <si>
    <t>0208.90_b</t>
  </si>
  <si>
    <t>0206_g</t>
  </si>
  <si>
    <t>Other bird eggs,in shell (Number)</t>
  </si>
  <si>
    <t>Blue swimming crab</t>
  </si>
  <si>
    <t>Croakers, drums nei</t>
  </si>
  <si>
    <t>Daggertooth pike conger</t>
  </si>
  <si>
    <t>Paralomis formosa</t>
  </si>
  <si>
    <t>0102_a</t>
  </si>
  <si>
    <t>Atlantic sabretooth anchovy</t>
  </si>
  <si>
    <t>White grunt</t>
  </si>
  <si>
    <t>Haemulon plumierii</t>
  </si>
  <si>
    <t>White margate</t>
  </si>
  <si>
    <t>Haemulon album</t>
  </si>
  <si>
    <t>White mullet</t>
  </si>
  <si>
    <t>Mugil curema</t>
  </si>
  <si>
    <t>White teatfish</t>
  </si>
  <si>
    <t>Holothuria fuscogilva</t>
  </si>
  <si>
    <t>Whitespotted wedgefish</t>
  </si>
  <si>
    <t>Rhynchobatus australiae</t>
  </si>
  <si>
    <t>Barbodes balleroides</t>
  </si>
  <si>
    <t>Mystacoleucus padangensis</t>
  </si>
  <si>
    <t>Mystus nigriceps</t>
  </si>
  <si>
    <t>Pangasius djambal</t>
  </si>
  <si>
    <t>Puntioplites waandersi</t>
  </si>
  <si>
    <t>Greater weever</t>
  </si>
  <si>
    <t>Tulle,lace,embroidery,ribbons etc.</t>
  </si>
  <si>
    <t>Sawlogs+Veneer Logs (NC)</t>
  </si>
  <si>
    <t>Pulpwood+Particles(C)</t>
  </si>
  <si>
    <t>Pulpwood+Particles(NC)</t>
  </si>
  <si>
    <t>Printing+Writing Paper</t>
  </si>
  <si>
    <t>Astronotus spp</t>
  </si>
  <si>
    <t>Brown smooth-hound</t>
  </si>
  <si>
    <t>Cabezon</t>
  </si>
  <si>
    <t>Calico scallop</t>
  </si>
  <si>
    <t>California flounder</t>
  </si>
  <si>
    <t>California sheephead</t>
  </si>
  <si>
    <t>Canary rockfish</t>
  </si>
  <si>
    <t>Carragheen (Irish) moss</t>
  </si>
  <si>
    <t>Chilipepper rockfish</t>
  </si>
  <si>
    <t>Crangonid shrimps nei</t>
  </si>
  <si>
    <t>Cunner</t>
  </si>
  <si>
    <t>Curlfin sole</t>
  </si>
  <si>
    <t>Dover sole</t>
  </si>
  <si>
    <t>Dusky smooth-hound</t>
  </si>
  <si>
    <t>Menticirrhus saxatilis</t>
  </si>
  <si>
    <t>Menticirrhus spp</t>
  </si>
  <si>
    <t>Micropogonias furnieri</t>
  </si>
  <si>
    <t>Greater forkbeard</t>
  </si>
  <si>
    <t>1207.9ag</t>
  </si>
  <si>
    <t>Hides Dry Slt Nes</t>
  </si>
  <si>
    <t>Hides Nes</t>
  </si>
  <si>
    <t>Ponyfishes(=Slipmouths)</t>
  </si>
  <si>
    <t>Silver-stripe round herring</t>
  </si>
  <si>
    <t>Little tunny(=Atl.black skipj)</t>
  </si>
  <si>
    <t>Pargo breams nei</t>
  </si>
  <si>
    <t>Plain bonito</t>
  </si>
  <si>
    <t>Thaleichthys pacificus</t>
  </si>
  <si>
    <t>Thymallus thymallus</t>
  </si>
  <si>
    <t>Alosa aestivalis</t>
  </si>
  <si>
    <t>Alosa alosa</t>
  </si>
  <si>
    <t>Alosa fallax</t>
  </si>
  <si>
    <t>Alosa mediocris</t>
  </si>
  <si>
    <t>Rajiformes</t>
  </si>
  <si>
    <t>Rhinobatidae</t>
  </si>
  <si>
    <t>Rhinobatos percellens</t>
  </si>
  <si>
    <t>Natural rubber and similar natural gums</t>
  </si>
  <si>
    <t>Sheeps and lambs wool, greasy or fleece washe</t>
  </si>
  <si>
    <t>Sheeps and lambs wool, degreased</t>
  </si>
  <si>
    <t>Fine animal hair, ex.wool not carded or combe</t>
  </si>
  <si>
    <t>Vegetable textile fibres,nes and waste</t>
  </si>
  <si>
    <t>2006.00</t>
  </si>
  <si>
    <t>1104.30_b</t>
  </si>
  <si>
    <t>Germ of Wheat</t>
  </si>
  <si>
    <t>1104.30_a</t>
  </si>
  <si>
    <t>Giant gourami</t>
  </si>
  <si>
    <t>Distillate fuels</t>
  </si>
  <si>
    <t>Residual fuel oils</t>
  </si>
  <si>
    <t>Sawlogs and veneer logs  conifer</t>
  </si>
  <si>
    <t>Pomacanthus maculosus</t>
  </si>
  <si>
    <t>Pomadasys argenteus</t>
  </si>
  <si>
    <t>Preparations of Beef Meat</t>
  </si>
  <si>
    <t>Pulses, nes</t>
  </si>
  <si>
    <t>Commodity Group</t>
  </si>
  <si>
    <t>Anchovies</t>
  </si>
  <si>
    <t>Butter of Karite Nuts</t>
  </si>
  <si>
    <t>Butter,Ghee of Sheep Milk</t>
  </si>
  <si>
    <t>Plesiopenaeus edwardsianus</t>
  </si>
  <si>
    <t>Sclerocrangon spp</t>
  </si>
  <si>
    <t>Sergestidae</t>
  </si>
  <si>
    <t>Sicyonia brevirostris</t>
  </si>
  <si>
    <t>Sicyonia ingentis</t>
  </si>
  <si>
    <t>1518.00</t>
  </si>
  <si>
    <t>Crustaceans Fresh</t>
  </si>
  <si>
    <t>Demersl Marine Fish Frsh</t>
  </si>
  <si>
    <t>Pelagic Marine Fish Frsh</t>
  </si>
  <si>
    <t>FAO Category</t>
  </si>
  <si>
    <t>Feed Category</t>
  </si>
  <si>
    <t>Blackbellied angler</t>
  </si>
  <si>
    <t>Hakes nei</t>
  </si>
  <si>
    <t>African moonfish</t>
  </si>
  <si>
    <t>African sicklefish</t>
  </si>
  <si>
    <t>Atlantic emperor</t>
  </si>
  <si>
    <t>Blue shark</t>
  </si>
  <si>
    <t>Boe drum</t>
  </si>
  <si>
    <t>Bonefish</t>
  </si>
  <si>
    <t>Giant African threadfin</t>
  </si>
  <si>
    <t>Hammerhead sharks, etc. nei</t>
  </si>
  <si>
    <t>Lesser African threadfin</t>
  </si>
  <si>
    <t>Royal threadfin</t>
  </si>
  <si>
    <t>Shortfin mako</t>
  </si>
  <si>
    <t>Spadefishes nei</t>
  </si>
  <si>
    <t>West African ilisha</t>
  </si>
  <si>
    <t>West African ladyfish</t>
  </si>
  <si>
    <t>1212.99_d</t>
  </si>
  <si>
    <t>Lutjanus kasmira</t>
  </si>
  <si>
    <t>Lutjanus malabaricus</t>
  </si>
  <si>
    <t>Gerres nigri</t>
  </si>
  <si>
    <t>Gerres oblongus</t>
  </si>
  <si>
    <t>0203_a</t>
  </si>
  <si>
    <t>Cine. Cameras, projectors, sound recorders et</t>
  </si>
  <si>
    <t>Photographic &amp; cinematographic equipment nes</t>
  </si>
  <si>
    <t>Medical instruments, nes</t>
  </si>
  <si>
    <t>Meters and counters,non electric</t>
  </si>
  <si>
    <t>Blanks for tubes and pipes</t>
  </si>
  <si>
    <t>Wire rod of iron or steel</t>
  </si>
  <si>
    <t>Bars and rods of iron or steel, ex wire rod</t>
  </si>
  <si>
    <t>Cake of Hempseed</t>
  </si>
  <si>
    <t>2306.90_g</t>
  </si>
  <si>
    <t>Cake of Kapok</t>
  </si>
  <si>
    <t>2306.90_f</t>
  </si>
  <si>
    <t>Cake of Mustard</t>
  </si>
  <si>
    <t>Angles etc. Of iron or steel, less than 80 mm</t>
  </si>
  <si>
    <t>Universals etc. Of iron or steel, over 4.75 m</t>
  </si>
  <si>
    <t>Alcohols,phenols,phenol alcohols,glycerine</t>
  </si>
  <si>
    <t>Mesodesma donacium</t>
  </si>
  <si>
    <t>Mulinia spp</t>
  </si>
  <si>
    <t>Grass Feed Demand</t>
  </si>
  <si>
    <t>Midway deep-sea coral</t>
  </si>
  <si>
    <t>Pacific saury</t>
  </si>
  <si>
    <t>Panga seabream</t>
  </si>
  <si>
    <t>Pseudopentaceros spp</t>
  </si>
  <si>
    <t>Rock sole</t>
  </si>
  <si>
    <t>Shiro, white coral</t>
  </si>
  <si>
    <t>Tanner crabs nei</t>
  </si>
  <si>
    <t>Tarakihi</t>
  </si>
  <si>
    <t>Wellington flying squid</t>
  </si>
  <si>
    <t>Whip stingray</t>
  </si>
  <si>
    <t>White snake mackerel</t>
  </si>
  <si>
    <t>Yellowfin sole</t>
  </si>
  <si>
    <t>Opah</t>
  </si>
  <si>
    <t>Parrotfishes nei</t>
  </si>
  <si>
    <t>Pomfrets, ocean breams nei</t>
  </si>
  <si>
    <t>Squirrelfishes nei</t>
  </si>
  <si>
    <t>Surgeonfishes nei</t>
  </si>
  <si>
    <t>Portunus pelagicus</t>
  </si>
  <si>
    <t>Portunus spp</t>
  </si>
  <si>
    <t>Portunus trituberculatus</t>
  </si>
  <si>
    <t>Scylla serrata</t>
  </si>
  <si>
    <t>Callianassa spp</t>
  </si>
  <si>
    <t>Homarus americanus</t>
  </si>
  <si>
    <t>Meat Dried Nes</t>
  </si>
  <si>
    <t>Penaeus vannamei</t>
  </si>
  <si>
    <t>Pleoticus muelleri</t>
  </si>
  <si>
    <t>Pleoticus robustus</t>
  </si>
  <si>
    <t>Yellow snapper</t>
  </si>
  <si>
    <t>Indian mackerels nei</t>
  </si>
  <si>
    <t>Bearded brotula</t>
  </si>
  <si>
    <t>Madeiran sardinella</t>
  </si>
  <si>
    <t>Pleuronectiformes</t>
  </si>
  <si>
    <t>Pleuronichthys decurrens</t>
  </si>
  <si>
    <t>Psetta maxima</t>
  </si>
  <si>
    <t>Feed Name</t>
  </si>
  <si>
    <t>Market Feed</t>
  </si>
  <si>
    <t>Cropped Grass Feed</t>
  </si>
  <si>
    <t>Lemon sole</t>
  </si>
  <si>
    <t>Ling</t>
  </si>
  <si>
    <t>Picked dogfish</t>
  </si>
  <si>
    <t>Pollack</t>
  </si>
  <si>
    <t>Pouting(=Bib)</t>
  </si>
  <si>
    <t>Raja rays nei</t>
  </si>
  <si>
    <t>Red gurnard</t>
  </si>
  <si>
    <t>Cuttlefish, bobtail squids nei</t>
  </si>
  <si>
    <t>Darkblotched rockfish</t>
  </si>
  <si>
    <t>Sebastes crameri</t>
  </si>
  <si>
    <t>Dealfish</t>
  </si>
  <si>
    <t>Trachipterus arcticus</t>
  </si>
  <si>
    <t>Deep-sea red crab</t>
  </si>
  <si>
    <t>Chaceon affinis</t>
  </si>
  <si>
    <t>Dogtooth grouper</t>
  </si>
  <si>
    <t>Epinephelus caninus</t>
  </si>
  <si>
    <t>European barracuda</t>
  </si>
  <si>
    <t>Sphyraena sphyraena</t>
  </si>
  <si>
    <t>Auxis thazard, A. rochei</t>
  </si>
  <si>
    <t>Giant red shrimp</t>
  </si>
  <si>
    <t>Aristaeomorpha foliacea</t>
  </si>
  <si>
    <t>Giant stone crab</t>
  </si>
  <si>
    <t>Homalaspis plana</t>
  </si>
  <si>
    <t>Goldsinny-wrasse</t>
  </si>
  <si>
    <t>Ilisha africana</t>
  </si>
  <si>
    <t>Ilisha elongata</t>
  </si>
  <si>
    <t>Australian crayfish</t>
  </si>
  <si>
    <t>Black and Caspian Sea sprat</t>
  </si>
  <si>
    <t>Caspian shads</t>
  </si>
  <si>
    <t>Kutum</t>
  </si>
  <si>
    <t>Potatoes, fresh, not including sweet potatoes</t>
  </si>
  <si>
    <t>Beans,peas,lentils &amp; leguminous vegetab.,drie</t>
  </si>
  <si>
    <t>Tomatoes, fresh</t>
  </si>
  <si>
    <t>Clocks, clock movements and parts</t>
  </si>
  <si>
    <t>Phonographs, tape &amp; other sound recorders etc</t>
  </si>
  <si>
    <t>Comet grouper</t>
  </si>
  <si>
    <t>Common bluestripe snapper</t>
  </si>
  <si>
    <t>Common silver-biddy</t>
  </si>
  <si>
    <t>Coral hind</t>
  </si>
  <si>
    <t>Doublespotted queenfish</t>
  </si>
  <si>
    <t>Five-lined snapper</t>
  </si>
  <si>
    <t>Sillago sihama</t>
  </si>
  <si>
    <t>Sparidae</t>
  </si>
  <si>
    <t>Sparidentex hasta</t>
  </si>
  <si>
    <t>Sparisoma cretense</t>
  </si>
  <si>
    <t>Sparus aurata</t>
  </si>
  <si>
    <t>Sphoeroides maculatus</t>
  </si>
  <si>
    <t>Lycengraulis grossidens</t>
  </si>
  <si>
    <t>Chelidonichthys kumu</t>
  </si>
  <si>
    <t>Red sea squirt</t>
  </si>
  <si>
    <t>Skottsberg's gigartina</t>
  </si>
  <si>
    <t>Snake eels nei</t>
  </si>
  <si>
    <t>Seriolella caerulea</t>
  </si>
  <si>
    <t>Seriolella porosa</t>
  </si>
  <si>
    <t>Seriolella punctata</t>
  </si>
  <si>
    <t>Benthosema pterotum</t>
  </si>
  <si>
    <t>Beryx spp</t>
  </si>
  <si>
    <t>Branchiostegidae</t>
  </si>
  <si>
    <t>Brotula barbata</t>
  </si>
  <si>
    <t>Caproidae</t>
  </si>
  <si>
    <t>Milk Whole Evp</t>
  </si>
  <si>
    <t>Mixes and Doughs</t>
  </si>
  <si>
    <t>1901.20</t>
  </si>
  <si>
    <t>1703_a</t>
  </si>
  <si>
    <t>Oats Rolled</t>
  </si>
  <si>
    <t>1104.12</t>
  </si>
  <si>
    <t>Linseed</t>
  </si>
  <si>
    <t>Linseed oil</t>
  </si>
  <si>
    <t>Blacktip grouper</t>
  </si>
  <si>
    <t>Tristan da Cunha rock lobster</t>
  </si>
  <si>
    <t>White-clawed crayfish</t>
  </si>
  <si>
    <t>0802.32</t>
  </si>
  <si>
    <t>Waters,Ice Etc</t>
  </si>
  <si>
    <t>2201_a</t>
  </si>
  <si>
    <t>Waxes Vegetable</t>
  </si>
  <si>
    <t>1521.10</t>
  </si>
  <si>
    <t>Whey Cheese</t>
  </si>
  <si>
    <t>Whey Dry</t>
  </si>
  <si>
    <t>Wool Degreased</t>
  </si>
  <si>
    <t>5101.2</t>
  </si>
  <si>
    <t>Wool Shoddy</t>
  </si>
  <si>
    <t>Cereal Preparations, Nes</t>
  </si>
  <si>
    <t>Tilefishes nei</t>
  </si>
  <si>
    <t>Triangular tivela</t>
  </si>
  <si>
    <t>Weakfishes nei</t>
  </si>
  <si>
    <t>Yellowtail snapper</t>
  </si>
  <si>
    <t>Iron &amp; steel wire</t>
  </si>
  <si>
    <t>Tubes and pipes of cast iron</t>
  </si>
  <si>
    <t>Population-Estimates</t>
  </si>
  <si>
    <t>Sardines, sardinellas, brisling or sprats, fresh or chilled</t>
  </si>
  <si>
    <t>Martialia hyadesi</t>
  </si>
  <si>
    <t>Fruit Dried Nes</t>
  </si>
  <si>
    <t>0813.40_b</t>
  </si>
  <si>
    <t>Fruit Fresh Nes</t>
  </si>
  <si>
    <t>0810.90_d</t>
  </si>
  <si>
    <t>Muraenesox cinereus</t>
  </si>
  <si>
    <t>Perna viridis</t>
  </si>
  <si>
    <t>Aequipecten opercularis</t>
  </si>
  <si>
    <t>Argopecten gibbus</t>
  </si>
  <si>
    <t>Argopecten irradians</t>
  </si>
  <si>
    <t>Hides Nes Cattle</t>
  </si>
  <si>
    <t>Hides Wet Salted Cattle</t>
  </si>
  <si>
    <t>Hides Wet Salted Horses</t>
  </si>
  <si>
    <t>Hides Wet Salted Nes</t>
  </si>
  <si>
    <t>1207.10aa</t>
  </si>
  <si>
    <t>Palm oil</t>
  </si>
  <si>
    <t>Cromileptes altivelis</t>
  </si>
  <si>
    <t>Humphead wrasse</t>
  </si>
  <si>
    <t>Cheilinus undulatus</t>
  </si>
  <si>
    <t>Jobfishes nei</t>
  </si>
  <si>
    <t>Pristipomoides spp</t>
  </si>
  <si>
    <t>Leopard coralgrouper</t>
  </si>
  <si>
    <t>Plectropomus leopardus</t>
  </si>
  <si>
    <t>Pickhandle barracuda</t>
  </si>
  <si>
    <t>Blueback shad</t>
  </si>
  <si>
    <t>Parapenaeopsis atlantica</t>
  </si>
  <si>
    <t>Ictalurus punctatus</t>
  </si>
  <si>
    <t>Ictalurus spp</t>
  </si>
  <si>
    <t>Kryptopterus spp</t>
  </si>
  <si>
    <t>Lates niloticus</t>
  </si>
  <si>
    <t>Lates spp</t>
  </si>
  <si>
    <t>Lota lota</t>
  </si>
  <si>
    <t>Micropterus salmoides</t>
  </si>
  <si>
    <t>Optical glass &amp; elements thereof</t>
  </si>
  <si>
    <t>Drawn or blown glass, unworked, in rectangles</t>
  </si>
  <si>
    <t>Glass in rectangles surface ground or polishe</t>
  </si>
  <si>
    <t>Beer of Sorghum</t>
  </si>
  <si>
    <t>2206.00_f</t>
  </si>
  <si>
    <t>Brazil nuts, with shell</t>
  </si>
  <si>
    <t>0801.21</t>
  </si>
  <si>
    <t>Tetrapturus angustirostris</t>
  </si>
  <si>
    <t>Tetrapturus audax</t>
  </si>
  <si>
    <t>Cotton fabrics, woven, grey, not mercerized</t>
  </si>
  <si>
    <t>Cotton fabrics, woven, other than grey</t>
  </si>
  <si>
    <t>Silk fabrics, woven</t>
  </si>
  <si>
    <t>Daggerhead breams nei</t>
  </si>
  <si>
    <t>Dusky shark</t>
  </si>
  <si>
    <t>Mud sole</t>
  </si>
  <si>
    <t>Natal spiny lobster</t>
  </si>
  <si>
    <t>Peruvian calico scallop</t>
  </si>
  <si>
    <t>Nototheniops nybelini</t>
  </si>
  <si>
    <t>American yellow cockle</t>
  </si>
  <si>
    <t>Trachycardium muricatum</t>
  </si>
  <si>
    <t>Annular seabream</t>
  </si>
  <si>
    <t>Diplodus annularis</t>
  </si>
  <si>
    <t>Atlantic sharpnose shark</t>
  </si>
  <si>
    <t>Rhizoprionodon terraenovae</t>
  </si>
  <si>
    <t>Banded carpet shell</t>
  </si>
  <si>
    <t>Venerupis rhomboides</t>
  </si>
  <si>
    <t>Barrelfish</t>
  </si>
  <si>
    <t>Hyperoglyphe perciformis</t>
  </si>
  <si>
    <t>Bigfin reef squid</t>
  </si>
  <si>
    <t>Sepioteuthis lessoniana</t>
  </si>
  <si>
    <t>Black musselcracker</t>
  </si>
  <si>
    <t>Mechanical wood pulp</t>
  </si>
  <si>
    <t>Pulp other than wood pulp</t>
  </si>
  <si>
    <t>Scomberoides lysan</t>
  </si>
  <si>
    <t>Scomberoides spp</t>
  </si>
  <si>
    <t>Scomberoides tol</t>
  </si>
  <si>
    <t>Scombridae</t>
  </si>
  <si>
    <t>Groundnuts in shell</t>
  </si>
  <si>
    <t>Skins Nes Sheep</t>
  </si>
  <si>
    <t>Skins of Rabbits</t>
  </si>
  <si>
    <t>Skins Wet Salted Calves</t>
  </si>
  <si>
    <t>Skins Wet Salted Goats</t>
  </si>
  <si>
    <t>Skins With Wool Sheep</t>
  </si>
  <si>
    <t>4102.10</t>
  </si>
  <si>
    <t>Chemical products and preparations,nes</t>
  </si>
  <si>
    <t>Reconstituted and artificial leather</t>
  </si>
  <si>
    <t>Calf leather</t>
  </si>
  <si>
    <t>Jute &amp; waste</t>
  </si>
  <si>
    <t>Black-streaked monocle bream</t>
  </si>
  <si>
    <t>Lignite briquettes and lignite</t>
  </si>
  <si>
    <t>Peat briquettes &amp; peat</t>
  </si>
  <si>
    <t>African lungfishes</t>
  </si>
  <si>
    <t>Bonga shad</t>
  </si>
  <si>
    <t>Common mora</t>
  </si>
  <si>
    <t>Cuckoo ray</t>
  </si>
  <si>
    <t>Delta prawn</t>
  </si>
  <si>
    <t>Dusky grouper</t>
  </si>
  <si>
    <t>Haliotis tuberculata</t>
  </si>
  <si>
    <t>Littorina littorea</t>
  </si>
  <si>
    <t>Littorina spp</t>
  </si>
  <si>
    <t>Murex spp</t>
  </si>
  <si>
    <t>Rapana spp</t>
  </si>
  <si>
    <t>Strombus spp</t>
  </si>
  <si>
    <t>Maize (corn),unmilled</t>
  </si>
  <si>
    <t>Rye,unmilled</t>
  </si>
  <si>
    <t>Scomber spp</t>
  </si>
  <si>
    <t>Trochus niloticus</t>
  </si>
  <si>
    <t>Common European bittersweet</t>
  </si>
  <si>
    <t>Glycymeris glycymeris</t>
  </si>
  <si>
    <t>Common two-banded seabream</t>
  </si>
  <si>
    <t>Chemical wood pulp, dissolving grades</t>
  </si>
  <si>
    <t>Sulphate wood pulp</t>
  </si>
  <si>
    <t>Sulphite wood pulp</t>
  </si>
  <si>
    <t>Chelidonichthys lastoviza</t>
  </si>
  <si>
    <t>Chelidonichthys lucerna</t>
  </si>
  <si>
    <t>Chionodraco hamatus</t>
  </si>
  <si>
    <t>Chionodraco rastrospinosus</t>
  </si>
  <si>
    <t>Conger conger</t>
  </si>
  <si>
    <t>Conger myriaster</t>
  </si>
  <si>
    <t>Conger oceanicus</t>
  </si>
  <si>
    <t>Conger orbignyanus</t>
  </si>
  <si>
    <t>Congridae</t>
  </si>
  <si>
    <t>Devil fish</t>
  </si>
  <si>
    <t>Cotton yarn &amp; thread, bleached, dyed, mercerd</t>
  </si>
  <si>
    <t>Yarn and thread of flax, ramie and true hemp</t>
  </si>
  <si>
    <t>Ghee,Butteroil of Cow Milk</t>
  </si>
  <si>
    <t>Glucose and Dextrose</t>
  </si>
  <si>
    <t>1702.30_a</t>
  </si>
  <si>
    <t>Gluten Feed&amp;Meal</t>
  </si>
  <si>
    <t>2303.10</t>
  </si>
  <si>
    <t>Goats</t>
  </si>
  <si>
    <t>0104.20</t>
  </si>
  <si>
    <t>Grape Juice</t>
  </si>
  <si>
    <t>GLC</t>
  </si>
  <si>
    <t>Grasses nes for forage and silage</t>
  </si>
  <si>
    <t>1214.90_s</t>
  </si>
  <si>
    <t>Vermouths&amp;Similar</t>
  </si>
  <si>
    <t>P</t>
  </si>
  <si>
    <t>Sugar Cane</t>
  </si>
  <si>
    <t>Argentina silus</t>
  </si>
  <si>
    <t>Elongate ilisha</t>
  </si>
  <si>
    <t>Japanese anchovy</t>
  </si>
  <si>
    <t>Thynnichthys vaillanti</t>
  </si>
  <si>
    <t>Atractosteus spp</t>
  </si>
  <si>
    <t>Chirostoma spp</t>
  </si>
  <si>
    <t>Dorosoma spp</t>
  </si>
  <si>
    <t>Asian bonytongue</t>
  </si>
  <si>
    <t>Scleropages formosus</t>
  </si>
  <si>
    <t>Beardless barb</t>
  </si>
  <si>
    <t>Cyclocheilichthys apogon</t>
  </si>
  <si>
    <t>Bichique</t>
  </si>
  <si>
    <t>Chinese longsnout catfish</t>
  </si>
  <si>
    <t>Chinese mystery snail</t>
  </si>
  <si>
    <t>Cichlasoma nei</t>
  </si>
  <si>
    <t>Clearhead icefish</t>
  </si>
  <si>
    <t>Constricted tagelus</t>
  </si>
  <si>
    <t>Cortez oyster</t>
  </si>
  <si>
    <t>Crimson seabream</t>
  </si>
  <si>
    <t>Other FIsh</t>
  </si>
  <si>
    <t>Crocus giant clam</t>
  </si>
  <si>
    <t>Danube crayfish</t>
  </si>
  <si>
    <t>Dorada</t>
  </si>
  <si>
    <t>Drums nei</t>
  </si>
  <si>
    <t>Duckbill catfish</t>
  </si>
  <si>
    <t>Eastern king prawn</t>
  </si>
  <si>
    <t>Eastern pomfred</t>
  </si>
  <si>
    <t>Eastern school shrimp</t>
  </si>
  <si>
    <t>Elkhorn sea moss</t>
  </si>
  <si>
    <t>Elongate giant clam</t>
  </si>
  <si>
    <t>Flat and cupped oysters nei</t>
  </si>
  <si>
    <t>Flat oysters nei</t>
  </si>
  <si>
    <t>Fluted giant clam</t>
  </si>
  <si>
    <t>Fragile codium</t>
  </si>
  <si>
    <t>Gasar cupped oyster</t>
  </si>
  <si>
    <t>Giant clam</t>
  </si>
  <si>
    <t>Globose clam</t>
  </si>
  <si>
    <t>Lutjanus cyanopterus</t>
  </si>
  <si>
    <t>Globicephala melas</t>
  </si>
  <si>
    <t>[GWh]</t>
  </si>
  <si>
    <r>
      <t>[Mt GWh</t>
    </r>
    <r>
      <rPr>
        <vertAlign val="superscript"/>
        <sz val="10"/>
        <color indexed="22"/>
        <rFont val="Arial"/>
        <family val="2"/>
      </rPr>
      <t>-1</t>
    </r>
    <r>
      <rPr>
        <sz val="10"/>
        <color indexed="22"/>
        <rFont val="Arial"/>
        <family val="2"/>
      </rPr>
      <t>]</t>
    </r>
  </si>
  <si>
    <t>Footprint</t>
  </si>
  <si>
    <t>Emissions</t>
  </si>
  <si>
    <t>Energy</t>
  </si>
  <si>
    <t>CO2 Energy Intensity</t>
  </si>
  <si>
    <t>Carbon Intensity</t>
  </si>
  <si>
    <t>Total Emissions</t>
  </si>
  <si>
    <t>[GJ]</t>
  </si>
  <si>
    <t>[Mt CO2 / GJ]</t>
  </si>
  <si>
    <t>carbon_intensity_n</t>
  </si>
  <si>
    <t xml:space="preserve"> </t>
  </si>
  <si>
    <t>Ecological Footprint Atlas 2010</t>
  </si>
  <si>
    <t xml:space="preserve">Please direct any questions or comments to data@footprintnetwork.org </t>
  </si>
  <si>
    <t>Pig iron, including cast iron</t>
  </si>
  <si>
    <t>Iron and steel powders,shot and sponge</t>
  </si>
  <si>
    <t>Ferro manganese</t>
  </si>
  <si>
    <t>Other ferro alloys</t>
  </si>
  <si>
    <t>Puddled bars &amp; pilings &amp; sim.forms of iron/st</t>
  </si>
  <si>
    <t>Ingots of iron or steel</t>
  </si>
  <si>
    <t>Blooms, billets, slabs, etc. Of iron or steel</t>
  </si>
  <si>
    <t>Iron or steel coils for re rolling</t>
  </si>
  <si>
    <t>Shortspine African angler</t>
  </si>
  <si>
    <t>Ark clams nei</t>
  </si>
  <si>
    <t>0207.1_a</t>
  </si>
  <si>
    <t>Oil seed cake &amp; meal &amp; other veg. Oil residue</t>
  </si>
  <si>
    <t>0713.90ae</t>
  </si>
  <si>
    <t>Pumpkins, squash and gourds</t>
  </si>
  <si>
    <t>0709.90_b</t>
  </si>
  <si>
    <t>Quinces</t>
  </si>
  <si>
    <t>Red mullet</t>
  </si>
  <si>
    <t>Rocklings nei</t>
  </si>
  <si>
    <t>Ruffs, barrelfishes nei</t>
  </si>
  <si>
    <t>Sablefish</t>
  </si>
  <si>
    <t>Macrochirichthys macrochirus</t>
  </si>
  <si>
    <t>Clupeonella spp</t>
  </si>
  <si>
    <t>Ammoniacal gas liquors produced in gas purifi</t>
  </si>
  <si>
    <t>Oils &amp; other prod.of the  distillation/coal t</t>
  </si>
  <si>
    <t>Synthetic organic dyestuffs</t>
  </si>
  <si>
    <t>Arapaima</t>
  </si>
  <si>
    <t>Velvety cichlids</t>
  </si>
  <si>
    <t>Cotton seed oil</t>
  </si>
  <si>
    <t>Groundnut /peanut/ oil</t>
  </si>
  <si>
    <t>Olive oil</t>
  </si>
  <si>
    <t>Sunflower seed oil</t>
  </si>
  <si>
    <t>Rape,colza and mustard oils</t>
  </si>
  <si>
    <t>Coconut copra oil</t>
  </si>
  <si>
    <t>Castor oil</t>
  </si>
  <si>
    <t>Residue Feed Ratio</t>
  </si>
  <si>
    <t>Apparatus for electrical circuits</t>
  </si>
  <si>
    <t>Insulated wire and cable</t>
  </si>
  <si>
    <t>Electrical insulating equipment</t>
  </si>
  <si>
    <t>Japanese pilchard</t>
  </si>
  <si>
    <t>Mi-iuy (brown) croaker</t>
  </si>
  <si>
    <t>Oreo dories nei</t>
  </si>
  <si>
    <t>Pacific sandlance</t>
  </si>
  <si>
    <t>Pelagic armourhead</t>
  </si>
  <si>
    <t>Leather of other bovine cattle &amp; equine leath</t>
  </si>
  <si>
    <t>Metapenaeus joyneri</t>
  </si>
  <si>
    <t>HS Code</t>
  </si>
  <si>
    <t>2306.40</t>
  </si>
  <si>
    <t>5202.00</t>
  </si>
  <si>
    <t>4001.20</t>
  </si>
  <si>
    <t>Building and monumental stone,worked</t>
  </si>
  <si>
    <t>Mycteroperca phenax</t>
  </si>
  <si>
    <t>Muraenidae</t>
  </si>
  <si>
    <t>Mycteroperca bonaci</t>
  </si>
  <si>
    <t>Mycteroperca microlepis</t>
  </si>
  <si>
    <t>0810.90ac</t>
  </si>
  <si>
    <t>Strawberries</t>
  </si>
  <si>
    <t>0810.10</t>
  </si>
  <si>
    <t>String beans</t>
  </si>
  <si>
    <t>Ameiurus nebulosus</t>
  </si>
  <si>
    <t>Anabas testudineus</t>
  </si>
  <si>
    <t>Serranidae</t>
  </si>
  <si>
    <t>0709.70</t>
  </si>
  <si>
    <t>Florida pompano</t>
  </si>
  <si>
    <t>Mangrove red snapper</t>
  </si>
  <si>
    <t>Sobaity seabream</t>
  </si>
  <si>
    <t>Morone saxatilis</t>
  </si>
  <si>
    <t>Petromyzon marinus</t>
  </si>
  <si>
    <t>Petromyzontidae</t>
  </si>
  <si>
    <t>0106.90_f</t>
  </si>
  <si>
    <t>0101_b</t>
  </si>
  <si>
    <t>0210.1_a</t>
  </si>
  <si>
    <t>0405.10_a</t>
  </si>
  <si>
    <t>1502.00ab</t>
  </si>
  <si>
    <t>0406_d</t>
  </si>
  <si>
    <t>0406_c</t>
  </si>
  <si>
    <t>0714.90_ba</t>
  </si>
  <si>
    <t>Poppy Oil</t>
  </si>
  <si>
    <t>1515.90_c</t>
  </si>
  <si>
    <t>[-]</t>
  </si>
  <si>
    <t>Boreogadus saida</t>
  </si>
  <si>
    <t>Other Conc, Nes</t>
  </si>
  <si>
    <t>2309.90_h</t>
  </si>
  <si>
    <t>Other Fructose and Syrup</t>
  </si>
  <si>
    <t>Protrachypene precipua</t>
  </si>
  <si>
    <t>Transparent goby</t>
  </si>
  <si>
    <t>Aphia minuta</t>
  </si>
  <si>
    <t>Tsivakihini paste shrimp</t>
  </si>
  <si>
    <t>Acetes erythraeus</t>
  </si>
  <si>
    <t>Vadigo</t>
  </si>
  <si>
    <t>Campogramma glaycos</t>
  </si>
  <si>
    <t>Velvet swimcrab</t>
  </si>
  <si>
    <t>Necora puber</t>
  </si>
  <si>
    <t>Megabalanus psittacus</t>
  </si>
  <si>
    <t>Mitella pollicipes</t>
  </si>
  <si>
    <t>Squilla mantis</t>
  </si>
  <si>
    <t>Squillidae</t>
  </si>
  <si>
    <t>Stomatopoda</t>
  </si>
  <si>
    <t>Domestic stoves, boilers, cookers, etc. Nes</t>
  </si>
  <si>
    <t>5303aa</t>
  </si>
  <si>
    <t>Kiwi fruit</t>
  </si>
  <si>
    <t>0810.50</t>
  </si>
  <si>
    <t>Kolanuts</t>
  </si>
  <si>
    <t>0802.90aa</t>
  </si>
  <si>
    <t>0703.90</t>
  </si>
  <si>
    <t>Lemons and limes</t>
  </si>
  <si>
    <t>Lentils</t>
  </si>
  <si>
    <t>0713.40</t>
  </si>
  <si>
    <t>Lettuce and chicory</t>
  </si>
  <si>
    <t>Zoarces viviparus</t>
  </si>
  <si>
    <t>Sphyraena obtusata</t>
  </si>
  <si>
    <t>Sphyraena spp</t>
  </si>
  <si>
    <t>Stromateidae</t>
  </si>
  <si>
    <t>Stromateus fiatola</t>
  </si>
  <si>
    <t>Trachinotus blochii</t>
  </si>
  <si>
    <t>Citrus juice, single strength</t>
  </si>
  <si>
    <t>Cranberries</t>
  </si>
  <si>
    <t>Flour of Cereals</t>
  </si>
  <si>
    <t>Flour of Pulses</t>
  </si>
  <si>
    <t>1106.10</t>
  </si>
  <si>
    <t>Flour of Roots and Tubers</t>
  </si>
  <si>
    <t>1106.20_a</t>
  </si>
  <si>
    <t>Suckerfishes, remoras nei</t>
  </si>
  <si>
    <t>Roughsnout grenadier</t>
  </si>
  <si>
    <t>Pacific sleeper shark</t>
  </si>
  <si>
    <t>Parore</t>
  </si>
  <si>
    <t>Wool;Hair Waste</t>
  </si>
  <si>
    <t>Yoghurt</t>
  </si>
  <si>
    <t>Above-ground NPP %</t>
  </si>
  <si>
    <t>Edible % of above-ground NPP</t>
  </si>
  <si>
    <t>Intensity</t>
  </si>
  <si>
    <t>soymeal</t>
  </si>
  <si>
    <t>rapemeal</t>
  </si>
  <si>
    <t>sunmeal</t>
  </si>
  <si>
    <r>
      <t>[wha ha</t>
    </r>
    <r>
      <rPr>
        <vertAlign val="superscript"/>
        <sz val="10"/>
        <color indexed="22"/>
        <rFont val="Arial"/>
        <family val="2"/>
      </rPr>
      <t>-1</t>
    </r>
    <r>
      <rPr>
        <sz val="10"/>
        <color indexed="22"/>
        <rFont val="Arial"/>
        <family val="2"/>
      </rPr>
      <t>]</t>
    </r>
  </si>
  <si>
    <r>
      <t>[t ha</t>
    </r>
    <r>
      <rPr>
        <vertAlign val="superscript"/>
        <sz val="10"/>
        <color indexed="22"/>
        <rFont val="Arial"/>
        <family val="2"/>
      </rPr>
      <t>-1</t>
    </r>
    <r>
      <rPr>
        <sz val="10"/>
        <color indexed="22"/>
        <rFont val="Arial"/>
        <family val="2"/>
      </rPr>
      <t>]</t>
    </r>
  </si>
  <si>
    <t>Equivalence Factor</t>
  </si>
  <si>
    <r>
      <t>[gha ha</t>
    </r>
    <r>
      <rPr>
        <vertAlign val="superscript"/>
        <sz val="10"/>
        <color indexed="22"/>
        <rFont val="Arial"/>
        <family val="2"/>
      </rPr>
      <t>-1</t>
    </r>
    <r>
      <rPr>
        <sz val="10"/>
        <color indexed="22"/>
        <rFont val="Arial"/>
        <family val="2"/>
      </rPr>
      <t>]</t>
    </r>
  </si>
  <si>
    <r>
      <t>[t ha</t>
    </r>
    <r>
      <rPr>
        <vertAlign val="superscript"/>
        <sz val="10"/>
        <color indexed="23"/>
        <rFont val="Arial"/>
        <family val="2"/>
      </rPr>
      <t>-1</t>
    </r>
    <r>
      <rPr>
        <sz val="10"/>
        <color indexed="23"/>
        <rFont val="Arial"/>
        <family val="2"/>
      </rPr>
      <t xml:space="preserve"> yr</t>
    </r>
    <r>
      <rPr>
        <vertAlign val="superscript"/>
        <sz val="10"/>
        <color indexed="23"/>
        <rFont val="Arial"/>
        <family val="2"/>
      </rPr>
      <t>-1</t>
    </r>
    <r>
      <rPr>
        <sz val="10"/>
        <color indexed="23"/>
        <rFont val="Arial"/>
        <family val="2"/>
      </rPr>
      <t>]</t>
    </r>
  </si>
  <si>
    <t>Other Sources</t>
  </si>
  <si>
    <t>Macrourus whitsoni</t>
  </si>
  <si>
    <t>Macruronus magellanicus</t>
  </si>
  <si>
    <t>Macruronus novaezelandiae</t>
  </si>
  <si>
    <t>Melanogrammus aeglefinus</t>
  </si>
  <si>
    <t>Coffee,green or roasted</t>
  </si>
  <si>
    <t>Chilean sea urchin</t>
  </si>
  <si>
    <t>Agricultural machinery and appliances, nes</t>
  </si>
  <si>
    <t>Typewriters and cheque writing machines</t>
  </si>
  <si>
    <t>Calculating &amp; accounting machines etc</t>
  </si>
  <si>
    <t>Statistical machines cards or tapes</t>
  </si>
  <si>
    <t>Office machines, nes</t>
  </si>
  <si>
    <t>Seriolina nigrofasciata</t>
  </si>
  <si>
    <t>Channa striata</t>
  </si>
  <si>
    <t>Characidae</t>
  </si>
  <si>
    <t>electricity_trade</t>
  </si>
  <si>
    <t>Bambara beans</t>
  </si>
  <si>
    <t>0713.90ad</t>
  </si>
  <si>
    <t>Bananas</t>
  </si>
  <si>
    <t>Barley</t>
  </si>
  <si>
    <t>Crevalle jack</t>
  </si>
  <si>
    <t>Mojarras(=Silver-biddies) nei</t>
  </si>
  <si>
    <t>Oil Hydrogenated</t>
  </si>
  <si>
    <t>Oil of vegetable origin, nes</t>
  </si>
  <si>
    <t>Oils,Fats of Animal Nes</t>
  </si>
  <si>
    <t>Oilseeds, Nes</t>
  </si>
  <si>
    <t>Olive Residues</t>
  </si>
  <si>
    <t>Machine tools for working metals</t>
  </si>
  <si>
    <t>Other metalworking machinery</t>
  </si>
  <si>
    <t>Textile machinery</t>
  </si>
  <si>
    <t>Machinery ex.sewing mach. For working hides e</t>
  </si>
  <si>
    <t>Sewing machines</t>
  </si>
  <si>
    <t>Paper mill and pulp mill machinery, etc.</t>
  </si>
  <si>
    <t>Glossanodon semifasciatus</t>
  </si>
  <si>
    <t>Helicolenus dactylopterus</t>
  </si>
  <si>
    <t>Hoplostethus atlanticus</t>
  </si>
  <si>
    <t>Hyperoglyphe antarctica</t>
  </si>
  <si>
    <t>Hyperoglyphe bythites</t>
  </si>
  <si>
    <t>Kathetostoma giganteum</t>
  </si>
  <si>
    <t>Lampanyctodes hectoris</t>
  </si>
  <si>
    <t>WRI</t>
  </si>
  <si>
    <t>Continental shelf area</t>
  </si>
  <si>
    <t>Fish, salted, dried or smoked</t>
  </si>
  <si>
    <t>Piaractus brachypomus</t>
  </si>
  <si>
    <t>Prochilodus reticulatus</t>
  </si>
  <si>
    <t>Prochilodus spp</t>
  </si>
  <si>
    <t>Protopterus spp</t>
  </si>
  <si>
    <t>Other office and stationery supplies</t>
  </si>
  <si>
    <t>Brama brama</t>
  </si>
  <si>
    <t>Bramidae</t>
  </si>
  <si>
    <t>Carangidae</t>
  </si>
  <si>
    <t>Carangoides bajad</t>
  </si>
  <si>
    <t>Carangoides fulvoguttatus</t>
  </si>
  <si>
    <t>Aethaloperca rogaa</t>
  </si>
  <si>
    <t>Agonostomus monticola</t>
  </si>
  <si>
    <t>Albula vulpes</t>
  </si>
  <si>
    <t>Ambassidae</t>
  </si>
  <si>
    <t>Ammodytes personatus</t>
  </si>
  <si>
    <t>Ammodytes spp</t>
  </si>
  <si>
    <t>Aphareus rutilans</t>
  </si>
  <si>
    <t>Apogonidae</t>
  </si>
  <si>
    <t>Reconsti.Ted Milk</t>
  </si>
  <si>
    <t>Rice Milled</t>
  </si>
  <si>
    <t>Roots and Tubers Dried</t>
  </si>
  <si>
    <t>Roots and Tubers, nes</t>
  </si>
  <si>
    <t>Sheepskins</t>
  </si>
  <si>
    <t>Sisal</t>
  </si>
  <si>
    <t>Soya Curd</t>
  </si>
  <si>
    <t>Soya Paste</t>
  </si>
  <si>
    <t>Spices, nes</t>
  </si>
  <si>
    <t>Stone fruit, nes</t>
  </si>
  <si>
    <t>Sugar crops, nes</t>
  </si>
  <si>
    <t>Sugar Raw Centrifugal</t>
  </si>
  <si>
    <t>Sugar Refined</t>
  </si>
  <si>
    <t>Blue tilapia</t>
  </si>
  <si>
    <t>Fish in Livestock</t>
  </si>
  <si>
    <t>0207.3ab</t>
  </si>
  <si>
    <t>0207.3bb</t>
  </si>
  <si>
    <t>0206aa</t>
  </si>
  <si>
    <t>0206_e</t>
  </si>
  <si>
    <t>0206_c</t>
  </si>
  <si>
    <t>0206_d</t>
  </si>
  <si>
    <t>0209.00ab</t>
  </si>
  <si>
    <t>0106.90_b</t>
  </si>
  <si>
    <t>0203_b</t>
  </si>
  <si>
    <t>1602.4_a</t>
  </si>
  <si>
    <t>0406ad</t>
  </si>
  <si>
    <t>1522.00_b</t>
  </si>
  <si>
    <t>1601.00_b</t>
  </si>
  <si>
    <t>1601.00_a</t>
  </si>
  <si>
    <t>4103.90_b</t>
  </si>
  <si>
    <t>4102.2_c</t>
  </si>
  <si>
    <t>4101_e</t>
  </si>
  <si>
    <t>4103.10_a</t>
  </si>
  <si>
    <t>4101_f</t>
  </si>
  <si>
    <t>Sky emperor</t>
  </si>
  <si>
    <t>Slender silver-biddy</t>
  </si>
  <si>
    <t>Snubnose emperor</t>
  </si>
  <si>
    <t>Sohal surgeonfish</t>
  </si>
  <si>
    <t>Gnathanodon speciosus</t>
  </si>
  <si>
    <t>Hemiramphus brasiliensis</t>
  </si>
  <si>
    <t>Phyllophora nei</t>
  </si>
  <si>
    <t>Rudderfish</t>
  </si>
  <si>
    <t>Sandpaper fish</t>
  </si>
  <si>
    <t>Smooth oreo dory</t>
  </si>
  <si>
    <t>Spiky oreo</t>
  </si>
  <si>
    <t>Striped rockcod</t>
  </si>
  <si>
    <t>Striped-eyed rockcod</t>
  </si>
  <si>
    <t>Centroscyllium fabricii</t>
  </si>
  <si>
    <t>Centroscymnus coelolepis</t>
  </si>
  <si>
    <t>Centroscymnus crepidater</t>
  </si>
  <si>
    <t>Cetorhinus maximus</t>
  </si>
  <si>
    <t>Chimaera monstrosa</t>
  </si>
  <si>
    <t>0910.9aa</t>
  </si>
  <si>
    <t>Deep-sea smelt</t>
  </si>
  <si>
    <t>Cupped oysters nei</t>
  </si>
  <si>
    <t>Short-finned eel</t>
  </si>
  <si>
    <t>Sea cucumbers nei</t>
  </si>
  <si>
    <t>Stony sea urchin</t>
  </si>
  <si>
    <t>Green tiger prawn</t>
  </si>
  <si>
    <t>Paralabrax humeralis</t>
  </si>
  <si>
    <t>Dogtooth grenadier</t>
  </si>
  <si>
    <t>Cynomacrurus piriei</t>
  </si>
  <si>
    <t>Endeavour shrimp</t>
  </si>
  <si>
    <t>[gha]</t>
  </si>
  <si>
    <t>Ships,boats and other vessels for breaking up</t>
  </si>
  <si>
    <t>Special purpose ships and boats</t>
  </si>
  <si>
    <t>Central heating apparatus and parts</t>
  </si>
  <si>
    <t>Carcharhinus sorrah</t>
  </si>
  <si>
    <t>Carcharias taurus</t>
  </si>
  <si>
    <t>Carcharodon carcharias</t>
  </si>
  <si>
    <t>Centrophorus granulosus</t>
  </si>
  <si>
    <t>Centrophorus squamosus</t>
  </si>
  <si>
    <t>Taro (cocoyam)</t>
  </si>
  <si>
    <t>Slipper cupped oyster</t>
  </si>
  <si>
    <t>Brill</t>
  </si>
  <si>
    <t>Common cuttlefish</t>
  </si>
  <si>
    <t>Pullet carpet shell</t>
  </si>
  <si>
    <t>Razor clams nei</t>
  </si>
  <si>
    <t>Sargo breams nei</t>
  </si>
  <si>
    <t>Green turtle</t>
  </si>
  <si>
    <t>Brown-marbled grouper</t>
  </si>
  <si>
    <t>Measuring,controlling &amp; scientific instrument</t>
  </si>
  <si>
    <t>Chemical prods for photography, for retail sa</t>
  </si>
  <si>
    <t>Photo. Film etc &amp; develpd film other than cin</t>
  </si>
  <si>
    <t>Cinematographic film,developed</t>
  </si>
  <si>
    <t>Tubes and pipes of iron or steel, seamless</t>
  </si>
  <si>
    <t>Tubes and pipes of iron or steel, welded, etc</t>
  </si>
  <si>
    <t>High pressure hydro electric conduits, steel</t>
  </si>
  <si>
    <t>Three spot gourami</t>
  </si>
  <si>
    <t>Trichogaster trichopterus</t>
  </si>
  <si>
    <t>Tinfoil barb</t>
  </si>
  <si>
    <t>Barbonymus schwanenfeldii</t>
  </si>
  <si>
    <t>Hampala macrolepidota</t>
  </si>
  <si>
    <t>Moridae</t>
  </si>
  <si>
    <t>Muraenolepis microps</t>
  </si>
  <si>
    <t>Muraenolepis spp</t>
  </si>
  <si>
    <t>Nezumia aequalis</t>
  </si>
  <si>
    <t>1212.10</t>
  </si>
  <si>
    <t>Carrots and turnips</t>
  </si>
  <si>
    <t>[Mt CO2]</t>
  </si>
  <si>
    <t>Carcharhinus limbatus</t>
  </si>
  <si>
    <t>Carcharhinus longimanus</t>
  </si>
  <si>
    <t>Carcharhinus obscurus</t>
  </si>
  <si>
    <t>Carcharhinus plumbeus</t>
  </si>
  <si>
    <t>Plants used in dyeing &amp; tanning</t>
  </si>
  <si>
    <t>Natural gums,resins,balsam and lacs</t>
  </si>
  <si>
    <t>Vegetable materials used for plaiting</t>
  </si>
  <si>
    <t>Crangon crangon</t>
  </si>
  <si>
    <t>Crangonidae</t>
  </si>
  <si>
    <t>Haliporoides diomedeae</t>
  </si>
  <si>
    <t>Oats,unmilled</t>
  </si>
  <si>
    <t>Cereals,unmilled,nes</t>
  </si>
  <si>
    <t>Raw sugar,beet &amp; cane</t>
  </si>
  <si>
    <t>Refined sugar &amp; other prod.of refining,no syr</t>
  </si>
  <si>
    <t>Molasses</t>
  </si>
  <si>
    <t>Natural honey</t>
  </si>
  <si>
    <t>Anise, badian, fennel, corian.</t>
  </si>
  <si>
    <t>Apples</t>
  </si>
  <si>
    <t>Paper waste and old paper</t>
  </si>
  <si>
    <t>Hector's lanternfish</t>
  </si>
  <si>
    <t>Loggerhead turtle</t>
  </si>
  <si>
    <t>Food preparations,n.e.s.</t>
  </si>
  <si>
    <t>Non alcoholic beverages,n.e.s.</t>
  </si>
  <si>
    <t>Wine of fresh grapes including grape must</t>
  </si>
  <si>
    <t>Cider &amp; fermented beverages,nes</t>
  </si>
  <si>
    <t>Coated or impregnated textile fabrics &amp; prod.</t>
  </si>
  <si>
    <t>1008.90af</t>
  </si>
  <si>
    <t>Mushrooms and truffles</t>
  </si>
  <si>
    <t>Mustard oil</t>
  </si>
  <si>
    <t>1514_b</t>
  </si>
  <si>
    <t>Mustard seed</t>
  </si>
  <si>
    <t>1207.50</t>
  </si>
  <si>
    <t>Natural rubber</t>
  </si>
  <si>
    <t>Nutmeg, mace and cardamoms</t>
  </si>
  <si>
    <t>0802.90ac</t>
  </si>
  <si>
    <t>Oats</t>
  </si>
  <si>
    <t>Oil palm fruit</t>
  </si>
  <si>
    <t>1207.10ab</t>
  </si>
  <si>
    <t>Okra</t>
  </si>
  <si>
    <t>0709.90cb</t>
  </si>
  <si>
    <t>Pagellus bellottii</t>
  </si>
  <si>
    <t>Pagellus bogaraveo</t>
  </si>
  <si>
    <t>Pagellus erythrinus</t>
  </si>
  <si>
    <t>Fruit Prp Nes</t>
  </si>
  <si>
    <t>Fruit, tropical fresh nes</t>
  </si>
  <si>
    <t>Grapefruit juice, concentrated</t>
  </si>
  <si>
    <t>Isoglucose</t>
  </si>
  <si>
    <t>Jute</t>
  </si>
  <si>
    <t>Leguminous vegetables, nes</t>
  </si>
  <si>
    <t>Lemon juice, concentrated</t>
  </si>
  <si>
    <t>Currants</t>
  </si>
  <si>
    <t>0810.30_a</t>
  </si>
  <si>
    <t>Dates</t>
  </si>
  <si>
    <t>0804.10</t>
  </si>
  <si>
    <t>Eggplants (aubergines)</t>
  </si>
  <si>
    <t>0709.30</t>
  </si>
  <si>
    <t>Figs</t>
  </si>
  <si>
    <t>1214.90_n</t>
  </si>
  <si>
    <t>0706.10_a</t>
  </si>
  <si>
    <t>Metapenaeus shrimps nei</t>
  </si>
  <si>
    <t>Sandeels(=Sandlances) nei</t>
  </si>
  <si>
    <t>Machine leather belting &amp; other articles/leat</t>
  </si>
  <si>
    <t>Saddlery and other harness makers goods</t>
  </si>
  <si>
    <t>Uppers,legs &amp; other prepared parts of footwea</t>
  </si>
  <si>
    <t>Black stone crab</t>
  </si>
  <si>
    <t>Nassau grouper</t>
  </si>
  <si>
    <t>Batfishes</t>
  </si>
  <si>
    <t>West African goatfish</t>
  </si>
  <si>
    <t>West African Spanish mackerel</t>
  </si>
  <si>
    <t>West coast sole</t>
  </si>
  <si>
    <t>Caribbean spiny lobster</t>
  </si>
  <si>
    <t>Angelfishes nei</t>
  </si>
  <si>
    <t>Boxfishes nei</t>
  </si>
  <si>
    <t>Baby and invalid carriages not motorized</t>
  </si>
  <si>
    <t>Childrens toys, indoor games, etc.</t>
  </si>
  <si>
    <t>Non military arms</t>
  </si>
  <si>
    <t>Other sporting goods</t>
  </si>
  <si>
    <t>Fair ground amusements, etc.</t>
  </si>
  <si>
    <t>Paracentrotus lividus</t>
  </si>
  <si>
    <t>Stichopus japonicus</t>
  </si>
  <si>
    <t>Strongylocentrotus spp</t>
  </si>
  <si>
    <t>Invertebrata</t>
  </si>
  <si>
    <t>Feed Minerals</t>
  </si>
  <si>
    <t>2309.90_k</t>
  </si>
  <si>
    <t>0804.20_a</t>
  </si>
  <si>
    <t>Flour of Sorghum</t>
  </si>
  <si>
    <t>1102.90_c</t>
  </si>
  <si>
    <t>Amblygaster sirm</t>
  </si>
  <si>
    <t>Striped bonito</t>
  </si>
  <si>
    <t>Humpback grouper</t>
  </si>
  <si>
    <t>Prods of condensation, polycond. &amp; polyadditi</t>
  </si>
  <si>
    <t>Products of polymerization and copolymerizati</t>
  </si>
  <si>
    <t>Regen.cellulose and vulcanized fibre</t>
  </si>
  <si>
    <t>Ostrea lutaria</t>
  </si>
  <si>
    <t>Aulacomya ater</t>
  </si>
  <si>
    <t>Choromytilus chorus</t>
  </si>
  <si>
    <t>Steam generating boilers</t>
  </si>
  <si>
    <t>Raw cotton, other than linters</t>
  </si>
  <si>
    <t>Lagenorhynchus obscurus</t>
  </si>
  <si>
    <t>Kogia simus</t>
  </si>
  <si>
    <t>Crocodylus porosus</t>
  </si>
  <si>
    <t>Pseudorca crassidens</t>
  </si>
  <si>
    <t>Balaenoptera physalus</t>
  </si>
  <si>
    <t>Neophocaena phocaenoides</t>
  </si>
  <si>
    <t>Pontoporia blainvillei</t>
  </si>
  <si>
    <t>Mesoplodon europaeus</t>
  </si>
  <si>
    <t>Barracudas nei</t>
  </si>
  <si>
    <t>Carangoides malabaricus</t>
  </si>
  <si>
    <t>Caranx crysos</t>
  </si>
  <si>
    <t>Caranx hippos</t>
  </si>
  <si>
    <t>Caranx ignobilis</t>
  </si>
  <si>
    <t>Caranx melampygus</t>
  </si>
  <si>
    <t>Caranx rhonchus</t>
  </si>
  <si>
    <t>Caranx ruber</t>
  </si>
  <si>
    <t>Caranx sexfasciatus</t>
  </si>
  <si>
    <t>Konosirus punctatus</t>
  </si>
  <si>
    <t>Royal red shrimp</t>
  </si>
  <si>
    <t>Blonde ray</t>
  </si>
  <si>
    <t>Boarfishes nei</t>
  </si>
  <si>
    <t>Houting</t>
  </si>
  <si>
    <t>Ruffe</t>
  </si>
  <si>
    <t>Mountain mullet</t>
  </si>
  <si>
    <t>Lizardfishes nei</t>
  </si>
  <si>
    <t>Saddled seabream</t>
  </si>
  <si>
    <t>River lamprey</t>
  </si>
  <si>
    <t>Vendace</t>
  </si>
  <si>
    <t>Big-scale sand smelt</t>
  </si>
  <si>
    <t>Epinephelus flavolimbatus</t>
  </si>
  <si>
    <t>Anchovies, salted or in brine</t>
  </si>
  <si>
    <t>Dentex dentex</t>
  </si>
  <si>
    <t>Anchovies, etc. nei</t>
  </si>
  <si>
    <t>Building materials,unfired, nes</t>
  </si>
  <si>
    <t>Refractory bricks &amp; other ref.construction ma</t>
  </si>
  <si>
    <t>Coconuts</t>
  </si>
  <si>
    <t>Coffee, green</t>
  </si>
  <si>
    <t>Copra</t>
  </si>
  <si>
    <t>1203.00</t>
  </si>
  <si>
    <t>Cotton lint</t>
  </si>
  <si>
    <t>Cottonseed</t>
  </si>
  <si>
    <t>Grazing Land</t>
  </si>
  <si>
    <t>Giant guitarfish</t>
  </si>
  <si>
    <t>Giant trevally</t>
  </si>
  <si>
    <t>Gulf parrotfish</t>
  </si>
  <si>
    <t>Indian pompano</t>
  </si>
  <si>
    <t>Lamp oil and white spirit</t>
  </si>
  <si>
    <t>Must of Grapes</t>
  </si>
  <si>
    <t>Nuts, nes</t>
  </si>
  <si>
    <t>Offals Nes</t>
  </si>
  <si>
    <t>Offals of Horses</t>
  </si>
  <si>
    <t>Barbonymus gonionotus</t>
  </si>
  <si>
    <t>Japanese eel</t>
  </si>
  <si>
    <t>White hake</t>
  </si>
  <si>
    <t>Winter flounder</t>
  </si>
  <si>
    <t>Witch flounder</t>
  </si>
  <si>
    <t>Road tractors for tractor trailer combination</t>
  </si>
  <si>
    <t>Other chassis with engines mounted</t>
  </si>
  <si>
    <t>Chassis with engs. Mntd. For vehicles of 732.</t>
  </si>
  <si>
    <t>Bodies &amp; parts motor vehicles ex motorcycles</t>
  </si>
  <si>
    <t>Motorcycles, motorized cycles and their parts</t>
  </si>
  <si>
    <t>Grass-eaters nei</t>
  </si>
  <si>
    <t>Kafue pike</t>
  </si>
  <si>
    <t>Naked catfishes</t>
  </si>
  <si>
    <t>Nile perch</t>
  </si>
  <si>
    <t>Upsidedown catfishes</t>
  </si>
  <si>
    <t>Acipenser stellatus</t>
  </si>
  <si>
    <r>
      <t>[t CO</t>
    </r>
    <r>
      <rPr>
        <vertAlign val="subscript"/>
        <sz val="10"/>
        <color indexed="22"/>
        <rFont val="Arial"/>
        <family val="2"/>
      </rPr>
      <t>2</t>
    </r>
    <r>
      <rPr>
        <sz val="10"/>
        <color indexed="22"/>
        <rFont val="Arial"/>
        <family val="2"/>
      </rPr>
      <t xml:space="preserve"> wha</t>
    </r>
    <r>
      <rPr>
        <vertAlign val="subscript"/>
        <sz val="10"/>
        <color indexed="22"/>
        <rFont val="Arial"/>
        <family val="2"/>
      </rPr>
      <t>f</t>
    </r>
    <r>
      <rPr>
        <vertAlign val="superscript"/>
        <sz val="10"/>
        <color indexed="22"/>
        <rFont val="Arial"/>
        <family val="2"/>
      </rPr>
      <t>-1</t>
    </r>
    <r>
      <rPr>
        <sz val="10"/>
        <color indexed="22"/>
        <rFont val="Arial"/>
        <family val="2"/>
      </rPr>
      <t xml:space="preserve"> yr</t>
    </r>
    <r>
      <rPr>
        <vertAlign val="superscript"/>
        <sz val="10"/>
        <color indexed="22"/>
        <rFont val="Arial"/>
        <family val="2"/>
      </rPr>
      <t>-1</t>
    </r>
    <r>
      <rPr>
        <sz val="10"/>
        <color indexed="22"/>
        <rFont val="Arial"/>
        <family val="2"/>
      </rPr>
      <t>]</t>
    </r>
  </si>
  <si>
    <r>
      <t>[gha wha</t>
    </r>
    <r>
      <rPr>
        <vertAlign val="subscript"/>
        <sz val="10"/>
        <color indexed="22"/>
        <rFont val="Arial"/>
        <family val="2"/>
      </rPr>
      <t>f</t>
    </r>
    <r>
      <rPr>
        <vertAlign val="superscript"/>
        <sz val="10"/>
        <color indexed="22"/>
        <rFont val="Arial"/>
        <family val="2"/>
      </rPr>
      <t>-1</t>
    </r>
    <r>
      <rPr>
        <sz val="10"/>
        <color indexed="22"/>
        <rFont val="Arial"/>
        <family val="2"/>
      </rPr>
      <t>]</t>
    </r>
  </si>
  <si>
    <t>Oil of Jojoba</t>
  </si>
  <si>
    <t>1515.90_d</t>
  </si>
  <si>
    <t>Oil of Kapok</t>
  </si>
  <si>
    <t>Pseudophycis bachus</t>
  </si>
  <si>
    <t>Gulf menhaden</t>
  </si>
  <si>
    <t>Horseshoe crab</t>
  </si>
  <si>
    <t>Jonah crab</t>
  </si>
  <si>
    <t>Lemon shark</t>
  </si>
  <si>
    <t>Northern brown shrimp</t>
  </si>
  <si>
    <t>Crop Import Intensity</t>
  </si>
  <si>
    <t>Crop Export Intensity</t>
  </si>
  <si>
    <t>[gha / t]</t>
  </si>
  <si>
    <t>Papayas</t>
  </si>
  <si>
    <t>0807.20</t>
  </si>
  <si>
    <t>Sichel</t>
  </si>
  <si>
    <t>White bream</t>
  </si>
  <si>
    <t>Chubs nei</t>
  </si>
  <si>
    <t>Fuses,primers and detonators</t>
  </si>
  <si>
    <t>Pyrotechnical articles</t>
  </si>
  <si>
    <t>Cottonseed oil</t>
  </si>
  <si>
    <t>Ethers,epoxides,acetals</t>
  </si>
  <si>
    <t>White bass</t>
  </si>
  <si>
    <t>White perch</t>
  </si>
  <si>
    <t>Angelsharks, sand devils nei</t>
  </si>
  <si>
    <t>Angler(=Monk)</t>
  </si>
  <si>
    <t>Atlantic bonito</t>
  </si>
  <si>
    <t>Blue and red shrimp</t>
  </si>
  <si>
    <t>Blue whiting(=Poutassou)</t>
  </si>
  <si>
    <t>Bogue</t>
  </si>
  <si>
    <t>Catsharks, nursehounds nei</t>
  </si>
  <si>
    <t>Common octopus</t>
  </si>
  <si>
    <t>Common spiny lobster</t>
  </si>
  <si>
    <t>Common squids nei</t>
  </si>
  <si>
    <t>TFR</t>
  </si>
  <si>
    <t>Callorhinchidae</t>
  </si>
  <si>
    <t>0802.11_a</t>
  </si>
  <si>
    <t>0808.10_a</t>
  </si>
  <si>
    <t>0809.10_a</t>
  </si>
  <si>
    <t>0803.00aa</t>
  </si>
  <si>
    <t>1003.00_a</t>
  </si>
  <si>
    <t>Bran Buckwheat</t>
  </si>
  <si>
    <t>2302.40_f</t>
  </si>
  <si>
    <t>Bran of Barley</t>
  </si>
  <si>
    <t>2302.40_a</t>
  </si>
  <si>
    <t>Mytilus platensis</t>
  </si>
  <si>
    <t>Perna perna</t>
  </si>
  <si>
    <t>Shortspine thornyhead</t>
  </si>
  <si>
    <t>Silvery lightfish</t>
  </si>
  <si>
    <t>Herklotsichthys quadrimaculat.</t>
  </si>
  <si>
    <t>Opisthonema libertate</t>
  </si>
  <si>
    <t>Opisthonema oglinum</t>
  </si>
  <si>
    <t>Sardina pilchardus</t>
  </si>
  <si>
    <t>Thresher sharks nei</t>
  </si>
  <si>
    <t>Needlefishes nei</t>
  </si>
  <si>
    <t>Seeds,fruit &amp; spores for planting</t>
  </si>
  <si>
    <t>Bulbs,tubers,rhizomes and flowering plants</t>
  </si>
  <si>
    <t>Cut flowers &amp; foliage</t>
  </si>
  <si>
    <t>Micropogonias spp</t>
  </si>
  <si>
    <t>Micropogonias undulatus</t>
  </si>
  <si>
    <t>Miichthys miiuy</t>
  </si>
  <si>
    <t>Monacanthidae</t>
  </si>
  <si>
    <t>Own Use in Electricity, CHP and heat plants</t>
  </si>
  <si>
    <t xml:space="preserve">Unallocated Autoproducers </t>
  </si>
  <si>
    <t xml:space="preserve">Autoproducer Electricity Plants </t>
  </si>
  <si>
    <t>Autoproducer CHP Plants</t>
  </si>
  <si>
    <t>Autoproducer Heat Plants</t>
  </si>
  <si>
    <t>Chirocentrus spp</t>
  </si>
  <si>
    <t>Clupea harengus</t>
  </si>
  <si>
    <t>Clupea pallasii</t>
  </si>
  <si>
    <t>Refers to:</t>
  </si>
  <si>
    <t>Referenced by:</t>
  </si>
  <si>
    <t>ef_carbon</t>
  </si>
  <si>
    <t>cnst_carbon</t>
  </si>
  <si>
    <r>
      <t>[gha (t CO</t>
    </r>
    <r>
      <rPr>
        <vertAlign val="subscript"/>
        <sz val="10"/>
        <color indexed="23"/>
        <rFont val="Arial"/>
        <family val="2"/>
      </rPr>
      <t>2</t>
    </r>
    <r>
      <rPr>
        <sz val="10"/>
        <color indexed="23"/>
        <rFont val="Arial"/>
        <family val="2"/>
      </rPr>
      <t>)</t>
    </r>
    <r>
      <rPr>
        <vertAlign val="superscript"/>
        <sz val="10"/>
        <color indexed="23"/>
        <rFont val="Arial"/>
        <family val="2"/>
      </rPr>
      <t>-1</t>
    </r>
    <r>
      <rPr>
        <sz val="10"/>
        <color indexed="23"/>
        <rFont val="Arial"/>
        <family val="2"/>
      </rPr>
      <t xml:space="preserve"> yr</t>
    </r>
    <r>
      <rPr>
        <vertAlign val="superscript"/>
        <sz val="10"/>
        <color indexed="23"/>
        <rFont val="Arial"/>
        <family val="2"/>
      </rPr>
      <t>-1</t>
    </r>
    <r>
      <rPr>
        <sz val="10"/>
        <color indexed="23"/>
        <rFont val="Arial"/>
        <family val="2"/>
      </rPr>
      <t>]</t>
    </r>
  </si>
  <si>
    <t>Gold silver plat. Etc jewellery ex watchcases</t>
  </si>
  <si>
    <t>Imitation jewellery</t>
  </si>
  <si>
    <t>Art.&amp; manuf. Of carving or moulding material</t>
  </si>
  <si>
    <t>Basketwork &amp; art. Of plaiting materials, nes</t>
  </si>
  <si>
    <t>Candles,matches,smokers requisites</t>
  </si>
  <si>
    <t>Trachinus draco</t>
  </si>
  <si>
    <t>Safes,strong rooms,strong room fittings etc.</t>
  </si>
  <si>
    <t>1207.9af</t>
  </si>
  <si>
    <t>0708.90_a</t>
  </si>
  <si>
    <t>0805.50_a</t>
  </si>
  <si>
    <t>1204.00_a</t>
  </si>
  <si>
    <t>1005_a</t>
  </si>
  <si>
    <t>Marc of Grapes</t>
  </si>
  <si>
    <t>2308.00_b</t>
  </si>
  <si>
    <t>Meat of Chicken Canned</t>
  </si>
  <si>
    <t>Exports</t>
  </si>
  <si>
    <t>Sawlogs+Veneer Logs (C)</t>
  </si>
  <si>
    <t>Sawnwood (C)</t>
  </si>
  <si>
    <t>Sawnwood (NC)</t>
  </si>
  <si>
    <t>Semi-Chemical Wood Pulp</t>
  </si>
  <si>
    <t>Nemipteridae</t>
  </si>
  <si>
    <t>Nemipterus japonicus</t>
  </si>
  <si>
    <t>Nemipterus randalli</t>
  </si>
  <si>
    <t>Nemipterus spp</t>
  </si>
  <si>
    <t>Nemipterus virgatus</t>
  </si>
  <si>
    <t>Nibea mitsukurii</t>
  </si>
  <si>
    <t>White weakfish</t>
  </si>
  <si>
    <t>Windowpane flounder</t>
  </si>
  <si>
    <t>Yellowedge grouper</t>
  </si>
  <si>
    <t>World Yield</t>
  </si>
  <si>
    <r>
      <t>EF</t>
    </r>
    <r>
      <rPr>
        <b/>
        <vertAlign val="subscript"/>
        <sz val="10"/>
        <color indexed="9"/>
        <rFont val="Arial"/>
        <family val="2"/>
      </rPr>
      <t>P</t>
    </r>
  </si>
  <si>
    <r>
      <t>EF</t>
    </r>
    <r>
      <rPr>
        <b/>
        <vertAlign val="subscript"/>
        <sz val="10"/>
        <color indexed="9"/>
        <rFont val="Arial"/>
        <family val="2"/>
      </rPr>
      <t>I</t>
    </r>
  </si>
  <si>
    <r>
      <t>EF</t>
    </r>
    <r>
      <rPr>
        <b/>
        <vertAlign val="subscript"/>
        <sz val="10"/>
        <color indexed="9"/>
        <rFont val="Arial"/>
        <family val="2"/>
      </rPr>
      <t>E</t>
    </r>
  </si>
  <si>
    <r>
      <t>EF</t>
    </r>
    <r>
      <rPr>
        <b/>
        <vertAlign val="subscript"/>
        <sz val="10"/>
        <color indexed="9"/>
        <rFont val="Arial"/>
        <family val="2"/>
      </rPr>
      <t>C</t>
    </r>
  </si>
  <si>
    <t>Land Cover</t>
  </si>
  <si>
    <t>Expected Feed</t>
  </si>
  <si>
    <t>Expected EF</t>
  </si>
  <si>
    <t>Actual EF</t>
  </si>
  <si>
    <t>Variola louti</t>
  </si>
  <si>
    <t>Offals Liver Duck</t>
  </si>
  <si>
    <t>Champsocephalus gunnari</t>
  </si>
  <si>
    <t>Channichthyidae</t>
  </si>
  <si>
    <t>Channichthys rhinoceratus</t>
  </si>
  <si>
    <t>Cheilodactylus bergi</t>
  </si>
  <si>
    <t>Cepola macrophthalma</t>
  </si>
  <si>
    <t>fish_commodity_</t>
  </si>
  <si>
    <t>efi</t>
  </si>
  <si>
    <t>Centrophorus lusitanicus</t>
  </si>
  <si>
    <t>0708.20_b</t>
  </si>
  <si>
    <t>Sugar beet</t>
  </si>
  <si>
    <t>Sugar cane</t>
  </si>
  <si>
    <t>1212.99aa</t>
  </si>
  <si>
    <t>1212.99ab</t>
  </si>
  <si>
    <t>Blue butterfish</t>
  </si>
  <si>
    <t>Cape horse mackerel</t>
  </si>
  <si>
    <t>Goldfish</t>
  </si>
  <si>
    <t>Noble crayfish</t>
  </si>
  <si>
    <t>Starry sturgeon</t>
  </si>
  <si>
    <t>Mudfish</t>
  </si>
  <si>
    <t>Hoven's carp</t>
  </si>
  <si>
    <t>Filefishes nei</t>
  </si>
  <si>
    <t>Gazami crab</t>
  </si>
  <si>
    <t>Jack and horse mackerels nei</t>
  </si>
  <si>
    <t>Japanese jack mackerel</t>
  </si>
  <si>
    <t>Octopuses, etc. nei</t>
  </si>
  <si>
    <t>Sea squirts nei</t>
  </si>
  <si>
    <t>Spiny lobsters nei</t>
  </si>
  <si>
    <t>Gelidium seaweeds</t>
  </si>
  <si>
    <t>Dotted gizzard shad</t>
  </si>
  <si>
    <t>Trachyrincus scabrus</t>
  </si>
  <si>
    <t>Eeltail catfishes</t>
  </si>
  <si>
    <t>Indian pellona</t>
  </si>
  <si>
    <t>Coho(=Silver)salmon</t>
  </si>
  <si>
    <r>
      <t>[gha person</t>
    </r>
    <r>
      <rPr>
        <vertAlign val="superscript"/>
        <sz val="10"/>
        <color indexed="22"/>
        <rFont val="Arial"/>
        <family val="2"/>
      </rPr>
      <t>-1</t>
    </r>
    <r>
      <rPr>
        <sz val="10"/>
        <color indexed="22"/>
        <rFont val="Arial"/>
        <family val="2"/>
      </rPr>
      <t>]</t>
    </r>
  </si>
  <si>
    <t>Marine Capture</t>
  </si>
  <si>
    <t>Inland Capture</t>
  </si>
  <si>
    <t>Remaining Demand</t>
  </si>
  <si>
    <t>Iron pyrites, unroasted</t>
  </si>
  <si>
    <t>Industrial diamonds</t>
  </si>
  <si>
    <t>Natural abrasives</t>
  </si>
  <si>
    <t>5101.1_a</t>
  </si>
  <si>
    <t>Stocks</t>
  </si>
  <si>
    <t>[000]</t>
  </si>
  <si>
    <t>Lophius vaillanti</t>
  </si>
  <si>
    <t>Lophius vomerinus</t>
  </si>
  <si>
    <t>Lopholatilus chamaeleonticeps</t>
  </si>
  <si>
    <t>1512.2_a</t>
  </si>
  <si>
    <t>Cow peas, dry</t>
  </si>
  <si>
    <t>0713.3_b</t>
  </si>
  <si>
    <t>Ensis directus</t>
  </si>
  <si>
    <t>Mercenaria mercenaria</t>
  </si>
  <si>
    <t>Meretrix lusoria</t>
  </si>
  <si>
    <t>Meretrix spp</t>
  </si>
  <si>
    <t>Elastic fabrics &amp; trimmings of elastic</t>
  </si>
  <si>
    <t>White seabream</t>
  </si>
  <si>
    <t>Marine shells nei</t>
  </si>
  <si>
    <t>Stimpson's surf clam</t>
  </si>
  <si>
    <t>Surf smelt</t>
  </si>
  <si>
    <t>Tusk(=Cusk)</t>
  </si>
  <si>
    <t>Whelks</t>
  </si>
  <si>
    <t>Leather Use&amp;Waste</t>
  </si>
  <si>
    <t>Horned turban</t>
  </si>
  <si>
    <t>Scup</t>
  </si>
  <si>
    <t>Senegalese hake</t>
  </si>
  <si>
    <t>Silver hake</t>
  </si>
  <si>
    <t>Thermionic valves and tubes, transistors, etc</t>
  </si>
  <si>
    <t>Automotive electrical equipment</t>
  </si>
  <si>
    <t>Electrical measuring &amp; controlling instrument</t>
  </si>
  <si>
    <t>Electro mechanical hand tools</t>
  </si>
  <si>
    <t>Electron and proton accelerators</t>
  </si>
  <si>
    <t>Electrical machinery and apparatus, nes</t>
  </si>
  <si>
    <t>Railway locomotives steam and tenders</t>
  </si>
  <si>
    <t>Electric railway locomotives, not self genera</t>
  </si>
  <si>
    <t>Railway locomotives, not steam or electric</t>
  </si>
  <si>
    <t>Mechanically propelled railway and tramway ca</t>
  </si>
  <si>
    <t>Rail &amp; tram passenger cars not mech propelled</t>
  </si>
  <si>
    <t>Rail.&amp;tram.freight cars,not mechanically prop</t>
  </si>
  <si>
    <t>Acipenser transmontanus</t>
  </si>
  <si>
    <t>Acipenseridae</t>
  </si>
  <si>
    <t>Huso huso</t>
  </si>
  <si>
    <t>Polyodon spathula</t>
  </si>
  <si>
    <t>Anguilla anguilla</t>
  </si>
  <si>
    <t>Sheet or plate glass,coated with metal mirror</t>
  </si>
  <si>
    <t>Glass, nes</t>
  </si>
  <si>
    <t>Plants,seeds,flowers used in perfumery/pharma</t>
  </si>
  <si>
    <t>Murex</t>
  </si>
  <si>
    <t>Nursehound</t>
  </si>
  <si>
    <t>Pink spiny lobster</t>
  </si>
  <si>
    <t>Ratfishes nei</t>
  </si>
  <si>
    <t>Sandy ray</t>
  </si>
  <si>
    <t>Shagreen ray</t>
  </si>
  <si>
    <t>Small-eyed ray</t>
  </si>
  <si>
    <t>Small-spotted catshark</t>
  </si>
  <si>
    <t>Southern spiny lobster</t>
  </si>
  <si>
    <t>Spiny scorpionfish</t>
  </si>
  <si>
    <t>Spottail mantis squillid</t>
  </si>
  <si>
    <t>Spotted ray</t>
  </si>
  <si>
    <t>Stingrays nei</t>
  </si>
  <si>
    <t>Streaked gurnard</t>
  </si>
  <si>
    <t>Phocoena phocoena</t>
  </si>
  <si>
    <t>Phoca vitulina</t>
  </si>
  <si>
    <t>Phoca groenlandica</t>
  </si>
  <si>
    <t>Cephalorhynchus hectori</t>
  </si>
  <si>
    <t>Cystophora cristata</t>
  </si>
  <si>
    <t>Megaptera novaeangliae</t>
  </si>
  <si>
    <t>Sousa chinensis</t>
  </si>
  <si>
    <t>Tursiops aduncus</t>
  </si>
  <si>
    <t>Orcaella brevirostris</t>
  </si>
  <si>
    <t>Orcinus orca</t>
  </si>
  <si>
    <t>Phoca largha</t>
  </si>
  <si>
    <t>Delphinus capensis</t>
  </si>
  <si>
    <t>Silver seabream</t>
  </si>
  <si>
    <t>Crocodylus moreletii</t>
  </si>
  <si>
    <t>Monodon monoceros</t>
  </si>
  <si>
    <t>Crocodylus novaeguineae</t>
  </si>
  <si>
    <t>Crocodylus niloticus</t>
  </si>
  <si>
    <t>Hyperoodon ampullatus</t>
  </si>
  <si>
    <t>Callorhinus ursinus</t>
  </si>
  <si>
    <t>Eubalaena glacialis</t>
  </si>
  <si>
    <t>Lissodelphis borealis</t>
  </si>
  <si>
    <t>Lagenorhynchus obliquidens</t>
  </si>
  <si>
    <t>Stenella attenuata</t>
  </si>
  <si>
    <t>Lagenorhynchus australis</t>
  </si>
  <si>
    <t>Globicephala spp</t>
  </si>
  <si>
    <t>Kogia breviceps</t>
  </si>
  <si>
    <t>Phoca fasciata</t>
  </si>
  <si>
    <t>Phoca hispida</t>
  </si>
  <si>
    <t>Grampus griseus</t>
  </si>
  <si>
    <t>Steno bredanensis</t>
  </si>
  <si>
    <t>Otariidae, Phocidae</t>
  </si>
  <si>
    <t>Balaenoptera borealis</t>
  </si>
  <si>
    <t>Globicephala macrorhynchus</t>
  </si>
  <si>
    <t>Crocodylus siamensis</t>
  </si>
  <si>
    <t>Paleosuchus trigonatus</t>
  </si>
  <si>
    <t>Arctocephalus pusillus</t>
  </si>
  <si>
    <t>Arctocephalus australis</t>
  </si>
  <si>
    <t>Otaria byronia</t>
  </si>
  <si>
    <t>Eubalaena australis</t>
  </si>
  <si>
    <t>Caiman crocodilus</t>
  </si>
  <si>
    <t>Australophocaena dioptrica</t>
  </si>
  <si>
    <t>Physeter catodon</t>
  </si>
  <si>
    <t>Maize for forage and silage</t>
  </si>
  <si>
    <t>1214.90_a</t>
  </si>
  <si>
    <t>Maize oil</t>
  </si>
  <si>
    <t>1515.2_a</t>
  </si>
  <si>
    <t>Maize, green</t>
  </si>
  <si>
    <t>0709.90ca</t>
  </si>
  <si>
    <t>Cake of Groundnuts</t>
  </si>
  <si>
    <t>2305.00</t>
  </si>
  <si>
    <t>Cake of Linseed</t>
  </si>
  <si>
    <t>2306.20</t>
  </si>
  <si>
    <t>Cake of Maize</t>
  </si>
  <si>
    <t>2306.70</t>
  </si>
  <si>
    <t>Raw silk, not thrown</t>
  </si>
  <si>
    <t>Canned Mushrooms</t>
  </si>
  <si>
    <t>2003_a</t>
  </si>
  <si>
    <t>Schedophilus ovalis</t>
  </si>
  <si>
    <t>Schedophilus pemarco</t>
  </si>
  <si>
    <t>Scorpaena scrofa</t>
  </si>
  <si>
    <t>Vetches</t>
  </si>
  <si>
    <t>0713.90ac</t>
  </si>
  <si>
    <t>Walnuts, with shell</t>
  </si>
  <si>
    <t>Watermelons</t>
  </si>
  <si>
    <t>0807.11</t>
  </si>
  <si>
    <t>Wheat</t>
  </si>
  <si>
    <t>Wine</t>
  </si>
  <si>
    <t>2204_a</t>
  </si>
  <si>
    <t>Yams</t>
  </si>
  <si>
    <t>0714.90_a</t>
  </si>
  <si>
    <t>Three-spined stickleback</t>
  </si>
  <si>
    <t>Orfe(=Ide)</t>
  </si>
  <si>
    <t>Great Mediterranean scallop</t>
  </si>
  <si>
    <t>Green crab</t>
  </si>
  <si>
    <t>Chimaeras, etc. nei</t>
  </si>
  <si>
    <t>Sailray</t>
  </si>
  <si>
    <t>Starry ray</t>
  </si>
  <si>
    <t>Tangle</t>
  </si>
  <si>
    <t>False trevally</t>
  </si>
  <si>
    <t>Lake cisco</t>
  </si>
  <si>
    <t>Lake trout(=Char)</t>
  </si>
  <si>
    <t>Sauger</t>
  </si>
  <si>
    <t>Sander canadensis</t>
  </si>
  <si>
    <t>Walleye</t>
  </si>
  <si>
    <t>Sander vitreus</t>
  </si>
  <si>
    <t>Siberian prawn</t>
  </si>
  <si>
    <t>European smelt</t>
  </si>
  <si>
    <t>Milking machines,cream separators,dairy farm</t>
  </si>
  <si>
    <t>Lycodes spp</t>
  </si>
  <si>
    <t>Macroramphosus scolopax</t>
  </si>
  <si>
    <t>Maurolicus muelleri</t>
  </si>
  <si>
    <t>Capros aper</t>
  </si>
  <si>
    <t>Brown ray</t>
  </si>
  <si>
    <t>Raja miraletus</t>
  </si>
  <si>
    <t>Bull shark</t>
  </si>
  <si>
    <t>Carcharhinus leucas</t>
  </si>
  <si>
    <t>Channel bull blenny</t>
  </si>
  <si>
    <t>Cottoperca gobio</t>
  </si>
  <si>
    <t>Chinese mitten crab</t>
  </si>
  <si>
    <t>Citharids nei</t>
  </si>
  <si>
    <t>Citharidae</t>
  </si>
  <si>
    <t>Commercial top</t>
  </si>
  <si>
    <t>Oil seeds,oil nuts &amp; oil kernels,nes</t>
  </si>
  <si>
    <t>Flour &amp; meal of oil seeds,nuts,kernels, fat</t>
  </si>
  <si>
    <t>Sand tiger shark</t>
  </si>
  <si>
    <t>Sandbar shark</t>
  </si>
  <si>
    <t>Scamp</t>
  </si>
  <si>
    <t>Sculpins nei</t>
  </si>
  <si>
    <t>Fabrics,woven,nes inc.coarse hair &amp; paper yar</t>
  </si>
  <si>
    <t>Argyrops spinifer</t>
  </si>
  <si>
    <t>5102.20_a</t>
  </si>
  <si>
    <t>0401.30_a</t>
  </si>
  <si>
    <t>0408_a</t>
  </si>
  <si>
    <t>0408_b</t>
  </si>
  <si>
    <t>1602.20_b</t>
  </si>
  <si>
    <t>1506.00_a</t>
  </si>
  <si>
    <t>1502.00aa</t>
  </si>
  <si>
    <t>0209.00aa</t>
  </si>
  <si>
    <t>0209.00_b</t>
  </si>
  <si>
    <t>1501.00_b</t>
  </si>
  <si>
    <t>1502.00_c</t>
  </si>
  <si>
    <t>1517.90_a</t>
  </si>
  <si>
    <t>5102.1_a</t>
  </si>
  <si>
    <t>0405.20_b</t>
  </si>
  <si>
    <t>0405.20_a</t>
  </si>
  <si>
    <t>5105_a</t>
  </si>
  <si>
    <t>5102.20_b</t>
  </si>
  <si>
    <t>Limanda ferruginea</t>
  </si>
  <si>
    <t>Limanda limanda</t>
  </si>
  <si>
    <t>Microchirus spp</t>
  </si>
  <si>
    <t>Microstomus kitt</t>
  </si>
  <si>
    <t>Oxygen,nitrogen,hydrogen,rare gases</t>
  </si>
  <si>
    <t>Chemical elements nes</t>
  </si>
  <si>
    <t>Inorganic acids &amp; oxygen comp.of metalloids</t>
  </si>
  <si>
    <t>Cape rock lobster</t>
  </si>
  <si>
    <t>Southern African anchovy</t>
  </si>
  <si>
    <t>Steenbrasses nei</t>
  </si>
  <si>
    <t>Argentine</t>
  </si>
  <si>
    <t>Argentina sphyraena</t>
  </si>
  <si>
    <t>Carpenter seabream</t>
  </si>
  <si>
    <t>Chilean jack mackerel</t>
  </si>
  <si>
    <t>Devil anglerfish</t>
  </si>
  <si>
    <t>Eastern Pacific bonito</t>
  </si>
  <si>
    <t>Falkland sprat</t>
  </si>
  <si>
    <t>Musical instruments, nes</t>
  </si>
  <si>
    <t>Parts and accessories of musical instruments</t>
  </si>
  <si>
    <t>Books and pamphlets,printed</t>
  </si>
  <si>
    <t>Newspapers and periodicals</t>
  </si>
  <si>
    <t>Music,printed or in manuscript</t>
  </si>
  <si>
    <t>Picture postcards etc.,printed</t>
  </si>
  <si>
    <t>Printed matter, nes</t>
  </si>
  <si>
    <t>Otolithes ruber</t>
  </si>
  <si>
    <t>Pagellus acarne</t>
  </si>
  <si>
    <t>Pelates quadrilineatus</t>
  </si>
  <si>
    <t>Pennahia anea</t>
  </si>
  <si>
    <t>Pennahia argentata</t>
  </si>
  <si>
    <t>Pentanemus quinquarius</t>
  </si>
  <si>
    <t>Sea trout</t>
  </si>
  <si>
    <t>Arctic char</t>
  </si>
  <si>
    <t>Bighead carp</t>
  </si>
  <si>
    <t>Catfishes nei</t>
  </si>
  <si>
    <t>Queenfishes</t>
  </si>
  <si>
    <t>Requiem sharks nei</t>
  </si>
  <si>
    <t>Santer seabream</t>
  </si>
  <si>
    <t>Smalltooth emperor</t>
  </si>
  <si>
    <t>Prepared or preserved fish, excl. whole or in pieces</t>
  </si>
  <si>
    <t>Edible nuts,fresh or dried</t>
  </si>
  <si>
    <t>Fresh fruit,nes</t>
  </si>
  <si>
    <t>Poultry</t>
  </si>
  <si>
    <t>Feed Demand</t>
  </si>
  <si>
    <t>Feed Intake</t>
  </si>
  <si>
    <r>
      <t>[kg dm head</t>
    </r>
    <r>
      <rPr>
        <vertAlign val="superscript"/>
        <sz val="10"/>
        <color indexed="23"/>
        <rFont val="Arial"/>
        <family val="2"/>
      </rPr>
      <t>-1</t>
    </r>
    <r>
      <rPr>
        <sz val="10"/>
        <color indexed="23"/>
        <rFont val="Arial"/>
        <family val="2"/>
      </rPr>
      <t xml:space="preserve"> day</t>
    </r>
    <r>
      <rPr>
        <vertAlign val="superscript"/>
        <sz val="10"/>
        <color indexed="23"/>
        <rFont val="Arial"/>
        <family val="2"/>
      </rPr>
      <t>-1</t>
    </r>
    <r>
      <rPr>
        <sz val="10"/>
        <color indexed="23"/>
        <rFont val="Arial"/>
        <family val="2"/>
      </rPr>
      <t>]</t>
    </r>
  </si>
  <si>
    <t>Seed cotton</t>
  </si>
  <si>
    <t>1207.20_b</t>
  </si>
  <si>
    <t>Other Indust Roundwd Trd</t>
  </si>
  <si>
    <t>Wood Fuel Trd</t>
  </si>
  <si>
    <t>Ind Rwd Wir (C)</t>
  </si>
  <si>
    <t>Coffee extracts,essences,concentrates</t>
  </si>
  <si>
    <t>Cocoa beans,raw or roasted</t>
  </si>
  <si>
    <t>Cocoa powder,unsweetened</t>
  </si>
  <si>
    <t>Cocoa butter and cocoa paste</t>
  </si>
  <si>
    <t>Chocolate &amp; other food prep. Of cocoa</t>
  </si>
  <si>
    <t>Mate</t>
  </si>
  <si>
    <t>Pepper &amp; pimento,whether or not grond</t>
  </si>
  <si>
    <t>Spices, exc. Pepper &amp; pimento ground or not</t>
  </si>
  <si>
    <t>Homarus gammarus</t>
  </si>
  <si>
    <t>Ibacus ciliatus</t>
  </si>
  <si>
    <t>Blackspot(=red) seabream</t>
  </si>
  <si>
    <t>Common prawn</t>
  </si>
  <si>
    <t>Channa argus</t>
  </si>
  <si>
    <t>Great Atlantic scallop</t>
  </si>
  <si>
    <t>Tuberculate abalone</t>
  </si>
  <si>
    <t>Osmerus mordax</t>
  </si>
  <si>
    <t>Osmerus spp, Hypomesus spp</t>
  </si>
  <si>
    <t>Plecoglossus altivelis</t>
  </si>
  <si>
    <t>Salmo salar</t>
  </si>
  <si>
    <t>Salmo spp</t>
  </si>
  <si>
    <t>Salmo trutta</t>
  </si>
  <si>
    <t>Salmonoidei</t>
  </si>
  <si>
    <t>Food processing machines, excluding domestic</t>
  </si>
  <si>
    <t>Construction and mining machinery, nes</t>
  </si>
  <si>
    <t>Mineral crushing etc. &amp; glass working machine</t>
  </si>
  <si>
    <t>Heating and cooling equipment</t>
  </si>
  <si>
    <t>Ind Rwd Wir (NC) Tropica</t>
  </si>
  <si>
    <t>Sebastes alutus</t>
  </si>
  <si>
    <t>Sebastes entomelas</t>
  </si>
  <si>
    <t>Sebastes flavidus</t>
  </si>
  <si>
    <t>Sebastes goodei</t>
  </si>
  <si>
    <t>Sebastes marinus</t>
  </si>
  <si>
    <t>Sebastes melanops</t>
  </si>
  <si>
    <t>Sebastes mentella</t>
  </si>
  <si>
    <t>Sebastes paucispinis</t>
  </si>
  <si>
    <t>Polychaeta</t>
  </si>
  <si>
    <t>2306.90_d</t>
  </si>
  <si>
    <t>Cake of Sesame Seed</t>
  </si>
  <si>
    <t>2306.90_b</t>
  </si>
  <si>
    <t>Imports EF</t>
  </si>
  <si>
    <t>Lutjanus purpureus</t>
  </si>
  <si>
    <t>Lutjanus quinquelineatus</t>
  </si>
  <si>
    <t>Ruditapes philippinarum</t>
  </si>
  <si>
    <t>Saxidomus giganteus</t>
  </si>
  <si>
    <t>Scapharca subcrenata</t>
  </si>
  <si>
    <t>Semele solida</t>
  </si>
  <si>
    <t>Siliqua patula</t>
  </si>
  <si>
    <t>Solen spp</t>
  </si>
  <si>
    <t>Spisula polynyma</t>
  </si>
  <si>
    <t>Spisula solida</t>
  </si>
  <si>
    <t>Juice of Tomatoes</t>
  </si>
  <si>
    <t>2009.50_a</t>
  </si>
  <si>
    <t>Juice of Vegetables Nes</t>
  </si>
  <si>
    <t>2009.80_b</t>
  </si>
  <si>
    <t>Karakul Skins</t>
  </si>
  <si>
    <t>Metapenaeus monoceros</t>
  </si>
  <si>
    <t>Metapenaeus spp</t>
  </si>
  <si>
    <t>Natantia</t>
  </si>
  <si>
    <t>Ctenolabrus rupestris</t>
  </si>
  <si>
    <t>Gonate squids nei</t>
  </si>
  <si>
    <t>Gonatidae</t>
  </si>
  <si>
    <t>Green jobfish</t>
  </si>
  <si>
    <t>Aprion virescens</t>
  </si>
  <si>
    <t>Grey snapper</t>
  </si>
  <si>
    <t>American cupped oyster</t>
  </si>
  <si>
    <t>Atlantic bluefin tuna</t>
  </si>
  <si>
    <t>Atlantic cod</t>
  </si>
  <si>
    <t>Hay &amp; fodder,green or dry</t>
  </si>
  <si>
    <t>Bran,pollard,sharps &amp; other by products</t>
  </si>
  <si>
    <t>Live Animals Non Food</t>
  </si>
  <si>
    <t>Liver Prep.</t>
  </si>
  <si>
    <t>Macaroni</t>
  </si>
  <si>
    <t>1902_a</t>
  </si>
  <si>
    <t>Malt</t>
  </si>
  <si>
    <t>1107_a</t>
  </si>
  <si>
    <t>Malt Extract</t>
  </si>
  <si>
    <t>SITC-1 Code</t>
  </si>
  <si>
    <t>Bigspined boarfish</t>
  </si>
  <si>
    <t>Materials of vegetable origin,nes</t>
  </si>
  <si>
    <t>Coal /anthracite, bituminous/</t>
  </si>
  <si>
    <t>Briquettes of coal</t>
  </si>
  <si>
    <t>Pseudopleuronectes herzenst.</t>
  </si>
  <si>
    <t>Reinhardtius hippoglossoides</t>
  </si>
  <si>
    <t>Rhombosolea spp</t>
  </si>
  <si>
    <t>Scophthalmidae</t>
  </si>
  <si>
    <t>Rice in the husk or not,not further prepared</t>
  </si>
  <si>
    <t>Rice,glazed or polished,not further prepared</t>
  </si>
  <si>
    <t>Barley,unmilled</t>
  </si>
  <si>
    <t>Giant seabass</t>
  </si>
  <si>
    <t>Green sturgeon</t>
  </si>
  <si>
    <t>Common dolphinfish</t>
  </si>
  <si>
    <t>Sardinellas nei</t>
  </si>
  <si>
    <t>Sharks, rays, skates, etc. nei</t>
  </si>
  <si>
    <t>Berries Nes</t>
  </si>
  <si>
    <t>0802.40</t>
  </si>
  <si>
    <t>Silver,unworked or partly worked</t>
  </si>
  <si>
    <t>Porbeagle</t>
  </si>
  <si>
    <t>Rays, stingrays, mantas nei</t>
  </si>
  <si>
    <t>Pandalus borealis</t>
  </si>
  <si>
    <t>Pandalus goniurus</t>
  </si>
  <si>
    <t>Pandalus hypsinotus</t>
  </si>
  <si>
    <t>Cotton Waste</t>
  </si>
  <si>
    <t>Cream Fresh</t>
  </si>
  <si>
    <t>Crude Materials</t>
  </si>
  <si>
    <t>0500_a</t>
  </si>
  <si>
    <t>Degras</t>
  </si>
  <si>
    <t>1904_b</t>
  </si>
  <si>
    <t>Butter Cow Milk</t>
  </si>
  <si>
    <t>Cake of Copra</t>
  </si>
  <si>
    <t>2306.50</t>
  </si>
  <si>
    <t>Lates calcarifer</t>
  </si>
  <si>
    <t>Morone americana</t>
  </si>
  <si>
    <t>Morone chrysops</t>
  </si>
  <si>
    <t>Antarctic starry skate</t>
  </si>
  <si>
    <t>Antarctic toothfish</t>
  </si>
  <si>
    <t>Argentine anchovy</t>
  </si>
  <si>
    <t>Argentine angelshark</t>
  </si>
  <si>
    <t>Argentine conger</t>
  </si>
  <si>
    <t>Argentine croaker</t>
  </si>
  <si>
    <t>Commodity</t>
  </si>
  <si>
    <t>Parent</t>
  </si>
  <si>
    <t>Gypsum,plasters,limestone flux &amp; calcareous s</t>
  </si>
  <si>
    <t>Sand excluding metal bearing sand</t>
  </si>
  <si>
    <t>Gravel &amp; crushed stone</t>
  </si>
  <si>
    <t>Nori nei</t>
  </si>
  <si>
    <t>Pacific menhaden</t>
  </si>
  <si>
    <t>Pacific sandperch</t>
  </si>
  <si>
    <t>Iron &amp; steel scrap</t>
  </si>
  <si>
    <t>Ores and concentrates of copper, incl. Matte</t>
  </si>
  <si>
    <t>Ores and concentrates of nickel, incl. Matte</t>
  </si>
  <si>
    <t>Scorpaenidae</t>
  </si>
  <si>
    <t>Silver pomfret</t>
  </si>
  <si>
    <t>South Georgia icefish</t>
  </si>
  <si>
    <t>South Pacific hake</t>
  </si>
  <si>
    <t>Naso unicornis</t>
  </si>
  <si>
    <t>2302.40_b</t>
  </si>
  <si>
    <t>Epinephelus polyphekadion</t>
  </si>
  <si>
    <t>Epinephelus spp</t>
  </si>
  <si>
    <t>Works of art,collectors pieces</t>
  </si>
  <si>
    <t>Silversides(=Sand smelts) nei</t>
  </si>
  <si>
    <t>Chinook(=Spring=King)salmon</t>
  </si>
  <si>
    <t>Pumps and centrifuges</t>
  </si>
  <si>
    <t>Mechanical handling equipment</t>
  </si>
  <si>
    <t>Regenerated fibres suitable for spinning</t>
  </si>
  <si>
    <t>Animals,n.e.s.</t>
  </si>
  <si>
    <t>Bacon and Ham</t>
  </si>
  <si>
    <t>Bagasse</t>
  </si>
  <si>
    <t>2303.20_b</t>
  </si>
  <si>
    <t>Barley Flour and Grits</t>
  </si>
  <si>
    <t>1102.90_a</t>
  </si>
  <si>
    <t>Beehives</t>
  </si>
  <si>
    <t>0106.90_a</t>
  </si>
  <si>
    <t>Beeswax</t>
  </si>
  <si>
    <t>Indian oil sardine</t>
  </si>
  <si>
    <t>Indo-Pacific king mackerel</t>
  </si>
  <si>
    <t>Salps</t>
  </si>
  <si>
    <t>Venerupis pullastra</t>
  </si>
  <si>
    <t>Cephalopoda</t>
  </si>
  <si>
    <t>Dosidicus gigas</t>
  </si>
  <si>
    <t>1207.9ah</t>
  </si>
  <si>
    <t>Lactose</t>
  </si>
  <si>
    <t>Lard</t>
  </si>
  <si>
    <t>Lard Stearine Oil</t>
  </si>
  <si>
    <t>Pacific rock shrimp</t>
  </si>
  <si>
    <t>Western Atlantic seabream</t>
  </si>
  <si>
    <t>Pacific bumper</t>
  </si>
  <si>
    <t>Austroglossus pectoralis</t>
  </si>
  <si>
    <t>Austroglossus spp</t>
  </si>
  <si>
    <t>Bothidae</t>
  </si>
  <si>
    <t>Bothus pantherinus</t>
  </si>
  <si>
    <t>Citharichthys sordidus</t>
  </si>
  <si>
    <t>Cynoglossidae</t>
  </si>
  <si>
    <t>Dicologlossa cuneata</t>
  </si>
  <si>
    <t>Eopsetta jordani</t>
  </si>
  <si>
    <t>Skins Nes Calves</t>
  </si>
  <si>
    <t>Skinswet Salted</t>
  </si>
  <si>
    <t>Merlangius merlangus</t>
  </si>
  <si>
    <t>Merluccius albidus</t>
  </si>
  <si>
    <t>Merluccius angustimanus</t>
  </si>
  <si>
    <t>Merluccius australis</t>
  </si>
  <si>
    <t>Merluccius bilinearis</t>
  </si>
  <si>
    <t>Merluccius capensis</t>
  </si>
  <si>
    <t>Merluccius gayi</t>
  </si>
  <si>
    <t>Merluccius hubbsi</t>
  </si>
  <si>
    <t>Merluccius merluccius</t>
  </si>
  <si>
    <t>Merluccius polli</t>
  </si>
  <si>
    <t>Merluccius productus</t>
  </si>
  <si>
    <t>Sponges</t>
  </si>
  <si>
    <t>Brown seaweeds</t>
  </si>
  <si>
    <t>Red seaweeds</t>
  </si>
  <si>
    <t>Green seaweeds</t>
  </si>
  <si>
    <t>Available PP</t>
  </si>
  <si>
    <t>Cake of Rapeseed</t>
  </si>
  <si>
    <t>Cake of Soybeans</t>
  </si>
  <si>
    <t>2304.00</t>
  </si>
  <si>
    <t>Cake Rice Bran</t>
  </si>
  <si>
    <t>2306.90_a</t>
  </si>
  <si>
    <t>Southern hake</t>
  </si>
  <si>
    <t>Southern king crab</t>
  </si>
  <si>
    <t>Striped weakfish</t>
  </si>
  <si>
    <t>Tadpole codling</t>
  </si>
  <si>
    <t>Tope shark</t>
  </si>
  <si>
    <t>Cololabis saira</t>
  </si>
  <si>
    <t>Coryphaena hippurus</t>
  </si>
  <si>
    <t>Cypselurus agoo</t>
  </si>
  <si>
    <t>Siganus spp</t>
  </si>
  <si>
    <t>Sillaginidae</t>
  </si>
  <si>
    <t>Octopus, live, fresh or chilled</t>
  </si>
  <si>
    <t>[000 ha]</t>
  </si>
  <si>
    <t>Mud carp</t>
  </si>
  <si>
    <t>1202.10_a</t>
  </si>
  <si>
    <t>0804.50_a</t>
  </si>
  <si>
    <t>Hay (Clover, Lucerne,Etc)</t>
  </si>
  <si>
    <t>0802.21_a</t>
  </si>
  <si>
    <t>Hides Dry Slt Horses</t>
  </si>
  <si>
    <t>Hides Drysalt Buf</t>
  </si>
  <si>
    <t>Hides Unsp Horse</t>
  </si>
  <si>
    <t>Hides Wet Salted Buffaloes</t>
  </si>
  <si>
    <t>Carrot squat lobster</t>
  </si>
  <si>
    <t>Common pandora</t>
  </si>
  <si>
    <t>Venus clams nei</t>
  </si>
  <si>
    <t>Banana prawn</t>
  </si>
  <si>
    <t>Atlantic halibut</t>
  </si>
  <si>
    <t>Atlantic wolffish</t>
  </si>
  <si>
    <t>Haddock</t>
  </si>
  <si>
    <t>Spotted wolffish</t>
  </si>
  <si>
    <t>Green mussel</t>
  </si>
  <si>
    <t>Akiami paste shrimp</t>
  </si>
  <si>
    <t>Aristeid shrimps nei</t>
  </si>
  <si>
    <t>Mobula mobular</t>
  </si>
  <si>
    <t>Flying gurnard</t>
  </si>
  <si>
    <t>Dactylopterus volitans</t>
  </si>
  <si>
    <t>Jack-knife shrimp</t>
  </si>
  <si>
    <t>Skinsdry S.Calves</t>
  </si>
  <si>
    <t>Skinsdry Slt Goat</t>
  </si>
  <si>
    <t>Skinsdry Sltdpigs</t>
  </si>
  <si>
    <t>Argopecten purpuratus</t>
  </si>
  <si>
    <t>Argopecten ventricosus</t>
  </si>
  <si>
    <t>Chlamys islandica</t>
  </si>
  <si>
    <t>Porcelain or china household ware</t>
  </si>
  <si>
    <t>Household ware of other ceramic materials</t>
  </si>
  <si>
    <t>Nematalosa nasus</t>
  </si>
  <si>
    <t>Pellona ditchela</t>
  </si>
  <si>
    <t>Pellona flavipinnis</t>
  </si>
  <si>
    <t>Tenualosa ilisha</t>
  </si>
  <si>
    <t>Tenualosa toli</t>
  </si>
  <si>
    <t>Chanos chanos</t>
  </si>
  <si>
    <t>Gasterosteus aculeatus</t>
  </si>
  <si>
    <t>Lampetra fluviatilis</t>
  </si>
  <si>
    <t>Megalops atlanticus</t>
  </si>
  <si>
    <t>Megalops cyprinoides</t>
  </si>
  <si>
    <t>Mene maculata</t>
  </si>
  <si>
    <t>Menticirrhus littoralis</t>
  </si>
  <si>
    <t>Scomberomorus brasiliensis</t>
  </si>
  <si>
    <t>Scomberomorus cavalla</t>
  </si>
  <si>
    <t>Scomberomorus commerson</t>
  </si>
  <si>
    <t>Scomberomorus guttatus</t>
  </si>
  <si>
    <t>Scomberomorus lineolatus</t>
  </si>
  <si>
    <t>Sugars &amp; syrups nes incl.art.honey &amp; caramel</t>
  </si>
  <si>
    <t>Sugar confectionery &amp; other sugar preparation</t>
  </si>
  <si>
    <t>Efp</t>
  </si>
  <si>
    <t>BC</t>
  </si>
  <si>
    <t>Efc</t>
  </si>
  <si>
    <t>Moray cods nei</t>
  </si>
  <si>
    <t>Mote sculpin</t>
  </si>
  <si>
    <t>Coke &amp; semi coke of coal, of lignite or of pe</t>
  </si>
  <si>
    <t>Petroleum,crude &amp; partly refined</t>
  </si>
  <si>
    <t>Common Atlantic grenadier</t>
  </si>
  <si>
    <t>Common periwinkle</t>
  </si>
  <si>
    <t>Great Northern tilefish</t>
  </si>
  <si>
    <t>Gulper shark</t>
  </si>
  <si>
    <t>Horned octopus</t>
  </si>
  <si>
    <t>0207.2_a</t>
  </si>
  <si>
    <t>Waste of wool and of other animal hair, nes</t>
  </si>
  <si>
    <t>World Quantity</t>
  </si>
  <si>
    <t>%</t>
  </si>
  <si>
    <t>Market</t>
  </si>
  <si>
    <t>Grass Crops</t>
  </si>
  <si>
    <t>Residue</t>
  </si>
  <si>
    <t>TOT</t>
  </si>
  <si>
    <t>FOR EVERY ROW, SUM (GREY NUMBERS IN TABLE 1 &amp; TABLE 2) = 1</t>
  </si>
  <si>
    <t>TABLE 1</t>
  </si>
  <si>
    <t>TABLE 2</t>
  </si>
  <si>
    <t>Tot Crop %</t>
  </si>
  <si>
    <t>Grass Crop %</t>
  </si>
  <si>
    <t>Crop Residue %</t>
  </si>
  <si>
    <t>Market Crop %</t>
  </si>
  <si>
    <t>Check</t>
  </si>
  <si>
    <t>Crop Residue</t>
  </si>
  <si>
    <t>4103.20_c</t>
  </si>
  <si>
    <t>4101_d</t>
  </si>
  <si>
    <t>4103.90_c</t>
  </si>
  <si>
    <t>4101_k</t>
  </si>
  <si>
    <t>4101_h</t>
  </si>
  <si>
    <t>4103.90_d</t>
  </si>
  <si>
    <t>4101_a</t>
  </si>
  <si>
    <t>4101_c</t>
  </si>
  <si>
    <t>4103.20_a</t>
  </si>
  <si>
    <t>4101_b</t>
  </si>
  <si>
    <t>1702.1_a</t>
  </si>
  <si>
    <t>1501.00_a</t>
  </si>
  <si>
    <t>0106.90_e</t>
  </si>
  <si>
    <t>1602.20_a</t>
  </si>
  <si>
    <t>0210.9_a</t>
  </si>
  <si>
    <t>1603.00_a</t>
  </si>
  <si>
    <t>1602.3_a</t>
  </si>
  <si>
    <t>0201ab</t>
  </si>
  <si>
    <t>0402.99_b</t>
  </si>
  <si>
    <t>0402.10_a</t>
  </si>
  <si>
    <t>0402.91_b</t>
  </si>
  <si>
    <t>0401.10_a</t>
  </si>
  <si>
    <t>0402.99_a</t>
  </si>
  <si>
    <t>0402.2_a</t>
  </si>
  <si>
    <t>0402.91_a</t>
  </si>
  <si>
    <t>1102.90_e</t>
  </si>
  <si>
    <t>0207.1_b</t>
  </si>
  <si>
    <t>Scallops nei</t>
  </si>
  <si>
    <t>Snooks(=Robalos) nei</t>
  </si>
  <si>
    <t>Blue shrimp</t>
  </si>
  <si>
    <t>Orange-spotted grouper</t>
  </si>
  <si>
    <t>Meal &amp; flour of cereals exc.wheat or meslin</t>
  </si>
  <si>
    <t>Macrozoarces americanus</t>
  </si>
  <si>
    <t>Cordage,cables,ropes,twines and manufactures</t>
  </si>
  <si>
    <t>Hat bodies</t>
  </si>
  <si>
    <t>0713.20</t>
  </si>
  <si>
    <t>Pacific red snapper</t>
  </si>
  <si>
    <t>Lutjanus peru</t>
  </si>
  <si>
    <t>Parassi mullet</t>
  </si>
  <si>
    <t>Mugil incilis</t>
  </si>
  <si>
    <t>Pearly razorfish</t>
  </si>
  <si>
    <t>Xyrichtys novacula</t>
  </si>
  <si>
    <t>Pelagic thresher</t>
  </si>
  <si>
    <t>Alopias pelagicus</t>
  </si>
  <si>
    <t>Peruvian moonfish</t>
  </si>
  <si>
    <t>Selene peruviana</t>
  </si>
  <si>
    <t>Cake of Cottonseed</t>
  </si>
  <si>
    <t>2306.10</t>
  </si>
  <si>
    <t>Patinopecten caurinus</t>
  </si>
  <si>
    <t>Patinopecten yessoensis</t>
  </si>
  <si>
    <t>Butter clam</t>
  </si>
  <si>
    <t>Cast or rolled glass,unworked,in rectangles</t>
  </si>
  <si>
    <t>Domestic utensils of base metals</t>
  </si>
  <si>
    <t>Brevoortia patronus</t>
  </si>
  <si>
    <t>Brevoortia pectinata</t>
  </si>
  <si>
    <t>Brevoortia tyrannus</t>
  </si>
  <si>
    <t>Cetengraulis edentulus</t>
  </si>
  <si>
    <t>Cetengraulis mysticetus</t>
  </si>
  <si>
    <t>Chirocentrus dorab</t>
  </si>
  <si>
    <t>Spotfin flathead</t>
  </si>
  <si>
    <t>Atlantic goldeneye tilefish</t>
  </si>
  <si>
    <t>Atlantic puffers nei</t>
  </si>
  <si>
    <t>Bar jack</t>
  </si>
  <si>
    <t>Basket cockle</t>
  </si>
  <si>
    <t>Black driftfish</t>
  </si>
  <si>
    <t>Black grouper</t>
  </si>
  <si>
    <t>Black rockfish</t>
  </si>
  <si>
    <t>Iceland scallop</t>
  </si>
  <si>
    <t>Lingcod</t>
  </si>
  <si>
    <t>Lumpfish(=Lumpsucker)</t>
  </si>
  <si>
    <t>North Atlantic rockweed</t>
  </si>
  <si>
    <t>Ocean quahog</t>
  </si>
  <si>
    <t>Pacific cod</t>
  </si>
  <si>
    <t>Pacific halibut</t>
  </si>
  <si>
    <t>Pacific herring</t>
  </si>
  <si>
    <t>Pacific ocean perch</t>
  </si>
  <si>
    <t>Pandalus shrimps nei</t>
  </si>
  <si>
    <t>Queen crab</t>
  </si>
  <si>
    <t>Roundnose grenadier</t>
  </si>
  <si>
    <r>
      <t>EF</t>
    </r>
    <r>
      <rPr>
        <b/>
        <vertAlign val="subscript"/>
        <sz val="10"/>
        <rFont val="Arial"/>
        <family val="2"/>
      </rPr>
      <t>C</t>
    </r>
  </si>
  <si>
    <t>Oreochromis aureus</t>
  </si>
  <si>
    <t>Xiphopenaeus kroyeri</t>
  </si>
  <si>
    <t>Xiphopenaeus riveti</t>
  </si>
  <si>
    <t>Etmopterus spinax</t>
  </si>
  <si>
    <t>Etmopterus spp</t>
  </si>
  <si>
    <t>Galeocerdo cuvier</t>
  </si>
  <si>
    <t>Galeorhinus galeus</t>
  </si>
  <si>
    <t>Galeus melastomus</t>
  </si>
  <si>
    <t>Platycephalidae</t>
  </si>
  <si>
    <t>Platycephalus indicus</t>
  </si>
  <si>
    <t>Atheresthes evermanni</t>
  </si>
  <si>
    <t>Atheresthes stomias</t>
  </si>
  <si>
    <t>Austroglossus microlepis</t>
  </si>
  <si>
    <t>Longfin bonefish</t>
  </si>
  <si>
    <t>South American pilchard</t>
  </si>
  <si>
    <t>Taca clam</t>
  </si>
  <si>
    <t>Taquilla clams</t>
  </si>
  <si>
    <t>Charybdis crabs nei</t>
  </si>
  <si>
    <t>Bregmaceros mcclellandi</t>
  </si>
  <si>
    <t>Brosme brosme</t>
  </si>
  <si>
    <t>Coryphaenoides rupestris</t>
  </si>
  <si>
    <t>Eleginus gracilis</t>
  </si>
  <si>
    <t>Eleginus navaga</t>
  </si>
  <si>
    <t>Enchelyopus cimbrius</t>
  </si>
  <si>
    <t>Gadiformes</t>
  </si>
  <si>
    <t>Euphausia superba</t>
  </si>
  <si>
    <t>Gadus macrocephalus</t>
  </si>
  <si>
    <t>Gadus morhua</t>
  </si>
  <si>
    <t>Gadus ogac</t>
  </si>
  <si>
    <t>Southern stingray</t>
  </si>
  <si>
    <t>Dasyatis americana</t>
  </si>
  <si>
    <t>Southwest Atlantic butterfish</t>
  </si>
  <si>
    <t>Stromateus brasiliensis</t>
  </si>
  <si>
    <t>Spiral babylon</t>
  </si>
  <si>
    <t>Amer. plaice(=Long rough dab)</t>
  </si>
  <si>
    <t>Atl.jackknife(=Atl.razor clam)</t>
  </si>
  <si>
    <t>Builders woodwork &amp; prefab. Buildings of wood</t>
  </si>
  <si>
    <t>Manuf.of wood for domestic or decorative use</t>
  </si>
  <si>
    <t>Manufactured articles of wood nes</t>
  </si>
  <si>
    <t>Cork manufactures</t>
  </si>
  <si>
    <t>Newsprint paper</t>
  </si>
  <si>
    <t>Other printing and writing paper, machine mad</t>
  </si>
  <si>
    <t>Kraft paper and kraft paperboard</t>
  </si>
  <si>
    <t>Cigarette paper in bulk, rolls or sheets</t>
  </si>
  <si>
    <t>Machine made paper &amp; paperboard, simply fnshd</t>
  </si>
  <si>
    <t>Fibreboards &amp; buildg brds of pulp or veg fibr</t>
  </si>
  <si>
    <t>Hand made papers</t>
  </si>
  <si>
    <t>Paper and paperboard in rolls or sheets nes</t>
  </si>
  <si>
    <t>Coin other than gold ,not being legal tender</t>
  </si>
  <si>
    <t>EmbEn</t>
  </si>
  <si>
    <t>Sausages of Pig Meat</t>
  </si>
  <si>
    <t>0104.10</t>
  </si>
  <si>
    <t>Silk Raw</t>
  </si>
  <si>
    <t>Hen eggs, with shell</t>
  </si>
  <si>
    <t>4103.10_b</t>
  </si>
  <si>
    <t>Pigs</t>
  </si>
  <si>
    <t>GAEZ</t>
  </si>
  <si>
    <t>Settlement and infrastructure</t>
  </si>
  <si>
    <t>Crustacea &amp; molluscs,fresh,chilled,salted,dri</t>
  </si>
  <si>
    <t>Discard Factor</t>
  </si>
  <si>
    <t>Transfer Efficiency</t>
  </si>
  <si>
    <t>Fruit,temporarily preserved</t>
  </si>
  <si>
    <t>Fruit &amp; nuts,prepared or preserved,nes</t>
  </si>
  <si>
    <t>Footprint of non-fossil fuel carbon emissions</t>
  </si>
  <si>
    <t>Electric power machinery</t>
  </si>
  <si>
    <t>1521.90_b</t>
  </si>
  <si>
    <t>1502.00_e</t>
  </si>
  <si>
    <t>0406ac</t>
  </si>
  <si>
    <t>0404.10_b</t>
  </si>
  <si>
    <t>Lutjanus campechanus</t>
  </si>
  <si>
    <t>Ruff</t>
  </si>
  <si>
    <t>Sawsharks nei</t>
  </si>
  <si>
    <t>Sea anemones</t>
  </si>
  <si>
    <t>Seerfishes nei</t>
  </si>
  <si>
    <t>Shortbill spearfish</t>
  </si>
  <si>
    <t>Sillago-whitings</t>
  </si>
  <si>
    <t>Silver gemfish</t>
  </si>
  <si>
    <t>Silver grunt</t>
  </si>
  <si>
    <t>Slipper lobsters nei</t>
  </si>
  <si>
    <t>Snoek</t>
  </si>
  <si>
    <t>Monopterus albus</t>
  </si>
  <si>
    <t>Mormyridae</t>
  </si>
  <si>
    <t>Pineapple Juice Conc</t>
  </si>
  <si>
    <t>2009.49</t>
  </si>
  <si>
    <t>Vegetable products,chiefly for human food nes</t>
  </si>
  <si>
    <t>Bricks,tiles and construction mat.of glass</t>
  </si>
  <si>
    <t>Flour &amp; flakes of potatoes,fruits,vegetables</t>
  </si>
  <si>
    <t>Vegetables preserved or prepared,nes</t>
  </si>
  <si>
    <t>North African catfish</t>
  </si>
  <si>
    <t>Black catfishes nei</t>
  </si>
  <si>
    <t>Nile tilapia</t>
  </si>
  <si>
    <t>Banded yellowfish</t>
  </si>
  <si>
    <t>Basketwork eel</t>
  </si>
  <si>
    <t>Monotaxis grandoculis</t>
  </si>
  <si>
    <t>Mugil cephalus</t>
  </si>
  <si>
    <t>Mugil liza</t>
  </si>
  <si>
    <t>Mugil soiuy</t>
  </si>
  <si>
    <t>Mugilidae</t>
  </si>
  <si>
    <t>Mullidae</t>
  </si>
  <si>
    <t>Mulloidichthys flavolineatus</t>
  </si>
  <si>
    <t>Porphyra tenera</t>
  </si>
  <si>
    <t>Rhodophyceae</t>
  </si>
  <si>
    <t>Chlorophyceae</t>
  </si>
  <si>
    <t>Ulva pertusa</t>
  </si>
  <si>
    <t>Penaeus aztecus</t>
  </si>
  <si>
    <t>Penaeus brasiliensis</t>
  </si>
  <si>
    <t>Other household equipment of base metals</t>
  </si>
  <si>
    <t>Locksmiths wares</t>
  </si>
  <si>
    <t>All Fish</t>
  </si>
  <si>
    <t>Molluscs</t>
  </si>
  <si>
    <t>Other Crustaceans</t>
  </si>
  <si>
    <t>Other Fish</t>
  </si>
  <si>
    <t>Other Flatfish</t>
  </si>
  <si>
    <t>Seaweeds</t>
  </si>
  <si>
    <t>Sole</t>
  </si>
  <si>
    <t>Characins nei</t>
  </si>
  <si>
    <t>Live animals chiefly for food ,n.e.s.</t>
  </si>
  <si>
    <t>Meat of bovine animals,fresh,chilled or froze</t>
  </si>
  <si>
    <t>[External]</t>
  </si>
  <si>
    <t>feed_demand_n</t>
  </si>
  <si>
    <t>cnst_grazing</t>
  </si>
  <si>
    <t>resourcestat_livestock_n</t>
  </si>
  <si>
    <t>ef_grazing</t>
  </si>
  <si>
    <t>feed_intensity_w</t>
  </si>
  <si>
    <t>biocap</t>
  </si>
  <si>
    <t>livestock_feed_ef_n</t>
  </si>
  <si>
    <t>feed_mix_w</t>
  </si>
  <si>
    <t>livestock_intensity_w</t>
  </si>
  <si>
    <r>
      <t>[t residue feed (t crop dm)</t>
    </r>
    <r>
      <rPr>
        <vertAlign val="superscript"/>
        <sz val="10"/>
        <color indexed="23"/>
        <rFont val="Arial"/>
        <family val="2"/>
      </rPr>
      <t>-1</t>
    </r>
    <r>
      <rPr>
        <sz val="10"/>
        <color indexed="23"/>
        <rFont val="Arial"/>
        <family val="2"/>
      </rPr>
      <t>]</t>
    </r>
  </si>
  <si>
    <r>
      <t>[t residue feed yr</t>
    </r>
    <r>
      <rPr>
        <vertAlign val="superscript"/>
        <sz val="10"/>
        <color indexed="23"/>
        <rFont val="Arial"/>
        <family val="2"/>
      </rPr>
      <t>-1</t>
    </r>
    <r>
      <rPr>
        <sz val="10"/>
        <color indexed="23"/>
        <rFont val="Arial"/>
        <family val="2"/>
      </rPr>
      <t>]</t>
    </r>
  </si>
  <si>
    <r>
      <t>[t head</t>
    </r>
    <r>
      <rPr>
        <vertAlign val="superscript"/>
        <sz val="10"/>
        <color indexed="23"/>
        <rFont val="Arial"/>
        <family val="2"/>
      </rPr>
      <t>-1</t>
    </r>
    <r>
      <rPr>
        <sz val="10"/>
        <color indexed="23"/>
        <rFont val="Arial"/>
        <family val="2"/>
      </rPr>
      <t>]</t>
    </r>
  </si>
  <si>
    <t>livestock_efi</t>
  </si>
  <si>
    <t>livestock_intensity_n_crop</t>
  </si>
  <si>
    <t>livestock_intensity_n_grazing</t>
  </si>
  <si>
    <t>livestock_efe</t>
  </si>
  <si>
    <t>[t head-1]</t>
  </si>
  <si>
    <r>
      <t>[t d (t p)</t>
    </r>
    <r>
      <rPr>
        <vertAlign val="superscript"/>
        <sz val="10"/>
        <color indexed="23"/>
        <rFont val="Arial"/>
        <family val="2"/>
      </rPr>
      <t>-1</t>
    </r>
    <r>
      <rPr>
        <sz val="10"/>
        <color indexed="23"/>
        <rFont val="Arial"/>
        <family val="2"/>
      </rPr>
      <t>]</t>
    </r>
  </si>
  <si>
    <r>
      <t>[gha (t d)</t>
    </r>
    <r>
      <rPr>
        <vertAlign val="superscript"/>
        <sz val="10"/>
        <color indexed="23"/>
        <rFont val="Arial"/>
        <family val="2"/>
      </rPr>
      <t>-1</t>
    </r>
    <r>
      <rPr>
        <sz val="10"/>
        <color indexed="23"/>
        <rFont val="Arial"/>
        <family val="2"/>
      </rPr>
      <t>]</t>
    </r>
  </si>
  <si>
    <r>
      <t>[t</t>
    </r>
    <r>
      <rPr>
        <vertAlign val="subscript"/>
        <sz val="10"/>
        <color indexed="23"/>
        <rFont val="Arial"/>
        <family val="2"/>
      </rPr>
      <t>F</t>
    </r>
    <r>
      <rPr>
        <sz val="10"/>
        <color indexed="23"/>
        <rFont val="Arial"/>
        <family val="2"/>
      </rPr>
      <t xml:space="preserve"> t LW</t>
    </r>
    <r>
      <rPr>
        <vertAlign val="superscript"/>
        <sz val="10"/>
        <color indexed="23"/>
        <rFont val="Arial"/>
        <family val="2"/>
      </rPr>
      <t>-1</t>
    </r>
    <r>
      <rPr>
        <sz val="10"/>
        <color indexed="23"/>
        <rFont val="Arial"/>
        <family val="2"/>
      </rPr>
      <t>]</t>
    </r>
  </si>
  <si>
    <r>
      <t>[t wha</t>
    </r>
    <r>
      <rPr>
        <vertAlign val="superscript"/>
        <sz val="10"/>
        <color indexed="22"/>
        <rFont val="Arial"/>
        <family val="2"/>
      </rPr>
      <t>-1</t>
    </r>
    <r>
      <rPr>
        <sz val="10"/>
        <color indexed="22"/>
        <rFont val="Arial"/>
        <family val="2"/>
      </rPr>
      <t xml:space="preserve"> yr</t>
    </r>
    <r>
      <rPr>
        <vertAlign val="superscript"/>
        <sz val="10"/>
        <color indexed="22"/>
        <rFont val="Arial"/>
        <family val="2"/>
      </rPr>
      <t>-1</t>
    </r>
    <r>
      <rPr>
        <sz val="10"/>
        <color indexed="22"/>
        <rFont val="Arial"/>
        <family val="2"/>
      </rPr>
      <t>]</t>
    </r>
  </si>
  <si>
    <t>fish_marine_efp</t>
  </si>
  <si>
    <t>fish_inland_efp</t>
  </si>
  <si>
    <t>fish_commodity_efi</t>
  </si>
  <si>
    <t>fish_commodity_efe</t>
  </si>
  <si>
    <t>ef_fish</t>
  </si>
  <si>
    <t>cnst_fish</t>
  </si>
  <si>
    <t>fish_commodity_yield_n</t>
  </si>
  <si>
    <t>fish_group_yield_n</t>
  </si>
  <si>
    <t>figis_capture_marine_n</t>
  </si>
  <si>
    <t>figis_commodity_n</t>
  </si>
  <si>
    <t>[t p]</t>
  </si>
  <si>
    <r>
      <t>[t d (t p)</t>
    </r>
    <r>
      <rPr>
        <vertAlign val="superscript"/>
        <sz val="10"/>
        <color indexed="22"/>
        <rFont val="Arial"/>
        <family val="2"/>
      </rPr>
      <t>-1</t>
    </r>
    <r>
      <rPr>
        <sz val="10"/>
        <color indexed="22"/>
        <rFont val="Arial"/>
        <family val="2"/>
      </rPr>
      <t>]</t>
    </r>
  </si>
  <si>
    <r>
      <t>[t p (t d)</t>
    </r>
    <r>
      <rPr>
        <vertAlign val="superscript"/>
        <sz val="10"/>
        <color indexed="23"/>
        <rFont val="Arial"/>
        <family val="2"/>
      </rPr>
      <t>-1</t>
    </r>
    <r>
      <rPr>
        <sz val="10"/>
        <color indexed="23"/>
        <rFont val="Arial"/>
        <family val="2"/>
      </rPr>
      <t>]</t>
    </r>
  </si>
  <si>
    <t>Normanichthys crockeri</t>
  </si>
  <si>
    <t>Notothenia gibberifrons</t>
  </si>
  <si>
    <t>Notothenia kempi</t>
  </si>
  <si>
    <t>Notothenia neglecta</t>
  </si>
  <si>
    <t>Notothenia rossii</t>
  </si>
  <si>
    <t>Notothenia squamifrons</t>
  </si>
  <si>
    <t>Nototheniidae</t>
  </si>
  <si>
    <t>EQF</t>
  </si>
  <si>
    <t>Nitrogen function compounds</t>
  </si>
  <si>
    <t>Pomadasys incisus</t>
  </si>
  <si>
    <t>Pomadasys jubelini</t>
  </si>
  <si>
    <t>Pomadasys kaakan</t>
  </si>
  <si>
    <t>Pomadasys stridens</t>
  </si>
  <si>
    <t>Footwear</t>
  </si>
  <si>
    <t>Optical elements</t>
  </si>
  <si>
    <t>Spectacles and spectacle frames</t>
  </si>
  <si>
    <t>Binoculars, microscopes &amp; other optical instr</t>
  </si>
  <si>
    <t>Photographic cameras and flashlight apparatus</t>
  </si>
  <si>
    <t>Hunting and sporting ammunition</t>
  </si>
  <si>
    <t>Biocapacity</t>
  </si>
  <si>
    <t>Introduction</t>
  </si>
  <si>
    <t>For More Information</t>
  </si>
  <si>
    <t>0710.10</t>
  </si>
  <si>
    <t>Dicentrarchus labrax</t>
  </si>
  <si>
    <t>Dicentrarchus punctatus</t>
  </si>
  <si>
    <t>Dicentrarchus spp</t>
  </si>
  <si>
    <t>Diplodus argenteus</t>
  </si>
  <si>
    <t>Intensity of Fish oil Fish</t>
  </si>
  <si>
    <t>Intensity of Fish oil</t>
  </si>
  <si>
    <t>Extraction Rate of Fish Oil</t>
  </si>
  <si>
    <t>Synthetic rubber and rubber substitutes</t>
  </si>
  <si>
    <t>Reclaimed rubber</t>
  </si>
  <si>
    <t>Waste &amp; scrap of unhardened rubber</t>
  </si>
  <si>
    <t>Fuel wood &amp; wood waste</t>
  </si>
  <si>
    <t>Wood charcoal</t>
  </si>
  <si>
    <t>Pulpwood, including broadleaved</t>
  </si>
  <si>
    <t>Edible offals of animals,fresh,chilled,frozen</t>
  </si>
  <si>
    <t>Other fresh,chilled,frozen meat &amp; edible offa</t>
  </si>
  <si>
    <t>Bacon,ham &amp; other dried,salted,smoked pig mea</t>
  </si>
  <si>
    <t>Meat &amp; edible offals,nes. Dried,salted,smoked</t>
  </si>
  <si>
    <t>Meat extracts &amp; meat juices</t>
  </si>
  <si>
    <t>Sausages,whether or not in airtight container</t>
  </si>
  <si>
    <t>Other prepared or preserved meat</t>
  </si>
  <si>
    <t>Milk &amp; cream evaporated or condensed</t>
  </si>
  <si>
    <t>Milk &amp; cream in solid form,blocks or powder</t>
  </si>
  <si>
    <t>Milk &amp; cream fresh</t>
  </si>
  <si>
    <t>Umbrina canariensis</t>
  </si>
  <si>
    <t>Umbrina canosai</t>
  </si>
  <si>
    <t>Umbrina cirrosa</t>
  </si>
  <si>
    <t>Upeneus spp</t>
  </si>
  <si>
    <t>Valamugil seheli</t>
  </si>
  <si>
    <t>Crocodylus acutus</t>
  </si>
  <si>
    <t>Stenella frontalis</t>
  </si>
  <si>
    <t>Lagenorhynchus acutus</t>
  </si>
  <si>
    <t>Crocodylus johnstoni</t>
  </si>
  <si>
    <t>Orcaella heinsohni</t>
  </si>
  <si>
    <t>Phoca sibirica</t>
  </si>
  <si>
    <t>Berardius bairdii</t>
  </si>
  <si>
    <t>Mysticeti</t>
  </si>
  <si>
    <t>Mesoplodon spp</t>
  </si>
  <si>
    <t>Erignathus barbatus</t>
  </si>
  <si>
    <t>Fish fillets, frozen, nei</t>
  </si>
  <si>
    <t>Octopus, other than live, fresh or chilled</t>
  </si>
  <si>
    <t>Toothfish (Dissostichus spp.), frozen</t>
  </si>
  <si>
    <t>Preparations of a kind used in animal feeding, nei</t>
  </si>
  <si>
    <t>Toothfish (Dissostichus spp.), fresh or chilled</t>
  </si>
  <si>
    <t>Pacific sand sole</t>
  </si>
  <si>
    <t>Pacific sanddab</t>
  </si>
  <si>
    <t>Pacific tomcod</t>
  </si>
  <si>
    <t>Petrale sole</t>
  </si>
  <si>
    <t>Pigfish</t>
  </si>
  <si>
    <t>Argyrosomus hololepidotus</t>
  </si>
  <si>
    <t>Argyrosomus regius</t>
  </si>
  <si>
    <t>Argyrozona argyrozona</t>
  </si>
  <si>
    <t>Ariidae</t>
  </si>
  <si>
    <t>Chicken meat</t>
  </si>
  <si>
    <t>Atlantic searobins</t>
  </si>
  <si>
    <t>Margarine, imitn lard &amp; preprd edible fats ne</t>
  </si>
  <si>
    <t>Meat of swine,fresh,chilled or frozen</t>
  </si>
  <si>
    <t>Poultry,incl.offals ex.liver fresh,chilled,fr</t>
  </si>
  <si>
    <t>Meat of horses,asses,mules &amp; hinnies,fr.ch.fr</t>
  </si>
  <si>
    <t>Bastard halibuts nei</t>
  </si>
  <si>
    <t>Black drum</t>
  </si>
  <si>
    <t>Blackbelly rosefish</t>
  </si>
  <si>
    <t>Blue antimora</t>
  </si>
  <si>
    <t>Brazilian codling</t>
  </si>
  <si>
    <t>Brazilian flathead</t>
  </si>
  <si>
    <t>Percophis brasiliensis</t>
  </si>
  <si>
    <t>Phycis blennoides</t>
  </si>
  <si>
    <t>Phycis phycis</t>
  </si>
  <si>
    <t>Butterm.,Curdl,Acid.Milk</t>
  </si>
  <si>
    <t>Cattle Hides</t>
  </si>
  <si>
    <t>Cereals, nes</t>
  </si>
  <si>
    <t>Cider Etc</t>
  </si>
  <si>
    <t>Citrus fruit, nes</t>
  </si>
  <si>
    <t>Citrus juice, concentrated</t>
  </si>
  <si>
    <t>Flour of Maize</t>
  </si>
  <si>
    <t>Flour of Mixed Grain</t>
  </si>
  <si>
    <t>Fruit Juice Nes</t>
  </si>
  <si>
    <t>Sea chubs nei</t>
  </si>
  <si>
    <t>Triggerfishes, durgons nei</t>
  </si>
  <si>
    <t>American harvestfish</t>
  </si>
  <si>
    <t>Peprilus paru</t>
  </si>
  <si>
    <t>Angulate volute</t>
  </si>
  <si>
    <t>Antarctic krill</t>
  </si>
  <si>
    <t>Antarctic rockcods, noties nei</t>
  </si>
  <si>
    <t>Sheep meat</t>
  </si>
  <si>
    <t>0204.21_a</t>
  </si>
  <si>
    <t>Sheep milk, whole, fresh</t>
  </si>
  <si>
    <t>0401.20_c</t>
  </si>
  <si>
    <t>Silk-worm cocoons, reelable</t>
  </si>
  <si>
    <t>Turkey meat</t>
  </si>
  <si>
    <t>Wool, greasy</t>
  </si>
  <si>
    <t>Sheep</t>
  </si>
  <si>
    <t>0902.00</t>
  </si>
  <si>
    <t>Grass carp(=White amur)</t>
  </si>
  <si>
    <t>Mullets nei</t>
  </si>
  <si>
    <t>Rainbow trout</t>
  </si>
  <si>
    <t>Sicyopterus lagocephalus</t>
  </si>
  <si>
    <t>Bigmouth sleeper</t>
  </si>
  <si>
    <t>Gobiomorus dormitor</t>
  </si>
  <si>
    <t>Fat sleeper</t>
  </si>
  <si>
    <t>Dormitator maculatus</t>
  </si>
  <si>
    <t>Fringebarbel sturgeon</t>
  </si>
  <si>
    <t>Acipenser nudiventris</t>
  </si>
  <si>
    <t>Gars nei</t>
  </si>
  <si>
    <t>Lepisosteidae</t>
  </si>
  <si>
    <t>Gilded catfish</t>
  </si>
  <si>
    <t>Brachyplatystoma flavicans</t>
  </si>
  <si>
    <t>Hampala barb</t>
  </si>
  <si>
    <t>Laulao catfish</t>
  </si>
  <si>
    <t>Brachyplatystoma vaillanti</t>
  </si>
  <si>
    <t>Mediterranean horse mackerel</t>
  </si>
  <si>
    <t>North Pacific hake</t>
  </si>
  <si>
    <t>Northern prawn</t>
  </si>
  <si>
    <t>Northern shortfin squid</t>
  </si>
  <si>
    <t>Ocean pout</t>
  </si>
  <si>
    <t>Pacific jack mackerel</t>
  </si>
  <si>
    <t>Red hake</t>
  </si>
  <si>
    <t>Meat Extracts</t>
  </si>
  <si>
    <t>Meat of Beef,Drd, Sltd,Smkd</t>
  </si>
  <si>
    <t>Spicara spp</t>
  </si>
  <si>
    <t>Spondyliosoma cantharus</t>
  </si>
  <si>
    <t>Stenotomus chrysops</t>
  </si>
  <si>
    <t>Cheimerius nufar</t>
  </si>
  <si>
    <t>Chelon haematocheilus</t>
  </si>
  <si>
    <t>Chrysoblephus spp</t>
  </si>
  <si>
    <t>Epinephelus multinotatus</t>
  </si>
  <si>
    <t>Epinephelus nigritus</t>
  </si>
  <si>
    <t>Inorganic chemical products,nes</t>
  </si>
  <si>
    <t>Radioactive chem.elements &amp; isotopes/comp.&amp;mi</t>
  </si>
  <si>
    <t>Urophycis tenuis</t>
  </si>
  <si>
    <t>Mesoplodon densirostris</t>
  </si>
  <si>
    <t>Balaenoptera musculus</t>
  </si>
  <si>
    <t>Inia geoffrensis</t>
  </si>
  <si>
    <t>Tursiops truncatus</t>
  </si>
  <si>
    <t>Balaena mysticetus</t>
  </si>
  <si>
    <t>Caiman latirostris</t>
  </si>
  <si>
    <t>Balaenoptera edeni</t>
  </si>
  <si>
    <t>Phocoena spinipinnis</t>
  </si>
  <si>
    <t>Phoca caspica</t>
  </si>
  <si>
    <t>Stenella clymene</t>
  </si>
  <si>
    <t>Cephalorhynchus commersonii</t>
  </si>
  <si>
    <t>Delphinus delphis</t>
  </si>
  <si>
    <t>Crocodylidae</t>
  </si>
  <si>
    <t>Crocodylus rhombifer</t>
  </si>
  <si>
    <t>Ziphius cavirostris</t>
  </si>
  <si>
    <t>Paleosuchus palpebrosus</t>
  </si>
  <si>
    <t>Phocoenoides dalli</t>
  </si>
  <si>
    <t>Delphinidae</t>
  </si>
  <si>
    <t>HS+ Code</t>
  </si>
  <si>
    <t>FAO Code</t>
  </si>
  <si>
    <t>Eschrichtius robustus</t>
  </si>
  <si>
    <t>2009.71</t>
  </si>
  <si>
    <t>1104.29</t>
  </si>
  <si>
    <t>2302.40</t>
  </si>
  <si>
    <t>2206.00</t>
  </si>
  <si>
    <t>Undaria pinnatifida</t>
  </si>
  <si>
    <t>Callophyllis variegata</t>
  </si>
  <si>
    <t>Chondrus crispus</t>
  </si>
  <si>
    <t>Digenea simplex</t>
  </si>
  <si>
    <t>Gelidium spp</t>
  </si>
  <si>
    <t>Beans, dry</t>
  </si>
  <si>
    <t>0713.3_a</t>
  </si>
  <si>
    <t>Macrourus spp</t>
  </si>
  <si>
    <t>Scirpus spp</t>
  </si>
  <si>
    <t>Spirulina spp</t>
  </si>
  <si>
    <t>Zostera marina</t>
  </si>
  <si>
    <t>Name</t>
  </si>
  <si>
    <t>Code</t>
  </si>
  <si>
    <t>Production</t>
  </si>
  <si>
    <t>Yield</t>
  </si>
  <si>
    <t>forage Products</t>
  </si>
  <si>
    <t>Frozen Potatoes</t>
  </si>
  <si>
    <t>Polishes,pastes,powder for polishing/preservi</t>
  </si>
  <si>
    <t>Nitrogenous fertilizers and materials nes</t>
  </si>
  <si>
    <t>Cotton yarn &amp; thread, grey, not mercerized</t>
  </si>
  <si>
    <t>Scorpaenichthys marmoratus</t>
  </si>
  <si>
    <t>Semicossyphus pulcher</t>
  </si>
  <si>
    <t>Halobatrachus didactylus</t>
  </si>
  <si>
    <t>Mackerel sharks,porbeagles nei</t>
  </si>
  <si>
    <t>Lamnidae</t>
  </si>
  <si>
    <t>Mantas, devil rays nei</t>
  </si>
  <si>
    <t>Mexican barred snapper</t>
  </si>
  <si>
    <t>Mexican four-eyed octopus</t>
  </si>
  <si>
    <t>Octopus maya</t>
  </si>
  <si>
    <t>Mola rock crab</t>
  </si>
  <si>
    <t>Monkfishes nei</t>
  </si>
  <si>
    <t>Lophius spp</t>
  </si>
  <si>
    <t>Mouse catshark</t>
  </si>
  <si>
    <t>Galeus murinus</t>
  </si>
  <si>
    <t>Musky octopus</t>
  </si>
  <si>
    <t>Eledone moschata</t>
  </si>
  <si>
    <t>Mutton snapper</t>
  </si>
  <si>
    <t>Lutjanus analis</t>
  </si>
  <si>
    <t>Northern wolffish</t>
  </si>
  <si>
    <t>Anarhichas denticulatus</t>
  </si>
  <si>
    <t>Norway redfish</t>
  </si>
  <si>
    <t>Sebastes viviparus</t>
  </si>
  <si>
    <t>Ocean shrimp</t>
  </si>
  <si>
    <t>Pandalus jordani</t>
  </si>
  <si>
    <t>Offshore rockfish</t>
  </si>
  <si>
    <t>Pontinus kuhlii</t>
  </si>
  <si>
    <t>Pacific angelshark</t>
  </si>
  <si>
    <t>Squatina californica</t>
  </si>
  <si>
    <t>Pacific cornetfish</t>
  </si>
  <si>
    <t>Fistularia corneta</t>
  </si>
  <si>
    <t>Pacific flatiron herring</t>
  </si>
  <si>
    <t>Harengula thrissina</t>
  </si>
  <si>
    <t>Pacific piquitinga</t>
  </si>
  <si>
    <t>Lile stolifera</t>
  </si>
  <si>
    <t>Potato Offals</t>
  </si>
  <si>
    <t>2308.00_a</t>
  </si>
  <si>
    <t>0701_a</t>
  </si>
  <si>
    <t>0208.10_a</t>
  </si>
  <si>
    <t>0810.20_a</t>
  </si>
  <si>
    <t>1006.10_a</t>
  </si>
  <si>
    <t>1002.00_a</t>
  </si>
  <si>
    <t>1207.40_a</t>
  </si>
  <si>
    <t>5001.00_a</t>
  </si>
  <si>
    <t>New Zealand dory</t>
  </si>
  <si>
    <t>Percarina</t>
  </si>
  <si>
    <t>Sheepshead</t>
  </si>
  <si>
    <t>Snowy grouper</t>
  </si>
  <si>
    <t>Spot croaker</t>
  </si>
  <si>
    <t>Spotted ratfish</t>
  </si>
  <si>
    <t>Squeteague(=Gray weakfish)</t>
  </si>
  <si>
    <t>Red grouper</t>
  </si>
  <si>
    <t>Redspotted shrimp</t>
  </si>
  <si>
    <t>Sawfishes</t>
  </si>
  <si>
    <t>Scaled sardines</t>
  </si>
  <si>
    <t>Pacific guitarfish</t>
  </si>
  <si>
    <t>Peruvian banded croaker</t>
  </si>
  <si>
    <t>Glassfishes</t>
  </si>
  <si>
    <t>Moonfish</t>
  </si>
  <si>
    <t>Antarctic silverfish</t>
  </si>
  <si>
    <t>Fourbeard rockling</t>
  </si>
  <si>
    <t>Widow rockfish</t>
  </si>
  <si>
    <t>Yellowtail rockfish</t>
  </si>
  <si>
    <t>Hypomesus olidus</t>
  </si>
  <si>
    <t>Hypomesus pretiosus</t>
  </si>
  <si>
    <t>Oncorhynchus gorbuscha</t>
  </si>
  <si>
    <t>Oncorhynchus keta</t>
  </si>
  <si>
    <t>Oncorhynchus kisutch</t>
  </si>
  <si>
    <t>Yellowfin grouper</t>
  </si>
  <si>
    <t xml:space="preserve">Non-specified Transport </t>
  </si>
  <si>
    <t>0901.90</t>
  </si>
  <si>
    <t>Coffee Roasted</t>
  </si>
  <si>
    <t>Note: This table is used in calculating the World total Ecological Footprint only</t>
  </si>
  <si>
    <t>eqf</t>
  </si>
  <si>
    <t>crop_efp</t>
  </si>
  <si>
    <t>crop_trade_yield_w</t>
  </si>
  <si>
    <t>crop_yield_w</t>
  </si>
  <si>
    <t>prodstat_crop_n</t>
  </si>
  <si>
    <t>tradestat_n</t>
  </si>
  <si>
    <t>Pacific cupped oyster</t>
  </si>
  <si>
    <t>Penaeus notialis</t>
  </si>
  <si>
    <t>Penaeus occidentalis</t>
  </si>
  <si>
    <t>Penaeus paulensis</t>
  </si>
  <si>
    <t>Penaeus penicillatus</t>
  </si>
  <si>
    <t>Penaeus semisulcatus</t>
  </si>
  <si>
    <t>Penaeus setiferus</t>
  </si>
  <si>
    <t>Penaeus spp</t>
  </si>
  <si>
    <t>Penaeus stylirostris</t>
  </si>
  <si>
    <t>Mediterranean shore crab</t>
  </si>
  <si>
    <t>Megrim</t>
  </si>
  <si>
    <t>Norway lobster</t>
  </si>
  <si>
    <t>Pandoras nei</t>
  </si>
  <si>
    <t>Picarels nei</t>
  </si>
  <si>
    <t>Poor cod</t>
  </si>
  <si>
    <t>Skinsdry Sltsheep</t>
  </si>
  <si>
    <t>Skinswet Sltdpigs</t>
  </si>
  <si>
    <t>Soya Sauce</t>
  </si>
  <si>
    <t>2103.10</t>
  </si>
  <si>
    <t>Spermaceti</t>
  </si>
  <si>
    <t>Beer including ale,stout,porter</t>
  </si>
  <si>
    <t>Distilled alcoholic beverages</t>
  </si>
  <si>
    <t>Cnidaria</t>
  </si>
  <si>
    <t>Corallium elatius</t>
  </si>
  <si>
    <t>Corallium japonicum</t>
  </si>
  <si>
    <t>Corallium konojoi</t>
  </si>
  <si>
    <t>Corallium rubrum</t>
  </si>
  <si>
    <t>Hilsa kelee</t>
  </si>
  <si>
    <t>Seed Cotton</t>
  </si>
  <si>
    <t>2008.99</t>
  </si>
  <si>
    <t>1702.11</t>
  </si>
  <si>
    <t>1701.99</t>
  </si>
  <si>
    <t>0713.90</t>
  </si>
  <si>
    <t>2004.90</t>
  </si>
  <si>
    <t>0712.90</t>
  </si>
  <si>
    <t>Knifefishes</t>
  </si>
  <si>
    <t>[wha]</t>
  </si>
  <si>
    <t>Flour of Fonio</t>
  </si>
  <si>
    <t>Red bait</t>
  </si>
  <si>
    <t>Capromimus abbreviatus</t>
  </si>
  <si>
    <t>Motor spirit, gasolene and other light oils</t>
  </si>
  <si>
    <t>Chilean kelp</t>
  </si>
  <si>
    <t>Chilean knife shrimp</t>
  </si>
  <si>
    <t>Chilean nylon shrimp</t>
  </si>
  <si>
    <t>Fur clothing</t>
  </si>
  <si>
    <t>World TFR</t>
  </si>
  <si>
    <t>National TFR</t>
  </si>
  <si>
    <t>Relative Intensity</t>
  </si>
  <si>
    <t>[t feed / t LW]</t>
  </si>
  <si>
    <t>Raja hyperborea</t>
  </si>
  <si>
    <t>Snubnose pompano</t>
  </si>
  <si>
    <t>Mangrove cupped oyster</t>
  </si>
  <si>
    <t>Maize</t>
  </si>
  <si>
    <t>Food Waste,Prep. for Feed</t>
  </si>
  <si>
    <t>2309.90_l</t>
  </si>
  <si>
    <t>Food Wastes</t>
  </si>
  <si>
    <t>Allis shad</t>
  </si>
  <si>
    <t>Basking shark</t>
  </si>
  <si>
    <t>Black dogfish</t>
  </si>
  <si>
    <t>Blackmouth catshark</t>
  </si>
  <si>
    <t>Liza saliens</t>
  </si>
  <si>
    <t>Lutjanidae</t>
  </si>
  <si>
    <t>Mojarras, etc. nei</t>
  </si>
  <si>
    <t>Pacific anchoveta</t>
  </si>
  <si>
    <t>Pacific seabob</t>
  </si>
  <si>
    <t>Pacific sierra</t>
  </si>
  <si>
    <t>Panama hake</t>
  </si>
  <si>
    <t>Spotted grouper</t>
  </si>
  <si>
    <t>Western white shrimp</t>
  </si>
  <si>
    <t>Corvina drum</t>
  </si>
  <si>
    <t>Non refractory ceramic bricks,tiles,pipes etc</t>
  </si>
  <si>
    <t>Grinding and polishing wheels and stones</t>
  </si>
  <si>
    <t>Abrasive cloths and papers and similar art.</t>
  </si>
  <si>
    <t>Worked mica and articles thereof</t>
  </si>
  <si>
    <t>Mineral insulating materials, nes</t>
  </si>
  <si>
    <t>Artichokes</t>
  </si>
  <si>
    <t>0709.10</t>
  </si>
  <si>
    <t>Asparagus</t>
  </si>
  <si>
    <t>Sisal and other fibres of the agave family</t>
  </si>
  <si>
    <t>Manila fibre and manila tow and waste</t>
  </si>
  <si>
    <t>5305.2_a</t>
  </si>
  <si>
    <t>Maple Sugar and Syrups</t>
  </si>
  <si>
    <t>1702.20</t>
  </si>
  <si>
    <t>Meal Meat</t>
  </si>
  <si>
    <t>Sergestid shrimps nei</t>
  </si>
  <si>
    <t>Turban shells nei</t>
  </si>
  <si>
    <t>Dogtooth tuna</t>
  </si>
  <si>
    <t>Atlantic Spanish mackerel</t>
  </si>
  <si>
    <t>Bobo mullet</t>
  </si>
  <si>
    <t>California pilchard</t>
  </si>
  <si>
    <t>Californian anchovy</t>
  </si>
  <si>
    <t>Gulf kingcroaker</t>
  </si>
  <si>
    <t>Northern red snapper</t>
  </si>
  <si>
    <t>Ocean whitefish</t>
  </si>
  <si>
    <t>Spotted weakfish</t>
  </si>
  <si>
    <t>Totoaba</t>
  </si>
  <si>
    <t>Forkbeards nei</t>
  </si>
  <si>
    <t>Mozambique lobster</t>
  </si>
  <si>
    <t>Cape elephantfish</t>
  </si>
  <si>
    <t>Sebastes pinniger</t>
  </si>
  <si>
    <t>Sebastes spp</t>
  </si>
  <si>
    <t>Sebastolobus alascanus</t>
  </si>
  <si>
    <t>Seriolella brama</t>
  </si>
  <si>
    <t>Donax spp</t>
  </si>
  <si>
    <t>Scarus ghobban</t>
  </si>
  <si>
    <t>Scarus persicus</t>
  </si>
  <si>
    <t>Scatophagus spp</t>
  </si>
  <si>
    <t>Chub mackerel</t>
  </si>
  <si>
    <t>Conger eels, etc. nei</t>
  </si>
  <si>
    <t>Cunene horse mackerel</t>
  </si>
  <si>
    <t>Dentex nei</t>
  </si>
  <si>
    <t>False scad</t>
  </si>
  <si>
    <t>Grunts, sweetlips nei</t>
  </si>
  <si>
    <t>Large-eye dentex</t>
  </si>
  <si>
    <t>Lobsters nei</t>
  </si>
  <si>
    <t>Pompano</t>
  </si>
  <si>
    <t>Red pandora</t>
  </si>
  <si>
    <t>Sand steenbras</t>
  </si>
  <si>
    <t>Shallow-water Cape hake</t>
  </si>
  <si>
    <t>Southern African pilchard</t>
  </si>
  <si>
    <t>Southern meagre(=Mulloway)</t>
  </si>
  <si>
    <t>Striped red shrimp</t>
  </si>
  <si>
    <t>Various squids nei</t>
  </si>
  <si>
    <t>West African croakers nei</t>
  </si>
  <si>
    <t>Plywood, including veneered panels</t>
  </si>
  <si>
    <t>Mullus argentinae</t>
  </si>
  <si>
    <t>Mullus barbatus</t>
  </si>
  <si>
    <t>Pink ear emperor</t>
  </si>
  <si>
    <t>Mustelus spp</t>
  </si>
  <si>
    <t>Myliobatidae</t>
  </si>
  <si>
    <t>Myliobatis aquila</t>
  </si>
  <si>
    <t>Negaprion brevirostris</t>
  </si>
  <si>
    <t>Notorynchus cepedianus</t>
  </si>
  <si>
    <t>Oxynotus centrina</t>
  </si>
  <si>
    <t>Feed Supplements</t>
  </si>
  <si>
    <t>2309.90_f</t>
  </si>
  <si>
    <t>Fibre Crops Nes</t>
  </si>
  <si>
    <t>5305.90_c</t>
  </si>
  <si>
    <t>Figs Dried</t>
  </si>
  <si>
    <t>0804.20_b</t>
  </si>
  <si>
    <t>Fine Goat Hair</t>
  </si>
  <si>
    <t>Flax Fibre Raw</t>
  </si>
  <si>
    <t>5301.10</t>
  </si>
  <si>
    <t>Flax Tow Waste</t>
  </si>
  <si>
    <t>5301.30</t>
  </si>
  <si>
    <t>Flour of Buckwheat</t>
  </si>
  <si>
    <t>1102.90_d</t>
  </si>
  <si>
    <t>Flour of Cassava</t>
  </si>
  <si>
    <t>1106.20_b</t>
  </si>
  <si>
    <t>Flour of Fruits</t>
  </si>
  <si>
    <t>1106.30</t>
  </si>
  <si>
    <t>Flour of Millet</t>
  </si>
  <si>
    <t>ricebmeal</t>
  </si>
  <si>
    <t>Buffaloes</t>
  </si>
  <si>
    <t>0102_b</t>
  </si>
  <si>
    <t>Cancer pagurus</t>
  </si>
  <si>
    <t>Jasus edwardsii</t>
  </si>
  <si>
    <t>Jasus frontalis</t>
  </si>
  <si>
    <t>Jasus lalandii</t>
  </si>
  <si>
    <t>Percoidei</t>
  </si>
  <si>
    <t>Petrus rupestris</t>
  </si>
  <si>
    <t>Platax spp</t>
  </si>
  <si>
    <t>Wheat, other cereals</t>
  </si>
  <si>
    <t>Rice, Paddy</t>
  </si>
  <si>
    <t>Cutlery</t>
  </si>
  <si>
    <t>Red-eye round herring</t>
  </si>
  <si>
    <t>Snake mackerels, escolars nei</t>
  </si>
  <si>
    <t>Springs and leaves for srings/iron steel copp</t>
  </si>
  <si>
    <t>Miscell.articles of base metal</t>
  </si>
  <si>
    <t>Articles of base metals, nes</t>
  </si>
  <si>
    <t>1214.90_e</t>
  </si>
  <si>
    <t>Safflower oil</t>
  </si>
  <si>
    <t>1512.1_b</t>
  </si>
  <si>
    <t>Haddock, fresh or chilled</t>
  </si>
  <si>
    <t>Haddock, frozen</t>
  </si>
  <si>
    <t>Violet warehou</t>
  </si>
  <si>
    <t>Schedophilus velaini</t>
  </si>
  <si>
    <t>Weeverfishes nei</t>
  </si>
  <si>
    <t>Trachinidae</t>
  </si>
  <si>
    <t>Weevers nei</t>
  </si>
  <si>
    <t>Trachinus spp</t>
  </si>
  <si>
    <t>Alepocephalus bairdii</t>
  </si>
  <si>
    <t>Allocyttus niger</t>
  </si>
  <si>
    <t>Anarhichas lupus</t>
  </si>
  <si>
    <t>Anarhichas minor</t>
  </si>
  <si>
    <t>Anarhichas spp</t>
  </si>
  <si>
    <t>Anoplopoma fimbria</t>
  </si>
  <si>
    <t>Chrysichthys nigrodigitatus</t>
  </si>
  <si>
    <t>EF Fish</t>
  </si>
  <si>
    <t>EF Grazing</t>
  </si>
  <si>
    <t>Expected Fish</t>
  </si>
  <si>
    <t>Fish %</t>
  </si>
  <si>
    <t>Grass %</t>
  </si>
  <si>
    <t>Forests</t>
  </si>
  <si>
    <t>Inland waters</t>
  </si>
  <si>
    <t>Infrastructure aggregate</t>
  </si>
  <si>
    <t>Epigonus telescopus</t>
  </si>
  <si>
    <t>Eutrigla gurnardus</t>
  </si>
  <si>
    <t>Gempylidae</t>
  </si>
  <si>
    <t>Genypterus blacodes</t>
  </si>
  <si>
    <t>Palinurid spiny lobsters nei</t>
  </si>
  <si>
    <t>Ornaments of ceramic materials, nes</t>
  </si>
  <si>
    <t>Pearls,not set or strung</t>
  </si>
  <si>
    <t>Diamonds,not industrial,not set or strung</t>
  </si>
  <si>
    <t>Cardinal fishes nei</t>
  </si>
  <si>
    <t>Humpback red snapper</t>
  </si>
  <si>
    <t>Humpnose big-eye bream</t>
  </si>
  <si>
    <t>Karanteen seabream</t>
  </si>
  <si>
    <t>Minstrel sweetlips</t>
  </si>
  <si>
    <t>Needlescaled queenfish</t>
  </si>
  <si>
    <t>Obtuse barracuda</t>
  </si>
  <si>
    <t>1207.9aa</t>
  </si>
  <si>
    <t>Southeast Atlantic soles nei</t>
  </si>
  <si>
    <t>Threadfin breams nei</t>
  </si>
  <si>
    <t>Tonguefishes</t>
  </si>
  <si>
    <t>Paralonchurus peruanus</t>
  </si>
  <si>
    <t>Parapercis colias</t>
  </si>
  <si>
    <t>Anchors,grapnels and parts of iron or steel</t>
  </si>
  <si>
    <t>Pins and needles of iron or steel</t>
  </si>
  <si>
    <t>Australian mussel</t>
  </si>
  <si>
    <t>Articles of ceramic materials nes</t>
  </si>
  <si>
    <t>Glass in the mass,rods &amp; tubes,waste glass</t>
  </si>
  <si>
    <t>Channa micropeltes</t>
  </si>
  <si>
    <t>Channa spp</t>
  </si>
  <si>
    <t>Yarn and thread of synthetic fibres</t>
  </si>
  <si>
    <t>Yarn and thread of regenerated fibres</t>
  </si>
  <si>
    <t>Natural phosphates, whether or not ground</t>
  </si>
  <si>
    <t>Natural potassic salts, crude</t>
  </si>
  <si>
    <t>Building &amp; monumental stone,rough</t>
  </si>
  <si>
    <t>Brachydeuterus auritus</t>
  </si>
  <si>
    <t>Caesionidae</t>
  </si>
  <si>
    <t>Abramis brama</t>
  </si>
  <si>
    <t>Abramis spp</t>
  </si>
  <si>
    <t>Acanthobrama terraesanctae</t>
  </si>
  <si>
    <t>Alburnus alburnus</t>
  </si>
  <si>
    <t>Lobotes surinamensis</t>
  </si>
  <si>
    <t>Lophiidae</t>
  </si>
  <si>
    <t>Lophius americanus</t>
  </si>
  <si>
    <t>Trophic Level</t>
  </si>
  <si>
    <t>PPR</t>
  </si>
  <si>
    <t>Freshwater mussel shells</t>
  </si>
  <si>
    <t>Hickory shad</t>
  </si>
  <si>
    <t>Mississippi paddlefish</t>
  </si>
  <si>
    <t>Striped bass</t>
  </si>
  <si>
    <t>Suckers nei</t>
  </si>
  <si>
    <t>Lutjanus griseus</t>
  </si>
  <si>
    <t>Grey tilefish</t>
  </si>
  <si>
    <t>Caulolatilus microps</t>
  </si>
  <si>
    <t>Hogfish</t>
  </si>
  <si>
    <t>Lachnolaimus maximus</t>
  </si>
  <si>
    <t>Kelp greenling</t>
  </si>
  <si>
    <t>Hexagrammos decagrammus</t>
  </si>
  <si>
    <t>Longnose anchovy</t>
  </si>
  <si>
    <t>Anchoa nasus</t>
  </si>
  <si>
    <t>Longnose spurdog</t>
  </si>
  <si>
    <t>Railway sleepers ties</t>
  </si>
  <si>
    <t>Lumber, sawn, planed, etc.  Conifer</t>
  </si>
  <si>
    <t>Parika scaber</t>
  </si>
  <si>
    <t>Cachama</t>
  </si>
  <si>
    <t>Pirapatinga</t>
  </si>
  <si>
    <t>Channel catfish</t>
  </si>
  <si>
    <t>Crassostrea iredalei</t>
  </si>
  <si>
    <t>Crassostrea rhizophorae</t>
  </si>
  <si>
    <t>Pandalus kessleri</t>
  </si>
  <si>
    <t>Pandalus montagui</t>
  </si>
  <si>
    <t>Pandalus spp</t>
  </si>
  <si>
    <t>Psettodes belcheri</t>
  </si>
  <si>
    <t>Psettodes erumei</t>
  </si>
  <si>
    <t>Pseudopleuronectes americanus</t>
  </si>
  <si>
    <t>Tetrapturus pfluegeri</t>
  </si>
  <si>
    <t>Thunnus alalunga</t>
  </si>
  <si>
    <t>Thunnus albacares</t>
  </si>
  <si>
    <t>Thunnus atlanticus</t>
  </si>
  <si>
    <t>Thunnus maccoyii</t>
  </si>
  <si>
    <t>Thunnus obesus</t>
  </si>
  <si>
    <t>Thunnus orientalis</t>
  </si>
  <si>
    <t>Thunnus thynnus</t>
  </si>
  <si>
    <t>Thunnus tonggol</t>
  </si>
  <si>
    <t>Xiphias gladius</t>
  </si>
  <si>
    <t>Ablennes hians</t>
  </si>
  <si>
    <t>Elephantfishes, etc. nei</t>
  </si>
  <si>
    <t>Gastropods nei</t>
  </si>
  <si>
    <t>Gay's little venus</t>
  </si>
  <si>
    <t>Giant barnacle</t>
  </si>
  <si>
    <t>Hapuku wreckfish</t>
  </si>
  <si>
    <t>Juan Fernandez rock lobster</t>
  </si>
  <si>
    <t>Jumbo flying squid</t>
  </si>
  <si>
    <t>King crabs, stone crabs nei</t>
  </si>
  <si>
    <t>Macha clam</t>
  </si>
  <si>
    <t>Manifold callophyllis</t>
  </si>
  <si>
    <t>1901.90_a</t>
  </si>
  <si>
    <t>Waste materials from textile fabrics</t>
  </si>
  <si>
    <t>Natural fertilizers of anim./veget. Origin</t>
  </si>
  <si>
    <t>Natural sodium nitrate</t>
  </si>
  <si>
    <t>Meganyctiphanes norvegica</t>
  </si>
  <si>
    <t>Artemia salina</t>
  </si>
  <si>
    <t>Lepas spp</t>
  </si>
  <si>
    <t>Calamus spp</t>
  </si>
  <si>
    <t>Centropomus spp</t>
  </si>
  <si>
    <t>Centropomus undecimalis</t>
  </si>
  <si>
    <t>Centropristis striata</t>
  </si>
  <si>
    <t>Fish,in airtight containers</t>
  </si>
  <si>
    <t>Wheat and meslin,unmilled</t>
  </si>
  <si>
    <t>Ruvettus pretiosus</t>
  </si>
  <si>
    <t>Alfalfa for forage and silage</t>
  </si>
  <si>
    <t>Carcharhinidae</t>
  </si>
  <si>
    <t>Other</t>
  </si>
  <si>
    <t>Crab</t>
  </si>
  <si>
    <t>Rock Lobster</t>
  </si>
  <si>
    <t>Mackerel</t>
  </si>
  <si>
    <t>Mussels</t>
  </si>
  <si>
    <t>Octopus</t>
  </si>
  <si>
    <t>Oyster</t>
  </si>
  <si>
    <t>Plaice</t>
  </si>
  <si>
    <t>Scallops</t>
  </si>
  <si>
    <t>Seabass</t>
  </si>
  <si>
    <t>Skipjack and Bonito</t>
  </si>
  <si>
    <t>Sardines</t>
  </si>
  <si>
    <t>Shrimp and Prawns</t>
  </si>
  <si>
    <t>Trout</t>
  </si>
  <si>
    <t>All</t>
  </si>
  <si>
    <t>Propellent powders &amp; other prepared explosive</t>
  </si>
  <si>
    <t>Cancer productus</t>
  </si>
  <si>
    <t>Carcinus aestuarii</t>
  </si>
  <si>
    <t>Carcinus maenas</t>
  </si>
  <si>
    <t>Charybdis spp</t>
  </si>
  <si>
    <t>Chionoecetes opilio</t>
  </si>
  <si>
    <t>Chionoecetes spp</t>
  </si>
  <si>
    <t>Erimacrus isenbeckii</t>
  </si>
  <si>
    <t>Geryon quinquedens</t>
  </si>
  <si>
    <t>Geryon spp</t>
  </si>
  <si>
    <t>Maja squinado</t>
  </si>
  <si>
    <t>Menippe mercenaria</t>
  </si>
  <si>
    <t>Mithrax armatus</t>
  </si>
  <si>
    <t>Nuts, bolts, screws, rivets, washers, etc.</t>
  </si>
  <si>
    <t>Hand tools, mainly for agriculture or forestr</t>
  </si>
  <si>
    <t>Other tools for use in the hand or in machine</t>
  </si>
  <si>
    <t>0709.20</t>
  </si>
  <si>
    <t>Avocados</t>
  </si>
  <si>
    <t>0804.40</t>
  </si>
  <si>
    <t>Turnips for Fodder</t>
  </si>
  <si>
    <t>1214.90_j</t>
  </si>
  <si>
    <t>Knitted or crochd fabrics not elast nor rubbe</t>
  </si>
  <si>
    <t>Fabrics of glass fibre</t>
  </si>
  <si>
    <t>Haliporoides sibogae</t>
  </si>
  <si>
    <t>Haliporoides spp</t>
  </si>
  <si>
    <t>Haliporoides triarthrus</t>
  </si>
  <si>
    <t>Heterocarpus reedi</t>
  </si>
  <si>
    <t>Heterocarpus vicarius</t>
  </si>
  <si>
    <t>Metapenaeus endeavouri</t>
  </si>
  <si>
    <t>Mouthbrooding cichlids</t>
  </si>
  <si>
    <t>Silver cyprinid</t>
  </si>
  <si>
    <t>Elephantsnout fishes nei</t>
  </si>
  <si>
    <t>Marine worms</t>
  </si>
  <si>
    <t>International Transport Emissions (Mt CO2)</t>
  </si>
  <si>
    <t>Leuciscus cephalus</t>
  </si>
  <si>
    <t>Leuciscus idus</t>
  </si>
  <si>
    <t>Leuciscus leuciscus</t>
  </si>
  <si>
    <t>Leuciscus spp</t>
  </si>
  <si>
    <t>Megalobrama amblycephala</t>
  </si>
  <si>
    <t>Mylopharyngodon piceus</t>
  </si>
  <si>
    <t>Pelecus cultratus</t>
  </si>
  <si>
    <t>Ghee Oil of Buf</t>
  </si>
  <si>
    <t>0805.40_a</t>
  </si>
  <si>
    <t>0806.10_a</t>
  </si>
  <si>
    <t>Lamna nasus</t>
  </si>
  <si>
    <t>Mobulidae</t>
  </si>
  <si>
    <t>Mustelus canis</t>
  </si>
  <si>
    <t>Mustelus henlei</t>
  </si>
  <si>
    <t>Mustelus lenticulatus</t>
  </si>
  <si>
    <t>Mustelus mustelus</t>
  </si>
  <si>
    <t>Mustelus schmitti</t>
  </si>
  <si>
    <t>Onions, dry</t>
  </si>
  <si>
    <t>Fruit,Nut,Peel, Sugar Prs</t>
  </si>
  <si>
    <t>Yellowleg shrimp</t>
  </si>
  <si>
    <t>Mycteroperca xenarcha</t>
  </si>
  <si>
    <t>Myoxocephalus spp</t>
  </si>
  <si>
    <t>Myxinidae</t>
  </si>
  <si>
    <t>Roots and tubers</t>
  </si>
  <si>
    <t>Sugar beets</t>
  </si>
  <si>
    <t>Diamond back terrapins</t>
  </si>
  <si>
    <t>Eulachon</t>
  </si>
  <si>
    <t>Flathead catfish</t>
  </si>
  <si>
    <t>Pylodictis olivaris</t>
  </si>
  <si>
    <t>Freshwater drum</t>
  </si>
  <si>
    <t>Uranium &amp; thorium &amp; their alloys</t>
  </si>
  <si>
    <t>Magnesium and beryllium</t>
  </si>
  <si>
    <t>Tungsten,molybdenum and tantalum</t>
  </si>
  <si>
    <t>other_co2_efp</t>
  </si>
  <si>
    <r>
      <t>Production-CO</t>
    </r>
    <r>
      <rPr>
        <b/>
        <vertAlign val="subscript"/>
        <sz val="10"/>
        <color indexed="9"/>
        <rFont val="Arial"/>
        <family val="2"/>
      </rPr>
      <t>2</t>
    </r>
  </si>
  <si>
    <r>
      <t>Total CO</t>
    </r>
    <r>
      <rPr>
        <vertAlign val="subscript"/>
        <sz val="10"/>
        <rFont val="Arial"/>
        <family val="2"/>
      </rPr>
      <t>2</t>
    </r>
    <r>
      <rPr>
        <sz val="10"/>
        <rFont val="Arial"/>
        <family val="2"/>
      </rPr>
      <t xml:space="preserve"> emissions from fossil fuels</t>
    </r>
  </si>
  <si>
    <r>
      <t>EF</t>
    </r>
    <r>
      <rPr>
        <b/>
        <vertAlign val="subscript"/>
        <sz val="10"/>
        <color indexed="9"/>
        <rFont val="Arial"/>
        <family val="2"/>
      </rPr>
      <t>Imports</t>
    </r>
  </si>
  <si>
    <r>
      <t>EF</t>
    </r>
    <r>
      <rPr>
        <b/>
        <vertAlign val="subscript"/>
        <sz val="10"/>
        <color indexed="9"/>
        <rFont val="Arial"/>
        <family val="2"/>
      </rPr>
      <t>Exports</t>
    </r>
  </si>
  <si>
    <r>
      <t>EF</t>
    </r>
    <r>
      <rPr>
        <b/>
        <vertAlign val="subscript"/>
        <sz val="10"/>
        <color indexed="9"/>
        <rFont val="Arial"/>
        <family val="2"/>
      </rPr>
      <t>Consumption</t>
    </r>
  </si>
  <si>
    <t>Waste of synthetic or regenerated fibres</t>
  </si>
  <si>
    <t>Haemulidae (=Pomadasyidae)</t>
  </si>
  <si>
    <t>Mycteroperca spp</t>
  </si>
  <si>
    <t>Atlantic bay scallop</t>
  </si>
  <si>
    <t>Atlantic croaker</t>
  </si>
  <si>
    <t>Butter</t>
  </si>
  <si>
    <t>Cheese and curd</t>
  </si>
  <si>
    <t>Eggs</t>
  </si>
  <si>
    <t>Fish, fresh, chilled or frozen</t>
  </si>
  <si>
    <t>Weatherfish</t>
  </si>
  <si>
    <t>Misgurnus fossilis</t>
  </si>
  <si>
    <t>American gizzard shad</t>
  </si>
  <si>
    <t>Istiophorus albicans</t>
  </si>
  <si>
    <t>Istiophorus platypterus</t>
  </si>
  <si>
    <t>Katsuwonus pelamis</t>
  </si>
  <si>
    <t>Makaira indica</t>
  </si>
  <si>
    <t>Makaira nigricans</t>
  </si>
  <si>
    <t>Orcynopsis unicolor</t>
  </si>
  <si>
    <t>Sarda chiliensis</t>
  </si>
  <si>
    <t>Sarda orientalis</t>
  </si>
  <si>
    <t>Sarda sarda</t>
  </si>
  <si>
    <t>Cottidae</t>
  </si>
  <si>
    <t>Crenidens crenidens</t>
  </si>
  <si>
    <t>Cynoscion analis</t>
  </si>
  <si>
    <t>Cynoscion nebulosus</t>
  </si>
  <si>
    <t>Cynoscion regalis</t>
  </si>
  <si>
    <t>Cynoscion spp</t>
  </si>
  <si>
    <t>Cynoscion striatus</t>
  </si>
  <si>
    <t>Dentex angolensis</t>
  </si>
  <si>
    <t>Dentex congoensis</t>
  </si>
  <si>
    <t>Waxes of animal or vegetable origin</t>
  </si>
  <si>
    <t>Epinephelus striatus</t>
  </si>
  <si>
    <t>Epinephelus summana</t>
  </si>
  <si>
    <t>Epinephelus tauvina</t>
  </si>
  <si>
    <t>Fistularia tabacaria</t>
  </si>
  <si>
    <t>Galeichthys feliceps</t>
  </si>
  <si>
    <t>Galeoides decadactylus</t>
  </si>
  <si>
    <t>Genyonemus lineatus</t>
  </si>
  <si>
    <t>Gerreidae</t>
  </si>
  <si>
    <t>Terapon spp</t>
  </si>
  <si>
    <t>Tetraodontidae</t>
  </si>
  <si>
    <t>Totoaba macdonaldi</t>
  </si>
  <si>
    <t>Octopodidae</t>
  </si>
  <si>
    <t>Octopus vulgaris</t>
  </si>
  <si>
    <t>Ommastrephes bartrami</t>
  </si>
  <si>
    <t>Sepia officinalis</t>
  </si>
  <si>
    <t>Flax and flax tow and waste</t>
  </si>
  <si>
    <t>True hemp and true hemp tow and waste</t>
  </si>
  <si>
    <t>Ramie and ramie noils &amp; waste</t>
  </si>
  <si>
    <t>Summan grouper</t>
  </si>
  <si>
    <t>Thumbprint emperor</t>
  </si>
  <si>
    <t>White-blotched grouper</t>
  </si>
  <si>
    <t>Yellow-edged lyretail</t>
  </si>
  <si>
    <t>Yellowfin hind</t>
  </si>
  <si>
    <t>Yellowlip emperor</t>
  </si>
  <si>
    <t>Cilus gilberti</t>
  </si>
  <si>
    <t>Conodon nobilis</t>
  </si>
  <si>
    <t>Cucumbers and gherkins</t>
  </si>
  <si>
    <t>0707.00</t>
  </si>
  <si>
    <t>Gulf butterfishes, etc. nei</t>
  </si>
  <si>
    <t>King mackerel</t>
  </si>
  <si>
    <t>Kingcroakers nei</t>
  </si>
  <si>
    <t>Ladyfish</t>
  </si>
  <si>
    <t>Lane snapper</t>
  </si>
  <si>
    <t>Caulolatilus chrysops</t>
  </si>
  <si>
    <t>Caulolatilus princeps</t>
  </si>
  <si>
    <t>Centriscops humerosus</t>
  </si>
  <si>
    <t>Centroberyx affinis</t>
  </si>
  <si>
    <t>Centrolophidae</t>
  </si>
  <si>
    <t>Centrolophus niger</t>
  </si>
  <si>
    <t>Acids and their halogenated derivatives</t>
  </si>
  <si>
    <t>Southern red snapper</t>
  </si>
  <si>
    <t>Tarpon</t>
  </si>
  <si>
    <t>Long pectoral-fin minnow</t>
  </si>
  <si>
    <t>Machaca</t>
  </si>
  <si>
    <t>Brycon guatemalensis</t>
  </si>
  <si>
    <t>Rhamdia guatemalensis</t>
  </si>
  <si>
    <t>Semah mahseer</t>
  </si>
  <si>
    <t>Tor douronensis</t>
  </si>
  <si>
    <t>Signal barb</t>
  </si>
  <si>
    <t>Red steenbras</t>
  </si>
  <si>
    <t>Smooth-hound</t>
  </si>
  <si>
    <t>Subantarctic stone crab</t>
  </si>
  <si>
    <t>White steenbras</t>
  </si>
  <si>
    <t>White stumpnose</t>
  </si>
  <si>
    <t>Paralomis spp</t>
  </si>
  <si>
    <t>American conger</t>
  </si>
  <si>
    <t>Barnacle</t>
  </si>
  <si>
    <t>Pink maomao</t>
  </si>
  <si>
    <t>Caprodon longimanus</t>
  </si>
  <si>
    <t>Filefishes, leatherjackets nei</t>
  </si>
  <si>
    <t>Pacific thread herring</t>
  </si>
  <si>
    <t>Lutjanus argentimaculatus</t>
  </si>
  <si>
    <t>Lutjanus argentiventris</t>
  </si>
  <si>
    <t>Lutjanus bohar</t>
  </si>
  <si>
    <t>Epinephelus aeneus</t>
  </si>
  <si>
    <t>Epinephelus analogus</t>
  </si>
  <si>
    <t>Rapeseed, oil crops</t>
  </si>
  <si>
    <t>Artificial surfaces</t>
  </si>
  <si>
    <t>Oblada melanura</t>
  </si>
  <si>
    <t>Ocyurus chrysurus</t>
  </si>
  <si>
    <t>Ophichthidae</t>
  </si>
  <si>
    <t>Sardinella lemuru</t>
  </si>
  <si>
    <t>Sardinella longiceps</t>
  </si>
  <si>
    <t>Sardinella maderensis</t>
  </si>
  <si>
    <t>0809.30</t>
  </si>
  <si>
    <t>Pears</t>
  </si>
  <si>
    <t>Chionobathyscus dewitti</t>
  </si>
  <si>
    <t>Paralabrax spp</t>
  </si>
  <si>
    <t>Dunaliella salina</t>
  </si>
  <si>
    <t>Notolepis spp</t>
  </si>
  <si>
    <t>Masu(=Cherry) salmon</t>
  </si>
  <si>
    <t>Plectorhinchus gaterinus</t>
  </si>
  <si>
    <t>Chick peas</t>
  </si>
  <si>
    <t>Chillies and peppers, dry</t>
  </si>
  <si>
    <t>0904.20</t>
  </si>
  <si>
    <t>Chillies and peppers, green</t>
  </si>
  <si>
    <t>0709.60</t>
  </si>
  <si>
    <t>Cinnamon (canella)</t>
  </si>
  <si>
    <t>0906.10</t>
  </si>
  <si>
    <t>Clover for forage and silage</t>
  </si>
  <si>
    <t>1214.90_b</t>
  </si>
  <si>
    <t>Cloves</t>
  </si>
  <si>
    <t>Buffalofishes nei</t>
  </si>
  <si>
    <t>Largemouth black bass</t>
  </si>
  <si>
    <t>European whitefish</t>
  </si>
  <si>
    <t>Bagrid catfish</t>
  </si>
  <si>
    <t>Land Use Type</t>
  </si>
  <si>
    <t>Golden redfish</t>
  </si>
  <si>
    <t>Norway pout</t>
  </si>
  <si>
    <t>Norwegian krill</t>
  </si>
  <si>
    <t>Rabbit fish</t>
  </si>
  <si>
    <t>Solid surf clam</t>
  </si>
  <si>
    <t>Cero</t>
  </si>
  <si>
    <t>Hard corals, madrepores nei</t>
  </si>
  <si>
    <t>Nurse shark</t>
  </si>
  <si>
    <t>Chilean semele</t>
  </si>
  <si>
    <t>Carbon Sequestration Factor</t>
  </si>
  <si>
    <t>Unit</t>
  </si>
  <si>
    <t>Value</t>
  </si>
  <si>
    <t>Olive oil, virgin</t>
  </si>
  <si>
    <t>Milk Whole Cond</t>
  </si>
  <si>
    <t>Milk Whole Dried</t>
  </si>
  <si>
    <t>Orange-striped emperor</t>
  </si>
  <si>
    <t>Orangespotted trevally</t>
  </si>
  <si>
    <t>Painted sweetlips</t>
  </si>
  <si>
    <t>Peacock hind</t>
  </si>
  <si>
    <t>Randall's threadfin bream</t>
  </si>
  <si>
    <t>Redmouth grouper</t>
  </si>
  <si>
    <t>Whiteleg shrimp</t>
  </si>
  <si>
    <t>Flathead grey mullet</t>
  </si>
  <si>
    <t>Hilsa shad</t>
  </si>
  <si>
    <t>Burbot</t>
  </si>
  <si>
    <t>Waste &amp; used leather</t>
  </si>
  <si>
    <t>Hides &amp; skins,nes</t>
  </si>
  <si>
    <t>Silver carp</t>
  </si>
  <si>
    <t>Wuchang bream</t>
  </si>
  <si>
    <t>Cyprinids nei</t>
  </si>
  <si>
    <t>European eel</t>
  </si>
  <si>
    <t>Pike-perch</t>
  </si>
  <si>
    <t>Surf clams nei</t>
  </si>
  <si>
    <t>Bonytongues nei</t>
  </si>
  <si>
    <t>Agricultural machinery for cultivating the so</t>
  </si>
  <si>
    <t>Agricultural machinery for harvesting,threshi</t>
  </si>
  <si>
    <t>0810.40_b</t>
  </si>
  <si>
    <t>2208_a</t>
  </si>
  <si>
    <t>Beverage Non-Alc</t>
  </si>
  <si>
    <t>2202_a</t>
  </si>
  <si>
    <t>Bran of Maize</t>
  </si>
  <si>
    <t>2302.10</t>
  </si>
  <si>
    <t>Bran of Pulses</t>
  </si>
  <si>
    <t>Arctoscopus japonicus</t>
  </si>
  <si>
    <t>Argentina spp</t>
  </si>
  <si>
    <t>Ariomma indica</t>
  </si>
  <si>
    <t>Aspitrigla cuculus</t>
  </si>
  <si>
    <t>Benthodesmus spp</t>
  </si>
  <si>
    <t>Raja brachyura</t>
  </si>
  <si>
    <t>Atlantic thread herring</t>
  </si>
  <si>
    <t>Ballyhoo halfbeak</t>
  </si>
  <si>
    <t>Barred grunt</t>
  </si>
  <si>
    <t>Bigeye thresher</t>
  </si>
  <si>
    <t>Silk worm cocoons suitable for reeling</t>
  </si>
  <si>
    <t xml:space="preserve">Machinery </t>
  </si>
  <si>
    <t>Mining and Quarrying</t>
  </si>
  <si>
    <t>Food and Tobacco</t>
  </si>
  <si>
    <t>Paper, Pulp and Printing</t>
  </si>
  <si>
    <t>Wood and Wood Products</t>
  </si>
  <si>
    <t>Construction</t>
  </si>
  <si>
    <t xml:space="preserve">Textile and Leather </t>
  </si>
  <si>
    <t>Non-specified Industry</t>
  </si>
  <si>
    <t>Crystal shrimp</t>
  </si>
  <si>
    <t>Pacific seabobs</t>
  </si>
  <si>
    <t>Aristeus antennatus</t>
  </si>
  <si>
    <t>Blue king crab</t>
  </si>
  <si>
    <t>Brown king crab</t>
  </si>
  <si>
    <t>Coonstripe shrimp</t>
  </si>
  <si>
    <t>Golden king crab</t>
  </si>
  <si>
    <t>Hair crab</t>
  </si>
  <si>
    <t>Hokkai shrimp</t>
  </si>
  <si>
    <t>Humpy shrimp</t>
  </si>
  <si>
    <t>Morotoge shrimp</t>
  </si>
  <si>
    <t>Saffron cod</t>
  </si>
  <si>
    <t>Dogfish sharks, etc. nei</t>
  </si>
  <si>
    <t>Horned and musky octopuses</t>
  </si>
  <si>
    <t>Turbots nei</t>
  </si>
  <si>
    <t>Aka coral</t>
  </si>
  <si>
    <t>Alaska plaice</t>
  </si>
  <si>
    <t>Antarctic stone crab</t>
  </si>
  <si>
    <t>Aquatic mammals nei</t>
  </si>
  <si>
    <t>River prawns nei</t>
  </si>
  <si>
    <t>Amazonian manatee</t>
  </si>
  <si>
    <t>Cichlids nei</t>
  </si>
  <si>
    <t>Yellowfin river pellona</t>
  </si>
  <si>
    <t>Barbel</t>
  </si>
  <si>
    <t>Sander lucioperca</t>
  </si>
  <si>
    <t>Giant river prawn</t>
  </si>
  <si>
    <t>Tonna galea</t>
  </si>
  <si>
    <t>Turbo cornutus</t>
  </si>
  <si>
    <t>Zidona dufresnei</t>
  </si>
  <si>
    <t>Crassostrea gigas</t>
  </si>
  <si>
    <t>White barbel</t>
  </si>
  <si>
    <t>Sheep and lamb skins, with the wool on</t>
  </si>
  <si>
    <t>Sheep and lamb skins, without the wool</t>
  </si>
  <si>
    <t>Stephanolepis cirrhifer</t>
  </si>
  <si>
    <t>Stereolepis gigas</t>
  </si>
  <si>
    <t>Synodontidae</t>
  </si>
  <si>
    <t>Takifugu vermicularis</t>
  </si>
  <si>
    <t>Tautoga onitis</t>
  </si>
  <si>
    <t>Aldehyde ,ketone ,quinone function compounds</t>
  </si>
  <si>
    <t>Mycteroperca venenosa</t>
  </si>
  <si>
    <t>Longbill spearfish</t>
  </si>
  <si>
    <t>Weathervane scallop</t>
  </si>
  <si>
    <t>Selar crumenophthalmus</t>
  </si>
  <si>
    <t>Selaroides leptolepis</t>
  </si>
  <si>
    <t>Wolffishes(=Catfishes) nei</t>
  </si>
  <si>
    <t>Ballan wrasse</t>
  </si>
  <si>
    <t>Sand sole</t>
  </si>
  <si>
    <t>Alfonsinos nei</t>
  </si>
  <si>
    <t>Anchoveta(=Peruvian anchovy)</t>
  </si>
  <si>
    <t>White croaker</t>
  </si>
  <si>
    <t>White sturgeon</t>
  </si>
  <si>
    <t>Anadara granosa</t>
  </si>
  <si>
    <t>Anadara ovalis</t>
  </si>
  <si>
    <t>Rice Fermented Beverages</t>
  </si>
  <si>
    <t>2206.00_b</t>
  </si>
  <si>
    <t>Rice Flour</t>
  </si>
  <si>
    <t>1102.30</t>
  </si>
  <si>
    <t>Rice Husked</t>
  </si>
  <si>
    <t>1006.20</t>
  </si>
  <si>
    <t>Rubber Nat Dry</t>
  </si>
  <si>
    <t>Sausage Beef&amp;Veal</t>
  </si>
  <si>
    <t>Yesso scallop</t>
  </si>
  <si>
    <t>Areolate grouper</t>
  </si>
  <si>
    <t>Greasy grouper</t>
  </si>
  <si>
    <t>Bathyraja eatonii</t>
  </si>
  <si>
    <t>1214.90_c</t>
  </si>
  <si>
    <t>Almonds, with shell</t>
  </si>
  <si>
    <t>Linoleum and similar floor coverings</t>
  </si>
  <si>
    <t>Carpets, carpeting and rugs, knotted</t>
  </si>
  <si>
    <t>Broomtail grouper</t>
  </si>
  <si>
    <t>Green spiny lobster</t>
  </si>
  <si>
    <t>Kolibri shrimp</t>
  </si>
  <si>
    <t>Lebranche mullet</t>
  </si>
  <si>
    <t>Clarias batrachus</t>
  </si>
  <si>
    <t>Clarias gariepinus</t>
  </si>
  <si>
    <t>2005.10</t>
  </si>
  <si>
    <t>Horses</t>
  </si>
  <si>
    <t>0101_a</t>
  </si>
  <si>
    <t>Ice Cream and Edible Ice</t>
  </si>
  <si>
    <t>Infant Food</t>
  </si>
  <si>
    <t>1901.10</t>
  </si>
  <si>
    <t>Juice of Grapefruit</t>
  </si>
  <si>
    <t>Lithodes santolla</t>
  </si>
  <si>
    <t>Southern lobsterette</t>
  </si>
  <si>
    <t>Thymops birsteini</t>
  </si>
  <si>
    <t>Footprint intensity of carbon</t>
  </si>
  <si>
    <t>Land use type</t>
  </si>
  <si>
    <t>Pentaceros decacanthus</t>
  </si>
  <si>
    <t>Perciformes</t>
  </si>
  <si>
    <t>Polyprion americanus</t>
  </si>
  <si>
    <t>Polyprion oxygeneios</t>
  </si>
  <si>
    <t>Prionotus spp</t>
  </si>
  <si>
    <t>Promethichthys prometheus</t>
  </si>
  <si>
    <t>Psenopsis anomala</t>
  </si>
  <si>
    <t>Pseudochaenichthys georgianus</t>
  </si>
  <si>
    <t>Sesame oil</t>
  </si>
  <si>
    <t>1515.50</t>
  </si>
  <si>
    <t>Sesame seed</t>
  </si>
  <si>
    <t>Sorghum</t>
  </si>
  <si>
    <t>Sorghum for forage and silage</t>
  </si>
  <si>
    <t>Insecticides, fungicides, disinfectants</t>
  </si>
  <si>
    <t>Spirulina nei</t>
  </si>
  <si>
    <t>Orthopadic appl.,hearing aids,artif.parts/bod</t>
  </si>
  <si>
    <t>Other manufactured articles, nes</t>
  </si>
  <si>
    <t>Postal packages</t>
  </si>
  <si>
    <t>Special transactions</t>
  </si>
  <si>
    <t>Boops boops</t>
  </si>
  <si>
    <t>Pacific geoduck</t>
  </si>
  <si>
    <t>Pacific littleneck clam</t>
  </si>
  <si>
    <t>Sand gaper</t>
  </si>
  <si>
    <t>Woollen fabrics, woven</t>
  </si>
  <si>
    <t>Linen, ramie and true hemp fabrics, woven</t>
  </si>
  <si>
    <t>Jute fabrics, woven</t>
  </si>
  <si>
    <t>Rex sole</t>
  </si>
  <si>
    <t>Rock shrimp</t>
  </si>
  <si>
    <t>Safety glass,toughened or laminated</t>
  </si>
  <si>
    <t>Common dentex</t>
  </si>
  <si>
    <t>European flat oyster</t>
  </si>
  <si>
    <t>Bathyraja maccaini</t>
  </si>
  <si>
    <t>Cmpd Feed,Poultry</t>
  </si>
  <si>
    <t>2309.90_b</t>
  </si>
  <si>
    <t>Coarse Goat Hair</t>
  </si>
  <si>
    <t>Cocoa Butter</t>
  </si>
  <si>
    <t>1804.00</t>
  </si>
  <si>
    <t>1803_a</t>
  </si>
  <si>
    <t>Cocoahusks;Shell</t>
  </si>
  <si>
    <t>1802.00</t>
  </si>
  <si>
    <t>Cocoapowder&amp;Cake</t>
  </si>
  <si>
    <t>1805.00</t>
  </si>
  <si>
    <t>Coconuts Desiccated</t>
  </si>
  <si>
    <t>0801.11</t>
  </si>
  <si>
    <t>Cocoon Unr.&amp;Waste</t>
  </si>
  <si>
    <t>Coffee Extracts</t>
  </si>
  <si>
    <t>2101_a</t>
  </si>
  <si>
    <t>Meat of sheep &amp; goats, fresh, chilled or froz</t>
  </si>
  <si>
    <t>Fixed vegetable oils,nes</t>
  </si>
  <si>
    <t>Anim./veget.oils,boiled,oxidized,dehydrated</t>
  </si>
  <si>
    <t>Hydrogenated oils and fats</t>
  </si>
  <si>
    <t>Acid oils,fatty acids and solid residues</t>
  </si>
  <si>
    <t>Alectis alexandrinus</t>
  </si>
  <si>
    <t>Alepes djedaba</t>
  </si>
  <si>
    <t>Alexandria pompano</t>
  </si>
  <si>
    <t>Law croaker</t>
  </si>
  <si>
    <t>Rubberlip grunt</t>
  </si>
  <si>
    <t>Semi chemical wood pulp</t>
  </si>
  <si>
    <t>Corbicula japonica</t>
  </si>
  <si>
    <t>Zenopsis nebulosus</t>
  </si>
  <si>
    <t>Skin Furs</t>
  </si>
  <si>
    <t>4301_a</t>
  </si>
  <si>
    <t>Skins Nes Goats</t>
  </si>
  <si>
    <t>4103.10_c</t>
  </si>
  <si>
    <t>Skins Nes Pigs</t>
  </si>
  <si>
    <t>Peruvian morwong</t>
  </si>
  <si>
    <t>Peruvian weakfish</t>
  </si>
  <si>
    <t>Red cusk-eel</t>
  </si>
  <si>
    <t/>
  </si>
  <si>
    <t>Dried fruit,dehydrated artificially</t>
  </si>
  <si>
    <t>Fruit,fruit peel,preserved by sugar</t>
  </si>
  <si>
    <t>Jams,marmalades,fruit jellies</t>
  </si>
  <si>
    <t>Fruit juices &amp; vegetable juices,unfermented</t>
  </si>
  <si>
    <t>Bastard halibut</t>
  </si>
  <si>
    <t>4101_g</t>
  </si>
  <si>
    <t>Ethmidium maculatum</t>
  </si>
  <si>
    <t>Etrumeus teres</t>
  </si>
  <si>
    <t>Etrumeus whiteheadi</t>
  </si>
  <si>
    <t>Harengula spp</t>
  </si>
  <si>
    <t>Cigars Cheroots</t>
  </si>
  <si>
    <t>2402.10_a</t>
  </si>
  <si>
    <t>2309.90_d</t>
  </si>
  <si>
    <t>Caranx spp</t>
  </si>
  <si>
    <t>Chloroscombrus chrysurus</t>
  </si>
  <si>
    <t>Gymnogongrus furcellatus</t>
  </si>
  <si>
    <t>Iridaea spp</t>
  </si>
  <si>
    <t>Phyllophora spp</t>
  </si>
  <si>
    <t>Porphyra spp</t>
  </si>
  <si>
    <t>Muraenesox spp</t>
  </si>
  <si>
    <t>Myctophidae</t>
  </si>
  <si>
    <t>Nemadactylus macropterus</t>
  </si>
  <si>
    <t>Nemadactylus spp</t>
  </si>
  <si>
    <t>Neocyttus rhomboidalis</t>
  </si>
  <si>
    <t>Ophidiidae</t>
  </si>
  <si>
    <t>Oreosomatidae</t>
  </si>
  <si>
    <t>Paratrachichthys trailli</t>
  </si>
  <si>
    <t>Paristiopterus labiosus</t>
  </si>
  <si>
    <t>Longnosed skate</t>
  </si>
  <si>
    <t>Aristeus varidens</t>
  </si>
  <si>
    <t>Common carp</t>
  </si>
  <si>
    <t>Crucian carp</t>
  </si>
  <si>
    <t>Maté</t>
  </si>
  <si>
    <t>0903.00</t>
  </si>
  <si>
    <t>Melonseed</t>
  </si>
  <si>
    <t>1207.9ab</t>
  </si>
  <si>
    <t>Millet</t>
  </si>
  <si>
    <t>Mixed grain</t>
  </si>
  <si>
    <t>Rastrineobola argentea</t>
  </si>
  <si>
    <t>Rutilus frisii</t>
  </si>
  <si>
    <t>Rutilus rutilus</t>
  </si>
  <si>
    <t>Rutilus spp</t>
  </si>
  <si>
    <t>Scardinius erythrophthalmus</t>
  </si>
  <si>
    <t>Tinca tinca</t>
  </si>
  <si>
    <t>Vimba vimba</t>
  </si>
  <si>
    <t>Dentex macrophthalmus</t>
  </si>
  <si>
    <t>Dentex spp</t>
  </si>
  <si>
    <t>Diagramma pictum</t>
  </si>
  <si>
    <t>Lubricating oils and greases</t>
  </si>
  <si>
    <t>Scophthalmus aquosus</t>
  </si>
  <si>
    <t>Scophthalmus rhombus</t>
  </si>
  <si>
    <t>Solea lascaris</t>
  </si>
  <si>
    <t>Solea solea</t>
  </si>
  <si>
    <t>Soleidae</t>
  </si>
  <si>
    <t>Spiny butterfly ray</t>
  </si>
  <si>
    <t>Splendid alfonsino</t>
  </si>
  <si>
    <t>Beryx splendens</t>
  </si>
  <si>
    <t>Unreelable cocoons and cocoons wastes</t>
  </si>
  <si>
    <t>D</t>
  </si>
  <si>
    <t>Primary/Derived</t>
  </si>
  <si>
    <t>Ecological Footprint and Biocapacity Totals</t>
  </si>
  <si>
    <t>Fishing Grounds</t>
  </si>
  <si>
    <t>Forest Land</t>
  </si>
  <si>
    <t>Net Imports</t>
  </si>
  <si>
    <t>Footprint of Consumption</t>
  </si>
  <si>
    <t>Total Primary Energy Supply</t>
  </si>
  <si>
    <t>World Primary Energy Carbon Intensity</t>
  </si>
  <si>
    <t>Domestic TPES</t>
  </si>
  <si>
    <t>[PJ]</t>
  </si>
  <si>
    <t>Total CO2 (Mt / yr)</t>
  </si>
  <si>
    <t>0208.90ab</t>
  </si>
  <si>
    <t>Goat meat</t>
  </si>
  <si>
    <t>0204.50</t>
  </si>
  <si>
    <t>Goat milk, whole, fresh</t>
  </si>
  <si>
    <t>0401.20_b</t>
  </si>
  <si>
    <t>Bluntnose sixgill shark</t>
  </si>
  <si>
    <t>Broadtail shortfin squid</t>
  </si>
  <si>
    <t>Cape Hope squid</t>
  </si>
  <si>
    <t>Common eagle ray</t>
  </si>
  <si>
    <t>Aba</t>
  </si>
  <si>
    <t>Citharinus nei</t>
  </si>
  <si>
    <t>Yellowtail scad</t>
  </si>
  <si>
    <t>Biglip grunt</t>
  </si>
  <si>
    <t>Cornetfish</t>
  </si>
  <si>
    <t>Guinean striped mojarra</t>
  </si>
  <si>
    <t>Pemarco blackfish</t>
  </si>
  <si>
    <t>Volutes nei</t>
  </si>
  <si>
    <t>Dungat grouper</t>
  </si>
  <si>
    <t>Red bandfish</t>
  </si>
  <si>
    <t>Oncorhynchus nerka</t>
  </si>
  <si>
    <t>Oncorhynchus spp</t>
  </si>
  <si>
    <t>Oncorhynchus tshawytscha</t>
  </si>
  <si>
    <t>Osmerus eperlanus</t>
  </si>
  <si>
    <t>Apricots</t>
  </si>
  <si>
    <t>Hydrocarbons and their derivatives</t>
  </si>
  <si>
    <t>Other precious &amp; semi precious stones not set</t>
  </si>
  <si>
    <t>National Yield</t>
  </si>
  <si>
    <t>Particle Board</t>
  </si>
  <si>
    <t>Plywood</t>
  </si>
  <si>
    <t>Bigeye trevally</t>
  </si>
  <si>
    <r>
      <t>[gha wha</t>
    </r>
    <r>
      <rPr>
        <vertAlign val="superscript"/>
        <sz val="10"/>
        <color indexed="23"/>
        <rFont val="Arial"/>
        <family val="2"/>
      </rPr>
      <t>-1</t>
    </r>
    <r>
      <rPr>
        <sz val="10"/>
        <color indexed="23"/>
        <rFont val="Arial"/>
        <family val="2"/>
      </rPr>
      <t>]</t>
    </r>
  </si>
  <si>
    <r>
      <t>[gha t</t>
    </r>
    <r>
      <rPr>
        <vertAlign val="superscript"/>
        <sz val="10"/>
        <color indexed="23"/>
        <rFont val="Arial"/>
        <family val="2"/>
      </rPr>
      <t>-1</t>
    </r>
    <r>
      <rPr>
        <sz val="10"/>
        <color indexed="23"/>
        <rFont val="Arial"/>
        <family val="2"/>
      </rPr>
      <t>]</t>
    </r>
  </si>
  <si>
    <t>Vitamins and provitamins</t>
  </si>
  <si>
    <t>Penicillin streptom. Tyrocidine &amp; oth. Antibi</t>
  </si>
  <si>
    <t>Alkaloids of opium,cocaine,caffein,quinine et</t>
  </si>
  <si>
    <t>Hormones</t>
  </si>
  <si>
    <t>Tuna</t>
  </si>
  <si>
    <t>Blackbanded trevally</t>
  </si>
  <si>
    <t>Stomatopods nei</t>
  </si>
  <si>
    <t>African forktail snapper</t>
  </si>
  <si>
    <t>Grooved sea squirt</t>
  </si>
  <si>
    <t>Kitefin shark</t>
  </si>
  <si>
    <t>Longnose velvet dogfish</t>
  </si>
  <si>
    <t>4001.10_a</t>
  </si>
  <si>
    <t>1004.00a</t>
  </si>
  <si>
    <t>Offals Liver Chicken</t>
  </si>
  <si>
    <t>Offals Liver Geese</t>
  </si>
  <si>
    <t>Offals of Goats, Edible</t>
  </si>
  <si>
    <t>0709.90aa</t>
  </si>
  <si>
    <t>0805.10_a</t>
  </si>
  <si>
    <t>Peppermint</t>
  </si>
  <si>
    <t>0709.90_d</t>
  </si>
  <si>
    <t>Pig Butcher Fat</t>
  </si>
  <si>
    <t>0804.30_a</t>
  </si>
  <si>
    <r>
      <t>[t dm yr</t>
    </r>
    <r>
      <rPr>
        <vertAlign val="superscript"/>
        <sz val="10"/>
        <color indexed="23"/>
        <rFont val="Arial"/>
        <family val="2"/>
      </rPr>
      <t>-1</t>
    </r>
    <r>
      <rPr>
        <sz val="10"/>
        <color indexed="23"/>
        <rFont val="Arial"/>
        <family val="2"/>
      </rPr>
      <t>]</t>
    </r>
  </si>
  <si>
    <t>Southern bluefin tuna</t>
  </si>
  <si>
    <t>Chinese gizzard shad</t>
  </si>
  <si>
    <t>Grenadiers, rattails nei</t>
  </si>
  <si>
    <t>Hagfishes nei</t>
  </si>
  <si>
    <t>Honnibe croaker</t>
  </si>
  <si>
    <t>Japanese halfbeak</t>
  </si>
  <si>
    <t>Japanese sardinella</t>
  </si>
  <si>
    <t>Korean sandlance</t>
  </si>
  <si>
    <t>Lanternfishes nei</t>
  </si>
  <si>
    <t>Skipjack tuna</t>
  </si>
  <si>
    <t>Albacore</t>
  </si>
  <si>
    <t>Bigeye tuna</t>
  </si>
  <si>
    <t>Scomberomorus niphonius</t>
  </si>
  <si>
    <t>Scyliorhinus canicula</t>
  </si>
  <si>
    <t>Scyliorhinus spp</t>
  </si>
  <si>
    <t>Scyliorhinus stellaris</t>
  </si>
  <si>
    <t>Selachimorpha(Pleurotremata)</t>
  </si>
  <si>
    <t>Somniosus microcephalus</t>
  </si>
  <si>
    <t>Somniosus pacificus</t>
  </si>
  <si>
    <t>Somniosus rostratus</t>
  </si>
  <si>
    <t>Travel goods,handbags &amp; similar articles</t>
  </si>
  <si>
    <t>Clothing of text fabric, not knitted crochete</t>
  </si>
  <si>
    <t>Clothing accessories of text.,not knitted/cro</t>
  </si>
  <si>
    <t>Apparel and clothing accessories of leather</t>
  </si>
  <si>
    <t>Clothing and accessories,knitted or crocheted</t>
  </si>
  <si>
    <t>Headgear</t>
  </si>
  <si>
    <t>Trachinotus carolinus</t>
  </si>
  <si>
    <t>Trachinotus mookalee</t>
  </si>
  <si>
    <t>Trachinotus ovatus</t>
  </si>
  <si>
    <t>Trachinotus spp</t>
  </si>
  <si>
    <t>Prepared Groundnuts</t>
  </si>
  <si>
    <t>2008.11_a</t>
  </si>
  <si>
    <t>Prepared Meat Nes</t>
  </si>
  <si>
    <t>Abalones nei</t>
  </si>
  <si>
    <t>Chilean flat oyster</t>
  </si>
  <si>
    <t>Chilean mussel</t>
  </si>
  <si>
    <t>Domestic electrical equipment</t>
  </si>
  <si>
    <t>Electro medical apparatus</t>
  </si>
  <si>
    <t>X ray apparatus</t>
  </si>
  <si>
    <t>Batteries and accumulators</t>
  </si>
  <si>
    <t>Electric lamps</t>
  </si>
  <si>
    <t>2008.19</t>
  </si>
  <si>
    <t>Processed Cheese</t>
  </si>
  <si>
    <t>Prod.of Nat.Milk Constit</t>
  </si>
  <si>
    <t>Pulp of Fruit for Feed</t>
  </si>
  <si>
    <t>2308.00_c</t>
  </si>
  <si>
    <t>Hardboard</t>
  </si>
  <si>
    <t>Insulating Board</t>
  </si>
  <si>
    <t>MDF</t>
  </si>
  <si>
    <t>Mechanical Wood Pulp</t>
  </si>
  <si>
    <t>Newsprint</t>
  </si>
  <si>
    <t>Microstomus pacificus</t>
  </si>
  <si>
    <t>Paralichthys californicus</t>
  </si>
  <si>
    <t>Paralichthys dentatus</t>
  </si>
  <si>
    <t>3301_a</t>
  </si>
  <si>
    <t>Oil of Castor Beans</t>
  </si>
  <si>
    <t>1515.30</t>
  </si>
  <si>
    <t>Korean mussel</t>
  </si>
  <si>
    <t>Mackerels nei</t>
  </si>
  <si>
    <t>Okhotsk atka mackerel</t>
  </si>
  <si>
    <t>Scorpionfishes nei</t>
  </si>
  <si>
    <t>Threadsail filefish</t>
  </si>
  <si>
    <t>Wood and resin based chemical products</t>
  </si>
  <si>
    <t>Organic chemical products,nes</t>
  </si>
  <si>
    <t>Platinum,unworked or partly worked</t>
  </si>
  <si>
    <t>Copper and alloys, unwrought</t>
  </si>
  <si>
    <t>Southern rock lobster</t>
  </si>
  <si>
    <t>Spiny icefish</t>
  </si>
  <si>
    <t>Fin.structural parts &amp; structures of iron ste</t>
  </si>
  <si>
    <t>Portunus swimcrabs nei</t>
  </si>
  <si>
    <t>Snakeskin gourami</t>
  </si>
  <si>
    <t>Red drum</t>
  </si>
  <si>
    <t>Porgies, seabreams nei</t>
  </si>
  <si>
    <t>Aquatic invertebrates nei</t>
  </si>
  <si>
    <t>Ayu sweetfish</t>
  </si>
  <si>
    <t>Asp</t>
  </si>
  <si>
    <t>Freshwater bream</t>
  </si>
  <si>
    <t>Lepidorhynchus denticulatus</t>
  </si>
  <si>
    <t>Macrouridae</t>
  </si>
  <si>
    <t>Macrourus berglax</t>
  </si>
  <si>
    <t>Macrourus carinatus</t>
  </si>
  <si>
    <t>Macrourus holotrachys</t>
  </si>
  <si>
    <t>% Grass Feed</t>
  </si>
  <si>
    <t>Crop and Fish Feed Demand</t>
  </si>
  <si>
    <t>Thornback ray</t>
  </si>
  <si>
    <t>Thresher</t>
  </si>
  <si>
    <t>Torpedo rays</t>
  </si>
  <si>
    <t>Twaite shad</t>
  </si>
  <si>
    <t>Wedge sole</t>
  </si>
  <si>
    <t>Echinoderms</t>
  </si>
  <si>
    <t>Escolar</t>
  </si>
  <si>
    <t>Oilfish</t>
  </si>
  <si>
    <t>Roudi escolar</t>
  </si>
  <si>
    <t>Sickle pomfret</t>
  </si>
  <si>
    <t>Taractichthys steindachneri</t>
  </si>
  <si>
    <t>Whitemouth croaker</t>
  </si>
  <si>
    <t>Whitson's grenadier</t>
  </si>
  <si>
    <t>Yellowtail amberjack</t>
  </si>
  <si>
    <t>Atlantic sailfish</t>
  </si>
  <si>
    <t>Australian salmon</t>
  </si>
  <si>
    <t>Australian spiny lobster</t>
  </si>
  <si>
    <t>Scomberomorus regalis</t>
  </si>
  <si>
    <t>Scomberomorus sierra</t>
  </si>
  <si>
    <t>Available Biocapacity</t>
  </si>
  <si>
    <t>Footprint of Production</t>
  </si>
  <si>
    <t>Per Capita</t>
  </si>
  <si>
    <t>World</t>
  </si>
  <si>
    <t>Cotton Carded,Combed</t>
  </si>
  <si>
    <t>5203.00</t>
  </si>
  <si>
    <t>Synthetic or reconstructed prec.stones,not se</t>
  </si>
  <si>
    <t>Crop Name</t>
  </si>
  <si>
    <t>Residue Feed</t>
  </si>
  <si>
    <t>Manufactures of leather,nes</t>
  </si>
  <si>
    <t>Other Camelids</t>
  </si>
  <si>
    <t>0106.90_d</t>
  </si>
  <si>
    <t>Other Rodents</t>
  </si>
  <si>
    <t>0106.90_c</t>
  </si>
  <si>
    <t>[t]</t>
  </si>
  <si>
    <r>
      <t>EF</t>
    </r>
    <r>
      <rPr>
        <b/>
        <vertAlign val="subscript"/>
        <sz val="10"/>
        <color indexed="9"/>
        <rFont val="Arial"/>
        <family val="2"/>
      </rPr>
      <t>P</t>
    </r>
  </si>
  <si>
    <r>
      <t>[Mt CO</t>
    </r>
    <r>
      <rPr>
        <vertAlign val="subscript"/>
        <sz val="10"/>
        <color indexed="22"/>
        <rFont val="Arial"/>
        <family val="2"/>
      </rPr>
      <t>2</t>
    </r>
    <r>
      <rPr>
        <sz val="10"/>
        <color indexed="22"/>
        <rFont val="Arial"/>
        <family val="2"/>
      </rPr>
      <t xml:space="preserve"> yr</t>
    </r>
    <r>
      <rPr>
        <vertAlign val="superscript"/>
        <sz val="10"/>
        <color indexed="22"/>
        <rFont val="Arial"/>
        <family val="2"/>
      </rPr>
      <t>-1</t>
    </r>
    <r>
      <rPr>
        <sz val="10"/>
        <color indexed="22"/>
        <rFont val="Arial"/>
        <family val="2"/>
      </rPr>
      <t>]</t>
    </r>
  </si>
  <si>
    <r>
      <t>[t yr</t>
    </r>
    <r>
      <rPr>
        <vertAlign val="superscript"/>
        <sz val="10"/>
        <color indexed="23"/>
        <rFont val="Arial"/>
        <family val="2"/>
      </rPr>
      <t>-1</t>
    </r>
    <r>
      <rPr>
        <sz val="10"/>
        <color indexed="23"/>
        <rFont val="Arial"/>
        <family val="2"/>
      </rPr>
      <t>]</t>
    </r>
  </si>
  <si>
    <t>Groupers, seabasses nei</t>
  </si>
  <si>
    <r>
      <t>EF</t>
    </r>
    <r>
      <rPr>
        <b/>
        <vertAlign val="subscript"/>
        <sz val="10"/>
        <color indexed="9"/>
        <rFont val="Arial"/>
        <family val="2"/>
      </rPr>
      <t>Production</t>
    </r>
  </si>
  <si>
    <t>EF fish</t>
  </si>
  <si>
    <t>Wool shoddy</t>
  </si>
  <si>
    <t>Wool or anim. Hair, carded or combed, ex. Top</t>
  </si>
  <si>
    <t>Wool tops</t>
  </si>
  <si>
    <t>Mollusca</t>
  </si>
  <si>
    <t>Buccinum undatum</t>
  </si>
  <si>
    <t>Fossil Fuel Emissions</t>
  </si>
  <si>
    <t>Crop Products</t>
  </si>
  <si>
    <t>Commodities</t>
  </si>
  <si>
    <t>Timber Products</t>
  </si>
  <si>
    <t>Infrastructure Area</t>
  </si>
  <si>
    <t>National Footprint Accounts</t>
  </si>
  <si>
    <t>Lichia amia</t>
  </si>
  <si>
    <t>Mallotus villosus</t>
  </si>
  <si>
    <t>Megalaspis cordyla</t>
  </si>
  <si>
    <t>Menidia menidia</t>
  </si>
  <si>
    <t>Mola mola</t>
  </si>
  <si>
    <t>Odontesthes regia</t>
  </si>
  <si>
    <t>Isacia conceptionis</t>
  </si>
  <si>
    <t>Joturus pichardi</t>
  </si>
  <si>
    <t>Sarotherodon galilaeus</t>
  </si>
  <si>
    <t>Cheilodactylus variegatus</t>
  </si>
  <si>
    <t>Chelidonichthys capensis</t>
  </si>
  <si>
    <t>Osteochilus hasselti</t>
  </si>
  <si>
    <t>Leafscale gulper shark</t>
  </si>
  <si>
    <t>Moras nei</t>
  </si>
  <si>
    <t>Greater hooked squid</t>
  </si>
  <si>
    <t>Moroteuthis ingens</t>
  </si>
  <si>
    <t>Swarming squat lobster</t>
  </si>
  <si>
    <t>Munida gregaria</t>
  </si>
  <si>
    <t>Bluestripe herring</t>
  </si>
  <si>
    <t>Cardinalfishes, etc. nei</t>
  </si>
  <si>
    <t>Sawlogs and veneer logs  non conifer</t>
  </si>
  <si>
    <t>Pitprops</t>
  </si>
  <si>
    <t>Cyclopterus lumpus</t>
  </si>
  <si>
    <t>Cyttus novaezealandiae</t>
  </si>
  <si>
    <t>Terapon perches nei</t>
  </si>
  <si>
    <t>Toli shad</t>
  </si>
  <si>
    <t>Torpedo scad</t>
  </si>
  <si>
    <t>Synth.perfume &amp; flavour materials and concent</t>
  </si>
  <si>
    <t>Scads nei</t>
  </si>
  <si>
    <t>Silver croaker</t>
  </si>
  <si>
    <t>Silver pomfrets nei</t>
  </si>
  <si>
    <t>So-iny (redlip) mullet</t>
  </si>
  <si>
    <t>Southern rough shrimp</t>
  </si>
  <si>
    <t>Penaeus californiensis</t>
  </si>
  <si>
    <t>Penaeus chinensis</t>
  </si>
  <si>
    <t>Penaeus duorarum</t>
  </si>
  <si>
    <t>Penaeus indicus</t>
  </si>
  <si>
    <t>Penaeus japonicus</t>
  </si>
  <si>
    <t>Penaeus kerathurus</t>
  </si>
  <si>
    <t>Fabrics, woven, of synthetic fibres</t>
  </si>
  <si>
    <t>Fabrics, woven, of regenerated fibres</t>
  </si>
  <si>
    <t>Orange juice, concentrated</t>
  </si>
  <si>
    <t>Other Indust Roundwd(C)</t>
  </si>
  <si>
    <t>Other Indust Roundwd(NC)</t>
  </si>
  <si>
    <t>Gas,manufactured</t>
  </si>
  <si>
    <t>Electric energy</t>
  </si>
  <si>
    <t>Sunflower oil</t>
  </si>
  <si>
    <t>1512.1_a</t>
  </si>
  <si>
    <t>Tule nei</t>
  </si>
  <si>
    <t>Brown bullhead</t>
  </si>
  <si>
    <t>Glass schilbid</t>
  </si>
  <si>
    <t>Peacock cichlid</t>
  </si>
  <si>
    <t>Oceanian crayfishes nei</t>
  </si>
  <si>
    <t>Sea catfishes nei</t>
  </si>
  <si>
    <t>Lampreys nei</t>
  </si>
  <si>
    <t>Bovine cattle including buffaloes</t>
  </si>
  <si>
    <t>Sheep,lambs and goats</t>
  </si>
  <si>
    <t>Swine</t>
  </si>
  <si>
    <t>Poultry,live</t>
  </si>
  <si>
    <t>Horses,asses,mules and hinnies</t>
  </si>
  <si>
    <t>Bones,ivory,horns,hoofs,claws &amp; similar prod.</t>
  </si>
  <si>
    <t>Trachurus capensis</t>
  </si>
  <si>
    <t>Trachurus declivis</t>
  </si>
  <si>
    <t>Trachurus japonicus</t>
  </si>
  <si>
    <t>Archosargus probatocephalus</t>
  </si>
  <si>
    <t>Saithe(=Pollock)</t>
  </si>
  <si>
    <t>Surmullet</t>
  </si>
  <si>
    <t>1104.19</t>
  </si>
  <si>
    <t>1008.90_b</t>
  </si>
  <si>
    <t>Speckled shrimp</t>
  </si>
  <si>
    <t>Rhinobatos planiceps</t>
  </si>
  <si>
    <t>1522.00_a</t>
  </si>
  <si>
    <t>2303.30</t>
  </si>
  <si>
    <t>Dried Mushrooms</t>
  </si>
  <si>
    <t>0712.3_a</t>
  </si>
  <si>
    <t>Dry Apricots</t>
  </si>
  <si>
    <t>0813.10</t>
  </si>
  <si>
    <t>Ducks</t>
  </si>
  <si>
    <t>0105ca</t>
  </si>
  <si>
    <t>Eggs Dried</t>
  </si>
  <si>
    <t>Eggs Liquid</t>
  </si>
  <si>
    <t>Iron and steel forgings in the rough state</t>
  </si>
  <si>
    <t>Beans, green</t>
  </si>
  <si>
    <t>0708.20_a</t>
  </si>
  <si>
    <t>Beer of Barley</t>
  </si>
  <si>
    <t>[head]</t>
  </si>
  <si>
    <t>Heads</t>
  </si>
  <si>
    <t>Soy</t>
  </si>
  <si>
    <t>Crassostrea spp</t>
  </si>
  <si>
    <t>Other fresh vegetables</t>
  </si>
  <si>
    <t>Clarias spp</t>
  </si>
  <si>
    <t>Colossoma macropomum</t>
  </si>
  <si>
    <t>Distichodus spp</t>
  </si>
  <si>
    <t>Eleotridae</t>
  </si>
  <si>
    <t>Esox lucius</t>
  </si>
  <si>
    <t>Gobiidae</t>
  </si>
  <si>
    <t>Gymnarchus niloticus</t>
  </si>
  <si>
    <t>Gymnocephalus cernuus</t>
  </si>
  <si>
    <t>Helostoma temminckii</t>
  </si>
  <si>
    <t>Hepsetus odoe</t>
  </si>
  <si>
    <t>Heterotis spp</t>
  </si>
  <si>
    <t>Ictalurus furcatus</t>
  </si>
  <si>
    <t>0703.10_b</t>
  </si>
  <si>
    <t>Oranges</t>
  </si>
  <si>
    <t>Other melons (inc.cantaloupes)</t>
  </si>
  <si>
    <t>0807.19</t>
  </si>
  <si>
    <t>Palm kernel oil</t>
  </si>
  <si>
    <t>1513.2_a</t>
  </si>
  <si>
    <t>Palm kernels</t>
  </si>
  <si>
    <t>Urophycis brasiliensis</t>
  </si>
  <si>
    <t>Ex Trochus spp</t>
  </si>
  <si>
    <t>Ex Turbo spp</t>
  </si>
  <si>
    <t>Ex Unionidae</t>
  </si>
  <si>
    <t>Actiniaria</t>
  </si>
  <si>
    <t>Roasted iron pyrites</t>
  </si>
  <si>
    <t>Australian pilchard</t>
  </si>
  <si>
    <t>Animal oils, fats and greases, excluding lard</t>
  </si>
  <si>
    <t>Soya bean oil</t>
  </si>
  <si>
    <t>Apparel &amp; clothing acces.,gloves,of rubber</t>
  </si>
  <si>
    <t>Fusiliers nei</t>
  </si>
  <si>
    <t>Goldstripe sardinella</t>
  </si>
  <si>
    <t>Great barracuda</t>
  </si>
  <si>
    <t>Greater lizardfish</t>
  </si>
  <si>
    <t>Hard clams nei</t>
  </si>
  <si>
    <t>Honeycomb grouper</t>
  </si>
  <si>
    <t>Epinephelus merra</t>
  </si>
  <si>
    <t>Cephalopods nei</t>
  </si>
  <si>
    <t>Clupeoids nei</t>
  </si>
  <si>
    <t>Common shrimp</t>
  </si>
  <si>
    <t>Frigate and bullet tunas</t>
  </si>
  <si>
    <t>Atlantic bumper</t>
  </si>
  <si>
    <t>Kawakawa</t>
  </si>
  <si>
    <t>Kerguelen sandpaper skate</t>
  </si>
  <si>
    <t>Latchet(=Sharpbeak gurnard)</t>
  </si>
  <si>
    <t>1515.1_a</t>
  </si>
  <si>
    <t>Lupins</t>
  </si>
  <si>
    <t>0713.90ab</t>
  </si>
  <si>
    <t>Clupeoidei</t>
  </si>
  <si>
    <t>Potatoes</t>
  </si>
  <si>
    <t>Green humphead parrotfish</t>
  </si>
  <si>
    <t>Hound needlefish</t>
  </si>
  <si>
    <t>Domestic appliances, non electrical</t>
  </si>
  <si>
    <t>Powered tools, nes</t>
  </si>
  <si>
    <t>Other non electrical machines</t>
  </si>
  <si>
    <t>Ball, roller or needle roller bearings</t>
  </si>
  <si>
    <t>Machinery and mechanical appliances, nes</t>
  </si>
  <si>
    <t>Parts and accessories of machinery, nes</t>
  </si>
  <si>
    <t>Aggregate Code</t>
  </si>
  <si>
    <t>Rhomboplites aurorubens</t>
  </si>
  <si>
    <t>Sargocentron spiniferum</t>
  </si>
  <si>
    <t>Sarpa salpa</t>
  </si>
  <si>
    <t>Saurida tumbil</t>
  </si>
  <si>
    <t>Saurida undosquamis</t>
  </si>
  <si>
    <t>FAOSTAT</t>
  </si>
  <si>
    <t>Permanent meadows and pastures</t>
  </si>
  <si>
    <t>Triglidae</t>
  </si>
  <si>
    <t>Uranoscopus scaber</t>
  </si>
  <si>
    <t>Zeidae</t>
  </si>
  <si>
    <t>Tropical spiny lobsters nei</t>
  </si>
  <si>
    <t>Indian white prawn</t>
  </si>
  <si>
    <t>Red porgy</t>
  </si>
  <si>
    <t>Shi drum</t>
  </si>
  <si>
    <t>European flounder</t>
  </si>
  <si>
    <t>Turbot</t>
  </si>
  <si>
    <t>Common snook</t>
  </si>
  <si>
    <t>Anadara clams nei</t>
  </si>
  <si>
    <t>Common edible cockle</t>
  </si>
  <si>
    <t>Meagre</t>
  </si>
  <si>
    <t>Northern quahog(=Hard clam)</t>
  </si>
  <si>
    <t>Periwinkles nei</t>
  </si>
  <si>
    <t>Perfumery &amp; cosmetics,dentifrices etc.</t>
  </si>
  <si>
    <t>Soaps</t>
  </si>
  <si>
    <t>Surface acting agents and washing preparation</t>
  </si>
  <si>
    <t>Freshwater siluroids nei</t>
  </si>
  <si>
    <t>Frogs</t>
  </si>
  <si>
    <t>Prochilods nei</t>
  </si>
  <si>
    <t>Pangas catfishes nei</t>
  </si>
  <si>
    <t>Plectorhinchus macrolepis</t>
  </si>
  <si>
    <t>Plectorhinchus mediterraneus</t>
  </si>
  <si>
    <t>Plectorhinchus pictus</t>
  </si>
  <si>
    <t>Plectorhinchus schotaf</t>
  </si>
  <si>
    <t>Plectropomus areolatus</t>
  </si>
  <si>
    <t>Plectropomus pessuliferus</t>
  </si>
  <si>
    <t>Pleuragramma antarcticum</t>
  </si>
  <si>
    <t>Malayan leaffish</t>
  </si>
  <si>
    <t>Pristolepis fasciata</t>
  </si>
  <si>
    <t>Tractors, other than road tractors</t>
  </si>
  <si>
    <t>Percoids nei</t>
  </si>
  <si>
    <t>Spinefeet(=Rabbitfishes) nei</t>
  </si>
  <si>
    <t>Striped snakehead</t>
  </si>
  <si>
    <t>Fur skins,tanned or dressed</t>
  </si>
  <si>
    <t>Materials of rubber</t>
  </si>
  <si>
    <t>Rubber tyres &amp; tubes for vehicles and aircraf</t>
  </si>
  <si>
    <t>Hygienic &amp; pharmaceutical articles of rubber</t>
  </si>
  <si>
    <t>2009.6_a</t>
  </si>
  <si>
    <t>Notopterus spp</t>
  </si>
  <si>
    <t>Osphronemus goramy</t>
  </si>
  <si>
    <t>Osteichthyes</t>
  </si>
  <si>
    <t>Pangasius spp</t>
  </si>
  <si>
    <t>Parailia pellucida</t>
  </si>
  <si>
    <t>Diplodus sargus</t>
  </si>
  <si>
    <t>Diplodus spp</t>
  </si>
  <si>
    <t>Drepane africana</t>
  </si>
  <si>
    <t>Drepane punctata</t>
  </si>
  <si>
    <t>Meat-CattleBoneless(Beef&amp;Veal)</t>
  </si>
  <si>
    <t>Milk Skimmed Cond</t>
  </si>
  <si>
    <t>Blue marlin</t>
  </si>
  <si>
    <t>Carangids nei</t>
  </si>
  <si>
    <t>Nematopalaemon schmitti</t>
  </si>
  <si>
    <t>Palaemon longirostris</t>
  </si>
  <si>
    <t>Palaemon serratus</t>
  </si>
  <si>
    <t>Pandalopsis japonica</t>
  </si>
  <si>
    <t>Crassostrea virginica</t>
  </si>
  <si>
    <t>Ostrea chilensis</t>
  </si>
  <si>
    <t>Ostrea conchaphila</t>
  </si>
  <si>
    <t>Ostrea edulis</t>
  </si>
  <si>
    <t>Bathyraja rays nei</t>
  </si>
  <si>
    <t>Bigeye grenadier</t>
  </si>
  <si>
    <t>Black marlin</t>
  </si>
  <si>
    <t>Blue grenadier</t>
  </si>
  <si>
    <t>Bluefin gurnard</t>
  </si>
  <si>
    <t>Cnidarians nei</t>
  </si>
  <si>
    <t>0907.00</t>
  </si>
  <si>
    <t>Cocoa beans</t>
  </si>
  <si>
    <t>Coconut (copra) oil</t>
  </si>
  <si>
    <t>1513.1_a</t>
  </si>
  <si>
    <t>Copper and alloys of copper, worked</t>
  </si>
  <si>
    <t>Ores and concentrates of manganese</t>
  </si>
  <si>
    <t>Ores &amp; concentrates of non ferrous base met.n</t>
  </si>
  <si>
    <t>Non ferrous metal scrap</t>
  </si>
  <si>
    <t>Silver &amp; platinum ores</t>
  </si>
  <si>
    <t>Ores &amp; concentrates of uranium &amp; thorium</t>
  </si>
  <si>
    <t>Sturgeons nei</t>
  </si>
  <si>
    <t>Tench</t>
  </si>
  <si>
    <t>Wels(=Som)catfish</t>
  </si>
  <si>
    <t>Whitefishes nei</t>
  </si>
  <si>
    <t>Pulpwood,Round&amp;Split Trd</t>
  </si>
  <si>
    <t>Pulpwood,Round&amp;Split(C)</t>
  </si>
  <si>
    <t>Pulpwood,Round&amp;Split(NC)</t>
  </si>
  <si>
    <t>fossil_efp</t>
  </si>
  <si>
    <r>
      <t>[t C pp (t ww fish)</t>
    </r>
    <r>
      <rPr>
        <vertAlign val="superscript"/>
        <sz val="10"/>
        <color indexed="22"/>
        <rFont val="Arial"/>
        <family val="2"/>
      </rPr>
      <t>-1</t>
    </r>
    <r>
      <rPr>
        <sz val="10"/>
        <color indexed="22"/>
        <rFont val="Arial"/>
        <family val="2"/>
      </rPr>
      <t>]</t>
    </r>
  </si>
  <si>
    <r>
      <t>[t ww fish (ha shelf)</t>
    </r>
    <r>
      <rPr>
        <vertAlign val="superscript"/>
        <sz val="10"/>
        <color indexed="22"/>
        <rFont val="Arial"/>
        <family val="2"/>
      </rPr>
      <t xml:space="preserve">-1 </t>
    </r>
    <r>
      <rPr>
        <sz val="10"/>
        <color indexed="22"/>
        <rFont val="Arial"/>
        <family val="2"/>
      </rPr>
      <t xml:space="preserve">yr </t>
    </r>
    <r>
      <rPr>
        <vertAlign val="superscript"/>
        <sz val="10"/>
        <color indexed="22"/>
        <rFont val="Arial"/>
        <family val="2"/>
      </rPr>
      <t>-1</t>
    </r>
    <r>
      <rPr>
        <sz val="10"/>
        <color indexed="22"/>
        <rFont val="Arial"/>
        <family val="2"/>
      </rPr>
      <t>]</t>
    </r>
  </si>
  <si>
    <r>
      <t>[t C pp (ha shelf)</t>
    </r>
    <r>
      <rPr>
        <vertAlign val="superscript"/>
        <sz val="10"/>
        <color indexed="23"/>
        <rFont val="Arial"/>
        <family val="2"/>
      </rPr>
      <t>-1</t>
    </r>
    <r>
      <rPr>
        <sz val="10"/>
        <color indexed="23"/>
        <rFont val="Arial"/>
        <family val="2"/>
      </rPr>
      <t xml:space="preserve"> yr</t>
    </r>
    <r>
      <rPr>
        <vertAlign val="superscript"/>
        <sz val="10"/>
        <color indexed="23"/>
        <rFont val="Arial"/>
        <family val="2"/>
      </rPr>
      <t>-1</t>
    </r>
    <r>
      <rPr>
        <sz val="10"/>
        <color indexed="23"/>
        <rFont val="Arial"/>
        <family val="2"/>
      </rPr>
      <t>]</t>
    </r>
  </si>
  <si>
    <t>forest_efp</t>
  </si>
  <si>
    <t>forest_efe</t>
  </si>
  <si>
    <r>
      <t>[m</t>
    </r>
    <r>
      <rPr>
        <vertAlign val="superscript"/>
        <sz val="10"/>
        <color indexed="23"/>
        <rFont val="Arial"/>
        <family val="2"/>
      </rPr>
      <t>3</t>
    </r>
    <r>
      <rPr>
        <sz val="10"/>
        <color indexed="23"/>
        <rFont val="Arial"/>
        <family val="2"/>
      </rPr>
      <t xml:space="preserve"> or t wha</t>
    </r>
    <r>
      <rPr>
        <vertAlign val="superscript"/>
        <sz val="10"/>
        <color indexed="23"/>
        <rFont val="Arial"/>
        <family val="2"/>
      </rPr>
      <t>-1</t>
    </r>
    <r>
      <rPr>
        <sz val="10"/>
        <color indexed="23"/>
        <rFont val="Arial"/>
        <family val="2"/>
      </rPr>
      <t xml:space="preserve"> yr</t>
    </r>
    <r>
      <rPr>
        <vertAlign val="superscript"/>
        <sz val="10"/>
        <color indexed="23"/>
        <rFont val="Arial"/>
        <family val="2"/>
      </rPr>
      <t>-1</t>
    </r>
    <r>
      <rPr>
        <sz val="10"/>
        <color indexed="23"/>
        <rFont val="Arial"/>
        <family val="2"/>
      </rPr>
      <t>]</t>
    </r>
  </si>
  <si>
    <t>yf</t>
  </si>
  <si>
    <t>ef_built</t>
  </si>
  <si>
    <t>summary</t>
  </si>
  <si>
    <t>infrastructure_efp</t>
  </si>
  <si>
    <t>hydro_efp</t>
  </si>
  <si>
    <r>
      <t>[t wha</t>
    </r>
    <r>
      <rPr>
        <vertAlign val="superscript"/>
        <sz val="10"/>
        <color indexed="22"/>
        <rFont val="Arial"/>
        <family val="2"/>
      </rPr>
      <t>-1</t>
    </r>
    <r>
      <rPr>
        <sz val="10"/>
        <color indexed="22"/>
        <rFont val="Arial"/>
        <family val="2"/>
      </rPr>
      <t>]</t>
    </r>
  </si>
  <si>
    <t>Perca flavescens</t>
  </si>
  <si>
    <t>Perca fluviatilis</t>
  </si>
  <si>
    <t>Agave Fibres Nes</t>
  </si>
  <si>
    <t>Mustelus asterias</t>
  </si>
  <si>
    <t>Sugar, nes</t>
  </si>
  <si>
    <t>Tangerine Juice</t>
  </si>
  <si>
    <t>Tobacco Products Nes</t>
  </si>
  <si>
    <t>Vegetable Tallow</t>
  </si>
  <si>
    <t>Vegetables Dehydrated</t>
  </si>
  <si>
    <t>Vegetables fresh nes</t>
  </si>
  <si>
    <t>Vegetables Preserved Nes</t>
  </si>
  <si>
    <t>Vegetables, dried nes</t>
  </si>
  <si>
    <t>Apple juice, concentrated</t>
  </si>
  <si>
    <t>Apple juice, single strength</t>
  </si>
  <si>
    <t>Asses</t>
  </si>
  <si>
    <t>Barley Pearled</t>
  </si>
  <si>
    <t>Bird meat, nes</t>
  </si>
  <si>
    <t>Blueberries</t>
  </si>
  <si>
    <t>Bran of Cereals</t>
  </si>
  <si>
    <t>Bran of Fonio</t>
  </si>
  <si>
    <t>Bran of Mixed Grains</t>
  </si>
  <si>
    <t>2009.39</t>
  </si>
  <si>
    <t>1102.90</t>
  </si>
  <si>
    <t>1102.20</t>
  </si>
  <si>
    <t>2009.80</t>
  </si>
  <si>
    <t>2009.29</t>
  </si>
  <si>
    <t>1702.30</t>
  </si>
  <si>
    <t>2009.31</t>
  </si>
  <si>
    <t>1517.90</t>
  </si>
  <si>
    <t>1517.10</t>
  </si>
  <si>
    <t>1006.30</t>
  </si>
  <si>
    <t>1516.20</t>
  </si>
  <si>
    <t>1515.90</t>
  </si>
  <si>
    <t>2009.19</t>
  </si>
  <si>
    <t>2009.12</t>
  </si>
  <si>
    <t>0714.90</t>
  </si>
  <si>
    <t>Chrysichthys spp</t>
  </si>
  <si>
    <t>Citharinus spp</t>
  </si>
  <si>
    <t>Clarias anguillaris</t>
  </si>
  <si>
    <t>Urophycis chuss</t>
  </si>
  <si>
    <t>Veg.Prod.Fresh Or Dried</t>
  </si>
  <si>
    <t>Grey triggerfish</t>
  </si>
  <si>
    <t>Guitarfishes, etc. nei</t>
  </si>
  <si>
    <t>Gurnards, searobins nei</t>
  </si>
  <si>
    <t>John dory</t>
  </si>
  <si>
    <t>Leerfish</t>
  </si>
  <si>
    <t>Small wares and toilet artices, nes</t>
  </si>
  <si>
    <t>Pteroscion peli</t>
  </si>
  <si>
    <t>Pterothrissus belloci</t>
  </si>
  <si>
    <t>Chars nei</t>
  </si>
  <si>
    <t>Lanternsharks nei</t>
  </si>
  <si>
    <t>New Zealand blue cod</t>
  </si>
  <si>
    <t>New Zealand dredge oyster</t>
  </si>
  <si>
    <t>New Zealand lobster</t>
  </si>
  <si>
    <t>Aquatic plants nei</t>
  </si>
  <si>
    <t>Black carp</t>
  </si>
  <si>
    <t>Vegetables,frozen or in temporary preservativ</t>
  </si>
  <si>
    <t>Sulphur, not sublimed, precipitd or colloidal</t>
  </si>
  <si>
    <t>Raja microocellata</t>
  </si>
  <si>
    <t>Raja montagui</t>
  </si>
  <si>
    <t>Raja naevus</t>
  </si>
  <si>
    <t>Raja oxyrinchus</t>
  </si>
  <si>
    <t>Raja radiata</t>
  </si>
  <si>
    <t>Raja spp</t>
  </si>
  <si>
    <t>Rajidae</t>
  </si>
  <si>
    <t>Sinks,wash basins,bidets,baths etc iron/steel</t>
  </si>
  <si>
    <t>Orange perch</t>
  </si>
  <si>
    <t>Casks,drums,boxes,cans and similar containers</t>
  </si>
  <si>
    <t>Compressed gas cylinders</t>
  </si>
  <si>
    <t>Wire cables,ropes,plaited bands not insulated</t>
  </si>
  <si>
    <t>Mirror dory</t>
  </si>
  <si>
    <t>Morwongs</t>
  </si>
  <si>
    <t>Murray's skate</t>
  </si>
  <si>
    <t>Sterlet sturgeon</t>
  </si>
  <si>
    <t>Rhinofishes nei</t>
  </si>
  <si>
    <t>Pacific salmons nei</t>
  </si>
  <si>
    <t>Soles nei</t>
  </si>
  <si>
    <t>Butterfishes, pomfrets nei</t>
  </si>
  <si>
    <t>Cape hakes</t>
  </si>
  <si>
    <t>Capelin</t>
  </si>
  <si>
    <t>Common nase</t>
  </si>
  <si>
    <t>Danube bleak</t>
  </si>
  <si>
    <t>Mediterranean barbel</t>
  </si>
  <si>
    <t>Pontic shad</t>
  </si>
  <si>
    <t>Vimba bream</t>
  </si>
  <si>
    <t>Dagaas</t>
  </si>
  <si>
    <t>Thorntooth grenadier</t>
  </si>
  <si>
    <t>Velvet leatherjacket</t>
  </si>
  <si>
    <t>White warehou</t>
  </si>
  <si>
    <t>Harbour spidercrab</t>
  </si>
  <si>
    <t>Northern nylon shrimp</t>
  </si>
  <si>
    <t>Red king crab</t>
  </si>
  <si>
    <t>Dorab wolf-herring</t>
  </si>
  <si>
    <t>Parapenaeopsis shrimps nei</t>
  </si>
  <si>
    <t>0103.00</t>
  </si>
  <si>
    <t>Roving coralgrouper</t>
  </si>
  <si>
    <t>Rusty jobfish</t>
  </si>
  <si>
    <t>Sabre squirrelfish</t>
  </si>
  <si>
    <t>Sharpnose stingray</t>
  </si>
  <si>
    <t>Paper bags, paperboard boxes &amp; other containe</t>
  </si>
  <si>
    <t>Catsharks, etc. nei</t>
  </si>
  <si>
    <t>Straightnose rabbitfish</t>
  </si>
  <si>
    <t>Atka mackerel</t>
  </si>
  <si>
    <t>Ophiodon elongatus</t>
  </si>
  <si>
    <t>Orthopristis chrysoptera</t>
  </si>
  <si>
    <t>Alfonsino</t>
  </si>
  <si>
    <t>Beryx decadactylus</t>
  </si>
  <si>
    <t>Angular roughshark</t>
  </si>
  <si>
    <t>Bastard grunt</t>
  </si>
  <si>
    <t>Blue jack mackerel</t>
  </si>
  <si>
    <t>Bramble shark</t>
  </si>
  <si>
    <t>Forkbeard</t>
  </si>
  <si>
    <t>Four-spot megrim</t>
  </si>
  <si>
    <t>Imperial blackfish</t>
  </si>
  <si>
    <t>Mediterranean slipper lobster</t>
  </si>
  <si>
    <t>Scyllarides latus</t>
  </si>
  <si>
    <t>Parrotfish</t>
  </si>
  <si>
    <t>Red scorpionfish</t>
  </si>
  <si>
    <t>Scarlet shrimp</t>
  </si>
  <si>
    <t>Sculpins</t>
  </si>
  <si>
    <t>Silvery John dory</t>
  </si>
  <si>
    <t>Salvelinus alpinus</t>
  </si>
  <si>
    <t>Salvelinus fontinalis</t>
  </si>
  <si>
    <t>Salvelinus namaycush</t>
  </si>
  <si>
    <t>Salvelinus spp</t>
  </si>
  <si>
    <t>Dyeing extracts vegetable and animal</t>
  </si>
  <si>
    <t>Synthetic tanning materials</t>
  </si>
  <si>
    <t>Spinous spider crab</t>
  </si>
  <si>
    <t>Striped venus</t>
  </si>
  <si>
    <t>Onions (inc. shallots), green</t>
  </si>
  <si>
    <t>0703.10_a</t>
  </si>
  <si>
    <t>Offals of Cattle, Edible</t>
  </si>
  <si>
    <t>Harpadon nehereus</t>
  </si>
  <si>
    <t>Holocentridae</t>
  </si>
  <si>
    <t>Hypoptychus dybowskii</t>
  </si>
  <si>
    <t>Panulirus gracilis</t>
  </si>
  <si>
    <t>Panulirus homarus</t>
  </si>
  <si>
    <r>
      <t>[gha (t CO</t>
    </r>
    <r>
      <rPr>
        <vertAlign val="subscript"/>
        <sz val="10"/>
        <color indexed="23"/>
        <rFont val="Arial"/>
        <family val="2"/>
      </rPr>
      <t xml:space="preserve">2 </t>
    </r>
    <r>
      <rPr>
        <sz val="10"/>
        <color indexed="23"/>
        <rFont val="Arial"/>
        <family val="2"/>
      </rPr>
      <t>(yr</t>
    </r>
    <r>
      <rPr>
        <vertAlign val="superscript"/>
        <sz val="10"/>
        <color indexed="23"/>
        <rFont val="Arial"/>
        <family val="2"/>
      </rPr>
      <t>-1</t>
    </r>
    <r>
      <rPr>
        <sz val="10"/>
        <color indexed="23"/>
        <rFont val="Arial"/>
        <family val="2"/>
      </rPr>
      <t>))</t>
    </r>
    <r>
      <rPr>
        <vertAlign val="superscript"/>
        <sz val="10"/>
        <color indexed="23"/>
        <rFont val="Arial"/>
        <family val="2"/>
      </rPr>
      <t>-1</t>
    </r>
    <r>
      <rPr>
        <sz val="10"/>
        <color indexed="23"/>
        <rFont val="Arial"/>
        <family val="2"/>
      </rPr>
      <t>]</t>
    </r>
  </si>
  <si>
    <t>Rasbora argyrotaenia</t>
  </si>
  <si>
    <t>Smallscale archerfish</t>
  </si>
  <si>
    <t>Toxotes microlepis</t>
  </si>
  <si>
    <t>South American silver croaker</t>
  </si>
  <si>
    <t>Plagioscion squamosissimus</t>
  </si>
  <si>
    <t>Spotted barb</t>
  </si>
  <si>
    <t>Puntius binotatus</t>
  </si>
  <si>
    <t>Tarek</t>
  </si>
  <si>
    <t>Chalcalburnus tarichi</t>
  </si>
  <si>
    <t>Tropical gar</t>
  </si>
  <si>
    <t>Inland water</t>
  </si>
  <si>
    <t xml:space="preserve">Non-Metallic Minerals </t>
  </si>
  <si>
    <t xml:space="preserve">Transport Equipment </t>
  </si>
  <si>
    <t>0901.2_a</t>
  </si>
  <si>
    <t>Coffee Subst. Cont.Coffee</t>
  </si>
  <si>
    <t>0901.90_a</t>
  </si>
  <si>
    <t>Coir</t>
  </si>
  <si>
    <t>5305.1_a</t>
  </si>
  <si>
    <t>Compound Feed, Cattle</t>
  </si>
  <si>
    <t>2309.90_a</t>
  </si>
  <si>
    <t>Aluminium and aluminium alloys, worked</t>
  </si>
  <si>
    <t>Lead and lead alloys, unwrought</t>
  </si>
  <si>
    <t>Lead and lead alloys, worked</t>
  </si>
  <si>
    <t>Zinc and zinc alloys, unwrought</t>
  </si>
  <si>
    <t>Zinc and zinc alloys, worked</t>
  </si>
  <si>
    <t>Raja circularis</t>
  </si>
  <si>
    <t>Raja clavata</t>
  </si>
  <si>
    <t>Raja fullonica</t>
  </si>
  <si>
    <t>Raja georgiana</t>
  </si>
  <si>
    <r>
      <t>Grazing EF</t>
    </r>
    <r>
      <rPr>
        <b/>
        <vertAlign val="subscript"/>
        <sz val="10"/>
        <rFont val="Arial"/>
        <family val="2"/>
      </rPr>
      <t>E</t>
    </r>
  </si>
  <si>
    <t>Blue mussel</t>
  </si>
  <si>
    <t>River Plata mussel</t>
  </si>
  <si>
    <t>Raja lintea</t>
  </si>
  <si>
    <t>Castaneta</t>
  </si>
  <si>
    <t>Choicy ruff</t>
  </si>
  <si>
    <t>Eaton's skate</t>
  </si>
  <si>
    <t>Gadiformes nei</t>
  </si>
  <si>
    <t>Grenadiers nei</t>
  </si>
  <si>
    <t>Humped rockcod</t>
  </si>
  <si>
    <t>Kelp nei</t>
  </si>
  <si>
    <t>King weakfish</t>
  </si>
  <si>
    <t>Largehead hairtail</t>
  </si>
  <si>
    <t>Longtail Southern cod</t>
  </si>
  <si>
    <t>Mackerel icefish</t>
  </si>
  <si>
    <t>Marbled rockcod</t>
  </si>
  <si>
    <t>Narrownose smooth-hound</t>
  </si>
  <si>
    <t>Parona leatherjacket</t>
  </si>
  <si>
    <t>Patagonian blennie</t>
  </si>
  <si>
    <t>Patagonian grenadier</t>
  </si>
  <si>
    <t>Patagonian rockcod</t>
  </si>
  <si>
    <t>Patagonian scallop</t>
  </si>
  <si>
    <t>Patagonian toothfish</t>
  </si>
  <si>
    <t>Pink cusk-eel</t>
  </si>
  <si>
    <t>Plownose chimaera</t>
  </si>
  <si>
    <t>Callorhinchus callorynchus</t>
  </si>
  <si>
    <t>Rough scad</t>
  </si>
  <si>
    <t>Sevenstar flying squid</t>
  </si>
  <si>
    <t>Softshell red crab</t>
  </si>
  <si>
    <t>Cake of Oilseeds, Nes</t>
  </si>
  <si>
    <t>2306.90_h</t>
  </si>
  <si>
    <t>Cake of Palm Kernel</t>
  </si>
  <si>
    <t>2306.60</t>
  </si>
  <si>
    <t>Lophius budegassa</t>
  </si>
  <si>
    <t>Lophius piscatorius</t>
  </si>
  <si>
    <t>Acanthopagrus bifasciatus</t>
  </si>
  <si>
    <t>Acanthopagrus latus</t>
  </si>
  <si>
    <t>Acanthopagrus schlegeli</t>
  </si>
  <si>
    <t>Acanthuridae</t>
  </si>
  <si>
    <t>Acanthurus sohal</t>
  </si>
  <si>
    <t>Merluccius spp</t>
  </si>
  <si>
    <t>Microgadus proximus</t>
  </si>
  <si>
    <t>Microgadus tomcod</t>
  </si>
  <si>
    <t>Micromesistius australis</t>
  </si>
  <si>
    <t>Micromesistius poutassou</t>
  </si>
  <si>
    <t>Preparations of cereals,flour &amp; starch for fo</t>
  </si>
  <si>
    <t>Oranges, tangerines and clementines</t>
  </si>
  <si>
    <t>Pet Food</t>
  </si>
  <si>
    <t>Trichechus inunguis</t>
  </si>
  <si>
    <t>Rana spp</t>
  </si>
  <si>
    <t>Caretta caretta</t>
  </si>
  <si>
    <t>Chelonia mydas</t>
  </si>
  <si>
    <t>Tub gurnard</t>
  </si>
  <si>
    <t>Various sharks nei</t>
  </si>
  <si>
    <t>Whelk</t>
  </si>
  <si>
    <t>Whiting</t>
  </si>
  <si>
    <t>Benguela hake</t>
  </si>
  <si>
    <t>Black skipjack</t>
  </si>
  <si>
    <t>Veneer Sheets</t>
  </si>
  <si>
    <t>Wood Charcoal</t>
  </si>
  <si>
    <t>Wood Fuel(C)</t>
  </si>
  <si>
    <t>Wood Fuel(NC)</t>
  </si>
  <si>
    <r>
      <t>C to CO</t>
    </r>
    <r>
      <rPr>
        <vertAlign val="subscript"/>
        <sz val="10"/>
        <rFont val="Arial"/>
        <family val="2"/>
      </rPr>
      <t>2</t>
    </r>
    <r>
      <rPr>
        <sz val="10"/>
        <rFont val="Arial"/>
        <family val="2"/>
      </rPr>
      <t xml:space="preserve"> Ratio</t>
    </r>
  </si>
  <si>
    <t>Yellowstripe scad</t>
  </si>
  <si>
    <t>Bartail flathead</t>
  </si>
  <si>
    <t>Bigeye croaker</t>
  </si>
  <si>
    <t>Bluespot mullet</t>
  </si>
  <si>
    <t>Grooved carpet shell</t>
  </si>
  <si>
    <t>Chub</t>
  </si>
  <si>
    <t>Chum(=Keta=Dog)salmon</t>
  </si>
  <si>
    <t>Mozambique tilapia</t>
  </si>
  <si>
    <t>Philippine catfish</t>
  </si>
  <si>
    <t>Silver barb</t>
  </si>
  <si>
    <t>Meal Fish</t>
  </si>
  <si>
    <t>Donax clams</t>
  </si>
  <si>
    <t>Greater amberjack</t>
  </si>
  <si>
    <t>1704_a</t>
  </si>
  <si>
    <t>Sunflower Cake</t>
  </si>
  <si>
    <t>2306.30</t>
  </si>
  <si>
    <t>Pseudocyttus maculatus</t>
  </si>
  <si>
    <t>Pseudopentaceros richardsoni</t>
  </si>
  <si>
    <t>Patagonian squid</t>
  </si>
  <si>
    <t>Pipi wedge clam</t>
  </si>
  <si>
    <t>Percarina demidoffi</t>
  </si>
  <si>
    <t>Juice of Pineapples</t>
  </si>
  <si>
    <t>2009.41</t>
  </si>
  <si>
    <t>Narrow-barred Spanish mackerel</t>
  </si>
  <si>
    <t>Needlefishes, etc. nei</t>
  </si>
  <si>
    <t>Sardinella spp</t>
  </si>
  <si>
    <t>Sardinella zunasi</t>
  </si>
  <si>
    <t>Sardinops caeruleus</t>
  </si>
  <si>
    <t>Sardinops melanostictus</t>
  </si>
  <si>
    <t>Materials of animal origin,nes</t>
  </si>
  <si>
    <t>1521.90_a</t>
  </si>
  <si>
    <t>Beet Pulp</t>
  </si>
  <si>
    <t>2303.20_a</t>
  </si>
  <si>
    <t>Beets for Fodder</t>
  </si>
  <si>
    <t>1214.90_k</t>
  </si>
  <si>
    <t>Round sardinella</t>
  </si>
  <si>
    <t>Salema</t>
  </si>
  <si>
    <t>Sardinia coral</t>
  </si>
  <si>
    <t>Scomber mackerels nei</t>
  </si>
  <si>
    <t>Silver scabbardfish</t>
  </si>
  <si>
    <t>Steel castings in the rough state</t>
  </si>
  <si>
    <t>Inorganic esters,their salts and derivatives</t>
  </si>
  <si>
    <t>2309.90_c</t>
  </si>
  <si>
    <t>1801.00_a</t>
  </si>
  <si>
    <t>0801.19_a</t>
  </si>
  <si>
    <t>0901.1_a</t>
  </si>
  <si>
    <t>5201.00aa</t>
  </si>
  <si>
    <t>1207.20aa</t>
  </si>
  <si>
    <t>Fat of Camels</t>
  </si>
  <si>
    <t>Fat of Poultry</t>
  </si>
  <si>
    <t>Fat of Sheep</t>
  </si>
  <si>
    <t>Echinus esculentus</t>
  </si>
  <si>
    <t>Loxechinus albus</t>
  </si>
  <si>
    <t>Salilota australis</t>
  </si>
  <si>
    <t>Redtail prawn</t>
  </si>
  <si>
    <t>Snappers, jobfishes nei</t>
  </si>
  <si>
    <t>Two-spot red snapper</t>
  </si>
  <si>
    <t>0407.00b</t>
  </si>
  <si>
    <t>Pig meat</t>
  </si>
  <si>
    <t>Blood ark</t>
  </si>
  <si>
    <t>Argentine goatfish</t>
  </si>
  <si>
    <t>Argentine hake</t>
  </si>
  <si>
    <t>Argentine red shrimp</t>
  </si>
  <si>
    <t>Argentine seabass</t>
  </si>
  <si>
    <t>Argentine shortfin squid</t>
  </si>
  <si>
    <t>Argentine stiletto shrimp</t>
  </si>
  <si>
    <t>Infrastructure</t>
  </si>
  <si>
    <t>Golden grey mullet</t>
  </si>
  <si>
    <t>Hairtails, scabbardfishes nei</t>
  </si>
  <si>
    <t>Indian mackerel</t>
  </si>
  <si>
    <t>Kingklip</t>
  </si>
  <si>
    <t>Leaping mullet</t>
  </si>
  <si>
    <t>Longfin squid</t>
  </si>
  <si>
    <t>Loligo pealeii</t>
  </si>
  <si>
    <t>2205_a</t>
  </si>
  <si>
    <t>Vitamins</t>
  </si>
  <si>
    <t>2309.90_i</t>
  </si>
  <si>
    <t>Wafers</t>
  </si>
  <si>
    <t>1905_c</t>
  </si>
  <si>
    <t>Walnuts Shelled</t>
  </si>
  <si>
    <t>Parent Name</t>
  </si>
  <si>
    <t>Parent Code</t>
  </si>
  <si>
    <t>1212.91_a</t>
  </si>
  <si>
    <t>Sugar Non- Centrifugal</t>
  </si>
  <si>
    <t>1701.11_b</t>
  </si>
  <si>
    <t>1206.00_a</t>
  </si>
  <si>
    <t>Swedes for Fodder</t>
  </si>
  <si>
    <t>1214.90_m</t>
  </si>
  <si>
    <t>0714.20_a</t>
  </si>
  <si>
    <t>0805.20_a</t>
  </si>
  <si>
    <t>2401_a</t>
  </si>
  <si>
    <t>0702.00_a</t>
  </si>
  <si>
    <t>Tomatojuice Concentrated</t>
  </si>
  <si>
    <t>2009.50_b</t>
  </si>
  <si>
    <t>Tung Nuts</t>
  </si>
  <si>
    <t>1207.9ai</t>
  </si>
  <si>
    <t>Cymatoceps nasutus</t>
  </si>
  <si>
    <t>Black rockcod</t>
  </si>
  <si>
    <t>Notothenia coriiceps</t>
  </si>
  <si>
    <t>Black teatfish</t>
  </si>
  <si>
    <t>Holothuria nobilis</t>
  </si>
  <si>
    <t>Blackfin goosefish</t>
  </si>
  <si>
    <t>Lophius gastrophysus</t>
  </si>
  <si>
    <t>Boarfish</t>
  </si>
  <si>
    <t>Larimichthys croceus</t>
  </si>
  <si>
    <t>Larimichthys polyactis</t>
  </si>
  <si>
    <t>Lateolabrax japonicus</t>
  </si>
  <si>
    <t>Leiognathidae</t>
  </si>
  <si>
    <t>Leiognathus spp</t>
  </si>
  <si>
    <t>Leiostomus xanthurus</t>
  </si>
  <si>
    <t>Lepidoperca pulchella</t>
  </si>
  <si>
    <t>Lethrinidae</t>
  </si>
  <si>
    <t>Lethrinus atlanticus</t>
  </si>
  <si>
    <t>Lethrinus borbonicus</t>
  </si>
  <si>
    <t>Lethrinus harak</t>
  </si>
  <si>
    <t>Scalloped hammerhead</t>
  </si>
  <si>
    <t>Serra Spanish mackerel</t>
  </si>
  <si>
    <t>Silky shark</t>
  </si>
  <si>
    <t>Telecommunications equipment nes</t>
  </si>
  <si>
    <t>Other artificial resins and plastic materials</t>
  </si>
  <si>
    <t>Yarn of wool and animal hair</t>
  </si>
  <si>
    <t>Lorries and trucks, including ambulances, etc</t>
  </si>
  <si>
    <t>Special purpose lorries, trucks and vans</t>
  </si>
  <si>
    <t>tonnes</t>
  </si>
  <si>
    <t>Scomberomorus maculatus</t>
  </si>
  <si>
    <t>Pyrethrum Extr</t>
  </si>
  <si>
    <t>1302.14</t>
  </si>
  <si>
    <t>Pyrethrum,Dried</t>
  </si>
  <si>
    <t>1211.90</t>
  </si>
  <si>
    <t>Rabbits and hares</t>
  </si>
  <si>
    <t>Ramie</t>
  </si>
  <si>
    <t>5305.90_b</t>
  </si>
  <si>
    <t>Raspberries</t>
  </si>
  <si>
    <t>Res.Fatty Subs</t>
  </si>
  <si>
    <t>Rice Broken</t>
  </si>
  <si>
    <t>1006.40</t>
  </si>
  <si>
    <t>Fleshy prawn</t>
  </si>
  <si>
    <t>National Electricity Carbon Intensity</t>
  </si>
  <si>
    <t>Regional Electricity Carbon Intensity</t>
  </si>
  <si>
    <t>Hippoglossus stenolepis</t>
  </si>
  <si>
    <t>Lepidopsetta bilineata</t>
  </si>
  <si>
    <t>Lepidorhombus boscii</t>
  </si>
  <si>
    <t>Lepidorhombus spp</t>
  </si>
  <si>
    <t>Lepidorhombus whiffiagonis</t>
  </si>
  <si>
    <t>Limanda aspera</t>
  </si>
  <si>
    <t>Pecten jacobaeus</t>
  </si>
  <si>
    <t>Pecten maximus</t>
  </si>
  <si>
    <t>Pecten novaezelandiae</t>
  </si>
  <si>
    <t>Pectinidae</t>
  </si>
  <si>
    <t>Placopecten magellanicus</t>
  </si>
  <si>
    <t>Birdbeak dogfish</t>
  </si>
  <si>
    <t>1515.90_e</t>
  </si>
  <si>
    <t>Oil of Olive Residues</t>
  </si>
  <si>
    <t>Acanthopagrus berda</t>
  </si>
  <si>
    <t>Geese and guinea fowls</t>
  </si>
  <si>
    <t>0105cb</t>
  </si>
  <si>
    <t>Meal and flour of wheat or of meslin</t>
  </si>
  <si>
    <t>Medium plates etc. Of iron or steel, 3 4.75mm</t>
  </si>
  <si>
    <t>Plates etc of iron or steel uncoated under 3</t>
  </si>
  <si>
    <t>Tinned plates and sheets</t>
  </si>
  <si>
    <t>Fruit Tropical Dried Nes</t>
  </si>
  <si>
    <t>0813.40_a</t>
  </si>
  <si>
    <t>Chilean silverside</t>
  </si>
  <si>
    <t>Aspius aspius</t>
  </si>
  <si>
    <t>Barbus barbus</t>
  </si>
  <si>
    <t>Atlantic silverside</t>
  </si>
  <si>
    <t>Atlantic surf clam</t>
  </si>
  <si>
    <t>Dungeness crab</t>
  </si>
  <si>
    <t>Greenland cod</t>
  </si>
  <si>
    <t>English sole</t>
  </si>
  <si>
    <t>Gag</t>
  </si>
  <si>
    <t>Redfish</t>
  </si>
  <si>
    <t>Milk Skimmed Dry</t>
  </si>
  <si>
    <t>Milk Skm of Cows</t>
  </si>
  <si>
    <t>Tuna-like fishes nei</t>
  </si>
  <si>
    <t>Groundnuts, with shell</t>
  </si>
  <si>
    <t>Hazelnuts, with shell</t>
  </si>
  <si>
    <t>Hops</t>
  </si>
  <si>
    <t>1210.10</t>
  </si>
  <si>
    <t>Printing and bookbinding machinery</t>
  </si>
  <si>
    <t>Macrodon ancylodon</t>
  </si>
  <si>
    <t>Archosargus rhomboidalis</t>
  </si>
  <si>
    <t>Knifetooth dogfish</t>
  </si>
  <si>
    <t>Scymnodon ringens</t>
  </si>
  <si>
    <t>Little sleeper shark</t>
  </si>
  <si>
    <t>Glyptocephalus cynoglossus</t>
  </si>
  <si>
    <t>Glyptocephalus zachirus</t>
  </si>
  <si>
    <t>Hippoglossoides elassodon</t>
  </si>
  <si>
    <t>Hippoglossoides platessoides</t>
  </si>
  <si>
    <t>Hippoglossus hippoglossus</t>
  </si>
  <si>
    <t>Groupers nei</t>
  </si>
  <si>
    <t>Indo-Pacific swamp crab</t>
  </si>
  <si>
    <t>Indonesian snakehead</t>
  </si>
  <si>
    <t>Kissing gourami</t>
  </si>
  <si>
    <t>Main Activity Electricity and Heat Production</t>
  </si>
  <si>
    <t xml:space="preserve">Main Activity Electricity Plants </t>
  </si>
  <si>
    <t>Main Activity CHP Plants</t>
  </si>
  <si>
    <t>Main Activity Heat Plants</t>
  </si>
  <si>
    <t>Gobies nei</t>
  </si>
  <si>
    <t>Marine crabs nei</t>
  </si>
  <si>
    <t>Natantian decapods nei</t>
  </si>
  <si>
    <t>Halogen &amp; sulphur comp.of non met.or metalloi</t>
  </si>
  <si>
    <t>Metallic oxides used in paints</t>
  </si>
  <si>
    <t>Other inorganic bases and metallic oxides</t>
  </si>
  <si>
    <t>Metallic salts &amp; peroxysalts of inorganic aci</t>
  </si>
  <si>
    <t>Oth.metal.salts &amp; peroxysalts of inorg.acids</t>
  </si>
  <si>
    <t>2004.90_a</t>
  </si>
  <si>
    <t>Pineapples Cand</t>
  </si>
  <si>
    <t>2008.20</t>
  </si>
  <si>
    <t>Plums Dried (Prunes)</t>
  </si>
  <si>
    <t>0813.20</t>
  </si>
  <si>
    <t>Pork</t>
  </si>
  <si>
    <t>Potatoes Flour</t>
  </si>
  <si>
    <t>1105.00</t>
  </si>
  <si>
    <t>Prep of Pig Meat</t>
  </si>
  <si>
    <t>Plums and sloes</t>
  </si>
  <si>
    <t>Poppy seed</t>
  </si>
  <si>
    <t>Kinneret bleak</t>
  </si>
  <si>
    <t>Japanese corbicula</t>
  </si>
  <si>
    <t>Rhinochimaera atlantica</t>
  </si>
  <si>
    <t>Rhynchobatus djiddensis</t>
  </si>
  <si>
    <t>Scyliorhinidae</t>
  </si>
  <si>
    <t>Bigeye tuna, fresh or chilled</t>
  </si>
  <si>
    <t>Trisopterus minutus</t>
  </si>
  <si>
    <t>Ponyfishes(=Slipmouths) nei</t>
  </si>
  <si>
    <t>Angelshark</t>
  </si>
  <si>
    <t>Eledone spp</t>
  </si>
  <si>
    <t>Common stingray</t>
  </si>
  <si>
    <t>Eel-grass</t>
  </si>
  <si>
    <t>Golden Cystoseira</t>
  </si>
  <si>
    <t>King dory</t>
  </si>
  <si>
    <t>Shads nei</t>
  </si>
  <si>
    <t>Clams, etc. nei</t>
  </si>
  <si>
    <t>American eel</t>
  </si>
  <si>
    <t>Gudgeons, sleepers nei</t>
  </si>
  <si>
    <t>European seabass</t>
  </si>
  <si>
    <t>Gilthead seabream</t>
  </si>
  <si>
    <t>Jacks, crevalles nei</t>
  </si>
  <si>
    <t>Eretmochelys imbricata</t>
  </si>
  <si>
    <t>Snappers nei</t>
  </si>
  <si>
    <t>Oriental river prawn</t>
  </si>
  <si>
    <t>Pond smelt</t>
  </si>
  <si>
    <t>Puffers nei</t>
  </si>
  <si>
    <t>Red swamp crawfish</t>
  </si>
  <si>
    <t>Snakehead</t>
  </si>
  <si>
    <t>Soft-shell turtle</t>
  </si>
  <si>
    <t>Tanning extracts of vegetable origin</t>
  </si>
  <si>
    <t>Tannic acids tannins and derivatives</t>
  </si>
  <si>
    <t>Colouring materials,nes</t>
  </si>
  <si>
    <t>Printing inks</t>
  </si>
  <si>
    <t>Ginglymostoma cirratum</t>
  </si>
  <si>
    <t>Gymnura altavela</t>
  </si>
  <si>
    <t>Hexanchus griseus</t>
  </si>
  <si>
    <t>Himantura gerrardi</t>
  </si>
  <si>
    <t>Hydrolagus colliei</t>
  </si>
  <si>
    <t>Southern blue whiting</t>
  </si>
  <si>
    <t>0802.50_a</t>
  </si>
  <si>
    <t>0809.40_a</t>
  </si>
  <si>
    <t>Malaclemys spp</t>
  </si>
  <si>
    <t>Testudinata</t>
  </si>
  <si>
    <t>Trionyx sinensis</t>
  </si>
  <si>
    <t>Shrimp scad</t>
  </si>
  <si>
    <t>Ascophyllum nodosum</t>
  </si>
  <si>
    <t>Cystoseira barbata</t>
  </si>
  <si>
    <t>Laminaria digitata</t>
  </si>
  <si>
    <t>Chaenocephalus aceratus</t>
  </si>
  <si>
    <t>Chaenodraco wilsoni</t>
  </si>
  <si>
    <r>
      <t>[t yr</t>
    </r>
    <r>
      <rPr>
        <vertAlign val="superscript"/>
        <sz val="10"/>
        <color indexed="23"/>
        <rFont val="Arial"/>
        <family val="2"/>
      </rPr>
      <t>-1</t>
    </r>
    <r>
      <rPr>
        <sz val="10"/>
        <color indexed="23"/>
        <rFont val="Arial"/>
        <family val="2"/>
      </rPr>
      <t>]</t>
    </r>
  </si>
  <si>
    <t>1509_a</t>
  </si>
  <si>
    <t>Olives</t>
  </si>
  <si>
    <t>Leguminous nes for forage and silage</t>
  </si>
  <si>
    <t>1214.90_g</t>
  </si>
  <si>
    <t>Lumber, sawn, planed, etc.  Non conifer</t>
  </si>
  <si>
    <t>Cork,raw &amp; waste</t>
  </si>
  <si>
    <t>Castor oil seed</t>
  </si>
  <si>
    <t>Cauliflowers and broccoli</t>
  </si>
  <si>
    <t>0704.10</t>
  </si>
  <si>
    <t>Cherries</t>
  </si>
  <si>
    <t>0809.20_a</t>
  </si>
  <si>
    <t>Chestnuts</t>
  </si>
  <si>
    <t>Roaches nei</t>
  </si>
  <si>
    <r>
      <t>ImportsCO</t>
    </r>
    <r>
      <rPr>
        <b/>
        <vertAlign val="subscript"/>
        <sz val="10"/>
        <color indexed="9"/>
        <rFont val="Arial"/>
        <family val="2"/>
      </rPr>
      <t>2</t>
    </r>
  </si>
  <si>
    <r>
      <t>Energy</t>
    </r>
    <r>
      <rPr>
        <b/>
        <vertAlign val="subscript"/>
        <sz val="10"/>
        <color indexed="9"/>
        <rFont val="Arial"/>
        <family val="2"/>
      </rPr>
      <t>I</t>
    </r>
  </si>
  <si>
    <r>
      <t>ExportsCO</t>
    </r>
    <r>
      <rPr>
        <b/>
        <vertAlign val="subscript"/>
        <sz val="10"/>
        <color indexed="9"/>
        <rFont val="Arial"/>
        <family val="2"/>
      </rPr>
      <t>2</t>
    </r>
  </si>
  <si>
    <t>Imports Primary EQ</t>
  </si>
  <si>
    <t>Pseudopercis semifasciata</t>
  </si>
  <si>
    <t>Pseudotolithus brachygnathus</t>
  </si>
  <si>
    <t>Pseudotolithus elongatus</t>
  </si>
  <si>
    <t>Pseudotolithus senegalensis</t>
  </si>
  <si>
    <t>Pseudotolithus spp</t>
  </si>
  <si>
    <t>Pseudupeneus prayensis</t>
  </si>
  <si>
    <t>Pterogymnus laniarius</t>
  </si>
  <si>
    <t>Blackspotted rubberlip</t>
  </si>
  <si>
    <t>Blue-barred parrotfish</t>
  </si>
  <si>
    <t>Bluefin trevally</t>
  </si>
  <si>
    <t>Bluespine unicornfish</t>
  </si>
  <si>
    <t>Brownspotted grouper</t>
  </si>
  <si>
    <t>Camouflage grouper</t>
  </si>
  <si>
    <t>Jasus novaehollandiae</t>
  </si>
  <si>
    <t>Jasus paulensis</t>
  </si>
  <si>
    <t>Climbing perch</t>
  </si>
  <si>
    <t>Giant tiger prawn</t>
  </si>
  <si>
    <t>Kelee shad</t>
  </si>
  <si>
    <t>Asian redtail catfish</t>
  </si>
  <si>
    <t>Mystus nemurus</t>
  </si>
  <si>
    <t>Broad beans, horse beans, dry</t>
  </si>
  <si>
    <t>0713.50</t>
  </si>
  <si>
    <t>Buckwheat</t>
  </si>
  <si>
    <t>1008.90aa</t>
  </si>
  <si>
    <t>Cabbages and other brassicas</t>
  </si>
  <si>
    <t>0704.90_a</t>
  </si>
  <si>
    <t>Sunflower seed</t>
  </si>
  <si>
    <t>Sweet potatoes</t>
  </si>
  <si>
    <t>Tangerines, mandarins, clem.</t>
  </si>
  <si>
    <t>Ocellated icefish</t>
  </si>
  <si>
    <t>Orange roughy</t>
  </si>
  <si>
    <t>Cichla ocellaris</t>
  </si>
  <si>
    <t>Sphyrna lewini</t>
  </si>
  <si>
    <t>Zeus faber</t>
  </si>
  <si>
    <t>Anchoa hepsetus</t>
  </si>
  <si>
    <t>Brevoortia aurea</t>
  </si>
  <si>
    <t>Wahoo</t>
  </si>
  <si>
    <t>Dogfish and Sharks</t>
  </si>
  <si>
    <t>Eels</t>
  </si>
  <si>
    <t>Halibut</t>
  </si>
  <si>
    <t>Hake</t>
  </si>
  <si>
    <t>Herring</t>
  </si>
  <si>
    <t>Lobster</t>
  </si>
  <si>
    <t>Salmon</t>
  </si>
  <si>
    <t>Yautia (cocoyam)</t>
  </si>
  <si>
    <t>Scaridae</t>
  </si>
  <si>
    <t>Coffee Husks and Skins</t>
  </si>
  <si>
    <t>Arecanuts</t>
  </si>
  <si>
    <t>0802.90ab</t>
  </si>
  <si>
    <t>European sprat</t>
  </si>
  <si>
    <t>Garfish</t>
  </si>
  <si>
    <t>Dark ghost shark</t>
  </si>
  <si>
    <t>Dealfishes</t>
  </si>
  <si>
    <t>Delicate scallop</t>
  </si>
  <si>
    <t>Dories nei</t>
  </si>
  <si>
    <t>Eagle rays nei</t>
  </si>
  <si>
    <t>Frostfishes</t>
  </si>
  <si>
    <t>Giant boarfish</t>
  </si>
  <si>
    <t>Giant stargazer</t>
  </si>
  <si>
    <t>Great white shark</t>
  </si>
  <si>
    <t>Grenadier cod</t>
  </si>
  <si>
    <t>Blue runner</t>
  </si>
  <si>
    <t>Brazilian groupers nei</t>
  </si>
  <si>
    <t>Brazilian sardinella</t>
  </si>
  <si>
    <t>Chola guitarfish</t>
  </si>
  <si>
    <t>Cusk-eels, brotulas nei</t>
  </si>
  <si>
    <t>Dana swimcrab</t>
  </si>
  <si>
    <t>Cancer borealis</t>
  </si>
  <si>
    <t>Cancer irroratus</t>
  </si>
  <si>
    <t>Cancer magister</t>
  </si>
  <si>
    <t>Pleuroncodes planipes</t>
  </si>
  <si>
    <t>Acetes japonicus</t>
  </si>
  <si>
    <t>Aristeidae</t>
  </si>
  <si>
    <t>Other bird eggs,in shell</t>
  </si>
  <si>
    <t>Craylets, squat lobsters</t>
  </si>
  <si>
    <t>Croakers nei</t>
  </si>
  <si>
    <t>Anguilla spp</t>
  </si>
  <si>
    <t>Coregonus albula</t>
  </si>
  <si>
    <t>Coregonus artedi</t>
  </si>
  <si>
    <t>Coregonus clupeaformis</t>
  </si>
  <si>
    <t>Coregonus lavaretus</t>
  </si>
  <si>
    <t>Coregonus oxyrinchus</t>
  </si>
  <si>
    <t>Coregonus spp</t>
  </si>
  <si>
    <t>Hucho hucho</t>
  </si>
  <si>
    <t>Hidesdry S.Cattle</t>
  </si>
  <si>
    <t>Homogen. Cooked Fruit Prp</t>
  </si>
  <si>
    <t>2007.10</t>
  </si>
  <si>
    <t>Homogen.Meat Prp.</t>
  </si>
  <si>
    <t>Homogen.Veget.Prep</t>
  </si>
  <si>
    <t>Lethrinus lentjan</t>
  </si>
  <si>
    <t>Lethrinus mahsena</t>
  </si>
  <si>
    <t>Wood Fuel</t>
  </si>
  <si>
    <r>
      <t>EF</t>
    </r>
    <r>
      <rPr>
        <b/>
        <vertAlign val="subscript"/>
        <sz val="10"/>
        <rFont val="Arial"/>
        <family val="2"/>
      </rPr>
      <t>I</t>
    </r>
  </si>
  <si>
    <r>
      <t>EF</t>
    </r>
    <r>
      <rPr>
        <b/>
        <vertAlign val="subscript"/>
        <sz val="10"/>
        <rFont val="Arial"/>
        <family val="2"/>
      </rPr>
      <t>P</t>
    </r>
  </si>
  <si>
    <r>
      <t>EF</t>
    </r>
    <r>
      <rPr>
        <b/>
        <vertAlign val="subscript"/>
        <sz val="10"/>
        <rFont val="Arial"/>
        <family val="2"/>
      </rPr>
      <t>E</t>
    </r>
  </si>
  <si>
    <t>TOTAL</t>
  </si>
  <si>
    <t>Horse mussels nei</t>
  </si>
  <si>
    <t>Bluefish</t>
  </si>
  <si>
    <t>So-iuy mullet</t>
  </si>
  <si>
    <t>Sockeye(=Red)salmon</t>
  </si>
  <si>
    <t>Champsocephalus esox</t>
  </si>
  <si>
    <t>Pilotfish</t>
  </si>
  <si>
    <t>Naucrates ductor</t>
  </si>
  <si>
    <t>Pod razor shell</t>
  </si>
  <si>
    <t>Ensis ensis</t>
  </si>
  <si>
    <t>Prickly redfish</t>
  </si>
  <si>
    <t>Thelenota ananas</t>
  </si>
  <si>
    <t>Queen snapper</t>
  </si>
  <si>
    <t>Etelis oculatus</t>
  </si>
  <si>
    <t>Razor clams, knife clams nei</t>
  </si>
  <si>
    <t>Solenidae</t>
  </si>
  <si>
    <t>Red pike conger</t>
  </si>
  <si>
    <t>Cynoponticus coniceps</t>
  </si>
  <si>
    <t>Red vermillion crab</t>
  </si>
  <si>
    <t>Paralomis verrilli</t>
  </si>
  <si>
    <t>Righteye flounders nei</t>
  </si>
  <si>
    <t>Pleuronectidae</t>
  </si>
  <si>
    <t>Robust clubhook squid</t>
  </si>
  <si>
    <t>Moroteuthis robustus</t>
  </si>
  <si>
    <t>Rubyfish</t>
  </si>
  <si>
    <t>Plagiogeneion rubiginosum</t>
  </si>
  <si>
    <t>Sand fish</t>
  </si>
  <si>
    <t>Holothuria scabra</t>
  </si>
  <si>
    <t>Schoolmaster gonate squid</t>
  </si>
  <si>
    <t>Berryteuthis magister</t>
  </si>
  <si>
    <t>Seaweeds nei</t>
  </si>
  <si>
    <t>Algae</t>
  </si>
  <si>
    <t>Sharptooth houndshark</t>
  </si>
  <si>
    <t>Triakis megalopterus</t>
  </si>
  <si>
    <t>Shortfin scad</t>
  </si>
  <si>
    <t>Decapterus macrosoma</t>
  </si>
  <si>
    <t>Shortjaw leatherjacket</t>
  </si>
  <si>
    <t>Oligoplites refulgens</t>
  </si>
  <si>
    <t>Silk snapper</t>
  </si>
  <si>
    <t>Lutjanus vivanus</t>
  </si>
  <si>
    <t>Silvery pout</t>
  </si>
  <si>
    <t>Gadiculus argenteus</t>
  </si>
  <si>
    <t>Slender tuna</t>
  </si>
  <si>
    <t>Allothunnus fallai</t>
  </si>
  <si>
    <t>Smalltail shark</t>
  </si>
  <si>
    <t>Carcharhinus porosus</t>
  </si>
  <si>
    <t>Smooth callista</t>
  </si>
  <si>
    <t>Callista chione</t>
  </si>
  <si>
    <t>Southern brown shrimp</t>
  </si>
  <si>
    <t>Penaeus subtilis</t>
  </si>
  <si>
    <t>Glycosides,glands &amp; extracts,sera,vaccines</t>
  </si>
  <si>
    <t>Medicaments</t>
  </si>
  <si>
    <t>Pharmaceutical goods</t>
  </si>
  <si>
    <t>Essential oils and resinoids</t>
  </si>
  <si>
    <t>Greater argentine</t>
  </si>
  <si>
    <t>Atlantic moonfish</t>
  </si>
  <si>
    <t>Atlantic seabob</t>
  </si>
  <si>
    <t>1214.90_d</t>
  </si>
  <si>
    <t>Sour cherries</t>
  </si>
  <si>
    <t>0809.20_b</t>
  </si>
  <si>
    <t>Soybean oil</t>
  </si>
  <si>
    <t>1507_a</t>
  </si>
  <si>
    <t>Soybeans</t>
  </si>
  <si>
    <t>Spinach</t>
  </si>
  <si>
    <t>Scomberesox saurus</t>
  </si>
  <si>
    <t>Scomberoides commersonnianus</t>
  </si>
  <si>
    <t>Chloroscombrus orqueta</t>
  </si>
  <si>
    <t>Rabbit meat</t>
  </si>
  <si>
    <t>Karite Nuts (Sheanuts)</t>
  </si>
  <si>
    <t>Merluccius senegalensis</t>
  </si>
  <si>
    <t>Argentine menhaden</t>
  </si>
  <si>
    <t>Helmet ton</t>
  </si>
  <si>
    <t>Footprint Intensity of Carbon</t>
  </si>
  <si>
    <t>Fish Group Name</t>
  </si>
  <si>
    <t>Relative Feed Intensity</t>
  </si>
  <si>
    <t>Catch</t>
  </si>
  <si>
    <t>Imports Yield</t>
  </si>
  <si>
    <t>Effective Trophic Level</t>
  </si>
  <si>
    <t>Exports Yield</t>
  </si>
  <si>
    <t>Longtail stingray</t>
  </si>
  <si>
    <t>Dasyatis longa</t>
  </si>
  <si>
    <t>Lowfin gulper shark</t>
  </si>
  <si>
    <t>Milk Skimmed Evp</t>
  </si>
  <si>
    <t>1008.20_a</t>
  </si>
  <si>
    <t>0709.5_a</t>
  </si>
  <si>
    <t>Bakery products</t>
  </si>
  <si>
    <t>Gaidropsarus spp</t>
  </si>
  <si>
    <t>Supporting Documentation</t>
  </si>
  <si>
    <t>1007.00_a</t>
  </si>
  <si>
    <t>1201.00_a</t>
  </si>
  <si>
    <t>Salmon (Oncorhyncus spp., Salmo salar, Hucho hucho), fresh or chilled</t>
  </si>
  <si>
    <t>Mya arenaria</t>
  </si>
  <si>
    <t>Panopea abrupta</t>
  </si>
  <si>
    <t>Paphia spp</t>
  </si>
  <si>
    <t>Paphies australis</t>
  </si>
  <si>
    <t>Pitar rostratus</t>
  </si>
  <si>
    <t>Protothaca staminea</t>
  </si>
  <si>
    <t>Penaeus shrimps nei</t>
  </si>
  <si>
    <t>FEED REGION</t>
  </si>
  <si>
    <t>Haffara seabream</t>
  </si>
  <si>
    <t>Indian driftfish</t>
  </si>
  <si>
    <t>Leopard flounder</t>
  </si>
  <si>
    <t>2302.50</t>
  </si>
  <si>
    <t>2302.20</t>
  </si>
  <si>
    <t>Bran of Sorghum</t>
  </si>
  <si>
    <t>Vegetables,dehydrated excl.leguminous vegetab</t>
  </si>
  <si>
    <t>Plantae aquaticae</t>
  </si>
  <si>
    <t>Parapenaeopsis spp</t>
  </si>
  <si>
    <t>Parapenaeus longirostris</t>
  </si>
  <si>
    <t>Penaeus brevirostris</t>
  </si>
  <si>
    <t>Clupeonella cultriventris</t>
  </si>
  <si>
    <t>Bloch's gizzard shad</t>
  </si>
  <si>
    <t>Fourlined terapon</t>
  </si>
  <si>
    <t>Giant catfish</t>
  </si>
  <si>
    <t>Goatfishes, red mullets nei</t>
  </si>
  <si>
    <t>Golden trevally</t>
  </si>
  <si>
    <t>European hake</t>
  </si>
  <si>
    <t>European lobster</t>
  </si>
  <si>
    <t>European pilchard(=Sardine)</t>
  </si>
  <si>
    <t>Cyttus traversi</t>
  </si>
  <si>
    <t>Diastobranchus capensis</t>
  </si>
  <si>
    <t>Dissostichus eleginoides</t>
  </si>
  <si>
    <t>Dissostichus mawsoni</t>
  </si>
  <si>
    <t>Emmelichthyidae</t>
  </si>
  <si>
    <t>Whitefin wolf-herring</t>
  </si>
  <si>
    <t>Arctic skate</t>
  </si>
  <si>
    <t>Dussumieria acuta</t>
  </si>
  <si>
    <t>Dussumieria elopsoides</t>
  </si>
  <si>
    <t>Engraulidae</t>
  </si>
  <si>
    <t>Engraulis anchoita</t>
  </si>
  <si>
    <t>Engraulis capensis</t>
  </si>
  <si>
    <t>Pterygotrigla picta</t>
  </si>
  <si>
    <t>Pterygotrigla polyommata</t>
  </si>
  <si>
    <t>Rexea solandri</t>
  </si>
  <si>
    <t>Cerastoderma edule</t>
  </si>
  <si>
    <t>Manufactures of mineral mat.,nes,no ceramic</t>
  </si>
  <si>
    <t>Refractory products,no construction materials</t>
  </si>
  <si>
    <t>Manufactures of asbestos, friction materials</t>
  </si>
  <si>
    <t>Ethmalosa fimbriata</t>
  </si>
  <si>
    <t>Engraulis encrasicolus</t>
  </si>
  <si>
    <t>Engraulis japonicus</t>
  </si>
  <si>
    <t>Engraulis mordax</t>
  </si>
  <si>
    <t>Engraulis ringens</t>
  </si>
  <si>
    <t>Baird's slickhead</t>
  </si>
  <si>
    <t>Black scabbardfish</t>
  </si>
  <si>
    <t>Exports Intensity</t>
  </si>
  <si>
    <t>Blackmouth splitfin</t>
  </si>
  <si>
    <t>Greenland shark</t>
  </si>
  <si>
    <t>Longspine snipefish</t>
  </si>
  <si>
    <t>Portuguese dogfish</t>
  </si>
  <si>
    <t>Roughhead grenadier</t>
  </si>
  <si>
    <t>Sea lamprey</t>
  </si>
  <si>
    <t>Black cardinal fish</t>
  </si>
  <si>
    <t>European flying squid</t>
  </si>
  <si>
    <t>2203.00</t>
  </si>
  <si>
    <t>Species</t>
  </si>
  <si>
    <t>Adriatic sturgeon</t>
  </si>
  <si>
    <t>African bonytongue</t>
  </si>
  <si>
    <t>African catfish</t>
  </si>
  <si>
    <t>Algerian barb</t>
  </si>
  <si>
    <t>American bull frog</t>
  </si>
  <si>
    <t>1102.10</t>
  </si>
  <si>
    <t>1101.00</t>
  </si>
  <si>
    <t>Food Prep Nes</t>
  </si>
  <si>
    <t>2106.90_a</t>
  </si>
  <si>
    <t>Food Prep,Flour,Malt Extract</t>
  </si>
  <si>
    <t>1901.90_b</t>
  </si>
  <si>
    <t>Phycis spp</t>
  </si>
  <si>
    <t>Pollachius pollachius</t>
  </si>
  <si>
    <t>Pollachius virens</t>
  </si>
  <si>
    <t>Tripterophycis gilchristi</t>
  </si>
  <si>
    <t>Trisopterus esmarkii</t>
  </si>
  <si>
    <t>Trisopterus luscus</t>
  </si>
  <si>
    <t>Brook trout</t>
  </si>
  <si>
    <t>European perch</t>
  </si>
  <si>
    <t>Sardinella gibbosa</t>
  </si>
  <si>
    <t>Scomberomorus spp</t>
  </si>
  <si>
    <t>Scomberomorus tritor</t>
  </si>
  <si>
    <t>Scombroidei</t>
  </si>
  <si>
    <t>Tetrapturus albidus</t>
  </si>
  <si>
    <t>Ostraciidae</t>
  </si>
  <si>
    <t>Seabasses nei</t>
  </si>
  <si>
    <t>Chamelea gallina</t>
  </si>
  <si>
    <t>1511_a</t>
  </si>
  <si>
    <t>Carpet shells nei</t>
  </si>
  <si>
    <t>Catfish, hybrid</t>
  </si>
  <si>
    <t>Catla</t>
  </si>
  <si>
    <t>Hempseed</t>
  </si>
  <si>
    <t>Decapterus maruadsi</t>
  </si>
  <si>
    <t>Decapterus russelli</t>
  </si>
  <si>
    <t>Decapterus spp</t>
  </si>
  <si>
    <t>Echeneidae</t>
  </si>
  <si>
    <t>Elagatis bipinnulata</t>
  </si>
  <si>
    <t>Exocoetidae</t>
  </si>
  <si>
    <t>Feed Additives</t>
  </si>
  <si>
    <t>2309.90_j</t>
  </si>
  <si>
    <t>Tube and pipe fittings of iron and steel</t>
  </si>
  <si>
    <t>Iron castings in the rough state</t>
  </si>
  <si>
    <t>Lactarius lactarius</t>
  </si>
  <si>
    <t>Lampris guttatus</t>
  </si>
  <si>
    <t>Hemiramphus spp</t>
  </si>
  <si>
    <t>Hyporhamphus sajori</t>
  </si>
  <si>
    <t>Deep-water rose shrimp</t>
  </si>
  <si>
    <t>Dogfish sharks nei</t>
  </si>
  <si>
    <t>European anchovy</t>
  </si>
  <si>
    <t>European conger</t>
  </si>
  <si>
    <t>Description</t>
  </si>
  <si>
    <t>SeaAroundUs</t>
  </si>
  <si>
    <t>EEZ areas</t>
  </si>
  <si>
    <t>1214.90_o</t>
  </si>
  <si>
    <t>0802.31_a</t>
  </si>
  <si>
    <t>1001_a</t>
  </si>
  <si>
    <t>Trachurus murphyi</t>
  </si>
  <si>
    <t>Trachurus picturatus</t>
  </si>
  <si>
    <t>Trachurus spp</t>
  </si>
  <si>
    <t>Trachurus symmetricus</t>
  </si>
  <si>
    <t>Trachurus trachurus</t>
  </si>
  <si>
    <t>Trachurus trecae</t>
  </si>
  <si>
    <t>Tylosurus crocodilus</t>
  </si>
  <si>
    <t>Tylosurus spp</t>
  </si>
  <si>
    <t>Alopias spp</t>
  </si>
  <si>
    <t>Alopias superciliosus</t>
  </si>
  <si>
    <t>Alopias vulpinus</t>
  </si>
  <si>
    <t>Toothfish</t>
  </si>
  <si>
    <t>Memo: International Marine Bunkers</t>
  </si>
  <si>
    <t>Carbon</t>
  </si>
  <si>
    <t>Total</t>
  </si>
  <si>
    <t>YF</t>
  </si>
  <si>
    <t>Pearl oyster shells nei</t>
  </si>
  <si>
    <t>Sea mussels nei</t>
  </si>
  <si>
    <t>Sea snails</t>
  </si>
  <si>
    <t>Sea urchins nei</t>
  </si>
  <si>
    <t>Wakame</t>
  </si>
  <si>
    <t>Gigartina skottsbergii</t>
  </si>
  <si>
    <t>Gigartina spp</t>
  </si>
  <si>
    <t>Gracilaria spp</t>
  </si>
  <si>
    <t>Bathyraja irrasa</t>
  </si>
  <si>
    <t>Cotton linters</t>
  </si>
  <si>
    <t>Cotton waste, not carded or combed</t>
  </si>
  <si>
    <t>Cotton,carded or combed</t>
  </si>
  <si>
    <t>Smooth hammerhead</t>
  </si>
  <si>
    <t>Smooth-hounds nei</t>
  </si>
  <si>
    <t>Surmullets(=Red mullets) nei</t>
  </si>
  <si>
    <t>Swordfish</t>
  </si>
  <si>
    <t>Wreckfish</t>
  </si>
  <si>
    <t>Atlantic mackerel</t>
  </si>
  <si>
    <t>Axillary seabream</t>
  </si>
  <si>
    <t>Yield Factor</t>
  </si>
  <si>
    <r>
      <t>[Mt CO</t>
    </r>
    <r>
      <rPr>
        <vertAlign val="subscript"/>
        <sz val="10"/>
        <color indexed="23"/>
        <rFont val="Arial"/>
        <family val="2"/>
      </rPr>
      <t>2</t>
    </r>
    <r>
      <rPr>
        <sz val="10"/>
        <color indexed="23"/>
        <rFont val="Arial"/>
        <family val="2"/>
      </rPr>
      <t xml:space="preserve"> yr</t>
    </r>
    <r>
      <rPr>
        <vertAlign val="superscript"/>
        <sz val="10"/>
        <color indexed="23"/>
        <rFont val="Arial"/>
        <family val="2"/>
      </rPr>
      <t>-1</t>
    </r>
    <r>
      <rPr>
        <sz val="10"/>
        <color indexed="23"/>
        <rFont val="Arial"/>
        <family val="2"/>
      </rPr>
      <t>]</t>
    </r>
  </si>
  <si>
    <t>Northern kingfish</t>
  </si>
  <si>
    <t>Offshore silver hake</t>
  </si>
  <si>
    <t>Opalescent inshore squid</t>
  </si>
  <si>
    <t>Opaleye</t>
  </si>
  <si>
    <t>Pacific horse clams nei</t>
  </si>
  <si>
    <t>Pacific pompano</t>
  </si>
  <si>
    <t>Pacific razor clam</t>
  </si>
  <si>
    <t>Pacific rock crab</t>
  </si>
  <si>
    <t>Prepared paints, enamels, lacquers, etc.</t>
  </si>
  <si>
    <t>Aplodinotus grunniens</t>
  </si>
  <si>
    <t>Arapaima gigas</t>
  </si>
  <si>
    <t>Bagrus spp</t>
  </si>
  <si>
    <t>Feed Group</t>
  </si>
  <si>
    <t>Traded Electricity</t>
  </si>
  <si>
    <t>Buffalo Hide</t>
  </si>
  <si>
    <t>4101_m</t>
  </si>
  <si>
    <t>Sardinops neopilchardus</t>
  </si>
  <si>
    <t>Sardinops ocellatus</t>
  </si>
  <si>
    <t>Sardinops sagax</t>
  </si>
  <si>
    <t>Spratelloides gracilis</t>
  </si>
  <si>
    <t>Sprattus fuegensis</t>
  </si>
  <si>
    <t>Sprattus sprattus</t>
  </si>
  <si>
    <t>Stolephorus spp</t>
  </si>
  <si>
    <t>Strangomera bentincki</t>
  </si>
  <si>
    <t>Acanthocybium solandri</t>
  </si>
  <si>
    <t>Auxis thazard</t>
  </si>
  <si>
    <t>Euthynnus affinis</t>
  </si>
  <si>
    <t>Euthynnus alletteratus</t>
  </si>
  <si>
    <t>Euthynnus lineatus</t>
  </si>
  <si>
    <t>Gymnosarda unicolor</t>
  </si>
  <si>
    <t>Istiophoridae</t>
  </si>
  <si>
    <t>Chain and parts thereof of iron or steel</t>
  </si>
  <si>
    <t>Manila Fibre (Abaca)</t>
  </si>
  <si>
    <t>Monocle breams</t>
  </si>
  <si>
    <t>Blue mud shrimp</t>
  </si>
  <si>
    <t>Bocaccio rockfish</t>
  </si>
  <si>
    <t>Northern pink shrimp</t>
  </si>
  <si>
    <t>Peruvian rock seabass</t>
  </si>
  <si>
    <t>Porgies</t>
  </si>
  <si>
    <t>Summer flounder</t>
  </si>
  <si>
    <t>Brown meagre</t>
  </si>
  <si>
    <t>Mako sharks</t>
  </si>
  <si>
    <t>White grouper</t>
  </si>
  <si>
    <t>Blue ling</t>
  </si>
  <si>
    <t>Blue skate</t>
  </si>
  <si>
    <t>Eelpout</t>
  </si>
  <si>
    <t>European edible sea urchin</t>
  </si>
  <si>
    <t>Bombay-duck</t>
  </si>
  <si>
    <t>Pike-congers nei</t>
  </si>
  <si>
    <t>Threadfins, tasselfishes nei</t>
  </si>
  <si>
    <t>Butter catfish</t>
  </si>
  <si>
    <t>Ompok bimaculatus</t>
  </si>
  <si>
    <t>Clown loach</t>
  </si>
  <si>
    <t>Chromobotia macracanthus</t>
  </si>
  <si>
    <t>Fire eel</t>
  </si>
  <si>
    <t>Mastacembelus erythrotaenia</t>
  </si>
  <si>
    <t>Giant featherback</t>
  </si>
  <si>
    <t>Chitala lopis</t>
  </si>
  <si>
    <t>Glass catfishes</t>
  </si>
  <si>
    <t>Cereal grains,flaked,pearled</t>
  </si>
  <si>
    <t>Malt including malt flour</t>
  </si>
  <si>
    <t>Macaroni,spaghetti,noodles,vermicelli etc.</t>
  </si>
  <si>
    <t>Ind Rwd Wir (NC) Other</t>
  </si>
  <si>
    <t>Stable isotopes and their compounds</t>
  </si>
  <si>
    <t>Compounds &amp; mixtures,nes of thorium,uranium e</t>
  </si>
  <si>
    <t>Mineral tar</t>
  </si>
  <si>
    <t>Cephalopholis hemistiktos</t>
  </si>
  <si>
    <t>Cephalopholis miniata</t>
  </si>
  <si>
    <t>Umbrellas,parasols,walking sticks &amp; sim.art.</t>
  </si>
  <si>
    <t>River eels nei</t>
  </si>
  <si>
    <t>Jaguar guapote</t>
  </si>
  <si>
    <t>Bleak</t>
  </si>
  <si>
    <t>Grayling</t>
  </si>
  <si>
    <t>Roach</t>
  </si>
  <si>
    <t>Rudd</t>
  </si>
  <si>
    <t>Signal crayfish</t>
  </si>
  <si>
    <t>Milkfish</t>
  </si>
  <si>
    <t>Pagellus spp</t>
  </si>
  <si>
    <t>Pagothenia hansoni</t>
  </si>
  <si>
    <t>Pagrus auratus</t>
  </si>
  <si>
    <t>Pagrus caeruleostictus</t>
  </si>
  <si>
    <t>Pagrus pagrus</t>
  </si>
  <si>
    <t>Pagrus spp</t>
  </si>
  <si>
    <t>Ridge scaled rattail</t>
  </si>
  <si>
    <t>Flathead sole</t>
  </si>
  <si>
    <t>2001_a</t>
  </si>
  <si>
    <t>Sordid rubberlip</t>
  </si>
  <si>
    <t>Plectorhinchus sordidus</t>
  </si>
  <si>
    <t>Spangled emperor</t>
  </si>
  <si>
    <t>Stingrays, butterfly rays nei</t>
  </si>
  <si>
    <t>Striped piggy</t>
  </si>
  <si>
    <t>Talang queenfish</t>
  </si>
  <si>
    <t>Threadfin and dwarf breams nei</t>
  </si>
  <si>
    <t>Trout sweetlips</t>
  </si>
  <si>
    <t>Stenella longirostris</t>
  </si>
  <si>
    <t>Stenella spp</t>
  </si>
  <si>
    <t>Mesoplodon stejnegeri</t>
  </si>
  <si>
    <t>Eumetopias jubatus</t>
  </si>
  <si>
    <t>Mesoplodon layardii</t>
  </si>
  <si>
    <t>Stenella coeruleoalba</t>
  </si>
  <si>
    <t>Odontoceti</t>
  </si>
  <si>
    <t>Sotalia fluviatilis</t>
  </si>
  <si>
    <t>Phocoena sinus</t>
  </si>
  <si>
    <t>Odobenus rosmarus</t>
  </si>
  <si>
    <t>Acanthistius brasilianus</t>
  </si>
  <si>
    <t>Modiolus spp</t>
  </si>
  <si>
    <t>Mytilidae</t>
  </si>
  <si>
    <t>Mytilus chilensis</t>
  </si>
  <si>
    <t>Mytilus coruscus</t>
  </si>
  <si>
    <t>Mytilus edulis</t>
  </si>
  <si>
    <t>Mytilus galloprovincialis</t>
  </si>
  <si>
    <t>Mytilus planulatus</t>
  </si>
  <si>
    <t>0105_b</t>
  </si>
  <si>
    <t>Balaenoptera acutorostrata</t>
  </si>
  <si>
    <t>Golden carpet shell</t>
  </si>
  <si>
    <t>Golden perch</t>
  </si>
  <si>
    <t>Golden trout</t>
  </si>
  <si>
    <t>Goldlined seabream</t>
  </si>
  <si>
    <t>Gouramis nei</t>
  </si>
  <si>
    <t>Greasyback shrimp</t>
  </si>
  <si>
    <t>Green laver</t>
  </si>
  <si>
    <t>Green terror</t>
  </si>
  <si>
    <t>Hong Kong catfish</t>
  </si>
  <si>
    <t>Hong Kong grouper</t>
  </si>
  <si>
    <t>Hooded oyster</t>
  </si>
  <si>
    <t>Ichthyoelephas humeralis</t>
  </si>
  <si>
    <t>Indian backwater oyster</t>
  </si>
  <si>
    <t>Inflated ark</t>
  </si>
  <si>
    <t>Isok barb</t>
  </si>
  <si>
    <t>Japanese abalone</t>
  </si>
  <si>
    <t>Japanese amberjack</t>
  </si>
  <si>
    <t>Japanese isinglass</t>
  </si>
  <si>
    <t>Japanese spiny lobster</t>
  </si>
  <si>
    <t>Korean rockfish</t>
  </si>
  <si>
    <t>Longfin tilapia</t>
  </si>
  <si>
    <t>Malabar grouper</t>
  </si>
  <si>
    <t>Mandarin fish</t>
  </si>
  <si>
    <t>Marble goby</t>
  </si>
  <si>
    <t>Marbled spinefoot</t>
  </si>
  <si>
    <t>Marron crayfish</t>
  </si>
  <si>
    <t>Meagres nei</t>
  </si>
  <si>
    <t>Monkey river prawn</t>
  </si>
  <si>
    <t>Monsoon river prawn</t>
  </si>
  <si>
    <t>Mrigal carp</t>
  </si>
  <si>
    <t>Mud spiny lobster</t>
  </si>
  <si>
    <t>Murray cod</t>
  </si>
  <si>
    <t>New Zealand mussel</t>
  </si>
  <si>
    <t>Ningu</t>
  </si>
  <si>
    <t>Octopuses nei</t>
  </si>
  <si>
    <t>Oriental cyclina</t>
  </si>
  <si>
    <t>Osteobrama belangeri</t>
  </si>
  <si>
    <t>Pacific fat sleeper</t>
  </si>
  <si>
    <t>Pacific horse clam</t>
  </si>
  <si>
    <t>Pacu</t>
  </si>
  <si>
    <t>Pangas catfish</t>
  </si>
  <si>
    <t>Papuan black snapper</t>
  </si>
  <si>
    <t>Peled</t>
  </si>
  <si>
    <t>Pen shells nei</t>
  </si>
  <si>
    <t>Penguin wing oyster</t>
  </si>
  <si>
    <t>Pond loach</t>
  </si>
  <si>
    <t>Red abalone</t>
  </si>
  <si>
    <t>Red claw crayfish</t>
  </si>
  <si>
    <t>Redbelly tilapia</t>
  </si>
  <si>
    <t>Redbreast tilapia</t>
  </si>
  <si>
    <t>Reticulate knifefish</t>
  </si>
  <si>
    <t>Rice-paddy eel</t>
  </si>
  <si>
    <t>Ripon barbel</t>
  </si>
  <si>
    <t>Roho labeo</t>
  </si>
  <si>
    <t>Rooster venus</t>
  </si>
  <si>
    <t>Russell's snapper</t>
  </si>
  <si>
    <t>Sabaki tilapia</t>
  </si>
  <si>
    <t>Sampa</t>
  </si>
  <si>
    <t>Sawtooth caridina</t>
  </si>
  <si>
    <t>Sea belt</t>
  </si>
  <si>
    <t>Senegalese sole</t>
  </si>
  <si>
    <t>Sharpsnout seabream</t>
  </si>
  <si>
    <t>Siberian sturgeon</t>
  </si>
  <si>
    <t>Silver perch</t>
  </si>
  <si>
    <t>Sixfinger threadfin</t>
  </si>
  <si>
    <t>Small scale mud carp</t>
  </si>
  <si>
    <t>Smooth giant clam</t>
  </si>
  <si>
    <t>Smooth mactra</t>
  </si>
  <si>
    <t>South American catfish</t>
  </si>
  <si>
    <t>Southern Australia scallop</t>
  </si>
  <si>
    <t>Southern white shrimp</t>
  </si>
  <si>
    <t>Spiny eucheuma</t>
  </si>
  <si>
    <t>Spotted coralgrouper</t>
  </si>
  <si>
    <t>Squaretail mullet</t>
  </si>
  <si>
    <t>Streaked spinefoot</t>
  </si>
  <si>
    <t>Striped bass, hybrid</t>
  </si>
  <si>
    <t>Striped catfish</t>
  </si>
  <si>
    <t>Sturgeon</t>
  </si>
  <si>
    <t>Swan mussel</t>
  </si>
  <si>
    <t>Swimcrabs nei</t>
  </si>
  <si>
    <t>Swimming crabs, etc. nei</t>
  </si>
  <si>
    <t>Sydney cupped oyster</t>
  </si>
  <si>
    <t>Thinlip grey mullet</t>
  </si>
  <si>
    <t>Three spotted tilapia</t>
  </si>
  <si>
    <t>Trumpet emperor</t>
  </si>
  <si>
    <t>Waigieu seaperch</t>
  </si>
  <si>
    <t>Warty gracilaria</t>
  </si>
  <si>
    <t>Warty venus</t>
  </si>
  <si>
    <t>Water fleas</t>
  </si>
  <si>
    <t>Other fish</t>
  </si>
  <si>
    <t>White crappie</t>
  </si>
  <si>
    <t>White-spotted spinefoot</t>
  </si>
  <si>
    <t>Yabby crayfish</t>
  </si>
  <si>
    <t>Yellow catfish</t>
  </si>
  <si>
    <t>Yellow-belly bream</t>
  </si>
  <si>
    <t>Yellowback seabream</t>
  </si>
  <si>
    <t>Meal Intensity</t>
  </si>
  <si>
    <t>Oil Intensity</t>
  </si>
  <si>
    <t>Crop Intensity</t>
  </si>
  <si>
    <t>Fish Intensity N</t>
  </si>
  <si>
    <t>Fish Intensity W</t>
  </si>
  <si>
    <t>Crop Intensity W</t>
  </si>
  <si>
    <t>[t fishmeal / t fish]</t>
  </si>
  <si>
    <t>[t fish oill / t fish]</t>
  </si>
  <si>
    <t>[t crops / t fish]</t>
  </si>
  <si>
    <t>[fish gha / t fish]</t>
  </si>
  <si>
    <t>[crop gha / t fish]</t>
  </si>
  <si>
    <t>Crops used in aquafeed</t>
  </si>
  <si>
    <t>[t / ha]</t>
  </si>
  <si>
    <t>Average Crop Yield W</t>
  </si>
  <si>
    <r>
      <t>[t</t>
    </r>
    <r>
      <rPr>
        <sz val="10"/>
        <color indexed="22"/>
        <rFont val="Arial"/>
        <family val="2"/>
      </rPr>
      <t>]</t>
    </r>
  </si>
  <si>
    <t>Effective Yield W</t>
  </si>
  <si>
    <t>Aquaculture Yield W</t>
  </si>
  <si>
    <t>Aquaculture Production W</t>
  </si>
  <si>
    <t>Catch Yield</t>
  </si>
  <si>
    <t>Effective Yield N</t>
  </si>
  <si>
    <t>Aquaculture Yield N</t>
  </si>
  <si>
    <t>Aquaculture Production N</t>
  </si>
  <si>
    <t>Peaches and nectarines</t>
  </si>
  <si>
    <t>Seriolella spp</t>
  </si>
  <si>
    <t>Synagrops japonicus</t>
  </si>
  <si>
    <t>Thyrsites atun</t>
  </si>
  <si>
    <t>Blackhead seabream</t>
  </si>
  <si>
    <t>Flax fibre and tow</t>
  </si>
  <si>
    <t>Fonio</t>
  </si>
  <si>
    <t>Araucanian herring</t>
  </si>
  <si>
    <t>Atlantic saury</t>
  </si>
  <si>
    <t>Black cusk-eel</t>
  </si>
  <si>
    <t>Blue squat lobster</t>
  </si>
  <si>
    <t>Bull kelp</t>
  </si>
  <si>
    <t>Cabinza grunt</t>
  </si>
  <si>
    <t>Tobacco,unmanufactured &amp; scrap</t>
  </si>
  <si>
    <t>Cigars &amp; cheroots</t>
  </si>
  <si>
    <t>Cigarettes</t>
  </si>
  <si>
    <t>Mora moro</t>
  </si>
  <si>
    <t>Starches,inulin,gluten,albumin.substances,glu</t>
  </si>
  <si>
    <t>Meat &amp; fish meal, unfit for human consumption</t>
  </si>
  <si>
    <t>Food wastes &amp; prepared animal feed,nes</t>
  </si>
  <si>
    <t>Lard &amp; other rendered piq &amp; poultry fat</t>
  </si>
  <si>
    <t>Busycon spp</t>
  </si>
  <si>
    <t>Concholepas concholepas</t>
  </si>
  <si>
    <t>Cymbium spp</t>
  </si>
  <si>
    <t>Gastropoda</t>
  </si>
  <si>
    <t>Haliotis gigantea</t>
  </si>
  <si>
    <t>Haliotis midae</t>
  </si>
  <si>
    <t>Haliotis rubra</t>
  </si>
  <si>
    <t>Mediterranean mussel</t>
  </si>
  <si>
    <t>Caramote prawn</t>
  </si>
  <si>
    <t>Common sole</t>
  </si>
  <si>
    <t>Delphinapterus leucas</t>
  </si>
  <si>
    <t>Lagenorhynchus albirostris</t>
  </si>
  <si>
    <t>Production N</t>
  </si>
  <si>
    <t>Production W</t>
  </si>
  <si>
    <t>Freshwater Diadrom Fresh</t>
  </si>
  <si>
    <t>Mlluscs Excl Cephlp Frsh</t>
  </si>
  <si>
    <t>Cashew Nuts Shelled</t>
  </si>
  <si>
    <t>0801.32</t>
  </si>
  <si>
    <t>Cassava Dried</t>
  </si>
  <si>
    <t>0714.10_b</t>
  </si>
  <si>
    <t>Cassava Starch</t>
  </si>
  <si>
    <t>1108.14</t>
  </si>
  <si>
    <t>Nilem carp</t>
  </si>
  <si>
    <t>Mammalia</t>
  </si>
  <si>
    <t>Lithognathus mormyrus</t>
  </si>
  <si>
    <t>Lithognathus spp</t>
  </si>
  <si>
    <t>Liza aurata</t>
  </si>
  <si>
    <t>Liza klunzingeri</t>
  </si>
  <si>
    <t>Arable land + Permanent crops</t>
  </si>
  <si>
    <t>Pastures + Heterogeneous agricultural areas</t>
  </si>
  <si>
    <t>Ships and boats, other than warships</t>
  </si>
  <si>
    <t>Longfin mako</t>
  </si>
  <si>
    <t>Mediterranean slimehead</t>
  </si>
  <si>
    <t>Hoplostethus mediterraneus</t>
  </si>
  <si>
    <t>Megrims nei</t>
  </si>
  <si>
    <t>Northern puffer</t>
  </si>
  <si>
    <t>Velvet belly</t>
  </si>
  <si>
    <t>Angel skin coral</t>
  </si>
  <si>
    <t>Blackmouth croaker</t>
  </si>
  <si>
    <t>Golden threadfin bream</t>
  </si>
  <si>
    <t>Japanese fan lobster</t>
  </si>
  <si>
    <t>Lacy sea lettuce</t>
  </si>
  <si>
    <t>Lutjanus gibbus</t>
  </si>
  <si>
    <t>Lutjanus johnii</t>
  </si>
  <si>
    <t>Bauxite and concentrates of aluminium</t>
  </si>
  <si>
    <t>Ores and concentrates of lead</t>
  </si>
  <si>
    <t>Ores and concentrates of zinc</t>
  </si>
  <si>
    <t>Ores and concentrates of tin</t>
  </si>
  <si>
    <t>Sphyrna zygaena</t>
  </si>
  <si>
    <t>Sphyrnidae</t>
  </si>
  <si>
    <t>Squalidae</t>
  </si>
  <si>
    <t>Fin.structural parts &amp; structures of aluminiu</t>
  </si>
  <si>
    <t>Fin.structural parts of zinc</t>
  </si>
  <si>
    <t>Tanks,vats and reservoirs for storage</t>
  </si>
  <si>
    <t>Navaga(=Wachna cod)</t>
  </si>
  <si>
    <t>Rainbow smelt</t>
  </si>
  <si>
    <t>Smelts nei</t>
  </si>
  <si>
    <t>Common dace</t>
  </si>
  <si>
    <t>Siluroidei</t>
  </si>
  <si>
    <t>Silurus glanis</t>
  </si>
  <si>
    <t>Stolothrissa, Limnothrissa spp</t>
  </si>
  <si>
    <t>Synodontis spp</t>
  </si>
  <si>
    <t>Trichogaster pectoralis</t>
  </si>
  <si>
    <t>Acipenser gueldenstaedtii</t>
  </si>
  <si>
    <t>Acipenser medirostris</t>
  </si>
  <si>
    <t>Acipenser ruthenus</t>
  </si>
  <si>
    <t>Anguilla australis</t>
  </si>
  <si>
    <t>Anguilla japonica</t>
  </si>
  <si>
    <t>Anguilla rostrata</t>
  </si>
  <si>
    <t>Sinks,wash basins,bidets,baths of ceramic mat</t>
  </si>
  <si>
    <t>Longtail tuna</t>
  </si>
  <si>
    <t>Marlins,sailfishes,etc. nei</t>
  </si>
  <si>
    <t>Groundnut oil</t>
  </si>
  <si>
    <t>1508_a</t>
  </si>
  <si>
    <t>Other Paper+Paperboard</t>
  </si>
  <si>
    <r>
      <t>m</t>
    </r>
    <r>
      <rPr>
        <vertAlign val="superscript"/>
        <sz val="10"/>
        <rFont val="Arial"/>
        <family val="2"/>
      </rPr>
      <t>3</t>
    </r>
  </si>
  <si>
    <r>
      <t>m</t>
    </r>
    <r>
      <rPr>
        <vertAlign val="superscript"/>
        <sz val="10"/>
        <rFont val="Arial"/>
        <family val="2"/>
      </rPr>
      <t>3</t>
    </r>
    <r>
      <rPr>
        <sz val="10"/>
        <rFont val="Arial"/>
        <family val="2"/>
      </rPr>
      <t/>
    </r>
  </si>
  <si>
    <t>2009.79</t>
  </si>
  <si>
    <t>Panulirus longipes</t>
  </si>
  <si>
    <t>Panulirus spp</t>
  </si>
  <si>
    <t>Puerulus sewelli</t>
  </si>
  <si>
    <t>Reptantia</t>
  </si>
  <si>
    <t>Scyllaridae</t>
  </si>
  <si>
    <t>Thenus orientalis</t>
  </si>
  <si>
    <t>Freshwater perches nei</t>
  </si>
  <si>
    <t>Alewife</t>
  </si>
  <si>
    <t>American shad</t>
  </si>
  <si>
    <t>Atlantic tomcod</t>
  </si>
  <si>
    <t>Nickel and nickel alloys, unwrought</t>
  </si>
  <si>
    <t>Nickel and nickel alloys, worked</t>
  </si>
  <si>
    <t>0714.90_bb</t>
  </si>
  <si>
    <t>Tea</t>
  </si>
  <si>
    <t>Tobacco, unmanufactured</t>
  </si>
  <si>
    <t>Tomatoes</t>
  </si>
  <si>
    <t>Triticale</t>
  </si>
  <si>
    <t>1008.90ae</t>
  </si>
  <si>
    <t>Vanilla</t>
  </si>
  <si>
    <t>0905.00</t>
  </si>
  <si>
    <t>Torpedo-shaped catfishes nei</t>
  </si>
  <si>
    <t>Beluga</t>
  </si>
  <si>
    <t>Danube sturgeon(=Osetr)</t>
  </si>
  <si>
    <t>Transmission,conveyor or elevator belts/rubbe</t>
  </si>
  <si>
    <t>Other articles of rubber,nes</t>
  </si>
  <si>
    <t>Veneer sheets</t>
  </si>
  <si>
    <t>Straw Husks</t>
  </si>
  <si>
    <t>1213.00</t>
  </si>
  <si>
    <t>Sugar Confectionery</t>
  </si>
  <si>
    <t>Japanese seabass</t>
  </si>
  <si>
    <t>Alfalfa Meal and Pellets</t>
  </si>
  <si>
    <t>1214.10</t>
  </si>
  <si>
    <t>Almonds Shelled</t>
  </si>
  <si>
    <t>0802.12</t>
  </si>
  <si>
    <t>Giant abalone</t>
  </si>
  <si>
    <t>Globose king crab</t>
  </si>
  <si>
    <t>Half-crenated ark</t>
  </si>
  <si>
    <t>Imperial surf clam</t>
  </si>
  <si>
    <t>Japanese flying squid</t>
  </si>
  <si>
    <t>Japanese flyingfish</t>
  </si>
  <si>
    <t>Japanese sandfish</t>
  </si>
  <si>
    <t>Japanese scad</t>
  </si>
  <si>
    <t>Japanese Spanish mackerel</t>
  </si>
  <si>
    <t>Kamchatka flounder</t>
  </si>
  <si>
    <t>King crabs</t>
  </si>
  <si>
    <t>Longlegged spiny lobster</t>
  </si>
  <si>
    <t>Forest area</t>
  </si>
  <si>
    <t>Bathyraja murrayi</t>
  </si>
  <si>
    <t>Bathyraja spp</t>
  </si>
  <si>
    <t>Atlantic white marlin</t>
  </si>
  <si>
    <t>Illex argentinus</t>
  </si>
  <si>
    <t>Illex coindetii</t>
  </si>
  <si>
    <t>Illex illecebrosus</t>
  </si>
  <si>
    <t>Loliginidae, Ommastrephidae</t>
  </si>
  <si>
    <t>Product Name</t>
  </si>
  <si>
    <t>Soy Meal</t>
  </si>
  <si>
    <t>Rapeseed Meal</t>
  </si>
  <si>
    <t>Sunflower Seed</t>
  </si>
  <si>
    <t>Sunflower Meal</t>
  </si>
  <si>
    <t>Peas</t>
  </si>
  <si>
    <t>Rice Bran</t>
  </si>
  <si>
    <t>Fish Meal</t>
  </si>
  <si>
    <t>Other Concentrate Feed</t>
  </si>
  <si>
    <t>Grass</t>
  </si>
  <si>
    <t>0208.90ac</t>
  </si>
  <si>
    <t>Buffalo meat</t>
  </si>
  <si>
    <t>0201.10_b</t>
  </si>
  <si>
    <t>Buffalo milk, whole, fresh</t>
  </si>
  <si>
    <t>0401.20_d</t>
  </si>
  <si>
    <t>Camel meat</t>
  </si>
  <si>
    <t>0208.90aa</t>
  </si>
  <si>
    <t>Camel milk, whole, fresh</t>
  </si>
  <si>
    <t>0401.20_e</t>
  </si>
  <si>
    <t>Cattle meat</t>
  </si>
  <si>
    <t>0201.10_a</t>
  </si>
  <si>
    <t>Bobo croaker</t>
  </si>
  <si>
    <t>Cassava croaker</t>
  </si>
  <si>
    <t>Sompat grunt</t>
  </si>
  <si>
    <t>West African estuarine prawn</t>
  </si>
  <si>
    <t>Nematopalaemon hastatus</t>
  </si>
  <si>
    <t>Alaska pollock(=Walleye poll.)</t>
  </si>
  <si>
    <t>American angler</t>
  </si>
  <si>
    <t>American lobster</t>
  </si>
  <si>
    <t>American sea scallop</t>
  </si>
  <si>
    <t>Argentines</t>
  </si>
  <si>
    <t>Arrow-tooth flounder</t>
  </si>
  <si>
    <t>Atlantic rock crab</t>
  </si>
  <si>
    <t>Chicory roots</t>
  </si>
  <si>
    <t>0709.90cd</t>
  </si>
  <si>
    <t>Northern white shrimp</t>
  </si>
  <si>
    <t>Olympia flat oyster</t>
  </si>
  <si>
    <t>Offals of Pigs, Edible</t>
  </si>
  <si>
    <t>Offals of Sheep,Edible</t>
  </si>
  <si>
    <t>Oil Boiled Etc</t>
  </si>
  <si>
    <t>Tautogolabrus adspersus</t>
  </si>
  <si>
    <t>0706.10</t>
  </si>
  <si>
    <t>Cashew nuts, with shell</t>
  </si>
  <si>
    <t>Cashewapple</t>
  </si>
  <si>
    <t>0810.90ad</t>
  </si>
  <si>
    <t>Cassava</t>
  </si>
  <si>
    <t>Chimaeriformes</t>
  </si>
  <si>
    <t>Dalatias licha</t>
  </si>
  <si>
    <t>Epinephelus fuscoguttatus</t>
  </si>
  <si>
    <t>Emmelichthys nitidus</t>
  </si>
  <si>
    <t>Epigonus spp</t>
  </si>
  <si>
    <t>North European kelp</t>
  </si>
  <si>
    <t>Ocean sunfish</t>
  </si>
  <si>
    <t>Sailfin roughshark</t>
  </si>
  <si>
    <t>Brushtooth lizardfish</t>
  </si>
  <si>
    <t>Cape gurnard</t>
  </si>
  <si>
    <t>0909.00</t>
  </si>
  <si>
    <t>5301.20</t>
  </si>
  <si>
    <t>5302.00</t>
  </si>
  <si>
    <t>0705.00</t>
  </si>
  <si>
    <t>0908.00</t>
  </si>
  <si>
    <t>1205.00</t>
  </si>
  <si>
    <t>Vegetable Frozen</t>
  </si>
  <si>
    <t>0710.80_a</t>
  </si>
  <si>
    <t>Vegetables in Vinegar</t>
  </si>
  <si>
    <t>Mineral jelly and waxes incl.petrolatum</t>
  </si>
  <si>
    <t>Pitch,resin,petroleum asphalt etc.</t>
  </si>
  <si>
    <t>Gas, natural</t>
  </si>
  <si>
    <t>Synthetic fibres suitable for spinning</t>
  </si>
  <si>
    <t>Yellowspotted trevally</t>
  </si>
  <si>
    <t>Yellowstripe goatfish</t>
  </si>
  <si>
    <t>Natural asphalt &amp; natural bitumen</t>
  </si>
  <si>
    <t>Clay &amp; other refractory minerals,nes</t>
  </si>
  <si>
    <t>Salt</t>
  </si>
  <si>
    <t>Asbestos,crude,washed or ground</t>
  </si>
  <si>
    <t>Quartz,mica,felspar,fluorspar,cryolite etc.</t>
  </si>
  <si>
    <t>Slag,dross,scalings &amp; similar waste,nes</t>
  </si>
  <si>
    <t>Minerals crude,nes</t>
  </si>
  <si>
    <t>Iron ore &amp; concentrates ex roasted iron pyrit</t>
  </si>
  <si>
    <t>Chione stutchburyi</t>
  </si>
  <si>
    <t>Clinocardium nuttallii</t>
  </si>
  <si>
    <t>Anadara spp</t>
  </si>
  <si>
    <t>Arca spp</t>
  </si>
  <si>
    <t>Arctica islandica</t>
  </si>
  <si>
    <t>Bivalvia</t>
  </si>
  <si>
    <t>Cardiidae</t>
  </si>
  <si>
    <t>Cheese of Sheep Milk</t>
  </si>
  <si>
    <t>Cheese of Skimmed Cow Milk</t>
  </si>
  <si>
    <t>0406ab</t>
  </si>
  <si>
    <t>Cheese of Whole Cow Milk</t>
  </si>
  <si>
    <t>0406aa</t>
  </si>
  <si>
    <t>Chickens</t>
  </si>
  <si>
    <t>0105_a</t>
  </si>
  <si>
    <t>Chocolate Prsnes</t>
  </si>
  <si>
    <t>1806_a</t>
  </si>
  <si>
    <t>2402.20_a</t>
  </si>
  <si>
    <t>Mango tilapia</t>
  </si>
  <si>
    <t>Rostrate pitar</t>
  </si>
  <si>
    <t>Sao Paulo shrimp</t>
  </si>
  <si>
    <t>Atlantic anchoveta</t>
  </si>
  <si>
    <t>Arabian whip lobster</t>
  </si>
  <si>
    <t>Red bigeye</t>
  </si>
  <si>
    <t>Red seabroom</t>
  </si>
  <si>
    <t>Bran of Millet</t>
  </si>
  <si>
    <t>2302.40_d</t>
  </si>
  <si>
    <t>Bran of Oats</t>
  </si>
  <si>
    <t>2302.40_c</t>
  </si>
  <si>
    <t>Bran of Rye</t>
  </si>
  <si>
    <t>Veneridae</t>
  </si>
  <si>
    <t>Lings nei</t>
  </si>
  <si>
    <t>Japanese threadfin bream</t>
  </si>
  <si>
    <t>Javelin grunter</t>
  </si>
  <si>
    <t>Klunzinger's mullet</t>
  </si>
  <si>
    <t>Malabar blood snapper</t>
  </si>
  <si>
    <t>5305.90_a</t>
  </si>
  <si>
    <t>Kapokseed in Shell</t>
  </si>
  <si>
    <t>1207.9ae</t>
  </si>
  <si>
    <t>Wire of iron or steel,of types used for fenci</t>
  </si>
  <si>
    <t>Gauze,netting,grill,fencing,etc of wire</t>
  </si>
  <si>
    <t>Expanded metal</t>
  </si>
  <si>
    <t>Nails, tacks, staples, spikes, etc.</t>
  </si>
  <si>
    <t>Greenland halibut</t>
  </si>
  <si>
    <t>McCain's skate</t>
  </si>
  <si>
    <t>Firearms of war &amp; ammunition thereof</t>
  </si>
  <si>
    <t>Sphyraena jello</t>
  </si>
  <si>
    <t>Paralichthys olivaceus</t>
  </si>
  <si>
    <t>Paralichthys spp</t>
  </si>
  <si>
    <t>Platichthys flesus</t>
  </si>
  <si>
    <t>Platichthys stellatus</t>
  </si>
  <si>
    <t>Pleuronectes platessa</t>
  </si>
  <si>
    <t>Pleuronectes quadrituberculat.</t>
  </si>
  <si>
    <t>Pleuronectes vetulus</t>
  </si>
  <si>
    <t>Improved or reconstituted wood</t>
  </si>
  <si>
    <t>Wood simply shaped or worked,nes</t>
  </si>
  <si>
    <t>Boxes, cases, crates, complete</t>
  </si>
  <si>
    <t>Cooperage products</t>
  </si>
  <si>
    <t>1510.00</t>
  </si>
  <si>
    <t>Oil of Tung Nuts</t>
  </si>
  <si>
    <t>1515.40</t>
  </si>
  <si>
    <t>Olives Preserved</t>
  </si>
  <si>
    <t>0711.20</t>
  </si>
  <si>
    <t>Arable land and Permanent crops</t>
  </si>
  <si>
    <t>Spisula solidissima</t>
  </si>
  <si>
    <t>Spisula spp</t>
  </si>
  <si>
    <t>Tawera gayi</t>
  </si>
  <si>
    <t>Tivela mactroides</t>
  </si>
  <si>
    <t>Tresus spp</t>
  </si>
  <si>
    <t>Felts and felt articles nes</t>
  </si>
  <si>
    <t>Pacific bluefin tuna</t>
  </si>
  <si>
    <t>Pacific calico scallop</t>
  </si>
  <si>
    <t>Yellowfin tuna</t>
  </si>
  <si>
    <t>Selene dorsalis</t>
  </si>
  <si>
    <t>Selene setapinnis</t>
  </si>
  <si>
    <t>Seriola dumerili</t>
  </si>
  <si>
    <t>Seriola lalandi</t>
  </si>
  <si>
    <t>Seriola spp</t>
  </si>
  <si>
    <t>Cholga mussel</t>
  </si>
  <si>
    <t>Choro mussel</t>
  </si>
  <si>
    <t>King of herrings</t>
  </si>
  <si>
    <t>Live sharksucker</t>
  </si>
  <si>
    <t>Echeneis naucrates</t>
  </si>
  <si>
    <t>Twobar seabream</t>
  </si>
  <si>
    <t>Yellowbar angelfish</t>
  </si>
  <si>
    <t>Flyingfishes nei</t>
  </si>
  <si>
    <t>Atlantic herring</t>
  </si>
  <si>
    <t>Atlantic horse mackerel</t>
  </si>
  <si>
    <t>Atlantic redfishes nei</t>
  </si>
  <si>
    <t>Common dab</t>
  </si>
  <si>
    <t>Dogfishes and hounds nei</t>
  </si>
  <si>
    <t>Edible crab</t>
  </si>
  <si>
    <t>European plaice</t>
  </si>
  <si>
    <t>Grey gurnard</t>
  </si>
  <si>
    <t>Genypterus capensis</t>
  </si>
  <si>
    <t>Genypterus chilensis</t>
  </si>
  <si>
    <t>Genypterus maculatus</t>
  </si>
  <si>
    <t>Genypterus spp</t>
  </si>
  <si>
    <t>Fibreboard, Compressed</t>
  </si>
  <si>
    <t>Vegetables Roots Fodder</t>
  </si>
  <si>
    <t>Priacanthus macracanthus</t>
  </si>
  <si>
    <t>Priacanthus spp</t>
  </si>
  <si>
    <t>Prolatilus jugularis</t>
  </si>
  <si>
    <t>0207.32_a</t>
  </si>
  <si>
    <t>Game meat</t>
  </si>
  <si>
    <t>American yellow perch</t>
  </si>
  <si>
    <t>Blue crab</t>
  </si>
  <si>
    <t>Other carpets, carpeting and rugs</t>
  </si>
  <si>
    <t>Tallow</t>
  </si>
  <si>
    <t>Tapioca of Cassava</t>
  </si>
  <si>
    <t>1903.00_b</t>
  </si>
  <si>
    <t>Tapioca of Potatoes</t>
  </si>
  <si>
    <t>1903.00_a</t>
  </si>
  <si>
    <t>Tomato Peeled</t>
  </si>
  <si>
    <t>2002.10</t>
  </si>
  <si>
    <t>Turkeys</t>
  </si>
  <si>
    <t>St.Paul rock lobster</t>
  </si>
  <si>
    <t>Guinea shrimp</t>
  </si>
  <si>
    <t>Southern pink shrimp</t>
  </si>
  <si>
    <t>Fur skins,undressed</t>
  </si>
  <si>
    <t>Groundnuts peanuts green, ex.flour and meal</t>
  </si>
  <si>
    <t>Copra, ex.flour and meal</t>
  </si>
  <si>
    <t>Palm nuts &amp; kernels</t>
  </si>
  <si>
    <t>Soya beans</t>
  </si>
  <si>
    <t>Cotton seed</t>
  </si>
  <si>
    <t>Bluenose warehou</t>
  </si>
  <si>
    <t>Broadnose sevengill shark</t>
  </si>
  <si>
    <t>Cape bonnetmouth</t>
  </si>
  <si>
    <t>Common warehou</t>
  </si>
  <si>
    <t>Copper shark</t>
  </si>
  <si>
    <t>Oils of fish and marine mammals</t>
  </si>
  <si>
    <t>Cattle</t>
  </si>
  <si>
    <t>Available</t>
  </si>
  <si>
    <t>Forage products nes</t>
  </si>
  <si>
    <t>Aquatic Plants</t>
  </si>
  <si>
    <t>Beans</t>
  </si>
  <si>
    <t>Bovine Meat</t>
  </si>
  <si>
    <t>Butter, Ghee</t>
  </si>
  <si>
    <t>Cephalopods</t>
  </si>
  <si>
    <t>Cereals, Other</t>
  </si>
  <si>
    <t>Cocoa Beans</t>
  </si>
  <si>
    <t>Coconut Oil</t>
  </si>
  <si>
    <t>Coconuts - Incl Copra</t>
  </si>
  <si>
    <t>Crustaceans</t>
  </si>
  <si>
    <t>Demersal Fish</t>
  </si>
  <si>
    <t>Fats, Animals, Raw</t>
  </si>
  <si>
    <t>Fish, Body Oil</t>
  </si>
  <si>
    <t>Fish, Liver Oil</t>
  </si>
  <si>
    <t>Freshwater Fish</t>
  </si>
  <si>
    <t>Fruits, Other</t>
  </si>
  <si>
    <t>Groundnut Oil</t>
  </si>
  <si>
    <t>Groundnuts (Shelled Eq)</t>
  </si>
  <si>
    <t>Marine Fish, Other</t>
  </si>
  <si>
    <t>Meat, Other</t>
  </si>
  <si>
    <t>Molluscs, Other</t>
  </si>
  <si>
    <t>Mutton &amp; Goat Meat</t>
  </si>
  <si>
    <t>Oilcrops Oil, Other</t>
  </si>
  <si>
    <t>Oilcrops, Other</t>
  </si>
  <si>
    <t>Onions</t>
  </si>
  <si>
    <t>Oranges, Mandarines</t>
  </si>
  <si>
    <t>Palm Oil</t>
  </si>
  <si>
    <t>Palmkernel Oil</t>
  </si>
  <si>
    <t>Pelagic Fish</t>
  </si>
  <si>
    <t>Poultry Meat</t>
  </si>
  <si>
    <t>Rape and Mustard Oil</t>
  </si>
  <si>
    <t>Rape and Mustardseed</t>
  </si>
  <si>
    <t>Rice (Milled Equivalent)</t>
  </si>
  <si>
    <t>Roots, Other</t>
  </si>
  <si>
    <t>Sesameseed Oil</t>
  </si>
  <si>
    <t>Soyabean Oil</t>
  </si>
  <si>
    <t>Soyabeans</t>
  </si>
  <si>
    <t>Sugar (Raw Equivalent)</t>
  </si>
  <si>
    <t>Sugar Beet</t>
  </si>
  <si>
    <t>Sweet Potatoes</t>
  </si>
  <si>
    <t>Sweeteners, Other</t>
  </si>
  <si>
    <t>Vegetables, Other</t>
  </si>
  <si>
    <t>Quantity</t>
  </si>
  <si>
    <t>Scalloped spiny lobster</t>
  </si>
  <si>
    <t>Starfishes nei</t>
  </si>
  <si>
    <t>Striped marlin</t>
  </si>
  <si>
    <t>Trumpeters nei</t>
  </si>
  <si>
    <t>Unicorn icefish</t>
  </si>
  <si>
    <t>Warehou nei</t>
  </si>
  <si>
    <t>Western king prawn</t>
  </si>
  <si>
    <t>White trevally</t>
  </si>
  <si>
    <t>Wrasses, hogfishes, etc. nei</t>
  </si>
  <si>
    <t>Oreochromis mossambicus</t>
  </si>
  <si>
    <t>Oreochromis niloticus</t>
  </si>
  <si>
    <t>Flatfishes nei</t>
  </si>
  <si>
    <t>Gracilaria seaweeds</t>
  </si>
  <si>
    <t>Yarn of glass fibre</t>
  </si>
  <si>
    <t>Kyphosidae</t>
  </si>
  <si>
    <t>Labridae</t>
  </si>
  <si>
    <t>Labrus bergylta</t>
  </si>
  <si>
    <t>Hay (Unspecified)</t>
  </si>
  <si>
    <t>1214.90_r</t>
  </si>
  <si>
    <t>Hay Non Legum</t>
  </si>
  <si>
    <t>1214.90_p</t>
  </si>
  <si>
    <t>Hazelnuts Shelled</t>
  </si>
  <si>
    <t>0802.22</t>
  </si>
  <si>
    <t>Hemp Tow Waste</t>
  </si>
  <si>
    <t>Babylonia spirata</t>
  </si>
  <si>
    <t>Spotted rose snapper</t>
  </si>
  <si>
    <t>Lutjanus guttatus</t>
  </si>
  <si>
    <t>Starry smooth-hound</t>
  </si>
  <si>
    <t>Phonograph records,recorded tapes,oth.sound r</t>
  </si>
  <si>
    <t>Pianos and other string musical instruments</t>
  </si>
  <si>
    <t>Parts of railway locomotives &amp; rolling stock</t>
  </si>
  <si>
    <t>Passenger motor cars, other than buses</t>
  </si>
  <si>
    <t>Transport</t>
  </si>
  <si>
    <t>Road</t>
  </si>
  <si>
    <t>Rail</t>
  </si>
  <si>
    <t>Pipeline Transport</t>
  </si>
  <si>
    <t>Lethrinus microdon</t>
  </si>
  <si>
    <t>Lethrinus nebulosus</t>
  </si>
  <si>
    <t>Lethrinus obsoletus</t>
  </si>
  <si>
    <t>Lethrinus xanthochilus</t>
  </si>
  <si>
    <t>Crop %</t>
  </si>
  <si>
    <t>Crop Total</t>
  </si>
  <si>
    <t>Cattle and buffaloes</t>
  </si>
  <si>
    <t>Sheep and goats</t>
  </si>
  <si>
    <t>Sweet Corn Prep or Preserved</t>
  </si>
  <si>
    <t>2005.80</t>
  </si>
  <si>
    <t>Callorhinchus capensis</t>
  </si>
  <si>
    <t>Callorhinchus milii</t>
  </si>
  <si>
    <t>Black pomfret</t>
  </si>
  <si>
    <t>Cusk-eels nei</t>
  </si>
  <si>
    <t>Eelpouts</t>
  </si>
  <si>
    <t>Knife shrimp</t>
  </si>
  <si>
    <t>Polar cod</t>
  </si>
  <si>
    <t>Whitehead's round herring</t>
  </si>
  <si>
    <t>Yellowbelly rockcod</t>
  </si>
  <si>
    <t>Country</t>
  </si>
  <si>
    <t>Queen scallop</t>
  </si>
  <si>
    <t>Black seabass</t>
  </si>
  <si>
    <t>Cockles nei</t>
  </si>
  <si>
    <t>0810.30_b</t>
  </si>
  <si>
    <t>Grapefruit (inc. pomelos)</t>
  </si>
  <si>
    <t>Grapes</t>
  </si>
  <si>
    <t>2307.00_a</t>
  </si>
  <si>
    <t>Trachurus lathami</t>
  </si>
  <si>
    <t>Trachurus mediterraneus</t>
  </si>
  <si>
    <t>Veg Prod for Feed</t>
  </si>
  <si>
    <t>2308.00_g</t>
  </si>
  <si>
    <t>Veg.in Tem. Preservatives</t>
  </si>
  <si>
    <t>0711.90_a</t>
  </si>
  <si>
    <t>Veg.Prep. Or Pres.Frozen</t>
  </si>
  <si>
    <t>Epinephelus niveatus</t>
  </si>
  <si>
    <t>Chemical Wood Pulp</t>
  </si>
  <si>
    <t>Dissolving Wood Pulp</t>
  </si>
  <si>
    <t>Carcharhinus brachyurus</t>
  </si>
  <si>
    <t>Carcharhinus falciformis</t>
  </si>
  <si>
    <t>Diplodus vulgaris</t>
  </si>
  <si>
    <t>Crocodile shark</t>
  </si>
  <si>
    <t>Pseudocarcharias kamoharai</t>
  </si>
  <si>
    <t>Cubera snapper</t>
  </si>
  <si>
    <t>Oil Citronella</t>
  </si>
  <si>
    <t>3301.29</t>
  </si>
  <si>
    <t>Oil Essential Nes</t>
  </si>
  <si>
    <t>Grammoplites suppositus</t>
  </si>
  <si>
    <t>Gymnocranius spp</t>
  </si>
  <si>
    <t>Office and stationery supplies of base metals</t>
  </si>
  <si>
    <t>Pens, pencils and fountain pens</t>
  </si>
  <si>
    <t>Freshwater breams nei</t>
  </si>
  <si>
    <t>Sphoeroides spp</t>
  </si>
  <si>
    <t>Spicara maena</t>
  </si>
  <si>
    <t>Oncorhynchus masou</t>
  </si>
  <si>
    <t>Oncorhynchus mykiss</t>
  </si>
  <si>
    <r>
      <t>[t yr</t>
    </r>
    <r>
      <rPr>
        <vertAlign val="superscript"/>
        <sz val="10"/>
        <color indexed="22"/>
        <rFont val="Arial"/>
        <family val="2"/>
      </rPr>
      <t>-1</t>
    </r>
    <r>
      <rPr>
        <sz val="10"/>
        <color indexed="22"/>
        <rFont val="Arial"/>
        <family val="2"/>
      </rPr>
      <t>]</t>
    </r>
  </si>
  <si>
    <r>
      <t>[Gj t</t>
    </r>
    <r>
      <rPr>
        <vertAlign val="superscript"/>
        <sz val="10"/>
        <color indexed="22"/>
        <rFont val="Arial"/>
        <family val="2"/>
      </rPr>
      <t>-1</t>
    </r>
    <r>
      <rPr>
        <sz val="10"/>
        <color indexed="22"/>
        <rFont val="Arial"/>
        <family val="2"/>
      </rPr>
      <t>]</t>
    </r>
  </si>
  <si>
    <r>
      <t>[Gj yr</t>
    </r>
    <r>
      <rPr>
        <vertAlign val="superscript"/>
        <sz val="10"/>
        <color indexed="22"/>
        <rFont val="Arial"/>
        <family val="2"/>
      </rPr>
      <t>-1</t>
    </r>
    <r>
      <rPr>
        <sz val="10"/>
        <color indexed="22"/>
        <rFont val="Arial"/>
        <family val="2"/>
      </rPr>
      <t>]</t>
    </r>
  </si>
  <si>
    <t>Ecological Footprint and Biocapacity Per Capita</t>
  </si>
  <si>
    <r>
      <t>[gha wha</t>
    </r>
    <r>
      <rPr>
        <vertAlign val="superscript"/>
        <sz val="10"/>
        <color indexed="22"/>
        <rFont val="Arial"/>
        <family val="2"/>
      </rPr>
      <t>-1</t>
    </r>
    <r>
      <rPr>
        <sz val="10"/>
        <color indexed="22"/>
        <rFont val="Arial"/>
        <family val="2"/>
      </rPr>
      <t>]</t>
    </r>
  </si>
  <si>
    <r>
      <t>EF</t>
    </r>
    <r>
      <rPr>
        <b/>
        <vertAlign val="subscript"/>
        <sz val="10"/>
        <color indexed="9"/>
        <rFont val="Arial"/>
        <family val="2"/>
      </rPr>
      <t>I</t>
    </r>
  </si>
  <si>
    <r>
      <t>EF</t>
    </r>
    <r>
      <rPr>
        <b/>
        <vertAlign val="subscript"/>
        <sz val="10"/>
        <color indexed="9"/>
        <rFont val="Arial"/>
        <family val="2"/>
      </rPr>
      <t>E</t>
    </r>
  </si>
  <si>
    <r>
      <t>EF</t>
    </r>
    <r>
      <rPr>
        <b/>
        <vertAlign val="subscript"/>
        <sz val="10"/>
        <color indexed="9"/>
        <rFont val="Arial"/>
        <family val="2"/>
      </rPr>
      <t>C</t>
    </r>
  </si>
  <si>
    <r>
      <t>[t C (t CO</t>
    </r>
    <r>
      <rPr>
        <vertAlign val="subscript"/>
        <sz val="10"/>
        <color indexed="23"/>
        <rFont val="Arial"/>
        <family val="2"/>
      </rPr>
      <t>2</t>
    </r>
    <r>
      <rPr>
        <sz val="10"/>
        <color indexed="23"/>
        <rFont val="Arial"/>
        <family val="2"/>
      </rPr>
      <t>)</t>
    </r>
    <r>
      <rPr>
        <vertAlign val="superscript"/>
        <sz val="10"/>
        <color indexed="23"/>
        <rFont val="Arial"/>
        <family val="2"/>
      </rPr>
      <t>-1</t>
    </r>
    <r>
      <rPr>
        <sz val="10"/>
        <color indexed="23"/>
        <rFont val="Arial"/>
        <family val="2"/>
      </rPr>
      <t>]</t>
    </r>
  </si>
  <si>
    <r>
      <t>[t C wha</t>
    </r>
    <r>
      <rPr>
        <vertAlign val="superscript"/>
        <sz val="10"/>
        <color indexed="23"/>
        <rFont val="Arial"/>
        <family val="2"/>
      </rPr>
      <t xml:space="preserve">-1 </t>
    </r>
    <r>
      <rPr>
        <sz val="10"/>
        <color indexed="23"/>
        <rFont val="Arial"/>
        <family val="2"/>
      </rPr>
      <t>yr</t>
    </r>
    <r>
      <rPr>
        <vertAlign val="superscript"/>
        <sz val="10"/>
        <color indexed="23"/>
        <rFont val="Arial"/>
        <family val="2"/>
      </rPr>
      <t>-1</t>
    </r>
    <r>
      <rPr>
        <sz val="10"/>
        <color indexed="23"/>
        <rFont val="Arial"/>
        <family val="2"/>
      </rPr>
      <t>]</t>
    </r>
  </si>
  <si>
    <r>
      <t>[t wha</t>
    </r>
    <r>
      <rPr>
        <vertAlign val="superscript"/>
        <sz val="10"/>
        <color indexed="23"/>
        <rFont val="Arial"/>
        <family val="2"/>
      </rPr>
      <t>-1</t>
    </r>
    <r>
      <rPr>
        <sz val="10"/>
        <color indexed="23"/>
        <rFont val="Arial"/>
        <family val="2"/>
      </rPr>
      <t xml:space="preserve"> yr</t>
    </r>
    <r>
      <rPr>
        <vertAlign val="superscript"/>
        <sz val="10"/>
        <color indexed="23"/>
        <rFont val="Arial"/>
        <family val="2"/>
      </rPr>
      <t>-1</t>
    </r>
    <r>
      <rPr>
        <sz val="10"/>
        <color indexed="23"/>
        <rFont val="Arial"/>
        <family val="2"/>
      </rPr>
      <t>]</t>
    </r>
  </si>
  <si>
    <t>Palinuridae</t>
  </si>
  <si>
    <t>Palinurus delagoae</t>
  </si>
  <si>
    <t>Palinurus elephas</t>
  </si>
  <si>
    <t>Palinurus gilchristi</t>
  </si>
  <si>
    <t>Palinurus mauritanicus</t>
  </si>
  <si>
    <t>Palinurus spp</t>
  </si>
  <si>
    <t>Panulirus argus</t>
  </si>
  <si>
    <t>Panulirus cygnus</t>
  </si>
  <si>
    <t>Halichoerus grypus</t>
  </si>
  <si>
    <t>Sotalia guianensis</t>
  </si>
  <si>
    <t>Atractosteus tropicus</t>
  </si>
  <si>
    <t>Catostomidae</t>
  </si>
  <si>
    <t>Chalcalburnus chalcoides</t>
  </si>
  <si>
    <t>Chondrostoma nasus</t>
  </si>
  <si>
    <t>Cirrhinus molitorella</t>
  </si>
  <si>
    <t>Ctenopharyngodon idellus</t>
  </si>
  <si>
    <t>Cyprinidae</t>
  </si>
  <si>
    <t>Cyprinus carpio</t>
  </si>
  <si>
    <t>Hypophthalmichthys molitrix</t>
  </si>
  <si>
    <t>Hypophthalmichthys nobilis</t>
  </si>
  <si>
    <t>Ictiobus spp</t>
  </si>
  <si>
    <t>Labeo spp</t>
  </si>
  <si>
    <t>Leptobarbus hoeveni</t>
  </si>
  <si>
    <t>Apsilus fuscus</t>
  </si>
  <si>
    <t>Spottail spiny turbot</t>
  </si>
  <si>
    <t>Blacktip shark</t>
  </si>
  <si>
    <t>Black oreo</t>
  </si>
  <si>
    <t>Capro dory</t>
  </si>
  <si>
    <t>Fish flours fit for human consumption</t>
  </si>
  <si>
    <t>Hydrolagus novaezealandiae</t>
  </si>
  <si>
    <t>Hydrolagus spp</t>
  </si>
  <si>
    <t>Isurus oxyrinchus</t>
  </si>
  <si>
    <t>Isurus paucus</t>
  </si>
  <si>
    <t>Isurus spp</t>
  </si>
  <si>
    <t>Dasyatidae</t>
  </si>
  <si>
    <t>Dasyatis akajei</t>
  </si>
  <si>
    <t>Dasyatis pastinaca</t>
  </si>
  <si>
    <t>Dasyatis spp</t>
  </si>
  <si>
    <t>Deania calcea</t>
  </si>
  <si>
    <t>Echinorhinus brucus</t>
  </si>
  <si>
    <t>Elasmobranchii</t>
  </si>
  <si>
    <t>Amberjacks nei</t>
  </si>
  <si>
    <t>Blood cockle</t>
  </si>
  <si>
    <t>Cobia</t>
  </si>
  <si>
    <t>Blue mackerel</t>
  </si>
  <si>
    <t>Bonnetmouths, rubyfishes nei</t>
  </si>
  <si>
    <t>Red codling</t>
  </si>
  <si>
    <t>Andaman lobster</t>
  </si>
  <si>
    <t>Sciaena umbra</t>
  </si>
  <si>
    <t>Sciaenidae</t>
  </si>
  <si>
    <t>Sciaenops ocellatus</t>
  </si>
  <si>
    <t>Scolopsis spp</t>
  </si>
  <si>
    <t>Scolopsis taeniatus</t>
  </si>
  <si>
    <t>Momo, boke magai, misu coral</t>
  </si>
  <si>
    <t>Neon flying squid</t>
  </si>
  <si>
    <t>Arius thalassinus</t>
  </si>
  <si>
    <t>Arripis georgianus</t>
  </si>
  <si>
    <t>Arripis trutta</t>
  </si>
  <si>
    <t>Atractoscion aequidens</t>
  </si>
  <si>
    <t>Atractoscion nobilis</t>
  </si>
  <si>
    <t>Atrobucca nibe</t>
  </si>
  <si>
    <t>Balistes carolinensis</t>
  </si>
  <si>
    <t>Balistidae</t>
  </si>
  <si>
    <t>Batrachoididae</t>
  </si>
  <si>
    <t>Bolbometopon muricatum</t>
  </si>
  <si>
    <t>Oth. Coated iron or steel plates etc under 3</t>
  </si>
  <si>
    <t>Hoop and strip of iron or steel</t>
  </si>
  <si>
    <t>Rails of iron or steel</t>
  </si>
  <si>
    <t>Thyrsitops lepidopoides</t>
  </si>
  <si>
    <t>Trachichthyidae</t>
  </si>
  <si>
    <t>Spiegeleisen</t>
  </si>
  <si>
    <t>Psettichthys melanostictus</t>
  </si>
  <si>
    <t>Loligo spp</t>
  </si>
  <si>
    <t>Cephalopholis argus</t>
  </si>
  <si>
    <t>Cephalopholis fulva</t>
  </si>
  <si>
    <t>Parent Product</t>
  </si>
  <si>
    <t>Hay (clover,lucerne,etc)</t>
  </si>
  <si>
    <t>1214.90_q</t>
  </si>
  <si>
    <t>Hay (unspecified)</t>
  </si>
  <si>
    <t>Blacklip abalone</t>
  </si>
  <si>
    <t>Brine shrimp</t>
  </si>
  <si>
    <t>Penaeus latisulcatus</t>
  </si>
  <si>
    <t>Penaeus merguiensis</t>
  </si>
  <si>
    <t>Penaeus monodon</t>
  </si>
  <si>
    <t>2302.40_e</t>
  </si>
  <si>
    <t>Bran of Wheat</t>
  </si>
  <si>
    <t>2302.30</t>
  </si>
  <si>
    <t>Brazil Nuts Shelled</t>
  </si>
  <si>
    <t>0801.22</t>
  </si>
  <si>
    <t>Bread</t>
  </si>
  <si>
    <t>1905_a</t>
  </si>
  <si>
    <t>Breakfast Cereals</t>
  </si>
  <si>
    <t>1904_a</t>
  </si>
  <si>
    <t>Bulgur</t>
  </si>
  <si>
    <t>Caviar and caviar substitutes</t>
  </si>
  <si>
    <t>Camels</t>
  </si>
  <si>
    <t>0106.1_a</t>
  </si>
  <si>
    <t>Pulses</t>
  </si>
  <si>
    <t>Oxynotus paradoxus</t>
  </si>
  <si>
    <t>Prionace glauca</t>
  </si>
  <si>
    <t>Kapokseed Shelled</t>
  </si>
  <si>
    <t>Pelagic red crab</t>
  </si>
  <si>
    <t>Indian halibut</t>
  </si>
  <si>
    <t>Bicycles &amp; other cycles, not motorized, &amp; par</t>
  </si>
  <si>
    <t>Boiler house plant</t>
  </si>
  <si>
    <t>Steam engines and steam turbines</t>
  </si>
  <si>
    <t>Aircraft  incl jet propulsion   engines</t>
  </si>
  <si>
    <t>Internal combustion engines, not for aircraft</t>
  </si>
  <si>
    <t>Gas turbines,other than for aircraft</t>
  </si>
  <si>
    <t>Nuclear reactors</t>
  </si>
  <si>
    <t>Engines, nes</t>
  </si>
  <si>
    <t>Pristidae</t>
  </si>
  <si>
    <t>Pristiophorus spp</t>
  </si>
  <si>
    <t>Raja batis</t>
  </si>
  <si>
    <t>Fourfinger threadfin</t>
  </si>
  <si>
    <t>John's snapper</t>
  </si>
  <si>
    <t>Manufacturing Industries and Construction</t>
  </si>
  <si>
    <t>Iron and Steel</t>
  </si>
  <si>
    <t>Chemical and Petrochemical</t>
  </si>
  <si>
    <t>Non-Ferrous Metals</t>
  </si>
  <si>
    <t>Dorosoma cepedianum</t>
  </si>
  <si>
    <t>Pampus argenteus</t>
  </si>
  <si>
    <t>Pampus spp</t>
  </si>
  <si>
    <t>Parastromateus niger</t>
  </si>
  <si>
    <t>Parona signata</t>
  </si>
  <si>
    <t>Peprilus simillimus</t>
  </si>
  <si>
    <t>Peprilus spp</t>
  </si>
  <si>
    <t>Peprilus triacanthus</t>
  </si>
  <si>
    <t>Pomatomus saltatrix</t>
  </si>
  <si>
    <t>Pseudocaranx dentex</t>
  </si>
  <si>
    <t>Rachycentron canadum</t>
  </si>
  <si>
    <t>Rastrelliger brachysoma</t>
  </si>
  <si>
    <t>Rastrelliger kanagurta</t>
  </si>
  <si>
    <t>Rastrelliger spp</t>
  </si>
  <si>
    <t>Regalecus glesne</t>
  </si>
  <si>
    <t>Scomber australasicus</t>
  </si>
  <si>
    <t>Scomber japonicus</t>
  </si>
  <si>
    <t>Scomber scombrus</t>
  </si>
  <si>
    <t>Sardinella aurita</t>
  </si>
  <si>
    <t>Sardinella brasiliensis</t>
  </si>
  <si>
    <t>Streaked seerfish</t>
  </si>
  <si>
    <t>Unicorn cod</t>
  </si>
  <si>
    <t>Wolf-herrings nei</t>
  </si>
  <si>
    <t>Bali sardinella</t>
  </si>
  <si>
    <t>Bullet tuna</t>
  </si>
  <si>
    <t>Auxis rochei</t>
  </si>
  <si>
    <t>Chacunda gizzard shad</t>
  </si>
  <si>
    <t>Chocolate hind</t>
  </si>
  <si>
    <t>Cephalopholis boenak</t>
  </si>
  <si>
    <t>Frigate tuna</t>
  </si>
  <si>
    <t>Amur catfish</t>
  </si>
  <si>
    <t>Catfish</t>
  </si>
  <si>
    <t>Argentinian silverside</t>
  </si>
  <si>
    <t>Asian clam</t>
  </si>
  <si>
    <t>Asian swamp eel</t>
  </si>
  <si>
    <t>Atipa</t>
  </si>
  <si>
    <t>Atlantic ditch shrimp</t>
  </si>
  <si>
    <t>Baltic prawn</t>
  </si>
  <si>
    <t>Barred sorubim</t>
  </si>
  <si>
    <t>Bayad</t>
  </si>
  <si>
    <t>Bear paw clam</t>
  </si>
  <si>
    <t>Black bullhead</t>
  </si>
  <si>
    <t>Blackbelt cichlid</t>
  </si>
  <si>
    <t>Blackchin tilapia</t>
  </si>
  <si>
    <t>Tilapia</t>
  </si>
  <si>
    <t>Bluegill</t>
  </si>
  <si>
    <t>Bright green nori</t>
  </si>
  <si>
    <t>Brine shrimps nei</t>
  </si>
  <si>
    <t>Brown tiger prawn</t>
  </si>
  <si>
    <t>Brycon cephalus</t>
  </si>
  <si>
    <t>Antimora rostrata</t>
  </si>
  <si>
    <t>Source</t>
  </si>
  <si>
    <t>[ha]</t>
  </si>
  <si>
    <t>Stout beardfish</t>
  </si>
  <si>
    <t>Polymixia nobilis</t>
  </si>
  <si>
    <t>Sweetlips, rubberlips nei</t>
  </si>
  <si>
    <t>Plectorhinchus spp</t>
  </si>
  <si>
    <t>Titi shrimp</t>
  </si>
  <si>
    <t>Atherina boyeri</t>
  </si>
  <si>
    <t>Atherinidae</t>
  </si>
  <si>
    <t>Lemon juice, single strength</t>
  </si>
  <si>
    <t>Liquid Margarine</t>
  </si>
  <si>
    <t>Mango Juice</t>
  </si>
  <si>
    <t>Mango Pulp</t>
  </si>
  <si>
    <t>Mangoes, mangosteens, guavas</t>
  </si>
  <si>
    <t>Margrine Short</t>
  </si>
  <si>
    <t>Meat nes</t>
  </si>
  <si>
    <t>Meat of Asses</t>
  </si>
  <si>
    <t>Milkdry Buttrmilk</t>
  </si>
  <si>
    <t>Milled/Husked Rice</t>
  </si>
  <si>
    <t>Mules</t>
  </si>
  <si>
    <t>4102.2_d</t>
  </si>
  <si>
    <t>Snails, Not Sea</t>
  </si>
  <si>
    <t>0307.60</t>
  </si>
  <si>
    <t>0101.20_a</t>
  </si>
  <si>
    <t>0101.20_b</t>
  </si>
  <si>
    <t>Sweet Corn Frozen</t>
  </si>
  <si>
    <t>0710.40</t>
  </si>
  <si>
    <t>Buses, including trolleybuses</t>
  </si>
  <si>
    <t>Bigeyes nei</t>
  </si>
  <si>
    <t>Yellowtail flounder</t>
  </si>
  <si>
    <t>Chirocentrus nudus</t>
  </si>
  <si>
    <t>Orange juice, single strength</t>
  </si>
  <si>
    <t>Other Bastfibres</t>
  </si>
  <si>
    <t>Plum juice, concentrated</t>
  </si>
  <si>
    <t>Plum juice, single strength</t>
  </si>
  <si>
    <t>Popcorn</t>
  </si>
  <si>
    <t>Pot Barley</t>
  </si>
  <si>
    <t>Base metals,nes</t>
  </si>
  <si>
    <t>Mullus spp</t>
  </si>
  <si>
    <t>Mullus surmuletus</t>
  </si>
  <si>
    <t>0409.00</t>
  </si>
  <si>
    <t>Goose and guinea fowl meat</t>
  </si>
  <si>
    <t>0207.32_b</t>
  </si>
  <si>
    <t>Hen eggs, in shell</t>
  </si>
  <si>
    <t>0407.00a</t>
  </si>
  <si>
    <t>Horse meat</t>
  </si>
  <si>
    <t>0205.00_a</t>
  </si>
  <si>
    <t>South American rock mussel</t>
  </si>
  <si>
    <t>Kuruma prawn</t>
  </si>
  <si>
    <t>New Zealand scallop</t>
  </si>
  <si>
    <t>Lusitanian toadfish</t>
  </si>
  <si>
    <t>Aluminium and aluminium alloys, unwrought</t>
  </si>
  <si>
    <t>Molva dypterygia</t>
  </si>
  <si>
    <t>Molva molva</t>
  </si>
  <si>
    <t>Molva spp</t>
  </si>
  <si>
    <t>Aphanopus carbo</t>
  </si>
  <si>
    <t>Tin and tin alloys, unwrought</t>
  </si>
  <si>
    <t>Tin and tin alloys,worked</t>
  </si>
  <si>
    <t>Tapestries</t>
  </si>
  <si>
    <t>Mats,matting,screens of vegetable plaiting ma</t>
  </si>
  <si>
    <t>Lime</t>
  </si>
  <si>
    <t>Cement</t>
  </si>
  <si>
    <t>1702.60</t>
  </si>
  <si>
    <t>Paste of Tomatoes</t>
  </si>
  <si>
    <t>2002.90</t>
  </si>
  <si>
    <t>Sculptured shrimps nei</t>
  </si>
  <si>
    <t>Tobacco,manufactured for smoking,chewing snuf</t>
  </si>
  <si>
    <t>Bovine &amp; equine hides excl. Calf &amp; kip skins</t>
  </si>
  <si>
    <t>Calf skins and kip skins</t>
  </si>
  <si>
    <t>Goat skins and kid skins</t>
  </si>
  <si>
    <t>Emperors(=Scavengers) nei</t>
  </si>
  <si>
    <t>Indo-Pacific sailfish</t>
  </si>
  <si>
    <t>Phosphatic fertilizers and materials</t>
  </si>
  <si>
    <t>Potassic fertilizers and materials</t>
  </si>
  <si>
    <t>Fertilizers,nes</t>
  </si>
  <si>
    <t>1102.90_b</t>
  </si>
  <si>
    <t>Flour of Mustard</t>
  </si>
  <si>
    <t>2103.30</t>
  </si>
  <si>
    <t>Flour of Oilseeds</t>
  </si>
  <si>
    <t>1208_a</t>
  </si>
  <si>
    <t>Lithognathus lithognathus</t>
  </si>
  <si>
    <t>Production / Stock</t>
  </si>
  <si>
    <t>Embodied EF</t>
  </si>
  <si>
    <t>1008.90ad</t>
  </si>
  <si>
    <t>Garlic</t>
  </si>
  <si>
    <t>0703.20</t>
  </si>
  <si>
    <t>Ginger</t>
  </si>
  <si>
    <t>0910.10</t>
  </si>
  <si>
    <t>Gooseberries</t>
  </si>
  <si>
    <t>2009.21</t>
  </si>
  <si>
    <t>Stromboid conchs nei</t>
  </si>
  <si>
    <t>Finfishes nei</t>
  </si>
  <si>
    <t>Yellowfin seabream</t>
  </si>
  <si>
    <t>False abalone</t>
  </si>
  <si>
    <t>Flathead lobster</t>
  </si>
  <si>
    <t>Scats</t>
  </si>
  <si>
    <t>Barbus cyclolepis</t>
  </si>
  <si>
    <t>Corallium secundum</t>
  </si>
  <si>
    <t>Corallium sp. nov.</t>
  </si>
  <si>
    <t>Non-Scleractinia</t>
  </si>
  <si>
    <t>Scleractinia</t>
  </si>
  <si>
    <t>Angolan dentex</t>
  </si>
  <si>
    <t>Hawksbill turtle</t>
  </si>
  <si>
    <t>Skinnycheek lanternfish</t>
  </si>
  <si>
    <t>Spot-tail shark</t>
  </si>
  <si>
    <t>Spotted sicklefish</t>
  </si>
  <si>
    <t>Tigertooth croaker</t>
  </si>
  <si>
    <t>CORINE</t>
  </si>
  <si>
    <t>Patagonotothen brevicauda</t>
  </si>
  <si>
    <t>Patagonotothen ramsayi</t>
  </si>
  <si>
    <t>Labiobarbus festivus</t>
  </si>
  <si>
    <t>Silver rasbora</t>
  </si>
  <si>
    <t>livestock_intensity_n_fish</t>
  </si>
  <si>
    <t>prodstat_livestock_n</t>
  </si>
  <si>
    <t>livestock_feed_balance</t>
  </si>
  <si>
    <t>fish_feed_group_yield_n</t>
  </si>
  <si>
    <t>crop_feed_cnst</t>
  </si>
  <si>
    <t>0808.20_a</t>
  </si>
  <si>
    <t>Peas, dry</t>
  </si>
  <si>
    <t>0713.10</t>
  </si>
  <si>
    <t>Peas, green</t>
  </si>
  <si>
    <t>0708.10</t>
  </si>
  <si>
    <t>Pepper (Piper spp.)</t>
  </si>
  <si>
    <t>0904.11</t>
  </si>
  <si>
    <t>Persimmons</t>
  </si>
  <si>
    <t>0810.90aa</t>
  </si>
  <si>
    <t>Pigeon peas</t>
  </si>
  <si>
    <t>0713.90aa</t>
  </si>
  <si>
    <t>Pineapples</t>
  </si>
  <si>
    <t>Pistachios</t>
  </si>
  <si>
    <t>Plantains</t>
  </si>
  <si>
    <t>0803.00_b</t>
  </si>
  <si>
    <t>Trachipterus spp</t>
  </si>
  <si>
    <t>Sepiidae, Sepiolidae</t>
  </si>
  <si>
    <t>Todarodes pacificus</t>
  </si>
  <si>
    <t>Todarodes sagittatus</t>
  </si>
  <si>
    <t>Nephrops norvegicus</t>
  </si>
  <si>
    <t>Barbus meridionalis</t>
  </si>
  <si>
    <t>Blicca bjoerkna</t>
  </si>
  <si>
    <t>Eleginops maclovinus</t>
  </si>
  <si>
    <t>Eleutheronema tetradactylum</t>
  </si>
  <si>
    <t>Elops lacerta</t>
  </si>
  <si>
    <t>Elops saurus</t>
  </si>
  <si>
    <t>Ephippidae</t>
  </si>
  <si>
    <t>Gerres oyena</t>
  </si>
  <si>
    <t>Gerres spp</t>
  </si>
  <si>
    <t>Girella nigricans</t>
  </si>
  <si>
    <t>Girella tricuspidata</t>
  </si>
  <si>
    <t>Gobius niger</t>
  </si>
  <si>
    <t>Angles etc. Of iron or steel, 80 mm or more</t>
  </si>
  <si>
    <t>Blackfin tuna</t>
  </si>
  <si>
    <t>Anglerfishes nei</t>
  </si>
  <si>
    <t>0106.1_c</t>
  </si>
  <si>
    <t>Upogebia pugettensis</t>
  </si>
  <si>
    <t>Cervimunida johni</t>
  </si>
  <si>
    <t>Galatheidae</t>
  </si>
  <si>
    <t>Lithodes aequispina</t>
  </si>
  <si>
    <t>Lithodes murrayi</t>
  </si>
  <si>
    <t>Lithodidae</t>
  </si>
  <si>
    <t>Paralithodes brevipes</t>
  </si>
  <si>
    <t>Paralithodes camtschaticus</t>
  </si>
  <si>
    <t>Paralithodes platypus</t>
  </si>
  <si>
    <t>Paralithodes spp</t>
  </si>
  <si>
    <t>Horsehair &amp; other coarse hair,not carded/comb</t>
  </si>
  <si>
    <t>Macrobrachium nipponense</t>
  </si>
  <si>
    <t>Macrobrachium rosenbergii</t>
  </si>
  <si>
    <t>Macrobrachium spp</t>
  </si>
  <si>
    <t>Pacifastacus leniusculus</t>
  </si>
  <si>
    <t>Palaemonidae</t>
  </si>
  <si>
    <t>Parastacidae</t>
  </si>
  <si>
    <t>Procambarus clarkii</t>
  </si>
  <si>
    <t>Brachyura</t>
  </si>
  <si>
    <t>Callinectes danae</t>
  </si>
  <si>
    <t>Callinectes sapidus</t>
  </si>
  <si>
    <t>Poles,piling,posts &amp; other wood in the rough.</t>
  </si>
  <si>
    <t>Safflower seed</t>
  </si>
  <si>
    <t>1207.60</t>
  </si>
  <si>
    <t>Japanese carpet shell</t>
  </si>
  <si>
    <t>Japanese kelp</t>
  </si>
  <si>
    <t>Japanese sea cucumber</t>
  </si>
  <si>
    <t>Jellyfishes</t>
  </si>
  <si>
    <t>Large yellow croaker</t>
  </si>
  <si>
    <t>Laver (Nori)</t>
  </si>
  <si>
    <t>Lefteye flounders nei</t>
  </si>
  <si>
    <t>Black seabream</t>
  </si>
  <si>
    <t>Jasus tristani</t>
  </si>
  <si>
    <t>Jasus verreauxi</t>
  </si>
  <si>
    <t>Metanephrops andamanicus</t>
  </si>
  <si>
    <t>Metanephrops challengeri</t>
  </si>
  <si>
    <t>Metanephrops mozambicus</t>
  </si>
  <si>
    <t>Metanephrops spp</t>
  </si>
  <si>
    <t>Hides Wet Salted Camels</t>
  </si>
  <si>
    <t>Kapok Fibre</t>
  </si>
  <si>
    <t>Glass carboys, bottles, jars, stoppers, etc.</t>
  </si>
  <si>
    <t>Glass tableware etc for household hotel etc</t>
  </si>
  <si>
    <t>Articles made of glass nes</t>
  </si>
  <si>
    <t>Spotted seabass</t>
  </si>
  <si>
    <t>Pike icefish</t>
  </si>
  <si>
    <t>Loligo forbesi</t>
  </si>
  <si>
    <t>Loligo gahi</t>
  </si>
  <si>
    <t>Loligo opalescens</t>
  </si>
  <si>
    <t>Hides Unsp Camels</t>
  </si>
  <si>
    <t>Commercial and Public Services</t>
  </si>
  <si>
    <t xml:space="preserve">Residential </t>
  </si>
  <si>
    <t xml:space="preserve">Non-specified Other </t>
  </si>
  <si>
    <t>Envelopes,writing blocks,etc.for corresponden</t>
  </si>
  <si>
    <t>Exercise books,registers,abums,diaries etc</t>
  </si>
  <si>
    <t>Art. Of paper pulp,paper or paperboard</t>
  </si>
  <si>
    <t>Thrown silk &amp; silk yarn and thread</t>
  </si>
  <si>
    <t>Oceanic whitetip shark</t>
  </si>
  <si>
    <t>Pompanos nei</t>
  </si>
  <si>
    <t>Red crab</t>
  </si>
  <si>
    <t>Lighting fixtures and fittings and parts</t>
  </si>
  <si>
    <t>Furniture</t>
  </si>
  <si>
    <t>Cichlasoma managuense</t>
  </si>
  <si>
    <t>Cichlidae</t>
  </si>
  <si>
    <t>Haplochromis spp</t>
  </si>
  <si>
    <t>Oreochromis (=Tilapia) spp</t>
  </si>
  <si>
    <t>Carp</t>
  </si>
  <si>
    <t>Cod</t>
  </si>
  <si>
    <t>Corals</t>
  </si>
  <si>
    <t>Cuttlefish and Squid</t>
  </si>
  <si>
    <t>Rhopilema spp</t>
  </si>
  <si>
    <t>Ex Mollusca</t>
  </si>
  <si>
    <t>Ex Pinctada spp</t>
  </si>
  <si>
    <t>Sphyraena barracuda</t>
  </si>
  <si>
    <t>Alosa pontica</t>
  </si>
  <si>
    <t>Alosa pseudoharengus</t>
  </si>
  <si>
    <t>Alosa sapidissima</t>
  </si>
  <si>
    <t>Alosa spp</t>
  </si>
  <si>
    <t>Anodontostoma chacunda</t>
  </si>
  <si>
    <t>Caspialosa spp</t>
  </si>
  <si>
    <t>Clupanodon thrissa</t>
  </si>
  <si>
    <t>Pleurogrammus azonus</t>
  </si>
  <si>
    <t>Pleurogrammus monopterygius</t>
  </si>
  <si>
    <t>Plotosus spp</t>
  </si>
  <si>
    <t>Pogonias cromis</t>
  </si>
  <si>
    <t>Polydactylus quadrifilis</t>
  </si>
  <si>
    <t>Polynemidae</t>
  </si>
  <si>
    <t>Pomacanthidae</t>
  </si>
  <si>
    <t>Sleepers &amp; railway track material of iron ste</t>
  </si>
  <si>
    <t>Starry flounder</t>
  </si>
  <si>
    <t>Tautog</t>
  </si>
  <si>
    <t>Tripletail</t>
  </si>
  <si>
    <t>Vermilion snapper</t>
  </si>
  <si>
    <t>Warsaw grouper</t>
  </si>
  <si>
    <t>Rainbow sardine</t>
  </si>
  <si>
    <t>Short mackerel</t>
  </si>
  <si>
    <t>Silver sillago</t>
  </si>
  <si>
    <t>Spotted sardinella</t>
  </si>
  <si>
    <t>Articles of artif.plastic materials,n.e.s.</t>
  </si>
  <si>
    <t>Pastry</t>
  </si>
  <si>
    <t>1905_b</t>
  </si>
  <si>
    <t>Peanut Butter</t>
  </si>
  <si>
    <t>2008.11_b</t>
  </si>
  <si>
    <t>Latridae</t>
  </si>
  <si>
    <t>Lepidocybium flavobrunneum</t>
  </si>
  <si>
    <t>Lepidopus caudatus</t>
  </si>
  <si>
    <t>Squaretail coralgrouper</t>
  </si>
  <si>
    <t>Euro-American crayfishes nei</t>
  </si>
  <si>
    <t>Huchen</t>
  </si>
  <si>
    <t>Northern pike</t>
  </si>
  <si>
    <t>Salmonoids nei</t>
  </si>
  <si>
    <t>Special prod.of textile mat.and related mat.</t>
  </si>
  <si>
    <t>Bags and sacks of textile materials</t>
  </si>
  <si>
    <t>Tarpaulins, tents, awnings, sails, etc.</t>
  </si>
  <si>
    <t>Blankets, travelling rugs and coverlets</t>
  </si>
  <si>
    <t>Made up articles of textile materials, nes</t>
  </si>
  <si>
    <t>fish_capture_yield</t>
  </si>
  <si>
    <t>foodaid_fish</t>
  </si>
  <si>
    <t>fish_group_yield_w</t>
  </si>
  <si>
    <t>aquaculture_production_n</t>
  </si>
  <si>
    <t>aquaculture_yields</t>
  </si>
  <si>
    <t>aquaculture_production_w</t>
  </si>
  <si>
    <t>fish_feed_group_yield_w</t>
  </si>
  <si>
    <t>fishmeal_fishes</t>
  </si>
  <si>
    <t>Extraction Rate of Fish oil</t>
  </si>
  <si>
    <t>Artemesia longinaris</t>
  </si>
  <si>
    <t>Extr</t>
  </si>
  <si>
    <t>Area</t>
  </si>
  <si>
    <t>Year</t>
  </si>
  <si>
    <t>Brazilian menhaden</t>
  </si>
  <si>
    <t>Goldsilk seabream</t>
  </si>
  <si>
    <t>Congo dentex</t>
  </si>
  <si>
    <t>Blotched picarel</t>
  </si>
  <si>
    <t>Aesop shrimp</t>
  </si>
  <si>
    <t>Bigeye scad</t>
  </si>
  <si>
    <t>Broad-striped anchovy</t>
  </si>
  <si>
    <t>Coney</t>
  </si>
  <si>
    <t>Rainbow runner</t>
  </si>
  <si>
    <t>Red hind</t>
  </si>
  <si>
    <t>Whitebelly prawn</t>
  </si>
  <si>
    <t>Solenocera agassizii</t>
  </si>
  <si>
    <t>Trachypenaeus curvirostris</t>
  </si>
  <si>
    <t>Grease incl. Lanolin Wool</t>
  </si>
  <si>
    <t>1202.20</t>
  </si>
  <si>
    <t>Gums Natural</t>
  </si>
  <si>
    <t>4001.30</t>
  </si>
  <si>
    <t>Hair Carded/ Combed</t>
  </si>
  <si>
    <t>Hair Coarse Nes</t>
  </si>
  <si>
    <t>Hair Fine</t>
  </si>
  <si>
    <t>Hair of Horses</t>
  </si>
  <si>
    <t>0503.00</t>
  </si>
  <si>
    <t>Blue catfish</t>
  </si>
  <si>
    <t>Carassius auratus</t>
  </si>
  <si>
    <t>Carassius carassius</t>
  </si>
  <si>
    <t>Squalidae, Scyliorhinidae</t>
  </si>
  <si>
    <t>Squaliformes</t>
  </si>
  <si>
    <t>Squalus acanthias</t>
  </si>
  <si>
    <t>Squatina argentina</t>
  </si>
  <si>
    <t>Squatina squatina</t>
  </si>
  <si>
    <t>Squatinidae</t>
  </si>
  <si>
    <t>Torpedo spp</t>
  </si>
  <si>
    <t>Triakidae</t>
  </si>
  <si>
    <t>Astacidae, Cambaridae</t>
  </si>
  <si>
    <t>Astacus astacus</t>
  </si>
  <si>
    <t>Austropotamobius pallipes</t>
  </si>
  <si>
    <t>Crustacea</t>
  </si>
  <si>
    <t>Eriocheir sinensis</t>
  </si>
  <si>
    <t>Euastacus armatus</t>
  </si>
  <si>
    <t>Exopalaemon modestus</t>
  </si>
  <si>
    <t>Lutjanus spp</t>
  </si>
  <si>
    <t>Lutjanus synagris</t>
  </si>
  <si>
    <t>Watches, watch movements and cases</t>
  </si>
  <si>
    <t>Cotton Linter</t>
  </si>
  <si>
    <t>1404.20</t>
  </si>
  <si>
    <t>Television broadcast receivers</t>
  </si>
  <si>
    <t>Radio broadcast receivers</t>
  </si>
  <si>
    <t>Perlemoen abalone</t>
  </si>
  <si>
    <t>Cake Safflower</t>
  </si>
  <si>
    <t>2306.90_c</t>
  </si>
  <si>
    <t>Cane Tops</t>
  </si>
  <si>
    <t>2308.00_e</t>
  </si>
  <si>
    <t>0801.31_a</t>
  </si>
  <si>
    <t>0714.10_a</t>
  </si>
  <si>
    <t>1207.30_a</t>
  </si>
  <si>
    <t>Cattle Butch.Fat</t>
  </si>
  <si>
    <t>Cheese of Goat Mlk</t>
  </si>
  <si>
    <t>0805.90_a</t>
  </si>
  <si>
    <t>Cmpd Feed,Pigs</t>
  </si>
  <si>
    <t>Ascidiacea</t>
  </si>
  <si>
    <t>Microcosmus sulcatus</t>
  </si>
  <si>
    <t>Pyura chilensis</t>
  </si>
  <si>
    <t>Pyura stolonifera</t>
  </si>
  <si>
    <t>Salpidae</t>
  </si>
  <si>
    <t>Limulus polyphemus</t>
  </si>
  <si>
    <t>Asterias rubens</t>
  </si>
  <si>
    <t>Asteroidea</t>
  </si>
  <si>
    <t>Echinodermata</t>
  </si>
  <si>
    <t>2101_b</t>
  </si>
  <si>
    <t>Fat Liver Prep (Foie Gras)</t>
  </si>
  <si>
    <t>Fat of Cattle</t>
  </si>
  <si>
    <t>Fat of Pigs</t>
  </si>
  <si>
    <t>Fat of Ptry Rend</t>
  </si>
  <si>
    <t>Fat Prep Nes</t>
  </si>
  <si>
    <t>Fatty Acids</t>
  </si>
  <si>
    <t>Leather,nes</t>
  </si>
  <si>
    <t>Scientific Name</t>
  </si>
  <si>
    <t>Trachyscorpia echinata</t>
  </si>
  <si>
    <t>Trichiuridae</t>
  </si>
  <si>
    <t>Trichiurus lepturus</t>
  </si>
  <si>
    <t>Bigeye grunt</t>
  </si>
  <si>
    <t>5102.1_b</t>
  </si>
  <si>
    <t>4101_j</t>
  </si>
  <si>
    <t>4103.20_b</t>
  </si>
  <si>
    <t>4101_i</t>
  </si>
  <si>
    <r>
      <t>Imports Intensity</t>
    </r>
    <r>
      <rPr>
        <sz val="10"/>
        <color indexed="9"/>
        <rFont val="Arial"/>
        <family val="2"/>
      </rPr>
      <t xml:space="preserve"> (= Production Intensity W)</t>
    </r>
  </si>
  <si>
    <t>Import Quantity</t>
  </si>
  <si>
    <t>Production Intensity N</t>
  </si>
  <si>
    <t>[gha t-1]</t>
  </si>
  <si>
    <t>Intensity of Fishmeal Fish</t>
  </si>
  <si>
    <t>Extraction Rate of Fishmeal</t>
  </si>
  <si>
    <t>Intensity of Fishmeal</t>
  </si>
  <si>
    <t>Production Intensity W</t>
  </si>
  <si>
    <t>PPE N</t>
  </si>
  <si>
    <t>PPE W</t>
  </si>
  <si>
    <t>Effective PPR N</t>
  </si>
  <si>
    <t>Effective PPR W</t>
  </si>
  <si>
    <t>Yield N</t>
  </si>
  <si>
    <t>Yield W</t>
  </si>
  <si>
    <t>South American silver porgy</t>
  </si>
  <si>
    <t>Haliotis spp</t>
  </si>
  <si>
    <t>Organo inorganic &amp; heterocyclic compounds</t>
  </si>
  <si>
    <t>Other organic chemicals</t>
  </si>
  <si>
    <t>Atule mate</t>
  </si>
  <si>
    <t>Belone belone</t>
  </si>
  <si>
    <t>Belonidae</t>
  </si>
  <si>
    <t>Yarn of textile fibres,nes incl.paper yarn</t>
  </si>
  <si>
    <t>Zenopsis conchifer</t>
  </si>
  <si>
    <t>Theragra chalcogramma</t>
  </si>
  <si>
    <t>Flatheads nei</t>
  </si>
  <si>
    <t>Geelbek croaker</t>
  </si>
  <si>
    <t>Ghost shark</t>
  </si>
  <si>
    <t>Green rock lobster</t>
  </si>
  <si>
    <t>Greenback horse mackerel</t>
  </si>
  <si>
    <t>Grey rockcod</t>
  </si>
  <si>
    <t>Halfbeaks nei</t>
  </si>
  <si>
    <t>Whey Condensed</t>
  </si>
  <si>
    <t>Whey Fresh</t>
  </si>
  <si>
    <t>Yogh Conc.Or Not</t>
  </si>
  <si>
    <t>5304_c</t>
  </si>
  <si>
    <t>0810.40_c</t>
  </si>
  <si>
    <t>0810.40_d</t>
  </si>
  <si>
    <t>0804.50_b</t>
  </si>
  <si>
    <t>1207.9ak</t>
  </si>
  <si>
    <t>5303ab</t>
  </si>
  <si>
    <t>1904_c</t>
  </si>
  <si>
    <t>5304_b</t>
  </si>
  <si>
    <t>Argentinian sandperch</t>
  </si>
  <si>
    <t>0808.20_b</t>
  </si>
  <si>
    <t>Quinoa</t>
  </si>
  <si>
    <t>1008.90ac</t>
  </si>
  <si>
    <t>Raisins</t>
  </si>
  <si>
    <t>0806.20</t>
  </si>
  <si>
    <t>Rapeseed</t>
  </si>
  <si>
    <t>Rapeseed oil</t>
  </si>
  <si>
    <t>1514_a</t>
  </si>
  <si>
    <t>Rice bran oil</t>
  </si>
  <si>
    <t>1515.90_a</t>
  </si>
  <si>
    <t>Rice, paddy</t>
  </si>
  <si>
    <t>0714.90_bc</t>
  </si>
  <si>
    <t>Rye</t>
  </si>
  <si>
    <t>Rye grass for forage &amp; silage</t>
  </si>
  <si>
    <t>Imports</t>
  </si>
  <si>
    <t>Trailers &amp; oth vehicles not motorized, &amp; part</t>
  </si>
  <si>
    <t>Invalid carriages</t>
  </si>
  <si>
    <t>Aircraft, heavier than air</t>
  </si>
  <si>
    <t>Parts of aircraft,balloons airships</t>
  </si>
  <si>
    <t>Warships of all kinds</t>
  </si>
  <si>
    <t>Paralomis granulosa</t>
  </si>
  <si>
    <t>Paralomis spinosissima</t>
  </si>
  <si>
    <t>Pleuroncodes monodon</t>
  </si>
  <si>
    <t>Japanese hard clam</t>
  </si>
  <si>
    <t>Squillids nei</t>
  </si>
  <si>
    <t>Yellow croaker</t>
  </si>
  <si>
    <t>Goatfishes</t>
  </si>
  <si>
    <t>Largeeye breams</t>
  </si>
  <si>
    <t>Pacific rudderfish</t>
  </si>
  <si>
    <t>Slender rainbow sardine</t>
  </si>
  <si>
    <t>Demand Type</t>
  </si>
  <si>
    <t>Laminaria hyperborea</t>
  </si>
  <si>
    <t>Laminaria japonica</t>
  </si>
  <si>
    <t>Lessonia nigrescens</t>
  </si>
  <si>
    <t>Lessonia spp</t>
  </si>
  <si>
    <t>Lessonia trabeculata</t>
  </si>
  <si>
    <t>Macrocystis spp</t>
  </si>
  <si>
    <t>Phaeophyceae</t>
  </si>
  <si>
    <t>Cow milk, whole, fresh</t>
  </si>
  <si>
    <t>0401.20_a</t>
  </si>
  <si>
    <t>Duck meat</t>
  </si>
  <si>
    <t>Epinephelus goreensis</t>
  </si>
  <si>
    <t>Epinephelus guttatus</t>
  </si>
  <si>
    <t>Epinephelus marginatus</t>
  </si>
  <si>
    <t>Epinephelus morio</t>
  </si>
  <si>
    <t>Epinephelus morrhua</t>
  </si>
  <si>
    <t>Ocean Uptake Fraction</t>
  </si>
  <si>
    <t>Snakeheads(=Murrels) nei</t>
  </si>
  <si>
    <t>Netted prochilod</t>
  </si>
  <si>
    <t>Stargazer</t>
  </si>
  <si>
    <t>Toadfishes, etc. nei</t>
  </si>
  <si>
    <t>Veined squid</t>
  </si>
  <si>
    <t>Flat needlefish</t>
  </si>
  <si>
    <t>King soldier bream</t>
  </si>
  <si>
    <t>Malabar trevally</t>
  </si>
  <si>
    <t>Bluespotted seabream</t>
  </si>
  <si>
    <t>Canary seed</t>
  </si>
  <si>
    <t>1008.90ab</t>
  </si>
  <si>
    <t>Carobs</t>
  </si>
  <si>
    <t>Wadding,wicks and textile fabrics for machine</t>
  </si>
  <si>
    <t>Flour of Rye</t>
  </si>
  <si>
    <t>Expected Crop</t>
  </si>
  <si>
    <t>Expected Grass</t>
  </si>
  <si>
    <t>Feed Amount</t>
  </si>
  <si>
    <t>Intensity Crop</t>
  </si>
  <si>
    <t>Epinephelus areolatus</t>
  </si>
  <si>
    <t>Epinephelus chlorostigma</t>
  </si>
  <si>
    <t>Epinephelus coioides</t>
  </si>
  <si>
    <t>Epinephelus fasciatus</t>
  </si>
  <si>
    <t>Atlantic butterfish</t>
  </si>
  <si>
    <t>Atlantic menhaden</t>
  </si>
  <si>
    <t>Atlantic pomfret</t>
  </si>
  <si>
    <t>Beaked redfish</t>
  </si>
  <si>
    <t>Blackfin icefish</t>
  </si>
  <si>
    <t>Tilapias nei</t>
  </si>
  <si>
    <t>Trouts nei</t>
  </si>
  <si>
    <t>Atlantic salmon</t>
  </si>
  <si>
    <t>Barramundi(=Giant seaperch)</t>
  </si>
  <si>
    <t>4103.90_a</t>
  </si>
  <si>
    <t>4102.2_b</t>
  </si>
  <si>
    <t>4102.2_a</t>
  </si>
  <si>
    <t>4103.30_a</t>
  </si>
  <si>
    <t>Protothaca thaca</t>
  </si>
  <si>
    <t>Pseudocardium sybillae</t>
  </si>
  <si>
    <t>Ruditapes decussatus</t>
  </si>
  <si>
    <t>FAO Group</t>
  </si>
  <si>
    <t>Antarctic armless flounder</t>
  </si>
  <si>
    <t>Mancopsetta maculata</t>
  </si>
  <si>
    <t>Antarctic horsefish</t>
  </si>
  <si>
    <t>Zanclorhynchus spinifer</t>
  </si>
  <si>
    <t>Antarctic octopuses</t>
  </si>
  <si>
    <t>Pareledone spp</t>
  </si>
  <si>
    <t>Trematomus spp</t>
  </si>
  <si>
    <t>Dark-belly skate</t>
  </si>
  <si>
    <t>Bathyraja meridionalis</t>
  </si>
  <si>
    <t>Demersal percomorphs nei</t>
  </si>
  <si>
    <t>Diadromous clupeoids nei</t>
  </si>
  <si>
    <t>Dusky catshark</t>
  </si>
  <si>
    <t>Halaelurus canescens</t>
  </si>
  <si>
    <t>Freshwater crustaceans nei</t>
  </si>
  <si>
    <t>Freshwater fishes nei</t>
  </si>
  <si>
    <t>Freshwater gobies nei</t>
  </si>
  <si>
    <t>Freshwater molluscs nei</t>
  </si>
  <si>
    <t>Freshwater prawns, shrimps nei</t>
  </si>
  <si>
    <t>Grenadiers, whiptails nei</t>
  </si>
  <si>
    <t>Coryphaenoides spp</t>
  </si>
  <si>
    <t>Groundfishes nei</t>
  </si>
  <si>
    <t>King crabs nei</t>
  </si>
  <si>
    <t>Lithodes spp</t>
  </si>
  <si>
    <t>Lantern fish</t>
  </si>
  <si>
    <t>Lampanyctus achirus</t>
  </si>
  <si>
    <t>Marine crustaceans nei</t>
  </si>
  <si>
    <t>Marine fishes nei</t>
  </si>
  <si>
    <t>Marine molluscs nei</t>
  </si>
  <si>
    <t>Marine turtles nei</t>
  </si>
  <si>
    <t>Myers' icefish</t>
  </si>
  <si>
    <t>Chionodraco myersi</t>
  </si>
  <si>
    <t>Nichol's lanternfish</t>
  </si>
  <si>
    <t>Gymnoscopelus nicholsi</t>
  </si>
  <si>
    <t>Painted notie</t>
  </si>
  <si>
    <t>Nototheniops larseni</t>
  </si>
  <si>
    <t>Palaemonid shrimps nei</t>
  </si>
  <si>
    <t>Parachaenichthys georgianus</t>
  </si>
  <si>
    <t>Pelagic fishes nei</t>
  </si>
  <si>
    <t>Pelagic percomorphs nei</t>
  </si>
  <si>
    <t>Plunderfish</t>
  </si>
  <si>
    <t>Pogonophryne permitini</t>
  </si>
  <si>
    <t>Red stone crab</t>
  </si>
  <si>
    <t>Paralomis aculeata</t>
  </si>
  <si>
    <t>River and lake turtles nei</t>
  </si>
  <si>
    <t>Sea urchins, etc. nei</t>
  </si>
  <si>
    <t>Echinoidea</t>
  </si>
  <si>
    <t>Slickheads nei</t>
  </si>
  <si>
    <t>Alepocephalus spp</t>
  </si>
  <si>
    <t>Southern opah</t>
  </si>
  <si>
    <t>Lampris immaculatus</t>
  </si>
  <si>
    <t>Toad notie</t>
  </si>
  <si>
    <t>Nototheniops mizops</t>
  </si>
  <si>
    <t>Triangular rockcod</t>
  </si>
  <si>
    <t>Notothenia acuta</t>
  </si>
  <si>
    <t>Yellowfin notie</t>
  </si>
  <si>
    <t>Nototheniops nudifrons</t>
  </si>
  <si>
    <t>Alligator mississippiensis</t>
  </si>
  <si>
    <t>Rays and skates nei</t>
  </si>
  <si>
    <t>Red rock lobster</t>
  </si>
  <si>
    <t>Scaly gurnard</t>
  </si>
  <si>
    <t>Lepidotrigla brachyoptera</t>
  </si>
  <si>
    <t>Short neck clams nei</t>
  </si>
  <si>
    <t>Silver warehou</t>
  </si>
  <si>
    <t>Slimeheads nei</t>
  </si>
  <si>
    <t>Smalleye moray cod</t>
  </si>
  <si>
    <t>Spotted estuary smooth-hound</t>
  </si>
  <si>
    <t>Spotted gurnard</t>
  </si>
  <si>
    <t>Stutchbury's venus</t>
  </si>
  <si>
    <t>Indian scad</t>
  </si>
  <si>
    <t>Indo-Pacific tarpon</t>
  </si>
  <si>
    <t>Shiba shrimp</t>
  </si>
  <si>
    <t>Whitespotted conger</t>
  </si>
  <si>
    <t>Yellow striped flounder</t>
  </si>
  <si>
    <t>Red starfish</t>
  </si>
  <si>
    <t>Tiger shark</t>
  </si>
  <si>
    <t>Rhabdosargus globiceps</t>
  </si>
  <si>
    <t>Rhabdosargus haffara</t>
  </si>
  <si>
    <t>Belgium</t>
  </si>
  <si>
    <t>Selachimorpha (Pleurotremata)</t>
  </si>
  <si>
    <t>Laemonema longipes</t>
  </si>
  <si>
    <t>Neopagetopsis ionah</t>
  </si>
  <si>
    <t>Chlorophthalmidae</t>
  </si>
  <si>
    <t>Electrona carlsbergi</t>
  </si>
  <si>
    <t>Trematomus eulepidotus</t>
  </si>
  <si>
    <t>UN_Country_Code</t>
  </si>
  <si>
    <t>Afghanistan</t>
  </si>
  <si>
    <t>Albania</t>
  </si>
  <si>
    <t>Algeria</t>
  </si>
  <si>
    <t>American Samoa</t>
  </si>
  <si>
    <t>Andorra</t>
  </si>
  <si>
    <t>Angola</t>
  </si>
  <si>
    <t>Antigua and Barbuda</t>
  </si>
  <si>
    <t>Anguilla</t>
  </si>
  <si>
    <t>Argentina</t>
  </si>
  <si>
    <t>Armenia</t>
  </si>
  <si>
    <t>Aruba</t>
  </si>
  <si>
    <t>Australia</t>
  </si>
  <si>
    <t>Austria</t>
  </si>
  <si>
    <t>Azerbaijan</t>
  </si>
  <si>
    <t>Bahamas</t>
  </si>
  <si>
    <t>Bahrain</t>
  </si>
  <si>
    <t>Bangladesh</t>
  </si>
  <si>
    <t>Barbados</t>
  </si>
  <si>
    <t>Belarus</t>
  </si>
  <si>
    <t>Belgium-Luxembourg</t>
  </si>
  <si>
    <t>Belize</t>
  </si>
  <si>
    <t>Benin</t>
  </si>
  <si>
    <t>Bermuda</t>
  </si>
  <si>
    <t>Bhutan</t>
  </si>
  <si>
    <t>Bolivia</t>
  </si>
  <si>
    <t>Bosnia and Herzegovina</t>
  </si>
  <si>
    <t>Botswana</t>
  </si>
  <si>
    <t>Brazil</t>
  </si>
  <si>
    <t>British Indian Ocean Ter</t>
  </si>
  <si>
    <t>British Virgin Islands</t>
  </si>
  <si>
    <t>Brunei Darussalam</t>
  </si>
  <si>
    <t>Bulgaria</t>
  </si>
  <si>
    <t>Burkina Faso</t>
  </si>
  <si>
    <t>Burundi</t>
  </si>
  <si>
    <t>Cambodia</t>
  </si>
  <si>
    <t>Cameroon</t>
  </si>
  <si>
    <t>Canada</t>
  </si>
  <si>
    <t>Cayman Islands</t>
  </si>
  <si>
    <t>Central African Republic</t>
  </si>
  <si>
    <t>Chad</t>
  </si>
  <si>
    <t>Channel Islands</t>
  </si>
  <si>
    <t>Chile</t>
  </si>
  <si>
    <t>China</t>
  </si>
  <si>
    <t>Christmas Island</t>
  </si>
  <si>
    <t>Cocos (Keeling) Islands</t>
  </si>
  <si>
    <t>Colombia</t>
  </si>
  <si>
    <t>Comoros</t>
  </si>
  <si>
    <t>Congo</t>
  </si>
  <si>
    <t>Congo, Democratic Republic of</t>
  </si>
  <si>
    <t>Cook Islands</t>
  </si>
  <si>
    <t>Costa Rica</t>
  </si>
  <si>
    <t>Côte d'Ivoire</t>
  </si>
  <si>
    <t>Croatia</t>
  </si>
  <si>
    <t>Cuba</t>
  </si>
  <si>
    <t>Cyprus</t>
  </si>
  <si>
    <t>Czech Republic</t>
  </si>
  <si>
    <t>Czechoslovakia</t>
  </si>
  <si>
    <t>Denmark</t>
  </si>
  <si>
    <t>Djibouti</t>
  </si>
  <si>
    <t>Dominica</t>
  </si>
  <si>
    <t>Dominican Republic</t>
  </si>
  <si>
    <t>Ecuador</t>
  </si>
  <si>
    <t>Egypt</t>
  </si>
  <si>
    <t>El Salvador</t>
  </si>
  <si>
    <t>Equatorial Guinea</t>
  </si>
  <si>
    <t>Eritrea</t>
  </si>
  <si>
    <t>Estonia</t>
  </si>
  <si>
    <t>Ethiopia</t>
  </si>
  <si>
    <t>Ethiopia PDR</t>
  </si>
  <si>
    <t>Falkland Islands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</si>
  <si>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</si>
  <si>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</si>
  <si>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</si>
  <si>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</si>
  <si>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</si>
  <si>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</si>
  <si>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</si>
  <si>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</si>
  <si>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</si>
  <si>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</si>
  <si>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</si>
  <si>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</si>
  <si>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</si>
  <si>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</si>
  <si>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</si>
  <si>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</si>
  <si>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</si>
  <si>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</si>
  <si>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Guinea</t>
  </si>
  <si>
    <t>Guinea-Bissau</t>
  </si>
  <si>
    <t>Guyana</t>
  </si>
  <si>
    <t>Haiti</t>
  </si>
  <si>
    <t>Holy See</t>
  </si>
  <si>
    <t>Honduras</t>
  </si>
  <si>
    <t>Hungary</t>
  </si>
  <si>
    <t>Iceland</t>
  </si>
  <si>
    <t>India</t>
  </si>
  <si>
    <t>Indonesia</t>
  </si>
  <si>
    <t>Iran, Islamic Republic of</t>
  </si>
  <si>
    <t>Iraq</t>
  </si>
  <si>
    <t>Ireland</t>
  </si>
  <si>
    <t>Isle of Man</t>
  </si>
  <si>
    <t>Israel</t>
  </si>
  <si>
    <t>Italy</t>
  </si>
  <si>
    <t>Jamaica</t>
  </si>
  <si>
    <t>Japan</t>
  </si>
  <si>
    <t>Jordan</t>
  </si>
  <si>
    <t>Kazakhstan</t>
  </si>
  <si>
    <t>Kenya</t>
  </si>
  <si>
    <t>Kiribati</t>
  </si>
  <si>
    <t>Korea, Democratic People's Republic of</t>
  </si>
  <si>
    <t>Korea, Republic of</t>
  </si>
  <si>
    <t>Kuwait</t>
  </si>
  <si>
    <t>Kyrgyzstan</t>
  </si>
  <si>
    <t>Lao People's Democratic Republic</t>
  </si>
  <si>
    <t>Latvia</t>
  </si>
  <si>
    <t>Lebanon</t>
  </si>
  <si>
    <t>Lesotho</t>
  </si>
  <si>
    <t>Liberia</t>
  </si>
  <si>
    <t>Libyan Arab Jamahiriya</t>
  </si>
  <si>
    <t>Liechtenstein</t>
  </si>
  <si>
    <t>Lithuania</t>
  </si>
  <si>
    <t>Luxembourg</t>
  </si>
  <si>
    <t>Macedonia TFYR</t>
  </si>
  <si>
    <t>Madagascar</t>
  </si>
  <si>
    <t>Malawi</t>
  </si>
  <si>
    <t>Malaysia</t>
  </si>
  <si>
    <t>Maldives</t>
  </si>
  <si>
    <t>Mali</t>
  </si>
  <si>
    <t>Malta</t>
  </si>
  <si>
    <t>Marshall Islands</t>
  </si>
  <si>
    <t>Martinique</t>
  </si>
  <si>
    <t>Mauritania</t>
  </si>
  <si>
    <t>Mauritius</t>
  </si>
  <si>
    <t>Mayotte</t>
  </si>
  <si>
    <t>Mexico</t>
  </si>
  <si>
    <t>Micronesia, Federated States of</t>
  </si>
  <si>
    <t>Moldova</t>
  </si>
  <si>
    <t>Mongolia</t>
  </si>
  <si>
    <t>Montenegro</t>
  </si>
  <si>
    <t>Montserrat</t>
  </si>
  <si>
    <t>Morocco</t>
  </si>
  <si>
    <t>Mozambique</t>
  </si>
  <si>
    <t>Myanmar</t>
  </si>
  <si>
    <t>Namibia</t>
  </si>
  <si>
    <t>Nauru</t>
  </si>
  <si>
    <t>Nepal</t>
  </si>
  <si>
    <t>Netherlands</t>
  </si>
  <si>
    <t>Netherlands Antilles</t>
  </si>
  <si>
    <t>New Caledonia</t>
  </si>
  <si>
    <t>New Zealand</t>
  </si>
  <si>
    <t>Nicaragua</t>
  </si>
  <si>
    <t>Niger</t>
  </si>
  <si>
    <t>Nigeria</t>
  </si>
  <si>
    <t>Niue</t>
  </si>
  <si>
    <t>Norfolk Island</t>
  </si>
  <si>
    <t>Northern Mariana Islands</t>
  </si>
  <si>
    <t>Norway</t>
  </si>
  <si>
    <t>Occupied Palestinian Territory</t>
  </si>
  <si>
    <t>Oman</t>
  </si>
  <si>
    <t>Pacific Islands Trust</t>
  </si>
  <si>
    <t>Pakistan</t>
  </si>
  <si>
    <t>Palau</t>
  </si>
  <si>
    <t>Panama</t>
  </si>
  <si>
    <t>Papua New Guinea</t>
  </si>
  <si>
    <t>Paraguay</t>
  </si>
  <si>
    <t>Peru</t>
  </si>
  <si>
    <t>Philippines</t>
  </si>
  <si>
    <t>Pitcairn</t>
  </si>
  <si>
    <t>Poland</t>
  </si>
  <si>
    <t>Portugal</t>
  </si>
  <si>
    <t>Puerto Rico</t>
  </si>
  <si>
    <t>Qatar</t>
  </si>
  <si>
    <t>Réunion</t>
  </si>
  <si>
    <t>Romania</t>
  </si>
  <si>
    <t>Russian Federation</t>
  </si>
  <si>
    <t>Rwanda</t>
  </si>
  <si>
    <t>Saint Helena</t>
  </si>
  <si>
    <t>Saint Kitts and Nevis</t>
  </si>
  <si>
    <t>Saint Lucia</t>
  </si>
  <si>
    <t>Saint Pierre and Miquelon</t>
  </si>
  <si>
    <t>Saint Vincent and Grenadines</t>
  </si>
  <si>
    <t>Samoa</t>
  </si>
  <si>
    <t>San Marino</t>
  </si>
  <si>
    <t>Sao Tome and Principe</t>
  </si>
  <si>
    <t>Saudi Arabia</t>
  </si>
  <si>
    <t>Senegal</t>
  </si>
  <si>
    <t>Serbia</t>
  </si>
  <si>
    <t>Serbia and Montenegro</t>
  </si>
  <si>
    <t>Seychelles</t>
  </si>
  <si>
    <t>Sierra Leone</t>
  </si>
  <si>
    <t>Singapore</t>
  </si>
  <si>
    <t>Slovakia</t>
  </si>
  <si>
    <t>Slovenia</t>
  </si>
  <si>
    <t>Solomon Islands</t>
  </si>
  <si>
    <t>Somalia</t>
  </si>
  <si>
    <t>South Africa</t>
  </si>
  <si>
    <t>Spain</t>
  </si>
  <si>
    <t>Sri Lanka</t>
  </si>
  <si>
    <t>Sudan</t>
  </si>
  <si>
    <t>Suriname</t>
  </si>
  <si>
    <t>Swaziland</t>
  </si>
  <si>
    <t>Sweden</t>
  </si>
  <si>
    <t>Switzerland</t>
  </si>
  <si>
    <t>Syrian Arab Republic</t>
  </si>
  <si>
    <t>Taiwan</t>
  </si>
  <si>
    <t>Tajikistan</t>
  </si>
  <si>
    <t>Tanzania, United Republic of</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</si>
  <si>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</si>
  <si>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</si>
  <si>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</si>
  <si>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</si>
  <si>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</si>
  <si>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</si>
  <si>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</si>
  <si>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</si>
  <si>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</si>
  <si>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</si>
  <si>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</si>
  <si>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</si>
  <si>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</si>
  <si>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</si>
  <si>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</si>
  <si>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States of America</t>
  </si>
  <si>
    <t>Uruguay</t>
  </si>
  <si>
    <t>USSR</t>
  </si>
  <si>
    <t>Uzbekistan</t>
  </si>
  <si>
    <t>Vanuatu</t>
  </si>
  <si>
    <t>Venezuela, Bolivarian Republic of</t>
  </si>
  <si>
    <t>Viet Nam</t>
  </si>
  <si>
    <t>Wake Island</t>
  </si>
  <si>
    <t>Wallis and Futuna Islands</t>
  </si>
  <si>
    <t>Western Sahara</t>
  </si>
  <si>
    <t>Yemen</t>
  </si>
  <si>
    <t>Yugoslav SFR</t>
  </si>
  <si>
    <t>Zambia</t>
  </si>
  <si>
    <t>Zimbabwe</t>
  </si>
  <si>
    <t>Items in orange cells at bottom added specifically for livestock feed calculations</t>
  </si>
  <si>
    <t>P/S</t>
  </si>
  <si>
    <t>TCF</t>
  </si>
  <si>
    <t>EXTR</t>
  </si>
  <si>
    <t>p</t>
  </si>
  <si>
    <t>s</t>
  </si>
  <si>
    <t>Item</t>
  </si>
  <si>
    <t>Canary Seed</t>
  </si>
  <si>
    <t>Mixed Grain</t>
  </si>
  <si>
    <t>Cereals nes</t>
  </si>
  <si>
    <t>Yautia (Cocoyam)</t>
  </si>
  <si>
    <t>Taro (Coco Yam)</t>
  </si>
  <si>
    <t>Sugar Beets</t>
  </si>
  <si>
    <t>Sugar Crops nes</t>
  </si>
  <si>
    <t>Beans, Dry</t>
  </si>
  <si>
    <t>Broad Beans, Dry</t>
  </si>
  <si>
    <t>Peas, Dry</t>
  </si>
  <si>
    <t>Chick-Peas</t>
  </si>
  <si>
    <t>Cow Peas, Dry</t>
  </si>
  <si>
    <t>Pigeon Peas</t>
  </si>
  <si>
    <t>Bambara Beans</t>
  </si>
  <si>
    <t>Brazil Nuts</t>
  </si>
  <si>
    <t>Cashew Nuts</t>
  </si>
  <si>
    <t>Almonds</t>
  </si>
  <si>
    <t>Walnuts</t>
  </si>
  <si>
    <t>Hazelnuts (Filberts)</t>
  </si>
  <si>
    <t>Areca Nuts (Betel)</t>
  </si>
  <si>
    <t>Nuts nes</t>
  </si>
  <si>
    <t>Groundnuts in Shell</t>
  </si>
  <si>
    <t>Oil Palm Fruit</t>
  </si>
  <si>
    <t>Castor Beans</t>
  </si>
  <si>
    <t>Jojoba Seeds</t>
  </si>
  <si>
    <t>Safflower Seed</t>
  </si>
  <si>
    <t>Sesame Seed</t>
  </si>
  <si>
    <t>Mustard Seed</t>
  </si>
  <si>
    <t>Poppy Seed</t>
  </si>
  <si>
    <t>Tallowtree Seeds</t>
  </si>
  <si>
    <t>Kapok Fruit</t>
  </si>
  <si>
    <t>Oilseeds nes</t>
  </si>
  <si>
    <t>Cabbages</t>
  </si>
  <si>
    <t>Lettuce</t>
  </si>
  <si>
    <t>Cauliflower</t>
  </si>
  <si>
    <t>Pumpkins, Squash, Gourds</t>
  </si>
  <si>
    <t>Cucumbers and Gherkins</t>
  </si>
  <si>
    <t>Eggplants</t>
  </si>
  <si>
    <t>Chillies&amp;Peppers, Green</t>
  </si>
  <si>
    <t>Onions+Shallots, Green</t>
  </si>
  <si>
    <t>Onions, Dry</t>
  </si>
  <si>
    <t>Leeks and Oth.Alliac.Veg</t>
  </si>
  <si>
    <t>Beans, Green</t>
  </si>
  <si>
    <t>Peas, Green</t>
  </si>
  <si>
    <t>Broad Beans, Green</t>
  </si>
  <si>
    <t>String Beans</t>
  </si>
  <si>
    <t>Carrots</t>
  </si>
  <si>
    <t>Green Corn (Maize)</t>
  </si>
  <si>
    <t>Mushrooms</t>
  </si>
  <si>
    <t>Chicory Roots</t>
  </si>
  <si>
    <t>Vegetables Fresh nes</t>
  </si>
  <si>
    <t>Tang.Mand.Clement.Satsma</t>
  </si>
  <si>
    <t>Lemons and Limes</t>
  </si>
  <si>
    <t>Grapefruit and Pomelos</t>
  </si>
  <si>
    <t>Citrus Fruit nes</t>
  </si>
  <si>
    <t>Sour Cherries</t>
  </si>
  <si>
    <t>Peaches and Nectarines</t>
  </si>
  <si>
    <t>Plums</t>
  </si>
  <si>
    <t>Stone Fruit nes, Fresh</t>
  </si>
  <si>
    <t>Berries nes</t>
  </si>
  <si>
    <t>Cantaloupes&amp;oth Melons</t>
  </si>
  <si>
    <t>Mangoes</t>
  </si>
  <si>
    <t>Kiwi Fruit</t>
  </si>
  <si>
    <t>Fruit Tropical Fresh nes</t>
  </si>
  <si>
    <t>Fruit Fresh nes</t>
  </si>
  <si>
    <t>Maize for Forage+Silage</t>
  </si>
  <si>
    <t>Sorghum for Forage+Silag</t>
  </si>
  <si>
    <t>Rye Grass,Forage+Silage</t>
  </si>
  <si>
    <t>Grasses nes,Forage+Silag</t>
  </si>
  <si>
    <t>Clover for Forage+Silage</t>
  </si>
  <si>
    <t>Alfalfa for Forage+Silag</t>
  </si>
  <si>
    <t>Green Oilseeds fr Fodder</t>
  </si>
  <si>
    <t>Leguminous nes,For+Sil</t>
  </si>
  <si>
    <t>Cabbage for Fodder</t>
  </si>
  <si>
    <t>Mixed Grasses&amp;Legumes</t>
  </si>
  <si>
    <t>Carrots for Fodder</t>
  </si>
  <si>
    <t>Forage Products nes</t>
  </si>
  <si>
    <t>Vegetables+Roots,Fodder</t>
  </si>
  <si>
    <t>Coffee, Green</t>
  </si>
  <si>
    <t>Tea nes</t>
  </si>
  <si>
    <t>Pepper,White/Long/Black</t>
  </si>
  <si>
    <t>Pimento, Allspice</t>
  </si>
  <si>
    <t>Cinnamon (Canella)</t>
  </si>
  <si>
    <t>Cloves, Whole+Stems</t>
  </si>
  <si>
    <t>Nutmeg, Mace, Cardamons</t>
  </si>
  <si>
    <t>Anise, Badian, Fennel</t>
  </si>
  <si>
    <t>Spices nes</t>
  </si>
  <si>
    <t>Pyrethrum, Dried Flowers</t>
  </si>
  <si>
    <t>Flax Fibre and Tow</t>
  </si>
  <si>
    <t>Hemp Fibre and Tow</t>
  </si>
  <si>
    <t>Jute-Like Fibres</t>
  </si>
  <si>
    <t>Agave Fibres nes</t>
  </si>
  <si>
    <t>Abaca (Manila Hemp)</t>
  </si>
  <si>
    <t>Fibre Crops nes</t>
  </si>
  <si>
    <t>Tobacco Leaves</t>
  </si>
  <si>
    <t>Natural Rubber</t>
  </si>
  <si>
    <t>Natural Gums</t>
  </si>
  <si>
    <r>
      <t>m</t>
    </r>
    <r>
      <rPr>
        <vertAlign val="superscript"/>
        <sz val="10"/>
        <rFont val="Arial"/>
        <family val="2"/>
      </rPr>
      <t>3</t>
    </r>
    <r>
      <rPr>
        <sz val="10"/>
        <rFont val="Arial"/>
        <family val="2"/>
      </rPr>
      <t/>
    </r>
  </si>
  <si>
    <t>Recovered Fibre Pulp</t>
  </si>
  <si>
    <t>Uncoated Mechanical</t>
  </si>
  <si>
    <t>Uncoated Woodfree</t>
  </si>
  <si>
    <t>Coated Papers</t>
  </si>
  <si>
    <t>Case Materials</t>
  </si>
  <si>
    <t>Folding Boxboard</t>
  </si>
  <si>
    <t>Chips and Particles</t>
  </si>
  <si>
    <t>Wood Residues</t>
  </si>
  <si>
    <t>Wrapping Papers</t>
  </si>
  <si>
    <t>Other Papers Packaging</t>
  </si>
  <si>
    <t>Unbleached Sulphite Pulp</t>
  </si>
  <si>
    <t>Bleached Sulphite Pulp</t>
  </si>
  <si>
    <t>Unbleached Sulphate Pulp</t>
  </si>
  <si>
    <t>Bleached Sulphate Pulp</t>
  </si>
  <si>
    <t>Other Fibre Pulp</t>
  </si>
  <si>
    <t>Recovered Paper</t>
  </si>
  <si>
    <t>Household+Sanitary Paper</t>
  </si>
  <si>
    <t>Wrapg+Packg Paper+Board</t>
  </si>
  <si>
    <t>Paper+Paperboard NES</t>
  </si>
  <si>
    <t>Livestock Feed Demands</t>
  </si>
  <si>
    <t>Haberl et al, PNAS, Table 9</t>
  </si>
  <si>
    <t>S. and C. Asia</t>
  </si>
  <si>
    <t>E. Europe</t>
  </si>
  <si>
    <t>N. Africa and W. Asia</t>
  </si>
  <si>
    <t>N. America and Oceania</t>
  </si>
  <si>
    <t>W. Europe</t>
  </si>
  <si>
    <t>Sub-Saharan Africa</t>
  </si>
  <si>
    <t>Latin America and the Caribbean</t>
  </si>
  <si>
    <t>E. Asia</t>
  </si>
  <si>
    <t>SCA</t>
  </si>
  <si>
    <t>EE</t>
  </si>
  <si>
    <t>NAWA</t>
  </si>
  <si>
    <t>NAO</t>
  </si>
  <si>
    <t>WE</t>
  </si>
  <si>
    <t>SSA</t>
  </si>
  <si>
    <t>LAC</t>
  </si>
  <si>
    <t>EA</t>
  </si>
  <si>
    <t>WORLD</t>
  </si>
  <si>
    <t>Species-specific daily feed intake (kg DM/head/day)</t>
  </si>
  <si>
    <t>Rabbits</t>
  </si>
  <si>
    <t>Other rodents</t>
  </si>
  <si>
    <t>Other camelids</t>
  </si>
  <si>
    <t xml:space="preserve">Other live animals </t>
  </si>
  <si>
    <t>Crop Residue Feed Conversion Ratio  2008 4 7 YW</t>
  </si>
  <si>
    <t>Soruce:</t>
  </si>
  <si>
    <t>http://www.pnas.org/cgi/content/full/0704243104/DC1</t>
  </si>
  <si>
    <t>Y = Correct</t>
  </si>
  <si>
    <t>N = Error</t>
  </si>
  <si>
    <t>Ci = Check Column i</t>
  </si>
  <si>
    <t>Crops</t>
  </si>
  <si>
    <t>Latin America</t>
  </si>
  <si>
    <t>N. Africa W. Asia</t>
  </si>
  <si>
    <t>N. America Oceania</t>
  </si>
  <si>
    <t>Sub-Sahara N. Africa</t>
  </si>
  <si>
    <t>2010 02 19</t>
  </si>
  <si>
    <t>C1</t>
  </si>
  <si>
    <t>C2</t>
  </si>
  <si>
    <t>C3</t>
  </si>
  <si>
    <t>C4</t>
  </si>
  <si>
    <t>C5</t>
  </si>
  <si>
    <t>C6</t>
  </si>
  <si>
    <t>C7</t>
  </si>
  <si>
    <t>C8</t>
  </si>
  <si>
    <t>a) Harvest factors. Crop residue (g DM/yr) = primary crop harvest (g DM/yr) * harvest factor</t>
  </si>
  <si>
    <t>Castor beans</t>
  </si>
  <si>
    <t>Fodder crops</t>
  </si>
  <si>
    <t>Permanent crops</t>
  </si>
  <si>
    <t>Cereals</t>
  </si>
  <si>
    <t>Sugar crops nes</t>
  </si>
  <si>
    <t>Other pulses</t>
  </si>
  <si>
    <t>Other oil crops</t>
  </si>
  <si>
    <t>Rape seed</t>
  </si>
  <si>
    <t>c) Share of Recovered Crop Residues used as Feed</t>
  </si>
  <si>
    <r>
      <t>c) Aboveground/belowground NPP ratios and loss factors for the calculation of NPP</t>
    </r>
    <r>
      <rPr>
        <b/>
        <vertAlign val="subscript"/>
        <sz val="8.5"/>
        <color indexed="8"/>
        <rFont val="Inherit"/>
      </rPr>
      <t>act</t>
    </r>
    <r>
      <rPr>
        <b/>
        <sz val="8.8000000000000007"/>
        <color indexed="8"/>
        <rFont val="Inherit"/>
      </rPr>
      <t xml:space="preserve"> on cropland from NPP</t>
    </r>
    <r>
      <rPr>
        <b/>
        <vertAlign val="subscript"/>
        <sz val="8.5"/>
        <color indexed="8"/>
        <rFont val="Inherit"/>
      </rPr>
      <t>h</t>
    </r>
  </si>
  <si>
    <t>Least developed countries</t>
  </si>
  <si>
    <t>Developing countries</t>
  </si>
  <si>
    <t>Transition markets</t>
  </si>
  <si>
    <t>Industrialized countries</t>
  </si>
  <si>
    <t>d) Calculation Results: Crop Residue Feed Conversion Ratio</t>
  </si>
  <si>
    <r>
      <t>Unaccounted NPP/NPP</t>
    </r>
    <r>
      <rPr>
        <b/>
        <vertAlign val="subscript"/>
        <sz val="8.5"/>
        <color indexed="8"/>
        <rFont val="Inherit"/>
      </rPr>
      <t>h</t>
    </r>
  </si>
  <si>
    <r>
      <t>Belowground NPP/ANPP</t>
    </r>
    <r>
      <rPr>
        <b/>
        <vertAlign val="subscript"/>
        <sz val="8.5"/>
        <color indexed="8"/>
        <rFont val="Inherit"/>
      </rPr>
      <t>act</t>
    </r>
  </si>
  <si>
    <t>Feed Region</t>
  </si>
  <si>
    <t>Monaco</t>
  </si>
  <si>
    <t>Pacific Islands</t>
  </si>
  <si>
    <t>US Virgin Islands</t>
  </si>
  <si>
    <t>Average NPP of grazing land</t>
  </si>
  <si>
    <t>Data from Zaks, D. et al 2007. From Miami to Madison: Investigating the relationship between climate and terrestrial net primary production. Global Biogeochem Cycles, 21.</t>
  </si>
  <si>
    <t>Name (GFN)</t>
  </si>
  <si>
    <t>Country Name</t>
  </si>
  <si>
    <t>Pasture NPP</t>
  </si>
  <si>
    <t>Pasture Area</t>
  </si>
  <si>
    <t>[t dm ha-1 yr-1]</t>
  </si>
  <si>
    <t>[1000 ha]</t>
  </si>
  <si>
    <t>Byelarus</t>
  </si>
  <si>
    <t>Brunei</t>
  </si>
  <si>
    <t>CÃ´te d'Ivoire</t>
  </si>
  <si>
    <t>Myanmar (Burma)</t>
  </si>
  <si>
    <t>RÃ©union</t>
  </si>
  <si>
    <t>United States</t>
  </si>
  <si>
    <t>EEZArea all land</t>
  </si>
  <si>
    <t>Disputed Zone 2</t>
  </si>
  <si>
    <t>Disputed Zone 3</t>
  </si>
  <si>
    <t>Disputed Zone 4</t>
  </si>
  <si>
    <t>Disputed Zone 5</t>
  </si>
  <si>
    <t>Disputed Zone 6</t>
  </si>
  <si>
    <t>Germany (Baltic Sea)</t>
  </si>
  <si>
    <t>Germany (North Sea)</t>
  </si>
  <si>
    <t>High Seas</t>
  </si>
  <si>
    <t>efctot</t>
  </si>
  <si>
    <t>bctot</t>
  </si>
  <si>
    <t>pop</t>
  </si>
  <si>
    <t>Aquaculture Grouping</t>
  </si>
  <si>
    <t>Fish Meal Intensity</t>
  </si>
  <si>
    <t>Fish Oil Intensity</t>
  </si>
  <si>
    <t>Remaining Feed Intensity</t>
  </si>
  <si>
    <t>Marine Shrimp</t>
  </si>
  <si>
    <t>Eel</t>
  </si>
  <si>
    <t>Caulerpa seaweeds</t>
  </si>
  <si>
    <t>Freshwater Crustaceans</t>
  </si>
  <si>
    <t>Eucheuma seaweeds nei</t>
  </si>
  <si>
    <t>Fusiform sargassum</t>
  </si>
  <si>
    <t>Harpoon seaweeds</t>
  </si>
  <si>
    <t>Spirulina maxima</t>
  </si>
  <si>
    <t>Spirulina platensis</t>
  </si>
  <si>
    <t>Unicell. Chlorella green alga</t>
  </si>
  <si>
    <t>Wakame nei</t>
  </si>
  <si>
    <t>Zanzibar weed</t>
  </si>
  <si>
    <t>TCF: FAO Technical Conversion Factors documentation. Downloaded from http://www.fao.org/es/ess/tcf.asp June 2011</t>
  </si>
  <si>
    <t>Level</t>
  </si>
  <si>
    <t>Pigskins fresh</t>
  </si>
  <si>
    <t>Honey, natural</t>
  </si>
  <si>
    <t>Karite nuts (sheanuts)</t>
  </si>
  <si>
    <t>Pig Meat</t>
  </si>
  <si>
    <t>Parent code</t>
  </si>
  <si>
    <t>Price</t>
  </si>
  <si>
    <t>a</t>
  </si>
  <si>
    <t>b</t>
  </si>
  <si>
    <t>c</t>
  </si>
  <si>
    <t>d</t>
  </si>
  <si>
    <t>e</t>
  </si>
  <si>
    <t>f</t>
  </si>
  <si>
    <t>g</t>
  </si>
  <si>
    <t>h</t>
  </si>
  <si>
    <t>i</t>
  </si>
  <si>
    <t>Top Parent</t>
  </si>
  <si>
    <t>Animals live Nes</t>
  </si>
  <si>
    <t>Geese and Guinea Fowls</t>
  </si>
  <si>
    <t>Offals other camlids</t>
  </si>
  <si>
    <t>Pigeons, Other birds</t>
  </si>
  <si>
    <t>Rabbits and Hares</t>
  </si>
  <si>
    <t>Y</t>
  </si>
  <si>
    <r>
      <t xml:space="preserve">b) Recovery rates: used crop residues (g DM) = available residues (g DM) </t>
    </r>
    <r>
      <rPr>
        <sz val="10"/>
        <rFont val="Symbol"/>
        <family val="1"/>
        <charset val="2"/>
      </rPr>
      <t>´</t>
    </r>
    <r>
      <rPr>
        <sz val="10"/>
        <rFont val="Arial"/>
        <family val="2"/>
      </rPr>
      <t xml:space="preserve"> recovery rate</t>
    </r>
  </si>
  <si>
    <t>N</t>
  </si>
  <si>
    <t>Inter-temporal yield factor</t>
  </si>
  <si>
    <t>IYF</t>
  </si>
  <si>
    <r>
      <t>[Mt CO</t>
    </r>
    <r>
      <rPr>
        <vertAlign val="subscript"/>
        <sz val="10"/>
        <color indexed="23"/>
        <rFont val="Arial"/>
        <family val="2"/>
      </rPr>
      <t>2</t>
    </r>
    <r>
      <rPr>
        <sz val="10"/>
        <color indexed="23"/>
        <rFont val="Arial"/>
        <family val="2"/>
      </rPr>
      <t xml:space="preserve"> (GWh)</t>
    </r>
    <r>
      <rPr>
        <vertAlign val="superscript"/>
        <sz val="10"/>
        <color indexed="23"/>
        <rFont val="Arial"/>
        <family val="2"/>
      </rPr>
      <t>-1</t>
    </r>
    <r>
      <rPr>
        <sz val="10"/>
        <color indexed="23"/>
        <rFont val="Arial"/>
        <family val="2"/>
      </rPr>
      <t>]</t>
    </r>
  </si>
  <si>
    <r>
      <t>(BC - EF</t>
    </r>
    <r>
      <rPr>
        <vertAlign val="subscript"/>
        <sz val="10"/>
        <rFont val="Arial"/>
        <family val="2"/>
      </rPr>
      <t>P</t>
    </r>
    <r>
      <rPr>
        <sz val="10"/>
        <rFont val="Arial"/>
        <family val="2"/>
      </rPr>
      <t>)</t>
    </r>
  </si>
  <si>
    <r>
      <t>(BC - EF</t>
    </r>
    <r>
      <rPr>
        <vertAlign val="subscript"/>
        <sz val="10"/>
        <rFont val="Arial"/>
        <family val="2"/>
      </rPr>
      <t>C</t>
    </r>
    <r>
      <rPr>
        <sz val="10"/>
        <rFont val="Arial"/>
        <family val="2"/>
      </rPr>
      <t>)</t>
    </r>
  </si>
  <si>
    <t>Efc-BC</t>
  </si>
  <si>
    <t>batch_id</t>
  </si>
  <si>
    <t>year</t>
  </si>
  <si>
    <t>Agar - agar</t>
  </si>
  <si>
    <t>Albacore or longfinned tuna (Thunnus alalunga), fresh or chilled</t>
  </si>
  <si>
    <t>Albacore or longfinned tunas (Thunnus alalunga), frozen</t>
  </si>
  <si>
    <t>Anchovies, prepared or preserved</t>
  </si>
  <si>
    <t>Atlantic and Danube salmon, frozen</t>
  </si>
  <si>
    <t>Bigeye tuna, frozen</t>
  </si>
  <si>
    <t>Bluefin tuna (Thunnus thynnus), fresh or chilled</t>
  </si>
  <si>
    <t>Bluefin tuna (Thunnus thynnus), frozen</t>
  </si>
  <si>
    <t>Bluefin tunas (Thunnus thynnus), live</t>
  </si>
  <si>
    <t>Carp, live</t>
  </si>
  <si>
    <t>Coalfish (=Saithe), fresh or chilled</t>
  </si>
  <si>
    <t>Coalfish (=Saithe), frozen</t>
  </si>
  <si>
    <t>Cod (Gadus spp.), dried, whether or not salted but not smoked</t>
  </si>
  <si>
    <t>Cod (Gadus spp.), fresh or chilled</t>
  </si>
  <si>
    <t>Cod (Gadus spp.), frozen</t>
  </si>
  <si>
    <t>Cod (Gadus spp.), salted or in brine</t>
  </si>
  <si>
    <t>Coral and similar material, unworked or simply prepared</t>
  </si>
  <si>
    <t>Crab, prepared or preserved</t>
  </si>
  <si>
    <t>Crabs, whether in shell or not, frozen</t>
  </si>
  <si>
    <t>Crabs, whether in shell or not, not frozen</t>
  </si>
  <si>
    <t>Cuttlefish and squid, live, fresh or chilled</t>
  </si>
  <si>
    <t>Cuttlefish and squid, other than live, fresh or chilled</t>
  </si>
  <si>
    <t>Dogfish and other sharks, fresh or chilled</t>
  </si>
  <si>
    <t>Dogfish and other sharks, frozen</t>
  </si>
  <si>
    <t>Eels (Anguilla spp.), fresh or chilled</t>
  </si>
  <si>
    <t>Eels (Anguilla spp.), frozen</t>
  </si>
  <si>
    <t>Eels (Anguilla spp.), live</t>
  </si>
  <si>
    <t>Fish fillets, dried, salted or in brine, not smoked</t>
  </si>
  <si>
    <t>Fish livers and roes, dried, smoked, salted or in brine</t>
  </si>
  <si>
    <t>Fish livers and roes, frozen</t>
  </si>
  <si>
    <t>Fish oils, other than liver oils</t>
  </si>
  <si>
    <t>Fish waste</t>
  </si>
  <si>
    <t>Fish-liver oils</t>
  </si>
  <si>
    <t>Fresh or chilled fillets and other fish meat, whether or not minced, nei</t>
  </si>
  <si>
    <t>Fresh or chilled southern bluefin tuna (Thunnus maccoyii)</t>
  </si>
  <si>
    <t>Frozen fish meat, nei</t>
  </si>
  <si>
    <t>Frozen southern bluefin tuna (Thunnus maccoyii)</t>
  </si>
  <si>
    <t>Greenland, Atlantic and Pacific halibut, fresh or chilled</t>
  </si>
  <si>
    <t>Greenland, Atlantic and Pacific halibut, frozen</t>
  </si>
  <si>
    <t>Hake, frozen</t>
  </si>
  <si>
    <t>Herrings (Clupea spp.), fresh or chilled</t>
  </si>
  <si>
    <t>Herrings (Clupea spp.), frozen</t>
  </si>
  <si>
    <t>Herrings, including fillets, smoked</t>
  </si>
  <si>
    <t>Herrings, prepared or preserved</t>
  </si>
  <si>
    <t>Herrings, salted or in brine</t>
  </si>
  <si>
    <t>Livers and roes, fresh or chilled</t>
  </si>
  <si>
    <t>Lobster, prepared or preserved</t>
  </si>
  <si>
    <t>Lobsters (Homarus spp.), whether in shell or not, frozen</t>
  </si>
  <si>
    <t>Mackerel (Scomber spp.), fresh or chilled</t>
  </si>
  <si>
    <t>Mackerel (Scomber spp.), frozen</t>
  </si>
  <si>
    <t>Mackerel, prepared or preserved</t>
  </si>
  <si>
    <t>Meals of fish or crustaceans, molluscs or other aquatic invertebrates, unfit for human consumption</t>
  </si>
  <si>
    <t>Molluscs and aquatic invertebrates, prepared or preserved</t>
  </si>
  <si>
    <t>Mussels, live, fresh or chilled</t>
  </si>
  <si>
    <t>Mussels, other than live, fresh or chilled</t>
  </si>
  <si>
    <t>Others</t>
  </si>
  <si>
    <t>Oils of marine mammals</t>
  </si>
  <si>
    <t>Ornamental fish, live</t>
  </si>
  <si>
    <t>Other crustaceans, prepared or preserved</t>
  </si>
  <si>
    <t>Other crustaceans, whether in shell or not, frozen</t>
  </si>
  <si>
    <t>Other crustaceans, whether in shell or not, not frozen</t>
  </si>
  <si>
    <t>Other fish, dried, whether or not salted but not smoked</t>
  </si>
  <si>
    <t>Other fish, including fillets, smoked</t>
  </si>
  <si>
    <t>Other fish, live</t>
  </si>
  <si>
    <t>Other fish, prepared or preserved</t>
  </si>
  <si>
    <t>Other fish, salted or in brine</t>
  </si>
  <si>
    <t>Other flatfish, fresh or chilled</t>
  </si>
  <si>
    <t>Other flatfish, frozen</t>
  </si>
  <si>
    <t>Other freshwater and saltwater fish, fresh or chilled</t>
  </si>
  <si>
    <t>Other freshwater and saltwater fish, frozen</t>
  </si>
  <si>
    <t>Other molluscs, including sea urchins, sea cucumbers and other aq. invertebrates, live, fresh or chilled</t>
  </si>
  <si>
    <t>Other Pacific salmon, frozen</t>
  </si>
  <si>
    <t>Other salmonidae, fresh or chilled</t>
  </si>
  <si>
    <t>Other salmonidae, frozen</t>
  </si>
  <si>
    <t>Other tunas, fresh or chilled</t>
  </si>
  <si>
    <t>Other tunas, frozen</t>
  </si>
  <si>
    <t>Oysters, live, fresh, chilled, frozen, dried, salted or in brine</t>
  </si>
  <si>
    <t>Plaice (Pleuronectes platessa), fresh or chilled</t>
  </si>
  <si>
    <t>Plaice (Pleuronectes platessa), frozen</t>
  </si>
  <si>
    <t>Rock lobster and other sea crawfish (Palinurus spp., Panulirus spp., Jasus spp.), whether in shell or not, frozen</t>
  </si>
  <si>
    <t>Salmon, prepared or preserved</t>
  </si>
  <si>
    <t>Salmons, including fillets, smoked</t>
  </si>
  <si>
    <t>Sardines, sardinella and brisling or sprats, prepared or preserved</t>
  </si>
  <si>
    <t>Sardines, sardinellas, brislings or sprats, frozen</t>
  </si>
  <si>
    <t>Sauces and preparations therefor; mixed condiments and mixed seasonings, nei</t>
  </si>
  <si>
    <t>Scallops, including queen scallop, live, fresh or chilled</t>
  </si>
  <si>
    <t>Scallops, including queen scallops, other than live, fresh or chilled</t>
  </si>
  <si>
    <t>Sea bass, frozen</t>
  </si>
  <si>
    <t>Seaweeds and other algae</t>
  </si>
  <si>
    <t>Shrimps and prawns, prepared or preserved</t>
  </si>
  <si>
    <t>Shrimps and prawns, whether in shell or not, frozen</t>
  </si>
  <si>
    <t>Skipjack or stripe-bellied bonito, fresh or chilled</t>
  </si>
  <si>
    <t>Skipjack or stripe-bellied bonito, frozen</t>
  </si>
  <si>
    <t>Sockeye salmon(red salmon)(Oncorhynchus nerka) frozen</t>
  </si>
  <si>
    <t>Sole (Solea spp.), fresh or chilled</t>
  </si>
  <si>
    <t>Sole (Solea spp.), frozen</t>
  </si>
  <si>
    <t>Southern bluefin tunas (Thunnus maccoyii), live</t>
  </si>
  <si>
    <t>Swordfish (Xiphias gladius) fillets, frozen</t>
  </si>
  <si>
    <t>Swordfish (Xiphias gladius) fillets, meat, fresh or chilled</t>
  </si>
  <si>
    <t>Swordfish (Xiphias gladius) meat, frozen</t>
  </si>
  <si>
    <t>Swordfish (Xiphias gladius), fresh or chilled</t>
  </si>
  <si>
    <t>Swordfish (Xiphias gladius), frozen</t>
  </si>
  <si>
    <t>Toothfish (Dissostichus spp.) fillets, frozen</t>
  </si>
  <si>
    <t>Toothfish (Dissostichus spp.) fillets, meat, fresh or chilled</t>
  </si>
  <si>
    <t>Toothfish (Dissostichus spp.) meat, frozen</t>
  </si>
  <si>
    <t>Trout (Salmo spp.), fresh or chilled</t>
  </si>
  <si>
    <t>Trout (Salmo spp.), live</t>
  </si>
  <si>
    <t>Trout, frozen</t>
  </si>
  <si>
    <t>Tunas, skipjack and Atlantic bonito, prepared or preserved</t>
  </si>
  <si>
    <t>Yellowfin tunas (Thunnus albacares), fresh or chilled</t>
  </si>
  <si>
    <t>Yellowfin tunas (Thunnus albacares), frozen</t>
  </si>
  <si>
    <t>Other molluscs, including sea urchins, sea cucumbers and other aq. invertebrates, other than live, fresh or chilled</t>
  </si>
  <si>
    <t>Rock lobster and other sea crawfish (Palinurus spp., Panulirus spp., Jasus spp.), whether in shell or not, not frozen</t>
  </si>
  <si>
    <t>Shrimps and prawns, whether in shell or not, not frozen</t>
  </si>
  <si>
    <t>Lobsters (Homarus spp.), whether in shell or not, not frozen</t>
  </si>
  <si>
    <t>Products of animal origin, n.e.s., dead animals, unfit for human consumption</t>
  </si>
  <si>
    <t>constant_forest_increment</t>
  </si>
  <si>
    <t>constant_grazing_npp</t>
  </si>
  <si>
    <t>iyf</t>
  </si>
  <si>
    <t>bioproductive_area</t>
  </si>
  <si>
    <t>Total Non-Pasture Feed</t>
  </si>
  <si>
    <t>Feed Types</t>
  </si>
  <si>
    <t>constant_livestock_residue</t>
  </si>
  <si>
    <t>constant_livestock_demand</t>
  </si>
  <si>
    <t>constant_feed_region</t>
  </si>
  <si>
    <t>const_grazing_npp</t>
  </si>
  <si>
    <t>constant_ag_extr</t>
  </si>
  <si>
    <t>Referenced By:</t>
  </si>
  <si>
    <t>(Crop) Feed Requirement</t>
  </si>
  <si>
    <t>Total Area</t>
  </si>
  <si>
    <t>Land Area</t>
  </si>
  <si>
    <t>[m3 ub ha-1 yr-1]</t>
  </si>
  <si>
    <t>[Constant]</t>
  </si>
  <si>
    <t>[FRA 2010]</t>
  </si>
  <si>
    <t>constant_fish_trophic</t>
  </si>
  <si>
    <t>constant_aquafeed_factors</t>
  </si>
  <si>
    <t>const_area_EEZ</t>
  </si>
  <si>
    <r>
      <t>[t CO</t>
    </r>
    <r>
      <rPr>
        <vertAlign val="subscript"/>
        <sz val="10"/>
        <color indexed="23"/>
        <rFont val="Arial"/>
        <family val="2"/>
      </rPr>
      <t xml:space="preserve">2 </t>
    </r>
    <r>
      <rPr>
        <sz val="10"/>
        <color indexed="23"/>
        <rFont val="Arial"/>
        <family val="2"/>
      </rPr>
      <t>GJ</t>
    </r>
    <r>
      <rPr>
        <vertAlign val="superscript"/>
        <sz val="10"/>
        <color indexed="23"/>
        <rFont val="Arial"/>
        <family val="2"/>
      </rPr>
      <t>-1</t>
    </r>
    <r>
      <rPr>
        <sz val="10"/>
        <color indexed="23"/>
        <rFont val="Arial"/>
        <family val="2"/>
      </rPr>
      <t>]</t>
    </r>
  </si>
  <si>
    <t>Source - FAOSTAT - Received from Fridolin Krausmann, IFF, Wien, Austria on April 8, 2008</t>
  </si>
  <si>
    <r>
      <t>Energy</t>
    </r>
    <r>
      <rPr>
        <b/>
        <vertAlign val="subscript"/>
        <sz val="10"/>
        <color indexed="9"/>
        <rFont val="Arial"/>
        <family val="2"/>
      </rPr>
      <t>E</t>
    </r>
  </si>
  <si>
    <t>Expected Crop EF</t>
  </si>
  <si>
    <t>Expected Grazing EF</t>
  </si>
  <si>
    <t>Expected Fish EF</t>
  </si>
  <si>
    <t>constant_fish_extr</t>
  </si>
  <si>
    <r>
      <t>[Kt CO</t>
    </r>
    <r>
      <rPr>
        <vertAlign val="subscript"/>
        <sz val="10"/>
        <color indexed="22"/>
        <rFont val="Arial"/>
        <family val="2"/>
      </rPr>
      <t>2</t>
    </r>
    <r>
      <rPr>
        <sz val="10"/>
        <color indexed="22"/>
        <rFont val="Arial"/>
        <family val="2"/>
      </rPr>
      <t xml:space="preserve"> yr</t>
    </r>
    <r>
      <rPr>
        <vertAlign val="superscript"/>
        <sz val="10"/>
        <color indexed="22"/>
        <rFont val="Arial"/>
        <family val="2"/>
      </rPr>
      <t>-1</t>
    </r>
    <r>
      <rPr>
        <sz val="10"/>
        <color indexed="22"/>
        <rFont val="Arial"/>
        <family val="2"/>
      </rPr>
      <t>]</t>
    </r>
  </si>
  <si>
    <t>Forest Products</t>
  </si>
  <si>
    <t>Fish</t>
  </si>
  <si>
    <t>Grazing</t>
  </si>
  <si>
    <t>Crop</t>
  </si>
  <si>
    <t>Built-up</t>
  </si>
  <si>
    <t>International Transport</t>
  </si>
  <si>
    <t>Crop in Fish</t>
  </si>
  <si>
    <t>Domestic Grazing</t>
  </si>
  <si>
    <t>Grazing in Livestock</t>
  </si>
  <si>
    <t>Marine Fishing Grounds</t>
  </si>
  <si>
    <t>Inland Fishing Grounds</t>
  </si>
  <si>
    <t>International Transport EF</t>
  </si>
  <si>
    <t>Crop Land</t>
  </si>
  <si>
    <t>Crop Area Intensity</t>
  </si>
  <si>
    <t>Crop Area Intensity Tax/Premium</t>
  </si>
  <si>
    <t>Fishing Grounds - inland</t>
  </si>
  <si>
    <t>Fishing Grounds - marine EEZ</t>
  </si>
  <si>
    <t>Fishing Grounds - marine shelf</t>
  </si>
  <si>
    <t>Int_transport_efp</t>
  </si>
  <si>
    <t>-</t>
  </si>
  <si>
    <t xml:space="preserve"> World Area</t>
  </si>
  <si>
    <t>Sudan (former)</t>
  </si>
  <si>
    <t>South Sudan</t>
  </si>
  <si>
    <t>Common Name (species)</t>
  </si>
  <si>
    <t>FishSTAT code</t>
  </si>
  <si>
    <t>Liza abu</t>
  </si>
  <si>
    <t>Abu mullet</t>
  </si>
  <si>
    <t>Cynoscion acoupa</t>
  </si>
  <si>
    <t>Acoupa weakfish</t>
  </si>
  <si>
    <t>Aethiomastacembelus cunningtoni</t>
  </si>
  <si>
    <t>[Aethiomastacembelus cunningtoni]</t>
  </si>
  <si>
    <t>Heterotis niloticus</t>
  </si>
  <si>
    <t>Lophiobagrus cyclurus</t>
  </si>
  <si>
    <t>African bullhead</t>
  </si>
  <si>
    <t>Parapristipoma octolineatum</t>
  </si>
  <si>
    <t>African striped grunt</t>
  </si>
  <si>
    <t>Hoplerythrinus unitaeniatus</t>
  </si>
  <si>
    <t>Aimara</t>
  </si>
  <si>
    <t>Alestes baremoze</t>
  </si>
  <si>
    <t>[Alestes baremoze]</t>
  </si>
  <si>
    <t>Todarodes filippovae</t>
  </si>
  <si>
    <t>Antarctic flying squid</t>
  </si>
  <si>
    <t>Aplodactylus punctatus</t>
  </si>
  <si>
    <t>[Aplodactylus punctatus]</t>
  </si>
  <si>
    <t>Osteoglossum bicirrhosum</t>
  </si>
  <si>
    <t>Arawana</t>
  </si>
  <si>
    <t>Odontesthes bonariensis</t>
  </si>
  <si>
    <t>Aristeus spp</t>
  </si>
  <si>
    <t>Aristeus shrimps nei</t>
  </si>
  <si>
    <t>Arius spp</t>
  </si>
  <si>
    <t>[Arius spp]</t>
  </si>
  <si>
    <t>Deania profundorum</t>
  </si>
  <si>
    <t>Arrowhead dogfish</t>
  </si>
  <si>
    <t>Hemibagrus nemurus</t>
  </si>
  <si>
    <t>Synodus saurus</t>
  </si>
  <si>
    <t>Atlantic lizardfish</t>
  </si>
  <si>
    <t>Strongylura marina</t>
  </si>
  <si>
    <t>Atlantic needlefish</t>
  </si>
  <si>
    <t>Paragaleus pectoralis</t>
  </si>
  <si>
    <t>Atlantic weasel shark</t>
  </si>
  <si>
    <t>[Atractosteus spp]</t>
  </si>
  <si>
    <t>Hemiramphus balao</t>
  </si>
  <si>
    <t>Balao halfbeak</t>
  </si>
  <si>
    <t>Palaemon adspersus</t>
  </si>
  <si>
    <t>Astyanax fasciatus</t>
  </si>
  <si>
    <t>Banded astyanax</t>
  </si>
  <si>
    <t>Hemichromis fasciatus</t>
  </si>
  <si>
    <t>Banded jewelfish</t>
  </si>
  <si>
    <t>Seriola zonata</t>
  </si>
  <si>
    <t>Banded rudderfish</t>
  </si>
  <si>
    <t>Leptocharias smithii</t>
  </si>
  <si>
    <t>Barbeled houndshark</t>
  </si>
  <si>
    <t>[Barbodes balleroides]</t>
  </si>
  <si>
    <t>[Barbus cyclolepis]</t>
  </si>
  <si>
    <t>Pollicipes pollicipes</t>
  </si>
  <si>
    <t>Pseudoplatystoma fasciatum</t>
  </si>
  <si>
    <t>Bathybates minor</t>
  </si>
  <si>
    <t>[Bathybates minor]</t>
  </si>
  <si>
    <t>Carpilius corallinus</t>
  </si>
  <si>
    <t>Batwing coral crab</t>
  </si>
  <si>
    <t>Bagrus bajad</t>
  </si>
  <si>
    <t>Pharus legumen</t>
  </si>
  <si>
    <t>Bean solen</t>
  </si>
  <si>
    <t>Lates mariae</t>
  </si>
  <si>
    <t>Bigeye lates</t>
  </si>
  <si>
    <t>Sympterygia acuta</t>
  </si>
  <si>
    <t>Bignose fanskate</t>
  </si>
  <si>
    <t>Isopisthus parvipinnis</t>
  </si>
  <si>
    <t>Bigtooth corvina</t>
  </si>
  <si>
    <t>Antipatharia</t>
  </si>
  <si>
    <t>Black corals and thorny corals</t>
  </si>
  <si>
    <t>Scorpaena porcus</t>
  </si>
  <si>
    <t>Black scorpionfish</t>
  </si>
  <si>
    <t>Rhinobatos cemiculus</t>
  </si>
  <si>
    <t>Blackchin guitarfish</t>
  </si>
  <si>
    <t>Sarotherodon melanotheron</t>
  </si>
  <si>
    <t>Lutjanus buccanella</t>
  </si>
  <si>
    <t>Blackfin snapper</t>
  </si>
  <si>
    <t>Carcharhinus acronotus</t>
  </si>
  <si>
    <t>Blacknose shark</t>
  </si>
  <si>
    <t>Scolopsis taeniata</t>
  </si>
  <si>
    <t>Serranus atricauda</t>
  </si>
  <si>
    <t>Blacktail comber</t>
  </si>
  <si>
    <t>Fistularia commersonii</t>
  </si>
  <si>
    <t>Bluespotted cornetfish</t>
  </si>
  <si>
    <t>Amphichthys cryptocentrus</t>
  </si>
  <si>
    <t>Bocon toadfish</t>
  </si>
  <si>
    <t>Sphyrna tiburo</t>
  </si>
  <si>
    <t>Bonnethead</t>
  </si>
  <si>
    <t>Amia calva</t>
  </si>
  <si>
    <t>Bowfin</t>
  </si>
  <si>
    <t>Pinguipes brasilianus</t>
  </si>
  <si>
    <t>Brazilian sandperch</t>
  </si>
  <si>
    <t>Eptatretus cirrhatus</t>
  </si>
  <si>
    <t>Broadgilled hagfish</t>
  </si>
  <si>
    <t>Bathyraja brachyurops</t>
  </si>
  <si>
    <t>Broadnose skate</t>
  </si>
  <si>
    <t>Labrus merula</t>
  </si>
  <si>
    <t>Brown wrasse</t>
  </si>
  <si>
    <t>Lutjanus vitta</t>
  </si>
  <si>
    <t>Brownstripe red snapper</t>
  </si>
  <si>
    <t>Brycon dentex</t>
  </si>
  <si>
    <t>[Brycon dentex]</t>
  </si>
  <si>
    <t>Brycon orbignyanus</t>
  </si>
  <si>
    <t>[Brycon orbignyanus]</t>
  </si>
  <si>
    <t>Auchenoglanis occidentalis</t>
  </si>
  <si>
    <t>Bubu</t>
  </si>
  <si>
    <t>Encrasicholina punctifer</t>
  </si>
  <si>
    <t>Buccaneer anchovy</t>
  </si>
  <si>
    <t>Goniocorella dumosa</t>
  </si>
  <si>
    <t>Bushy hard coral</t>
  </si>
  <si>
    <t>Gasterochisma melampus</t>
  </si>
  <si>
    <t>Butterfly kingfish</t>
  </si>
  <si>
    <t>Calanus finmarchicus</t>
  </si>
  <si>
    <t>[Calanus finmarchicus]</t>
  </si>
  <si>
    <t>Gymnura marmorata</t>
  </si>
  <si>
    <t>California butterfly ray</t>
  </si>
  <si>
    <t>Ghost shrimps nei</t>
  </si>
  <si>
    <t>Cancer edwardsii</t>
  </si>
  <si>
    <t>Stomolophus meleagris</t>
  </si>
  <si>
    <t>Cannonball jellyfish</t>
  </si>
  <si>
    <t>Cantherhines (=Navodon) spp</t>
  </si>
  <si>
    <t>Cubiceps capensis</t>
  </si>
  <si>
    <t>Cape fathead</t>
  </si>
  <si>
    <t>Capoeta capoeta</t>
  </si>
  <si>
    <t>[Capoeta capoeta]</t>
  </si>
  <si>
    <t>Ruditapes spp</t>
  </si>
  <si>
    <t>Chaceon spp</t>
  </si>
  <si>
    <t>Chaceon geryons nei</t>
  </si>
  <si>
    <t>Crocodile icefishes nei</t>
  </si>
  <si>
    <t>Coelorinchus chilensis</t>
  </si>
  <si>
    <t>Chilean grenadier</t>
  </si>
  <si>
    <t>Pinguipes chilensis</t>
  </si>
  <si>
    <t>Chilean sandperch</t>
  </si>
  <si>
    <t>[Chionobathyscus dewitti]</t>
  </si>
  <si>
    <t>[Chionodraco hamatus]</t>
  </si>
  <si>
    <t>[Chirostoma spp]</t>
  </si>
  <si>
    <t>Greeneyes</t>
  </si>
  <si>
    <t>Chondracanthus chamissoi</t>
  </si>
  <si>
    <t>[Chondracanthus chamissoi]</t>
  </si>
  <si>
    <t>Chrysichthys platycephalus</t>
  </si>
  <si>
    <t>[Chrysichthys platycephalus]</t>
  </si>
  <si>
    <t>Chrysichthys sianenna</t>
  </si>
  <si>
    <t>[Chrysichthys sianenna]</t>
  </si>
  <si>
    <t>Chrysichthys stappersii</t>
  </si>
  <si>
    <t>[Chrysichthys stappersii]</t>
  </si>
  <si>
    <t>Serranus cabrilla</t>
  </si>
  <si>
    <t>Comber</t>
  </si>
  <si>
    <t>Serranus spp</t>
  </si>
  <si>
    <t>Combers nei</t>
  </si>
  <si>
    <t>Pomatoschistus microps</t>
  </si>
  <si>
    <t>Common goby</t>
  </si>
  <si>
    <t>Rhinobatos rhinobatos</t>
  </si>
  <si>
    <t>Common guitarfish</t>
  </si>
  <si>
    <t>Lake(=Common) whitefish</t>
  </si>
  <si>
    <t>Symphodus melops</t>
  </si>
  <si>
    <t>Corkwing wrasse</t>
  </si>
  <si>
    <t>Rhinoptera bonasus</t>
  </si>
  <si>
    <t>Cownose ray</t>
  </si>
  <si>
    <t>Clepticus parrae</t>
  </si>
  <si>
    <t>Creole wrasse</t>
  </si>
  <si>
    <t>Notopogon lilliei</t>
  </si>
  <si>
    <t>Crested bellowfish</t>
  </si>
  <si>
    <t>Curimata cyprinoides</t>
  </si>
  <si>
    <t>[Curimata cyprinoides]</t>
  </si>
  <si>
    <t>Cyclocheilichthys armatus</t>
  </si>
  <si>
    <t>[Cyclocheilichthys armatus]</t>
  </si>
  <si>
    <t>Astacus leptodactylus</t>
  </si>
  <si>
    <t>Squalus spp</t>
  </si>
  <si>
    <t>Dogfishes nei</t>
  </si>
  <si>
    <t>Salminus brasiliensis</t>
  </si>
  <si>
    <t>Dorado</t>
  </si>
  <si>
    <t>[Dorosoma spp]</t>
  </si>
  <si>
    <t>Cephaloscyllium isabellum</t>
  </si>
  <si>
    <t>Draughtsboard shark</t>
  </si>
  <si>
    <t>Magnisudis atlantica</t>
  </si>
  <si>
    <t>Duckbill barracudina</t>
  </si>
  <si>
    <t>Sorubim lima</t>
  </si>
  <si>
    <t>[Dunaliella salina]</t>
  </si>
  <si>
    <t>Durvillaea antarctica</t>
  </si>
  <si>
    <t>Malapterurus electricus</t>
  </si>
  <si>
    <t>Electric catfish</t>
  </si>
  <si>
    <t>Electron subantarctic</t>
  </si>
  <si>
    <t>Eledone cirrhosa</t>
  </si>
  <si>
    <t>Hydrocynus forskahlii</t>
  </si>
  <si>
    <t>Elongate tigerfish</t>
  </si>
  <si>
    <t>Engraulicypris sardella</t>
  </si>
  <si>
    <t>[Engraulicypris sardella]</t>
  </si>
  <si>
    <t>Loligo vulgaris</t>
  </si>
  <si>
    <t>European squid</t>
  </si>
  <si>
    <t>Trochus shells nei</t>
  </si>
  <si>
    <t>Raja cyclophora</t>
  </si>
  <si>
    <t>Eyespot skate</t>
  </si>
  <si>
    <t>Carcharhinus isodon</t>
  </si>
  <si>
    <t>Finetooth shark</t>
  </si>
  <si>
    <t>Flabellum spp</t>
  </si>
  <si>
    <t>Flabellum cup corals nei</t>
  </si>
  <si>
    <t>Eucinostomus melanopterus</t>
  </si>
  <si>
    <t>Flagfin mojarra</t>
  </si>
  <si>
    <t>Lates microlepis</t>
  </si>
  <si>
    <t>Forktail lates</t>
  </si>
  <si>
    <t>Paralichthys oblongus</t>
  </si>
  <si>
    <t>Fourspot flounder</t>
  </si>
  <si>
    <t>Codium fragile</t>
  </si>
  <si>
    <t>Zacco platypus</t>
  </si>
  <si>
    <t>Freshwater minnow</t>
  </si>
  <si>
    <t>Austromegabalanus psittacus</t>
  </si>
  <si>
    <t>Boulengerochromis microlepis</t>
  </si>
  <si>
    <t>Giant cichlid</t>
  </si>
  <si>
    <t>Manta birostris</t>
  </si>
  <si>
    <t>Giant manta</t>
  </si>
  <si>
    <t>Gigartinaceae</t>
  </si>
  <si>
    <t>Gigartina seaweeds nei</t>
  </si>
  <si>
    <t>Spongia graminea</t>
  </si>
  <si>
    <t>Glove sponge</t>
  </si>
  <si>
    <t>Chaceon fenneri</t>
  </si>
  <si>
    <t>Golden deepsea crab</t>
  </si>
  <si>
    <t>Plesionika martia</t>
  </si>
  <si>
    <t>Golden shrimp</t>
  </si>
  <si>
    <t>Gorgoniidae</t>
  </si>
  <si>
    <t>Gorgonians</t>
  </si>
  <si>
    <t>Etmopterus princeps</t>
  </si>
  <si>
    <t>Great lanternshark</t>
  </si>
  <si>
    <t>Monostroma nitidum</t>
  </si>
  <si>
    <t>Aequidens rivulatus</t>
  </si>
  <si>
    <t>Cynoscion virescens</t>
  </si>
  <si>
    <t>Green weakfish</t>
  </si>
  <si>
    <t>Mustelus antarcticus</t>
  </si>
  <si>
    <t>Gummy shark</t>
  </si>
  <si>
    <t>[Gymnogongrus furcellatus]</t>
  </si>
  <si>
    <t>Haemulon spp</t>
  </si>
  <si>
    <t>[Haemulon spp]</t>
  </si>
  <si>
    <t>Hemibates stenosoma</t>
  </si>
  <si>
    <t>[Hemibates stenosoma]</t>
  </si>
  <si>
    <t>Hypophthalmus edentatus</t>
  </si>
  <si>
    <t>Highwaterman catfish</t>
  </si>
  <si>
    <t>Holothuroidea</t>
  </si>
  <si>
    <t>Hoplias aimara</t>
  </si>
  <si>
    <t>[Hoplias aimara]</t>
  </si>
  <si>
    <t>Hoplias microlepis</t>
  </si>
  <si>
    <t>[Hoplias microlepis]</t>
  </si>
  <si>
    <t>Hoplopagrus guentherii</t>
  </si>
  <si>
    <t>Loligo duvauceli</t>
  </si>
  <si>
    <t>Indian squid</t>
  </si>
  <si>
    <t>Leptomelanosoma indicum</t>
  </si>
  <si>
    <t>Indian threadfin</t>
  </si>
  <si>
    <t>Aphanopus intermedius</t>
  </si>
  <si>
    <t>Intermediate scabbardfish</t>
  </si>
  <si>
    <t>Diapterus auratus</t>
  </si>
  <si>
    <t>Irish mojarra</t>
  </si>
  <si>
    <t>Cynoscion jamaicensis</t>
  </si>
  <si>
    <t>Jamaica weakfish</t>
  </si>
  <si>
    <t>Salangichthys microdon</t>
  </si>
  <si>
    <t>Japanese icefish</t>
  </si>
  <si>
    <t>Hypomesus nipponensis</t>
  </si>
  <si>
    <t>Japanese smelt</t>
  </si>
  <si>
    <t>Hemitriakis japanica</t>
  </si>
  <si>
    <t>Japanese topeshark</t>
  </si>
  <si>
    <t>Chrysichthys brachynema</t>
  </si>
  <si>
    <t>Kibonde</t>
  </si>
  <si>
    <t>Mesogobius batrachocephalus</t>
  </si>
  <si>
    <t>Knout goby</t>
  </si>
  <si>
    <t>Longfin codling</t>
  </si>
  <si>
    <t>Copadichromis virginalis</t>
  </si>
  <si>
    <t>Lake Malawi utaka</t>
  </si>
  <si>
    <t>Limnothrissa miodon</t>
  </si>
  <si>
    <t>Lake Tanganyika sardine</t>
  </si>
  <si>
    <t>Stolothrissa tanganicae</t>
  </si>
  <si>
    <t>Lake Tanganyika sprat</t>
  </si>
  <si>
    <t>Pseudotolithus senegallus</t>
  </si>
  <si>
    <t>Goose barnacles nei</t>
  </si>
  <si>
    <t>Leporellus vittatus</t>
  </si>
  <si>
    <t>[Leporellus vittatus]</t>
  </si>
  <si>
    <t>Leporinus obtusidens</t>
  </si>
  <si>
    <t>[Leporinus obtusidens]</t>
  </si>
  <si>
    <t>Seriola fasciata</t>
  </si>
  <si>
    <t>Lesser amberjack</t>
  </si>
  <si>
    <t>[Lessonia spp]</t>
  </si>
  <si>
    <t>[Lessonia trabeculata]</t>
  </si>
  <si>
    <t>Limnotilapia dardennii</t>
  </si>
  <si>
    <t>[Limnotilapia dardennii]</t>
  </si>
  <si>
    <t>Raja erinacea</t>
  </si>
  <si>
    <t>Little skate</t>
  </si>
  <si>
    <t>Loligo reynaudii</t>
  </si>
  <si>
    <t>Alepisaurus ferox</t>
  </si>
  <si>
    <t>Long snouted lancetfish</t>
  </si>
  <si>
    <t>Phycis chesteri</t>
  </si>
  <si>
    <t>Longfin hake</t>
  </si>
  <si>
    <t>Seriola rivoliana</t>
  </si>
  <si>
    <t>Longfin yellowtail</t>
  </si>
  <si>
    <t>Tragulichthys jaculiferus</t>
  </si>
  <si>
    <t>Longspine burrfish</t>
  </si>
  <si>
    <t>Selene vomer</t>
  </si>
  <si>
    <t>Lookdown</t>
  </si>
  <si>
    <t>Lophiosilurus alexandri</t>
  </si>
  <si>
    <t>[Lophiosilurus alexandri]</t>
  </si>
  <si>
    <t>Loricaria cataphracta</t>
  </si>
  <si>
    <t>[Loricaria cataphracta]</t>
  </si>
  <si>
    <t>Rhinoptera marginata</t>
  </si>
  <si>
    <t>Lusitanian cownose ray</t>
  </si>
  <si>
    <t>Raja maderensis</t>
  </si>
  <si>
    <t>Madeiran ray</t>
  </si>
  <si>
    <t>Ucides occidentalis</t>
  </si>
  <si>
    <t>Mangrove ghost crab</t>
  </si>
  <si>
    <t>Protopterus aethiopicus</t>
  </si>
  <si>
    <t>Marbled lungfish</t>
  </si>
  <si>
    <t>Synbranchus marmoratus</t>
  </si>
  <si>
    <t>Marbled swamp eel</t>
  </si>
  <si>
    <t>Anchoa marinii</t>
  </si>
  <si>
    <t>Marini's anchovy</t>
  </si>
  <si>
    <t>Mazzaella laminarioides</t>
  </si>
  <si>
    <t>[Mazzaella laminarioides]</t>
  </si>
  <si>
    <t>Trachipterus trachipterus</t>
  </si>
  <si>
    <t>Mediterranean dealfish</t>
  </si>
  <si>
    <t>Geryon longipes</t>
  </si>
  <si>
    <t>Mediterranean geryon</t>
  </si>
  <si>
    <t>Muraena helena</t>
  </si>
  <si>
    <t>Mediterranean moray</t>
  </si>
  <si>
    <t>Atherina hepsetus</t>
  </si>
  <si>
    <t>Mediterranean sand smelt</t>
  </si>
  <si>
    <t>Tetrapturus belone</t>
  </si>
  <si>
    <t>Mediterranean spearfish</t>
  </si>
  <si>
    <t>Raja asterias</t>
  </si>
  <si>
    <t>Mediterranean starry ray</t>
  </si>
  <si>
    <t>Merluccius capensis, M.paradoxus</t>
  </si>
  <si>
    <t>Metanephrops lobsters nei</t>
  </si>
  <si>
    <t>Metynnis argenteus</t>
  </si>
  <si>
    <t>[Metynnis argenteus]</t>
  </si>
  <si>
    <t>Sphyraena ensis</t>
  </si>
  <si>
    <t>Mexican barracuda</t>
  </si>
  <si>
    <t>Thickback soles nei</t>
  </si>
  <si>
    <t>Rhizoprionodon acutus</t>
  </si>
  <si>
    <t>Milk shark</t>
  </si>
  <si>
    <t>Epinephelus mystacinus</t>
  </si>
  <si>
    <t>Misty grouper</t>
  </si>
  <si>
    <t>Morays nei</t>
  </si>
  <si>
    <t>[Mystacoleucus padangensis]</t>
  </si>
  <si>
    <t>[Mystus nigriceps]</t>
  </si>
  <si>
    <t>Jonah's icefish</t>
  </si>
  <si>
    <t>Zearaja nasuta</t>
  </si>
  <si>
    <t>New Zealand rough skate</t>
  </si>
  <si>
    <t>Dipturus innominatus</t>
  </si>
  <si>
    <t>New Zealand smooth skate</t>
  </si>
  <si>
    <t>Arca noae</t>
  </si>
  <si>
    <t>Noah's ark</t>
  </si>
  <si>
    <t>Raja nidarosiensis</t>
  </si>
  <si>
    <t>Norwegian skate</t>
  </si>
  <si>
    <t>[Notolepis spp]</t>
  </si>
  <si>
    <t>[Nototheniops nybelini]</t>
  </si>
  <si>
    <t>Nototodarus sloanii</t>
  </si>
  <si>
    <t>Brycinus nurse</t>
  </si>
  <si>
    <t>Nurse tetra</t>
  </si>
  <si>
    <t>Odontesthes smitti</t>
  </si>
  <si>
    <t>[Odontesthes smitti]</t>
  </si>
  <si>
    <t>Ostreola conchaphila</t>
  </si>
  <si>
    <t>Olympia oyster</t>
  </si>
  <si>
    <t>Pink(=Humpback) salmon</t>
  </si>
  <si>
    <t>Chum(=Keta=Dog) salmon</t>
  </si>
  <si>
    <t>Coho(=Silver) salmon</t>
  </si>
  <si>
    <t>Sockeye(=Red) salmon</t>
  </si>
  <si>
    <t>Chinook(=Spring=King) salmon</t>
  </si>
  <si>
    <t>Oreochromis shiranus</t>
  </si>
  <si>
    <t>[Oreochromis shiranus]</t>
  </si>
  <si>
    <t>Panulirus ornatus</t>
  </si>
  <si>
    <t>Ornate spiny lobster</t>
  </si>
  <si>
    <t>Astronotus ocellatus</t>
  </si>
  <si>
    <t>Oscar</t>
  </si>
  <si>
    <t>Chaetodipterus zonatus</t>
  </si>
  <si>
    <t>Pacific spadefish</t>
  </si>
  <si>
    <t>Lobotes pacificus</t>
  </si>
  <si>
    <t>Pacific tripletail</t>
  </si>
  <si>
    <t>Serranus scriba</t>
  </si>
  <si>
    <t>Painted comber</t>
  </si>
  <si>
    <t>[Pangasius djambal]</t>
  </si>
  <si>
    <t>[Parachaenichthys georgianus]</t>
  </si>
  <si>
    <t>[Paralabrax spp]</t>
  </si>
  <si>
    <t>[Paralomis spp]</t>
  </si>
  <si>
    <t>Sebastes oculatus</t>
  </si>
  <si>
    <t>Patagonian redfish</t>
  </si>
  <si>
    <t>Bathyraja macloviana</t>
  </si>
  <si>
    <t>Patagonian skate</t>
  </si>
  <si>
    <t>Luciopimelodus pati</t>
  </si>
  <si>
    <t>Pati</t>
  </si>
  <si>
    <t>Dasyatis violacea</t>
  </si>
  <si>
    <t>Pelagic stingray</t>
  </si>
  <si>
    <t>Sepia pharaonis</t>
  </si>
  <si>
    <t>Pharaoh cuttlefish</t>
  </si>
  <si>
    <t>Spicara smaris</t>
  </si>
  <si>
    <t>Picarel</t>
  </si>
  <si>
    <t>Cymbium cymbium</t>
  </si>
  <si>
    <t>Pig's snout volute</t>
  </si>
  <si>
    <t>Pimelodus maculatus</t>
  </si>
  <si>
    <t>[Pimelodus maculatus]</t>
  </si>
  <si>
    <t>Lagodon rhomboides</t>
  </si>
  <si>
    <t>Pinfish</t>
  </si>
  <si>
    <t>Misgurnus anguillicaudatus</t>
  </si>
  <si>
    <t>Hemisorubim platyrhynchos</t>
  </si>
  <si>
    <t>Porthole shovelnose catfish</t>
  </si>
  <si>
    <t>Libinia emarginata</t>
  </si>
  <si>
    <t>Portly spider crab</t>
  </si>
  <si>
    <t>Pseudocurimata boulengeri</t>
  </si>
  <si>
    <t>[Pseudocurimata boulengeri]</t>
  </si>
  <si>
    <t>[Puntioplites waandersi]</t>
  </si>
  <si>
    <t>Coris julis</t>
  </si>
  <si>
    <t>Rainbow wrasse</t>
  </si>
  <si>
    <t>Raja taaf</t>
  </si>
  <si>
    <t>[Raja taaf]</t>
  </si>
  <si>
    <t>Platydoras costatus</t>
  </si>
  <si>
    <t>Raphael catfish</t>
  </si>
  <si>
    <t>Cherax quadricarinatus</t>
  </si>
  <si>
    <t>Chaceon quinquedens</t>
  </si>
  <si>
    <t>Erugosquilla massavensis</t>
  </si>
  <si>
    <t>Red sea mantis shrimp</t>
  </si>
  <si>
    <t>Chionoecetes japonicus</t>
  </si>
  <si>
    <t>Red snow crab</t>
  </si>
  <si>
    <t>Phractocephalus hemioliopterus</t>
  </si>
  <si>
    <t>Redtail catfish</t>
  </si>
  <si>
    <t>Papyrocranus afer</t>
  </si>
  <si>
    <t>Sand flounders nei</t>
  </si>
  <si>
    <t>Jellyfishes nei</t>
  </si>
  <si>
    <t>Rioraja agassizi</t>
  </si>
  <si>
    <t>Rio skate</t>
  </si>
  <si>
    <t>Centrolabrus exoletus</t>
  </si>
  <si>
    <t>Rock cook</t>
  </si>
  <si>
    <t>Epinephelus adscensionis</t>
  </si>
  <si>
    <t>Rock hind</t>
  </si>
  <si>
    <t>Raja fyllae</t>
  </si>
  <si>
    <t>Round ray</t>
  </si>
  <si>
    <t>Tetrapturus georgii</t>
  </si>
  <si>
    <t>Roundscale spearfish</t>
  </si>
  <si>
    <t>Malacanthus plumieri</t>
  </si>
  <si>
    <t>Sand tilefish</t>
  </si>
  <si>
    <t>Cynoscion arenarius</t>
  </si>
  <si>
    <t>Sand weakfish</t>
  </si>
  <si>
    <t>Sarcothalia crispata</t>
  </si>
  <si>
    <t>[Sarcothalia crispata]</t>
  </si>
  <si>
    <t>Schizodon fasciatus</t>
  </si>
  <si>
    <t>[Schizodon fasciatus]</t>
  </si>
  <si>
    <t>Pseudopterogorgia elisabethae</t>
  </si>
  <si>
    <t>Sea plume</t>
  </si>
  <si>
    <t>Semaprochilodus insignis</t>
  </si>
  <si>
    <t>[Semaprochilodus insignis]</t>
  </si>
  <si>
    <t>Solea senegalensis</t>
  </si>
  <si>
    <t>Heptranchias perlo</t>
  </si>
  <si>
    <t>Sharpnose sevengill shark</t>
  </si>
  <si>
    <t>Diplodus puntazzo</t>
  </si>
  <si>
    <t>Hippospongia lachne</t>
  </si>
  <si>
    <t>Sheepswool sponge</t>
  </si>
  <si>
    <t>Larimus breviceps</t>
  </si>
  <si>
    <t>Shorthead drum</t>
  </si>
  <si>
    <t>Myoxocephalus scorpius</t>
  </si>
  <si>
    <t>Shorthorn sculpin</t>
  </si>
  <si>
    <t>Wels(=Som) catfish</t>
  </si>
  <si>
    <t>Chimaera phantasma</t>
  </si>
  <si>
    <t>Silver chimaera</t>
  </si>
  <si>
    <t>Lagocephalus sceleratus</t>
  </si>
  <si>
    <t>Silver-cheeked toadfish</t>
  </si>
  <si>
    <t>Erilepis zonifer</t>
  </si>
  <si>
    <t>Skilfish</t>
  </si>
  <si>
    <t>Lates stappersii</t>
  </si>
  <si>
    <t>Sleek lates</t>
  </si>
  <si>
    <t>Pseudopentaceros wheeleri</t>
  </si>
  <si>
    <t>Slender armorhead</t>
  </si>
  <si>
    <t>Gollum attenuatus</t>
  </si>
  <si>
    <t>Slender smooth-hound</t>
  </si>
  <si>
    <t>Sympterygia bonapartii</t>
  </si>
  <si>
    <t>Smallnose fanskate</t>
  </si>
  <si>
    <t>Epinephelus polylepis</t>
  </si>
  <si>
    <t>Smallscaled grouper</t>
  </si>
  <si>
    <t>Cynoscion leiarchus</t>
  </si>
  <si>
    <t>Smooth weakfish</t>
  </si>
  <si>
    <t>Borostomias antarcticus</t>
  </si>
  <si>
    <t>Snaggletooth</t>
  </si>
  <si>
    <t>Solen razor clams nei</t>
  </si>
  <si>
    <t>Pseudoplatystoma spp</t>
  </si>
  <si>
    <t>Sorubims nei</t>
  </si>
  <si>
    <t>Rhamdia quelen</t>
  </si>
  <si>
    <t>Menticirrhus americanus</t>
  </si>
  <si>
    <t>Southern kingcroaker</t>
  </si>
  <si>
    <t>Pelotretis flavilatus</t>
  </si>
  <si>
    <t>Southern lemon sole</t>
  </si>
  <si>
    <t>Brama australis</t>
  </si>
  <si>
    <t>Southern rays bream</t>
  </si>
  <si>
    <t>Penaeus schmitti</t>
  </si>
  <si>
    <t>Chaceon notialis</t>
  </si>
  <si>
    <t>Southwest Atlantic red crab</t>
  </si>
  <si>
    <t>Molva macrophthalma</t>
  </si>
  <si>
    <t>Spanish ling</t>
  </si>
  <si>
    <t>Scyllarides aequinoctialis</t>
  </si>
  <si>
    <t>Spanish slipper lobster</t>
  </si>
  <si>
    <t>Epinephelus drummondhayi</t>
  </si>
  <si>
    <t>Speckled hind</t>
  </si>
  <si>
    <t>Carcharhinus brevipinna</t>
  </si>
  <si>
    <t>Spinner shark</t>
  </si>
  <si>
    <t>Sebastes diploproa</t>
  </si>
  <si>
    <t>Splitnose rockfish</t>
  </si>
  <si>
    <t>Spongiidae</t>
  </si>
  <si>
    <t>Pandalus platyceros</t>
  </si>
  <si>
    <t>Spot shrimp</t>
  </si>
  <si>
    <t>Raja castelnaui</t>
  </si>
  <si>
    <t>Spotback skate</t>
  </si>
  <si>
    <t>Pseudoplatystoma corruscans</t>
  </si>
  <si>
    <t>Spotted sorubim</t>
  </si>
  <si>
    <t>Uranoscopus spp</t>
  </si>
  <si>
    <t>Stargazers</t>
  </si>
  <si>
    <t>Stolephorus anchovies nei</t>
  </si>
  <si>
    <t>Prochilodus lineatus</t>
  </si>
  <si>
    <t>Streaked prochilod</t>
  </si>
  <si>
    <t>Cynoscion guatucupa</t>
  </si>
  <si>
    <t>Stripped weakfish</t>
  </si>
  <si>
    <t>Spisula subtruncata</t>
  </si>
  <si>
    <t>Subtruncate surf clam</t>
  </si>
  <si>
    <t>Ensis siliqua</t>
  </si>
  <si>
    <t>Sword razor shell</t>
  </si>
  <si>
    <t>Lates angustifrons</t>
  </si>
  <si>
    <t>Tanganyika lates</t>
  </si>
  <si>
    <t>Tellina spp</t>
  </si>
  <si>
    <t>Tellins nei</t>
  </si>
  <si>
    <t>Chelon labrosus</t>
  </si>
  <si>
    <t>Thicklip grey mullet</t>
  </si>
  <si>
    <t>Gaidropsarus ensis</t>
  </si>
  <si>
    <t>Threadfin rockling</t>
  </si>
  <si>
    <t>[Thynnichthys vaillanti]</t>
  </si>
  <si>
    <t>Hoplias malabaricus</t>
  </si>
  <si>
    <t>Trahira</t>
  </si>
  <si>
    <t>Blunt scalyhead</t>
  </si>
  <si>
    <t>Trematomus nei</t>
  </si>
  <si>
    <t>Chinese softshell turtle</t>
  </si>
  <si>
    <t>Triportheus angulatus</t>
  </si>
  <si>
    <t>[Triportheus angulatus]</t>
  </si>
  <si>
    <t>Lethrinus miniatus</t>
  </si>
  <si>
    <t>Arca zebra</t>
  </si>
  <si>
    <t>Turkey wing</t>
  </si>
  <si>
    <t>Canary drum(=Baardman)</t>
  </si>
  <si>
    <t>Raja undulata</t>
  </si>
  <si>
    <t>Undulate ray</t>
  </si>
  <si>
    <t>Barbourisia rufa</t>
  </si>
  <si>
    <t>Velvet whalefish</t>
  </si>
  <si>
    <t>Protemblemaria bicirris</t>
  </si>
  <si>
    <t>Warthead blenny</t>
  </si>
  <si>
    <t>Allocyttus verrucosus</t>
  </si>
  <si>
    <t>Warty dory</t>
  </si>
  <si>
    <t>Venus verrucosa</t>
  </si>
  <si>
    <t>Chaceon maritae</t>
  </si>
  <si>
    <t>West African geryon</t>
  </si>
  <si>
    <t>Raja alba</t>
  </si>
  <si>
    <t>White skate</t>
  </si>
  <si>
    <t>Epinephelus caeruleopunctatus</t>
  </si>
  <si>
    <t>Whitespotted grouper</t>
  </si>
  <si>
    <t>Xiphopenaeus, Trachypenaeus spp</t>
  </si>
  <si>
    <t>Spongia barbara</t>
  </si>
  <si>
    <t>Yellow sponge</t>
  </si>
  <si>
    <t>Dipturus chilensis</t>
  </si>
  <si>
    <t>Yellownose skate</t>
  </si>
  <si>
    <t>Zygochlamys delicatula</t>
  </si>
  <si>
    <t>Zygochlamys patagonica</t>
  </si>
  <si>
    <t>FishSTAT Code</t>
  </si>
  <si>
    <t>Squalus blainville</t>
  </si>
  <si>
    <t>Africa-bighead catfish, hybrid</t>
  </si>
  <si>
    <t>Amazon sailfin catfish</t>
  </si>
  <si>
    <t>[Anostomoides laticeps]</t>
  </si>
  <si>
    <t>Asian barbs nei</t>
  </si>
  <si>
    <t>Atlantic spadefish</t>
  </si>
  <si>
    <t>Babberlocks</t>
  </si>
  <si>
    <t>Black ark</t>
  </si>
  <si>
    <t>Black prochilodus</t>
  </si>
  <si>
    <t>Blacklip pearl oyster</t>
  </si>
  <si>
    <t>Blue-Nile tilapia, hybrid</t>
  </si>
  <si>
    <t>Bronze featherback</t>
  </si>
  <si>
    <t>[Brycon amazonicus]</t>
  </si>
  <si>
    <t>[Brycon cephalus]</t>
  </si>
  <si>
    <t>[Brycon hilarii]</t>
  </si>
  <si>
    <t>[Brycon spp]</t>
  </si>
  <si>
    <t>Callinectes swimcrabs nei</t>
  </si>
  <si>
    <t>[Channa marulius]</t>
  </si>
  <si>
    <t>[Cichla spp]</t>
  </si>
  <si>
    <t>Clown knifefish</t>
  </si>
  <si>
    <t>Diphos sanguin</t>
  </si>
  <si>
    <t>Dulse</t>
  </si>
  <si>
    <t>European green frog</t>
  </si>
  <si>
    <t>Giant kelp</t>
  </si>
  <si>
    <t>Grand ark</t>
  </si>
  <si>
    <t>Great blue spotted mudskipper</t>
  </si>
  <si>
    <t>[Haematococcus pluvialis]</t>
  </si>
  <si>
    <t>[Hoplias spp]</t>
  </si>
  <si>
    <t>[Ichthyoelephas humeralis]</t>
  </si>
  <si>
    <t>Japanese meagre</t>
  </si>
  <si>
    <t>Japanese seabream</t>
  </si>
  <si>
    <t>[Labeo dussumieri]</t>
  </si>
  <si>
    <t>[Leporinus spp]</t>
  </si>
  <si>
    <t>Mozuku</t>
  </si>
  <si>
    <t>Obscure pufferfish</t>
  </si>
  <si>
    <t>Orange mud crab</t>
  </si>
  <si>
    <t>Orangefin labeo</t>
  </si>
  <si>
    <t>Orbicular batfish</t>
  </si>
  <si>
    <t>[Osteobrama belangeri]</t>
  </si>
  <si>
    <t>Pacific lion's paw</t>
  </si>
  <si>
    <t>Peppery furrow</t>
  </si>
  <si>
    <t>[Pimelodus spp]</t>
  </si>
  <si>
    <t>[Porphyra columbina]</t>
  </si>
  <si>
    <t>[Prochilodus mariae]</t>
  </si>
  <si>
    <t>[Puntius sarana]</t>
  </si>
  <si>
    <t>Queen conch</t>
  </si>
  <si>
    <t>[Rohtee ogilbii]</t>
  </si>
  <si>
    <t>Salmonids nei</t>
  </si>
  <si>
    <t>Sciaenas nei</t>
  </si>
  <si>
    <t>Sevan trout</t>
  </si>
  <si>
    <t>Silver, bighead carps nei</t>
  </si>
  <si>
    <t>[Solea spp]</t>
  </si>
  <si>
    <t>[Spirulina maxima]</t>
  </si>
  <si>
    <t>[Spirulina platensis]</t>
  </si>
  <si>
    <t>Spotted snakehead</t>
  </si>
  <si>
    <t>Stinging catfish</t>
  </si>
  <si>
    <t>Suckermouth catfish</t>
  </si>
  <si>
    <t>Tambacu, hybrid</t>
  </si>
  <si>
    <t>Tambatinga, hybrid</t>
  </si>
  <si>
    <t>Threespot leporinus</t>
  </si>
  <si>
    <t>Tiger pufferfish</t>
  </si>
  <si>
    <t>Variegated scallop</t>
  </si>
  <si>
    <t>Wallago</t>
  </si>
  <si>
    <t>const_area_shelf</t>
  </si>
  <si>
    <t>Electricity</t>
  </si>
  <si>
    <t xml:space="preserve">Shelf </t>
  </si>
  <si>
    <t xml:space="preserve">EEZArea Individual Land </t>
  </si>
  <si>
    <t xml:space="preserve">AvgPPRate Individual Land </t>
  </si>
  <si>
    <t xml:space="preserve">AvgPPRate all land </t>
  </si>
  <si>
    <t>[km2]</t>
  </si>
  <si>
    <t>[mgC*^-2/day]</t>
  </si>
  <si>
    <t>[mgC*m^-2/day]</t>
  </si>
  <si>
    <t xml:space="preserve">(Australia) Heard and McDonald Island </t>
  </si>
  <si>
    <t xml:space="preserve">(Australia) Lord Howe Island </t>
  </si>
  <si>
    <t xml:space="preserve">(Australia) Macquarie Island </t>
  </si>
  <si>
    <t>(Brazil) Trindade and Martin Vaz Island</t>
  </si>
  <si>
    <t xml:space="preserve">(Chile) Desventuradas Islands </t>
  </si>
  <si>
    <t xml:space="preserve">(Chile) Easter Islands </t>
  </si>
  <si>
    <t xml:space="preserve">(Chile) Juan Fernandez Island </t>
  </si>
  <si>
    <t xml:space="preserve">(Ecuador) Galapagos Islands </t>
  </si>
  <si>
    <t xml:space="preserve">(France) Clipperton Island </t>
  </si>
  <si>
    <t xml:space="preserve">(France) Crozet Island </t>
  </si>
  <si>
    <t xml:space="preserve">(France) French Mozambique Channel Islands </t>
  </si>
  <si>
    <t xml:space="preserve">(France) Kerguelen Island </t>
  </si>
  <si>
    <t xml:space="preserve">(France) St Paul &amp; Amsterdam Island </t>
  </si>
  <si>
    <t>(France) Tromelin Island</t>
  </si>
  <si>
    <t xml:space="preserve">(Haiti) Navassa Islands </t>
  </si>
  <si>
    <t xml:space="preserve">(India) Andaman Islands &amp; Nicobar Isl. </t>
  </si>
  <si>
    <t>Japan (Outer Islands)</t>
  </si>
  <si>
    <t>(Malaysia) Peninsula West</t>
  </si>
  <si>
    <t>(Malaysia) Sabah</t>
  </si>
  <si>
    <t>(Malaysia) Sarawak</t>
  </si>
  <si>
    <t xml:space="preserve">(New Zealand) Kermadec Islands </t>
  </si>
  <si>
    <t xml:space="preserve">(Norway) Bouvet Island </t>
  </si>
  <si>
    <t xml:space="preserve">(Norway) Jan Mayen Island </t>
  </si>
  <si>
    <t>(Norway) Svalbard Island</t>
  </si>
  <si>
    <t xml:space="preserve">(Portugal) Azores Islands </t>
  </si>
  <si>
    <t xml:space="preserve">(Portugal) Madeira Islands </t>
  </si>
  <si>
    <t>(Russian Federation) Asia</t>
  </si>
  <si>
    <t>(Russian Federation) Baltic Sea</t>
  </si>
  <si>
    <t>(Russian Federation) Barents Sea</t>
  </si>
  <si>
    <t>(Saudi Arabia) Persian Gulf</t>
  </si>
  <si>
    <t>(Saudi Arabia) Red Sea</t>
  </si>
  <si>
    <t>(South Africa) Prince Edward Island</t>
  </si>
  <si>
    <t>(Spain) Canary Islands</t>
  </si>
  <si>
    <t>(Turkey) Black Sea</t>
  </si>
  <si>
    <t>(Turkey) Mediterranean Sea</t>
  </si>
  <si>
    <t xml:space="preserve">(UK) Ascension Islands </t>
  </si>
  <si>
    <t xml:space="preserve">(UK) South Georgia &amp;  Sandwich Islands </t>
  </si>
  <si>
    <t>(UK) Tristan da Cunha Islands</t>
  </si>
  <si>
    <t>USA Coast (West Coast)</t>
  </si>
  <si>
    <t>USA Coast (East Coast)</t>
  </si>
  <si>
    <t>USA Coast (Gulf Coast)</t>
  </si>
  <si>
    <t>(USA) Coast Alaska</t>
  </si>
  <si>
    <t xml:space="preserve">(USA) Baker and Howland Islands </t>
  </si>
  <si>
    <t xml:space="preserve">(USA) Hawaii </t>
  </si>
  <si>
    <t xml:space="preserve">(USA) Jarvis Island </t>
  </si>
  <si>
    <t xml:space="preserve">(USA) Johnston Island </t>
  </si>
  <si>
    <t xml:space="preserve">(USA) Palmyra Island &amp; Kingman Reef </t>
  </si>
  <si>
    <r>
      <rPr>
        <b/>
        <sz val="10"/>
        <color indexed="9"/>
        <rFont val="Arial"/>
        <family val="2"/>
      </rPr>
      <t>Continental Shelf Data, Exclusive Economic Zones and PPR Rates.</t>
    </r>
    <r>
      <rPr>
        <sz val="10"/>
        <color indexed="9"/>
        <rFont val="Arial"/>
        <family val="2"/>
      </rPr>
      <t xml:space="preserve"> Data gathered from http://www.seaaroundus.org/eez/ July 2013</t>
    </r>
  </si>
  <si>
    <t>Color Code</t>
  </si>
  <si>
    <t>No specific data found in Sea Around Us Project July 2013</t>
  </si>
  <si>
    <t>Data Summarized for USSR</t>
  </si>
  <si>
    <t>Data Summarized for Yugoslav SFR</t>
  </si>
  <si>
    <t>Data Summarized for Ethiopia PDR</t>
  </si>
  <si>
    <t>(USA) Midway Islands</t>
  </si>
  <si>
    <t>(Malaysia) Peninsula East</t>
  </si>
  <si>
    <t>Country Code</t>
  </si>
  <si>
    <t>constant_crop_factor</t>
  </si>
  <si>
    <t>Aggregate Groups</t>
  </si>
  <si>
    <t>Group number</t>
  </si>
  <si>
    <t>Nutrition Index</t>
  </si>
  <si>
    <t>Beets for fodder</t>
  </si>
  <si>
    <t>Cabbage for fodder</t>
  </si>
  <si>
    <t>Carrots for fodder</t>
  </si>
  <si>
    <t>Forage and silage, grasses nes</t>
  </si>
  <si>
    <t>Forage and silage, legumes</t>
  </si>
  <si>
    <t>Forage products</t>
  </si>
  <si>
    <t>Fruit, pome nes</t>
  </si>
  <si>
    <t>Jojoba seed</t>
  </si>
  <si>
    <t>Kapok fruit</t>
  </si>
  <si>
    <t>Leeks, other alliaceous vegetables</t>
  </si>
  <si>
    <t>Swedes for fodder</t>
  </si>
  <si>
    <t>Tallowtree seed</t>
  </si>
  <si>
    <t>Turnips for fodder</t>
  </si>
  <si>
    <t>Vegetables and roots fodder</t>
  </si>
  <si>
    <t>Forage and silage, green oilseeds</t>
  </si>
  <si>
    <t>1214.90_h</t>
  </si>
  <si>
    <t>1214.90_l</t>
  </si>
  <si>
    <t>1214.90_f</t>
  </si>
  <si>
    <t>0810.90ab</t>
  </si>
  <si>
    <t>1207.9aj</t>
  </si>
  <si>
    <t>1402_a</t>
  </si>
  <si>
    <t>1214.90_i</t>
  </si>
  <si>
    <t>1207.9ad</t>
  </si>
  <si>
    <t>0902_b</t>
  </si>
  <si>
    <r>
      <t>Production</t>
    </r>
    <r>
      <rPr>
        <b/>
        <vertAlign val="subscript"/>
        <sz val="10"/>
        <rFont val="Arial"/>
        <family val="2"/>
      </rPr>
      <t>N</t>
    </r>
  </si>
  <si>
    <r>
      <t>Area</t>
    </r>
    <r>
      <rPr>
        <b/>
        <vertAlign val="subscript"/>
        <sz val="10"/>
        <rFont val="Arial"/>
        <family val="2"/>
      </rPr>
      <t>N</t>
    </r>
  </si>
  <si>
    <r>
      <t>Production</t>
    </r>
    <r>
      <rPr>
        <b/>
        <vertAlign val="subscript"/>
        <sz val="10"/>
        <rFont val="Arial"/>
        <family val="2"/>
      </rPr>
      <t>W</t>
    </r>
  </si>
  <si>
    <r>
      <t>Area</t>
    </r>
    <r>
      <rPr>
        <b/>
        <vertAlign val="subscript"/>
        <sz val="10"/>
        <rFont val="Arial"/>
        <family val="2"/>
      </rPr>
      <t>W</t>
    </r>
  </si>
  <si>
    <r>
      <t>Yield</t>
    </r>
    <r>
      <rPr>
        <b/>
        <vertAlign val="subscript"/>
        <sz val="10"/>
        <rFont val="Arial"/>
        <family val="2"/>
      </rPr>
      <t>N</t>
    </r>
  </si>
  <si>
    <r>
      <t>Yield</t>
    </r>
    <r>
      <rPr>
        <b/>
        <vertAlign val="subscript"/>
        <sz val="10"/>
        <rFont val="Arial"/>
        <family val="2"/>
      </rPr>
      <t>W</t>
    </r>
  </si>
  <si>
    <r>
      <t>Production</t>
    </r>
    <r>
      <rPr>
        <b/>
        <vertAlign val="subscript"/>
        <sz val="10"/>
        <rFont val="Arial"/>
        <family val="2"/>
      </rPr>
      <t xml:space="preserve">W </t>
    </r>
    <r>
      <rPr>
        <b/>
        <sz val="10"/>
        <rFont val="Arial"/>
        <family val="2"/>
      </rPr>
      <t>(Nutr-Adj)</t>
    </r>
  </si>
  <si>
    <r>
      <t>Production</t>
    </r>
    <r>
      <rPr>
        <b/>
        <vertAlign val="subscript"/>
        <sz val="10"/>
        <rFont val="Arial"/>
        <family val="2"/>
      </rPr>
      <t xml:space="preserve">N </t>
    </r>
    <r>
      <rPr>
        <b/>
        <sz val="10"/>
        <rFont val="Arial"/>
        <family val="2"/>
      </rPr>
      <t>(Nutr-Adj)</t>
    </r>
  </si>
  <si>
    <t>[wha ha-1]</t>
  </si>
  <si>
    <t>Cereals, World</t>
  </si>
  <si>
    <t>Agreggate Group</t>
  </si>
  <si>
    <r>
      <t>Area</t>
    </r>
    <r>
      <rPr>
        <vertAlign val="subscript"/>
        <sz val="10"/>
        <rFont val="Arial"/>
        <family val="2"/>
      </rPr>
      <t>N</t>
    </r>
  </si>
  <si>
    <r>
      <t>Production (Nutr-Adj)</t>
    </r>
    <r>
      <rPr>
        <vertAlign val="subscript"/>
        <sz val="10"/>
        <rFont val="Arial"/>
        <family val="2"/>
      </rPr>
      <t>N</t>
    </r>
  </si>
  <si>
    <r>
      <t>Production (Nutr-Adj)</t>
    </r>
    <r>
      <rPr>
        <b/>
        <vertAlign val="subscript"/>
        <sz val="10"/>
        <rFont val="Arial"/>
        <family val="2"/>
      </rPr>
      <t>W</t>
    </r>
  </si>
  <si>
    <r>
      <t>Exports</t>
    </r>
    <r>
      <rPr>
        <b/>
        <vertAlign val="subscript"/>
        <sz val="10"/>
        <rFont val="Arial"/>
        <family val="2"/>
      </rPr>
      <t>N</t>
    </r>
  </si>
  <si>
    <r>
      <t>Imports</t>
    </r>
    <r>
      <rPr>
        <b/>
        <vertAlign val="subscript"/>
        <sz val="10"/>
        <rFont val="Arial"/>
        <family val="2"/>
      </rPr>
      <t>N</t>
    </r>
  </si>
  <si>
    <r>
      <t>Exports</t>
    </r>
    <r>
      <rPr>
        <b/>
        <vertAlign val="subscript"/>
        <sz val="10"/>
        <rFont val="Arial"/>
        <family val="2"/>
      </rPr>
      <t>W</t>
    </r>
  </si>
  <si>
    <r>
      <t>Imports</t>
    </r>
    <r>
      <rPr>
        <b/>
        <vertAlign val="subscript"/>
        <sz val="10"/>
        <rFont val="Arial"/>
        <family val="2"/>
      </rPr>
      <t>W</t>
    </r>
  </si>
  <si>
    <t>[m3 or t yr-1]</t>
  </si>
  <si>
    <t>Water Content</t>
  </si>
  <si>
    <t>crop_intensity</t>
  </si>
  <si>
    <t>ef_forest_products</t>
  </si>
  <si>
    <t>constant_forest_extr</t>
  </si>
  <si>
    <t>forest_trade</t>
  </si>
  <si>
    <t>crop_trade</t>
  </si>
  <si>
    <t>carbon_trade</t>
  </si>
  <si>
    <t>[gha wha-1]</t>
  </si>
  <si>
    <r>
      <t>Imports</t>
    </r>
    <r>
      <rPr>
        <b/>
        <vertAlign val="subscript"/>
        <sz val="10"/>
        <rFont val="Arial"/>
        <family val="2"/>
      </rPr>
      <t>N</t>
    </r>
    <r>
      <rPr>
        <b/>
        <sz val="10"/>
        <rFont val="Arial"/>
        <family val="2"/>
      </rPr>
      <t xml:space="preserve"> (Weight-Adj)</t>
    </r>
  </si>
  <si>
    <r>
      <t>Embodied Crop Footprint</t>
    </r>
    <r>
      <rPr>
        <b/>
        <vertAlign val="subscript"/>
        <sz val="10"/>
        <color indexed="9"/>
        <rFont val="Arial"/>
        <family val="2"/>
      </rPr>
      <t>I</t>
    </r>
  </si>
  <si>
    <r>
      <t>Embodied Crop Footprint</t>
    </r>
    <r>
      <rPr>
        <b/>
        <vertAlign val="subscript"/>
        <sz val="10"/>
        <color indexed="9"/>
        <rFont val="Arial"/>
        <family val="2"/>
      </rPr>
      <t>E</t>
    </r>
  </si>
  <si>
    <r>
      <t>Yield</t>
    </r>
    <r>
      <rPr>
        <b/>
        <vertAlign val="subscript"/>
        <sz val="10"/>
        <color indexed="9"/>
        <rFont val="Arial"/>
        <family val="2"/>
      </rPr>
      <t>E</t>
    </r>
  </si>
  <si>
    <r>
      <t>Yield</t>
    </r>
    <r>
      <rPr>
        <b/>
        <vertAlign val="subscript"/>
        <sz val="10"/>
        <color indexed="9"/>
        <rFont val="Arial"/>
        <family val="2"/>
      </rPr>
      <t>I</t>
    </r>
  </si>
  <si>
    <t>fish_commodity</t>
  </si>
  <si>
    <r>
      <t>Marine Production</t>
    </r>
    <r>
      <rPr>
        <b/>
        <vertAlign val="subscript"/>
        <sz val="10"/>
        <color indexed="9"/>
        <rFont val="Arial"/>
        <family val="2"/>
      </rPr>
      <t>N</t>
    </r>
  </si>
  <si>
    <r>
      <t>Marine Production</t>
    </r>
    <r>
      <rPr>
        <b/>
        <vertAlign val="subscript"/>
        <sz val="10"/>
        <color indexed="9"/>
        <rFont val="Arial"/>
        <family val="2"/>
      </rPr>
      <t>W</t>
    </r>
  </si>
  <si>
    <r>
      <t>Inland Production</t>
    </r>
    <r>
      <rPr>
        <b/>
        <vertAlign val="subscript"/>
        <sz val="10"/>
        <color indexed="9"/>
        <rFont val="Arial"/>
        <family val="2"/>
      </rPr>
      <t>N</t>
    </r>
  </si>
  <si>
    <r>
      <t>Inland Production</t>
    </r>
    <r>
      <rPr>
        <b/>
        <vertAlign val="subscript"/>
        <sz val="10"/>
        <color indexed="9"/>
        <rFont val="Arial"/>
        <family val="2"/>
      </rPr>
      <t>W</t>
    </r>
  </si>
  <si>
    <r>
      <t>Marine EF</t>
    </r>
    <r>
      <rPr>
        <b/>
        <vertAlign val="subscript"/>
        <sz val="10"/>
        <color indexed="9"/>
        <rFont val="Arial"/>
        <family val="2"/>
      </rPr>
      <t>P</t>
    </r>
  </si>
  <si>
    <r>
      <t>Inland EF</t>
    </r>
    <r>
      <rPr>
        <b/>
        <vertAlign val="subscript"/>
        <sz val="10"/>
        <color indexed="9"/>
        <rFont val="Arial"/>
        <family val="2"/>
      </rPr>
      <t>P</t>
    </r>
  </si>
  <si>
    <r>
      <t>EF</t>
    </r>
    <r>
      <rPr>
        <b/>
        <vertAlign val="subscript"/>
        <sz val="10"/>
        <color indexed="9"/>
        <rFont val="Arial"/>
        <family val="2"/>
      </rPr>
      <t>p</t>
    </r>
    <r>
      <rPr>
        <b/>
        <sz val="10"/>
        <color indexed="9"/>
        <rFont val="Arial"/>
        <family val="2"/>
      </rPr>
      <t xml:space="preserve"> World</t>
    </r>
  </si>
  <si>
    <t xml:space="preserve">Imports + Production </t>
  </si>
  <si>
    <t>Wood Fuel (Total)</t>
  </si>
  <si>
    <r>
      <t>m</t>
    </r>
    <r>
      <rPr>
        <b/>
        <vertAlign val="superscript"/>
        <sz val="10"/>
        <rFont val="Arial"/>
        <family val="2"/>
      </rPr>
      <t>3</t>
    </r>
    <r>
      <rPr>
        <sz val="10"/>
        <rFont val="Arial"/>
        <family val="2"/>
      </rPr>
      <t/>
    </r>
  </si>
  <si>
    <r>
      <t>m</t>
    </r>
    <r>
      <rPr>
        <vertAlign val="superscript"/>
        <sz val="10"/>
        <color theme="1" tint="0.249977111117893"/>
        <rFont val="Arial"/>
        <family val="2"/>
      </rPr>
      <t>3</t>
    </r>
    <r>
      <rPr>
        <sz val="10"/>
        <rFont val="Arial"/>
        <family val="2"/>
      </rPr>
      <t/>
    </r>
  </si>
  <si>
    <t>Industrial Roundwood (Total)</t>
  </si>
  <si>
    <r>
      <t>m</t>
    </r>
    <r>
      <rPr>
        <b/>
        <vertAlign val="superscript"/>
        <sz val="10"/>
        <rFont val="Arial"/>
        <family val="2"/>
      </rPr>
      <t>3</t>
    </r>
  </si>
  <si>
    <t>Industrial Roundwood (C)</t>
  </si>
  <si>
    <r>
      <t>m</t>
    </r>
    <r>
      <rPr>
        <vertAlign val="superscript"/>
        <sz val="10"/>
        <color theme="1" tint="0.249977111117893"/>
        <rFont val="Arial"/>
        <family val="2"/>
      </rPr>
      <t>3</t>
    </r>
  </si>
  <si>
    <t>Industrial Roundwood (NC)</t>
  </si>
  <si>
    <t>Sawlogs and Veneer Logs (Total)</t>
  </si>
  <si>
    <t>Sawlogs and Veneer Logs (C)</t>
  </si>
  <si>
    <t>Sawlogs and Veneer Logs (NC)</t>
  </si>
  <si>
    <t>Pulpwood, round and split (Total)</t>
  </si>
  <si>
    <t>Pulpwood, round and split (C)</t>
  </si>
  <si>
    <t>Pulpwood, round and split (NC)</t>
  </si>
  <si>
    <t>Pulpwood+Particles (Total)</t>
  </si>
  <si>
    <t>Pulpwood+Particles (C)</t>
  </si>
  <si>
    <t>Pulpwood+Particles (NC)</t>
  </si>
  <si>
    <t>Other Industrial Roundwood</t>
  </si>
  <si>
    <t>Other Industrial Roundwood (C)</t>
  </si>
  <si>
    <t>Other Industrial Roundwood (NC)</t>
  </si>
  <si>
    <t>Sawnwood (Total)</t>
  </si>
  <si>
    <t>Fibreboard</t>
  </si>
  <si>
    <t>Household + Sanitary Paper</t>
  </si>
  <si>
    <t>Packaging Materials</t>
  </si>
  <si>
    <t>Other Papers &amp; Packaging</t>
  </si>
  <si>
    <t>Paper + Paperboard NES</t>
  </si>
  <si>
    <r>
      <t>m</t>
    </r>
    <r>
      <rPr>
        <b/>
        <vertAlign val="superscript"/>
        <sz val="10"/>
        <rFont val="Arial"/>
        <family val="2"/>
      </rPr>
      <t>4</t>
    </r>
    <r>
      <rPr>
        <sz val="10"/>
        <rFont val="Arial"/>
        <family val="2"/>
      </rPr>
      <t/>
    </r>
  </si>
  <si>
    <t>Include in EF</t>
  </si>
  <si>
    <t>[t or head]</t>
  </si>
  <si>
    <t>livestock_trade</t>
  </si>
  <si>
    <r>
      <t>Live Weight</t>
    </r>
    <r>
      <rPr>
        <b/>
        <vertAlign val="subscript"/>
        <sz val="10"/>
        <rFont val="Arial"/>
        <family val="2"/>
      </rPr>
      <t>e</t>
    </r>
  </si>
  <si>
    <r>
      <t>Live Weight</t>
    </r>
    <r>
      <rPr>
        <b/>
        <vertAlign val="subscript"/>
        <sz val="10"/>
        <rFont val="Arial"/>
        <family val="2"/>
      </rPr>
      <t>i</t>
    </r>
  </si>
  <si>
    <t>Bran, wheat</t>
  </si>
  <si>
    <t>Beverages, fermented wheat</t>
  </si>
  <si>
    <t>Rice – total (Rice milled equivalent)</t>
  </si>
  <si>
    <t>Bran, rice</t>
  </si>
  <si>
    <t>Cake, rice bran</t>
  </si>
  <si>
    <t>Bran, maize</t>
  </si>
  <si>
    <t>Cake, maize</t>
  </si>
  <si>
    <t>Beer of maize</t>
  </si>
  <si>
    <t>Bran, millet</t>
  </si>
  <si>
    <t>Beer of millet</t>
  </si>
  <si>
    <t>Bran, sorghum</t>
  </si>
  <si>
    <t>Bran, buckwheat</t>
  </si>
  <si>
    <t>Bran, fonio</t>
  </si>
  <si>
    <t>Bran, triticale</t>
  </si>
  <si>
    <t>Potato offals</t>
  </si>
  <si>
    <t>Beet pulp</t>
  </si>
  <si>
    <t>Cake, soybeans</t>
  </si>
  <si>
    <t>Cake, groundnuts</t>
  </si>
  <si>
    <t>Cake, copra</t>
  </si>
  <si>
    <t>Cake, palm kernel</t>
  </si>
  <si>
    <t>Cake, sunflower</t>
  </si>
  <si>
    <t>Cake, rapeseed</t>
  </si>
  <si>
    <t>Cake, safflower</t>
  </si>
  <si>
    <t>Cake, sesame seed</t>
  </si>
  <si>
    <t>Cake, mustard</t>
  </si>
  <si>
    <t>Cake, kapok</t>
  </si>
  <si>
    <t>Cake, cottonseed</t>
  </si>
  <si>
    <t>Cake, linseed</t>
  </si>
  <si>
    <t>Cake, hempseed</t>
  </si>
  <si>
    <t>Beet tops</t>
  </si>
  <si>
    <t>Straw husks</t>
  </si>
  <si>
    <t>Leaves, tops, vines nes</t>
  </si>
  <si>
    <t>Feed, vegetable products nes</t>
  </si>
  <si>
    <t>Food wastes</t>
  </si>
  <si>
    <t>Dregs from brewing, distillation</t>
  </si>
  <si>
    <t>Feed, compound, nes</t>
  </si>
  <si>
    <t>Feed and meal, gluten</t>
  </si>
  <si>
    <t>Feed supplements</t>
  </si>
  <si>
    <t>Alfalfa meal and pellets</t>
  </si>
  <si>
    <t>Wheat and products</t>
  </si>
  <si>
    <t>Barley and Products</t>
  </si>
  <si>
    <t>Maize and products</t>
  </si>
  <si>
    <t>Rye and products</t>
  </si>
  <si>
    <t>Millet and products</t>
  </si>
  <si>
    <t>Sorghum and products</t>
  </si>
  <si>
    <t>Potatoes and products</t>
  </si>
  <si>
    <t>Cassava and Products</t>
  </si>
  <si>
    <t>Sugar Non-Centrifugal</t>
  </si>
  <si>
    <t>Pulses, Other and products</t>
  </si>
  <si>
    <t>Tomatoes and products</t>
  </si>
  <si>
    <t>Apples and products</t>
  </si>
  <si>
    <t>Cocoa Beans and products</t>
  </si>
  <si>
    <t>Offals, Edible</t>
  </si>
  <si>
    <t>Milk - Excluding Butter</t>
  </si>
  <si>
    <t>Source for Cereal Crops - FAO - Definition and Classification of Commodities, Cereals and Cereal Products - http://www.fao.org/es/faodef/fdef01e.htm</t>
  </si>
  <si>
    <t>Available Dry Matter</t>
  </si>
  <si>
    <t>Dry Feed Amount</t>
  </si>
  <si>
    <t>Primary Code</t>
  </si>
  <si>
    <t>Beverages, distilled alcoholic</t>
  </si>
  <si>
    <t>Brazil nuts, shelled</t>
  </si>
  <si>
    <t>Cashew nuts, shelled</t>
  </si>
  <si>
    <t>Cereals, breakfast</t>
  </si>
  <si>
    <t>Cherries, sour</t>
  </si>
  <si>
    <t>Chestnut</t>
  </si>
  <si>
    <t>Chocolate products nes</t>
  </si>
  <si>
    <t>Cigars, cheroots</t>
  </si>
  <si>
    <t>Cocoa, beans</t>
  </si>
  <si>
    <t>Cocoa, butter</t>
  </si>
  <si>
    <t>Cocoa, paste</t>
  </si>
  <si>
    <t>Cocoa, powder &amp; cake</t>
  </si>
  <si>
    <t>Coconuts, desiccated</t>
  </si>
  <si>
    <t>Coffee, extracts</t>
  </si>
  <si>
    <t>Coffee, husks and skins</t>
  </si>
  <si>
    <t>Coffee, roasted</t>
  </si>
  <si>
    <t>Coffee, substitutes containing coffee</t>
  </si>
  <si>
    <t>Cotton, carded, combed</t>
  </si>
  <si>
    <t>Feed, pulp of fruit</t>
  </si>
  <si>
    <t>Flour, cereals</t>
  </si>
  <si>
    <t>Flour, fonio</t>
  </si>
  <si>
    <t>Flour, maize</t>
  </si>
  <si>
    <t>Flour, mixed grain</t>
  </si>
  <si>
    <t>Flour, mustard</t>
  </si>
  <si>
    <t>Flour, potatoes</t>
  </si>
  <si>
    <t>Flour, pulses</t>
  </si>
  <si>
    <t>Flour, roots and tubers nes</t>
  </si>
  <si>
    <t>Flour, wheat</t>
  </si>
  <si>
    <t>Food preparations, flour, malt extract</t>
  </si>
  <si>
    <t>Forage and silage, clover</t>
  </si>
  <si>
    <t>Fructose and syrup, other</t>
  </si>
  <si>
    <t>Fruit, cooked, homogenized preparations</t>
  </si>
  <si>
    <t>Fruit, dried nes</t>
  </si>
  <si>
    <t>Fruit, fresh nes</t>
  </si>
  <si>
    <t>Fruit, prepared nes</t>
  </si>
  <si>
    <t>Germ, maize</t>
  </si>
  <si>
    <t>Grain, mixed</t>
  </si>
  <si>
    <t>Groundnuts, shelled</t>
  </si>
  <si>
    <t>Hazelnuts, shelled</t>
  </si>
  <si>
    <t>Juice, citrus, concentrated</t>
  </si>
  <si>
    <t>Juice, citrus, single strength</t>
  </si>
  <si>
    <t>Juice, fruit nes</t>
  </si>
  <si>
    <t>Juice, grape</t>
  </si>
  <si>
    <t>Juice, grapefruit</t>
  </si>
  <si>
    <t>Juice, grapefruit, concentrated</t>
  </si>
  <si>
    <t>Juice, lemon, concentrated</t>
  </si>
  <si>
    <t>Juice, orange, concentrated</t>
  </si>
  <si>
    <t>Juice, orange, single strength</t>
  </si>
  <si>
    <t>Juice, pineapple</t>
  </si>
  <si>
    <t>Juice, pineapple, concentrated</t>
  </si>
  <si>
    <t>Juice, plum, concentrated</t>
  </si>
  <si>
    <t>Juice, plum, single strength</t>
  </si>
  <si>
    <t>Juice, tomato</t>
  </si>
  <si>
    <t>Kola nuts</t>
  </si>
  <si>
    <t>Margarine, liquid</t>
  </si>
  <si>
    <t>Melons, other (inc.cantaloupes)</t>
  </si>
  <si>
    <t>Mushrooms, canned</t>
  </si>
  <si>
    <t>Nuts, prepared (exc. groundnuts)</t>
  </si>
  <si>
    <t>Oil, boiled etc</t>
  </si>
  <si>
    <t>Oil, castor beans</t>
  </si>
  <si>
    <t>Oil, coconut (copra)</t>
  </si>
  <si>
    <t>Oil, cottonseed</t>
  </si>
  <si>
    <t>Oil, groundnut</t>
  </si>
  <si>
    <t>Oil, kapok</t>
  </si>
  <si>
    <t>Oil, linseed</t>
  </si>
  <si>
    <t>Oil, maize</t>
  </si>
  <si>
    <t>Oil, olive residues</t>
  </si>
  <si>
    <t>Oil, olive, virgin</t>
  </si>
  <si>
    <t>Oil, palm</t>
  </si>
  <si>
    <t>Oil, palm kernel</t>
  </si>
  <si>
    <t>Oil, poppy</t>
  </si>
  <si>
    <t>Oil, rapeseed</t>
  </si>
  <si>
    <t>Oil, rice bran</t>
  </si>
  <si>
    <t>Oil, safflower</t>
  </si>
  <si>
    <t>Oil, sesame</t>
  </si>
  <si>
    <t>Oil, soybean</t>
  </si>
  <si>
    <t>Oil, sunflower</t>
  </si>
  <si>
    <t>Oil, vegetable origin nes</t>
  </si>
  <si>
    <t>Onions, shallots, green</t>
  </si>
  <si>
    <t>Pineapples canned</t>
  </si>
  <si>
    <t>Potatoes, frozen</t>
  </si>
  <si>
    <t>Rice, milled/husked</t>
  </si>
  <si>
    <t>Rubber natural dry</t>
  </si>
  <si>
    <t>Rubber, natural</t>
  </si>
  <si>
    <t>Starch, cassava</t>
  </si>
  <si>
    <t>Sugar non-centrifugal</t>
  </si>
  <si>
    <t>Tangerines, mandarins, clementines, satsumas</t>
  </si>
  <si>
    <t>Tea, mate extracts</t>
  </si>
  <si>
    <t>Tomatoes, paste</t>
  </si>
  <si>
    <t>Tomatoes, peeled</t>
  </si>
  <si>
    <t>Vegetables, canned nes</t>
  </si>
  <si>
    <t>Vegetables, dehydrated</t>
  </si>
  <si>
    <t>Vegetables, fresh nes</t>
  </si>
  <si>
    <t>Vegetables, fresh or dried products nes</t>
  </si>
  <si>
    <t>Vegetables, frozen</t>
  </si>
  <si>
    <t>Vegetables, homogenized preparations</t>
  </si>
  <si>
    <t>Vegetables, preserved nes</t>
  </si>
  <si>
    <t>Vegetables, preserved, frozen</t>
  </si>
  <si>
    <t>Vegetables, temporarily preserved</t>
  </si>
  <si>
    <t>Vermouths &amp; similar</t>
  </si>
  <si>
    <t>Walnuts, shelled</t>
  </si>
  <si>
    <t>Pet food</t>
  </si>
  <si>
    <t>Meat, cattle</t>
  </si>
  <si>
    <t>Offals, edible, cattle</t>
  </si>
  <si>
    <t>Fat, cattle</t>
  </si>
  <si>
    <t>Meat, cattle, boneless (beef &amp; veal)</t>
  </si>
  <si>
    <t>Meat, beef and veal sausages</t>
  </si>
  <si>
    <t>Meat, beef, preparations</t>
  </si>
  <si>
    <t>Milk, whole fresh cow</t>
  </si>
  <si>
    <t>Cream fresh</t>
  </si>
  <si>
    <t>Butter, cow milk</t>
  </si>
  <si>
    <t>Milk, skimmed cow</t>
  </si>
  <si>
    <t>Milk, whole condensed</t>
  </si>
  <si>
    <t>Whey, condensed</t>
  </si>
  <si>
    <t>Yoghurt, concentrated or not</t>
  </si>
  <si>
    <t>Buttermilk, curdled, acidified milk</t>
  </si>
  <si>
    <t>Milk, whole evaporated</t>
  </si>
  <si>
    <t>Milk, whole dried</t>
  </si>
  <si>
    <t>Milk, skimmed dried</t>
  </si>
  <si>
    <t>Whey, dry</t>
  </si>
  <si>
    <t>Cheese, whole cow milk</t>
  </si>
  <si>
    <t>Cheese, processed</t>
  </si>
  <si>
    <t>Milk, reconstituted</t>
  </si>
  <si>
    <t>Milk, products of natural constituents nes</t>
  </si>
  <si>
    <t>Ice cream and edible ice</t>
  </si>
  <si>
    <t>Hides, cattle, fresh</t>
  </si>
  <si>
    <t>Hides, cattle, wet salted</t>
  </si>
  <si>
    <t>Skins, calve, fresh</t>
  </si>
  <si>
    <t>Skins, calve, wet salted</t>
  </si>
  <si>
    <t>Ghee, of buffalo milk</t>
  </si>
  <si>
    <t>Hides, buffalo, wet salted</t>
  </si>
  <si>
    <t>Hides, buffalo, dry salted</t>
  </si>
  <si>
    <t>Meat, sheep</t>
  </si>
  <si>
    <t>Offals, sheep,edible</t>
  </si>
  <si>
    <t>Milk, whole fresh sheep</t>
  </si>
  <si>
    <t>Cheese, sheep milk</t>
  </si>
  <si>
    <t>Wool, degreased</t>
  </si>
  <si>
    <t>Grease incl. lanolin wool</t>
  </si>
  <si>
    <t>Skins, sheep, fresh</t>
  </si>
  <si>
    <t>Skins, sheep, wet salted</t>
  </si>
  <si>
    <t>Skins, sheep, dry salted</t>
  </si>
  <si>
    <t>Skins, sheep, with wool</t>
  </si>
  <si>
    <t>Wool, hair waste</t>
  </si>
  <si>
    <t>Meat, goat</t>
  </si>
  <si>
    <t>Offals, edible, goats</t>
  </si>
  <si>
    <t>Milk, whole fresh goat</t>
  </si>
  <si>
    <t>Butter of goat mlk</t>
  </si>
  <si>
    <t>Milk, skimmed goat</t>
  </si>
  <si>
    <t>Skins, goat, wet salted</t>
  </si>
  <si>
    <t>Hair, goat, coarse</t>
  </si>
  <si>
    <t>Meat, pig</t>
  </si>
  <si>
    <t>Offals, pigs, edible</t>
  </si>
  <si>
    <t>Fat, pigs</t>
  </si>
  <si>
    <t>Meat, pork</t>
  </si>
  <si>
    <t>Bacon and ham</t>
  </si>
  <si>
    <t>Meat, pig sausages</t>
  </si>
  <si>
    <t>Meat, pig, preparations</t>
  </si>
  <si>
    <t>Meat, chicken</t>
  </si>
  <si>
    <t>Offals, liver chicken</t>
  </si>
  <si>
    <t>Fat, liver prepared (foie gras)</t>
  </si>
  <si>
    <t>Meat, chicken, canned</t>
  </si>
  <si>
    <t>Eggs, hen, in shell</t>
  </si>
  <si>
    <t>Eggs, liquid</t>
  </si>
  <si>
    <t>Eggs, dried</t>
  </si>
  <si>
    <t>Meat, duck</t>
  </si>
  <si>
    <t>Meat, goose and guinea fowl</t>
  </si>
  <si>
    <t>Offals, liver geese</t>
  </si>
  <si>
    <t>Offals, liver duck</t>
  </si>
  <si>
    <t>Meat, turkey</t>
  </si>
  <si>
    <t>Pigeons, other birds</t>
  </si>
  <si>
    <t>Eggs, other bird, in shell</t>
  </si>
  <si>
    <t>Meat, horse</t>
  </si>
  <si>
    <t>Hides, horse, dry salted</t>
  </si>
  <si>
    <t>Meat, ass</t>
  </si>
  <si>
    <t>Fat, camels</t>
  </si>
  <si>
    <t>Hides, camel, wet salted</t>
  </si>
  <si>
    <t>Hides, camel, nes</t>
  </si>
  <si>
    <t>Meat, rabbit</t>
  </si>
  <si>
    <t>Rodents, other</t>
  </si>
  <si>
    <t>Camelids, other</t>
  </si>
  <si>
    <t>Offals, other camelids</t>
  </si>
  <si>
    <t>Meat, game</t>
  </si>
  <si>
    <t>Meat, dried nes</t>
  </si>
  <si>
    <t>Meat, nes</t>
  </si>
  <si>
    <t>Oils, fats of animal nes</t>
  </si>
  <si>
    <t>Animals live nes</t>
  </si>
  <si>
    <t>Meal, meat</t>
  </si>
  <si>
    <t>Silk raw</t>
  </si>
  <si>
    <t>Cocoons, unreelable &amp; waste</t>
  </si>
  <si>
    <t>Hides and skins nes, fresh</t>
  </si>
  <si>
    <t>Hides, nes</t>
  </si>
  <si>
    <t>Hair, fine</t>
  </si>
  <si>
    <t>Fat, nes, prepared</t>
  </si>
  <si>
    <t>Fatty acids</t>
  </si>
  <si>
    <t>Fatty substance residues</t>
  </si>
  <si>
    <t>Parent Key</t>
  </si>
  <si>
    <t>Top Parent Code</t>
  </si>
  <si>
    <t>32739*</t>
  </si>
  <si>
    <t>23220*</t>
  </si>
  <si>
    <t>1880080*</t>
  </si>
  <si>
    <t>925516*</t>
  </si>
  <si>
    <t>2290330*</t>
  </si>
  <si>
    <t>1796120*</t>
  </si>
  <si>
    <t>19960936*</t>
  </si>
  <si>
    <t>14155886*</t>
  </si>
  <si>
    <t>4040699*</t>
  </si>
  <si>
    <t>2091554*</t>
  </si>
  <si>
    <t>81816*</t>
  </si>
  <si>
    <t>72923*</t>
  </si>
  <si>
    <t>2527*</t>
  </si>
  <si>
    <t>1941*</t>
  </si>
  <si>
    <t>3300*</t>
  </si>
  <si>
    <t>6630*</t>
  </si>
  <si>
    <t>29226*</t>
  </si>
  <si>
    <t>10553*</t>
  </si>
  <si>
    <t>136765*</t>
  </si>
  <si>
    <t>269974*</t>
  </si>
  <si>
    <t>97908*</t>
  </si>
  <si>
    <t>50537*</t>
  </si>
  <si>
    <t>2*</t>
  </si>
  <si>
    <t>1*</t>
  </si>
  <si>
    <t>1623*</t>
  </si>
  <si>
    <t>135*</t>
  </si>
  <si>
    <t>854*</t>
  </si>
  <si>
    <t>367*</t>
  </si>
  <si>
    <t>934*</t>
  </si>
  <si>
    <t>812*</t>
  </si>
  <si>
    <t>600*</t>
  </si>
  <si>
    <t>266*</t>
  </si>
  <si>
    <t>1513*</t>
  </si>
  <si>
    <t>332*</t>
  </si>
  <si>
    <t>140*</t>
  </si>
  <si>
    <t>55*</t>
  </si>
  <si>
    <t>4035*</t>
  </si>
  <si>
    <t>440*</t>
  </si>
  <si>
    <t>19081*</t>
  </si>
  <si>
    <t>6717*</t>
  </si>
  <si>
    <t>164952*</t>
  </si>
  <si>
    <t>96602*</t>
  </si>
  <si>
    <t>429691*</t>
  </si>
  <si>
    <t>103557*</t>
  </si>
  <si>
    <t>29554*</t>
  </si>
  <si>
    <t>23396*</t>
  </si>
  <si>
    <t>29488*</t>
  </si>
  <si>
    <t>10744*</t>
  </si>
  <si>
    <t>57897*</t>
  </si>
  <si>
    <t>39239*</t>
  </si>
  <si>
    <t>2526*</t>
  </si>
  <si>
    <t>1754*</t>
  </si>
  <si>
    <t>90254*</t>
  </si>
  <si>
    <t>90424*</t>
  </si>
  <si>
    <t>48309*</t>
  </si>
  <si>
    <t>44677*</t>
  </si>
  <si>
    <t>365*</t>
  </si>
  <si>
    <t>549*</t>
  </si>
  <si>
    <t>102669*</t>
  </si>
  <si>
    <t>11084*</t>
  </si>
  <si>
    <t>335193*</t>
  </si>
  <si>
    <t>49538*</t>
  </si>
  <si>
    <t>397061*</t>
  </si>
  <si>
    <t>243186*</t>
  </si>
  <si>
    <t>1562*</t>
  </si>
  <si>
    <t>961*</t>
  </si>
  <si>
    <t>1491*</t>
  </si>
  <si>
    <t>1501*</t>
  </si>
  <si>
    <t>4583*</t>
  </si>
  <si>
    <t>2972*</t>
  </si>
  <si>
    <t>951307*</t>
  </si>
  <si>
    <t>594717*</t>
  </si>
  <si>
    <t>322246*</t>
  </si>
  <si>
    <t>82187*</t>
  </si>
  <si>
    <t>10725*</t>
  </si>
  <si>
    <t>21263*</t>
  </si>
  <si>
    <t>*</t>
  </si>
  <si>
    <t>29252*</t>
  </si>
  <si>
    <t>81219*</t>
  </si>
  <si>
    <t>88198*</t>
  </si>
  <si>
    <t>64425*</t>
  </si>
  <si>
    <t>1649*</t>
  </si>
  <si>
    <t>4501*</t>
  </si>
  <si>
    <t>249465*</t>
  </si>
  <si>
    <t>286332*</t>
  </si>
  <si>
    <t>418013*</t>
  </si>
  <si>
    <t>859692*</t>
  </si>
  <si>
    <t>29713*</t>
  </si>
  <si>
    <t>12446*</t>
  </si>
  <si>
    <t>503*</t>
  </si>
  <si>
    <t>40*</t>
  </si>
  <si>
    <t>3418*</t>
  </si>
  <si>
    <t>5380*</t>
  </si>
  <si>
    <t>399006*</t>
  </si>
  <si>
    <t>40144*</t>
  </si>
  <si>
    <t>15*</t>
  </si>
  <si>
    <t>33*</t>
  </si>
  <si>
    <t>1546*</t>
  </si>
  <si>
    <t>4078*</t>
  </si>
  <si>
    <t>Jojoba Seed</t>
  </si>
  <si>
    <t>683*</t>
  </si>
  <si>
    <t>5048*</t>
  </si>
  <si>
    <t>1625*</t>
  </si>
  <si>
    <t>968*</t>
  </si>
  <si>
    <t>11081*</t>
  </si>
  <si>
    <t>15485*</t>
  </si>
  <si>
    <t>14785*</t>
  </si>
  <si>
    <t>3949*</t>
  </si>
  <si>
    <t>0*</t>
  </si>
  <si>
    <t>22481*</t>
  </si>
  <si>
    <t>24364*</t>
  </si>
  <si>
    <t>908051*</t>
  </si>
  <si>
    <t>197928*</t>
  </si>
  <si>
    <t>1774958*</t>
  </si>
  <si>
    <t>851297*</t>
  </si>
  <si>
    <t>7924*</t>
  </si>
  <si>
    <t>5538*</t>
  </si>
  <si>
    <t>44922*</t>
  </si>
  <si>
    <t>54801*</t>
  </si>
  <si>
    <t>395*</t>
  </si>
  <si>
    <t>2004*</t>
  </si>
  <si>
    <t>38711*</t>
  </si>
  <si>
    <t>19519*</t>
  </si>
  <si>
    <t>53572*</t>
  </si>
  <si>
    <t>466762*</t>
  </si>
  <si>
    <t>4575*</t>
  </si>
  <si>
    <t>9951*</t>
  </si>
  <si>
    <t>41651*</t>
  </si>
  <si>
    <t>61441*</t>
  </si>
  <si>
    <t>24656*</t>
  </si>
  <si>
    <t>45545*</t>
  </si>
  <si>
    <t>245*</t>
  </si>
  <si>
    <t>175*</t>
  </si>
  <si>
    <t>132967*</t>
  </si>
  <si>
    <t>116122*</t>
  </si>
  <si>
    <t>52621*</t>
  </si>
  <si>
    <t>51943*</t>
  </si>
  <si>
    <t>872939*</t>
  </si>
  <si>
    <t>1187433*</t>
  </si>
  <si>
    <t>1280967*</t>
  </si>
  <si>
    <t>2110360*</t>
  </si>
  <si>
    <t>923*</t>
  </si>
  <si>
    <t>964*</t>
  </si>
  <si>
    <t>108790*</t>
  </si>
  <si>
    <t>540959*</t>
  </si>
  <si>
    <t>55432*</t>
  </si>
  <si>
    <t>271701*</t>
  </si>
  <si>
    <t>336327*</t>
  </si>
  <si>
    <t>255152*</t>
  </si>
  <si>
    <t>4742*</t>
  </si>
  <si>
    <t>1993*</t>
  </si>
  <si>
    <t>7762*</t>
  </si>
  <si>
    <t>4860*</t>
  </si>
  <si>
    <t>1899*</t>
  </si>
  <si>
    <t>1991*</t>
  </si>
  <si>
    <t>25543*</t>
  </si>
  <si>
    <t>76996*</t>
  </si>
  <si>
    <t>46521*</t>
  </si>
  <si>
    <t>155295*</t>
  </si>
  <si>
    <t>99085*</t>
  </si>
  <si>
    <t>243861*</t>
  </si>
  <si>
    <t>166*</t>
  </si>
  <si>
    <t>17*</t>
  </si>
  <si>
    <t>16*</t>
  </si>
  <si>
    <t>4*</t>
  </si>
  <si>
    <t>26552*</t>
  </si>
  <si>
    <t>8243*</t>
  </si>
  <si>
    <t>17761*</t>
  </si>
  <si>
    <t>5371*</t>
  </si>
  <si>
    <t>Forage Products</t>
  </si>
  <si>
    <t>57*</t>
  </si>
  <si>
    <t>10*</t>
  </si>
  <si>
    <t>122316*</t>
  </si>
  <si>
    <t>51934*</t>
  </si>
  <si>
    <t>16118*</t>
  </si>
  <si>
    <t>13735*</t>
  </si>
  <si>
    <t>2320*</t>
  </si>
  <si>
    <t>913*</t>
  </si>
  <si>
    <t>97*</t>
  </si>
  <si>
    <t>212*</t>
  </si>
  <si>
    <t>14343*</t>
  </si>
  <si>
    <t>16869*</t>
  </si>
  <si>
    <t>255749*</t>
  </si>
  <si>
    <t>67977*</t>
  </si>
  <si>
    <t>180899*</t>
  </si>
  <si>
    <t>133434*</t>
  </si>
  <si>
    <t>6784*</t>
  </si>
  <si>
    <t>24248*</t>
  </si>
  <si>
    <t>140498*</t>
  </si>
  <si>
    <t>86457*</t>
  </si>
  <si>
    <t>187392*</t>
  </si>
  <si>
    <t>98955*</t>
  </si>
  <si>
    <t>53313*</t>
  </si>
  <si>
    <t>47077*</t>
  </si>
  <si>
    <t>25702*</t>
  </si>
  <si>
    <t>33392*</t>
  </si>
  <si>
    <t>68528*</t>
  </si>
  <si>
    <t>13940*</t>
  </si>
  <si>
    <t>29*</t>
  </si>
  <si>
    <t>48*</t>
  </si>
  <si>
    <t>27395*</t>
  </si>
  <si>
    <t>218867*</t>
  </si>
  <si>
    <t>36258*</t>
  </si>
  <si>
    <t>241027*</t>
  </si>
  <si>
    <t>48603*</t>
  </si>
  <si>
    <t>180836*</t>
  </si>
  <si>
    <t>41001*</t>
  </si>
  <si>
    <t>211424*</t>
  </si>
  <si>
    <t>52791*</t>
  </si>
  <si>
    <t>191874*</t>
  </si>
  <si>
    <t>64329*</t>
  </si>
  <si>
    <t>94157*</t>
  </si>
  <si>
    <t>1299*</t>
  </si>
  <si>
    <t>5302*</t>
  </si>
  <si>
    <t>14341*</t>
  </si>
  <si>
    <t>28266*</t>
  </si>
  <si>
    <t>1101*</t>
  </si>
  <si>
    <t>3479*</t>
  </si>
  <si>
    <t>361998*</t>
  </si>
  <si>
    <t>121661*</t>
  </si>
  <si>
    <t>1601*</t>
  </si>
  <si>
    <t>9057*</t>
  </si>
  <si>
    <t>23801*</t>
  </si>
  <si>
    <t>96218*</t>
  </si>
  <si>
    <t>321135*</t>
  </si>
  <si>
    <t>597459*</t>
  </si>
  <si>
    <t>11932*</t>
  </si>
  <si>
    <t>18439*</t>
  </si>
  <si>
    <t>643*</t>
  </si>
  <si>
    <t>2400*</t>
  </si>
  <si>
    <t>359*</t>
  </si>
  <si>
    <t>50*</t>
  </si>
  <si>
    <t>8254*</t>
  </si>
  <si>
    <t>12254*</t>
  </si>
  <si>
    <t>86*</t>
  </si>
  <si>
    <t>101*</t>
  </si>
  <si>
    <t>4094*</t>
  </si>
  <si>
    <t>5298*</t>
  </si>
  <si>
    <t>419*</t>
  </si>
  <si>
    <t>42021*</t>
  </si>
  <si>
    <t>1602*</t>
  </si>
  <si>
    <t>4520*</t>
  </si>
  <si>
    <t>20989*</t>
  </si>
  <si>
    <t>257181*</t>
  </si>
  <si>
    <t>334*</t>
  </si>
  <si>
    <t>1175*</t>
  </si>
  <si>
    <t>5076*</t>
  </si>
  <si>
    <t>19418*</t>
  </si>
  <si>
    <t>267*</t>
  </si>
  <si>
    <t>137*</t>
  </si>
  <si>
    <t>4213*</t>
  </si>
  <si>
    <t>287818*</t>
  </si>
  <si>
    <t>36*</t>
  </si>
  <si>
    <t>100727*</t>
  </si>
  <si>
    <t>99752*</t>
  </si>
  <si>
    <t>1078*</t>
  </si>
  <si>
    <t>1374*</t>
  </si>
  <si>
    <t>37034*</t>
  </si>
  <si>
    <t>40948*</t>
  </si>
  <si>
    <t>21446*</t>
  </si>
  <si>
    <t>15281*</t>
  </si>
  <si>
    <t>57679*</t>
  </si>
  <si>
    <t>65346*</t>
  </si>
  <si>
    <t>2360*</t>
  </si>
  <si>
    <t>16560*</t>
  </si>
  <si>
    <t>2600*</t>
  </si>
  <si>
    <t>4809*</t>
  </si>
  <si>
    <t>481*</t>
  </si>
  <si>
    <t>823*</t>
  </si>
  <si>
    <t>5685*</t>
  </si>
  <si>
    <t>13602*</t>
  </si>
  <si>
    <t>58*</t>
  </si>
  <si>
    <t>509*</t>
  </si>
  <si>
    <t>1319*</t>
  </si>
  <si>
    <t>5*</t>
  </si>
  <si>
    <t>30727*</t>
  </si>
  <si>
    <t>43395*</t>
  </si>
  <si>
    <t>58817*</t>
  </si>
  <si>
    <t>248409*</t>
  </si>
  <si>
    <t>45494*</t>
  </si>
  <si>
    <t>2017890*</t>
  </si>
  <si>
    <t>9087*</t>
  </si>
  <si>
    <t>76075*</t>
  </si>
  <si>
    <t>2805*</t>
  </si>
  <si>
    <t>92423*</t>
  </si>
  <si>
    <t>88751*</t>
  </si>
  <si>
    <t>145797*</t>
  </si>
  <si>
    <t>13582*</t>
  </si>
  <si>
    <t>22633*</t>
  </si>
  <si>
    <t>29290*</t>
  </si>
  <si>
    <t>32404*</t>
  </si>
  <si>
    <t>30859*</t>
  </si>
  <si>
    <t>4414*</t>
  </si>
  <si>
    <t>197603*</t>
  </si>
  <si>
    <t>219067*</t>
  </si>
  <si>
    <t>2907106*</t>
  </si>
  <si>
    <t>4170795*</t>
  </si>
  <si>
    <t>826*</t>
  </si>
  <si>
    <t>37926337*</t>
  </si>
  <si>
    <t>963*</t>
  </si>
  <si>
    <t>3689*</t>
  </si>
  <si>
    <t>Sub-group</t>
  </si>
  <si>
    <t>Data Year / Comments</t>
  </si>
  <si>
    <t>*Data no longer available in tradestat</t>
  </si>
  <si>
    <t>Item Code</t>
  </si>
  <si>
    <t>Price × TCF</t>
  </si>
  <si>
    <t>Crop in Traded Livestock</t>
  </si>
  <si>
    <t>Crop in Domestic Livestock</t>
  </si>
  <si>
    <r>
      <t>EF</t>
    </r>
    <r>
      <rPr>
        <b/>
        <vertAlign val="subscript"/>
        <sz val="10"/>
        <rFont val="Arial"/>
        <family val="2"/>
      </rPr>
      <t>P</t>
    </r>
    <r>
      <rPr>
        <b/>
        <sz val="10"/>
        <rFont val="Arial"/>
        <family val="2"/>
      </rPr>
      <t xml:space="preserve"> crops</t>
    </r>
  </si>
  <si>
    <r>
      <t>EF</t>
    </r>
    <r>
      <rPr>
        <b/>
        <vertAlign val="subscript"/>
        <sz val="10"/>
        <rFont val="Arial"/>
        <family val="2"/>
      </rPr>
      <t>I</t>
    </r>
    <r>
      <rPr>
        <b/>
        <sz val="10"/>
        <rFont val="Arial"/>
        <family val="2"/>
      </rPr>
      <t xml:space="preserve"> crops</t>
    </r>
  </si>
  <si>
    <r>
      <t>EF</t>
    </r>
    <r>
      <rPr>
        <b/>
        <vertAlign val="subscript"/>
        <sz val="10"/>
        <rFont val="Arial"/>
        <family val="2"/>
      </rPr>
      <t>E</t>
    </r>
    <r>
      <rPr>
        <b/>
        <sz val="10"/>
        <rFont val="Arial"/>
        <family val="2"/>
      </rPr>
      <t xml:space="preserve"> crops</t>
    </r>
  </si>
  <si>
    <t>Sunflowerseed Oil</t>
  </si>
  <si>
    <t>Cottonseed Oil</t>
  </si>
  <si>
    <t>Olive Oil</t>
  </si>
  <si>
    <t>Soyabean Cake</t>
  </si>
  <si>
    <t>Groundnut Cake</t>
  </si>
  <si>
    <t>Sunflowerseed Cake</t>
  </si>
  <si>
    <t>Rape and Mustard Cake</t>
  </si>
  <si>
    <t>Cottonseed Cake</t>
  </si>
  <si>
    <t>Palmkernel Cake</t>
  </si>
  <si>
    <t>Copra Cake</t>
  </si>
  <si>
    <t>Sesameseed Cake</t>
  </si>
  <si>
    <t>Oilseed Cakes, Other</t>
  </si>
  <si>
    <t>Brans</t>
  </si>
  <si>
    <t>Grapefruit and products</t>
  </si>
  <si>
    <t>Grapes and products (excl wine)</t>
  </si>
  <si>
    <t>Tea (including mate)</t>
  </si>
  <si>
    <t>Soft-Fibres, Other</t>
  </si>
  <si>
    <t>Roots &amp; Tuber Dry Equiv</t>
  </si>
  <si>
    <t>Groundnuts (in Shell Eq)</t>
  </si>
  <si>
    <t>Whey</t>
  </si>
  <si>
    <t>Meat Meal</t>
  </si>
  <si>
    <t>Cheese</t>
  </si>
  <si>
    <t>Honey</t>
  </si>
  <si>
    <t>Hides and skins</t>
  </si>
  <si>
    <t>Crop Products + Crop in Livestock</t>
  </si>
  <si>
    <r>
      <t>EF</t>
    </r>
    <r>
      <rPr>
        <b/>
        <sz val="10"/>
        <rFont val="Arial"/>
        <family val="2"/>
      </rPr>
      <t xml:space="preserve"> Crop</t>
    </r>
  </si>
  <si>
    <t xml:space="preserve"> - </t>
  </si>
  <si>
    <t>Live Animals</t>
  </si>
  <si>
    <t>Live Animal Products</t>
  </si>
  <si>
    <r>
      <t>EF</t>
    </r>
    <r>
      <rPr>
        <b/>
        <vertAlign val="subscript"/>
        <sz val="10"/>
        <rFont val="Arial"/>
        <family val="2"/>
      </rPr>
      <t>P</t>
    </r>
    <r>
      <rPr>
        <b/>
        <sz val="10"/>
        <rFont val="Arial"/>
        <family val="2"/>
      </rPr>
      <t xml:space="preserve"> grazing</t>
    </r>
  </si>
  <si>
    <r>
      <t>EF</t>
    </r>
    <r>
      <rPr>
        <b/>
        <vertAlign val="subscript"/>
        <sz val="10"/>
        <rFont val="Arial"/>
        <family val="2"/>
      </rPr>
      <t>I</t>
    </r>
    <r>
      <rPr>
        <b/>
        <sz val="10"/>
        <rFont val="Arial"/>
        <family val="2"/>
      </rPr>
      <t xml:space="preserve"> grazing</t>
    </r>
  </si>
  <si>
    <r>
      <t>EF</t>
    </r>
    <r>
      <rPr>
        <b/>
        <vertAlign val="subscript"/>
        <sz val="10"/>
        <rFont val="Arial"/>
        <family val="2"/>
      </rPr>
      <t>E</t>
    </r>
    <r>
      <rPr>
        <b/>
        <sz val="10"/>
        <rFont val="Arial"/>
        <family val="2"/>
      </rPr>
      <t xml:space="preserve"> grazing</t>
    </r>
  </si>
  <si>
    <t>China, mainland</t>
  </si>
  <si>
    <t>Cabo Verde</t>
  </si>
  <si>
    <t>China Hong Kong SAR</t>
  </si>
  <si>
    <t>China, Macao SAR</t>
  </si>
  <si>
    <t>Data Summarized for China</t>
  </si>
  <si>
    <r>
      <t>[gha t dm</t>
    </r>
    <r>
      <rPr>
        <vertAlign val="superscript"/>
        <sz val="10"/>
        <color indexed="23"/>
        <rFont val="Arial"/>
        <family val="2"/>
      </rPr>
      <t>-1</t>
    </r>
    <r>
      <rPr>
        <sz val="10"/>
        <color indexed="23"/>
        <rFont val="Arial"/>
        <family val="2"/>
      </rPr>
      <t>]</t>
    </r>
  </si>
  <si>
    <t>Species-specific lifetime feed intake (kg DM/head/lifetime)</t>
  </si>
  <si>
    <t>Animal product feed efficiency (kg feed DM/kg product)</t>
  </si>
  <si>
    <t>Feed Code</t>
  </si>
  <si>
    <t>Source for Fish Meal - FAO - Fish Meal - http://www.fao.org/wairdocs/tan/x5926e/x5926e01.htm</t>
  </si>
  <si>
    <t>Mixed grasses and legumes</t>
  </si>
  <si>
    <r>
      <t>[kg yr</t>
    </r>
    <r>
      <rPr>
        <vertAlign val="superscript"/>
        <sz val="10"/>
        <color indexed="22"/>
        <rFont val="Arial"/>
        <family val="2"/>
      </rPr>
      <t>-1</t>
    </r>
    <r>
      <rPr>
        <sz val="10"/>
        <color indexed="22"/>
        <rFont val="Arial"/>
        <family val="2"/>
      </rPr>
      <t>]</t>
    </r>
  </si>
  <si>
    <t>Other energy industry own use</t>
  </si>
  <si>
    <t>Domestic Aviation</t>
  </si>
  <si>
    <t xml:space="preserve">Domestic Navigation </t>
  </si>
  <si>
    <t xml:space="preserve">Other </t>
  </si>
  <si>
    <t>Agriculture/forestry</t>
  </si>
  <si>
    <t>Memo: International Aviation Bunkers</t>
  </si>
  <si>
    <t>Fishing</t>
  </si>
  <si>
    <t>[t dm yr-1]</t>
  </si>
  <si>
    <t>List of product names from FAOSTAT ProdSTAT and PRICE vales from FAOSTAT TradeSTAT section (preference given to 2011 import data). Downloaded November 2014</t>
  </si>
  <si>
    <t>GFN Country Name</t>
  </si>
  <si>
    <r>
      <t>Grazing EF</t>
    </r>
    <r>
      <rPr>
        <b/>
        <vertAlign val="subscript"/>
        <sz val="10"/>
        <rFont val="Arial"/>
        <family val="2"/>
      </rPr>
      <t>I</t>
    </r>
  </si>
  <si>
    <r>
      <t>Total EF</t>
    </r>
    <r>
      <rPr>
        <b/>
        <vertAlign val="subscript"/>
        <sz val="10"/>
        <rFont val="Arial"/>
        <family val="2"/>
      </rPr>
      <t>I</t>
    </r>
  </si>
  <si>
    <r>
      <t>Total EF</t>
    </r>
    <r>
      <rPr>
        <b/>
        <vertAlign val="subscript"/>
        <sz val="10"/>
        <rFont val="Arial"/>
        <family val="2"/>
      </rPr>
      <t>E</t>
    </r>
  </si>
  <si>
    <t>[$1000]</t>
  </si>
  <si>
    <r>
      <t>[$1000 (t p)</t>
    </r>
    <r>
      <rPr>
        <vertAlign val="superscript"/>
        <sz val="10"/>
        <color rgb="FF808080"/>
        <rFont val="Arial"/>
        <family val="2"/>
      </rPr>
      <t>-1</t>
    </r>
    <r>
      <rPr>
        <sz val="10"/>
        <color rgb="FF808080"/>
        <rFont val="Arial"/>
        <family val="2"/>
      </rPr>
      <t>]</t>
    </r>
  </si>
  <si>
    <r>
      <t>[$1000 (t d)</t>
    </r>
    <r>
      <rPr>
        <vertAlign val="superscript"/>
        <sz val="10"/>
        <color rgb="FF808080"/>
        <rFont val="Arial"/>
        <family val="2"/>
      </rPr>
      <t>-1</t>
    </r>
    <r>
      <rPr>
        <sz val="10"/>
        <color rgb="FF808080"/>
        <rFont val="Arial"/>
        <family val="2"/>
      </rPr>
      <t>]</t>
    </r>
  </si>
  <si>
    <r>
      <t>Crop Feed EF</t>
    </r>
    <r>
      <rPr>
        <b/>
        <vertAlign val="subscript"/>
        <sz val="10"/>
        <rFont val="Arial"/>
        <family val="2"/>
      </rPr>
      <t>I</t>
    </r>
  </si>
  <si>
    <r>
      <t>Crop Feed EF</t>
    </r>
    <r>
      <rPr>
        <b/>
        <vertAlign val="subscript"/>
        <sz val="10"/>
        <rFont val="Arial"/>
        <family val="2"/>
      </rPr>
      <t>E</t>
    </r>
  </si>
  <si>
    <r>
      <t>Fish Feed EF</t>
    </r>
    <r>
      <rPr>
        <b/>
        <vertAlign val="subscript"/>
        <sz val="10"/>
        <color indexed="9"/>
        <rFont val="Arial"/>
        <family val="2"/>
      </rPr>
      <t>I</t>
    </r>
  </si>
  <si>
    <r>
      <t>Fish Feed EF</t>
    </r>
    <r>
      <rPr>
        <b/>
        <vertAlign val="subscript"/>
        <sz val="10"/>
        <color indexed="9"/>
        <rFont val="Arial"/>
        <family val="2"/>
      </rPr>
      <t>E</t>
    </r>
  </si>
  <si>
    <t>constant_area_shelf</t>
  </si>
  <si>
    <t>Reside Feed</t>
  </si>
  <si>
    <t>Dry Residue Feed</t>
  </si>
  <si>
    <r>
      <t>[t dm residue feed yr</t>
    </r>
    <r>
      <rPr>
        <vertAlign val="superscript"/>
        <sz val="10"/>
        <color indexed="23"/>
        <rFont val="Arial"/>
        <family val="2"/>
      </rPr>
      <t>-1</t>
    </r>
    <r>
      <rPr>
        <sz val="10"/>
        <color indexed="23"/>
        <rFont val="Arial"/>
        <family val="2"/>
      </rPr>
      <t>]</t>
    </r>
  </si>
  <si>
    <t>YieldN</t>
  </si>
  <si>
    <t>YieldW</t>
  </si>
  <si>
    <r>
      <t>[gha (t d)</t>
    </r>
    <r>
      <rPr>
        <vertAlign val="superscript"/>
        <sz val="10"/>
        <color theme="0"/>
        <rFont val="Arial"/>
        <family val="2"/>
      </rPr>
      <t>-1</t>
    </r>
    <r>
      <rPr>
        <sz val="10"/>
        <color theme="0"/>
        <rFont val="Arial"/>
        <family val="2"/>
      </rPr>
      <t>]</t>
    </r>
  </si>
  <si>
    <t>CROPS</t>
  </si>
  <si>
    <r>
      <t>Imports</t>
    </r>
    <r>
      <rPr>
        <b/>
        <vertAlign val="subscript"/>
        <sz val="10"/>
        <color theme="0"/>
        <rFont val="Arial"/>
        <family val="2"/>
      </rPr>
      <t>N</t>
    </r>
    <r>
      <rPr>
        <b/>
        <sz val="10"/>
        <color theme="0"/>
        <rFont val="Arial"/>
        <family val="2"/>
      </rPr>
      <t xml:space="preserve"> (Weight-Adj)</t>
    </r>
  </si>
  <si>
    <r>
      <t>[gha t</t>
    </r>
    <r>
      <rPr>
        <vertAlign val="superscript"/>
        <sz val="10"/>
        <color theme="0"/>
        <rFont val="Arial"/>
        <family val="2"/>
      </rPr>
      <t>-1</t>
    </r>
    <r>
      <rPr>
        <sz val="10"/>
        <color theme="0"/>
        <rFont val="Arial"/>
        <family val="2"/>
      </rPr>
      <t>]</t>
    </r>
  </si>
  <si>
    <t>FISH</t>
  </si>
  <si>
    <t>GRAZING</t>
  </si>
  <si>
    <r>
      <t>Total Production</t>
    </r>
    <r>
      <rPr>
        <b/>
        <vertAlign val="subscript"/>
        <sz val="10"/>
        <color indexed="9"/>
        <rFont val="Arial"/>
        <family val="2"/>
      </rPr>
      <t>N</t>
    </r>
  </si>
  <si>
    <r>
      <t>Total Production</t>
    </r>
    <r>
      <rPr>
        <b/>
        <vertAlign val="subscript"/>
        <sz val="10"/>
        <color indexed="9"/>
        <rFont val="Arial"/>
        <family val="2"/>
      </rPr>
      <t>W</t>
    </r>
  </si>
  <si>
    <t>Krausmann, F., Erb, K.-H., Gingrich, S., Haberl, H., Bondeau, A., Gaube, V., Lauk, C., Plutzar, C., Searchinger, T., 2013. Global human appropriation of net primary production doubled in the 20th century. Proceedings of the National Academy of Sciences of the United States of America 110, 10324–10329.</t>
  </si>
  <si>
    <t>Krausmann, F., Erb, K.-H., Gingrich, S., Lauk, C., Haberl, H., 2008. Global patterns of socioeconomic biomass flows in the year 2000: A comprehensive assessment of supply, consumption and constraints. Ecological Economics 65, 471–487. doi:10.1016/j.ecolecon.2007.07.012</t>
  </si>
  <si>
    <t>Updated Water content from Fridolin Krausmann in personal communication: background information from the global biomass flow database of the Institute of Social Ecology linked to the following 2 articles.</t>
  </si>
  <si>
    <t>0011</t>
  </si>
  <si>
    <t>0012</t>
  </si>
  <si>
    <t>0013</t>
  </si>
  <si>
    <t>0014</t>
  </si>
  <si>
    <t>0015</t>
  </si>
  <si>
    <t>0019</t>
  </si>
  <si>
    <t>0111</t>
  </si>
  <si>
    <t>0112</t>
  </si>
  <si>
    <t>0113</t>
  </si>
  <si>
    <t>0114</t>
  </si>
  <si>
    <t>0115</t>
  </si>
  <si>
    <t>0116</t>
  </si>
  <si>
    <t>0118</t>
  </si>
  <si>
    <t>0121</t>
  </si>
  <si>
    <t>0129</t>
  </si>
  <si>
    <t>0133</t>
  </si>
  <si>
    <t>0134</t>
  </si>
  <si>
    <t>0138</t>
  </si>
  <si>
    <t>0221</t>
  </si>
  <si>
    <t>0222</t>
  </si>
  <si>
    <t>0223</t>
  </si>
  <si>
    <t>0230</t>
  </si>
  <si>
    <t>0240</t>
  </si>
  <si>
    <t>0250</t>
  </si>
  <si>
    <t>0311</t>
  </si>
  <si>
    <t>0312</t>
  </si>
  <si>
    <t>0313</t>
  </si>
  <si>
    <t>0320</t>
  </si>
  <si>
    <t>0410</t>
  </si>
  <si>
    <t>0421</t>
  </si>
  <si>
    <t>0422</t>
  </si>
  <si>
    <t>0430</t>
  </si>
  <si>
    <t>0440</t>
  </si>
  <si>
    <t>0451</t>
  </si>
  <si>
    <t>0452</t>
  </si>
  <si>
    <t>0459</t>
  </si>
  <si>
    <t>0460</t>
  </si>
  <si>
    <t>0470</t>
  </si>
  <si>
    <t>0481</t>
  </si>
  <si>
    <t>0482</t>
  </si>
  <si>
    <t>0483</t>
  </si>
  <si>
    <t>0484</t>
  </si>
  <si>
    <t>0488</t>
  </si>
  <si>
    <t>0511</t>
  </si>
  <si>
    <t>0512</t>
  </si>
  <si>
    <t>0513</t>
  </si>
  <si>
    <t>0514</t>
  </si>
  <si>
    <t>0515</t>
  </si>
  <si>
    <t>0517</t>
  </si>
  <si>
    <t>0519</t>
  </si>
  <si>
    <t>0520</t>
  </si>
  <si>
    <t>0532</t>
  </si>
  <si>
    <t>0533</t>
  </si>
  <si>
    <t>0535</t>
  </si>
  <si>
    <t>0536</t>
  </si>
  <si>
    <t>0539</t>
  </si>
  <si>
    <t>0541</t>
  </si>
  <si>
    <t>0542</t>
  </si>
  <si>
    <t>0544</t>
  </si>
  <si>
    <t>0545</t>
  </si>
  <si>
    <t>0546</t>
  </si>
  <si>
    <t>0548</t>
  </si>
  <si>
    <t>0551</t>
  </si>
  <si>
    <t>0554</t>
  </si>
  <si>
    <t>0555</t>
  </si>
  <si>
    <t>0611</t>
  </si>
  <si>
    <t>0612</t>
  </si>
  <si>
    <t>0615</t>
  </si>
  <si>
    <t>0616</t>
  </si>
  <si>
    <t>0619</t>
  </si>
  <si>
    <t>0620</t>
  </si>
  <si>
    <t>0711</t>
  </si>
  <si>
    <t>0713</t>
  </si>
  <si>
    <t>0721</t>
  </si>
  <si>
    <t>0722</t>
  </si>
  <si>
    <t>0723</t>
  </si>
  <si>
    <t>0730</t>
  </si>
  <si>
    <t>0741</t>
  </si>
  <si>
    <t>0742</t>
  </si>
  <si>
    <t>0751</t>
  </si>
  <si>
    <t>0752</t>
  </si>
  <si>
    <t>0811</t>
  </si>
  <si>
    <t>0812</t>
  </si>
  <si>
    <t>0813</t>
  </si>
  <si>
    <t>0814</t>
  </si>
  <si>
    <t>0819</t>
  </si>
  <si>
    <t>0913</t>
  </si>
  <si>
    <t>0914</t>
  </si>
  <si>
    <t>0990</t>
  </si>
  <si>
    <t>1110</t>
  </si>
  <si>
    <t>1121</t>
  </si>
  <si>
    <t>1122</t>
  </si>
  <si>
    <t>1123</t>
  </si>
  <si>
    <t>1124</t>
  </si>
  <si>
    <t>1210</t>
  </si>
  <si>
    <t>1221</t>
  </si>
  <si>
    <t>1222</t>
  </si>
  <si>
    <t>1223</t>
  </si>
  <si>
    <t>2111</t>
  </si>
  <si>
    <t>2112</t>
  </si>
  <si>
    <t>2114</t>
  </si>
  <si>
    <t>2116</t>
  </si>
  <si>
    <t>2117</t>
  </si>
  <si>
    <t>2118</t>
  </si>
  <si>
    <t>2119</t>
  </si>
  <si>
    <t>2120</t>
  </si>
  <si>
    <t>2211</t>
  </si>
  <si>
    <t>2212</t>
  </si>
  <si>
    <t>2213</t>
  </si>
  <si>
    <t>2214</t>
  </si>
  <si>
    <t>2215</t>
  </si>
  <si>
    <t>2216</t>
  </si>
  <si>
    <t>2217</t>
  </si>
  <si>
    <t>2218</t>
  </si>
  <si>
    <t>2219</t>
  </si>
  <si>
    <t>2311</t>
  </si>
  <si>
    <t>2312</t>
  </si>
  <si>
    <t>2313</t>
  </si>
  <si>
    <t>2314</t>
  </si>
  <si>
    <t>2411</t>
  </si>
  <si>
    <t>2412</t>
  </si>
  <si>
    <t>2421</t>
  </si>
  <si>
    <t>2422</t>
  </si>
  <si>
    <t>2423</t>
  </si>
  <si>
    <t>2424</t>
  </si>
  <si>
    <t>2429</t>
  </si>
  <si>
    <t>2431</t>
  </si>
  <si>
    <t>2432</t>
  </si>
  <si>
    <t>2433</t>
  </si>
  <si>
    <t>2440</t>
  </si>
  <si>
    <t>2511</t>
  </si>
  <si>
    <t>2512</t>
  </si>
  <si>
    <t>2515</t>
  </si>
  <si>
    <t>2516</t>
  </si>
  <si>
    <t>2517</t>
  </si>
  <si>
    <t>2518</t>
  </si>
  <si>
    <t>2519</t>
  </si>
  <si>
    <t>2611</t>
  </si>
  <si>
    <t>2612</t>
  </si>
  <si>
    <t>2613</t>
  </si>
  <si>
    <t>2621</t>
  </si>
  <si>
    <t>2622</t>
  </si>
  <si>
    <t>2623</t>
  </si>
  <si>
    <t>2625</t>
  </si>
  <si>
    <t>2626</t>
  </si>
  <si>
    <t>2627</t>
  </si>
  <si>
    <t>2628</t>
  </si>
  <si>
    <t>2629</t>
  </si>
  <si>
    <t>2631</t>
  </si>
  <si>
    <t>2632</t>
  </si>
  <si>
    <t>2633</t>
  </si>
  <si>
    <t>2634</t>
  </si>
  <si>
    <t>2640</t>
  </si>
  <si>
    <t>2651</t>
  </si>
  <si>
    <t>2652</t>
  </si>
  <si>
    <t>2653</t>
  </si>
  <si>
    <t>2654</t>
  </si>
  <si>
    <t>2655</t>
  </si>
  <si>
    <t>2658</t>
  </si>
  <si>
    <t>2662</t>
  </si>
  <si>
    <t>2663</t>
  </si>
  <si>
    <t>2664</t>
  </si>
  <si>
    <t>2670</t>
  </si>
  <si>
    <t>2711</t>
  </si>
  <si>
    <t>2712</t>
  </si>
  <si>
    <t>2713</t>
  </si>
  <si>
    <t>2714</t>
  </si>
  <si>
    <t>2731</t>
  </si>
  <si>
    <t>2732</t>
  </si>
  <si>
    <t>2733</t>
  </si>
  <si>
    <t>2734</t>
  </si>
  <si>
    <t>2741</t>
  </si>
  <si>
    <t>2742</t>
  </si>
  <si>
    <t>2751</t>
  </si>
  <si>
    <t>2752</t>
  </si>
  <si>
    <t>2761</t>
  </si>
  <si>
    <t>2762</t>
  </si>
  <si>
    <t>2763</t>
  </si>
  <si>
    <t>2764</t>
  </si>
  <si>
    <t>2765</t>
  </si>
  <si>
    <t>2766</t>
  </si>
  <si>
    <t>2769</t>
  </si>
  <si>
    <t>2813</t>
  </si>
  <si>
    <t>2814</t>
  </si>
  <si>
    <t>2820</t>
  </si>
  <si>
    <t>2831</t>
  </si>
  <si>
    <t>2832</t>
  </si>
  <si>
    <t>2833</t>
  </si>
  <si>
    <t>2834</t>
  </si>
  <si>
    <t>2835</t>
  </si>
  <si>
    <t>2836</t>
  </si>
  <si>
    <t>2837</t>
  </si>
  <si>
    <t>2839</t>
  </si>
  <si>
    <t>2840</t>
  </si>
  <si>
    <t>2850</t>
  </si>
  <si>
    <t>2860</t>
  </si>
  <si>
    <t>2911</t>
  </si>
  <si>
    <t>2919</t>
  </si>
  <si>
    <t>2921</t>
  </si>
  <si>
    <t>2922</t>
  </si>
  <si>
    <t>2923</t>
  </si>
  <si>
    <t>2924</t>
  </si>
  <si>
    <t>2925</t>
  </si>
  <si>
    <t>2926</t>
  </si>
  <si>
    <t>2927</t>
  </si>
  <si>
    <t>2929</t>
  </si>
  <si>
    <t>3214</t>
  </si>
  <si>
    <t>3215</t>
  </si>
  <si>
    <t>3216</t>
  </si>
  <si>
    <t>3217</t>
  </si>
  <si>
    <t>3218</t>
  </si>
  <si>
    <t>3310</t>
  </si>
  <si>
    <t>3321</t>
  </si>
  <si>
    <t>3322</t>
  </si>
  <si>
    <t>3323</t>
  </si>
  <si>
    <t>3324</t>
  </si>
  <si>
    <t>3325</t>
  </si>
  <si>
    <t>3326</t>
  </si>
  <si>
    <t>3329</t>
  </si>
  <si>
    <t>3411</t>
  </si>
  <si>
    <t>3412</t>
  </si>
  <si>
    <t>3510</t>
  </si>
  <si>
    <t>4111</t>
  </si>
  <si>
    <t>4113</t>
  </si>
  <si>
    <t>4212</t>
  </si>
  <si>
    <t>4213</t>
  </si>
  <si>
    <t>4214</t>
  </si>
  <si>
    <t>4215</t>
  </si>
  <si>
    <t>4216</t>
  </si>
  <si>
    <t>4217</t>
  </si>
  <si>
    <t>4221</t>
  </si>
  <si>
    <t>4222</t>
  </si>
  <si>
    <t>4223</t>
  </si>
  <si>
    <t>4224</t>
  </si>
  <si>
    <t>4225</t>
  </si>
  <si>
    <t>4229</t>
  </si>
  <si>
    <t>4311</t>
  </si>
  <si>
    <t>4312</t>
  </si>
  <si>
    <t>4313</t>
  </si>
  <si>
    <t>4314</t>
  </si>
  <si>
    <t>5121</t>
  </si>
  <si>
    <t>5122</t>
  </si>
  <si>
    <t>5123</t>
  </si>
  <si>
    <t>5124</t>
  </si>
  <si>
    <t>5125</t>
  </si>
  <si>
    <t>5126</t>
  </si>
  <si>
    <t>5127</t>
  </si>
  <si>
    <t>5128</t>
  </si>
  <si>
    <t>5129</t>
  </si>
  <si>
    <t>5131</t>
  </si>
  <si>
    <t>5132</t>
  </si>
  <si>
    <t>5133</t>
  </si>
  <si>
    <t>5134</t>
  </si>
  <si>
    <t>5135</t>
  </si>
  <si>
    <t>5136</t>
  </si>
  <si>
    <t>5141</t>
  </si>
  <si>
    <t>5142</t>
  </si>
  <si>
    <t>5143</t>
  </si>
  <si>
    <t>5149</t>
  </si>
  <si>
    <t>5151</t>
  </si>
  <si>
    <t>5152</t>
  </si>
  <si>
    <t>5153</t>
  </si>
  <si>
    <t>5211</t>
  </si>
  <si>
    <t>5213</t>
  </si>
  <si>
    <t>5214</t>
  </si>
  <si>
    <t>5310</t>
  </si>
  <si>
    <t>5321</t>
  </si>
  <si>
    <t>5323</t>
  </si>
  <si>
    <t>5324</t>
  </si>
  <si>
    <t>5325</t>
  </si>
  <si>
    <t>5331</t>
  </si>
  <si>
    <t>5332</t>
  </si>
  <si>
    <t>5333</t>
  </si>
  <si>
    <t>5411</t>
  </si>
  <si>
    <t>5413</t>
  </si>
  <si>
    <t>5414</t>
  </si>
  <si>
    <t>5415</t>
  </si>
  <si>
    <t>5416</t>
  </si>
  <si>
    <t>5417</t>
  </si>
  <si>
    <t>5419</t>
  </si>
  <si>
    <t>5511</t>
  </si>
  <si>
    <t>5512</t>
  </si>
  <si>
    <t>5530</t>
  </si>
  <si>
    <t>5541</t>
  </si>
  <si>
    <t>5542</t>
  </si>
  <si>
    <t>5543</t>
  </si>
  <si>
    <t>5611</t>
  </si>
  <si>
    <t>5612</t>
  </si>
  <si>
    <t>5613</t>
  </si>
  <si>
    <t>5619</t>
  </si>
  <si>
    <t>5711</t>
  </si>
  <si>
    <t>5712</t>
  </si>
  <si>
    <t>5713</t>
  </si>
  <si>
    <t>5714</t>
  </si>
  <si>
    <t>5811</t>
  </si>
  <si>
    <t>5812</t>
  </si>
  <si>
    <t>5813</t>
  </si>
  <si>
    <t>5819</t>
  </si>
  <si>
    <t>5992</t>
  </si>
  <si>
    <t>5995</t>
  </si>
  <si>
    <t>5996</t>
  </si>
  <si>
    <t>5997</t>
  </si>
  <si>
    <t>5999</t>
  </si>
  <si>
    <t>6112</t>
  </si>
  <si>
    <t>6113</t>
  </si>
  <si>
    <t>6114</t>
  </si>
  <si>
    <t>6119</t>
  </si>
  <si>
    <t>6121</t>
  </si>
  <si>
    <t>6122</t>
  </si>
  <si>
    <t>6123</t>
  </si>
  <si>
    <t>6129</t>
  </si>
  <si>
    <t>6130</t>
  </si>
  <si>
    <t>6210</t>
  </si>
  <si>
    <t>6291</t>
  </si>
  <si>
    <t>6293</t>
  </si>
  <si>
    <t>6294</t>
  </si>
  <si>
    <t>6299</t>
  </si>
  <si>
    <t>6311</t>
  </si>
  <si>
    <t>6312</t>
  </si>
  <si>
    <t>6314</t>
  </si>
  <si>
    <t>6318</t>
  </si>
  <si>
    <t>6321</t>
  </si>
  <si>
    <t>6322</t>
  </si>
  <si>
    <t>6324</t>
  </si>
  <si>
    <t>6327</t>
  </si>
  <si>
    <t>6328</t>
  </si>
  <si>
    <t>6330</t>
  </si>
  <si>
    <t>6411</t>
  </si>
  <si>
    <t>6412</t>
  </si>
  <si>
    <t>6413</t>
  </si>
  <si>
    <t>6414</t>
  </si>
  <si>
    <t>6415</t>
  </si>
  <si>
    <t>6416</t>
  </si>
  <si>
    <t>6417</t>
  </si>
  <si>
    <t>6419</t>
  </si>
  <si>
    <t>6421</t>
  </si>
  <si>
    <t>6422</t>
  </si>
  <si>
    <t>6423</t>
  </si>
  <si>
    <t>6429</t>
  </si>
  <si>
    <t>6511</t>
  </si>
  <si>
    <t>6512</t>
  </si>
  <si>
    <t>6513</t>
  </si>
  <si>
    <t>6514</t>
  </si>
  <si>
    <t>6515</t>
  </si>
  <si>
    <t>6516</t>
  </si>
  <si>
    <t>6517</t>
  </si>
  <si>
    <t>6518</t>
  </si>
  <si>
    <t>6519</t>
  </si>
  <si>
    <t>6521</t>
  </si>
  <si>
    <t>6522</t>
  </si>
  <si>
    <t>6531</t>
  </si>
  <si>
    <t>6532</t>
  </si>
  <si>
    <t>6533</t>
  </si>
  <si>
    <t>6534</t>
  </si>
  <si>
    <t>6535</t>
  </si>
  <si>
    <t>6536</t>
  </si>
  <si>
    <t>6537</t>
  </si>
  <si>
    <t>6538</t>
  </si>
  <si>
    <t>6539</t>
  </si>
  <si>
    <t>6540</t>
  </si>
  <si>
    <t>6551</t>
  </si>
  <si>
    <t>6554</t>
  </si>
  <si>
    <t>6555</t>
  </si>
  <si>
    <t>6556</t>
  </si>
  <si>
    <t>6557</t>
  </si>
  <si>
    <t>6558</t>
  </si>
  <si>
    <t>6559</t>
  </si>
  <si>
    <t>6561</t>
  </si>
  <si>
    <t>6562</t>
  </si>
  <si>
    <t>6566</t>
  </si>
  <si>
    <t>6569</t>
  </si>
  <si>
    <t>6574</t>
  </si>
  <si>
    <t>6575</t>
  </si>
  <si>
    <t>6576</t>
  </si>
  <si>
    <t>6577</t>
  </si>
  <si>
    <t>6578</t>
  </si>
  <si>
    <t>6611</t>
  </si>
  <si>
    <t>6612</t>
  </si>
  <si>
    <t>6613</t>
  </si>
  <si>
    <t>6618</t>
  </si>
  <si>
    <t>6623</t>
  </si>
  <si>
    <t>6624</t>
  </si>
  <si>
    <t>6631</t>
  </si>
  <si>
    <t>6632</t>
  </si>
  <si>
    <t>6634</t>
  </si>
  <si>
    <t>6635</t>
  </si>
  <si>
    <t>6636</t>
  </si>
  <si>
    <t>6637</t>
  </si>
  <si>
    <t>6638</t>
  </si>
  <si>
    <t>6639</t>
  </si>
  <si>
    <t>6641</t>
  </si>
  <si>
    <t>6642</t>
  </si>
  <si>
    <t>6643</t>
  </si>
  <si>
    <t>6644</t>
  </si>
  <si>
    <t>6645</t>
  </si>
  <si>
    <t>6646</t>
  </si>
  <si>
    <t>6647</t>
  </si>
  <si>
    <t>6648</t>
  </si>
  <si>
    <t>6649</t>
  </si>
  <si>
    <t>6651</t>
  </si>
  <si>
    <t>6652</t>
  </si>
  <si>
    <t>6658</t>
  </si>
  <si>
    <t>6664</t>
  </si>
  <si>
    <t>6665</t>
  </si>
  <si>
    <t>6666</t>
  </si>
  <si>
    <t>6671</t>
  </si>
  <si>
    <t>6672</t>
  </si>
  <si>
    <t>6673</t>
  </si>
  <si>
    <t>6674</t>
  </si>
  <si>
    <t>6711</t>
  </si>
  <si>
    <t>6712</t>
  </si>
  <si>
    <t>6713</t>
  </si>
  <si>
    <t>6714</t>
  </si>
  <si>
    <t>6715</t>
  </si>
  <si>
    <t>6721</t>
  </si>
  <si>
    <t>6723</t>
  </si>
  <si>
    <t>6725</t>
  </si>
  <si>
    <t>6727</t>
  </si>
  <si>
    <t>6729</t>
  </si>
  <si>
    <t>6731</t>
  </si>
  <si>
    <t>6732</t>
  </si>
  <si>
    <t>6734</t>
  </si>
  <si>
    <t>6735</t>
  </si>
  <si>
    <t>6741</t>
  </si>
  <si>
    <t>6742</t>
  </si>
  <si>
    <t>6743</t>
  </si>
  <si>
    <t>6747</t>
  </si>
  <si>
    <t>6748</t>
  </si>
  <si>
    <t>6750</t>
  </si>
  <si>
    <t>6761</t>
  </si>
  <si>
    <t>6762</t>
  </si>
  <si>
    <t>6770</t>
  </si>
  <si>
    <t>6781</t>
  </si>
  <si>
    <t>6782</t>
  </si>
  <si>
    <t>6783</t>
  </si>
  <si>
    <t>6784</t>
  </si>
  <si>
    <t>6785</t>
  </si>
  <si>
    <t>6791</t>
  </si>
  <si>
    <t>6792</t>
  </si>
  <si>
    <t>6793</t>
  </si>
  <si>
    <t>6811</t>
  </si>
  <si>
    <t>6812</t>
  </si>
  <si>
    <t>6821</t>
  </si>
  <si>
    <t>6822</t>
  </si>
  <si>
    <t>6831</t>
  </si>
  <si>
    <t>6832</t>
  </si>
  <si>
    <t>6841</t>
  </si>
  <si>
    <t>6842</t>
  </si>
  <si>
    <t>6851</t>
  </si>
  <si>
    <t>6852</t>
  </si>
  <si>
    <t>6861</t>
  </si>
  <si>
    <t>6862</t>
  </si>
  <si>
    <t>6871</t>
  </si>
  <si>
    <t>6872</t>
  </si>
  <si>
    <t>6880</t>
  </si>
  <si>
    <t>6893</t>
  </si>
  <si>
    <t>6894</t>
  </si>
  <si>
    <t>6895</t>
  </si>
  <si>
    <t>6911</t>
  </si>
  <si>
    <t>6912</t>
  </si>
  <si>
    <t>6913</t>
  </si>
  <si>
    <t>6921</t>
  </si>
  <si>
    <t>6922</t>
  </si>
  <si>
    <t>6923</t>
  </si>
  <si>
    <t>6931</t>
  </si>
  <si>
    <t>6932</t>
  </si>
  <si>
    <t>6933</t>
  </si>
  <si>
    <t>6934</t>
  </si>
  <si>
    <t>6941</t>
  </si>
  <si>
    <t>6942</t>
  </si>
  <si>
    <t>6951</t>
  </si>
  <si>
    <t>6952</t>
  </si>
  <si>
    <t>6960</t>
  </si>
  <si>
    <t>6971</t>
  </si>
  <si>
    <t>6972</t>
  </si>
  <si>
    <t>6979</t>
  </si>
  <si>
    <t>6981</t>
  </si>
  <si>
    <t>6982</t>
  </si>
  <si>
    <t>6983</t>
  </si>
  <si>
    <t>6984</t>
  </si>
  <si>
    <t>6985</t>
  </si>
  <si>
    <t>6986</t>
  </si>
  <si>
    <t>6988</t>
  </si>
  <si>
    <t>6989</t>
  </si>
  <si>
    <t>7111</t>
  </si>
  <si>
    <t>7112</t>
  </si>
  <si>
    <t>7113</t>
  </si>
  <si>
    <t>7114</t>
  </si>
  <si>
    <t>7115</t>
  </si>
  <si>
    <t>7116</t>
  </si>
  <si>
    <t>7117</t>
  </si>
  <si>
    <t>7118</t>
  </si>
  <si>
    <t>7121</t>
  </si>
  <si>
    <t>7122</t>
  </si>
  <si>
    <t>7123</t>
  </si>
  <si>
    <t>7125</t>
  </si>
  <si>
    <t>7129</t>
  </si>
  <si>
    <t>7141</t>
  </si>
  <si>
    <t>7142</t>
  </si>
  <si>
    <t>7143</t>
  </si>
  <si>
    <t>7149</t>
  </si>
  <si>
    <t>7151</t>
  </si>
  <si>
    <t>7152</t>
  </si>
  <si>
    <t>7171</t>
  </si>
  <si>
    <t>7172</t>
  </si>
  <si>
    <t>7173</t>
  </si>
  <si>
    <t>7181</t>
  </si>
  <si>
    <t>7182</t>
  </si>
  <si>
    <t>7183</t>
  </si>
  <si>
    <t>7184</t>
  </si>
  <si>
    <t>7185</t>
  </si>
  <si>
    <t>7191</t>
  </si>
  <si>
    <t>7192</t>
  </si>
  <si>
    <t>7193</t>
  </si>
  <si>
    <t>7194</t>
  </si>
  <si>
    <t>7195</t>
  </si>
  <si>
    <t>7196</t>
  </si>
  <si>
    <t>7197</t>
  </si>
  <si>
    <t>7198</t>
  </si>
  <si>
    <t>7199</t>
  </si>
  <si>
    <t>7221</t>
  </si>
  <si>
    <t>7222</t>
  </si>
  <si>
    <t>7231</t>
  </si>
  <si>
    <t>7232</t>
  </si>
  <si>
    <t>7241</t>
  </si>
  <si>
    <t>7242</t>
  </si>
  <si>
    <t>7249</t>
  </si>
  <si>
    <t>7250</t>
  </si>
  <si>
    <t>7261</t>
  </si>
  <si>
    <t>7262</t>
  </si>
  <si>
    <t>7291</t>
  </si>
  <si>
    <t>7292</t>
  </si>
  <si>
    <t>7293</t>
  </si>
  <si>
    <t>7294</t>
  </si>
  <si>
    <t>7295</t>
  </si>
  <si>
    <t>7296</t>
  </si>
  <si>
    <t>7297</t>
  </si>
  <si>
    <t>7299</t>
  </si>
  <si>
    <t>7311</t>
  </si>
  <si>
    <t>7312</t>
  </si>
  <si>
    <t>7313</t>
  </si>
  <si>
    <t>7314</t>
  </si>
  <si>
    <t>7315</t>
  </si>
  <si>
    <t>7316</t>
  </si>
  <si>
    <t>7317</t>
  </si>
  <si>
    <t>7321</t>
  </si>
  <si>
    <t>7322</t>
  </si>
  <si>
    <t>7323</t>
  </si>
  <si>
    <t>7324</t>
  </si>
  <si>
    <t>7325</t>
  </si>
  <si>
    <t>7326</t>
  </si>
  <si>
    <t>7327</t>
  </si>
  <si>
    <t>7328</t>
  </si>
  <si>
    <t>7329</t>
  </si>
  <si>
    <t>7331</t>
  </si>
  <si>
    <t>7333</t>
  </si>
  <si>
    <t>7334</t>
  </si>
  <si>
    <t>7341</t>
  </si>
  <si>
    <t>7349</t>
  </si>
  <si>
    <t>7351</t>
  </si>
  <si>
    <t>7353</t>
  </si>
  <si>
    <t>7358</t>
  </si>
  <si>
    <t>7359</t>
  </si>
  <si>
    <t>8121</t>
  </si>
  <si>
    <t>8122</t>
  </si>
  <si>
    <t>8123</t>
  </si>
  <si>
    <t>8124</t>
  </si>
  <si>
    <t>8210</t>
  </si>
  <si>
    <t>8310</t>
  </si>
  <si>
    <t>8411</t>
  </si>
  <si>
    <t>8412</t>
  </si>
  <si>
    <t>8413</t>
  </si>
  <si>
    <t>8414</t>
  </si>
  <si>
    <t>8415</t>
  </si>
  <si>
    <t>8416</t>
  </si>
  <si>
    <t>8420</t>
  </si>
  <si>
    <t>8510</t>
  </si>
  <si>
    <t>8611</t>
  </si>
  <si>
    <t>8612</t>
  </si>
  <si>
    <t>8613</t>
  </si>
  <si>
    <t>8614</t>
  </si>
  <si>
    <t>8615</t>
  </si>
  <si>
    <t>8616</t>
  </si>
  <si>
    <t>8617</t>
  </si>
  <si>
    <t>8618</t>
  </si>
  <si>
    <t>8619</t>
  </si>
  <si>
    <t>8623</t>
  </si>
  <si>
    <t>8624</t>
  </si>
  <si>
    <t>8630</t>
  </si>
  <si>
    <t>8641</t>
  </si>
  <si>
    <t>8642</t>
  </si>
  <si>
    <t>8911</t>
  </si>
  <si>
    <t>8912</t>
  </si>
  <si>
    <t>8914</t>
  </si>
  <si>
    <t>8918</t>
  </si>
  <si>
    <t>8919</t>
  </si>
  <si>
    <t>8921</t>
  </si>
  <si>
    <t>8922</t>
  </si>
  <si>
    <t>8923</t>
  </si>
  <si>
    <t>8924</t>
  </si>
  <si>
    <t>8929</t>
  </si>
  <si>
    <t>8930</t>
  </si>
  <si>
    <t>8941</t>
  </si>
  <si>
    <t>8942</t>
  </si>
  <si>
    <t>8943</t>
  </si>
  <si>
    <t>8944</t>
  </si>
  <si>
    <t>8945</t>
  </si>
  <si>
    <t>8951</t>
  </si>
  <si>
    <t>8952</t>
  </si>
  <si>
    <t>8959</t>
  </si>
  <si>
    <t>8960</t>
  </si>
  <si>
    <t>8971</t>
  </si>
  <si>
    <t>8972</t>
  </si>
  <si>
    <t>8991</t>
  </si>
  <si>
    <t>8992</t>
  </si>
  <si>
    <t>8993</t>
  </si>
  <si>
    <t>8994</t>
  </si>
  <si>
    <t>8995</t>
  </si>
  <si>
    <t>8996</t>
  </si>
  <si>
    <t>8999</t>
  </si>
  <si>
    <t>9110</t>
  </si>
  <si>
    <t>9310</t>
  </si>
  <si>
    <t>9410</t>
  </si>
  <si>
    <t>9510</t>
  </si>
  <si>
    <t>9610</t>
  </si>
  <si>
    <t>Temporary meadows and pastures</t>
  </si>
  <si>
    <t>Slaughter Weight (World Average)</t>
  </si>
  <si>
    <t>Slaughter Weight (National Average)</t>
  </si>
  <si>
    <t>Import Weight</t>
  </si>
  <si>
    <t>Export Weight</t>
  </si>
  <si>
    <t>Stock Code</t>
  </si>
  <si>
    <t>Product Code</t>
  </si>
  <si>
    <t>CO2 - Fugitive</t>
  </si>
  <si>
    <t>CO2 - Industrial processes</t>
  </si>
  <si>
    <r>
      <t>[Mt CO2 yr</t>
    </r>
    <r>
      <rPr>
        <vertAlign val="superscript"/>
        <sz val="10"/>
        <color indexed="23"/>
        <rFont val="Arial"/>
        <family val="2"/>
      </rPr>
      <t>-1</t>
    </r>
    <r>
      <rPr>
        <sz val="10"/>
        <color indexed="23"/>
        <rFont val="Arial"/>
        <family val="2"/>
      </rPr>
      <t>]</t>
    </r>
  </si>
  <si>
    <t>Net Annual Increment</t>
  </si>
  <si>
    <t>NAI</t>
  </si>
  <si>
    <t>CO2 Fuel Combustion</t>
  </si>
  <si>
    <t>CO2 Sectoral Approach (Energy)</t>
  </si>
  <si>
    <t>IPPU CO2 Fuel combustion - Total reallocated (IPPU)</t>
  </si>
  <si>
    <t>Memo: IPPU CO2 Fuel combustion - Non-ferrous metals (IPPU)</t>
  </si>
  <si>
    <t>Memo: IPPU CO2 Fuel combustion - Iron and steel (IPPU)</t>
  </si>
  <si>
    <t>Memo: IPPU CO2 Fuel combustion - Autoproducer own use (IPPU)</t>
  </si>
  <si>
    <t>Memo: IPPU CO2 Fuel combustion - Blast furnace energy (IPPU)</t>
  </si>
  <si>
    <t>Memo: IPPU CO2 Fuel combustion - Autoproducers (IPPU)</t>
  </si>
  <si>
    <t>CO2 Reference Approach (Energy)</t>
  </si>
  <si>
    <t>Differences due to losses and/or transformation (Energy)</t>
  </si>
  <si>
    <t>Statistical Differences (Energy)</t>
  </si>
  <si>
    <t>Manduba</t>
  </si>
  <si>
    <t>Ageneiosus inermis</t>
  </si>
  <si>
    <t>African pompano</t>
  </si>
  <si>
    <t>Alectis ciliaris</t>
  </si>
  <si>
    <t>[Alestes spp]</t>
  </si>
  <si>
    <t>Alestes spp</t>
  </si>
  <si>
    <t>Black snapper</t>
  </si>
  <si>
    <t>Apsilus dentatus</t>
  </si>
  <si>
    <t>[Auchenoglanis biscutatus]</t>
  </si>
  <si>
    <t>Auchenoglanis biscutatus</t>
  </si>
  <si>
    <t>Combtooth blennies</t>
  </si>
  <si>
    <t>Blenniidae</t>
  </si>
  <si>
    <t>Kumakuma</t>
  </si>
  <si>
    <t>Brachyplatystoma filamentosum</t>
  </si>
  <si>
    <t>[Brachyplatystoma rousseauxii]</t>
  </si>
  <si>
    <t>Brachyplatystoma rousseauxii</t>
  </si>
  <si>
    <t>[Brycinus leuciscus]</t>
  </si>
  <si>
    <t>Brycinus leuciscus</t>
  </si>
  <si>
    <t>Knobbed whelk</t>
  </si>
  <si>
    <t>Busycon carica</t>
  </si>
  <si>
    <t>Lightning whelk</t>
  </si>
  <si>
    <t>Busycon sinistrum</t>
  </si>
  <si>
    <t>Channeled whelk</t>
  </si>
  <si>
    <t>Busycotypus canaliculatus</t>
  </si>
  <si>
    <t>Jolthead porgy</t>
  </si>
  <si>
    <t>Calamus bajonado</t>
  </si>
  <si>
    <t>Pacific porgy</t>
  </si>
  <si>
    <t>Calamus brachysomus</t>
  </si>
  <si>
    <t>[Caquetaia kraussii]</t>
  </si>
  <si>
    <t>Caquetaia kraussii</t>
  </si>
  <si>
    <t>Yellow jack</t>
  </si>
  <si>
    <t>Caranx bartholomaei</t>
  </si>
  <si>
    <t>Green jack</t>
  </si>
  <si>
    <t>Caranx caballus</t>
  </si>
  <si>
    <t>Senegal jack</t>
  </si>
  <si>
    <t>Caranx senegallus</t>
  </si>
  <si>
    <t>Whitecheek shark</t>
  </si>
  <si>
    <t>Carcharhinus dussumieri</t>
  </si>
  <si>
    <t>Night shark</t>
  </si>
  <si>
    <t>Carcharhinus signatus</t>
  </si>
  <si>
    <t>River carpsucker</t>
  </si>
  <si>
    <t>Carpiodes carpio</t>
  </si>
  <si>
    <t>Curled picarel</t>
  </si>
  <si>
    <t>Centracanthus cirrus</t>
  </si>
  <si>
    <t>Rock sea bass</t>
  </si>
  <si>
    <t>Centropristis philadelphica</t>
  </si>
  <si>
    <t>Roughskin dogfish</t>
  </si>
  <si>
    <t>Centroscymnus owstoni</t>
  </si>
  <si>
    <t>Plunket shark</t>
  </si>
  <si>
    <t>Centroscymnus plunketi</t>
  </si>
  <si>
    <t>Tanner crab</t>
  </si>
  <si>
    <t>Chionoecetes bairdi</t>
  </si>
  <si>
    <t>Blue fathead</t>
  </si>
  <si>
    <t>Cubiceps caeruleus</t>
  </si>
  <si>
    <t>God's flounder</t>
  </si>
  <si>
    <t>Cyclopsetta panamensis</t>
  </si>
  <si>
    <t>Siliceous sponges</t>
  </si>
  <si>
    <t>Demospongiae</t>
  </si>
  <si>
    <t>Pink dentex</t>
  </si>
  <si>
    <t>Dentex gibbosus</t>
  </si>
  <si>
    <t>Blackthroat seaperch</t>
  </si>
  <si>
    <t>Doederleinia berycoides</t>
  </si>
  <si>
    <t>Duskytail grouper</t>
  </si>
  <si>
    <t>Epinephelus bleekeri</t>
  </si>
  <si>
    <t>Black goby</t>
  </si>
  <si>
    <t>Slender codling</t>
  </si>
  <si>
    <t>Halargyreus johnsonii</t>
  </si>
  <si>
    <t>Heterobranchus longifilis</t>
  </si>
  <si>
    <t>Nylon shrimps nei</t>
  </si>
  <si>
    <t>Heterocarpus spp</t>
  </si>
  <si>
    <t>Loweye catfishes nei</t>
  </si>
  <si>
    <t>Hypophthalmus spp</t>
  </si>
  <si>
    <t>Velvet fan lobster</t>
  </si>
  <si>
    <t>Ibacus alticrenatus</t>
  </si>
  <si>
    <t>Butter sole</t>
  </si>
  <si>
    <t>Isopsetta isolepis</t>
  </si>
  <si>
    <t>Tanaka's snailfish</t>
  </si>
  <si>
    <t>Liparis tanakae</t>
  </si>
  <si>
    <t>Liza ramada</t>
  </si>
  <si>
    <t>Deep-water Cape hake</t>
  </si>
  <si>
    <t>Merluccius paradoxus</t>
  </si>
  <si>
    <t>Round goby</t>
  </si>
  <si>
    <t>Neogobius melanostomus</t>
  </si>
  <si>
    <t>African obscure snakehead</t>
  </si>
  <si>
    <t>Parachanna obscura</t>
  </si>
  <si>
    <t>Bubble gum coral</t>
  </si>
  <si>
    <t>Paragorgia arborea</t>
  </si>
  <si>
    <t>Sea pens</t>
  </si>
  <si>
    <t>Pennatulacea</t>
  </si>
  <si>
    <t>[Pimelodus albicans]</t>
  </si>
  <si>
    <t>Pimelodus albicans</t>
  </si>
  <si>
    <t>Henslow’s swimming crab</t>
  </si>
  <si>
    <t>Polybius henslowii</t>
  </si>
  <si>
    <t>Parrot grunt</t>
  </si>
  <si>
    <t>Pomadasys perotaei</t>
  </si>
  <si>
    <t>Freshwater river stingray nei</t>
  </si>
  <si>
    <t>Potamotrygon spp</t>
  </si>
  <si>
    <t>Wenchman</t>
  </si>
  <si>
    <t>Pristipomoides aquilonaris</t>
  </si>
  <si>
    <t>Cardinal snapper</t>
  </si>
  <si>
    <t>Pristipomoides macrophthalmus</t>
  </si>
  <si>
    <t>Chilean jagged lobster</t>
  </si>
  <si>
    <t>Projasus bahamondei</t>
  </si>
  <si>
    <t>Red lionfish</t>
  </si>
  <si>
    <t>Pterois volitans</t>
  </si>
  <si>
    <t>Pterygoplichthys pardalis</t>
  </si>
  <si>
    <t>Rhabdosargus</t>
  </si>
  <si>
    <t>Stumpnoses nei</t>
  </si>
  <si>
    <t>Rhabdosargus spp</t>
  </si>
  <si>
    <t>Caspian roach</t>
  </si>
  <si>
    <t>Rutilus caspicus</t>
  </si>
  <si>
    <t>Australian bonito</t>
  </si>
  <si>
    <t>Sarda australis</t>
  </si>
  <si>
    <t>Redcoat</t>
  </si>
  <si>
    <t>Sargocentron rubrum</t>
  </si>
  <si>
    <t>Broad-barred king mackerel</t>
  </si>
  <si>
    <t>Scomberomorus semifasciatus</t>
  </si>
  <si>
    <t>Blue maomao</t>
  </si>
  <si>
    <t>Scorpis violacea</t>
  </si>
  <si>
    <t>Piranhas nei</t>
  </si>
  <si>
    <t>Serrasalmus spp</t>
  </si>
  <si>
    <t>Dusky spinefoot</t>
  </si>
  <si>
    <t>Siganus luridus</t>
  </si>
  <si>
    <t>Siganus rivulatus</t>
  </si>
  <si>
    <t>Sawtooth barracuda</t>
  </si>
  <si>
    <t>Sphyraena putnamae</t>
  </si>
  <si>
    <t>Great hammerhead</t>
  </si>
  <si>
    <t>Sphyrna mokarran</t>
  </si>
  <si>
    <t>Freshwater sponge</t>
  </si>
  <si>
    <t>Spongilla spp</t>
  </si>
  <si>
    <t>Largescaled terapon</t>
  </si>
  <si>
    <t>Terapon theraps</t>
  </si>
  <si>
    <t>Permit</t>
  </si>
  <si>
    <t>Trachinotus falcatus</t>
  </si>
  <si>
    <t>Sea lettuces nei</t>
  </si>
  <si>
    <t>Ulva spp</t>
  </si>
  <si>
    <t>African scraping feeder</t>
  </si>
  <si>
    <t>Varicorhinus beso</t>
  </si>
  <si>
    <t>[Xenocharax spilurus]</t>
  </si>
  <si>
    <t>Xenocharax spilurus</t>
  </si>
  <si>
    <t>[Zungaro zungaro]</t>
  </si>
  <si>
    <t>Zungaro zungaro</t>
  </si>
  <si>
    <t>Carps, eels and snakeheads, fillets, fresh or chilled</t>
  </si>
  <si>
    <t>Pacific, Atlantic and Danube salmon, fillets, fresh or chilled</t>
  </si>
  <si>
    <t>Abalone, prepared or preserved</t>
  </si>
  <si>
    <t>Catfish, fillets, fresh or chilled</t>
  </si>
  <si>
    <t>Alaska Pollack (Theragra chalcogramma), fresh or chilled</t>
  </si>
  <si>
    <t>Nile Perch (Lates niloticus), fillets, fresh or chilled</t>
  </si>
  <si>
    <t>Alaska Pollack (Theragra chalcogramma), meat, frozen</t>
  </si>
  <si>
    <t>Anchovies (Engraulis spp.), fresh or chilled</t>
  </si>
  <si>
    <t>Atlantic and Danube salmon, fresh or chilled</t>
  </si>
  <si>
    <t>Blue whitings (Micromesistius poutassou, Micromesistius australis), fresh or chilled</t>
  </si>
  <si>
    <t>Blue whitings (Micromesistius poutassou, Micromesistius australis), frozen</t>
  </si>
  <si>
    <t>Carp,  fresh or chilled</t>
  </si>
  <si>
    <t>Carp, frozen</t>
  </si>
  <si>
    <t>Tilapias (Oreochromis spp.), fillets, fresh or chilled</t>
  </si>
  <si>
    <t>Alaska Pollack (Theragra chalcogramma), fillets, frozen</t>
  </si>
  <si>
    <t>Carps, eels and snakeheads, fillets, frozen</t>
  </si>
  <si>
    <t>Catfish, fillets, frozen</t>
  </si>
  <si>
    <t>Flat fish, fillets, frozen</t>
  </si>
  <si>
    <t>Hake (Merluccius spp., Urophycis spp.), fillets, frozen</t>
  </si>
  <si>
    <t>Nile Perch (Lates niloticus), fillets, frozen</t>
  </si>
  <si>
    <t>Caviar</t>
  </si>
  <si>
    <t>Caviar substitutes</t>
  </si>
  <si>
    <t>Pacific, Atlantic and Danube salmon, fillets, frozen</t>
  </si>
  <si>
    <t>Tilapias (Oreochromis spp.), fillets, frozen</t>
  </si>
  <si>
    <t>Catfish,  fresh or chilled</t>
  </si>
  <si>
    <t>Coalfish(=Saithe), fillets, frozen</t>
  </si>
  <si>
    <t>Coalfish(=Saithe), fresh or chilled</t>
  </si>
  <si>
    <t>Clams, cockles and ark shells,  other than live, fresh or chilled</t>
  </si>
  <si>
    <t>Clams, cockles and ark shells, live, fresh or chilled</t>
  </si>
  <si>
    <t>Cod (Gadus morhua, Gadus ogac, Gadus macrocephalus), fresh or chilled</t>
  </si>
  <si>
    <t>Cod, fillets, frozen</t>
  </si>
  <si>
    <t>Cold-water shrimps and prawns (Pandalus spp., Crangon crangon), whether in shell or not, frozen</t>
  </si>
  <si>
    <t>Cold-water shrimps and prawns (Pandalus spp., Crangon crangon), whether in shell or not, not frozen</t>
  </si>
  <si>
    <t>Cuttle fish and squid, prepared or preserved</t>
  </si>
  <si>
    <t>Dogfish and other sharks,  fresh or chilled</t>
  </si>
  <si>
    <t>Eels (Anguilla spp.),  fresh or chilled</t>
  </si>
  <si>
    <t>Cobia (Rachycentron canadum), fresh or chilled</t>
  </si>
  <si>
    <t>Eels, frozen</t>
  </si>
  <si>
    <t>Fish fillets, fresh or chilled, nei</t>
  </si>
  <si>
    <t>Fish heads, tails and maws, dried, salted or in brine, smoked</t>
  </si>
  <si>
    <t>Flat fish, fillets, fresh or chilled</t>
  </si>
  <si>
    <t>Hake (Merluccius spp., Urophycis spp.), fresh or chilled</t>
  </si>
  <si>
    <t>Gadiformes fillets (excl. cod, haddock, coalfish/saithe, hake, Alaska pollack), frozen</t>
  </si>
  <si>
    <t>Gadiformes, fillets, dried, salted or in brine, not smoked</t>
  </si>
  <si>
    <t>Gadiformes, fillets, fresh or chilled</t>
  </si>
  <si>
    <t>Gadiformes, meat, minced or not, fresh or chilled</t>
  </si>
  <si>
    <t>Haddock (Melanogrammus aeglefinus), fillets, frozen</t>
  </si>
  <si>
    <t>Haddock (Melanogrammus aeglefinus), fresh or chilled</t>
  </si>
  <si>
    <t>Haddock (Melanogrammus aeglefinus), frozen</t>
  </si>
  <si>
    <t>Nile perch (Lates niloticus) and snakeheads (Channa spp.),  fresh or chilled</t>
  </si>
  <si>
    <t>Other Gadiformes, fresh or chilled</t>
  </si>
  <si>
    <t>Hake (Merluccius spp., Urophycis spp.), frozen</t>
  </si>
  <si>
    <t>Herrings (Clupea harengus, Clupea pallasii), fillets, frozen</t>
  </si>
  <si>
    <t>Herrings (Clupea harengus, Clupea pallasii), fresh or chilled</t>
  </si>
  <si>
    <t>Jack and horse mackerel (Trachurus spp.), fresh or chilled</t>
  </si>
  <si>
    <t>Rays and skates (Rajidae),  fresh or chilled</t>
  </si>
  <si>
    <t>Jellyfish (Rhopilema spp.), live, fresh, chilled, frozen, dried, salted or in brine</t>
  </si>
  <si>
    <t>Sea cucumbers,  other than live, fresh or chilled</t>
  </si>
  <si>
    <t>Mackerel, fresh or chilled</t>
  </si>
  <si>
    <t>Mackerel, frozen</t>
  </si>
  <si>
    <t>Sea cucumbers, live, fresh or chilled</t>
  </si>
  <si>
    <t>Meat of tilapias, catfish, carp, eels, nile perch and snakeheads, minced or not, fresh or chilled</t>
  </si>
  <si>
    <t>Mussels, prepared or preserved</t>
  </si>
  <si>
    <t>Sea urchins,  other than live, fresh or chilled</t>
  </si>
  <si>
    <t>Sea urchins, live, fresh or chilled</t>
  </si>
  <si>
    <t>Seabass (Dicentrarchus spp.),  fresh or chilled</t>
  </si>
  <si>
    <t>Norway lobsters (Nephrops norvegicus), whether in shell or not, frozen</t>
  </si>
  <si>
    <t>Norway lobsters (Nephrops norvegicus), whether in shell or not, not frozen</t>
  </si>
  <si>
    <t>Octopus, prepared or preserved</t>
  </si>
  <si>
    <t>Ornamental fish, live, other</t>
  </si>
  <si>
    <t>Ornamental freshwater fish, live</t>
  </si>
  <si>
    <t>Other  edible fish offal, dried, salted or in brine</t>
  </si>
  <si>
    <t>Other aquatic invertebrates, live, fresh, chilled, frozen, dried, salted or in brine, smoked</t>
  </si>
  <si>
    <t>Seabream (Sparidae),  fresh or chilled</t>
  </si>
  <si>
    <t>Other fish fillets, dried, salted or in brine, not smoked</t>
  </si>
  <si>
    <t>Other fish meat, minced or not, fresh or chilled</t>
  </si>
  <si>
    <t>Other freshwater or saltwater fish,  fresh or chilled</t>
  </si>
  <si>
    <t>Tilapias (Oreochromis spp.), fresh or chilled</t>
  </si>
  <si>
    <t>Alaska Pollack (Theragra chalcogramma), frozen</t>
  </si>
  <si>
    <t>Catfish, frozen</t>
  </si>
  <si>
    <t>Cobia (Rachycentron canadum), frozen</t>
  </si>
  <si>
    <t>Other shrimps and prawns, whether in shell or not, frozen</t>
  </si>
  <si>
    <t>Other shrimps and prawns, whether in shell or not, not frozen</t>
  </si>
  <si>
    <t>Oysters, live, fresh, chilled</t>
  </si>
  <si>
    <t>Oysters, other than live, fresh or chilled</t>
  </si>
  <si>
    <t>Jack and horse mackerel (Trachurus spp.), frozen</t>
  </si>
  <si>
    <t>Pacific salmon, fresh or chilled</t>
  </si>
  <si>
    <t>Meat of Gadiformes (excl. Alaska Pollack), frozen</t>
  </si>
  <si>
    <t>Other Gadiformes, frozen</t>
  </si>
  <si>
    <t>Rays and skates (Rajidae),  frozen</t>
  </si>
  <si>
    <t>Salmonidae, meat, minced or not, fresh or chilled</t>
  </si>
  <si>
    <t>Sardines, sardinella, brisling or sprats, frozen</t>
  </si>
  <si>
    <t>Scallops, including queen scallops, prepared or preserved</t>
  </si>
  <si>
    <t>Tilapias (Oreochromis spp.), frozen</t>
  </si>
  <si>
    <t>Tilapias, catfish, carp, eels, Nile perch and snakeheads  meat, frozen</t>
  </si>
  <si>
    <t>Clams, cockles and arkshells, prepared or preserved</t>
  </si>
  <si>
    <t>Eels (Anguilla spp.), prepared or preserved</t>
  </si>
  <si>
    <t>Jellyfish, prepared or preserved</t>
  </si>
  <si>
    <t>Other aquatic invertebrates, prepared or preserved</t>
  </si>
  <si>
    <t>Other molluscs, prepared or preserved</t>
  </si>
  <si>
    <t>Seabass (Dicentrarchus spp.),  frozen</t>
  </si>
  <si>
    <t>Other shrimps and prawns, prepared or preserved</t>
  </si>
  <si>
    <t>Seaweeds and other algae, fit for human consumption</t>
  </si>
  <si>
    <t>Seaweeds and other algae, unfit for human consumption</t>
  </si>
  <si>
    <t>Shark fins, dried, salted or in brine</t>
  </si>
  <si>
    <t>Oysters, prepared or preserved</t>
  </si>
  <si>
    <t>Swordfish (Xiphias gladius) meat, minced or not, fresh or chilled</t>
  </si>
  <si>
    <t>Swordfish (Xiphias gladius), fillets, fresh or chilled</t>
  </si>
  <si>
    <t>Swordfish (Xiphias gladius), fillets, frozen</t>
  </si>
  <si>
    <t>Sea cucumbers, prepared or preserved</t>
  </si>
  <si>
    <t>Sea urchins, prepared or preserved</t>
  </si>
  <si>
    <t>Shrimps and prawns, prepared or preserved, not in airtight containers</t>
  </si>
  <si>
    <t>Abalone (Haliotis spp.),  other than live, fresh or chilled</t>
  </si>
  <si>
    <t>Abalone (Haliotis spp.), live, fresh or chilled</t>
  </si>
  <si>
    <t>Tilapias, catfish, carp, eels, nile perch and snakeheads, fillets, dried, salted or in brine, not smoked</t>
  </si>
  <si>
    <t>Tilapias, catfish, carp, eels, Nile perch and snakeheads, including fillets, smoked</t>
  </si>
  <si>
    <t>Tilapias, catfish, carp, eels, Nile perch and snakeheads, salted or in brine</t>
  </si>
  <si>
    <t>Toothfish (Dissostichus spp.),  fresh or chilled</t>
  </si>
  <si>
    <t>Toothfish (Dissostichus spp.), fillets, fresh or chilled</t>
  </si>
  <si>
    <t>Toothfish (Dissostichus spp.), fillets, frozen</t>
  </si>
  <si>
    <t>Toothfish (Dissostichus spp.), meat, minced or not, fresh or chilled</t>
  </si>
  <si>
    <t>Trout, fillets, fresh or chilled</t>
  </si>
  <si>
    <t>Trout, fillets, frozen</t>
  </si>
  <si>
    <t>Trout, including fillets, smoked</t>
  </si>
  <si>
    <t>Tunas, skipjack or stripe-bellied bonito, fillets, frozen</t>
  </si>
  <si>
    <t>Turbots (Psetta maxima), fresh or chilled</t>
  </si>
  <si>
    <t>Turbots (Psetta maxima), frozen</t>
  </si>
  <si>
    <t>Flatfish</t>
  </si>
  <si>
    <t>Bluefin tuna (Thunnus thynnus, Thunnus orientalis), fresh or chilled</t>
  </si>
  <si>
    <t>Bluefin tuna (Thunnus thynnus, Thunnus orientalis), frozen</t>
  </si>
  <si>
    <t>Bluefin tunas (Thunnus thynnus, Thunnus orientalis), live</t>
  </si>
  <si>
    <t>Cuttlefish and squid,  other than live, fresh or chilled</t>
  </si>
  <si>
    <t>Fish livers and roes, dried, salted or in brine, smoked</t>
  </si>
  <si>
    <t>Fish meat, whether or not minced, frozen</t>
  </si>
  <si>
    <t>Mussels,  other than live, fresh or chilled</t>
  </si>
  <si>
    <t>Nile perch (Lates niloticus) and snakeheads (Channa spp.), frozen</t>
  </si>
  <si>
    <t>Octopus,  other than live, fresh or chilled</t>
  </si>
  <si>
    <t>Other animal products not elsewhere specified or included</t>
  </si>
  <si>
    <t>Other fish, whole or in pieces, prepared or preserved</t>
  </si>
  <si>
    <t>Other molluscs, live, fresh or chilled</t>
  </si>
  <si>
    <t>Other molluscs, other than live, fresh or chilled</t>
  </si>
  <si>
    <t>Southern bluefin tuna (Thunnus maccoyii), frozen</t>
  </si>
  <si>
    <t>Guideboook to the National Footprint Accounts</t>
  </si>
  <si>
    <t>Calculation Methodology for the National Footprint Accounts</t>
  </si>
  <si>
    <t>Source: `footprint_17_ult1_allfixes`</t>
  </si>
  <si>
    <t>Additional National Footprint Account data can be accessed at</t>
  </si>
  <si>
    <t>http://data.footprintnetwork.org</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</si>
</sst>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
    <numFmt numFmtId="165" formatCode="0.000"/>
    <numFmt numFmtId="166" formatCode="_(* #,##0.0_);_(* \(#,##0.0\);_(* &quot;-&quot;??_);_(@_)"/>
    <numFmt numFmtId="167" formatCode="_(* #,##0_);_(* \(#,##0\);_(* &quot;-&quot;??_);_(@_)"/>
    <numFmt numFmtId="168" formatCode="0.00000000"/>
    <numFmt numFmtId="169" formatCode="#,##0.00;;\-;"/>
    <numFmt numFmtId="170" formatCode="#,##0;;\-;"/>
    <numFmt numFmtId="171" formatCode="0.0%"/>
    <numFmt numFmtId="172" formatCode="0.0"/>
    <numFmt numFmtId="173" formatCode="0.000000"/>
    <numFmt numFmtId="174" formatCode="0.00000"/>
    <numFmt numFmtId="175" formatCode="0_);\(0\)"/>
    <numFmt numFmtId="176" formatCode="0.0_);\(0.0\)"/>
    <numFmt numFmtId="177" formatCode="_(* ###0_);_(* \(###0\);_(* &quot;-&quot;??_);_(@_)"/>
    <numFmt numFmtId="178" formatCode="0.0000"/>
    <numFmt numFmtId="179" formatCode="_(* ###00_);_(* \(###00\);_(* &quot;-&quot;??_);_(@_)"/>
    <numFmt numFmtId="180" formatCode="#,##0.00;;\-"/>
  </numFmts>
  <fonts count="99"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sz val="8"/>
      <color indexed="81"/>
      <name val="Tahoma"/>
      <family val="2"/>
    </font>
    <font>
      <sz val="10"/>
      <name val="Arial"/>
      <family val="2"/>
    </font>
    <font>
      <sz val="10"/>
      <color indexed="23"/>
      <name val="Arial"/>
      <family val="2"/>
    </font>
    <font>
      <vertAlign val="superscript"/>
      <sz val="10"/>
      <name val="Arial"/>
      <family val="2"/>
    </font>
    <font>
      <vertAlign val="superscript"/>
      <sz val="10"/>
      <color indexed="23"/>
      <name val="Arial"/>
      <family val="2"/>
    </font>
    <font>
      <vertAlign val="subscript"/>
      <sz val="10"/>
      <color indexed="23"/>
      <name val="Arial"/>
      <family val="2"/>
    </font>
    <font>
      <vertAlign val="subscript"/>
      <sz val="10"/>
      <name val="Arial"/>
      <family val="2"/>
    </font>
    <font>
      <b/>
      <vertAlign val="subscript"/>
      <sz val="10"/>
      <name val="Arial"/>
      <family val="2"/>
    </font>
    <font>
      <sz val="10"/>
      <color indexed="23"/>
      <name val="Arial"/>
      <family val="2"/>
    </font>
    <font>
      <i/>
      <sz val="10"/>
      <name val="Arial"/>
      <family val="2"/>
    </font>
    <font>
      <vertAlign val="superscript"/>
      <sz val="8"/>
      <color indexed="81"/>
      <name val="Tahoma"/>
      <family val="2"/>
    </font>
    <font>
      <b/>
      <sz val="10"/>
      <color indexed="56"/>
      <name val="Arial"/>
      <family val="2"/>
    </font>
    <font>
      <sz val="10"/>
      <color indexed="9"/>
      <name val="Arial"/>
      <family val="2"/>
    </font>
    <font>
      <sz val="10"/>
      <color indexed="9"/>
      <name val="Arial"/>
      <family val="2"/>
    </font>
    <font>
      <b/>
      <sz val="10"/>
      <color indexed="9"/>
      <name val="Arial"/>
      <family val="2"/>
    </font>
    <font>
      <b/>
      <vertAlign val="subscript"/>
      <sz val="10"/>
      <color indexed="9"/>
      <name val="Arial"/>
      <family val="2"/>
    </font>
    <font>
      <i/>
      <sz val="8"/>
      <color indexed="81"/>
      <name val="Tahoma"/>
      <family val="2"/>
    </font>
    <font>
      <b/>
      <i/>
      <sz val="10"/>
      <name val="Arial"/>
      <family val="2"/>
    </font>
    <font>
      <b/>
      <sz val="20"/>
      <name val="Arial"/>
      <family val="2"/>
    </font>
    <font>
      <i/>
      <u/>
      <sz val="10"/>
      <color indexed="12"/>
      <name val="Arial"/>
      <family val="2"/>
    </font>
    <font>
      <sz val="10"/>
      <color indexed="10"/>
      <name val="Arial"/>
      <family val="2"/>
    </font>
    <font>
      <sz val="10"/>
      <color indexed="9"/>
      <name val="Arial"/>
      <family val="2"/>
    </font>
    <font>
      <u/>
      <sz val="8"/>
      <color indexed="81"/>
      <name val="Tahoma"/>
      <family val="2"/>
    </font>
    <font>
      <sz val="10"/>
      <color indexed="12"/>
      <name val="Arial"/>
      <family val="2"/>
    </font>
    <font>
      <u/>
      <sz val="10"/>
      <color indexed="9"/>
      <name val="Arial"/>
      <family val="2"/>
    </font>
    <font>
      <b/>
      <sz val="10"/>
      <color indexed="9"/>
      <name val="Arial"/>
      <family val="2"/>
    </font>
    <font>
      <sz val="10"/>
      <color indexed="22"/>
      <name val="Arial"/>
      <family val="2"/>
    </font>
    <font>
      <vertAlign val="subscript"/>
      <sz val="10"/>
      <color indexed="22"/>
      <name val="Arial"/>
      <family val="2"/>
    </font>
    <font>
      <vertAlign val="superscript"/>
      <sz val="10"/>
      <color indexed="22"/>
      <name val="Arial"/>
      <family val="2"/>
    </font>
    <font>
      <sz val="10"/>
      <color indexed="23"/>
      <name val="Arial"/>
      <family val="2"/>
    </font>
    <font>
      <b/>
      <sz val="14"/>
      <color indexed="9"/>
      <name val="Arial"/>
      <family val="2"/>
    </font>
    <font>
      <sz val="10"/>
      <color indexed="12"/>
      <name val="Arial"/>
      <family val="2"/>
    </font>
    <font>
      <b/>
      <sz val="24"/>
      <color indexed="9"/>
      <name val="Arial"/>
      <family val="2"/>
    </font>
    <font>
      <sz val="10"/>
      <color indexed="9"/>
      <name val="Arial"/>
      <family val="2"/>
    </font>
    <font>
      <b/>
      <sz val="18"/>
      <color indexed="49"/>
      <name val="Arial"/>
      <family val="2"/>
    </font>
    <font>
      <sz val="10"/>
      <color indexed="49"/>
      <name val="Arial"/>
      <family val="2"/>
    </font>
    <font>
      <b/>
      <sz val="10"/>
      <color indexed="49"/>
      <name val="Arial"/>
      <family val="2"/>
    </font>
    <font>
      <b/>
      <sz val="8"/>
      <color indexed="81"/>
      <name val="Tahoma"/>
      <family val="2"/>
    </font>
    <font>
      <sz val="8"/>
      <name val="Arial"/>
      <family val="2"/>
    </font>
    <font>
      <sz val="10"/>
      <color indexed="14"/>
      <name val="Arial"/>
      <family val="2"/>
    </font>
    <font>
      <sz val="10"/>
      <color indexed="22"/>
      <name val="Arial"/>
      <family val="2"/>
    </font>
    <font>
      <sz val="10"/>
      <color indexed="22"/>
      <name val="Arial"/>
      <family val="2"/>
    </font>
    <font>
      <sz val="10"/>
      <name val="Arial"/>
      <family val="2"/>
    </font>
    <font>
      <sz val="8"/>
      <name val="Arial"/>
      <family val="2"/>
    </font>
    <font>
      <b/>
      <sz val="10"/>
      <color indexed="22"/>
      <name val="Arial"/>
      <family val="2"/>
    </font>
    <font>
      <sz val="10"/>
      <color indexed="9"/>
      <name val="Calibri"/>
      <family val="2"/>
    </font>
    <font>
      <i/>
      <sz val="10"/>
      <color indexed="23"/>
      <name val="Arial"/>
      <family val="2"/>
    </font>
    <font>
      <sz val="10"/>
      <name val="Symbol"/>
      <family val="1"/>
      <charset val="2"/>
    </font>
    <font>
      <b/>
      <sz val="8.8000000000000007"/>
      <color indexed="8"/>
      <name val="Inherit"/>
    </font>
    <font>
      <b/>
      <vertAlign val="subscript"/>
      <sz val="8.5"/>
      <color indexed="8"/>
      <name val="Inherit"/>
    </font>
    <font>
      <sz val="10"/>
      <color indexed="9"/>
      <name val="Arial"/>
      <family val="2"/>
    </font>
    <font>
      <sz val="11"/>
      <color theme="0"/>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FA7D00"/>
      <name val="Calibri"/>
      <family val="2"/>
      <scheme val="minor"/>
    </font>
    <font>
      <b/>
      <sz val="11"/>
      <color theme="1"/>
      <name val="Calibri"/>
      <family val="2"/>
      <scheme val="minor"/>
    </font>
    <font>
      <sz val="10"/>
      <color rgb="FFFF0000"/>
      <name val="Arial"/>
      <family val="2"/>
    </font>
    <font>
      <sz val="10"/>
      <color theme="1"/>
      <name val="Arial"/>
      <family val="2"/>
    </font>
    <font>
      <sz val="10"/>
      <color rgb="FFFFE8A7"/>
      <name val="Arial"/>
      <family val="2"/>
    </font>
    <font>
      <sz val="10"/>
      <color rgb="FF808080"/>
      <name val="Arial"/>
      <family val="2"/>
    </font>
    <font>
      <sz val="10"/>
      <color theme="1" tint="0.34998626667073579"/>
      <name val="Arial"/>
      <family val="2"/>
    </font>
    <font>
      <sz val="9"/>
      <color indexed="81"/>
      <name val="Tahoma"/>
      <family val="2"/>
    </font>
    <font>
      <sz val="10"/>
      <color theme="0" tint="-0.14999847407452621"/>
      <name val="Arial"/>
      <family val="2"/>
    </font>
    <font>
      <b/>
      <sz val="9"/>
      <color indexed="81"/>
      <name val="Tahoma"/>
      <family val="2"/>
    </font>
    <font>
      <b/>
      <sz val="10"/>
      <color theme="0" tint="-0.34998626667073579"/>
      <name val="Arial"/>
      <family val="2"/>
    </font>
    <font>
      <sz val="10"/>
      <color theme="0" tint="-0.34998626667073579"/>
      <name val="Arial"/>
      <family val="2"/>
    </font>
    <font>
      <sz val="10"/>
      <color theme="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sz val="11"/>
      <color rgb="FFFF0000"/>
      <name val="Calibri"/>
      <family val="2"/>
      <scheme val="minor"/>
    </font>
    <font>
      <b/>
      <vertAlign val="superscript"/>
      <sz val="10"/>
      <name val="Arial"/>
      <family val="2"/>
    </font>
    <font>
      <sz val="10"/>
      <color theme="1" tint="0.249977111117893"/>
      <name val="Arial"/>
      <family val="2"/>
    </font>
    <font>
      <vertAlign val="superscript"/>
      <sz val="10"/>
      <color theme="1" tint="0.249977111117893"/>
      <name val="Arial"/>
      <family val="2"/>
    </font>
    <font>
      <sz val="10"/>
      <name val="Arial"/>
      <family val="2"/>
    </font>
    <font>
      <b/>
      <sz val="10"/>
      <color indexed="8"/>
      <name val="Arial"/>
      <family val="2"/>
    </font>
    <font>
      <b/>
      <sz val="10"/>
      <color theme="1"/>
      <name val="Arial"/>
      <family val="2"/>
    </font>
    <font>
      <vertAlign val="superscript"/>
      <sz val="10"/>
      <color rgb="FF808080"/>
      <name val="Arial"/>
      <family val="2"/>
    </font>
    <font>
      <sz val="10"/>
      <color theme="10"/>
      <name val="Arial"/>
      <family val="2"/>
    </font>
    <font>
      <b/>
      <sz val="10"/>
      <color theme="0"/>
      <name val="Arial"/>
      <family val="2"/>
    </font>
    <font>
      <vertAlign val="superscript"/>
      <sz val="10"/>
      <color theme="0"/>
      <name val="Arial"/>
      <family val="2"/>
    </font>
    <font>
      <b/>
      <vertAlign val="subscript"/>
      <sz val="10"/>
      <color theme="0"/>
      <name val="Arial"/>
      <family val="2"/>
    </font>
    <font>
      <sz val="11"/>
      <color theme="1"/>
      <name val="Calibri"/>
      <family val="2"/>
    </font>
    <font>
      <sz val="10"/>
      <color rgb="FF000000"/>
      <name val="Arial"/>
      <family val="2"/>
    </font>
    <font>
      <i/>
      <u/>
      <sz val="10"/>
      <color theme="10"/>
      <name val="Arial"/>
      <family val="2"/>
    </font>
  </fonts>
  <fills count="7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7"/>
        <bgColor indexed="64"/>
      </patternFill>
    </fill>
    <fill>
      <patternFill patternType="darkUp">
        <bgColor indexed="23"/>
      </patternFill>
    </fill>
    <fill>
      <patternFill patternType="solid">
        <fgColor indexed="52"/>
        <bgColor indexed="64"/>
      </patternFill>
    </fill>
    <fill>
      <patternFill patternType="solid">
        <fgColor indexed="8"/>
        <bgColor indexed="64"/>
      </patternFill>
    </fill>
    <fill>
      <patternFill patternType="lightDown">
        <bgColor indexed="23"/>
      </patternFill>
    </fill>
    <fill>
      <patternFill patternType="solid">
        <fgColor indexed="44"/>
        <bgColor indexed="64"/>
      </patternFill>
    </fill>
    <fill>
      <patternFill patternType="solid">
        <fgColor indexed="16"/>
        <bgColor indexed="27"/>
      </patternFill>
    </fill>
    <fill>
      <patternFill patternType="solid">
        <fgColor indexed="16"/>
        <bgColor indexed="64"/>
      </patternFill>
    </fill>
    <fill>
      <patternFill patternType="solid">
        <fgColor indexed="10"/>
        <bgColor indexed="64"/>
      </patternFill>
    </fill>
    <fill>
      <patternFill patternType="solid">
        <fgColor indexed="53"/>
        <bgColor indexed="64"/>
      </patternFill>
    </fill>
    <fill>
      <patternFill patternType="solid">
        <fgColor indexed="45"/>
        <bgColor indexed="64"/>
      </patternFill>
    </fill>
    <fill>
      <patternFill patternType="solid">
        <fgColor indexed="40"/>
        <bgColor indexed="64"/>
      </patternFill>
    </fill>
    <fill>
      <patternFill patternType="solid">
        <fgColor indexed="17"/>
        <bgColor indexed="64"/>
      </patternFill>
    </fill>
    <fill>
      <patternFill patternType="solid">
        <fgColor indexed="49"/>
        <bgColor indexed="64"/>
      </patternFill>
    </fill>
    <fill>
      <patternFill patternType="solid">
        <fgColor indexed="23"/>
        <bgColor indexed="64"/>
      </patternFill>
    </fill>
    <fill>
      <patternFill patternType="solid">
        <fgColor indexed="43"/>
        <bgColor indexed="64"/>
      </patternFill>
    </fill>
    <fill>
      <patternFill patternType="solid">
        <fgColor indexed="62"/>
        <bgColor indexed="64"/>
      </patternFill>
    </fill>
    <fill>
      <patternFill patternType="darkUp">
        <bgColor indexed="9"/>
      </patternFill>
    </fill>
    <fill>
      <patternFill patternType="solid">
        <fgColor indexed="13"/>
        <bgColor indexed="64"/>
      </patternFill>
    </fill>
    <fill>
      <patternFill patternType="solid">
        <fgColor indexed="60"/>
        <bgColor indexed="64"/>
      </patternFill>
    </fill>
    <fill>
      <patternFill patternType="solid">
        <fgColor indexed="65"/>
        <bgColor indexed="64"/>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patternFill>
    </fill>
    <fill>
      <patternFill patternType="solid">
        <fgColor rgb="FFFFC7CE"/>
      </patternFill>
    </fill>
    <fill>
      <patternFill patternType="solid">
        <fgColor rgb="FFA5A5A5"/>
      </patternFill>
    </fill>
    <fill>
      <patternFill patternType="solid">
        <fgColor rgb="FFC6EFCE"/>
      </patternFill>
    </fill>
    <fill>
      <patternFill patternType="solid">
        <fgColor theme="0"/>
        <bgColor indexed="64"/>
      </patternFill>
    </fill>
    <fill>
      <patternFill patternType="solid">
        <fgColor theme="5"/>
        <bgColor indexed="64"/>
      </patternFill>
    </fill>
    <fill>
      <patternFill patternType="solid">
        <fgColor theme="6"/>
        <bgColor indexed="64"/>
      </patternFill>
    </fill>
    <fill>
      <patternFill patternType="solid">
        <fgColor rgb="FFFF99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008000"/>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FFCC"/>
      </patternFill>
    </fill>
    <fill>
      <patternFill patternType="solid">
        <fgColor rgb="FFFFEB9C"/>
      </patternFill>
    </fill>
    <fill>
      <patternFill patternType="solid">
        <fgColor rgb="FFFFCC99"/>
      </patternFill>
    </fill>
    <fill>
      <patternFill patternType="solid">
        <fgColor rgb="FFF2F2F2"/>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0" tint="-0.34998626667073579"/>
        <bgColor indexed="64"/>
      </patternFill>
    </fill>
    <fill>
      <patternFill patternType="solid">
        <fgColor theme="6" tint="-9.9978637043366805E-2"/>
        <bgColor indexed="64"/>
      </patternFill>
    </fill>
    <fill>
      <patternFill patternType="solid">
        <fgColor rgb="FFD1D1D1"/>
        <bgColor indexed="64"/>
      </patternFill>
    </fill>
    <fill>
      <patternFill patternType="solid">
        <fgColor rgb="FFAED2F0"/>
        <bgColor indexed="64"/>
      </patternFill>
    </fill>
    <fill>
      <patternFill patternType="solid">
        <fgColor theme="7"/>
        <bgColor indexed="64"/>
      </patternFill>
    </fill>
  </fills>
  <borders count="154">
    <border>
      <left/>
      <right/>
      <top/>
      <bottom/>
      <diagonal/>
    </border>
    <border>
      <left/>
      <right/>
      <top/>
      <bottom style="thin">
        <color auto="1"/>
      </bottom>
      <diagonal/>
    </border>
    <border>
      <left style="thin">
        <color indexed="9"/>
      </left>
      <right style="thin">
        <color indexed="9"/>
      </right>
      <top style="thin">
        <color indexed="9"/>
      </top>
      <bottom style="thin">
        <color indexed="9"/>
      </bottom>
      <diagonal/>
    </border>
    <border>
      <left style="thin">
        <color auto="1"/>
      </left>
      <right style="thin">
        <color auto="1"/>
      </right>
      <top/>
      <bottom/>
      <diagonal/>
    </border>
    <border>
      <left style="thin">
        <color indexed="9"/>
      </left>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diagonal/>
    </border>
    <border>
      <left/>
      <right style="thin">
        <color indexed="9"/>
      </right>
      <top style="thin">
        <color indexed="9"/>
      </top>
      <bottom style="thin">
        <color indexed="9"/>
      </bottom>
      <diagonal/>
    </border>
    <border>
      <left/>
      <right style="thin">
        <color indexed="9"/>
      </right>
      <top style="thin">
        <color auto="1"/>
      </top>
      <bottom style="thin">
        <color indexed="9"/>
      </bottom>
      <diagonal/>
    </border>
    <border>
      <left style="thin">
        <color indexed="9"/>
      </left>
      <right style="thin">
        <color indexed="9"/>
      </right>
      <top style="thin">
        <color auto="1"/>
      </top>
      <bottom style="thin">
        <color indexed="9"/>
      </bottom>
      <diagonal/>
    </border>
    <border>
      <left/>
      <right style="thin">
        <color indexed="9"/>
      </right>
      <top style="thin">
        <color indexed="9"/>
      </top>
      <bottom/>
      <diagonal/>
    </border>
    <border>
      <left style="thin">
        <color auto="1"/>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9"/>
      </right>
      <top/>
      <bottom style="thin">
        <color indexed="9"/>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right/>
      <top style="thin">
        <color indexed="9"/>
      </top>
      <bottom/>
      <diagonal/>
    </border>
    <border>
      <left/>
      <right/>
      <top style="thin">
        <color indexed="9"/>
      </top>
      <bottom style="thin">
        <color indexed="9"/>
      </bottom>
      <diagonal/>
    </border>
    <border>
      <left style="thin">
        <color indexed="9"/>
      </left>
      <right/>
      <top style="thin">
        <color indexed="9"/>
      </top>
      <bottom/>
      <diagonal/>
    </border>
    <border>
      <left style="thin">
        <color indexed="9"/>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top/>
      <bottom style="thin">
        <color indexed="9"/>
      </bottom>
      <diagonal/>
    </border>
    <border>
      <left style="thin">
        <color indexed="9"/>
      </left>
      <right/>
      <top/>
      <bottom style="thin">
        <color indexed="9"/>
      </bottom>
      <diagonal/>
    </border>
    <border>
      <left style="thin">
        <color theme="7" tint="0.39994506668294322"/>
      </left>
      <right style="thin">
        <color theme="7" tint="0.39994506668294322"/>
      </right>
      <top style="thin">
        <color theme="7" tint="0.39994506668294322"/>
      </top>
      <bottom style="thin">
        <color theme="7" tint="0.39994506668294322"/>
      </bottom>
      <diagonal/>
    </border>
    <border>
      <left style="thin">
        <color theme="0" tint="-0.24994659260841701"/>
      </left>
      <right/>
      <top style="thin">
        <color auto="1"/>
      </top>
      <bottom style="thin">
        <color auto="1"/>
      </bottom>
      <diagonal/>
    </border>
    <border>
      <left style="thin">
        <color theme="0" tint="-0.24994659260841701"/>
      </left>
      <right/>
      <top style="thin">
        <color auto="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auto="1"/>
      </bottom>
      <diagonal/>
    </border>
    <border>
      <left style="thin">
        <color theme="0" tint="-0.24994659260841701"/>
      </left>
      <right style="thin">
        <color auto="1"/>
      </right>
      <top style="thin">
        <color auto="1"/>
      </top>
      <bottom style="thin">
        <color auto="1"/>
      </bottom>
      <diagonal/>
    </border>
    <border>
      <left style="thin">
        <color theme="0" tint="-0.24994659260841701"/>
      </left>
      <right/>
      <top/>
      <bottom style="thin">
        <color theme="0" tint="-0.24994659260841701"/>
      </bottom>
      <diagonal/>
    </border>
    <border>
      <left style="thin">
        <color theme="0" tint="-0.24994659260841701"/>
      </left>
      <right style="thin">
        <color auto="1"/>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auto="1"/>
      </top>
      <bottom/>
      <diagonal/>
    </border>
    <border>
      <left style="thin">
        <color theme="0" tint="-0.249977111117893"/>
      </left>
      <right style="thin">
        <color theme="0" tint="-0.249977111117893"/>
      </right>
      <top/>
      <bottom style="thin">
        <color auto="1"/>
      </bottom>
      <diagonal/>
    </border>
    <border>
      <left style="thin">
        <color theme="0" tint="-0.249977111117893"/>
      </left>
      <right style="thin">
        <color auto="1"/>
      </right>
      <top style="thin">
        <color theme="0" tint="-0.249977111117893"/>
      </top>
      <bottom style="thin">
        <color theme="0" tint="-0.249977111117893"/>
      </bottom>
      <diagonal/>
    </border>
    <border>
      <left style="thin">
        <color theme="0" tint="-0.24994659260841701"/>
      </left>
      <right style="thin">
        <color auto="1"/>
      </right>
      <top style="thin">
        <color theme="0" tint="-0.24994659260841701"/>
      </top>
      <bottom style="thin">
        <color theme="0" tint="-0.24994659260841701"/>
      </bottom>
      <diagonal/>
    </border>
    <border>
      <left style="thin">
        <color theme="0" tint="-0.24994659260841701"/>
      </left>
      <right style="thin">
        <color auto="1"/>
      </right>
      <top style="thin">
        <color theme="0" tint="-0.24994659260841701"/>
      </top>
      <bottom style="thin">
        <color auto="1"/>
      </bottom>
      <diagonal/>
    </border>
    <border>
      <left/>
      <right style="thin">
        <color theme="0" tint="-0.24994659260841701"/>
      </right>
      <top style="thin">
        <color auto="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auto="1"/>
      </left>
      <right style="thin">
        <color auto="1"/>
      </right>
      <top style="thin">
        <color auto="1"/>
      </top>
      <bottom style="thin">
        <color theme="0" tint="-0.24994659260841701"/>
      </bottom>
      <diagonal/>
    </border>
    <border>
      <left style="thin">
        <color auto="1"/>
      </left>
      <right style="thin">
        <color auto="1"/>
      </right>
      <top style="thin">
        <color theme="0" tint="-0.24994659260841701"/>
      </top>
      <bottom style="thin">
        <color theme="0" tint="-0.24994659260841701"/>
      </bottom>
      <diagonal/>
    </border>
    <border>
      <left style="thin">
        <color auto="1"/>
      </left>
      <right style="thin">
        <color auto="1"/>
      </right>
      <top style="thin">
        <color theme="0" tint="-0.24994659260841701"/>
      </top>
      <bottom style="thin">
        <color auto="1"/>
      </bottom>
      <diagonal/>
    </border>
    <border>
      <left style="thin">
        <color rgb="FFA3C6F5"/>
      </left>
      <right style="thin">
        <color rgb="FFA3C6F5"/>
      </right>
      <top style="thin">
        <color auto="1"/>
      </top>
      <bottom style="thin">
        <color rgb="FFA3C6F5"/>
      </bottom>
      <diagonal/>
    </border>
    <border>
      <left style="thin">
        <color rgb="FFA3C6F5"/>
      </left>
      <right style="thin">
        <color rgb="FFA3C6F5"/>
      </right>
      <top style="thin">
        <color rgb="FFA3C6F5"/>
      </top>
      <bottom style="thin">
        <color rgb="FFA3C6F5"/>
      </bottom>
      <diagonal/>
    </border>
    <border>
      <left style="thin">
        <color rgb="FFA3C6F5"/>
      </left>
      <right style="thin">
        <color rgb="FFA3C6F5"/>
      </right>
      <top style="thin">
        <color rgb="FFA3C6F5"/>
      </top>
      <bottom style="thin">
        <color auto="1"/>
      </bottom>
      <diagonal/>
    </border>
    <border>
      <left style="thin">
        <color rgb="FFA3C6F5"/>
      </left>
      <right style="thin">
        <color auto="1"/>
      </right>
      <top style="thin">
        <color auto="1"/>
      </top>
      <bottom style="thin">
        <color rgb="FFA3C6F5"/>
      </bottom>
      <diagonal/>
    </border>
    <border>
      <left style="thin">
        <color rgb="FFA3C6F5"/>
      </left>
      <right style="thin">
        <color auto="1"/>
      </right>
      <top style="thin">
        <color rgb="FFA3C6F5"/>
      </top>
      <bottom style="thin">
        <color theme="0" tint="-0.249977111117893"/>
      </bottom>
      <diagonal/>
    </border>
    <border>
      <left style="thin">
        <color theme="0" tint="-0.24994659260841701"/>
      </left>
      <right style="thin">
        <color rgb="FFA3C6F5"/>
      </right>
      <top style="thin">
        <color auto="1"/>
      </top>
      <bottom style="thin">
        <color rgb="FFA3C6F5"/>
      </bottom>
      <diagonal/>
    </border>
    <border>
      <left style="thin">
        <color theme="0" tint="-0.24994659260841701"/>
      </left>
      <right style="thin">
        <color rgb="FFA3C6F5"/>
      </right>
      <top style="thin">
        <color rgb="FFA3C6F5"/>
      </top>
      <bottom style="thin">
        <color rgb="FFA3C6F5"/>
      </bottom>
      <diagonal/>
    </border>
    <border>
      <left style="thin">
        <color theme="0" tint="-0.24994659260841701"/>
      </left>
      <right style="thin">
        <color rgb="FFA3C6F5"/>
      </right>
      <top style="thin">
        <color rgb="FFA3C6F5"/>
      </top>
      <bottom style="thin">
        <color auto="1"/>
      </bottom>
      <diagonal/>
    </border>
    <border>
      <left style="thin">
        <color theme="0" tint="-0.24994659260841701"/>
      </left>
      <right style="thin">
        <color rgb="FFA3C6F5"/>
      </right>
      <top/>
      <bottom style="thin">
        <color rgb="FFA3C6F5"/>
      </bottom>
      <diagonal/>
    </border>
    <border>
      <left style="thin">
        <color rgb="FFA3C6F5"/>
      </left>
      <right style="thin">
        <color rgb="FFA3C6F5"/>
      </right>
      <top/>
      <bottom style="thin">
        <color rgb="FFA3C6F5"/>
      </bottom>
      <diagonal/>
    </border>
    <border>
      <left style="thin">
        <color rgb="FFA3C6F5"/>
      </left>
      <right style="thin">
        <color auto="1"/>
      </right>
      <top style="thin">
        <color rgb="FFA3C6F5"/>
      </top>
      <bottom style="thin">
        <color rgb="FFA3C6F5"/>
      </bottom>
      <diagonal/>
    </border>
    <border>
      <left style="thin">
        <color rgb="FFA3C6F5"/>
      </left>
      <right style="thin">
        <color auto="1"/>
      </right>
      <top style="thin">
        <color rgb="FFA3C6F5"/>
      </top>
      <bottom style="thin">
        <color auto="1"/>
      </bottom>
      <diagonal/>
    </border>
    <border>
      <left style="thin">
        <color rgb="FFA3C6F5"/>
      </left>
      <right/>
      <top style="thin">
        <color auto="1"/>
      </top>
      <bottom style="thin">
        <color rgb="FFA3C6F5"/>
      </bottom>
      <diagonal/>
    </border>
    <border>
      <left style="thin">
        <color rgb="FFA3C6F5"/>
      </left>
      <right/>
      <top style="thin">
        <color rgb="FFA3C6F5"/>
      </top>
      <bottom style="thin">
        <color rgb="FFA3C6F5"/>
      </bottom>
      <diagonal/>
    </border>
    <border>
      <left style="thin">
        <color rgb="FFA3C6F5"/>
      </left>
      <right style="thin">
        <color rgb="FFA3C6F5"/>
      </right>
      <top style="thin">
        <color rgb="FFA3C6F5"/>
      </top>
      <bottom/>
      <diagonal/>
    </border>
    <border>
      <left style="thin">
        <color rgb="FFA3C6F5"/>
      </left>
      <right style="thin">
        <color auto="1"/>
      </right>
      <top style="thin">
        <color rgb="FFA3C6F5"/>
      </top>
      <bottom/>
      <diagonal/>
    </border>
    <border>
      <left/>
      <right style="thin">
        <color auto="1"/>
      </right>
      <top style="thin">
        <color rgb="FFA3C6F5"/>
      </top>
      <bottom style="thin">
        <color rgb="FFA3C6F5"/>
      </bottom>
      <diagonal/>
    </border>
    <border>
      <left style="thin">
        <color theme="0" tint="-0.24994659260841701"/>
      </left>
      <right style="thin">
        <color theme="0" tint="-0.24994659260841701"/>
      </right>
      <top style="thin">
        <color theme="0" tint="-0.24994659260841701"/>
      </top>
      <bottom/>
      <diagonal/>
    </border>
    <border>
      <left/>
      <right style="thin">
        <color theme="0" tint="-0.24994659260841701"/>
      </right>
      <top style="thin">
        <color theme="0" tint="-0.24994659260841701"/>
      </top>
      <bottom/>
      <diagonal/>
    </border>
    <border>
      <left style="thin">
        <color auto="1"/>
      </left>
      <right style="thin">
        <color auto="1"/>
      </right>
      <top style="thin">
        <color rgb="FFA3C6F5"/>
      </top>
      <bottom style="thin">
        <color rgb="FFA3C6F5"/>
      </bottom>
      <diagonal/>
    </border>
    <border>
      <left style="thin">
        <color auto="1"/>
      </left>
      <right style="thin">
        <color auto="1"/>
      </right>
      <top style="thin">
        <color auto="1"/>
      </top>
      <bottom style="thin">
        <color rgb="FFA3C6F5"/>
      </bottom>
      <diagonal/>
    </border>
    <border>
      <left style="thin">
        <color rgb="FFEED284"/>
      </left>
      <right style="thin">
        <color rgb="FFEED284"/>
      </right>
      <top style="thin">
        <color auto="1"/>
      </top>
      <bottom style="thin">
        <color rgb="FFEED284"/>
      </bottom>
      <diagonal/>
    </border>
    <border>
      <left style="thin">
        <color rgb="FFEED284"/>
      </left>
      <right style="thin">
        <color auto="1"/>
      </right>
      <top style="thin">
        <color auto="1"/>
      </top>
      <bottom style="thin">
        <color rgb="FFEED284"/>
      </bottom>
      <diagonal/>
    </border>
    <border>
      <left style="thin">
        <color rgb="FFEED284"/>
      </left>
      <right style="thin">
        <color rgb="FFEED284"/>
      </right>
      <top style="thin">
        <color rgb="FFEED284"/>
      </top>
      <bottom style="thin">
        <color rgb="FFEED284"/>
      </bottom>
      <diagonal/>
    </border>
    <border>
      <left style="thin">
        <color rgb="FFEED284"/>
      </left>
      <right style="thin">
        <color auto="1"/>
      </right>
      <top style="thin">
        <color rgb="FFEED284"/>
      </top>
      <bottom style="thin">
        <color rgb="FFEED284"/>
      </bottom>
      <diagonal/>
    </border>
    <border>
      <left style="thin">
        <color rgb="FFEED284"/>
      </left>
      <right style="thin">
        <color rgb="FFEED284"/>
      </right>
      <top style="thin">
        <color rgb="FFEED284"/>
      </top>
      <bottom style="thin">
        <color auto="1"/>
      </bottom>
      <diagonal/>
    </border>
    <border>
      <left style="thin">
        <color rgb="FFEED284"/>
      </left>
      <right style="thin">
        <color auto="1"/>
      </right>
      <top style="thin">
        <color rgb="FFEED284"/>
      </top>
      <bottom style="thin">
        <color auto="1"/>
      </bottom>
      <diagonal/>
    </border>
    <border>
      <left style="thin">
        <color auto="1"/>
      </left>
      <right style="thin">
        <color rgb="FFEED284"/>
      </right>
      <top style="thin">
        <color auto="1"/>
      </top>
      <bottom style="thin">
        <color rgb="FFEED284"/>
      </bottom>
      <diagonal/>
    </border>
    <border>
      <left style="thin">
        <color rgb="FFEED284"/>
      </left>
      <right/>
      <top style="thin">
        <color auto="1"/>
      </top>
      <bottom style="thin">
        <color rgb="FFEED284"/>
      </bottom>
      <diagonal/>
    </border>
    <border>
      <left style="thin">
        <color auto="1"/>
      </left>
      <right style="thin">
        <color rgb="FFEED284"/>
      </right>
      <top style="thin">
        <color rgb="FFEED284"/>
      </top>
      <bottom style="thin">
        <color rgb="FFEED284"/>
      </bottom>
      <diagonal/>
    </border>
    <border>
      <left style="thin">
        <color rgb="FFEED284"/>
      </left>
      <right/>
      <top style="thin">
        <color rgb="FFEED284"/>
      </top>
      <bottom style="thin">
        <color rgb="FFEED284"/>
      </bottom>
      <diagonal/>
    </border>
    <border>
      <left style="thin">
        <color auto="1"/>
      </left>
      <right style="thin">
        <color rgb="FFEED284"/>
      </right>
      <top style="thin">
        <color rgb="FFEED284"/>
      </top>
      <bottom style="thin">
        <color auto="1"/>
      </bottom>
      <diagonal/>
    </border>
    <border>
      <left style="thin">
        <color rgb="FFEED284"/>
      </left>
      <right/>
      <top style="thin">
        <color rgb="FFEED284"/>
      </top>
      <bottom style="thin">
        <color auto="1"/>
      </bottom>
      <diagonal/>
    </border>
    <border>
      <left style="thin">
        <color auto="1"/>
      </left>
      <right style="thin">
        <color rgb="FFF1DD93"/>
      </right>
      <top style="thin">
        <color auto="1"/>
      </top>
      <bottom style="thin">
        <color rgb="FFF1DD93"/>
      </bottom>
      <diagonal/>
    </border>
    <border>
      <left style="thin">
        <color rgb="FFF1DD93"/>
      </left>
      <right style="thin">
        <color rgb="FFF1DD93"/>
      </right>
      <top style="thin">
        <color auto="1"/>
      </top>
      <bottom style="thin">
        <color rgb="FFF1DD93"/>
      </bottom>
      <diagonal/>
    </border>
    <border>
      <left style="thin">
        <color rgb="FFF1DD93"/>
      </left>
      <right/>
      <top style="thin">
        <color auto="1"/>
      </top>
      <bottom style="thin">
        <color rgb="FFF1DD93"/>
      </bottom>
      <diagonal/>
    </border>
    <border>
      <left style="thin">
        <color auto="1"/>
      </left>
      <right style="thin">
        <color rgb="FFF1DD93"/>
      </right>
      <top style="thin">
        <color rgb="FFF1DD93"/>
      </top>
      <bottom style="thin">
        <color rgb="FFF1DD93"/>
      </bottom>
      <diagonal/>
    </border>
    <border>
      <left style="thin">
        <color rgb="FFF1DD93"/>
      </left>
      <right style="thin">
        <color rgb="FFF1DD93"/>
      </right>
      <top style="thin">
        <color rgb="FFF1DD93"/>
      </top>
      <bottom style="thin">
        <color rgb="FFF1DD93"/>
      </bottom>
      <diagonal/>
    </border>
    <border>
      <left style="thin">
        <color rgb="FFF1DD93"/>
      </left>
      <right/>
      <top style="thin">
        <color rgb="FFF1DD93"/>
      </top>
      <bottom style="thin">
        <color rgb="FFF1DD93"/>
      </bottom>
      <diagonal/>
    </border>
    <border>
      <left style="thin">
        <color auto="1"/>
      </left>
      <right style="thin">
        <color rgb="FFF1DD93"/>
      </right>
      <top style="thin">
        <color rgb="FFF1DD93"/>
      </top>
      <bottom style="thin">
        <color auto="1"/>
      </bottom>
      <diagonal/>
    </border>
    <border>
      <left style="thin">
        <color rgb="FFF1DD93"/>
      </left>
      <right style="thin">
        <color rgb="FFF1DD93"/>
      </right>
      <top style="thin">
        <color rgb="FFF1DD93"/>
      </top>
      <bottom style="thin">
        <color auto="1"/>
      </bottom>
      <diagonal/>
    </border>
    <border>
      <left style="thin">
        <color rgb="FFF1DD93"/>
      </left>
      <right/>
      <top style="thin">
        <color rgb="FFF1DD93"/>
      </top>
      <bottom style="thin">
        <color auto="1"/>
      </bottom>
      <diagonal/>
    </border>
    <border>
      <left style="thin">
        <color rgb="FFF1DD93"/>
      </left>
      <right style="thin">
        <color auto="1"/>
      </right>
      <top style="thin">
        <color auto="1"/>
      </top>
      <bottom style="thin">
        <color rgb="FFF1DD93"/>
      </bottom>
      <diagonal/>
    </border>
    <border>
      <left style="thin">
        <color rgb="FFF1DD93"/>
      </left>
      <right style="thin">
        <color auto="1"/>
      </right>
      <top style="thin">
        <color rgb="FFF1DD93"/>
      </top>
      <bottom style="thin">
        <color rgb="FFF1DD93"/>
      </bottom>
      <diagonal/>
    </border>
    <border>
      <left style="thin">
        <color rgb="FFF1DD93"/>
      </left>
      <right style="thin">
        <color auto="1"/>
      </right>
      <top style="thin">
        <color rgb="FFF1DD93"/>
      </top>
      <bottom style="thin">
        <color auto="1"/>
      </bottom>
      <diagonal/>
    </border>
    <border>
      <left/>
      <right style="thin">
        <color auto="1"/>
      </right>
      <top style="thin">
        <color rgb="FFF1DD93"/>
      </top>
      <bottom style="thin">
        <color rgb="FFF1DD93"/>
      </bottom>
      <diagonal/>
    </border>
    <border>
      <left/>
      <right style="thin">
        <color auto="1"/>
      </right>
      <top style="thin">
        <color rgb="FFF1DD93"/>
      </top>
      <bottom style="thin">
        <color auto="1"/>
      </bottom>
      <diagonal/>
    </border>
    <border>
      <left style="thin">
        <color auto="1"/>
      </left>
      <right style="thin">
        <color auto="1"/>
      </right>
      <top/>
      <bottom style="thin">
        <color rgb="FFA3C6F5"/>
      </bottom>
      <diagonal/>
    </border>
    <border>
      <left style="thin">
        <color auto="1"/>
      </left>
      <right style="thin">
        <color auto="1"/>
      </right>
      <top style="thin">
        <color rgb="FFA3C6F5"/>
      </top>
      <bottom style="thin">
        <color auto="1"/>
      </bottom>
      <diagonal/>
    </border>
    <border>
      <left style="thin">
        <color rgb="FFF1DD93"/>
      </left>
      <right style="thin">
        <color rgb="FFF1DD93"/>
      </right>
      <top style="thin">
        <color rgb="FFF1DD93"/>
      </top>
      <bottom style="thin">
        <color theme="1"/>
      </bottom>
      <diagonal/>
    </border>
    <border>
      <left style="thin">
        <color rgb="FFF1DD93"/>
      </left>
      <right style="thin">
        <color auto="1"/>
      </right>
      <top style="thin">
        <color rgb="FFF1DD93"/>
      </top>
      <bottom style="thin">
        <color theme="1"/>
      </bottom>
      <diagonal/>
    </border>
    <border>
      <left style="thin">
        <color auto="1"/>
      </left>
      <right style="thin">
        <color rgb="FFF1DD93"/>
      </right>
      <top style="thin">
        <color rgb="FFF1DD93"/>
      </top>
      <bottom style="thin">
        <color theme="1"/>
      </bottom>
      <diagonal/>
    </border>
    <border>
      <left style="thin">
        <color theme="0" tint="-0.24994659260841701"/>
      </left>
      <right style="thin">
        <color auto="1"/>
      </right>
      <top/>
      <bottom style="thin">
        <color auto="1"/>
      </bottom>
      <diagonal/>
    </border>
    <border>
      <left style="thin">
        <color theme="0" tint="-0.24994659260841701"/>
      </left>
      <right style="thin">
        <color auto="1"/>
      </right>
      <top style="thin">
        <color auto="1"/>
      </top>
      <bottom/>
      <diagonal/>
    </border>
    <border>
      <left style="thin">
        <color rgb="FFA3C6F5"/>
      </left>
      <right style="thin">
        <color auto="1"/>
      </right>
      <top/>
      <bottom style="thin">
        <color rgb="FFA3C6F5"/>
      </bottom>
      <diagonal/>
    </border>
    <border>
      <left style="thin">
        <color auto="1"/>
      </left>
      <right style="thin">
        <color theme="0" tint="-0.24994659260841701"/>
      </right>
      <top style="thin">
        <color auto="1"/>
      </top>
      <bottom style="thin">
        <color theme="0" tint="-0.24994659260841701"/>
      </bottom>
      <diagonal/>
    </border>
    <border>
      <left style="thin">
        <color auto="1"/>
      </left>
      <right style="thin">
        <color theme="0" tint="-0.24994659260841701"/>
      </right>
      <top style="thin">
        <color theme="0" tint="-0.24994659260841701"/>
      </top>
      <bottom style="thin">
        <color theme="0" tint="-0.24994659260841701"/>
      </bottom>
      <diagonal/>
    </border>
    <border>
      <left style="thin">
        <color auto="1"/>
      </left>
      <right style="thin">
        <color theme="0" tint="-0.24994659260841701"/>
      </right>
      <top style="thin">
        <color theme="0" tint="-0.24994659260841701"/>
      </top>
      <bottom style="thin">
        <color auto="1"/>
      </bottom>
      <diagonal/>
    </border>
    <border>
      <left/>
      <right style="thin">
        <color rgb="FFEED284"/>
      </right>
      <top style="thin">
        <color auto="1"/>
      </top>
      <bottom style="thin">
        <color rgb="FFEED284"/>
      </bottom>
      <diagonal/>
    </border>
    <border>
      <left/>
      <right style="thin">
        <color rgb="FFEED284"/>
      </right>
      <top style="thin">
        <color rgb="FFEED284"/>
      </top>
      <bottom style="thin">
        <color rgb="FFEED284"/>
      </bottom>
      <diagonal/>
    </border>
    <border>
      <left/>
      <right style="thin">
        <color rgb="FFEED284"/>
      </right>
      <top style="thin">
        <color rgb="FFEED284"/>
      </top>
      <bottom style="thin">
        <color auto="1"/>
      </bottom>
      <diagonal/>
    </border>
    <border>
      <left style="thin">
        <color auto="1"/>
      </left>
      <right style="thin">
        <color rgb="FFA3C6F5"/>
      </right>
      <top style="thin">
        <color auto="1"/>
      </top>
      <bottom style="thin">
        <color rgb="FFA3C6F5"/>
      </bottom>
      <diagonal/>
    </border>
    <border>
      <left style="thin">
        <color auto="1"/>
      </left>
      <right style="thin">
        <color rgb="FFA3C6F5"/>
      </right>
      <top style="thin">
        <color rgb="FFA3C6F5"/>
      </top>
      <bottom style="thin">
        <color rgb="FFA3C6F5"/>
      </bottom>
      <diagonal/>
    </border>
    <border>
      <left style="thin">
        <color auto="1"/>
      </left>
      <right style="thin">
        <color rgb="FFA3C6F5"/>
      </right>
      <top style="thin">
        <color rgb="FFA3C6F5"/>
      </top>
      <bottom/>
      <diagonal/>
    </border>
    <border>
      <left style="thin">
        <color auto="1"/>
      </left>
      <right style="thin">
        <color rgb="FFA3C6F5"/>
      </right>
      <top style="thin">
        <color rgb="FFA3C6F5"/>
      </top>
      <bottom style="thin">
        <color auto="1"/>
      </bottom>
      <diagonal/>
    </border>
    <border>
      <left/>
      <right style="thin">
        <color rgb="FFA3C6F5"/>
      </right>
      <top/>
      <bottom style="thin">
        <color rgb="FFA3C6F5"/>
      </bottom>
      <diagonal/>
    </border>
    <border>
      <left/>
      <right style="thin">
        <color rgb="FFA3C6F5"/>
      </right>
      <top style="thin">
        <color rgb="FFA3C6F5"/>
      </top>
      <bottom style="thin">
        <color rgb="FFA3C6F5"/>
      </bottom>
      <diagonal/>
    </border>
    <border>
      <left/>
      <right style="thin">
        <color rgb="FFA3C6F5"/>
      </right>
      <top style="thin">
        <color rgb="FFA3C6F5"/>
      </top>
      <bottom style="thin">
        <color auto="1"/>
      </bottom>
      <diagonal/>
    </border>
    <border>
      <left style="thin">
        <color theme="0" tint="-0.24994659260841701"/>
      </left>
      <right/>
      <top style="thin">
        <color auto="1"/>
      </top>
      <bottom/>
      <diagonal/>
    </border>
    <border>
      <left style="thin">
        <color theme="0" tint="-0.24994659260841701"/>
      </left>
      <right/>
      <top/>
      <bottom/>
      <diagonal/>
    </border>
    <border>
      <left style="thin">
        <color theme="0" tint="-0.24994659260841701"/>
      </left>
      <right/>
      <top/>
      <bottom style="thin">
        <color auto="1"/>
      </bottom>
      <diagonal/>
    </border>
    <border>
      <left/>
      <right style="thin">
        <color theme="0" tint="-0.24994659260841701"/>
      </right>
      <top style="thin">
        <color theme="0" tint="-0.24994659260841701"/>
      </top>
      <bottom style="thin">
        <color auto="1"/>
      </bottom>
      <diagonal/>
    </border>
    <border>
      <left style="thin">
        <color auto="1"/>
      </left>
      <right style="thin">
        <color auto="1"/>
      </right>
      <top style="thin">
        <color theme="0" tint="-0.24994659260841701"/>
      </top>
      <bottom/>
      <diagonal/>
    </border>
    <border>
      <left/>
      <right style="thin">
        <color auto="1"/>
      </right>
      <top/>
      <bottom style="thin">
        <color theme="0" tint="-0.24994659260841701"/>
      </bottom>
      <diagonal/>
    </border>
    <border>
      <left/>
      <right style="thin">
        <color auto="1"/>
      </right>
      <top style="thin">
        <color theme="0" tint="-0.24994659260841701"/>
      </top>
      <bottom style="thin">
        <color theme="0" tint="-0.24994659260841701"/>
      </bottom>
      <diagonal/>
    </border>
    <border>
      <left/>
      <right style="thin">
        <color auto="1"/>
      </right>
      <top style="thin">
        <color theme="0" tint="-0.24994659260841701"/>
      </top>
      <bottom style="thin">
        <color auto="1"/>
      </bottom>
      <diagonal/>
    </border>
    <border>
      <left/>
      <right/>
      <top style="thin">
        <color auto="1"/>
      </top>
      <bottom style="thin">
        <color theme="0" tint="-0.24994659260841701"/>
      </bottom>
      <diagonal/>
    </border>
    <border>
      <left/>
      <right/>
      <top style="thin">
        <color theme="0" tint="-0.24994659260841701"/>
      </top>
      <bottom style="thin">
        <color theme="0" tint="-0.24994659260841701"/>
      </bottom>
      <diagonal/>
    </border>
    <border>
      <left/>
      <right/>
      <top style="thin">
        <color theme="0" tint="-0.24994659260841701"/>
      </top>
      <bottom style="thin">
        <color auto="1"/>
      </bottom>
      <diagonal/>
    </border>
    <border>
      <left/>
      <right style="thin">
        <color theme="0" tint="-0.24994659260841701"/>
      </right>
      <top/>
      <bottom style="thin">
        <color auto="1"/>
      </bottom>
      <diagonal/>
    </border>
    <border>
      <left/>
      <right style="thin">
        <color auto="1"/>
      </right>
      <top style="thin">
        <color auto="1"/>
      </top>
      <bottom style="thin">
        <color theme="0" tint="-0.24994659260841701"/>
      </bottom>
      <diagonal/>
    </border>
    <border>
      <left/>
      <right style="thin">
        <color auto="1"/>
      </right>
      <top style="thin">
        <color theme="0" tint="-0.24994659260841701"/>
      </top>
      <bottom/>
      <diagonal/>
    </border>
    <border>
      <left style="thin">
        <color theme="0" tint="-0.24994659260841701"/>
      </left>
      <right/>
      <top style="thin">
        <color theme="0" tint="-0.24994659260841701"/>
      </top>
      <bottom/>
      <diagonal/>
    </border>
    <border>
      <left style="thin">
        <color auto="1"/>
      </left>
      <right style="thin">
        <color theme="0" tint="-0.24994659260841701"/>
      </right>
      <top style="thin">
        <color theme="0" tint="-0.24994659260841701"/>
      </top>
      <bottom/>
      <diagonal/>
    </border>
    <border>
      <left style="thin">
        <color theme="0" tint="-0.24994659260841701"/>
      </left>
      <right style="thin">
        <color rgb="FFA3C6F5"/>
      </right>
      <top style="thin">
        <color rgb="FFA3C6F5"/>
      </top>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bottom style="thin">
        <color theme="0" tint="-0.24994659260841701"/>
      </bottom>
      <diagonal/>
    </border>
  </borders>
  <cellStyleXfs count="54">
    <xf numFmtId="0" fontId="0" fillId="0" borderId="0" applyNumberFormat="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25" borderId="0" applyNumberFormat="0" applyBorder="0" applyAlignment="0" applyProtection="0"/>
    <xf numFmtId="0" fontId="2" fillId="49"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26" borderId="0" applyNumberFormat="0" applyBorder="0" applyAlignment="0" applyProtection="0"/>
    <xf numFmtId="0" fontId="58" fillId="50" borderId="0" applyNumberFormat="0" applyBorder="0" applyAlignment="0" applyProtection="0"/>
    <xf numFmtId="0" fontId="58" fillId="53" borderId="0" applyNumberFormat="0" applyBorder="0" applyAlignment="0" applyProtection="0"/>
    <xf numFmtId="0" fontId="58" fillId="57" borderId="0" applyNumberFormat="0" applyBorder="0" applyAlignment="0" applyProtection="0"/>
    <xf numFmtId="0" fontId="58" fillId="61" borderId="0" applyNumberFormat="0" applyBorder="0" applyAlignment="0" applyProtection="0"/>
    <xf numFmtId="0" fontId="58" fillId="65" borderId="0" applyNumberFormat="0" applyBorder="0" applyAlignment="0" applyProtection="0"/>
    <xf numFmtId="0" fontId="58" fillId="27" borderId="0" applyNumberFormat="0" applyBorder="0" applyAlignment="0" applyProtection="0"/>
    <xf numFmtId="0" fontId="58" fillId="47" borderId="0" applyNumberFormat="0" applyBorder="0" applyAlignment="0" applyProtection="0"/>
    <xf numFmtId="0" fontId="58" fillId="28" borderId="0" applyNumberFormat="0" applyBorder="0" applyAlignment="0" applyProtection="0"/>
    <xf numFmtId="0" fontId="58" fillId="54" borderId="0" applyNumberFormat="0" applyBorder="0" applyAlignment="0" applyProtection="0"/>
    <xf numFmtId="0" fontId="58" fillId="58" borderId="0" applyNumberFormat="0" applyBorder="0" applyAlignment="0" applyProtection="0"/>
    <xf numFmtId="0" fontId="58" fillId="62" borderId="0" applyNumberFormat="0" applyBorder="0" applyAlignment="0" applyProtection="0"/>
    <xf numFmtId="0" fontId="58" fillId="66" borderId="0" applyNumberFormat="0" applyBorder="0" applyAlignment="0" applyProtection="0"/>
    <xf numFmtId="0" fontId="80" fillId="29" borderId="0" applyNumberFormat="0" applyBorder="0" applyAlignment="0" applyProtection="0"/>
    <xf numFmtId="0" fontId="59" fillId="46" borderId="32" applyNumberFormat="0" applyAlignment="0" applyProtection="0"/>
    <xf numFmtId="0" fontId="60" fillId="30" borderId="39" applyNumberFormat="0" applyAlignment="0" applyProtection="0"/>
    <xf numFmtId="43" fontId="4" fillId="0" borderId="0" applyFont="0" applyFill="0" applyBorder="0" applyAlignment="0" applyProtection="0"/>
    <xf numFmtId="0" fontId="61" fillId="0" borderId="0" applyNumberFormat="0" applyFill="0" applyBorder="0" applyAlignment="0" applyProtection="0"/>
    <xf numFmtId="0" fontId="30" fillId="0" borderId="0" applyNumberFormat="0" applyFill="0" applyBorder="0" applyAlignment="0" applyProtection="0">
      <alignment vertical="top"/>
      <protection locked="0"/>
    </xf>
    <xf numFmtId="0" fontId="79" fillId="31" borderId="0" applyNumberFormat="0" applyBorder="0" applyAlignment="0" applyProtection="0"/>
    <xf numFmtId="0" fontId="76" fillId="0" borderId="35" applyNumberFormat="0" applyFill="0" applyAlignment="0" applyProtection="0"/>
    <xf numFmtId="0" fontId="77" fillId="0" borderId="36" applyNumberFormat="0" applyFill="0" applyAlignment="0" applyProtection="0"/>
    <xf numFmtId="0" fontId="78" fillId="0" borderId="37" applyNumberFormat="0" applyFill="0" applyAlignment="0" applyProtection="0"/>
    <xf numFmtId="0" fontId="78" fillId="0" borderId="0" applyNumberFormat="0" applyFill="0" applyBorder="0" applyAlignment="0" applyProtection="0"/>
    <xf numFmtId="0" fontId="30" fillId="0" borderId="0" applyNumberFormat="0" applyFill="0" applyBorder="0" applyAlignment="0" applyProtection="0">
      <alignment vertical="top"/>
      <protection locked="0"/>
    </xf>
    <xf numFmtId="0" fontId="82" fillId="45" borderId="32" applyNumberFormat="0" applyAlignment="0" applyProtection="0"/>
    <xf numFmtId="0" fontId="62" fillId="0" borderId="33" applyNumberFormat="0" applyFill="0" applyAlignment="0" applyProtection="0"/>
    <xf numFmtId="0" fontId="81" fillId="44" borderId="0" applyNumberFormat="0" applyBorder="0" applyAlignment="0" applyProtection="0"/>
    <xf numFmtId="0" fontId="83" fillId="46" borderId="38" applyNumberFormat="0" applyAlignment="0" applyProtection="0"/>
    <xf numFmtId="9" fontId="4" fillId="0" borderId="0" applyFont="0" applyFill="0" applyBorder="0" applyAlignment="0" applyProtection="0"/>
    <xf numFmtId="0" fontId="75" fillId="0" borderId="0" applyNumberFormat="0" applyFill="0" applyBorder="0" applyAlignment="0" applyProtection="0"/>
    <xf numFmtId="0" fontId="63" fillId="0" borderId="40" applyNumberFormat="0" applyFill="0" applyAlignment="0" applyProtection="0"/>
    <xf numFmtId="0" fontId="84" fillId="0" borderId="0" applyNumberFormat="0" applyFill="0" applyBorder="0" applyAlignment="0" applyProtection="0"/>
    <xf numFmtId="41" fontId="88" fillId="0" borderId="0" applyFont="0" applyFill="0" applyBorder="0" applyAlignment="0" applyProtection="0"/>
    <xf numFmtId="44" fontId="88" fillId="0" borderId="0" applyFont="0" applyFill="0" applyBorder="0" applyAlignment="0" applyProtection="0"/>
    <xf numFmtId="42" fontId="88" fillId="0" borderId="0" applyFont="0" applyFill="0" applyBorder="0" applyAlignment="0" applyProtection="0"/>
    <xf numFmtId="0" fontId="88" fillId="43" borderId="34" applyNumberFormat="0" applyFont="0" applyAlignment="0" applyProtection="0"/>
    <xf numFmtId="0" fontId="92" fillId="32" borderId="0" applyNumberFormat="0" applyBorder="0" applyAlignment="0" applyProtection="0">
      <alignment vertical="top"/>
      <protection locked="0"/>
    </xf>
    <xf numFmtId="4" fontId="4" fillId="69" borderId="0" applyNumberFormat="0" applyBorder="0" applyAlignment="0" applyProtection="0"/>
    <xf numFmtId="1" fontId="65" fillId="70" borderId="0" applyNumberFormat="0" applyBorder="0" applyAlignment="0" applyProtection="0"/>
    <xf numFmtId="170" fontId="4" fillId="0" borderId="0" applyFont="0" applyFill="0" applyBorder="0" applyAlignment="0" applyProtection="0"/>
    <xf numFmtId="0" fontId="1" fillId="0" borderId="0"/>
  </cellStyleXfs>
  <cellXfs count="1720">
    <xf numFmtId="0" fontId="0" fillId="0" borderId="0" xfId="0"/>
    <xf numFmtId="0" fontId="0" fillId="0" borderId="2" xfId="0" applyBorder="1"/>
    <xf numFmtId="2" fontId="0" fillId="0" borderId="0" xfId="0" applyNumberFormat="1" applyFill="1"/>
    <xf numFmtId="0" fontId="0" fillId="0" borderId="0" xfId="0" applyBorder="1"/>
    <xf numFmtId="0" fontId="0" fillId="0" borderId="2" xfId="0" applyBorder="1"/>
    <xf numFmtId="0" fontId="0" fillId="0" borderId="2" xfId="0" applyBorder="1" applyAlignment="1">
      <alignment horizontal="left"/>
    </xf>
    <xf numFmtId="0" fontId="0" fillId="0" borderId="3" xfId="0" applyFill="1" applyBorder="1"/>
    <xf numFmtId="0" fontId="0" fillId="0" borderId="4" xfId="0" applyBorder="1"/>
    <xf numFmtId="0" fontId="0" fillId="0" borderId="5" xfId="0" applyBorder="1" applyAlignment="1"/>
    <xf numFmtId="0" fontId="0" fillId="0" borderId="2" xfId="0" applyBorder="1" applyAlignment="1"/>
    <xf numFmtId="0" fontId="0" fillId="0" borderId="6" xfId="0" applyBorder="1" applyAlignment="1"/>
    <xf numFmtId="0" fontId="0" fillId="0" borderId="7" xfId="0" applyBorder="1" applyAlignment="1"/>
    <xf numFmtId="0" fontId="0" fillId="0" borderId="8" xfId="0" applyBorder="1" applyAlignment="1"/>
    <xf numFmtId="3" fontId="0" fillId="0" borderId="2" xfId="0" applyNumberFormat="1" applyBorder="1" applyAlignment="1"/>
    <xf numFmtId="0" fontId="0" fillId="0" borderId="9" xfId="0" applyBorder="1" applyAlignment="1"/>
    <xf numFmtId="0" fontId="6" fillId="0" borderId="10" xfId="0" applyFont="1" applyBorder="1" applyAlignment="1"/>
    <xf numFmtId="0" fontId="4" fillId="0" borderId="0" xfId="0" applyFont="1" applyBorder="1"/>
    <xf numFmtId="0" fontId="0" fillId="0" borderId="11" xfId="0" applyBorder="1" applyAlignment="1"/>
    <xf numFmtId="0" fontId="0" fillId="0" borderId="11" xfId="0" applyFill="1" applyBorder="1" applyAlignment="1"/>
    <xf numFmtId="0" fontId="0" fillId="0" borderId="0" xfId="0" applyBorder="1" applyAlignment="1"/>
    <xf numFmtId="0" fontId="0" fillId="0" borderId="12" xfId="0" applyNumberFormat="1" applyBorder="1"/>
    <xf numFmtId="0" fontId="0" fillId="0" borderId="13" xfId="0" applyNumberFormat="1" applyBorder="1"/>
    <xf numFmtId="0" fontId="0" fillId="0" borderId="0" xfId="0" applyFill="1" applyBorder="1" applyAlignment="1"/>
    <xf numFmtId="0" fontId="0" fillId="0" borderId="14" xfId="0" applyFill="1" applyBorder="1"/>
    <xf numFmtId="0" fontId="0" fillId="0" borderId="15" xfId="0" applyFill="1" applyBorder="1"/>
    <xf numFmtId="0" fontId="0" fillId="0" borderId="11" xfId="0" applyFill="1" applyBorder="1"/>
    <xf numFmtId="0" fontId="0" fillId="0" borderId="0" xfId="0" applyFill="1" applyBorder="1"/>
    <xf numFmtId="0" fontId="0" fillId="0" borderId="11" xfId="0" applyBorder="1"/>
    <xf numFmtId="0" fontId="0" fillId="0" borderId="18" xfId="0" applyFill="1" applyBorder="1"/>
    <xf numFmtId="0" fontId="0" fillId="0" borderId="1" xfId="0" applyFill="1" applyBorder="1"/>
    <xf numFmtId="0" fontId="0" fillId="0" borderId="20" xfId="0" applyFill="1" applyBorder="1"/>
    <xf numFmtId="0" fontId="0" fillId="0" borderId="21" xfId="0" applyFill="1" applyBorder="1"/>
    <xf numFmtId="0" fontId="0" fillId="0" borderId="14" xfId="0" applyBorder="1"/>
    <xf numFmtId="0" fontId="0" fillId="0" borderId="15" xfId="0" applyBorder="1"/>
    <xf numFmtId="0" fontId="0" fillId="0" borderId="0" xfId="0" applyNumberFormat="1" applyBorder="1"/>
    <xf numFmtId="167" fontId="0" fillId="0" borderId="17" xfId="0" applyNumberFormat="1" applyFont="1" applyBorder="1"/>
    <xf numFmtId="49" fontId="0" fillId="0" borderId="0" xfId="0" applyNumberFormat="1" applyBorder="1"/>
    <xf numFmtId="167" fontId="0" fillId="0" borderId="0" xfId="0" applyNumberFormat="1" applyFont="1" applyBorder="1"/>
    <xf numFmtId="167" fontId="0" fillId="0" borderId="1" xfId="0" applyNumberFormat="1" applyFont="1" applyBorder="1"/>
    <xf numFmtId="0" fontId="0" fillId="0" borderId="0" xfId="0" applyNumberFormat="1" applyFill="1" applyBorder="1"/>
    <xf numFmtId="167" fontId="0" fillId="0" borderId="15" xfId="0" applyNumberFormat="1" applyFont="1" applyBorder="1"/>
    <xf numFmtId="49" fontId="0" fillId="0" borderId="0" xfId="0" applyNumberFormat="1" applyFill="1" applyBorder="1"/>
    <xf numFmtId="167" fontId="0" fillId="0" borderId="0" xfId="0" applyNumberFormat="1" applyFont="1" applyFill="1" applyBorder="1"/>
    <xf numFmtId="4" fontId="0" fillId="0" borderId="0" xfId="0" applyNumberFormat="1" applyBorder="1"/>
    <xf numFmtId="167" fontId="0" fillId="0" borderId="17" xfId="0" applyNumberFormat="1" applyFont="1" applyFill="1" applyBorder="1"/>
    <xf numFmtId="164" fontId="0" fillId="0" borderId="0" xfId="0" applyNumberFormat="1" applyFill="1" applyBorder="1"/>
    <xf numFmtId="3" fontId="0" fillId="0" borderId="17" xfId="0" applyNumberFormat="1" applyFill="1" applyBorder="1"/>
    <xf numFmtId="3" fontId="0" fillId="0" borderId="0" xfId="0" applyNumberFormat="1" applyFill="1" applyBorder="1"/>
    <xf numFmtId="0" fontId="0" fillId="0" borderId="23" xfId="0" applyBorder="1" applyAlignment="1"/>
    <xf numFmtId="0" fontId="0" fillId="0" borderId="24" xfId="0" applyBorder="1"/>
    <xf numFmtId="0" fontId="0" fillId="0" borderId="3" xfId="0" applyBorder="1"/>
    <xf numFmtId="0" fontId="0" fillId="0" borderId="25" xfId="0" applyBorder="1"/>
    <xf numFmtId="0" fontId="6" fillId="0" borderId="25" xfId="0" applyFont="1" applyBorder="1" applyAlignment="1">
      <alignment horizontal="right"/>
    </xf>
    <xf numFmtId="0" fontId="0" fillId="2" borderId="0" xfId="0" applyFill="1" applyAlignment="1"/>
    <xf numFmtId="0" fontId="6" fillId="2" borderId="0" xfId="0" applyFont="1" applyFill="1" applyAlignment="1"/>
    <xf numFmtId="0" fontId="0" fillId="2" borderId="2" xfId="0" applyFill="1" applyBorder="1" applyAlignment="1"/>
    <xf numFmtId="3" fontId="0" fillId="2" borderId="0" xfId="0" applyNumberFormat="1" applyFill="1"/>
    <xf numFmtId="3" fontId="0" fillId="2" borderId="0" xfId="0" applyNumberFormat="1" applyFill="1" applyAlignment="1"/>
    <xf numFmtId="3" fontId="6" fillId="0" borderId="21" xfId="0" applyNumberFormat="1" applyFont="1" applyFill="1" applyBorder="1"/>
    <xf numFmtId="3" fontId="6" fillId="0" borderId="22" xfId="0" applyNumberFormat="1" applyFont="1" applyFill="1" applyBorder="1"/>
    <xf numFmtId="0" fontId="6" fillId="0" borderId="26" xfId="0" applyFont="1" applyBorder="1" applyAlignment="1">
      <alignment horizontal="right"/>
    </xf>
    <xf numFmtId="0" fontId="6" fillId="0" borderId="26" xfId="0" applyFont="1" applyFill="1" applyBorder="1" applyAlignment="1">
      <alignment horizontal="right"/>
    </xf>
    <xf numFmtId="2" fontId="0" fillId="0" borderId="0" xfId="0" applyNumberFormat="1" applyFill="1" applyBorder="1"/>
    <xf numFmtId="2" fontId="4" fillId="0" borderId="0" xfId="0" applyNumberFormat="1" applyFont="1" applyFill="1" applyBorder="1"/>
    <xf numFmtId="167" fontId="0" fillId="0" borderId="19" xfId="0" applyNumberFormat="1" applyFont="1" applyFill="1" applyBorder="1"/>
    <xf numFmtId="167" fontId="6" fillId="0" borderId="21" xfId="0" applyNumberFormat="1" applyFont="1" applyFill="1" applyBorder="1"/>
    <xf numFmtId="167" fontId="6" fillId="0" borderId="22" xfId="0" applyNumberFormat="1" applyFont="1" applyFill="1" applyBorder="1"/>
    <xf numFmtId="167" fontId="6" fillId="0" borderId="21" xfId="0" applyNumberFormat="1" applyFont="1" applyBorder="1"/>
    <xf numFmtId="167" fontId="6" fillId="0" borderId="22" xfId="0" applyNumberFormat="1" applyFont="1" applyBorder="1"/>
    <xf numFmtId="167" fontId="0" fillId="0" borderId="15" xfId="0" applyNumberFormat="1" applyFont="1" applyFill="1" applyBorder="1"/>
    <xf numFmtId="167" fontId="0" fillId="0" borderId="19" xfId="0" applyNumberFormat="1" applyFont="1" applyBorder="1"/>
    <xf numFmtId="167" fontId="6" fillId="0" borderId="1" xfId="0" applyNumberFormat="1" applyFont="1" applyBorder="1"/>
    <xf numFmtId="167" fontId="6" fillId="0" borderId="19" xfId="0" applyNumberFormat="1" applyFont="1" applyBorder="1"/>
    <xf numFmtId="167" fontId="0" fillId="0" borderId="16" xfId="0" applyNumberFormat="1" applyFont="1" applyBorder="1"/>
    <xf numFmtId="167" fontId="0" fillId="0" borderId="1" xfId="0" applyNumberFormat="1" applyFont="1" applyFill="1" applyBorder="1"/>
    <xf numFmtId="167" fontId="6" fillId="0" borderId="19" xfId="0" applyNumberFormat="1" applyFont="1" applyFill="1" applyBorder="1"/>
    <xf numFmtId="164" fontId="0" fillId="0" borderId="21" xfId="0" applyNumberFormat="1" applyFill="1" applyBorder="1"/>
    <xf numFmtId="49" fontId="16" fillId="0" borderId="0" xfId="0" applyNumberFormat="1" applyFont="1" applyBorder="1"/>
    <xf numFmtId="49" fontId="16" fillId="0" borderId="0" xfId="0" applyNumberFormat="1" applyFont="1" applyFill="1" applyBorder="1"/>
    <xf numFmtId="49" fontId="0" fillId="0" borderId="27" xfId="0" applyNumberFormat="1" applyBorder="1"/>
    <xf numFmtId="167" fontId="0" fillId="0" borderId="0" xfId="0" applyNumberFormat="1" applyFill="1" applyBorder="1"/>
    <xf numFmtId="167" fontId="0" fillId="0" borderId="0" xfId="0" applyNumberFormat="1" applyFill="1" applyBorder="1"/>
    <xf numFmtId="0" fontId="0" fillId="0" borderId="0" xfId="0" applyNumberFormat="1" applyFill="1" applyBorder="1" applyAlignment="1"/>
    <xf numFmtId="0" fontId="0" fillId="2" borderId="0" xfId="0" applyFill="1" applyBorder="1" applyAlignment="1"/>
    <xf numFmtId="4" fontId="0" fillId="2" borderId="0" xfId="0" applyNumberFormat="1" applyFill="1" applyBorder="1" applyAlignment="1"/>
    <xf numFmtId="2" fontId="0" fillId="0" borderId="0" xfId="0" applyNumberFormat="1" applyFill="1" applyBorder="1" applyAlignment="1"/>
    <xf numFmtId="2" fontId="0" fillId="0" borderId="17" xfId="0" applyNumberFormat="1" applyFill="1" applyBorder="1" applyAlignment="1"/>
    <xf numFmtId="2" fontId="0" fillId="0" borderId="15" xfId="0" applyNumberFormat="1" applyFont="1" applyFill="1" applyBorder="1" applyAlignment="1"/>
    <xf numFmtId="2" fontId="0" fillId="0" borderId="16" xfId="0" applyNumberFormat="1" applyFont="1" applyFill="1" applyBorder="1" applyAlignment="1"/>
    <xf numFmtId="2" fontId="0" fillId="0" borderId="1" xfId="0" applyNumberFormat="1" applyFont="1" applyFill="1" applyBorder="1" applyAlignment="1"/>
    <xf numFmtId="0" fontId="0" fillId="2" borderId="5" xfId="0" applyFill="1" applyBorder="1" applyAlignment="1"/>
    <xf numFmtId="0" fontId="6" fillId="2" borderId="0" xfId="0" applyFont="1" applyFill="1" applyBorder="1" applyAlignment="1"/>
    <xf numFmtId="49" fontId="0" fillId="0" borderId="1" xfId="0" applyNumberFormat="1" applyFill="1" applyBorder="1"/>
    <xf numFmtId="167" fontId="0" fillId="0" borderId="1" xfId="0" applyNumberFormat="1" applyFill="1" applyBorder="1"/>
    <xf numFmtId="0" fontId="0" fillId="0" borderId="1" xfId="0" applyNumberFormat="1" applyFill="1" applyBorder="1"/>
    <xf numFmtId="167" fontId="0" fillId="0" borderId="1" xfId="0" applyNumberFormat="1" applyFill="1" applyBorder="1"/>
    <xf numFmtId="167" fontId="0" fillId="0" borderId="2" xfId="0" applyNumberFormat="1" applyBorder="1" applyAlignment="1"/>
    <xf numFmtId="3" fontId="0" fillId="0" borderId="11" xfId="0" applyNumberFormat="1" applyFill="1" applyBorder="1" applyAlignment="1"/>
    <xf numFmtId="3" fontId="0" fillId="0" borderId="14" xfId="0" applyNumberFormat="1" applyFont="1" applyFill="1" applyBorder="1" applyAlignment="1"/>
    <xf numFmtId="3" fontId="0" fillId="0" borderId="16" xfId="0" applyNumberFormat="1" applyFont="1" applyFill="1" applyBorder="1" applyAlignment="1"/>
    <xf numFmtId="3" fontId="0" fillId="0" borderId="18" xfId="0" applyNumberFormat="1" applyFont="1" applyFill="1" applyBorder="1" applyAlignment="1"/>
    <xf numFmtId="167" fontId="0" fillId="0" borderId="7" xfId="0" applyNumberFormat="1" applyBorder="1" applyAlignment="1"/>
    <xf numFmtId="4" fontId="6" fillId="2" borderId="0" xfId="0" applyNumberFormat="1" applyFont="1" applyFill="1" applyBorder="1"/>
    <xf numFmtId="4" fontId="6" fillId="2" borderId="21" xfId="0" applyNumberFormat="1" applyFont="1" applyFill="1" applyBorder="1"/>
    <xf numFmtId="0" fontId="27" fillId="2" borderId="0" xfId="0" applyFont="1" applyFill="1" applyAlignment="1"/>
    <xf numFmtId="0" fontId="28" fillId="2" borderId="0" xfId="0" applyFont="1" applyFill="1" applyAlignment="1"/>
    <xf numFmtId="167" fontId="28" fillId="2" borderId="0" xfId="0" applyNumberFormat="1" applyFont="1" applyFill="1" applyAlignment="1"/>
    <xf numFmtId="167" fontId="28" fillId="0" borderId="2" xfId="0" applyNumberFormat="1" applyFont="1" applyBorder="1" applyAlignment="1"/>
    <xf numFmtId="0" fontId="0" fillId="0" borderId="24" xfId="0" applyFill="1" applyBorder="1"/>
    <xf numFmtId="167" fontId="0" fillId="0" borderId="16" xfId="0" applyNumberFormat="1" applyFont="1" applyFill="1" applyBorder="1"/>
    <xf numFmtId="0" fontId="0" fillId="0" borderId="25" xfId="0" applyFill="1" applyBorder="1"/>
    <xf numFmtId="167" fontId="0" fillId="0" borderId="1" xfId="0" applyNumberFormat="1" applyFont="1" applyFill="1" applyBorder="1" applyAlignment="1"/>
    <xf numFmtId="0" fontId="6" fillId="0" borderId="25" xfId="0" applyFont="1" applyFill="1" applyBorder="1" applyAlignment="1">
      <alignment horizontal="right"/>
    </xf>
    <xf numFmtId="167" fontId="6" fillId="0" borderId="1" xfId="0" applyNumberFormat="1" applyFont="1" applyFill="1" applyBorder="1"/>
    <xf numFmtId="2" fontId="0" fillId="0" borderId="17" xfId="0" applyNumberFormat="1" applyFill="1" applyBorder="1"/>
    <xf numFmtId="0" fontId="4" fillId="0" borderId="3" xfId="0" applyFont="1" applyFill="1" applyBorder="1" applyAlignment="1" applyProtection="1"/>
    <xf numFmtId="0" fontId="4" fillId="0" borderId="0" xfId="0" applyFont="1" applyAlignment="1" applyProtection="1"/>
    <xf numFmtId="2" fontId="0" fillId="0" borderId="0" xfId="0" applyNumberFormat="1" applyBorder="1"/>
    <xf numFmtId="3" fontId="0" fillId="0" borderId="17" xfId="0" applyNumberFormat="1" applyBorder="1"/>
    <xf numFmtId="0" fontId="0" fillId="0" borderId="18" xfId="0" applyBorder="1"/>
    <xf numFmtId="2" fontId="0" fillId="0" borderId="1" xfId="0" applyNumberFormat="1" applyBorder="1"/>
    <xf numFmtId="3" fontId="0" fillId="0" borderId="19" xfId="0" applyNumberFormat="1" applyBorder="1"/>
    <xf numFmtId="0" fontId="31" fillId="2" borderId="0" xfId="0" applyFont="1" applyFill="1" applyAlignment="1" applyProtection="1"/>
    <xf numFmtId="0" fontId="30" fillId="2" borderId="0" xfId="0" applyFont="1" applyFill="1" applyAlignment="1" applyProtection="1"/>
    <xf numFmtId="0" fontId="0" fillId="2" borderId="0" xfId="0" applyFill="1"/>
    <xf numFmtId="0" fontId="0" fillId="2" borderId="0" xfId="0" applyFill="1" applyAlignment="1" applyProtection="1"/>
    <xf numFmtId="3" fontId="0" fillId="0" borderId="0" xfId="0" applyNumberFormat="1" applyBorder="1"/>
    <xf numFmtId="0" fontId="0" fillId="0" borderId="11" xfId="0" applyBorder="1" applyAlignment="1">
      <alignment horizontal="left"/>
    </xf>
    <xf numFmtId="0" fontId="6" fillId="0" borderId="18" xfId="0" applyFont="1" applyBorder="1"/>
    <xf numFmtId="0" fontId="9" fillId="0" borderId="0" xfId="0" applyFont="1" applyBorder="1" applyAlignment="1">
      <alignment horizontal="center" vertical="center"/>
    </xf>
    <xf numFmtId="0" fontId="9" fillId="0" borderId="0" xfId="0" applyFont="1" applyBorder="1" applyAlignment="1">
      <alignment horizontal="center"/>
    </xf>
    <xf numFmtId="2" fontId="9" fillId="0" borderId="1" xfId="0" applyNumberFormat="1" applyFont="1" applyBorder="1" applyAlignment="1">
      <alignment horizontal="center" vertical="center"/>
    </xf>
    <xf numFmtId="3" fontId="0" fillId="0" borderId="16" xfId="0" applyNumberFormat="1" applyBorder="1"/>
    <xf numFmtId="2" fontId="0" fillId="0" borderId="19" xfId="0" applyNumberFormat="1" applyFill="1" applyBorder="1"/>
    <xf numFmtId="0" fontId="0" fillId="0" borderId="20" xfId="0" applyBorder="1"/>
    <xf numFmtId="49" fontId="0" fillId="0" borderId="14" xfId="0" applyNumberFormat="1" applyFill="1" applyBorder="1"/>
    <xf numFmtId="49" fontId="0" fillId="0" borderId="15" xfId="0" applyNumberFormat="1" applyFill="1" applyBorder="1"/>
    <xf numFmtId="0" fontId="0" fillId="0" borderId="15" xfId="0" applyFont="1" applyFill="1" applyBorder="1"/>
    <xf numFmtId="49" fontId="0" fillId="0" borderId="11" xfId="0" applyNumberFormat="1" applyFill="1" applyBorder="1"/>
    <xf numFmtId="49" fontId="0" fillId="0" borderId="18" xfId="0" applyNumberFormat="1" applyFill="1" applyBorder="1"/>
    <xf numFmtId="49" fontId="0" fillId="2" borderId="0" xfId="0" applyNumberFormat="1" applyFill="1" applyBorder="1" applyAlignment="1"/>
    <xf numFmtId="49" fontId="0" fillId="0" borderId="14" xfId="0" applyNumberFormat="1" applyBorder="1"/>
    <xf numFmtId="49" fontId="0" fillId="0" borderId="15" xfId="0" applyNumberFormat="1" applyBorder="1"/>
    <xf numFmtId="49" fontId="0" fillId="0" borderId="11" xfId="0" applyNumberFormat="1" applyBorder="1"/>
    <xf numFmtId="0" fontId="0" fillId="0" borderId="0" xfId="0" applyFont="1" applyBorder="1"/>
    <xf numFmtId="49" fontId="0" fillId="0" borderId="18" xfId="0" applyNumberFormat="1" applyBorder="1"/>
    <xf numFmtId="49" fontId="0" fillId="0" borderId="1" xfId="0" applyNumberFormat="1" applyBorder="1"/>
    <xf numFmtId="3" fontId="0" fillId="0" borderId="1" xfId="0" applyNumberFormat="1" applyBorder="1"/>
    <xf numFmtId="0" fontId="0" fillId="0" borderId="1" xfId="0" applyFont="1" applyBorder="1"/>
    <xf numFmtId="2" fontId="0" fillId="0" borderId="15" xfId="0" applyNumberFormat="1" applyBorder="1"/>
    <xf numFmtId="49" fontId="0" fillId="2" borderId="0" xfId="0" applyNumberFormat="1" applyFill="1" applyAlignment="1"/>
    <xf numFmtId="43" fontId="0" fillId="0" borderId="0" xfId="0" applyNumberFormat="1" applyFont="1" applyBorder="1"/>
    <xf numFmtId="43" fontId="0" fillId="0" borderId="1" xfId="0" applyNumberFormat="1" applyFont="1" applyBorder="1"/>
    <xf numFmtId="0" fontId="0" fillId="0" borderId="17" xfId="0" applyFont="1" applyBorder="1"/>
    <xf numFmtId="49" fontId="0" fillId="2" borderId="0" xfId="0" applyNumberFormat="1" applyFill="1"/>
    <xf numFmtId="9" fontId="0" fillId="0" borderId="17" xfId="0" applyNumberFormat="1" applyBorder="1"/>
    <xf numFmtId="0" fontId="0" fillId="2" borderId="0" xfId="0" applyNumberFormat="1" applyFill="1"/>
    <xf numFmtId="49" fontId="6" fillId="2" borderId="0" xfId="0" applyNumberFormat="1" applyFont="1" applyFill="1"/>
    <xf numFmtId="2" fontId="0" fillId="0" borderId="15" xfId="0" applyNumberFormat="1" applyFill="1" applyBorder="1"/>
    <xf numFmtId="2" fontId="0" fillId="0" borderId="16" xfId="0" applyNumberFormat="1" applyFill="1" applyBorder="1"/>
    <xf numFmtId="2" fontId="0" fillId="0" borderId="1" xfId="0" applyNumberFormat="1" applyFill="1" applyBorder="1"/>
    <xf numFmtId="0" fontId="6" fillId="2" borderId="20" xfId="0" applyFont="1" applyFill="1" applyBorder="1"/>
    <xf numFmtId="4" fontId="6" fillId="2" borderId="21" xfId="0" applyNumberFormat="1" applyFont="1" applyFill="1" applyBorder="1" applyAlignment="1"/>
    <xf numFmtId="0" fontId="6" fillId="3" borderId="25" xfId="0" applyFont="1" applyFill="1" applyBorder="1"/>
    <xf numFmtId="0" fontId="36" fillId="0" borderId="17" xfId="0" applyFont="1" applyFill="1" applyBorder="1" applyAlignment="1">
      <alignment horizontal="center"/>
    </xf>
    <xf numFmtId="0" fontId="36" fillId="0" borderId="16" xfId="0" applyFont="1" applyFill="1" applyBorder="1" applyAlignment="1">
      <alignment horizontal="center"/>
    </xf>
    <xf numFmtId="0" fontId="36" fillId="0" borderId="19" xfId="0" applyFont="1" applyFill="1" applyBorder="1" applyAlignment="1">
      <alignment horizontal="center"/>
    </xf>
    <xf numFmtId="0" fontId="6" fillId="4" borderId="15" xfId="0" applyNumberFormat="1" applyFont="1" applyFill="1" applyBorder="1" applyAlignment="1">
      <alignment horizontal="center"/>
    </xf>
    <xf numFmtId="0" fontId="6" fillId="4" borderId="16" xfId="0" applyNumberFormat="1" applyFont="1" applyFill="1" applyBorder="1" applyAlignment="1">
      <alignment horizontal="center"/>
    </xf>
    <xf numFmtId="49" fontId="6" fillId="4" borderId="14" xfId="0" applyNumberFormat="1" applyFont="1" applyFill="1" applyBorder="1" applyAlignment="1">
      <alignment horizontal="center"/>
    </xf>
    <xf numFmtId="49" fontId="6" fillId="4" borderId="15" xfId="0" applyNumberFormat="1" applyFont="1" applyFill="1" applyBorder="1" applyAlignment="1">
      <alignment horizontal="center"/>
    </xf>
    <xf numFmtId="2" fontId="6" fillId="4" borderId="15" xfId="0" applyNumberFormat="1" applyFont="1" applyFill="1" applyBorder="1" applyAlignment="1">
      <alignment horizontal="center"/>
    </xf>
    <xf numFmtId="49" fontId="36" fillId="4" borderId="18" xfId="0" applyNumberFormat="1" applyFont="1" applyFill="1" applyBorder="1" applyAlignment="1">
      <alignment horizontal="center"/>
    </xf>
    <xf numFmtId="49" fontId="36" fillId="4" borderId="1" xfId="0" applyNumberFormat="1" applyFont="1" applyFill="1" applyBorder="1" applyAlignment="1">
      <alignment horizontal="center"/>
    </xf>
    <xf numFmtId="3" fontId="36" fillId="4" borderId="1" xfId="0" applyNumberFormat="1" applyFont="1" applyFill="1" applyBorder="1" applyAlignment="1">
      <alignment horizontal="center"/>
    </xf>
    <xf numFmtId="2" fontId="36" fillId="4" borderId="1" xfId="0" applyNumberFormat="1" applyFont="1" applyFill="1" applyBorder="1" applyAlignment="1">
      <alignment horizontal="center"/>
    </xf>
    <xf numFmtId="3" fontId="36" fillId="4" borderId="19" xfId="0" applyNumberFormat="1" applyFont="1" applyFill="1" applyBorder="1" applyAlignment="1">
      <alignment horizontal="center"/>
    </xf>
    <xf numFmtId="49" fontId="6" fillId="4" borderId="20" xfId="0" applyNumberFormat="1" applyFont="1" applyFill="1" applyBorder="1" applyAlignment="1">
      <alignment horizontal="center"/>
    </xf>
    <xf numFmtId="49" fontId="6" fillId="4" borderId="21" xfId="0" applyNumberFormat="1" applyFont="1" applyFill="1" applyBorder="1" applyAlignment="1">
      <alignment horizontal="center"/>
    </xf>
    <xf numFmtId="0" fontId="6" fillId="4" borderId="21" xfId="0" applyNumberFormat="1" applyFont="1" applyFill="1" applyBorder="1" applyAlignment="1">
      <alignment horizontal="center"/>
    </xf>
    <xf numFmtId="0" fontId="6" fillId="4" borderId="22" xfId="0" applyNumberFormat="1" applyFont="1" applyFill="1" applyBorder="1" applyAlignment="1">
      <alignment horizontal="center"/>
    </xf>
    <xf numFmtId="49" fontId="36" fillId="0" borderId="0" xfId="0" applyNumberFormat="1" applyFont="1" applyBorder="1" applyAlignment="1">
      <alignment horizontal="center" vertical="center"/>
    </xf>
    <xf numFmtId="49" fontId="36" fillId="0" borderId="1" xfId="0" applyNumberFormat="1" applyFont="1" applyBorder="1" applyAlignment="1">
      <alignment horizontal="center" vertical="center"/>
    </xf>
    <xf numFmtId="0" fontId="6" fillId="4" borderId="16" xfId="0" applyFont="1" applyFill="1" applyBorder="1" applyAlignment="1">
      <alignment horizontal="center"/>
    </xf>
    <xf numFmtId="0" fontId="8" fillId="2" borderId="0" xfId="0" applyFont="1" applyFill="1" applyAlignment="1" applyProtection="1"/>
    <xf numFmtId="0" fontId="38" fillId="2" borderId="0" xfId="0" applyFont="1" applyFill="1" applyAlignment="1" applyProtection="1"/>
    <xf numFmtId="167" fontId="0" fillId="0" borderId="15" xfId="0" applyNumberFormat="1" applyFont="1" applyFill="1" applyBorder="1" applyAlignment="1"/>
    <xf numFmtId="49" fontId="8" fillId="0" borderId="11" xfId="0" applyNumberFormat="1" applyFont="1" applyBorder="1"/>
    <xf numFmtId="167" fontId="0" fillId="0" borderId="0" xfId="0" applyNumberFormat="1" applyFont="1" applyFill="1" applyBorder="1" applyAlignment="1"/>
    <xf numFmtId="167" fontId="0" fillId="0" borderId="17" xfId="0" applyNumberFormat="1" applyFont="1" applyFill="1" applyBorder="1" applyAlignment="1"/>
    <xf numFmtId="49" fontId="6" fillId="0" borderId="11" xfId="0" applyNumberFormat="1" applyFont="1" applyBorder="1"/>
    <xf numFmtId="0" fontId="0" fillId="0" borderId="10" xfId="0" applyBorder="1" applyAlignment="1"/>
    <xf numFmtId="0" fontId="4" fillId="2" borderId="0" xfId="0" applyFont="1" applyFill="1" applyBorder="1" applyAlignment="1">
      <alignment horizontal="center"/>
    </xf>
    <xf numFmtId="49" fontId="16" fillId="0" borderId="18" xfId="0" applyNumberFormat="1" applyFont="1" applyBorder="1"/>
    <xf numFmtId="49" fontId="16" fillId="0" borderId="1" xfId="0" applyNumberFormat="1" applyFont="1" applyBorder="1"/>
    <xf numFmtId="49" fontId="16" fillId="0" borderId="1" xfId="0" applyNumberFormat="1" applyFont="1" applyFill="1" applyBorder="1"/>
    <xf numFmtId="49" fontId="0" fillId="2" borderId="0" xfId="0" applyNumberFormat="1" applyFill="1" applyBorder="1"/>
    <xf numFmtId="0" fontId="0" fillId="2" borderId="0" xfId="0" applyNumberFormat="1" applyFill="1" applyBorder="1"/>
    <xf numFmtId="0" fontId="0" fillId="2" borderId="0" xfId="0" applyFill="1" applyBorder="1"/>
    <xf numFmtId="49" fontId="6" fillId="2" borderId="0" xfId="0" applyNumberFormat="1" applyFont="1" applyFill="1" applyBorder="1"/>
    <xf numFmtId="49" fontId="15" fillId="2" borderId="0" xfId="0" applyNumberFormat="1" applyFont="1" applyFill="1" applyBorder="1"/>
    <xf numFmtId="0" fontId="16" fillId="2" borderId="0" xfId="0" applyFont="1" applyFill="1" applyBorder="1"/>
    <xf numFmtId="167" fontId="0" fillId="5" borderId="0" xfId="0" applyNumberFormat="1" applyFont="1" applyFill="1" applyBorder="1"/>
    <xf numFmtId="49" fontId="16" fillId="0" borderId="18" xfId="0" applyNumberFormat="1" applyFont="1" applyBorder="1" applyAlignment="1"/>
    <xf numFmtId="167" fontId="16" fillId="0" borderId="1" xfId="0" applyNumberFormat="1" applyFont="1" applyBorder="1" applyAlignment="1"/>
    <xf numFmtId="167" fontId="16" fillId="0" borderId="19" xfId="0" applyNumberFormat="1" applyFont="1" applyBorder="1" applyAlignment="1"/>
    <xf numFmtId="0" fontId="16" fillId="2" borderId="0" xfId="0" applyFont="1" applyFill="1" applyAlignment="1"/>
    <xf numFmtId="0" fontId="0" fillId="0" borderId="14" xfId="0" applyNumberFormat="1" applyBorder="1"/>
    <xf numFmtId="2" fontId="4" fillId="0" borderId="15" xfId="0" applyNumberFormat="1" applyFont="1" applyBorder="1"/>
    <xf numFmtId="0" fontId="0" fillId="0" borderId="11" xfId="0" applyNumberFormat="1" applyBorder="1"/>
    <xf numFmtId="2" fontId="4" fillId="0" borderId="0" xfId="0" applyNumberFormat="1" applyFont="1" applyBorder="1"/>
    <xf numFmtId="0" fontId="16" fillId="0" borderId="11" xfId="0" applyFont="1" applyBorder="1" applyAlignment="1">
      <alignment horizontal="right"/>
    </xf>
    <xf numFmtId="0" fontId="16" fillId="0" borderId="0" xfId="0" applyNumberFormat="1" applyFont="1" applyFill="1" applyBorder="1"/>
    <xf numFmtId="49" fontId="8" fillId="0" borderId="0" xfId="0" applyNumberFormat="1" applyFont="1" applyBorder="1"/>
    <xf numFmtId="49" fontId="8" fillId="0" borderId="0" xfId="0" applyNumberFormat="1" applyFont="1" applyFill="1" applyBorder="1"/>
    <xf numFmtId="0" fontId="24" fillId="0" borderId="18" xfId="0" applyNumberFormat="1" applyFont="1" applyBorder="1"/>
    <xf numFmtId="49" fontId="6" fillId="0" borderId="1" xfId="0" applyNumberFormat="1" applyFont="1" applyBorder="1"/>
    <xf numFmtId="0" fontId="24" fillId="0" borderId="1" xfId="0" applyFont="1" applyBorder="1"/>
    <xf numFmtId="49" fontId="36" fillId="0" borderId="0" xfId="0" applyNumberFormat="1" applyFont="1" applyBorder="1" applyAlignment="1">
      <alignment horizontal="center"/>
    </xf>
    <xf numFmtId="0" fontId="16" fillId="2" borderId="0" xfId="0" applyFont="1" applyFill="1"/>
    <xf numFmtId="0" fontId="6" fillId="2" borderId="0" xfId="0" applyFont="1" applyFill="1"/>
    <xf numFmtId="49" fontId="0" fillId="2" borderId="27" xfId="0" applyNumberFormat="1" applyFill="1" applyBorder="1"/>
    <xf numFmtId="49" fontId="6" fillId="6" borderId="14" xfId="0" applyNumberFormat="1" applyFont="1" applyFill="1" applyBorder="1" applyAlignment="1">
      <alignment horizontal="center"/>
    </xf>
    <xf numFmtId="49" fontId="6" fillId="6" borderId="15" xfId="0" applyNumberFormat="1" applyFont="1" applyFill="1" applyBorder="1" applyAlignment="1">
      <alignment horizontal="center"/>
    </xf>
    <xf numFmtId="0" fontId="6" fillId="6" borderId="15" xfId="0" applyNumberFormat="1" applyFont="1" applyFill="1" applyBorder="1" applyAlignment="1">
      <alignment horizontal="center"/>
    </xf>
    <xf numFmtId="49" fontId="6" fillId="6" borderId="16" xfId="0" applyNumberFormat="1" applyFont="1" applyFill="1" applyBorder="1" applyAlignment="1">
      <alignment horizontal="center"/>
    </xf>
    <xf numFmtId="49" fontId="0" fillId="0" borderId="0" xfId="0" applyNumberFormat="1" applyFill="1" applyBorder="1" applyAlignment="1"/>
    <xf numFmtId="49" fontId="0" fillId="0" borderId="1" xfId="0" applyNumberFormat="1" applyFill="1" applyBorder="1" applyAlignment="1"/>
    <xf numFmtId="49" fontId="36" fillId="6" borderId="1" xfId="0" applyNumberFormat="1" applyFont="1" applyFill="1" applyBorder="1" applyAlignment="1">
      <alignment horizontal="center"/>
    </xf>
    <xf numFmtId="0" fontId="36" fillId="6" borderId="1" xfId="0" applyNumberFormat="1" applyFont="1" applyFill="1" applyBorder="1" applyAlignment="1">
      <alignment horizontal="center"/>
    </xf>
    <xf numFmtId="167" fontId="0" fillId="0" borderId="19" xfId="0" applyNumberFormat="1" applyFont="1" applyFill="1" applyBorder="1" applyAlignment="1"/>
    <xf numFmtId="0" fontId="0" fillId="0" borderId="11" xfId="0" applyNumberFormat="1" applyFill="1" applyBorder="1"/>
    <xf numFmtId="0" fontId="0" fillId="0" borderId="18" xfId="0" applyNumberFormat="1" applyFill="1" applyBorder="1"/>
    <xf numFmtId="0" fontId="0" fillId="2" borderId="0" xfId="0" applyNumberFormat="1" applyFill="1" applyAlignment="1">
      <alignment horizontal="center"/>
    </xf>
    <xf numFmtId="0" fontId="0" fillId="2" borderId="0" xfId="0" applyNumberFormat="1" applyFill="1" applyAlignment="1"/>
    <xf numFmtId="0" fontId="6" fillId="6" borderId="14" xfId="0" applyNumberFormat="1" applyFont="1" applyFill="1" applyBorder="1" applyAlignment="1">
      <alignment horizontal="center"/>
    </xf>
    <xf numFmtId="0" fontId="36" fillId="6" borderId="18" xfId="0" applyNumberFormat="1" applyFont="1" applyFill="1" applyBorder="1" applyAlignment="1">
      <alignment horizontal="center"/>
    </xf>
    <xf numFmtId="167" fontId="0" fillId="0" borderId="15" xfId="0" applyNumberFormat="1" applyFill="1" applyBorder="1"/>
    <xf numFmtId="43" fontId="0" fillId="0" borderId="16" xfId="0" applyNumberFormat="1" applyFill="1" applyBorder="1"/>
    <xf numFmtId="0" fontId="0" fillId="0" borderId="15" xfId="0" applyNumberFormat="1" applyFill="1" applyBorder="1"/>
    <xf numFmtId="0" fontId="6" fillId="6" borderId="14" xfId="0" applyFont="1" applyFill="1" applyBorder="1" applyAlignment="1">
      <alignment horizontal="center"/>
    </xf>
    <xf numFmtId="0" fontId="6" fillId="6" borderId="15" xfId="0" applyFont="1" applyFill="1" applyBorder="1" applyAlignment="1">
      <alignment horizontal="center"/>
    </xf>
    <xf numFmtId="0" fontId="6" fillId="6" borderId="16" xfId="0" applyFont="1" applyFill="1" applyBorder="1" applyAlignment="1">
      <alignment horizontal="center"/>
    </xf>
    <xf numFmtId="49" fontId="16" fillId="0" borderId="11" xfId="0" applyNumberFormat="1" applyFont="1" applyFill="1" applyBorder="1"/>
    <xf numFmtId="0" fontId="16" fillId="0" borderId="0" xfId="0" applyFont="1" applyFill="1" applyBorder="1"/>
    <xf numFmtId="0" fontId="16" fillId="0" borderId="0" xfId="0" applyFont="1" applyFill="1" applyBorder="1"/>
    <xf numFmtId="0" fontId="16" fillId="0" borderId="1" xfId="0" applyFont="1" applyBorder="1"/>
    <xf numFmtId="0" fontId="16" fillId="0" borderId="11" xfId="0" applyFont="1" applyFill="1" applyBorder="1"/>
    <xf numFmtId="49" fontId="16" fillId="0" borderId="18" xfId="0" applyNumberFormat="1" applyFont="1" applyFill="1" applyBorder="1"/>
    <xf numFmtId="167" fontId="0" fillId="2" borderId="0" xfId="0" applyNumberFormat="1" applyFont="1" applyFill="1" applyAlignment="1"/>
    <xf numFmtId="2" fontId="0" fillId="0" borderId="17" xfId="0" applyNumberFormat="1" applyBorder="1"/>
    <xf numFmtId="0" fontId="0" fillId="2" borderId="2" xfId="0" applyFill="1" applyBorder="1"/>
    <xf numFmtId="0" fontId="6" fillId="2" borderId="2" xfId="0" applyFont="1" applyFill="1" applyBorder="1"/>
    <xf numFmtId="0" fontId="0" fillId="2" borderId="2" xfId="0" applyFill="1" applyBorder="1" applyAlignment="1">
      <alignment horizontal="left"/>
    </xf>
    <xf numFmtId="0" fontId="26" fillId="2" borderId="2" xfId="0" applyFont="1" applyFill="1" applyBorder="1" applyAlignment="1" applyProtection="1"/>
    <xf numFmtId="3" fontId="36" fillId="5" borderId="17" xfId="0" applyNumberFormat="1" applyFont="1" applyFill="1" applyBorder="1" applyAlignment="1"/>
    <xf numFmtId="3" fontId="36" fillId="5" borderId="19" xfId="0" applyNumberFormat="1" applyFont="1" applyFill="1" applyBorder="1" applyAlignment="1"/>
    <xf numFmtId="2" fontId="36" fillId="5" borderId="17" xfId="0" applyNumberFormat="1" applyFont="1" applyFill="1" applyBorder="1" applyAlignment="1"/>
    <xf numFmtId="2" fontId="36" fillId="5" borderId="19" xfId="0" applyNumberFormat="1" applyFont="1" applyFill="1" applyBorder="1" applyAlignment="1"/>
    <xf numFmtId="0" fontId="36" fillId="0" borderId="15" xfId="0" applyFont="1" applyBorder="1" applyAlignment="1">
      <alignment horizontal="center"/>
    </xf>
    <xf numFmtId="0" fontId="36" fillId="0" borderId="0" xfId="0" applyFont="1" applyBorder="1" applyAlignment="1">
      <alignment horizontal="center"/>
    </xf>
    <xf numFmtId="0" fontId="36" fillId="0" borderId="1" xfId="0" applyFont="1" applyBorder="1" applyAlignment="1">
      <alignment horizontal="center"/>
    </xf>
    <xf numFmtId="0" fontId="0" fillId="2" borderId="0" xfId="0" applyFont="1" applyFill="1" applyAlignment="1"/>
    <xf numFmtId="3" fontId="0" fillId="0" borderId="21" xfId="0" applyNumberFormat="1" applyFill="1" applyBorder="1"/>
    <xf numFmtId="2" fontId="0" fillId="0" borderId="21" xfId="0" applyNumberFormat="1" applyFill="1" applyBorder="1"/>
    <xf numFmtId="3" fontId="0" fillId="0" borderId="22" xfId="0" applyNumberFormat="1" applyFill="1" applyBorder="1"/>
    <xf numFmtId="3" fontId="0" fillId="0" borderId="22" xfId="0" applyNumberFormat="1" applyBorder="1"/>
    <xf numFmtId="0" fontId="32" fillId="7" borderId="14" xfId="0" applyFont="1" applyFill="1" applyBorder="1" applyAlignment="1">
      <alignment horizontal="center"/>
    </xf>
    <xf numFmtId="0" fontId="32" fillId="7" borderId="15" xfId="0" applyFont="1" applyFill="1" applyBorder="1" applyAlignment="1">
      <alignment horizontal="center"/>
    </xf>
    <xf numFmtId="0" fontId="32" fillId="7" borderId="16" xfId="0" applyFont="1" applyFill="1" applyBorder="1" applyAlignment="1">
      <alignment horizontal="center"/>
    </xf>
    <xf numFmtId="2" fontId="33" fillId="7" borderId="18" xfId="0" applyNumberFormat="1" applyFont="1" applyFill="1" applyBorder="1" applyAlignment="1">
      <alignment horizontal="center"/>
    </xf>
    <xf numFmtId="2" fontId="33" fillId="7" borderId="1" xfId="0" applyNumberFormat="1" applyFont="1" applyFill="1" applyBorder="1" applyAlignment="1">
      <alignment horizontal="center"/>
    </xf>
    <xf numFmtId="2" fontId="33" fillId="7" borderId="19" xfId="0" applyNumberFormat="1" applyFont="1" applyFill="1" applyBorder="1" applyAlignment="1">
      <alignment horizontal="center"/>
    </xf>
    <xf numFmtId="0" fontId="0" fillId="0" borderId="14" xfId="0" applyBorder="1" applyAlignment="1">
      <alignment horizontal="left"/>
    </xf>
    <xf numFmtId="0" fontId="0" fillId="0" borderId="18" xfId="0" applyBorder="1" applyAlignment="1">
      <alignment horizontal="left"/>
    </xf>
    <xf numFmtId="164" fontId="0" fillId="0" borderId="0" xfId="0" applyNumberFormat="1" applyBorder="1"/>
    <xf numFmtId="164" fontId="0" fillId="0" borderId="1" xfId="0" applyNumberFormat="1" applyBorder="1"/>
    <xf numFmtId="0" fontId="0" fillId="8" borderId="11" xfId="0" applyFill="1" applyBorder="1"/>
    <xf numFmtId="0" fontId="0" fillId="8" borderId="0" xfId="0" applyFill="1" applyBorder="1"/>
    <xf numFmtId="3" fontId="0" fillId="8" borderId="17" xfId="0" applyNumberFormat="1" applyFill="1" applyBorder="1"/>
    <xf numFmtId="0" fontId="0" fillId="2" borderId="28" xfId="0" applyFill="1" applyBorder="1" applyAlignment="1">
      <alignment vertical="top" wrapText="1"/>
    </xf>
    <xf numFmtId="0" fontId="0" fillId="2" borderId="0" xfId="0" applyFill="1" applyBorder="1" applyAlignment="1">
      <alignment vertical="top" wrapText="1"/>
    </xf>
    <xf numFmtId="0" fontId="21" fillId="9" borderId="24" xfId="0" applyFont="1" applyFill="1" applyBorder="1" applyAlignment="1">
      <alignment horizontal="center"/>
    </xf>
    <xf numFmtId="0" fontId="21" fillId="9" borderId="16" xfId="0" applyNumberFormat="1" applyFont="1" applyFill="1" applyBorder="1" applyAlignment="1">
      <alignment horizontal="center"/>
    </xf>
    <xf numFmtId="2" fontId="33" fillId="9" borderId="25" xfId="0" applyNumberFormat="1" applyFont="1" applyFill="1" applyBorder="1" applyAlignment="1">
      <alignment horizontal="center"/>
    </xf>
    <xf numFmtId="3" fontId="33" fillId="9" borderId="1" xfId="0" applyNumberFormat="1" applyFont="1" applyFill="1" applyBorder="1" applyAlignment="1">
      <alignment horizontal="center"/>
    </xf>
    <xf numFmtId="3" fontId="33" fillId="9" borderId="19" xfId="0" applyNumberFormat="1" applyFont="1" applyFill="1" applyBorder="1" applyAlignment="1">
      <alignment horizontal="center"/>
    </xf>
    <xf numFmtId="0" fontId="32" fillId="9" borderId="14" xfId="0" applyFont="1" applyFill="1" applyBorder="1" applyAlignment="1">
      <alignment horizontal="center"/>
    </xf>
    <xf numFmtId="0" fontId="32" fillId="9" borderId="15" xfId="0" applyFont="1" applyFill="1" applyBorder="1" applyAlignment="1">
      <alignment horizontal="center"/>
    </xf>
    <xf numFmtId="0" fontId="32" fillId="9" borderId="21" xfId="0" applyFont="1" applyFill="1" applyBorder="1" applyAlignment="1">
      <alignment horizontal="center"/>
    </xf>
    <xf numFmtId="0" fontId="32" fillId="9" borderId="20" xfId="0" applyFont="1" applyFill="1" applyBorder="1" applyAlignment="1">
      <alignment horizontal="center"/>
    </xf>
    <xf numFmtId="0" fontId="32" fillId="9" borderId="16" xfId="0" applyFont="1" applyFill="1" applyBorder="1" applyAlignment="1">
      <alignment horizontal="center"/>
    </xf>
    <xf numFmtId="0" fontId="33" fillId="9" borderId="18" xfId="0" applyFont="1" applyFill="1" applyBorder="1" applyAlignment="1">
      <alignment horizontal="center"/>
    </xf>
    <xf numFmtId="0" fontId="33" fillId="9" borderId="1" xfId="0" applyFont="1" applyFill="1" applyBorder="1" applyAlignment="1">
      <alignment horizontal="center"/>
    </xf>
    <xf numFmtId="0" fontId="33" fillId="9" borderId="19" xfId="0" applyFont="1" applyFill="1" applyBorder="1" applyAlignment="1">
      <alignment horizontal="center"/>
    </xf>
    <xf numFmtId="0" fontId="0" fillId="2" borderId="6" xfId="0" applyFill="1" applyBorder="1" applyAlignment="1"/>
    <xf numFmtId="0" fontId="32" fillId="10" borderId="24" xfId="0" applyFont="1" applyFill="1" applyBorder="1" applyAlignment="1">
      <alignment horizontal="center"/>
    </xf>
    <xf numFmtId="0" fontId="32" fillId="10" borderId="15" xfId="0" applyNumberFormat="1" applyFont="1" applyFill="1" applyBorder="1" applyAlignment="1">
      <alignment horizontal="center"/>
    </xf>
    <xf numFmtId="0" fontId="32" fillId="10" borderId="16" xfId="0" applyNumberFormat="1" applyFont="1" applyFill="1" applyBorder="1" applyAlignment="1">
      <alignment horizontal="center"/>
    </xf>
    <xf numFmtId="2" fontId="33" fillId="10" borderId="25" xfId="0" applyNumberFormat="1" applyFont="1" applyFill="1" applyBorder="1" applyAlignment="1">
      <alignment horizontal="center"/>
    </xf>
    <xf numFmtId="3" fontId="33" fillId="10" borderId="1" xfId="0" applyNumberFormat="1" applyFont="1" applyFill="1" applyBorder="1" applyAlignment="1">
      <alignment horizontal="center"/>
    </xf>
    <xf numFmtId="3" fontId="33" fillId="10" borderId="19" xfId="0" applyNumberFormat="1" applyFont="1" applyFill="1" applyBorder="1" applyAlignment="1">
      <alignment horizontal="center"/>
    </xf>
    <xf numFmtId="0" fontId="32" fillId="11" borderId="14" xfId="0" applyFont="1" applyFill="1" applyBorder="1" applyAlignment="1">
      <alignment horizontal="center"/>
    </xf>
    <xf numFmtId="0" fontId="32" fillId="11" borderId="15" xfId="0" applyNumberFormat="1" applyFont="1" applyFill="1" applyBorder="1" applyAlignment="1">
      <alignment horizontal="center"/>
    </xf>
    <xf numFmtId="2" fontId="32" fillId="11" borderId="15" xfId="0" applyNumberFormat="1" applyFont="1" applyFill="1" applyBorder="1" applyAlignment="1">
      <alignment horizontal="center"/>
    </xf>
    <xf numFmtId="0" fontId="32" fillId="11" borderId="16" xfId="0" applyNumberFormat="1" applyFont="1" applyFill="1" applyBorder="1" applyAlignment="1">
      <alignment horizontal="center"/>
    </xf>
    <xf numFmtId="2" fontId="33" fillId="11" borderId="18" xfId="0" applyNumberFormat="1" applyFont="1" applyFill="1" applyBorder="1" applyAlignment="1">
      <alignment horizontal="center"/>
    </xf>
    <xf numFmtId="2" fontId="33" fillId="11" borderId="1" xfId="0" applyNumberFormat="1" applyFont="1" applyFill="1" applyBorder="1" applyAlignment="1">
      <alignment horizontal="center"/>
    </xf>
    <xf numFmtId="0" fontId="33" fillId="11" borderId="1" xfId="0" applyFont="1" applyFill="1" applyBorder="1" applyAlignment="1">
      <alignment horizontal="center"/>
    </xf>
    <xf numFmtId="3" fontId="33" fillId="11" borderId="19" xfId="0" applyNumberFormat="1" applyFont="1" applyFill="1" applyBorder="1" applyAlignment="1">
      <alignment horizontal="center"/>
    </xf>
    <xf numFmtId="0" fontId="33" fillId="11" borderId="18" xfId="0" applyFont="1" applyFill="1" applyBorder="1" applyAlignment="1">
      <alignment horizontal="center"/>
    </xf>
    <xf numFmtId="0" fontId="33" fillId="11" borderId="19" xfId="0" applyFont="1" applyFill="1" applyBorder="1" applyAlignment="1">
      <alignment horizontal="center"/>
    </xf>
    <xf numFmtId="0" fontId="21" fillId="11" borderId="20" xfId="0" applyFont="1" applyFill="1" applyBorder="1" applyAlignment="1">
      <alignment horizontal="center"/>
    </xf>
    <xf numFmtId="0" fontId="21" fillId="11" borderId="21" xfId="0" applyFont="1" applyFill="1" applyBorder="1" applyAlignment="1">
      <alignment horizontal="center"/>
    </xf>
    <xf numFmtId="0" fontId="32" fillId="11" borderId="14" xfId="0" applyNumberFormat="1" applyFont="1" applyFill="1" applyBorder="1" applyAlignment="1">
      <alignment horizontal="center"/>
    </xf>
    <xf numFmtId="0" fontId="21" fillId="11" borderId="15" xfId="0" applyFont="1" applyFill="1" applyBorder="1" applyAlignment="1">
      <alignment horizontal="center"/>
    </xf>
    <xf numFmtId="0" fontId="0" fillId="12" borderId="11" xfId="0" applyFill="1" applyBorder="1"/>
    <xf numFmtId="2" fontId="0" fillId="12" borderId="0" xfId="0" applyNumberFormat="1" applyFill="1" applyBorder="1"/>
    <xf numFmtId="0" fontId="4" fillId="2" borderId="0" xfId="0" applyFont="1" applyFill="1" applyAlignment="1"/>
    <xf numFmtId="0" fontId="40" fillId="2" borderId="0" xfId="0" applyFont="1" applyFill="1" applyAlignment="1"/>
    <xf numFmtId="167" fontId="40" fillId="2" borderId="0" xfId="0" applyNumberFormat="1" applyFont="1" applyFill="1" applyAlignment="1"/>
    <xf numFmtId="167" fontId="40" fillId="0" borderId="2" xfId="0" applyNumberFormat="1" applyFont="1" applyBorder="1" applyAlignment="1"/>
    <xf numFmtId="0" fontId="6" fillId="4" borderId="24" xfId="0" applyFont="1" applyFill="1" applyBorder="1" applyAlignment="1">
      <alignment horizontal="center"/>
    </xf>
    <xf numFmtId="2" fontId="36" fillId="4" borderId="3" xfId="0" applyNumberFormat="1" applyFont="1" applyFill="1" applyBorder="1" applyAlignment="1">
      <alignment horizontal="center"/>
    </xf>
    <xf numFmtId="3" fontId="36" fillId="4" borderId="0" xfId="0" applyNumberFormat="1" applyFont="1" applyFill="1" applyBorder="1" applyAlignment="1">
      <alignment horizontal="center"/>
    </xf>
    <xf numFmtId="3" fontId="36" fillId="4" borderId="17" xfId="0" applyNumberFormat="1" applyFont="1" applyFill="1" applyBorder="1" applyAlignment="1">
      <alignment horizontal="center"/>
    </xf>
    <xf numFmtId="0" fontId="6" fillId="13" borderId="24" xfId="0" applyFont="1" applyFill="1" applyBorder="1" applyAlignment="1">
      <alignment horizontal="center"/>
    </xf>
    <xf numFmtId="0" fontId="6" fillId="13" borderId="15" xfId="0" applyNumberFormat="1" applyFont="1" applyFill="1" applyBorder="1" applyAlignment="1">
      <alignment horizontal="center"/>
    </xf>
    <xf numFmtId="0" fontId="6" fillId="13" borderId="16" xfId="0" applyNumberFormat="1" applyFont="1" applyFill="1" applyBorder="1" applyAlignment="1">
      <alignment horizontal="center"/>
    </xf>
    <xf numFmtId="2" fontId="36" fillId="13" borderId="3" xfId="0" applyNumberFormat="1" applyFont="1" applyFill="1" applyBorder="1" applyAlignment="1">
      <alignment horizontal="center"/>
    </xf>
    <xf numFmtId="3" fontId="36" fillId="13" borderId="0" xfId="0" applyNumberFormat="1" applyFont="1" applyFill="1" applyBorder="1" applyAlignment="1">
      <alignment horizontal="center"/>
    </xf>
    <xf numFmtId="3" fontId="36" fillId="13" borderId="17" xfId="0" applyNumberFormat="1" applyFont="1" applyFill="1" applyBorder="1" applyAlignment="1">
      <alignment horizontal="center"/>
    </xf>
    <xf numFmtId="0" fontId="21" fillId="14" borderId="24" xfId="0" applyFont="1" applyFill="1" applyBorder="1" applyAlignment="1">
      <alignment horizontal="center"/>
    </xf>
    <xf numFmtId="0" fontId="21" fillId="14" borderId="15" xfId="0" applyNumberFormat="1" applyFont="1" applyFill="1" applyBorder="1" applyAlignment="1">
      <alignment horizontal="center"/>
    </xf>
    <xf numFmtId="0" fontId="21" fillId="14" borderId="16" xfId="0" applyNumberFormat="1" applyFont="1" applyFill="1" applyBorder="1" applyAlignment="1">
      <alignment horizontal="center"/>
    </xf>
    <xf numFmtId="2" fontId="33" fillId="14" borderId="25" xfId="0" applyNumberFormat="1" applyFont="1" applyFill="1" applyBorder="1" applyAlignment="1">
      <alignment horizontal="center"/>
    </xf>
    <xf numFmtId="3" fontId="33" fillId="14" borderId="1" xfId="0" applyNumberFormat="1" applyFont="1" applyFill="1" applyBorder="1" applyAlignment="1">
      <alignment horizontal="center"/>
    </xf>
    <xf numFmtId="3" fontId="33" fillId="14" borderId="19" xfId="0" applyNumberFormat="1" applyFont="1" applyFill="1" applyBorder="1" applyAlignment="1">
      <alignment horizontal="center"/>
    </xf>
    <xf numFmtId="0" fontId="6" fillId="15" borderId="24" xfId="0" applyFont="1" applyFill="1" applyBorder="1" applyAlignment="1">
      <alignment horizontal="center"/>
    </xf>
    <xf numFmtId="0" fontId="6" fillId="15" borderId="15" xfId="0" applyNumberFormat="1" applyFont="1" applyFill="1" applyBorder="1" applyAlignment="1">
      <alignment horizontal="center"/>
    </xf>
    <xf numFmtId="0" fontId="6" fillId="15" borderId="16" xfId="0" applyNumberFormat="1" applyFont="1" applyFill="1" applyBorder="1" applyAlignment="1">
      <alignment horizontal="center"/>
    </xf>
    <xf numFmtId="2" fontId="36" fillId="15" borderId="25" xfId="0" applyNumberFormat="1" applyFont="1" applyFill="1" applyBorder="1" applyAlignment="1">
      <alignment horizontal="center"/>
    </xf>
    <xf numFmtId="3" fontId="36" fillId="15" borderId="1" xfId="0" applyNumberFormat="1" applyFont="1" applyFill="1" applyBorder="1" applyAlignment="1">
      <alignment horizontal="center"/>
    </xf>
    <xf numFmtId="3" fontId="36" fillId="15" borderId="19" xfId="0" applyNumberFormat="1" applyFont="1" applyFill="1" applyBorder="1" applyAlignment="1">
      <alignment horizontal="center"/>
    </xf>
    <xf numFmtId="0" fontId="21" fillId="16" borderId="24" xfId="0" applyFont="1" applyFill="1" applyBorder="1" applyAlignment="1">
      <alignment horizontal="center"/>
    </xf>
    <xf numFmtId="0" fontId="21" fillId="16" borderId="15" xfId="0" applyFont="1" applyFill="1" applyBorder="1" applyAlignment="1">
      <alignment horizontal="center"/>
    </xf>
    <xf numFmtId="0" fontId="21" fillId="16" borderId="16" xfId="0" applyNumberFormat="1" applyFont="1" applyFill="1" applyBorder="1" applyAlignment="1">
      <alignment horizontal="center"/>
    </xf>
    <xf numFmtId="2" fontId="33" fillId="16" borderId="25" xfId="0" applyNumberFormat="1" applyFont="1" applyFill="1" applyBorder="1" applyAlignment="1">
      <alignment horizontal="center"/>
    </xf>
    <xf numFmtId="2" fontId="33" fillId="16" borderId="1" xfId="0" applyNumberFormat="1" applyFont="1" applyFill="1" applyBorder="1" applyAlignment="1">
      <alignment horizontal="center"/>
    </xf>
    <xf numFmtId="0" fontId="33" fillId="16" borderId="1" xfId="0" applyFont="1" applyFill="1" applyBorder="1" applyAlignment="1">
      <alignment horizontal="center"/>
    </xf>
    <xf numFmtId="3" fontId="33" fillId="16" borderId="19" xfId="0" applyNumberFormat="1" applyFont="1" applyFill="1" applyBorder="1" applyAlignment="1">
      <alignment horizontal="center"/>
    </xf>
    <xf numFmtId="0" fontId="32" fillId="14" borderId="14" xfId="0" applyFont="1" applyFill="1" applyBorder="1" applyAlignment="1">
      <alignment horizontal="center"/>
    </xf>
    <xf numFmtId="0" fontId="32" fillId="14" borderId="15" xfId="0" applyFont="1" applyFill="1" applyBorder="1" applyAlignment="1">
      <alignment horizontal="center"/>
    </xf>
    <xf numFmtId="0" fontId="32" fillId="14" borderId="16" xfId="0" applyNumberFormat="1" applyFont="1" applyFill="1" applyBorder="1" applyAlignment="1">
      <alignment horizontal="center"/>
    </xf>
    <xf numFmtId="2" fontId="33" fillId="14" borderId="18" xfId="0" applyNumberFormat="1" applyFont="1" applyFill="1" applyBorder="1" applyAlignment="1">
      <alignment horizontal="center"/>
    </xf>
    <xf numFmtId="2" fontId="33" fillId="14" borderId="1" xfId="0" applyNumberFormat="1" applyFont="1" applyFill="1" applyBorder="1" applyAlignment="1">
      <alignment horizontal="center"/>
    </xf>
    <xf numFmtId="0" fontId="33" fillId="14" borderId="1" xfId="0" applyFont="1" applyFill="1" applyBorder="1" applyAlignment="1">
      <alignment horizontal="center"/>
    </xf>
    <xf numFmtId="0" fontId="32" fillId="16" borderId="14" xfId="0" applyFont="1" applyFill="1" applyBorder="1" applyAlignment="1">
      <alignment horizontal="center"/>
    </xf>
    <xf numFmtId="0" fontId="32" fillId="16" borderId="16" xfId="0" applyFont="1" applyFill="1" applyBorder="1" applyAlignment="1">
      <alignment horizontal="center"/>
    </xf>
    <xf numFmtId="0" fontId="33" fillId="16" borderId="18" xfId="0" applyFont="1" applyFill="1" applyBorder="1" applyAlignment="1">
      <alignment horizontal="center"/>
    </xf>
    <xf numFmtId="0" fontId="33" fillId="16" borderId="19" xfId="0" applyFont="1" applyFill="1" applyBorder="1" applyAlignment="1">
      <alignment horizontal="center"/>
    </xf>
    <xf numFmtId="0" fontId="32" fillId="16" borderId="15" xfId="0" applyFont="1" applyFill="1" applyBorder="1" applyAlignment="1">
      <alignment horizontal="center"/>
    </xf>
    <xf numFmtId="0" fontId="33" fillId="16" borderId="11" xfId="0" applyFont="1" applyFill="1" applyBorder="1" applyAlignment="1">
      <alignment horizontal="center"/>
    </xf>
    <xf numFmtId="0" fontId="33" fillId="16" borderId="0" xfId="0" applyFont="1" applyFill="1" applyBorder="1" applyAlignment="1">
      <alignment horizontal="center"/>
    </xf>
    <xf numFmtId="0" fontId="33" fillId="16" borderId="17" xfId="0" applyFont="1" applyFill="1" applyBorder="1" applyAlignment="1">
      <alignment horizontal="center"/>
    </xf>
    <xf numFmtId="0" fontId="21" fillId="17" borderId="24" xfId="0" applyFont="1" applyFill="1" applyBorder="1" applyAlignment="1">
      <alignment horizontal="center"/>
    </xf>
    <xf numFmtId="2" fontId="33" fillId="17" borderId="3" xfId="0" applyNumberFormat="1" applyFont="1" applyFill="1" applyBorder="1" applyAlignment="1">
      <alignment horizontal="center"/>
    </xf>
    <xf numFmtId="0" fontId="19" fillId="17" borderId="18" xfId="0" applyFont="1" applyFill="1" applyBorder="1" applyAlignment="1"/>
    <xf numFmtId="0" fontId="20" fillId="17" borderId="19" xfId="0" applyFont="1" applyFill="1" applyBorder="1" applyAlignment="1">
      <alignment horizontal="center"/>
    </xf>
    <xf numFmtId="49" fontId="6" fillId="13" borderId="15" xfId="0" applyNumberFormat="1" applyFont="1" applyFill="1" applyBorder="1" applyAlignment="1">
      <alignment horizontal="center"/>
    </xf>
    <xf numFmtId="49" fontId="6" fillId="13" borderId="16" xfId="0" applyNumberFormat="1" applyFont="1" applyFill="1" applyBorder="1" applyAlignment="1">
      <alignment horizontal="center"/>
    </xf>
    <xf numFmtId="49" fontId="36" fillId="13" borderId="18" xfId="0" applyNumberFormat="1" applyFont="1" applyFill="1" applyBorder="1" applyAlignment="1">
      <alignment horizontal="center"/>
    </xf>
    <xf numFmtId="49" fontId="36" fillId="13" borderId="1" xfId="0" applyNumberFormat="1" applyFont="1" applyFill="1" applyBorder="1" applyAlignment="1">
      <alignment horizontal="center"/>
    </xf>
    <xf numFmtId="49" fontId="36" fillId="13" borderId="19" xfId="0" applyNumberFormat="1" applyFont="1" applyFill="1" applyBorder="1" applyAlignment="1">
      <alignment horizontal="center"/>
    </xf>
    <xf numFmtId="49" fontId="6" fillId="13" borderId="14" xfId="0" applyNumberFormat="1" applyFont="1" applyFill="1" applyBorder="1" applyAlignment="1">
      <alignment horizontal="center"/>
    </xf>
    <xf numFmtId="0" fontId="6" fillId="13" borderId="14" xfId="0" applyNumberFormat="1" applyFont="1" applyFill="1" applyBorder="1" applyAlignment="1">
      <alignment horizontal="center"/>
    </xf>
    <xf numFmtId="49" fontId="6" fillId="13" borderId="20" xfId="0" applyNumberFormat="1" applyFont="1" applyFill="1" applyBorder="1" applyAlignment="1">
      <alignment horizontal="center"/>
    </xf>
    <xf numFmtId="49" fontId="6" fillId="13" borderId="21" xfId="0" applyNumberFormat="1" applyFont="1" applyFill="1" applyBorder="1" applyAlignment="1">
      <alignment horizontal="center"/>
    </xf>
    <xf numFmtId="49" fontId="6" fillId="13" borderId="22" xfId="0" applyNumberFormat="1" applyFont="1" applyFill="1" applyBorder="1" applyAlignment="1">
      <alignment horizontal="center"/>
    </xf>
    <xf numFmtId="0" fontId="6" fillId="15" borderId="14" xfId="0" applyFont="1" applyFill="1" applyBorder="1" applyAlignment="1">
      <alignment horizontal="center"/>
    </xf>
    <xf numFmtId="49" fontId="6" fillId="15" borderId="15" xfId="0" applyNumberFormat="1" applyFont="1" applyFill="1" applyBorder="1" applyAlignment="1">
      <alignment horizontal="center"/>
    </xf>
    <xf numFmtId="0" fontId="6" fillId="15" borderId="15" xfId="0" applyFont="1" applyFill="1" applyBorder="1" applyAlignment="1">
      <alignment horizontal="center"/>
    </xf>
    <xf numFmtId="2" fontId="6" fillId="15" borderId="15" xfId="0" applyNumberFormat="1" applyFont="1" applyFill="1" applyBorder="1" applyAlignment="1">
      <alignment horizontal="center"/>
    </xf>
    <xf numFmtId="0" fontId="36" fillId="15" borderId="18" xfId="0" applyFont="1" applyFill="1" applyBorder="1" applyAlignment="1">
      <alignment horizontal="center"/>
    </xf>
    <xf numFmtId="49" fontId="36" fillId="15" borderId="1" xfId="0" applyNumberFormat="1" applyFont="1" applyFill="1" applyBorder="1" applyAlignment="1">
      <alignment horizontal="center"/>
    </xf>
    <xf numFmtId="0" fontId="36" fillId="15" borderId="1" xfId="0" applyFont="1" applyFill="1" applyBorder="1" applyAlignment="1">
      <alignment horizontal="center"/>
    </xf>
    <xf numFmtId="2" fontId="36" fillId="15" borderId="1" xfId="0" applyNumberFormat="1" applyFont="1" applyFill="1" applyBorder="1" applyAlignment="1">
      <alignment horizontal="center"/>
    </xf>
    <xf numFmtId="0" fontId="6" fillId="15" borderId="16" xfId="0" applyFont="1" applyFill="1" applyBorder="1" applyAlignment="1">
      <alignment horizontal="center"/>
    </xf>
    <xf numFmtId="0" fontId="36" fillId="15" borderId="19" xfId="0" applyFont="1" applyFill="1" applyBorder="1" applyAlignment="1">
      <alignment horizontal="center"/>
    </xf>
    <xf numFmtId="170" fontId="0" fillId="0" borderId="17" xfId="0" applyNumberFormat="1" applyFont="1" applyFill="1" applyBorder="1"/>
    <xf numFmtId="170" fontId="0" fillId="0" borderId="19" xfId="0" applyNumberFormat="1" applyFont="1" applyFill="1" applyBorder="1"/>
    <xf numFmtId="169" fontId="0" fillId="0" borderId="0" xfId="0" applyNumberFormat="1" applyFill="1" applyBorder="1"/>
    <xf numFmtId="169" fontId="4" fillId="0" borderId="0" xfId="0" applyNumberFormat="1" applyFont="1" applyFill="1" applyBorder="1"/>
    <xf numFmtId="0" fontId="0" fillId="0" borderId="0" xfId="0" applyFill="1" applyBorder="1" applyAlignment="1">
      <alignment horizontal="center"/>
    </xf>
    <xf numFmtId="0" fontId="4" fillId="0" borderId="24" xfId="0" applyFont="1" applyBorder="1"/>
    <xf numFmtId="0" fontId="21" fillId="16" borderId="16" xfId="0" applyFont="1" applyFill="1" applyBorder="1" applyAlignment="1">
      <alignment horizontal="center"/>
    </xf>
    <xf numFmtId="0" fontId="21" fillId="9" borderId="22" xfId="0" applyFont="1" applyFill="1" applyBorder="1" applyAlignment="1">
      <alignment horizontal="center"/>
    </xf>
    <xf numFmtId="0" fontId="38" fillId="2" borderId="0" xfId="0" applyFont="1" applyFill="1" applyBorder="1" applyAlignment="1" applyProtection="1"/>
    <xf numFmtId="167" fontId="6" fillId="2" borderId="0" xfId="0" applyNumberFormat="1" applyFont="1" applyFill="1" applyBorder="1" applyAlignment="1">
      <alignment horizontal="center"/>
    </xf>
    <xf numFmtId="167" fontId="36" fillId="2" borderId="0" xfId="0" applyNumberFormat="1" applyFont="1" applyFill="1" applyBorder="1" applyAlignment="1">
      <alignment horizontal="center"/>
    </xf>
    <xf numFmtId="167" fontId="0" fillId="2" borderId="0" xfId="0" applyNumberFormat="1" applyFont="1" applyFill="1" applyBorder="1"/>
    <xf numFmtId="3" fontId="4" fillId="0" borderId="11" xfId="0" applyNumberFormat="1" applyFont="1" applyFill="1" applyBorder="1"/>
    <xf numFmtId="0" fontId="19" fillId="17" borderId="14" xfId="0" applyFont="1" applyFill="1" applyBorder="1" applyAlignment="1"/>
    <xf numFmtId="0" fontId="19" fillId="17" borderId="16" xfId="0" applyFont="1" applyFill="1" applyBorder="1" applyAlignment="1"/>
    <xf numFmtId="0" fontId="19" fillId="17" borderId="19" xfId="0" applyFont="1" applyFill="1" applyBorder="1" applyAlignment="1"/>
    <xf numFmtId="0" fontId="20" fillId="17" borderId="18" xfId="0" applyFont="1" applyFill="1" applyBorder="1" applyAlignment="1">
      <alignment horizontal="center"/>
    </xf>
    <xf numFmtId="0" fontId="20" fillId="17" borderId="1" xfId="0" applyFont="1" applyFill="1" applyBorder="1" applyAlignment="1">
      <alignment horizontal="center"/>
    </xf>
    <xf numFmtId="0" fontId="21" fillId="17" borderId="14" xfId="0" applyFont="1" applyFill="1" applyBorder="1" applyAlignment="1">
      <alignment horizontal="center"/>
    </xf>
    <xf numFmtId="2" fontId="33" fillId="17" borderId="11" xfId="0" applyNumberFormat="1" applyFont="1" applyFill="1" applyBorder="1" applyAlignment="1">
      <alignment horizontal="center"/>
    </xf>
    <xf numFmtId="0" fontId="4" fillId="2" borderId="0" xfId="0" applyFont="1" applyFill="1" applyAlignment="1" applyProtection="1"/>
    <xf numFmtId="0" fontId="21" fillId="11" borderId="14" xfId="0" applyFont="1" applyFill="1" applyBorder="1" applyAlignment="1">
      <alignment horizontal="center"/>
    </xf>
    <xf numFmtId="49" fontId="36" fillId="13" borderId="0" xfId="0" applyNumberFormat="1" applyFont="1" applyFill="1" applyBorder="1" applyAlignment="1">
      <alignment horizontal="center"/>
    </xf>
    <xf numFmtId="167" fontId="0" fillId="5" borderId="1" xfId="0" applyNumberFormat="1" applyFont="1" applyFill="1" applyBorder="1"/>
    <xf numFmtId="167" fontId="0" fillId="5" borderId="17" xfId="0" applyNumberFormat="1" applyFont="1" applyFill="1" applyBorder="1"/>
    <xf numFmtId="49" fontId="6" fillId="13" borderId="18" xfId="0" applyNumberFormat="1" applyFont="1" applyFill="1" applyBorder="1" applyAlignment="1">
      <alignment horizontal="center"/>
    </xf>
    <xf numFmtId="171" fontId="0" fillId="0" borderId="15" xfId="0" applyNumberFormat="1" applyFont="1" applyFill="1" applyBorder="1"/>
    <xf numFmtId="171" fontId="0" fillId="0" borderId="0" xfId="0" applyNumberFormat="1" applyFont="1" applyFill="1" applyBorder="1"/>
    <xf numFmtId="171" fontId="0" fillId="0" borderId="1" xfId="0" applyNumberFormat="1" applyFont="1" applyFill="1" applyBorder="1"/>
    <xf numFmtId="0" fontId="0" fillId="0" borderId="15" xfId="0" applyFont="1" applyBorder="1"/>
    <xf numFmtId="0" fontId="0" fillId="0" borderId="0" xfId="0" applyFont="1" applyBorder="1"/>
    <xf numFmtId="0" fontId="6" fillId="0" borderId="20" xfId="0" applyFont="1" applyFill="1" applyBorder="1" applyAlignment="1"/>
    <xf numFmtId="43" fontId="0" fillId="12" borderId="0" xfId="0" applyNumberFormat="1" applyFont="1" applyFill="1" applyBorder="1"/>
    <xf numFmtId="0" fontId="0" fillId="0" borderId="0" xfId="0" applyFill="1"/>
    <xf numFmtId="2" fontId="49" fillId="18" borderId="0" xfId="0" applyNumberFormat="1" applyFont="1" applyFill="1"/>
    <xf numFmtId="0" fontId="33" fillId="11" borderId="0" xfId="0" applyFont="1" applyFill="1" applyBorder="1" applyAlignment="1">
      <alignment horizontal="center"/>
    </xf>
    <xf numFmtId="167" fontId="0" fillId="5" borderId="17" xfId="0" applyNumberFormat="1" applyFont="1" applyFill="1" applyBorder="1" applyAlignment="1"/>
    <xf numFmtId="167" fontId="0" fillId="5" borderId="0" xfId="0" applyNumberFormat="1" applyFont="1" applyFill="1" applyBorder="1" applyAlignment="1"/>
    <xf numFmtId="0" fontId="21" fillId="4" borderId="24" xfId="0" applyFont="1" applyFill="1" applyBorder="1" applyAlignment="1">
      <alignment horizontal="center"/>
    </xf>
    <xf numFmtId="0" fontId="48" fillId="4" borderId="3" xfId="0" applyFont="1" applyFill="1" applyBorder="1" applyAlignment="1">
      <alignment horizontal="center"/>
    </xf>
    <xf numFmtId="167" fontId="0" fillId="0" borderId="0" xfId="0" applyNumberFormat="1" applyFont="1" applyFill="1"/>
    <xf numFmtId="167" fontId="0" fillId="12" borderId="0" xfId="0" applyNumberFormat="1" applyFont="1" applyFill="1" applyBorder="1"/>
    <xf numFmtId="167" fontId="0" fillId="18" borderId="0" xfId="0" applyNumberFormat="1" applyFont="1" applyFill="1"/>
    <xf numFmtId="0" fontId="21" fillId="9" borderId="15" xfId="0" applyNumberFormat="1" applyFont="1" applyFill="1" applyBorder="1" applyAlignment="1">
      <alignment horizontal="center"/>
    </xf>
    <xf numFmtId="0" fontId="21" fillId="9" borderId="0" xfId="0" applyNumberFormat="1" applyFont="1" applyFill="1" applyBorder="1" applyAlignment="1">
      <alignment horizontal="center"/>
    </xf>
    <xf numFmtId="0" fontId="33" fillId="9" borderId="0" xfId="0" applyFont="1" applyFill="1" applyBorder="1" applyAlignment="1">
      <alignment horizontal="center"/>
    </xf>
    <xf numFmtId="49" fontId="46" fillId="13" borderId="1" xfId="0" applyNumberFormat="1" applyFont="1" applyFill="1" applyBorder="1" applyAlignment="1">
      <alignment horizontal="center"/>
    </xf>
    <xf numFmtId="49" fontId="46" fillId="13" borderId="19" xfId="0" applyNumberFormat="1" applyFont="1" applyFill="1" applyBorder="1" applyAlignment="1">
      <alignment horizontal="center"/>
    </xf>
    <xf numFmtId="167" fontId="0" fillId="5" borderId="19" xfId="0" applyNumberFormat="1" applyFont="1" applyFill="1" applyBorder="1" applyAlignment="1"/>
    <xf numFmtId="49" fontId="36" fillId="0" borderId="15" xfId="0" applyNumberFormat="1" applyFont="1" applyBorder="1" applyAlignment="1">
      <alignment horizontal="center"/>
    </xf>
    <xf numFmtId="49" fontId="36" fillId="0" borderId="1" xfId="0" applyNumberFormat="1" applyFont="1" applyBorder="1" applyAlignment="1">
      <alignment horizontal="center"/>
    </xf>
    <xf numFmtId="49" fontId="9" fillId="6" borderId="18" xfId="0" applyNumberFormat="1" applyFont="1" applyFill="1" applyBorder="1" applyAlignment="1">
      <alignment horizontal="center"/>
    </xf>
    <xf numFmtId="49" fontId="9" fillId="6" borderId="1" xfId="0" applyNumberFormat="1" applyFont="1" applyFill="1" applyBorder="1" applyAlignment="1">
      <alignment horizontal="center"/>
    </xf>
    <xf numFmtId="49" fontId="9" fillId="6" borderId="0" xfId="0" applyNumberFormat="1" applyFont="1" applyFill="1" applyBorder="1" applyAlignment="1">
      <alignment horizontal="center"/>
    </xf>
    <xf numFmtId="49" fontId="9" fillId="6" borderId="17" xfId="0" applyNumberFormat="1" applyFont="1" applyFill="1" applyBorder="1" applyAlignment="1">
      <alignment horizontal="center"/>
    </xf>
    <xf numFmtId="0" fontId="6" fillId="19" borderId="0" xfId="0" applyFont="1" applyFill="1"/>
    <xf numFmtId="49" fontId="0" fillId="19" borderId="0" xfId="0" applyNumberFormat="1" applyFill="1"/>
    <xf numFmtId="49" fontId="6" fillId="20" borderId="0" xfId="0" applyNumberFormat="1" applyFont="1" applyFill="1" applyAlignment="1"/>
    <xf numFmtId="174" fontId="0" fillId="2" borderId="0" xfId="0" applyNumberFormat="1" applyFill="1" applyAlignment="1"/>
    <xf numFmtId="2" fontId="0" fillId="0" borderId="14" xfId="0" applyNumberFormat="1" applyFill="1" applyBorder="1"/>
    <xf numFmtId="2" fontId="0" fillId="0" borderId="11" xfId="0" applyNumberFormat="1" applyFill="1" applyBorder="1"/>
    <xf numFmtId="2" fontId="16" fillId="0" borderId="11" xfId="0" applyNumberFormat="1" applyFont="1" applyFill="1" applyBorder="1"/>
    <xf numFmtId="2" fontId="16" fillId="0" borderId="0" xfId="0" applyNumberFormat="1" applyFont="1" applyFill="1" applyBorder="1"/>
    <xf numFmtId="2" fontId="16" fillId="0" borderId="17" xfId="0" applyNumberFormat="1" applyFont="1" applyFill="1" applyBorder="1"/>
    <xf numFmtId="2" fontId="16" fillId="0" borderId="18" xfId="0" applyNumberFormat="1" applyFont="1" applyFill="1" applyBorder="1"/>
    <xf numFmtId="2" fontId="16" fillId="0" borderId="1" xfId="0" applyNumberFormat="1" applyFont="1" applyFill="1" applyBorder="1"/>
    <xf numFmtId="2" fontId="16" fillId="0" borderId="19" xfId="0" applyNumberFormat="1" applyFont="1" applyFill="1" applyBorder="1"/>
    <xf numFmtId="49" fontId="16" fillId="0" borderId="11" xfId="0" applyNumberFormat="1" applyFont="1" applyFill="1" applyBorder="1" applyAlignment="1">
      <alignment horizontal="left"/>
    </xf>
    <xf numFmtId="49" fontId="16" fillId="0" borderId="18" xfId="0" applyNumberFormat="1" applyFont="1" applyFill="1" applyBorder="1" applyAlignment="1">
      <alignment horizontal="left"/>
    </xf>
    <xf numFmtId="0" fontId="0" fillId="0" borderId="1" xfId="0" applyFill="1" applyBorder="1" applyAlignment="1"/>
    <xf numFmtId="168" fontId="0" fillId="0" borderId="1" xfId="0" applyNumberFormat="1" applyFill="1" applyBorder="1" applyAlignment="1"/>
    <xf numFmtId="0" fontId="0" fillId="0" borderId="19" xfId="0" applyFill="1" applyBorder="1" applyAlignment="1"/>
    <xf numFmtId="0" fontId="0" fillId="2" borderId="0" xfId="0" applyFont="1" applyFill="1" applyAlignment="1">
      <alignment horizontal="center"/>
    </xf>
    <xf numFmtId="1" fontId="0" fillId="2" borderId="0" xfId="0" applyNumberFormat="1" applyFill="1" applyAlignment="1"/>
    <xf numFmtId="173" fontId="0" fillId="2" borderId="0" xfId="0" applyNumberFormat="1" applyFill="1" applyAlignment="1"/>
    <xf numFmtId="173" fontId="0" fillId="2" borderId="0" xfId="0" applyNumberFormat="1" applyFill="1" applyAlignment="1" applyProtection="1"/>
    <xf numFmtId="173" fontId="32" fillId="9" borderId="15" xfId="0" applyNumberFormat="1" applyFont="1" applyFill="1" applyBorder="1" applyAlignment="1">
      <alignment horizontal="center"/>
    </xf>
    <xf numFmtId="173" fontId="33" fillId="9" borderId="1" xfId="0" applyNumberFormat="1" applyFont="1" applyFill="1" applyBorder="1" applyAlignment="1">
      <alignment horizontal="center"/>
    </xf>
    <xf numFmtId="173" fontId="0" fillId="0" borderId="0" xfId="0" applyNumberFormat="1" applyBorder="1"/>
    <xf numFmtId="0" fontId="21" fillId="9" borderId="14" xfId="0" applyFont="1" applyFill="1" applyBorder="1" applyAlignment="1">
      <alignment horizontal="center"/>
    </xf>
    <xf numFmtId="0" fontId="21" fillId="9" borderId="15" xfId="0" applyFont="1" applyFill="1" applyBorder="1" applyAlignment="1">
      <alignment horizontal="center" wrapText="1"/>
    </xf>
    <xf numFmtId="0" fontId="33" fillId="9" borderId="11" xfId="0" applyFont="1" applyFill="1" applyBorder="1" applyAlignment="1">
      <alignment horizontal="center"/>
    </xf>
    <xf numFmtId="0" fontId="33" fillId="9" borderId="17" xfId="0" applyFont="1" applyFill="1" applyBorder="1" applyAlignment="1">
      <alignment horizontal="center"/>
    </xf>
    <xf numFmtId="0" fontId="4" fillId="0" borderId="11" xfId="0" applyFont="1" applyBorder="1"/>
    <xf numFmtId="167" fontId="0" fillId="21" borderId="19" xfId="0" applyNumberFormat="1" applyFont="1" applyFill="1" applyBorder="1"/>
    <xf numFmtId="3" fontId="0" fillId="0" borderId="0" xfId="0" applyNumberFormat="1" applyBorder="1" applyAlignment="1">
      <alignment horizontal="center"/>
    </xf>
    <xf numFmtId="172" fontId="0" fillId="0" borderId="0" xfId="0" applyNumberFormat="1" applyBorder="1" applyAlignment="1">
      <alignment horizontal="center"/>
    </xf>
    <xf numFmtId="2" fontId="0" fillId="0" borderId="17" xfId="0" applyNumberFormat="1" applyBorder="1" applyAlignment="1">
      <alignment horizontal="center"/>
    </xf>
    <xf numFmtId="3" fontId="0" fillId="0" borderId="1" xfId="0" applyNumberFormat="1" applyBorder="1" applyAlignment="1">
      <alignment horizontal="center"/>
    </xf>
    <xf numFmtId="172" fontId="0" fillId="0" borderId="1" xfId="0" applyNumberFormat="1" applyBorder="1" applyAlignment="1">
      <alignment horizontal="center"/>
    </xf>
    <xf numFmtId="3" fontId="33" fillId="11" borderId="0" xfId="0" applyNumberFormat="1" applyFont="1" applyFill="1" applyBorder="1" applyAlignment="1">
      <alignment horizontal="center"/>
    </xf>
    <xf numFmtId="3" fontId="33" fillId="11" borderId="17" xfId="0" applyNumberFormat="1" applyFont="1" applyFill="1" applyBorder="1" applyAlignment="1">
      <alignment horizontal="center"/>
    </xf>
    <xf numFmtId="0" fontId="0" fillId="0" borderId="1" xfId="0" applyFill="1" applyBorder="1" applyAlignment="1">
      <alignment horizontal="center"/>
    </xf>
    <xf numFmtId="0" fontId="21" fillId="11" borderId="16" xfId="0" applyFont="1" applyFill="1" applyBorder="1" applyAlignment="1">
      <alignment horizontal="center"/>
    </xf>
    <xf numFmtId="0" fontId="21" fillId="4" borderId="16" xfId="0" applyFont="1" applyFill="1" applyBorder="1" applyAlignment="1"/>
    <xf numFmtId="0" fontId="33" fillId="11" borderId="11" xfId="0" applyFont="1" applyFill="1" applyBorder="1" applyAlignment="1">
      <alignment horizontal="center"/>
    </xf>
    <xf numFmtId="0" fontId="21" fillId="4" borderId="14" xfId="0" applyFont="1" applyFill="1" applyBorder="1" applyAlignment="1"/>
    <xf numFmtId="0" fontId="31" fillId="2" borderId="0" xfId="0" applyFont="1" applyFill="1" applyBorder="1" applyAlignment="1" applyProtection="1"/>
    <xf numFmtId="0" fontId="48" fillId="4" borderId="18" xfId="0" applyFont="1" applyFill="1" applyBorder="1" applyAlignment="1">
      <alignment horizontal="center"/>
    </xf>
    <xf numFmtId="0" fontId="48" fillId="4" borderId="19" xfId="0" applyFont="1" applyFill="1" applyBorder="1" applyAlignment="1">
      <alignment horizontal="center"/>
    </xf>
    <xf numFmtId="43" fontId="0" fillId="0" borderId="24" xfId="0" applyNumberFormat="1" applyFont="1" applyFill="1" applyBorder="1" applyAlignment="1"/>
    <xf numFmtId="43" fontId="0" fillId="0" borderId="3" xfId="0" applyNumberFormat="1" applyFont="1" applyFill="1" applyBorder="1" applyAlignment="1"/>
    <xf numFmtId="43" fontId="49" fillId="18" borderId="3" xfId="0" applyNumberFormat="1" applyFont="1" applyFill="1" applyBorder="1" applyAlignment="1"/>
    <xf numFmtId="43" fontId="0" fillId="0" borderId="25" xfId="0" applyNumberFormat="1" applyFont="1" applyFill="1" applyBorder="1" applyAlignment="1"/>
    <xf numFmtId="2" fontId="0" fillId="0" borderId="3" xfId="0" applyNumberFormat="1" applyFill="1" applyBorder="1"/>
    <xf numFmtId="2" fontId="0" fillId="18" borderId="3" xfId="0" applyNumberFormat="1" applyFill="1" applyBorder="1"/>
    <xf numFmtId="2" fontId="0" fillId="0" borderId="25" xfId="0" applyNumberFormat="1" applyFill="1" applyBorder="1"/>
    <xf numFmtId="0" fontId="0" fillId="18" borderId="0" xfId="0" applyFill="1" applyBorder="1"/>
    <xf numFmtId="0" fontId="21" fillId="20" borderId="16" xfId="0" applyFont="1" applyFill="1" applyBorder="1" applyAlignment="1">
      <alignment horizontal="center"/>
    </xf>
    <xf numFmtId="0" fontId="33" fillId="20" borderId="19" xfId="0" applyFont="1" applyFill="1" applyBorder="1" applyAlignment="1">
      <alignment horizontal="center"/>
    </xf>
    <xf numFmtId="2" fontId="0" fillId="0" borderId="24" xfId="0" applyNumberFormat="1" applyFill="1" applyBorder="1"/>
    <xf numFmtId="0" fontId="32" fillId="11" borderId="15" xfId="0" applyFont="1" applyFill="1" applyBorder="1" applyAlignment="1">
      <alignment horizontal="center"/>
    </xf>
    <xf numFmtId="0" fontId="32" fillId="11" borderId="16" xfId="0" applyFont="1" applyFill="1" applyBorder="1" applyAlignment="1">
      <alignment horizontal="center"/>
    </xf>
    <xf numFmtId="0" fontId="0" fillId="11" borderId="1" xfId="0" applyFill="1" applyBorder="1"/>
    <xf numFmtId="0" fontId="48" fillId="11" borderId="18" xfId="0" applyFont="1" applyFill="1" applyBorder="1"/>
    <xf numFmtId="0" fontId="48" fillId="11" borderId="1" xfId="0" applyFont="1" applyFill="1" applyBorder="1"/>
    <xf numFmtId="0" fontId="51" fillId="11" borderId="1" xfId="0" applyFont="1" applyFill="1" applyBorder="1" applyAlignment="1">
      <alignment horizontal="center"/>
    </xf>
    <xf numFmtId="0" fontId="51" fillId="11" borderId="19" xfId="0" applyFont="1" applyFill="1" applyBorder="1" applyAlignment="1">
      <alignment horizontal="center"/>
    </xf>
    <xf numFmtId="0" fontId="4" fillId="0" borderId="11" xfId="0" applyFont="1" applyFill="1" applyBorder="1"/>
    <xf numFmtId="0" fontId="47" fillId="11" borderId="18" xfId="0" applyFont="1" applyFill="1" applyBorder="1" applyAlignment="1">
      <alignment horizontal="center"/>
    </xf>
    <xf numFmtId="0" fontId="47" fillId="11" borderId="1" xfId="0" applyFont="1" applyFill="1" applyBorder="1" applyAlignment="1">
      <alignment horizontal="center"/>
    </xf>
    <xf numFmtId="0" fontId="47" fillId="11" borderId="19" xfId="0" applyFont="1" applyFill="1" applyBorder="1" applyAlignment="1">
      <alignment horizontal="center"/>
    </xf>
    <xf numFmtId="2" fontId="0" fillId="0" borderId="18" xfId="0" applyNumberFormat="1" applyFill="1" applyBorder="1"/>
    <xf numFmtId="2" fontId="21" fillId="11" borderId="14" xfId="0" applyNumberFormat="1" applyFont="1" applyFill="1" applyBorder="1" applyAlignment="1">
      <alignment horizontal="center"/>
    </xf>
    <xf numFmtId="2" fontId="21" fillId="11" borderId="15" xfId="0" applyNumberFormat="1" applyFont="1" applyFill="1" applyBorder="1" applyAlignment="1">
      <alignment horizontal="center"/>
    </xf>
    <xf numFmtId="2" fontId="21" fillId="11" borderId="16" xfId="0" applyNumberFormat="1" applyFont="1" applyFill="1" applyBorder="1" applyAlignment="1">
      <alignment horizontal="center"/>
    </xf>
    <xf numFmtId="2" fontId="47" fillId="11" borderId="18" xfId="0" applyNumberFormat="1" applyFont="1" applyFill="1" applyBorder="1" applyAlignment="1">
      <alignment horizontal="center"/>
    </xf>
    <xf numFmtId="2" fontId="47" fillId="11" borderId="1" xfId="0" applyNumberFormat="1" applyFont="1" applyFill="1" applyBorder="1" applyAlignment="1">
      <alignment horizontal="center"/>
    </xf>
    <xf numFmtId="2" fontId="47" fillId="11" borderId="19" xfId="0" applyNumberFormat="1" applyFont="1" applyFill="1" applyBorder="1" applyAlignment="1">
      <alignment horizontal="center"/>
    </xf>
    <xf numFmtId="0" fontId="47" fillId="11" borderId="0" xfId="0" applyFont="1" applyFill="1" applyBorder="1" applyAlignment="1">
      <alignment horizontal="center"/>
    </xf>
    <xf numFmtId="0" fontId="47" fillId="11" borderId="11" xfId="0" applyFont="1" applyFill="1" applyBorder="1" applyAlignment="1">
      <alignment horizontal="center"/>
    </xf>
    <xf numFmtId="0" fontId="4" fillId="0" borderId="0" xfId="0" applyFont="1" applyFill="1" applyBorder="1"/>
    <xf numFmtId="0" fontId="4" fillId="0" borderId="1" xfId="0" applyFont="1" applyFill="1" applyBorder="1"/>
    <xf numFmtId="0" fontId="51" fillId="11" borderId="1" xfId="0" applyFont="1" applyFill="1" applyBorder="1" applyAlignment="1">
      <alignment horizontal="center"/>
    </xf>
    <xf numFmtId="0" fontId="51" fillId="11" borderId="19" xfId="0" applyFont="1" applyFill="1" applyBorder="1" applyAlignment="1">
      <alignment horizontal="center"/>
    </xf>
    <xf numFmtId="0" fontId="47" fillId="11" borderId="17" xfId="0" applyFont="1" applyFill="1" applyBorder="1" applyAlignment="1">
      <alignment horizontal="center"/>
    </xf>
    <xf numFmtId="0" fontId="21" fillId="20" borderId="14" xfId="0" applyFont="1" applyFill="1" applyBorder="1" applyAlignment="1">
      <alignment horizontal="center"/>
    </xf>
    <xf numFmtId="0" fontId="33" fillId="20" borderId="11" xfId="0" applyFont="1" applyFill="1" applyBorder="1" applyAlignment="1">
      <alignment horizontal="center"/>
    </xf>
    <xf numFmtId="0" fontId="33" fillId="20" borderId="17" xfId="0" applyFont="1" applyFill="1" applyBorder="1" applyAlignment="1">
      <alignment horizontal="center"/>
    </xf>
    <xf numFmtId="0" fontId="6" fillId="0" borderId="11" xfId="0" applyFont="1" applyFill="1" applyBorder="1"/>
    <xf numFmtId="0" fontId="6" fillId="0" borderId="18" xfId="0" applyFont="1" applyFill="1" applyBorder="1" applyAlignment="1"/>
    <xf numFmtId="0" fontId="0" fillId="11" borderId="19" xfId="0" applyFill="1" applyBorder="1"/>
    <xf numFmtId="0" fontId="21" fillId="9" borderId="15" xfId="0" applyFont="1" applyFill="1" applyBorder="1" applyAlignment="1">
      <alignment horizontal="center"/>
    </xf>
    <xf numFmtId="2" fontId="21" fillId="9" borderId="16" xfId="0" applyNumberFormat="1" applyFont="1" applyFill="1" applyBorder="1" applyAlignment="1">
      <alignment horizontal="center"/>
    </xf>
    <xf numFmtId="0" fontId="33" fillId="9" borderId="11" xfId="0" applyFont="1" applyFill="1" applyBorder="1" applyAlignment="1">
      <alignment horizontal="center" vertical="center"/>
    </xf>
    <xf numFmtId="0" fontId="33" fillId="9" borderId="0" xfId="0" applyFont="1" applyFill="1" applyBorder="1" applyAlignment="1">
      <alignment horizontal="center" vertical="center"/>
    </xf>
    <xf numFmtId="2" fontId="33" fillId="9" borderId="17" xfId="0" applyNumberFormat="1" applyFont="1" applyFill="1" applyBorder="1" applyAlignment="1">
      <alignment horizontal="center" vertical="center"/>
    </xf>
    <xf numFmtId="49" fontId="6" fillId="20" borderId="15" xfId="0" applyNumberFormat="1" applyFont="1" applyFill="1" applyBorder="1" applyAlignment="1">
      <alignment horizontal="center"/>
    </xf>
    <xf numFmtId="49" fontId="9" fillId="20" borderId="1" xfId="0" applyNumberFormat="1" applyFont="1" applyFill="1" applyBorder="1" applyAlignment="1">
      <alignment horizontal="center"/>
    </xf>
    <xf numFmtId="49" fontId="6" fillId="20" borderId="16" xfId="0" applyNumberFormat="1" applyFont="1" applyFill="1" applyBorder="1" applyAlignment="1">
      <alignment horizontal="center"/>
    </xf>
    <xf numFmtId="49" fontId="9" fillId="20" borderId="19" xfId="0" applyNumberFormat="1" applyFont="1" applyFill="1" applyBorder="1" applyAlignment="1">
      <alignment horizontal="center"/>
    </xf>
    <xf numFmtId="167" fontId="0" fillId="0" borderId="21" xfId="0" applyNumberFormat="1" applyFont="1" applyFill="1" applyBorder="1"/>
    <xf numFmtId="0" fontId="9" fillId="6" borderId="0" xfId="0" applyFont="1" applyFill="1" applyBorder="1" applyAlignment="1">
      <alignment horizontal="center"/>
    </xf>
    <xf numFmtId="0" fontId="9" fillId="6" borderId="17" xfId="0" applyFont="1" applyFill="1" applyBorder="1" applyAlignment="1">
      <alignment horizontal="center"/>
    </xf>
    <xf numFmtId="1" fontId="0" fillId="0" borderId="0" xfId="0" applyNumberFormat="1" applyFill="1" applyBorder="1"/>
    <xf numFmtId="0" fontId="9" fillId="6" borderId="11" xfId="0" applyNumberFormat="1" applyFont="1" applyFill="1" applyBorder="1" applyAlignment="1">
      <alignment horizontal="center"/>
    </xf>
    <xf numFmtId="0" fontId="9" fillId="6" borderId="0" xfId="0" applyNumberFormat="1" applyFont="1" applyFill="1" applyBorder="1" applyAlignment="1">
      <alignment horizontal="center"/>
    </xf>
    <xf numFmtId="1" fontId="0" fillId="0" borderId="15" xfId="0" applyNumberFormat="1" applyFill="1" applyBorder="1"/>
    <xf numFmtId="1" fontId="0" fillId="0" borderId="1" xfId="0" applyNumberFormat="1" applyFill="1" applyBorder="1"/>
    <xf numFmtId="0" fontId="6" fillId="20" borderId="15" xfId="0" applyFont="1" applyFill="1" applyBorder="1" applyAlignment="1">
      <alignment horizontal="center"/>
    </xf>
    <xf numFmtId="0" fontId="6" fillId="20" borderId="1" xfId="0" applyFont="1" applyFill="1" applyBorder="1" applyAlignment="1">
      <alignment horizontal="center"/>
    </xf>
    <xf numFmtId="2" fontId="0" fillId="0" borderId="0" xfId="0" applyNumberFormat="1" applyFill="1" applyBorder="1" applyAlignment="1">
      <alignment horizontal="center"/>
    </xf>
    <xf numFmtId="2" fontId="0" fillId="0" borderId="1" xfId="0" applyNumberFormat="1" applyFill="1" applyBorder="1" applyAlignment="1">
      <alignment horizontal="center"/>
    </xf>
    <xf numFmtId="0" fontId="6" fillId="20" borderId="14" xfId="0" applyFont="1" applyFill="1" applyBorder="1"/>
    <xf numFmtId="0" fontId="52" fillId="2" borderId="0" xfId="0" applyFont="1" applyFill="1"/>
    <xf numFmtId="0" fontId="4" fillId="22" borderId="0" xfId="0" applyFont="1" applyFill="1" applyBorder="1"/>
    <xf numFmtId="0" fontId="4" fillId="6" borderId="0" xfId="0" applyFont="1" applyFill="1" applyBorder="1"/>
    <xf numFmtId="0" fontId="4" fillId="23" borderId="0" xfId="0" applyFont="1" applyFill="1" applyBorder="1"/>
    <xf numFmtId="0" fontId="0" fillId="0" borderId="0" xfId="0"/>
    <xf numFmtId="0" fontId="0" fillId="0" borderId="0" xfId="0"/>
    <xf numFmtId="0" fontId="32" fillId="9" borderId="14" xfId="0" applyFont="1" applyFill="1" applyBorder="1" applyAlignment="1" applyProtection="1">
      <alignment horizontal="center"/>
    </xf>
    <xf numFmtId="2" fontId="9" fillId="0" borderId="15" xfId="0" applyNumberFormat="1" applyFont="1" applyBorder="1" applyAlignment="1">
      <alignment horizontal="center" vertical="center"/>
    </xf>
    <xf numFmtId="0" fontId="0" fillId="0" borderId="18" xfId="0" applyFill="1" applyBorder="1" applyAlignment="1">
      <alignment horizontal="left"/>
    </xf>
    <xf numFmtId="167" fontId="0" fillId="0" borderId="19" xfId="0" applyNumberFormat="1" applyFont="1" applyFill="1" applyBorder="1" applyAlignment="1">
      <alignment horizontal="center"/>
    </xf>
    <xf numFmtId="0" fontId="21" fillId="9" borderId="16" xfId="0" applyFont="1" applyFill="1" applyBorder="1" applyAlignment="1">
      <alignment horizontal="center" wrapText="1"/>
    </xf>
    <xf numFmtId="0" fontId="4" fillId="0" borderId="14" xfId="0" applyFont="1" applyFill="1" applyBorder="1"/>
    <xf numFmtId="0" fontId="4" fillId="0" borderId="18" xfId="0" applyFont="1" applyFill="1" applyBorder="1"/>
    <xf numFmtId="167" fontId="0" fillId="0" borderId="17" xfId="0" applyNumberFormat="1" applyFill="1" applyBorder="1"/>
    <xf numFmtId="49" fontId="36" fillId="4" borderId="0" xfId="0" applyNumberFormat="1" applyFont="1" applyFill="1" applyBorder="1" applyAlignment="1">
      <alignment horizontal="center"/>
    </xf>
    <xf numFmtId="49" fontId="36" fillId="6" borderId="11" xfId="0" applyNumberFormat="1" applyFont="1" applyFill="1" applyBorder="1" applyAlignment="1">
      <alignment horizontal="center"/>
    </xf>
    <xf numFmtId="49" fontId="36" fillId="6" borderId="0" xfId="0" applyNumberFormat="1" applyFont="1" applyFill="1" applyBorder="1" applyAlignment="1">
      <alignment horizontal="center"/>
    </xf>
    <xf numFmtId="0" fontId="36" fillId="13" borderId="11" xfId="0" applyNumberFormat="1" applyFont="1" applyFill="1" applyBorder="1" applyAlignment="1">
      <alignment horizontal="center"/>
    </xf>
    <xf numFmtId="0" fontId="36" fillId="6" borderId="17" xfId="0" applyFont="1" applyFill="1" applyBorder="1" applyAlignment="1">
      <alignment horizontal="center"/>
    </xf>
    <xf numFmtId="0" fontId="36" fillId="6" borderId="0" xfId="0" applyFont="1" applyFill="1" applyBorder="1" applyAlignment="1">
      <alignment horizontal="center"/>
    </xf>
    <xf numFmtId="43" fontId="0" fillId="0" borderId="19" xfId="0" applyNumberFormat="1" applyFont="1" applyBorder="1"/>
    <xf numFmtId="43" fontId="0" fillId="0" borderId="19" xfId="0" applyNumberFormat="1" applyFill="1" applyBorder="1"/>
    <xf numFmtId="0" fontId="0" fillId="0" borderId="16" xfId="0" applyFont="1" applyFill="1" applyBorder="1"/>
    <xf numFmtId="2" fontId="0" fillId="0" borderId="19" xfId="0" applyNumberFormat="1" applyFill="1" applyBorder="1" applyAlignment="1"/>
    <xf numFmtId="3" fontId="0" fillId="0" borderId="17" xfId="0" applyNumberFormat="1" applyFill="1" applyBorder="1" applyAlignment="1"/>
    <xf numFmtId="0" fontId="6" fillId="0" borderId="14" xfId="0" applyFont="1" applyFill="1" applyBorder="1"/>
    <xf numFmtId="2" fontId="0" fillId="32" borderId="0" xfId="0" applyNumberFormat="1" applyFill="1" applyBorder="1"/>
    <xf numFmtId="3" fontId="0" fillId="32" borderId="0" xfId="0" applyNumberFormat="1" applyFill="1" applyBorder="1"/>
    <xf numFmtId="164" fontId="0" fillId="32" borderId="0" xfId="0" applyNumberFormat="1" applyFill="1" applyBorder="1"/>
    <xf numFmtId="0" fontId="21" fillId="32" borderId="0" xfId="0" applyFont="1" applyFill="1" applyBorder="1" applyAlignment="1">
      <alignment horizontal="center"/>
    </xf>
    <xf numFmtId="0" fontId="0" fillId="32" borderId="0" xfId="0" applyFill="1" applyBorder="1" applyAlignment="1"/>
    <xf numFmtId="0" fontId="33" fillId="32" borderId="0" xfId="0" applyFont="1" applyFill="1" applyBorder="1" applyAlignment="1">
      <alignment horizontal="center"/>
    </xf>
    <xf numFmtId="2" fontId="9" fillId="15" borderId="1" xfId="0" applyNumberFormat="1" applyFont="1" applyFill="1" applyBorder="1" applyAlignment="1">
      <alignment horizontal="center"/>
    </xf>
    <xf numFmtId="172" fontId="0" fillId="0" borderId="15" xfId="0" applyNumberFormat="1" applyFill="1" applyBorder="1"/>
    <xf numFmtId="172" fontId="0" fillId="0" borderId="0" xfId="0" applyNumberFormat="1" applyFill="1" applyBorder="1"/>
    <xf numFmtId="172" fontId="0" fillId="0" borderId="1" xfId="0" applyNumberFormat="1" applyFill="1" applyBorder="1"/>
    <xf numFmtId="11" fontId="0" fillId="0" borderId="15" xfId="0" applyNumberFormat="1" applyBorder="1"/>
    <xf numFmtId="11" fontId="0" fillId="0" borderId="0" xfId="0" applyNumberFormat="1" applyBorder="1"/>
    <xf numFmtId="11" fontId="0" fillId="0" borderId="1" xfId="0" applyNumberFormat="1" applyBorder="1"/>
    <xf numFmtId="0" fontId="64" fillId="0" borderId="2" xfId="0" applyFont="1" applyBorder="1" applyAlignment="1"/>
    <xf numFmtId="0" fontId="4" fillId="0" borderId="2" xfId="0" applyFont="1" applyBorder="1" applyAlignment="1"/>
    <xf numFmtId="0" fontId="4" fillId="0" borderId="14" xfId="0" applyFont="1" applyFill="1" applyBorder="1" applyAlignment="1"/>
    <xf numFmtId="0" fontId="4" fillId="0" borderId="18" xfId="0" applyFont="1" applyFill="1" applyBorder="1" applyAlignment="1"/>
    <xf numFmtId="3" fontId="4" fillId="0" borderId="2" xfId="0" applyNumberFormat="1" applyFont="1" applyBorder="1" applyAlignment="1"/>
    <xf numFmtId="49" fontId="9" fillId="4" borderId="1" xfId="0" applyNumberFormat="1" applyFont="1" applyFill="1" applyBorder="1" applyAlignment="1">
      <alignment horizontal="center"/>
    </xf>
    <xf numFmtId="2" fontId="0" fillId="0" borderId="0" xfId="0" applyNumberFormat="1" applyBorder="1"/>
    <xf numFmtId="49" fontId="6" fillId="34" borderId="16" xfId="0" applyNumberFormat="1" applyFont="1" applyFill="1" applyBorder="1" applyAlignment="1">
      <alignment horizontal="center"/>
    </xf>
    <xf numFmtId="0" fontId="4" fillId="2" borderId="0" xfId="0" applyFont="1" applyFill="1"/>
    <xf numFmtId="0" fontId="0" fillId="32" borderId="0" xfId="0" applyFill="1" applyAlignment="1"/>
    <xf numFmtId="0" fontId="38" fillId="32" borderId="0" xfId="0" applyFont="1" applyFill="1" applyAlignment="1" applyProtection="1"/>
    <xf numFmtId="0" fontId="31" fillId="32" borderId="0" xfId="0" applyFont="1" applyFill="1" applyAlignment="1" applyProtection="1"/>
    <xf numFmtId="0" fontId="0" fillId="32" borderId="0" xfId="0" applyFill="1"/>
    <xf numFmtId="0" fontId="6" fillId="32" borderId="0" xfId="0" applyFont="1" applyFill="1"/>
    <xf numFmtId="0" fontId="16" fillId="32" borderId="0" xfId="0" applyFont="1" applyFill="1"/>
    <xf numFmtId="0" fontId="0" fillId="32" borderId="0" xfId="0" applyNumberFormat="1" applyFill="1"/>
    <xf numFmtId="0" fontId="4" fillId="32" borderId="0" xfId="0" applyFont="1" applyFill="1"/>
    <xf numFmtId="0" fontId="6" fillId="32" borderId="0" xfId="0" applyFont="1" applyFill="1" applyAlignment="1"/>
    <xf numFmtId="0" fontId="53" fillId="32" borderId="0" xfId="0" applyFont="1" applyFill="1"/>
    <xf numFmtId="0" fontId="9" fillId="32" borderId="0" xfId="0" applyFont="1" applyFill="1"/>
    <xf numFmtId="49" fontId="6" fillId="15" borderId="16" xfId="0" applyNumberFormat="1" applyFont="1" applyFill="1" applyBorder="1" applyAlignment="1">
      <alignment horizontal="center"/>
    </xf>
    <xf numFmtId="0" fontId="4" fillId="0" borderId="15" xfId="0" applyFont="1" applyFill="1" applyBorder="1"/>
    <xf numFmtId="2" fontId="0" fillId="32" borderId="0" xfId="0" applyNumberFormat="1" applyFill="1"/>
    <xf numFmtId="0" fontId="0" fillId="0" borderId="11" xfId="0" applyFill="1" applyBorder="1"/>
    <xf numFmtId="0" fontId="9" fillId="15" borderId="18" xfId="0" applyFont="1" applyFill="1" applyBorder="1" applyAlignment="1">
      <alignment horizontal="center"/>
    </xf>
    <xf numFmtId="0" fontId="65" fillId="2" borderId="0" xfId="0" applyFont="1" applyFill="1" applyAlignment="1" applyProtection="1"/>
    <xf numFmtId="0" fontId="0" fillId="24" borderId="0" xfId="0" applyFill="1" applyBorder="1"/>
    <xf numFmtId="0" fontId="0" fillId="24" borderId="0" xfId="0" applyFill="1"/>
    <xf numFmtId="0" fontId="6" fillId="24" borderId="0" xfId="0" applyFont="1" applyFill="1"/>
    <xf numFmtId="0" fontId="6" fillId="24" borderId="0" xfId="0" applyFont="1" applyFill="1"/>
    <xf numFmtId="0" fontId="6" fillId="20" borderId="14" xfId="0" applyFont="1" applyFill="1" applyBorder="1" applyAlignment="1">
      <alignment horizontal="center"/>
    </xf>
    <xf numFmtId="0" fontId="6" fillId="20" borderId="11" xfId="0" applyFont="1" applyFill="1" applyBorder="1" applyAlignment="1">
      <alignment horizontal="center"/>
    </xf>
    <xf numFmtId="0" fontId="6" fillId="2" borderId="0" xfId="0" applyFont="1" applyFill="1" applyAlignment="1">
      <alignment vertical="top"/>
    </xf>
    <xf numFmtId="0" fontId="0" fillId="24" borderId="0" xfId="0" applyFill="1"/>
    <xf numFmtId="0" fontId="0" fillId="24" borderId="0" xfId="0" applyFill="1" applyAlignment="1"/>
    <xf numFmtId="0" fontId="0" fillId="24" borderId="0" xfId="0" applyFill="1" applyAlignment="1">
      <alignment wrapText="1"/>
    </xf>
    <xf numFmtId="0" fontId="0" fillId="24" borderId="0" xfId="0" applyFill="1" applyAlignment="1">
      <alignment wrapText="1"/>
    </xf>
    <xf numFmtId="0" fontId="9" fillId="24" borderId="0" xfId="0" applyFont="1" applyFill="1" applyAlignment="1">
      <alignment horizontal="center" wrapText="1"/>
    </xf>
    <xf numFmtId="0" fontId="6" fillId="24" borderId="0" xfId="0" applyFont="1" applyFill="1" applyAlignment="1">
      <alignment wrapText="1"/>
    </xf>
    <xf numFmtId="0" fontId="4" fillId="24" borderId="0" xfId="0" applyFont="1" applyFill="1" applyAlignment="1">
      <alignment wrapText="1"/>
    </xf>
    <xf numFmtId="2" fontId="0" fillId="24" borderId="0" xfId="0" applyNumberFormat="1" applyFill="1"/>
    <xf numFmtId="0" fontId="55" fillId="24" borderId="0" xfId="0" applyFont="1" applyFill="1" applyBorder="1" applyAlignment="1">
      <alignment horizontal="center" wrapText="1"/>
    </xf>
    <xf numFmtId="0" fontId="0" fillId="24" borderId="0" xfId="0" applyFill="1" applyAlignment="1"/>
    <xf numFmtId="0" fontId="0" fillId="24" borderId="0" xfId="0" applyFill="1" applyAlignment="1" applyProtection="1"/>
    <xf numFmtId="0" fontId="66" fillId="0" borderId="0" xfId="0" applyFont="1" applyBorder="1"/>
    <xf numFmtId="2" fontId="66" fillId="0" borderId="0" xfId="0" applyNumberFormat="1" applyFont="1" applyBorder="1"/>
    <xf numFmtId="0" fontId="66" fillId="0" borderId="11" xfId="0" applyFont="1" applyBorder="1"/>
    <xf numFmtId="2" fontId="66" fillId="0" borderId="17" xfId="0" applyNumberFormat="1" applyFont="1" applyBorder="1"/>
    <xf numFmtId="0" fontId="0" fillId="0" borderId="17" xfId="0" applyBorder="1"/>
    <xf numFmtId="0" fontId="66" fillId="0" borderId="17" xfId="0" applyFont="1" applyBorder="1"/>
    <xf numFmtId="0" fontId="66" fillId="0" borderId="18" xfId="0" applyFont="1" applyBorder="1"/>
    <xf numFmtId="0" fontId="66" fillId="0" borderId="1" xfId="0" applyFont="1" applyBorder="1"/>
    <xf numFmtId="2" fontId="66" fillId="0" borderId="1" xfId="0" applyNumberFormat="1" applyFont="1" applyBorder="1"/>
    <xf numFmtId="0" fontId="66" fillId="0" borderId="19" xfId="0" applyFont="1" applyBorder="1"/>
    <xf numFmtId="3" fontId="0" fillId="0" borderId="15" xfId="0" applyNumberFormat="1" applyBorder="1" applyAlignment="1">
      <alignment horizontal="center"/>
    </xf>
    <xf numFmtId="172" fontId="0" fillId="0" borderId="15" xfId="0" applyNumberFormat="1" applyBorder="1" applyAlignment="1">
      <alignment horizontal="center"/>
    </xf>
    <xf numFmtId="0" fontId="6" fillId="20" borderId="0" xfId="0" applyFont="1" applyFill="1" applyBorder="1" applyAlignment="1">
      <alignment horizontal="center"/>
    </xf>
    <xf numFmtId="0" fontId="6" fillId="20" borderId="16" xfId="0" applyFont="1" applyFill="1" applyBorder="1" applyAlignment="1">
      <alignment horizontal="center"/>
    </xf>
    <xf numFmtId="0" fontId="6" fillId="20" borderId="18" xfId="0" applyFont="1" applyFill="1" applyBorder="1" applyAlignment="1">
      <alignment horizontal="center"/>
    </xf>
    <xf numFmtId="0" fontId="6" fillId="20" borderId="19" xfId="0" applyFont="1" applyFill="1" applyBorder="1" applyAlignment="1">
      <alignment horizontal="center"/>
    </xf>
    <xf numFmtId="0" fontId="6" fillId="20" borderId="17" xfId="0" applyFont="1" applyFill="1" applyBorder="1" applyAlignment="1">
      <alignment horizontal="center"/>
    </xf>
    <xf numFmtId="0" fontId="16" fillId="35" borderId="18" xfId="0" applyFont="1" applyFill="1" applyBorder="1"/>
    <xf numFmtId="0" fontId="9" fillId="6" borderId="11" xfId="0" applyFont="1" applyFill="1" applyBorder="1" applyAlignment="1">
      <alignment horizontal="center"/>
    </xf>
    <xf numFmtId="0" fontId="67" fillId="20" borderId="11" xfId="0" applyFont="1" applyFill="1" applyBorder="1"/>
    <xf numFmtId="0" fontId="67" fillId="6" borderId="0" xfId="0" applyFont="1" applyFill="1" applyBorder="1" applyAlignment="1">
      <alignment horizontal="center"/>
    </xf>
    <xf numFmtId="0" fontId="67" fillId="6" borderId="17" xfId="0" applyFont="1" applyFill="1" applyBorder="1" applyAlignment="1">
      <alignment horizontal="center"/>
    </xf>
    <xf numFmtId="0" fontId="67" fillId="20" borderId="18" xfId="0" applyFont="1" applyFill="1" applyBorder="1" applyAlignment="1">
      <alignment horizontal="center"/>
    </xf>
    <xf numFmtId="0" fontId="67" fillId="20" borderId="1" xfId="0" applyFont="1" applyFill="1" applyBorder="1" applyAlignment="1">
      <alignment horizontal="center"/>
    </xf>
    <xf numFmtId="0" fontId="67" fillId="20" borderId="19" xfId="0" applyFont="1" applyFill="1" applyBorder="1" applyAlignment="1">
      <alignment horizontal="center"/>
    </xf>
    <xf numFmtId="49" fontId="9" fillId="13" borderId="0" xfId="0" applyNumberFormat="1" applyFont="1" applyFill="1" applyBorder="1" applyAlignment="1">
      <alignment horizontal="center"/>
    </xf>
    <xf numFmtId="0" fontId="21" fillId="9" borderId="16" xfId="0" applyFont="1" applyFill="1" applyBorder="1" applyAlignment="1">
      <alignment horizontal="center"/>
    </xf>
    <xf numFmtId="0" fontId="4" fillId="0" borderId="3" xfId="0" applyFont="1" applyFill="1" applyBorder="1"/>
    <xf numFmtId="49" fontId="4" fillId="0" borderId="11" xfId="0" applyNumberFormat="1" applyFont="1" applyBorder="1"/>
    <xf numFmtId="49" fontId="4" fillId="0" borderId="18" xfId="0" applyNumberFormat="1" applyFont="1" applyBorder="1"/>
    <xf numFmtId="0" fontId="4" fillId="0" borderId="14" xfId="0" applyFont="1" applyBorder="1"/>
    <xf numFmtId="0" fontId="4" fillId="0" borderId="21" xfId="0" applyFont="1" applyFill="1" applyBorder="1"/>
    <xf numFmtId="2" fontId="68" fillId="0" borderId="0" xfId="0" applyNumberFormat="1" applyFont="1" applyBorder="1"/>
    <xf numFmtId="3" fontId="68" fillId="0" borderId="17" xfId="0" applyNumberFormat="1" applyFont="1" applyBorder="1"/>
    <xf numFmtId="2" fontId="68" fillId="0" borderId="1" xfId="0" applyNumberFormat="1" applyFont="1" applyBorder="1"/>
    <xf numFmtId="3" fontId="68" fillId="0" borderId="19" xfId="0" applyNumberFormat="1" applyFont="1" applyBorder="1"/>
    <xf numFmtId="0" fontId="4" fillId="0" borderId="19" xfId="0" applyFont="1" applyBorder="1" applyAlignment="1">
      <alignment horizontal="center"/>
    </xf>
    <xf numFmtId="0" fontId="4" fillId="0" borderId="17" xfId="0" applyFont="1" applyBorder="1" applyAlignment="1">
      <alignment horizontal="center"/>
    </xf>
    <xf numFmtId="0" fontId="4" fillId="0" borderId="16" xfId="0" applyFont="1" applyBorder="1" applyAlignment="1">
      <alignment horizontal="center"/>
    </xf>
    <xf numFmtId="0" fontId="6" fillId="0" borderId="18" xfId="0" applyFont="1" applyFill="1" applyBorder="1"/>
    <xf numFmtId="9" fontId="4" fillId="0" borderId="0" xfId="0" applyNumberFormat="1" applyFont="1" applyFill="1" applyBorder="1"/>
    <xf numFmtId="3" fontId="0" fillId="8" borderId="3" xfId="0" applyNumberFormat="1" applyFill="1" applyBorder="1"/>
    <xf numFmtId="167" fontId="0" fillId="36" borderId="1" xfId="0" applyNumberFormat="1" applyFont="1" applyFill="1" applyBorder="1"/>
    <xf numFmtId="49" fontId="16" fillId="0" borderId="20" xfId="0" applyNumberFormat="1" applyFont="1" applyBorder="1"/>
    <xf numFmtId="49" fontId="16" fillId="0" borderId="21" xfId="0" applyNumberFormat="1" applyFont="1" applyBorder="1"/>
    <xf numFmtId="49" fontId="16" fillId="0" borderId="21" xfId="0" applyNumberFormat="1" applyFont="1" applyFill="1" applyBorder="1"/>
    <xf numFmtId="0" fontId="16" fillId="0" borderId="21" xfId="0" applyNumberFormat="1" applyFont="1" applyBorder="1"/>
    <xf numFmtId="167" fontId="16" fillId="0" borderId="21" xfId="0" applyNumberFormat="1" applyFont="1" applyBorder="1"/>
    <xf numFmtId="167" fontId="16" fillId="0" borderId="22" xfId="0" applyNumberFormat="1" applyFont="1" applyFill="1" applyBorder="1"/>
    <xf numFmtId="0" fontId="6" fillId="0" borderId="20" xfId="0" applyFont="1" applyBorder="1"/>
    <xf numFmtId="167" fontId="0" fillId="0" borderId="21" xfId="0" applyNumberFormat="1" applyFont="1" applyBorder="1"/>
    <xf numFmtId="167" fontId="0" fillId="0" borderId="22" xfId="0" applyNumberFormat="1" applyFont="1" applyBorder="1"/>
    <xf numFmtId="0" fontId="21" fillId="11" borderId="15" xfId="0" applyNumberFormat="1" applyFont="1" applyFill="1" applyBorder="1" applyAlignment="1">
      <alignment horizontal="center"/>
    </xf>
    <xf numFmtId="0" fontId="21" fillId="11" borderId="15" xfId="0" applyFont="1" applyFill="1" applyBorder="1" applyAlignment="1">
      <alignment horizontal="center"/>
    </xf>
    <xf numFmtId="0" fontId="33" fillId="11" borderId="0" xfId="0" applyFont="1" applyFill="1" applyBorder="1" applyAlignment="1">
      <alignment horizontal="center"/>
    </xf>
    <xf numFmtId="0" fontId="33" fillId="11" borderId="1" xfId="0" applyFont="1" applyFill="1" applyBorder="1" applyAlignment="1">
      <alignment horizontal="center"/>
    </xf>
    <xf numFmtId="0" fontId="33" fillId="11" borderId="17" xfId="0" applyFont="1" applyFill="1" applyBorder="1" applyAlignment="1">
      <alignment horizontal="center"/>
    </xf>
    <xf numFmtId="0" fontId="0" fillId="0" borderId="15" xfId="0" applyFill="1" applyBorder="1"/>
    <xf numFmtId="0" fontId="0" fillId="0" borderId="15" xfId="0" applyNumberFormat="1" applyFill="1" applyBorder="1"/>
    <xf numFmtId="0" fontId="0" fillId="0" borderId="0" xfId="0" applyFill="1" applyBorder="1"/>
    <xf numFmtId="0" fontId="0" fillId="0" borderId="1" xfId="0" applyFill="1" applyBorder="1"/>
    <xf numFmtId="0" fontId="21" fillId="11" borderId="16" xfId="0" applyFont="1" applyFill="1" applyBorder="1" applyAlignment="1">
      <alignment horizontal="center"/>
    </xf>
    <xf numFmtId="0" fontId="0" fillId="0" borderId="15" xfId="0" applyFill="1" applyBorder="1" applyAlignment="1">
      <alignment horizontal="left" indent="4"/>
    </xf>
    <xf numFmtId="0" fontId="0" fillId="0" borderId="15" xfId="0" applyFill="1" applyBorder="1" applyAlignment="1">
      <alignment horizontal="left"/>
    </xf>
    <xf numFmtId="0" fontId="0" fillId="0" borderId="0" xfId="0" applyFill="1" applyBorder="1" applyAlignment="1">
      <alignment horizontal="left" indent="4"/>
    </xf>
    <xf numFmtId="0" fontId="0" fillId="0" borderId="0" xfId="0" applyFill="1" applyBorder="1" applyAlignment="1">
      <alignment horizontal="left"/>
    </xf>
    <xf numFmtId="0" fontId="0" fillId="0" borderId="1" xfId="0" applyFill="1" applyBorder="1" applyAlignment="1">
      <alignment horizontal="left" indent="4"/>
    </xf>
    <xf numFmtId="0" fontId="0" fillId="0" borderId="1" xfId="0" applyFill="1" applyBorder="1" applyAlignment="1">
      <alignment horizontal="left"/>
    </xf>
    <xf numFmtId="2" fontId="0" fillId="0" borderId="22" xfId="0" applyNumberFormat="1" applyFill="1" applyBorder="1"/>
    <xf numFmtId="0" fontId="0" fillId="0" borderId="0" xfId="0" applyFill="1" applyBorder="1"/>
    <xf numFmtId="0" fontId="0" fillId="2" borderId="0" xfId="0" applyFill="1" applyAlignment="1"/>
    <xf numFmtId="2" fontId="0" fillId="0" borderId="0" xfId="0" applyNumberFormat="1" applyFill="1" applyBorder="1"/>
    <xf numFmtId="2" fontId="0" fillId="0" borderId="17" xfId="0" applyNumberFormat="1" applyFill="1" applyBorder="1"/>
    <xf numFmtId="2" fontId="0" fillId="0" borderId="19" xfId="0" applyNumberFormat="1" applyFill="1" applyBorder="1"/>
    <xf numFmtId="2" fontId="0" fillId="0" borderId="21" xfId="0" applyNumberFormat="1" applyFill="1" applyBorder="1"/>
    <xf numFmtId="1" fontId="0" fillId="0" borderId="0" xfId="0" applyNumberFormat="1" applyFill="1" applyBorder="1"/>
    <xf numFmtId="1" fontId="0" fillId="0" borderId="1" xfId="0" applyNumberFormat="1" applyFill="1" applyBorder="1"/>
    <xf numFmtId="0" fontId="21" fillId="11" borderId="15" xfId="0" applyFont="1" applyFill="1" applyBorder="1" applyAlignment="1">
      <alignment horizontal="center"/>
    </xf>
    <xf numFmtId="2" fontId="33" fillId="11" borderId="1" xfId="0" applyNumberFormat="1" applyFont="1" applyFill="1" applyBorder="1" applyAlignment="1">
      <alignment horizontal="center"/>
    </xf>
    <xf numFmtId="0" fontId="0" fillId="0" borderId="0" xfId="0" applyFill="1" applyBorder="1" applyAlignment="1"/>
    <xf numFmtId="0" fontId="0" fillId="0" borderId="0" xfId="0" applyFill="1" applyBorder="1"/>
    <xf numFmtId="0" fontId="0" fillId="0" borderId="1" xfId="0" applyFill="1" applyBorder="1"/>
    <xf numFmtId="0" fontId="0" fillId="0" borderId="1" xfId="0" applyFill="1" applyBorder="1" applyAlignment="1"/>
    <xf numFmtId="2" fontId="0" fillId="0" borderId="0" xfId="0" applyNumberFormat="1" applyFill="1" applyBorder="1" applyAlignment="1"/>
    <xf numFmtId="2" fontId="0" fillId="0" borderId="15" xfId="0" applyNumberFormat="1" applyFill="1" applyBorder="1"/>
    <xf numFmtId="2" fontId="0" fillId="0" borderId="1" xfId="0" applyNumberFormat="1" applyFill="1" applyBorder="1" applyAlignment="1"/>
    <xf numFmtId="0" fontId="0" fillId="0" borderId="1" xfId="0" applyBorder="1" applyAlignment="1"/>
    <xf numFmtId="2" fontId="33" fillId="11" borderId="1" xfId="0" applyNumberFormat="1" applyFont="1" applyFill="1" applyBorder="1" applyAlignment="1">
      <alignment horizontal="center" wrapText="1"/>
    </xf>
    <xf numFmtId="0" fontId="0" fillId="0" borderId="0" xfId="0" applyAlignment="1"/>
    <xf numFmtId="0" fontId="21" fillId="11" borderId="15" xfId="0" applyFont="1" applyFill="1" applyBorder="1" applyAlignment="1">
      <alignment horizontal="center" wrapText="1"/>
    </xf>
    <xf numFmtId="0" fontId="21" fillId="11" borderId="14" xfId="0" applyFont="1" applyFill="1" applyBorder="1" applyAlignment="1">
      <alignment horizontal="center" wrapText="1"/>
    </xf>
    <xf numFmtId="0" fontId="21" fillId="11" borderId="15" xfId="0" applyFont="1" applyFill="1" applyBorder="1" applyAlignment="1">
      <alignment horizontal="center"/>
    </xf>
    <xf numFmtId="2" fontId="0" fillId="0" borderId="0" xfId="0" applyNumberFormat="1" applyFill="1" applyBorder="1"/>
    <xf numFmtId="2" fontId="0" fillId="0" borderId="1" xfId="0" applyNumberFormat="1" applyFill="1" applyBorder="1"/>
    <xf numFmtId="0" fontId="21" fillId="11" borderId="16" xfId="0" applyFont="1" applyFill="1" applyBorder="1" applyAlignment="1">
      <alignment horizontal="center"/>
    </xf>
    <xf numFmtId="0" fontId="0" fillId="0" borderId="1" xfId="0" applyBorder="1"/>
    <xf numFmtId="0" fontId="0" fillId="0" borderId="1" xfId="0" applyBorder="1"/>
    <xf numFmtId="43" fontId="0" fillId="0" borderId="1" xfId="0" applyNumberFormat="1" applyFill="1" applyBorder="1"/>
    <xf numFmtId="43" fontId="0" fillId="0" borderId="0" xfId="0" applyNumberFormat="1" applyFont="1" applyFill="1" applyBorder="1"/>
    <xf numFmtId="0" fontId="0" fillId="0" borderId="0" xfId="0" applyFill="1" applyBorder="1"/>
    <xf numFmtId="0" fontId="0" fillId="2" borderId="0" xfId="0" applyFill="1" applyAlignment="1"/>
    <xf numFmtId="0" fontId="0" fillId="2" borderId="0" xfId="0" applyFill="1" applyAlignment="1" applyProtection="1"/>
    <xf numFmtId="0" fontId="33" fillId="11" borderId="0" xfId="0" applyFont="1" applyFill="1" applyBorder="1" applyAlignment="1">
      <alignment horizontal="center"/>
    </xf>
    <xf numFmtId="0" fontId="0" fillId="0" borderId="15" xfId="0" applyBorder="1" applyAlignment="1">
      <alignment wrapText="1"/>
    </xf>
    <xf numFmtId="0" fontId="0" fillId="0" borderId="15" xfId="0" applyBorder="1"/>
    <xf numFmtId="0" fontId="0" fillId="0" borderId="15" xfId="0" applyBorder="1"/>
    <xf numFmtId="0" fontId="0" fillId="32" borderId="0" xfId="0" applyFill="1" applyBorder="1"/>
    <xf numFmtId="0" fontId="0" fillId="32" borderId="0" xfId="0" applyFill="1"/>
    <xf numFmtId="0" fontId="21" fillId="16" borderId="0" xfId="0" applyFont="1" applyFill="1" applyBorder="1" applyAlignment="1">
      <alignment horizontal="center" wrapText="1"/>
    </xf>
    <xf numFmtId="0" fontId="73" fillId="16" borderId="0" xfId="0" applyFont="1" applyFill="1" applyBorder="1" applyAlignment="1">
      <alignment horizontal="center"/>
    </xf>
    <xf numFmtId="0" fontId="4" fillId="32" borderId="0" xfId="0" applyFont="1" applyFill="1"/>
    <xf numFmtId="0" fontId="4" fillId="0" borderId="0" xfId="0" applyFont="1" applyFill="1" applyBorder="1"/>
    <xf numFmtId="3" fontId="0" fillId="0" borderId="0" xfId="0" applyNumberFormat="1" applyBorder="1"/>
    <xf numFmtId="0" fontId="0" fillId="37" borderId="0" xfId="0" applyFill="1" applyBorder="1"/>
    <xf numFmtId="0" fontId="0" fillId="0" borderId="0" xfId="0" applyBorder="1"/>
    <xf numFmtId="0" fontId="0" fillId="38" borderId="0" xfId="0" applyFill="1" applyBorder="1"/>
    <xf numFmtId="0" fontId="0" fillId="39" borderId="0" xfId="0" applyFill="1" applyBorder="1"/>
    <xf numFmtId="0" fontId="6" fillId="0" borderId="0" xfId="0" applyFont="1" applyFill="1" applyBorder="1"/>
    <xf numFmtId="0" fontId="4" fillId="38" borderId="0" xfId="0" applyFont="1" applyFill="1" applyBorder="1"/>
    <xf numFmtId="0" fontId="4" fillId="0" borderId="0" xfId="0" applyFont="1" applyBorder="1"/>
    <xf numFmtId="0" fontId="4" fillId="39" borderId="0" xfId="0" applyFont="1" applyFill="1" applyBorder="1"/>
    <xf numFmtId="0" fontId="4" fillId="37" borderId="0" xfId="0" applyFont="1" applyFill="1" applyBorder="1"/>
    <xf numFmtId="0" fontId="0" fillId="41" borderId="0" xfId="0" applyFill="1" applyBorder="1"/>
    <xf numFmtId="0" fontId="4" fillId="41" borderId="0" xfId="0" applyFont="1" applyFill="1" applyBorder="1"/>
    <xf numFmtId="0" fontId="30" fillId="41" borderId="0" xfId="0" applyFont="1" applyFill="1" applyAlignment="1" applyProtection="1"/>
    <xf numFmtId="0" fontId="30" fillId="38" borderId="0" xfId="0" applyFont="1" applyFill="1" applyAlignment="1" applyProtection="1"/>
    <xf numFmtId="0" fontId="30" fillId="39" borderId="0" xfId="0" applyFont="1" applyFill="1" applyAlignment="1" applyProtection="1"/>
    <xf numFmtId="0" fontId="30" fillId="42" borderId="0" xfId="0" applyFont="1" applyFill="1" applyAlignment="1" applyProtection="1"/>
    <xf numFmtId="0" fontId="4" fillId="0" borderId="17" xfId="0" applyFont="1" applyBorder="1"/>
    <xf numFmtId="0" fontId="0" fillId="0" borderId="19" xfId="0" applyBorder="1"/>
    <xf numFmtId="167" fontId="0" fillId="0" borderId="0" xfId="0" applyNumberFormat="1" applyBorder="1"/>
    <xf numFmtId="0" fontId="33" fillId="16" borderId="3" xfId="0" applyFont="1" applyFill="1" applyBorder="1" applyAlignment="1">
      <alignment horizontal="center"/>
    </xf>
    <xf numFmtId="0" fontId="0" fillId="0" borderId="3" xfId="0" applyBorder="1"/>
    <xf numFmtId="0" fontId="0" fillId="39" borderId="1" xfId="0" applyFill="1" applyBorder="1"/>
    <xf numFmtId="1" fontId="21" fillId="16" borderId="0" xfId="0" applyNumberFormat="1" applyFont="1" applyFill="1" applyBorder="1" applyAlignment="1">
      <alignment wrapText="1"/>
    </xf>
    <xf numFmtId="1" fontId="0" fillId="0" borderId="0" xfId="0" applyNumberFormat="1" applyFill="1" applyBorder="1" applyAlignment="1"/>
    <xf numFmtId="1" fontId="0" fillId="0" borderId="0" xfId="0" applyNumberFormat="1" applyBorder="1" applyAlignment="1"/>
    <xf numFmtId="1" fontId="0" fillId="0" borderId="1" xfId="0" applyNumberFormat="1" applyFill="1" applyBorder="1" applyAlignment="1"/>
    <xf numFmtId="1" fontId="0" fillId="32" borderId="0" xfId="0" applyNumberFormat="1" applyFill="1" applyBorder="1" applyAlignment="1"/>
    <xf numFmtId="1" fontId="0" fillId="39" borderId="0" xfId="0" applyNumberFormat="1" applyFill="1" applyBorder="1" applyAlignment="1"/>
    <xf numFmtId="1" fontId="0" fillId="37" borderId="0" xfId="0" applyNumberFormat="1" applyFill="1" applyBorder="1" applyAlignment="1"/>
    <xf numFmtId="1" fontId="30" fillId="2" borderId="0" xfId="0" applyNumberFormat="1" applyFont="1" applyFill="1" applyAlignment="1" applyProtection="1"/>
    <xf numFmtId="1" fontId="0" fillId="38" borderId="15" xfId="0" applyNumberFormat="1" applyFill="1" applyBorder="1" applyAlignment="1"/>
    <xf numFmtId="0" fontId="0" fillId="38" borderId="15" xfId="0" applyFill="1" applyBorder="1"/>
    <xf numFmtId="167" fontId="0" fillId="0" borderId="3" xfId="0" applyNumberFormat="1" applyFill="1" applyBorder="1"/>
    <xf numFmtId="167" fontId="0" fillId="0" borderId="0" xfId="0" applyNumberFormat="1" applyBorder="1"/>
    <xf numFmtId="167" fontId="0" fillId="39" borderId="0" xfId="0" applyNumberFormat="1" applyFill="1" applyBorder="1"/>
    <xf numFmtId="0" fontId="0" fillId="0" borderId="17" xfId="0" applyBorder="1"/>
    <xf numFmtId="167" fontId="0" fillId="39" borderId="17" xfId="0" applyNumberFormat="1" applyFill="1" applyBorder="1"/>
    <xf numFmtId="167" fontId="0" fillId="0" borderId="17" xfId="0" applyNumberFormat="1" applyBorder="1"/>
    <xf numFmtId="167" fontId="0" fillId="37" borderId="0" xfId="0" applyNumberFormat="1" applyFill="1" applyBorder="1"/>
    <xf numFmtId="167" fontId="0" fillId="37" borderId="17" xfId="0" applyNumberFormat="1" applyFill="1" applyBorder="1"/>
    <xf numFmtId="0" fontId="30" fillId="2" borderId="0" xfId="0" applyFont="1" applyFill="1" applyBorder="1" applyAlignment="1" applyProtection="1"/>
    <xf numFmtId="167" fontId="0" fillId="37" borderId="3" xfId="0" applyNumberFormat="1" applyFill="1" applyBorder="1"/>
    <xf numFmtId="167" fontId="4" fillId="0" borderId="0" xfId="0" applyNumberFormat="1" applyFont="1" applyBorder="1"/>
    <xf numFmtId="167" fontId="0" fillId="38" borderId="15" xfId="0" applyNumberFormat="1" applyFill="1" applyBorder="1"/>
    <xf numFmtId="167" fontId="65" fillId="38" borderId="0" xfId="0" applyNumberFormat="1" applyFont="1" applyFill="1" applyBorder="1"/>
    <xf numFmtId="167" fontId="0" fillId="39" borderId="1" xfId="0" applyNumberFormat="1" applyFill="1" applyBorder="1"/>
    <xf numFmtId="167" fontId="4" fillId="0" borderId="3" xfId="0" applyNumberFormat="1" applyFont="1" applyFill="1" applyBorder="1"/>
    <xf numFmtId="3" fontId="4" fillId="2" borderId="0" xfId="0" applyNumberFormat="1" applyFont="1" applyFill="1" applyAlignment="1"/>
    <xf numFmtId="0" fontId="0" fillId="2" borderId="0" xfId="0" applyFont="1" applyFill="1"/>
    <xf numFmtId="0" fontId="6" fillId="32" borderId="0" xfId="0" applyFont="1" applyFill="1" applyBorder="1" applyAlignment="1">
      <alignment horizontal="center"/>
    </xf>
    <xf numFmtId="167" fontId="0" fillId="0" borderId="41" xfId="0" applyNumberFormat="1" applyFont="1" applyFill="1" applyBorder="1"/>
    <xf numFmtId="167" fontId="0" fillId="0" borderId="41" xfId="0" applyNumberFormat="1" applyFont="1" applyBorder="1"/>
    <xf numFmtId="173" fontId="21" fillId="9" borderId="15" xfId="0" applyNumberFormat="1" applyFont="1" applyFill="1" applyBorder="1" applyAlignment="1">
      <alignment horizontal="center"/>
    </xf>
    <xf numFmtId="1" fontId="0" fillId="0" borderId="0" xfId="0" applyNumberFormat="1" applyBorder="1"/>
    <xf numFmtId="0" fontId="21" fillId="20" borderId="15" xfId="0" applyFont="1" applyFill="1" applyBorder="1" applyAlignment="1">
      <alignment horizontal="center"/>
    </xf>
    <xf numFmtId="0" fontId="33" fillId="20" borderId="0" xfId="0" applyFont="1" applyFill="1" applyBorder="1" applyAlignment="1">
      <alignment horizontal="center"/>
    </xf>
    <xf numFmtId="167" fontId="0" fillId="0" borderId="42" xfId="0" applyNumberFormat="1" applyFont="1" applyBorder="1"/>
    <xf numFmtId="1" fontId="4" fillId="0" borderId="15" xfId="0" applyNumberFormat="1" applyFont="1" applyBorder="1"/>
    <xf numFmtId="1" fontId="0" fillId="0" borderId="0" xfId="0" applyNumberFormat="1" applyFont="1" applyBorder="1"/>
    <xf numFmtId="1" fontId="0" fillId="0" borderId="1" xfId="0" applyNumberFormat="1" applyBorder="1"/>
    <xf numFmtId="2" fontId="0" fillId="0" borderId="15" xfId="0" applyNumberFormat="1" applyFont="1" applyBorder="1"/>
    <xf numFmtId="2" fontId="0" fillId="0" borderId="0" xfId="0" applyNumberFormat="1" applyFont="1" applyBorder="1"/>
    <xf numFmtId="2" fontId="0" fillId="0" borderId="1" xfId="0" applyNumberFormat="1" applyFont="1" applyBorder="1"/>
    <xf numFmtId="0" fontId="36" fillId="15" borderId="42" xfId="0" applyFont="1" applyFill="1" applyBorder="1" applyAlignment="1">
      <alignment horizontal="center"/>
    </xf>
    <xf numFmtId="0" fontId="9" fillId="15" borderId="1" xfId="0" applyFont="1" applyFill="1" applyBorder="1" applyAlignment="1">
      <alignment horizontal="center"/>
    </xf>
    <xf numFmtId="0" fontId="6" fillId="15" borderId="15" xfId="0" applyFont="1" applyFill="1" applyBorder="1" applyAlignment="1">
      <alignment horizontal="center"/>
    </xf>
    <xf numFmtId="0" fontId="0" fillId="2" borderId="0" xfId="0" applyFill="1" applyAlignment="1"/>
    <xf numFmtId="2" fontId="0" fillId="0" borderId="0" xfId="0" applyNumberFormat="1" applyFill="1" applyBorder="1"/>
    <xf numFmtId="0" fontId="0" fillId="2" borderId="0" xfId="0" applyFill="1" applyAlignment="1" applyProtection="1"/>
    <xf numFmtId="2" fontId="0" fillId="0" borderId="42" xfId="0" applyNumberFormat="1" applyFill="1" applyBorder="1"/>
    <xf numFmtId="0" fontId="6" fillId="15" borderId="15" xfId="0" applyNumberFormat="1" applyFont="1" applyFill="1" applyBorder="1" applyAlignment="1">
      <alignment horizontal="center"/>
    </xf>
    <xf numFmtId="0" fontId="6" fillId="15" borderId="16" xfId="0" applyNumberFormat="1" applyFont="1" applyFill="1" applyBorder="1" applyAlignment="1">
      <alignment horizontal="center"/>
    </xf>
    <xf numFmtId="2" fontId="6" fillId="15" borderId="15" xfId="0" applyNumberFormat="1" applyFont="1" applyFill="1" applyBorder="1" applyAlignment="1">
      <alignment horizontal="center"/>
    </xf>
    <xf numFmtId="1" fontId="0" fillId="0" borderId="0" xfId="0" applyNumberFormat="1" applyBorder="1"/>
    <xf numFmtId="1" fontId="0" fillId="0" borderId="15" xfId="0" applyNumberFormat="1" applyBorder="1"/>
    <xf numFmtId="1" fontId="0" fillId="12" borderId="0" xfId="0" applyNumberFormat="1" applyFill="1" applyBorder="1"/>
    <xf numFmtId="2" fontId="6" fillId="0" borderId="1" xfId="0" applyNumberFormat="1" applyFont="1" applyBorder="1"/>
    <xf numFmtId="1" fontId="0" fillId="0" borderId="15" xfId="0" applyNumberFormat="1" applyFont="1" applyBorder="1"/>
    <xf numFmtId="1" fontId="0" fillId="0" borderId="0" xfId="0" applyNumberFormat="1" applyFont="1" applyFill="1" applyBorder="1"/>
    <xf numFmtId="1" fontId="16" fillId="0" borderId="0" xfId="0" applyNumberFormat="1" applyFont="1" applyFill="1" applyBorder="1"/>
    <xf numFmtId="175" fontId="0" fillId="0" borderId="15" xfId="0" applyNumberFormat="1" applyFont="1" applyBorder="1" applyAlignment="1">
      <alignment horizontal="right"/>
    </xf>
    <xf numFmtId="175" fontId="0" fillId="0" borderId="0" xfId="0" applyNumberFormat="1" applyFont="1" applyBorder="1" applyAlignment="1">
      <alignment horizontal="right"/>
    </xf>
    <xf numFmtId="175" fontId="0" fillId="0" borderId="0" xfId="0" applyNumberFormat="1" applyFont="1" applyAlignment="1">
      <alignment horizontal="right"/>
    </xf>
    <xf numFmtId="1" fontId="16" fillId="0" borderId="0" xfId="0" applyNumberFormat="1" applyFont="1" applyBorder="1"/>
    <xf numFmtId="1" fontId="16" fillId="0" borderId="0" xfId="0" applyNumberFormat="1" applyFont="1" applyFill="1" applyBorder="1"/>
    <xf numFmtId="1" fontId="16" fillId="0" borderId="1" xfId="0" applyNumberFormat="1" applyFont="1" applyBorder="1"/>
    <xf numFmtId="49" fontId="9" fillId="13" borderId="42" xfId="0" applyNumberFormat="1" applyFont="1" applyFill="1" applyBorder="1" applyAlignment="1">
      <alignment horizontal="center"/>
    </xf>
    <xf numFmtId="43" fontId="0" fillId="0" borderId="42" xfId="0" applyNumberFormat="1" applyFont="1" applyFill="1" applyBorder="1"/>
    <xf numFmtId="1" fontId="4" fillId="0" borderId="0" xfId="0" quotePrefix="1" applyNumberFormat="1" applyFont="1" applyFill="1" applyBorder="1"/>
    <xf numFmtId="1" fontId="4" fillId="0" borderId="42" xfId="0" quotePrefix="1" applyNumberFormat="1" applyFont="1" applyFill="1" applyBorder="1"/>
    <xf numFmtId="167" fontId="0" fillId="0" borderId="0" xfId="0" applyNumberFormat="1" applyFont="1" applyFill="1" applyBorder="1"/>
    <xf numFmtId="0" fontId="21" fillId="7" borderId="15" xfId="0" applyFont="1" applyFill="1" applyBorder="1" applyAlignment="1">
      <alignment horizontal="center"/>
    </xf>
    <xf numFmtId="0" fontId="21" fillId="11" borderId="15" xfId="0" applyNumberFormat="1" applyFont="1" applyFill="1" applyBorder="1" applyAlignment="1">
      <alignment horizontal="center"/>
    </xf>
    <xf numFmtId="0" fontId="21" fillId="11" borderId="16" xfId="0" applyNumberFormat="1" applyFont="1" applyFill="1" applyBorder="1" applyAlignment="1">
      <alignment horizontal="center"/>
    </xf>
    <xf numFmtId="3" fontId="33" fillId="11" borderId="1" xfId="0" applyNumberFormat="1" applyFont="1" applyFill="1" applyBorder="1" applyAlignment="1">
      <alignment horizontal="center"/>
    </xf>
    <xf numFmtId="1" fontId="0" fillId="0" borderId="0" xfId="0" applyNumberFormat="1" applyFill="1" applyBorder="1" applyAlignment="1">
      <alignment horizontal="left" indent="8"/>
    </xf>
    <xf numFmtId="1" fontId="0" fillId="0" borderId="1" xfId="0" applyNumberFormat="1" applyFill="1" applyBorder="1" applyAlignment="1">
      <alignment horizontal="left" indent="8"/>
    </xf>
    <xf numFmtId="1" fontId="0" fillId="0" borderId="1" xfId="0" applyNumberFormat="1" applyBorder="1" applyAlignment="1">
      <alignment horizontal="left" wrapText="1"/>
    </xf>
    <xf numFmtId="2" fontId="4" fillId="0" borderId="1" xfId="0" applyNumberFormat="1" applyFont="1" applyFill="1" applyBorder="1"/>
    <xf numFmtId="2" fontId="4" fillId="0" borderId="1" xfId="0" applyNumberFormat="1" applyFont="1" applyBorder="1"/>
    <xf numFmtId="167" fontId="0" fillId="0" borderId="0" xfId="0" applyNumberFormat="1" applyFont="1" applyFill="1" applyBorder="1"/>
    <xf numFmtId="167" fontId="0" fillId="0" borderId="17" xfId="0" applyNumberFormat="1" applyFont="1" applyFill="1" applyBorder="1"/>
    <xf numFmtId="167" fontId="70" fillId="36" borderId="0" xfId="0" applyNumberFormat="1" applyFont="1" applyFill="1" applyBorder="1"/>
    <xf numFmtId="43" fontId="0" fillId="0" borderId="18" xfId="0" applyNumberFormat="1" applyFont="1" applyFill="1" applyBorder="1"/>
    <xf numFmtId="3" fontId="6" fillId="0" borderId="16" xfId="0" applyNumberFormat="1" applyFont="1" applyFill="1" applyBorder="1"/>
    <xf numFmtId="0" fontId="0" fillId="0" borderId="0" xfId="0" applyFill="1" applyBorder="1"/>
    <xf numFmtId="0" fontId="6" fillId="2" borderId="0" xfId="0" applyFont="1" applyFill="1" applyAlignment="1"/>
    <xf numFmtId="1" fontId="0" fillId="0" borderId="0" xfId="0" applyNumberFormat="1" applyFill="1" applyBorder="1"/>
    <xf numFmtId="0" fontId="0" fillId="32" borderId="0" xfId="0" applyFill="1"/>
    <xf numFmtId="0" fontId="0" fillId="0" borderId="42" xfId="0" applyFill="1" applyBorder="1"/>
    <xf numFmtId="2" fontId="6" fillId="0" borderId="15" xfId="0" applyNumberFormat="1" applyFont="1" applyBorder="1"/>
    <xf numFmtId="3" fontId="6" fillId="0" borderId="41" xfId="0" applyNumberFormat="1" applyFont="1" applyFill="1" applyBorder="1"/>
    <xf numFmtId="2" fontId="6" fillId="0" borderId="0" xfId="0" applyNumberFormat="1" applyFont="1" applyBorder="1"/>
    <xf numFmtId="2" fontId="6" fillId="0" borderId="1" xfId="0" applyNumberFormat="1" applyFont="1" applyBorder="1"/>
    <xf numFmtId="3" fontId="6" fillId="0" borderId="19" xfId="0" applyNumberFormat="1" applyFont="1" applyFill="1" applyBorder="1"/>
    <xf numFmtId="1" fontId="0" fillId="0" borderId="42" xfId="0" applyNumberFormat="1" applyFill="1" applyBorder="1"/>
    <xf numFmtId="2" fontId="6" fillId="0" borderId="42" xfId="0" applyNumberFormat="1" applyFont="1" applyBorder="1"/>
    <xf numFmtId="3" fontId="6" fillId="0" borderId="15" xfId="0" applyNumberFormat="1" applyFont="1" applyFill="1" applyBorder="1"/>
    <xf numFmtId="3" fontId="6" fillId="0" borderId="17" xfId="0" applyNumberFormat="1" applyFont="1" applyFill="1" applyBorder="1"/>
    <xf numFmtId="3" fontId="6" fillId="0" borderId="0" xfId="0" applyNumberFormat="1" applyFont="1" applyFill="1" applyBorder="1"/>
    <xf numFmtId="3" fontId="6" fillId="0" borderId="42" xfId="0" applyNumberFormat="1" applyFont="1" applyFill="1" applyBorder="1"/>
    <xf numFmtId="0" fontId="86" fillId="0" borderId="11" xfId="0" applyFont="1" applyBorder="1" applyAlignment="1">
      <alignment horizontal="left" indent="2"/>
    </xf>
    <xf numFmtId="1" fontId="86" fillId="0" borderId="0" xfId="0" applyNumberFormat="1" applyFont="1" applyBorder="1"/>
    <xf numFmtId="0" fontId="86" fillId="0" borderId="0" xfId="0" applyFont="1" applyBorder="1" applyAlignment="1">
      <alignment horizontal="center"/>
    </xf>
    <xf numFmtId="0" fontId="86" fillId="0" borderId="0" xfId="0" applyFont="1" applyFill="1" applyBorder="1" applyAlignment="1">
      <alignment horizontal="center"/>
    </xf>
    <xf numFmtId="0" fontId="86" fillId="0" borderId="11" xfId="0" applyFont="1" applyBorder="1" applyAlignment="1">
      <alignment horizontal="left" indent="1"/>
    </xf>
    <xf numFmtId="0" fontId="86" fillId="0" borderId="11" xfId="0" applyFont="1" applyBorder="1" applyAlignment="1">
      <alignment horizontal="left" indent="3"/>
    </xf>
    <xf numFmtId="0" fontId="6" fillId="0" borderId="18" xfId="0" applyFont="1" applyBorder="1"/>
    <xf numFmtId="0" fontId="6" fillId="2" borderId="0" xfId="0" applyFont="1" applyFill="1" applyAlignment="1"/>
    <xf numFmtId="0" fontId="6" fillId="0" borderId="14" xfId="0" applyFont="1" applyBorder="1"/>
    <xf numFmtId="1" fontId="6" fillId="0" borderId="15" xfId="0" applyNumberFormat="1" applyFont="1" applyBorder="1"/>
    <xf numFmtId="0" fontId="6" fillId="0" borderId="15" xfId="0" applyFont="1" applyBorder="1" applyAlignment="1">
      <alignment horizontal="center"/>
    </xf>
    <xf numFmtId="0" fontId="6" fillId="0" borderId="11" xfId="0" applyFont="1" applyBorder="1"/>
    <xf numFmtId="1" fontId="6" fillId="0" borderId="0" xfId="0" applyNumberFormat="1" applyFont="1" applyBorder="1"/>
    <xf numFmtId="0" fontId="6" fillId="0" borderId="0" xfId="0" applyFont="1" applyBorder="1" applyAlignment="1">
      <alignment horizontal="center"/>
    </xf>
    <xf numFmtId="1" fontId="6" fillId="0" borderId="42" xfId="0" applyNumberFormat="1" applyFont="1" applyBorder="1"/>
    <xf numFmtId="0" fontId="6" fillId="0" borderId="42" xfId="0" applyFont="1" applyBorder="1" applyAlignment="1">
      <alignment horizontal="center"/>
    </xf>
    <xf numFmtId="3" fontId="86" fillId="0" borderId="17" xfId="0" applyNumberFormat="1" applyFont="1" applyFill="1" applyBorder="1"/>
    <xf numFmtId="3" fontId="86" fillId="0" borderId="0" xfId="0" applyNumberFormat="1" applyFont="1" applyFill="1" applyBorder="1"/>
    <xf numFmtId="167" fontId="0" fillId="0" borderId="0" xfId="0" applyNumberFormat="1" applyFont="1" applyBorder="1"/>
    <xf numFmtId="167" fontId="0" fillId="0" borderId="0" xfId="0" applyNumberFormat="1" applyFont="1" applyFill="1" applyBorder="1"/>
    <xf numFmtId="0" fontId="0" fillId="2" borderId="0" xfId="0" applyFill="1" applyAlignment="1"/>
    <xf numFmtId="0" fontId="0" fillId="2" borderId="0" xfId="0" applyFill="1" applyAlignment="1" applyProtection="1"/>
    <xf numFmtId="2" fontId="86" fillId="0" borderId="0" xfId="0" applyNumberFormat="1" applyFont="1" applyFill="1" applyBorder="1"/>
    <xf numFmtId="2" fontId="86" fillId="0" borderId="0" xfId="0" applyNumberFormat="1" applyFont="1" applyBorder="1"/>
    <xf numFmtId="0" fontId="6" fillId="0" borderId="11" xfId="0" applyFont="1" applyBorder="1"/>
    <xf numFmtId="1" fontId="6" fillId="0" borderId="0" xfId="0" applyNumberFormat="1" applyFont="1" applyBorder="1"/>
    <xf numFmtId="0" fontId="6" fillId="0" borderId="0" xfId="0" applyFont="1" applyBorder="1" applyAlignment="1">
      <alignment horizontal="center"/>
    </xf>
    <xf numFmtId="2" fontId="6" fillId="0" borderId="0" xfId="0" applyNumberFormat="1" applyFont="1" applyBorder="1"/>
    <xf numFmtId="49" fontId="6" fillId="6" borderId="24" xfId="0" applyNumberFormat="1" applyFont="1" applyFill="1" applyBorder="1" applyAlignment="1">
      <alignment horizontal="center"/>
    </xf>
    <xf numFmtId="49" fontId="9" fillId="6" borderId="3" xfId="0" applyNumberFormat="1" applyFont="1" applyFill="1" applyBorder="1" applyAlignment="1">
      <alignment horizontal="center"/>
    </xf>
    <xf numFmtId="167" fontId="0" fillId="0" borderId="24" xfId="0" applyNumberFormat="1" applyFont="1" applyFill="1" applyBorder="1"/>
    <xf numFmtId="167" fontId="0" fillId="0" borderId="3" xfId="0" applyNumberFormat="1" applyFont="1" applyFill="1" applyBorder="1"/>
    <xf numFmtId="167" fontId="0" fillId="0" borderId="25" xfId="0" applyNumberFormat="1" applyFont="1" applyFill="1" applyBorder="1"/>
    <xf numFmtId="2" fontId="0" fillId="0" borderId="41" xfId="0" applyNumberFormat="1" applyFill="1" applyBorder="1"/>
    <xf numFmtId="167" fontId="0" fillId="0" borderId="0" xfId="0" applyNumberFormat="1" applyFont="1" applyBorder="1"/>
    <xf numFmtId="2" fontId="0" fillId="0" borderId="0" xfId="0" applyNumberFormat="1" applyFill="1" applyBorder="1"/>
    <xf numFmtId="0" fontId="6" fillId="0" borderId="21" xfId="0" applyFont="1" applyBorder="1"/>
    <xf numFmtId="173" fontId="6" fillId="0" borderId="21" xfId="0" applyNumberFormat="1" applyFont="1" applyBorder="1"/>
    <xf numFmtId="167" fontId="0" fillId="0" borderId="0" xfId="0" applyNumberFormat="1" applyFont="1" applyFill="1" applyBorder="1"/>
    <xf numFmtId="167" fontId="0" fillId="0" borderId="0" xfId="0" applyNumberFormat="1" applyFont="1" applyFill="1" applyBorder="1"/>
    <xf numFmtId="0" fontId="0" fillId="0" borderId="0" xfId="0" applyNumberFormat="1" applyFill="1" applyBorder="1"/>
    <xf numFmtId="1" fontId="0" fillId="0" borderId="0" xfId="0" applyNumberFormat="1" applyFill="1" applyBorder="1"/>
    <xf numFmtId="0" fontId="0" fillId="0" borderId="0" xfId="0" applyBorder="1"/>
    <xf numFmtId="0" fontId="4" fillId="0" borderId="0" xfId="0" applyFont="1" applyBorder="1"/>
    <xf numFmtId="0" fontId="4" fillId="0" borderId="0" xfId="0" applyNumberFormat="1" applyFont="1" applyFill="1" applyBorder="1"/>
    <xf numFmtId="49" fontId="0" fillId="0" borderId="0" xfId="0" applyNumberFormat="1" applyBorder="1"/>
    <xf numFmtId="1" fontId="4" fillId="0" borderId="0" xfId="0" applyNumberFormat="1" applyFont="1" applyBorder="1"/>
    <xf numFmtId="49" fontId="0" fillId="0" borderId="0" xfId="0" applyNumberFormat="1" applyFill="1" applyBorder="1"/>
    <xf numFmtId="1" fontId="4" fillId="0" borderId="0" xfId="0" applyNumberFormat="1" applyFont="1" applyFill="1" applyBorder="1"/>
    <xf numFmtId="0" fontId="0" fillId="0" borderId="0" xfId="0" applyBorder="1"/>
    <xf numFmtId="0" fontId="0" fillId="0" borderId="11" xfId="0" applyBorder="1"/>
    <xf numFmtId="0" fontId="0" fillId="24" borderId="0" xfId="0" applyFill="1" applyBorder="1"/>
    <xf numFmtId="0" fontId="0" fillId="32" borderId="0" xfId="0" applyFill="1"/>
    <xf numFmtId="0" fontId="6" fillId="4" borderId="20" xfId="0" applyFont="1" applyFill="1" applyBorder="1" applyAlignment="1">
      <alignment horizontal="center"/>
    </xf>
    <xf numFmtId="0" fontId="6" fillId="4" borderId="21" xfId="0" applyFont="1" applyFill="1" applyBorder="1" applyAlignment="1">
      <alignment horizontal="center"/>
    </xf>
    <xf numFmtId="0" fontId="4" fillId="24" borderId="0" xfId="0" applyFont="1" applyFill="1"/>
    <xf numFmtId="49" fontId="9" fillId="13" borderId="1" xfId="0" applyNumberFormat="1" applyFont="1" applyFill="1" applyBorder="1" applyAlignment="1">
      <alignment horizontal="center"/>
    </xf>
    <xf numFmtId="0" fontId="0" fillId="0" borderId="0" xfId="0" applyAlignment="1"/>
    <xf numFmtId="166" fontId="0" fillId="0" borderId="0" xfId="0" applyNumberFormat="1" applyFont="1" applyBorder="1" applyAlignment="1">
      <alignment horizontal="right"/>
    </xf>
    <xf numFmtId="176" fontId="0" fillId="0" borderId="0" xfId="0" applyNumberFormat="1" applyFont="1" applyBorder="1" applyAlignment="1">
      <alignment horizontal="right"/>
    </xf>
    <xf numFmtId="167" fontId="0" fillId="0" borderId="0" xfId="0" applyNumberFormat="1" applyFont="1" applyFill="1" applyBorder="1"/>
    <xf numFmtId="49" fontId="0" fillId="0" borderId="0" xfId="0" applyNumberFormat="1" applyBorder="1" applyAlignment="1">
      <alignment horizontal="left" indent="1"/>
    </xf>
    <xf numFmtId="49" fontId="0" fillId="0" borderId="0" xfId="0" applyNumberFormat="1" applyFill="1" applyBorder="1" applyAlignment="1">
      <alignment horizontal="left" indent="1"/>
    </xf>
    <xf numFmtId="49" fontId="0" fillId="0" borderId="1" xfId="0" applyNumberFormat="1" applyBorder="1" applyAlignment="1">
      <alignment horizontal="left" indent="1"/>
    </xf>
    <xf numFmtId="2" fontId="0" fillId="0" borderId="0" xfId="0" applyNumberFormat="1" applyFont="1" applyFill="1" applyBorder="1"/>
    <xf numFmtId="177" fontId="0" fillId="0" borderId="15" xfId="0" applyNumberFormat="1" applyFont="1" applyBorder="1"/>
    <xf numFmtId="177" fontId="0" fillId="0" borderId="0" xfId="0" applyNumberFormat="1" applyFont="1" applyBorder="1"/>
    <xf numFmtId="2" fontId="0" fillId="0" borderId="42" xfId="0" applyNumberFormat="1" applyFont="1" applyBorder="1"/>
    <xf numFmtId="2" fontId="0" fillId="0" borderId="0" xfId="0" applyNumberFormat="1" applyFont="1" applyFill="1" applyBorder="1" applyAlignment="1">
      <alignment horizontal="right"/>
    </xf>
    <xf numFmtId="177" fontId="0" fillId="0" borderId="42" xfId="0" applyNumberFormat="1" applyFont="1" applyBorder="1"/>
    <xf numFmtId="167" fontId="0" fillId="0" borderId="41" xfId="0" applyNumberFormat="1" applyFont="1" applyFill="1" applyBorder="1" applyAlignment="1"/>
    <xf numFmtId="177" fontId="0" fillId="0" borderId="0" xfId="0" applyNumberFormat="1" applyFont="1" applyFill="1" applyBorder="1"/>
    <xf numFmtId="1" fontId="65" fillId="0" borderId="0" xfId="0" applyNumberFormat="1" applyFont="1" applyFill="1" applyBorder="1"/>
    <xf numFmtId="167" fontId="0" fillId="0" borderId="0" xfId="0" applyNumberFormat="1" applyFont="1" applyFill="1" applyBorder="1"/>
    <xf numFmtId="0" fontId="65" fillId="0" borderId="0" xfId="0" applyFont="1" applyAlignment="1"/>
    <xf numFmtId="0" fontId="4" fillId="0" borderId="0" xfId="0" applyFont="1" applyAlignment="1">
      <alignment wrapText="1"/>
    </xf>
    <xf numFmtId="0" fontId="65" fillId="0" borderId="11" xfId="0" applyFont="1" applyBorder="1" applyAlignment="1"/>
    <xf numFmtId="0" fontId="65" fillId="0" borderId="42" xfId="0" applyFont="1" applyBorder="1" applyAlignment="1"/>
    <xf numFmtId="0" fontId="0" fillId="0" borderId="42" xfId="0" applyBorder="1"/>
    <xf numFmtId="43" fontId="0" fillId="0" borderId="16" xfId="0" applyNumberFormat="1" applyFont="1" applyBorder="1"/>
    <xf numFmtId="167" fontId="65" fillId="38" borderId="3" xfId="0" applyNumberFormat="1" applyFont="1" applyFill="1" applyBorder="1"/>
    <xf numFmtId="167" fontId="0" fillId="39" borderId="25" xfId="0" applyNumberFormat="1" applyFill="1" applyBorder="1"/>
    <xf numFmtId="43" fontId="16" fillId="0" borderId="1" xfId="0" applyNumberFormat="1" applyFont="1" applyBorder="1" applyAlignment="1"/>
    <xf numFmtId="0" fontId="4" fillId="0" borderId="0" xfId="0" applyFont="1"/>
    <xf numFmtId="167" fontId="0" fillId="0" borderId="0" xfId="0" applyNumberFormat="1" applyFont="1" applyFill="1" applyBorder="1"/>
    <xf numFmtId="43" fontId="0" fillId="0" borderId="19" xfId="0" applyNumberFormat="1" applyFont="1" applyFill="1" applyBorder="1"/>
    <xf numFmtId="1" fontId="0" fillId="32" borderId="0" xfId="0" applyNumberFormat="1" applyFill="1" applyBorder="1"/>
    <xf numFmtId="49" fontId="0" fillId="32" borderId="0" xfId="0" applyNumberFormat="1" applyFill="1" applyBorder="1"/>
    <xf numFmtId="167" fontId="0" fillId="32" borderId="0" xfId="0" applyNumberFormat="1" applyFont="1" applyFill="1" applyBorder="1"/>
    <xf numFmtId="167" fontId="0" fillId="32" borderId="0" xfId="0" applyNumberFormat="1" applyFill="1" applyBorder="1"/>
    <xf numFmtId="0" fontId="0" fillId="32" borderId="0" xfId="0" applyNumberFormat="1" applyFill="1" applyBorder="1"/>
    <xf numFmtId="43" fontId="0" fillId="32" borderId="0" xfId="0" applyNumberFormat="1" applyFont="1" applyFill="1" applyBorder="1"/>
    <xf numFmtId="0" fontId="6" fillId="2" borderId="44" xfId="0" applyFont="1" applyFill="1" applyBorder="1"/>
    <xf numFmtId="0" fontId="0" fillId="2" borderId="43" xfId="0" applyFill="1" applyBorder="1" applyAlignment="1">
      <alignment horizontal="left"/>
    </xf>
    <xf numFmtId="0" fontId="0" fillId="2" borderId="23" xfId="0" applyFill="1" applyBorder="1"/>
    <xf numFmtId="0" fontId="0" fillId="2" borderId="4" xfId="0" applyFill="1" applyBorder="1"/>
    <xf numFmtId="0" fontId="0" fillId="0" borderId="7" xfId="0" applyBorder="1"/>
    <xf numFmtId="0" fontId="0" fillId="2" borderId="7" xfId="0" applyFill="1" applyBorder="1"/>
    <xf numFmtId="0" fontId="18" fillId="0" borderId="6" xfId="0" applyFont="1" applyBorder="1" applyAlignment="1">
      <alignment horizontal="left"/>
    </xf>
    <xf numFmtId="0" fontId="0" fillId="0" borderId="6" xfId="0" applyBorder="1" applyAlignment="1">
      <alignment horizontal="left"/>
    </xf>
    <xf numFmtId="0" fontId="6" fillId="2" borderId="0" xfId="0" applyFont="1" applyFill="1" applyAlignment="1">
      <alignment horizontal="right"/>
    </xf>
    <xf numFmtId="0" fontId="4" fillId="0" borderId="0" xfId="0" applyNumberFormat="1" applyFont="1"/>
    <xf numFmtId="0" fontId="0" fillId="0" borderId="0" xfId="0" applyNumberFormat="1"/>
    <xf numFmtId="0" fontId="4" fillId="0" borderId="0" xfId="0" applyNumberFormat="1" applyFont="1" applyAlignment="1">
      <alignment wrapText="1"/>
    </xf>
    <xf numFmtId="0" fontId="0" fillId="0" borderId="41" xfId="0" applyBorder="1"/>
    <xf numFmtId="1" fontId="0" fillId="68" borderId="0" xfId="0" applyNumberFormat="1" applyFill="1" applyBorder="1" applyAlignment="1"/>
    <xf numFmtId="0" fontId="0" fillId="68" borderId="0" xfId="0" applyFill="1" applyBorder="1"/>
    <xf numFmtId="167" fontId="0" fillId="68" borderId="0" xfId="0" applyNumberFormat="1" applyFill="1" applyBorder="1"/>
    <xf numFmtId="167" fontId="0" fillId="68" borderId="17" xfId="0" applyNumberFormat="1" applyFill="1" applyBorder="1"/>
    <xf numFmtId="167" fontId="0" fillId="68" borderId="41" xfId="0" applyNumberFormat="1" applyFill="1" applyBorder="1"/>
    <xf numFmtId="0" fontId="0" fillId="0" borderId="1" xfId="0" applyBorder="1"/>
    <xf numFmtId="0" fontId="6" fillId="20" borderId="15" xfId="0" applyFont="1" applyFill="1" applyBorder="1" applyAlignment="1">
      <alignment horizontal="center"/>
    </xf>
    <xf numFmtId="0" fontId="6" fillId="20" borderId="0" xfId="0" applyFont="1" applyFill="1" applyBorder="1" applyAlignment="1">
      <alignment horizontal="center"/>
    </xf>
    <xf numFmtId="0" fontId="65" fillId="0" borderId="0" xfId="0" applyFont="1"/>
    <xf numFmtId="0" fontId="16" fillId="35" borderId="1" xfId="0" applyFont="1" applyFill="1" applyBorder="1"/>
    <xf numFmtId="0" fontId="6" fillId="20" borderId="15" xfId="0" applyFont="1" applyFill="1" applyBorder="1" applyAlignment="1">
      <alignment horizontal="center"/>
    </xf>
    <xf numFmtId="0" fontId="6" fillId="20" borderId="1" xfId="0" applyFont="1" applyFill="1" applyBorder="1" applyAlignment="1">
      <alignment horizontal="center"/>
    </xf>
    <xf numFmtId="0" fontId="6" fillId="20" borderId="0" xfId="0" applyFont="1" applyFill="1" applyBorder="1" applyAlignment="1">
      <alignment horizontal="center"/>
    </xf>
    <xf numFmtId="0" fontId="6" fillId="20" borderId="16" xfId="0" applyFont="1" applyFill="1" applyBorder="1" applyAlignment="1">
      <alignment horizontal="center"/>
    </xf>
    <xf numFmtId="0" fontId="6" fillId="20" borderId="19" xfId="0" applyFont="1" applyFill="1" applyBorder="1" applyAlignment="1">
      <alignment horizontal="center"/>
    </xf>
    <xf numFmtId="0" fontId="6" fillId="20" borderId="41" xfId="0" applyFont="1" applyFill="1" applyBorder="1" applyAlignment="1">
      <alignment horizontal="center"/>
    </xf>
    <xf numFmtId="0" fontId="65" fillId="0" borderId="0" xfId="0" applyFont="1"/>
    <xf numFmtId="0" fontId="16" fillId="35" borderId="1" xfId="0" applyFont="1" applyFill="1" applyBorder="1"/>
    <xf numFmtId="0" fontId="65" fillId="0" borderId="1" xfId="0" applyFont="1" applyBorder="1"/>
    <xf numFmtId="0" fontId="4" fillId="0" borderId="11" xfId="0" applyFont="1" applyFill="1" applyBorder="1"/>
    <xf numFmtId="2" fontId="16" fillId="0" borderId="1" xfId="0" applyNumberFormat="1" applyFont="1" applyFill="1" applyBorder="1" applyAlignment="1"/>
    <xf numFmtId="0" fontId="65" fillId="0" borderId="0" xfId="0" applyFont="1" applyFill="1"/>
    <xf numFmtId="0" fontId="65" fillId="0" borderId="0" xfId="0" applyFont="1" applyFill="1" applyBorder="1"/>
    <xf numFmtId="43" fontId="65" fillId="0" borderId="11" xfId="0" applyNumberFormat="1" applyFont="1" applyFill="1" applyBorder="1" applyAlignment="1"/>
    <xf numFmtId="43" fontId="65" fillId="0" borderId="17" xfId="0" applyNumberFormat="1" applyFont="1" applyFill="1" applyBorder="1" applyAlignment="1"/>
    <xf numFmtId="0" fontId="3" fillId="0" borderId="0" xfId="0" applyFont="1" applyFill="1"/>
    <xf numFmtId="43" fontId="3" fillId="0" borderId="11" xfId="0" applyNumberFormat="1" applyFont="1" applyFill="1" applyBorder="1" applyAlignment="1"/>
    <xf numFmtId="43" fontId="3" fillId="0" borderId="17" xfId="0" applyNumberFormat="1" applyFont="1" applyFill="1" applyBorder="1" applyAlignment="1"/>
    <xf numFmtId="0" fontId="65" fillId="0" borderId="0" xfId="0" applyFont="1" applyFill="1" applyAlignment="1"/>
    <xf numFmtId="0" fontId="65" fillId="0" borderId="1" xfId="0" applyFont="1" applyFill="1" applyBorder="1"/>
    <xf numFmtId="43" fontId="65" fillId="0" borderId="18" xfId="0" applyNumberFormat="1" applyFont="1" applyFill="1" applyBorder="1" applyAlignment="1"/>
    <xf numFmtId="43" fontId="65" fillId="0" borderId="19" xfId="0" applyNumberFormat="1" applyFont="1" applyFill="1" applyBorder="1" applyAlignment="1"/>
    <xf numFmtId="43" fontId="0" fillId="0" borderId="0" xfId="0" applyNumberFormat="1" applyFont="1" applyFill="1" applyBorder="1" applyAlignment="1"/>
    <xf numFmtId="43" fontId="0" fillId="0" borderId="1" xfId="0" applyNumberFormat="1" applyFont="1" applyFill="1" applyBorder="1" applyAlignment="1"/>
    <xf numFmtId="0" fontId="0" fillId="0" borderId="11" xfId="0" applyFont="1" applyFill="1" applyBorder="1"/>
    <xf numFmtId="0" fontId="0" fillId="0" borderId="17" xfId="0" applyFont="1" applyFill="1" applyBorder="1"/>
    <xf numFmtId="167" fontId="0" fillId="0" borderId="17" xfId="0" applyNumberFormat="1" applyFont="1" applyFill="1" applyBorder="1"/>
    <xf numFmtId="0" fontId="0" fillId="0" borderId="0" xfId="0" applyFont="1" applyFill="1" applyBorder="1"/>
    <xf numFmtId="167" fontId="0" fillId="0" borderId="0" xfId="0" applyNumberFormat="1" applyFont="1" applyFill="1" applyBorder="1" applyAlignment="1"/>
    <xf numFmtId="0" fontId="68" fillId="0" borderId="11" xfId="0" applyFont="1" applyBorder="1" applyAlignment="1">
      <alignment horizontal="left" indent="1"/>
    </xf>
    <xf numFmtId="0" fontId="68" fillId="0" borderId="11" xfId="0" applyFont="1" applyBorder="1" applyAlignment="1">
      <alignment horizontal="left" indent="2"/>
    </xf>
    <xf numFmtId="0" fontId="68" fillId="0" borderId="11" xfId="0" applyFont="1" applyBorder="1"/>
    <xf numFmtId="0" fontId="68" fillId="0" borderId="18" xfId="0" applyFont="1" applyBorder="1"/>
    <xf numFmtId="3" fontId="0" fillId="69" borderId="22" xfId="50" applyNumberFormat="1" applyFont="1" applyBorder="1"/>
    <xf numFmtId="0" fontId="4" fillId="0" borderId="20" xfId="0" applyFont="1" applyBorder="1"/>
    <xf numFmtId="2" fontId="4" fillId="0" borderId="21" xfId="0" applyNumberFormat="1" applyFont="1" applyBorder="1"/>
    <xf numFmtId="3" fontId="4" fillId="0" borderId="22" xfId="0" applyNumberFormat="1" applyFont="1" applyBorder="1"/>
    <xf numFmtId="0" fontId="6" fillId="0" borderId="1" xfId="0" applyFont="1" applyBorder="1"/>
    <xf numFmtId="0" fontId="6" fillId="4" borderId="15" xfId="0" applyFont="1" applyFill="1" applyBorder="1" applyAlignment="1">
      <alignment horizontal="center"/>
    </xf>
    <xf numFmtId="171" fontId="0" fillId="0" borderId="0" xfId="0" applyNumberFormat="1" applyFont="1" applyBorder="1"/>
    <xf numFmtId="2" fontId="0" fillId="0" borderId="0" xfId="0" applyNumberFormat="1" applyFont="1" applyBorder="1" applyAlignment="1">
      <alignment horizontal="center"/>
    </xf>
    <xf numFmtId="2" fontId="0" fillId="0" borderId="1" xfId="0" applyNumberFormat="1" applyFont="1" applyBorder="1" applyAlignment="1">
      <alignment horizontal="center"/>
    </xf>
    <xf numFmtId="0" fontId="4" fillId="0" borderId="11" xfId="0" applyFont="1" applyBorder="1" applyAlignment="1">
      <alignment wrapText="1"/>
    </xf>
    <xf numFmtId="0" fontId="4" fillId="0" borderId="0" xfId="0" applyFont="1" applyBorder="1" applyAlignment="1">
      <alignment wrapText="1"/>
    </xf>
    <xf numFmtId="0" fontId="92" fillId="2" borderId="0" xfId="49" applyFill="1" applyAlignment="1" applyProtection="1"/>
    <xf numFmtId="3" fontId="0" fillId="69" borderId="25" xfId="50" applyNumberFormat="1" applyFont="1" applyBorder="1"/>
    <xf numFmtId="3" fontId="0" fillId="69" borderId="19" xfId="50" applyNumberFormat="1" applyFont="1" applyBorder="1"/>
    <xf numFmtId="3" fontId="0" fillId="69" borderId="26" xfId="50" applyNumberFormat="1" applyFont="1" applyBorder="1"/>
    <xf numFmtId="3" fontId="0" fillId="0" borderId="26" xfId="0" applyNumberFormat="1" applyBorder="1"/>
    <xf numFmtId="167" fontId="0" fillId="0" borderId="3" xfId="0" applyNumberFormat="1" applyFont="1" applyBorder="1"/>
    <xf numFmtId="0" fontId="0" fillId="0" borderId="11" xfId="0" applyFont="1" applyFill="1" applyBorder="1"/>
    <xf numFmtId="0" fontId="0" fillId="0" borderId="0" xfId="0" applyFont="1" applyFill="1" applyBorder="1"/>
    <xf numFmtId="1" fontId="0" fillId="0" borderId="15" xfId="0" applyNumberFormat="1" applyFont="1" applyBorder="1" applyAlignment="1">
      <alignment horizontal="right"/>
    </xf>
    <xf numFmtId="1" fontId="0" fillId="0" borderId="0" xfId="0" applyNumberFormat="1" applyFont="1" applyBorder="1" applyAlignment="1">
      <alignment horizontal="right"/>
    </xf>
    <xf numFmtId="1" fontId="4" fillId="0" borderId="0" xfId="0" applyNumberFormat="1" applyFont="1" applyAlignment="1">
      <alignment wrapText="1"/>
    </xf>
    <xf numFmtId="49" fontId="9" fillId="13" borderId="11" xfId="0" applyNumberFormat="1" applyFont="1" applyFill="1" applyBorder="1" applyAlignment="1">
      <alignment horizontal="center"/>
    </xf>
    <xf numFmtId="49" fontId="9" fillId="13" borderId="17" xfId="0" applyNumberFormat="1" applyFont="1" applyFill="1" applyBorder="1" applyAlignment="1">
      <alignment horizontal="center"/>
    </xf>
    <xf numFmtId="49" fontId="9" fillId="2" borderId="0" xfId="0" applyNumberFormat="1" applyFont="1" applyFill="1"/>
    <xf numFmtId="0" fontId="65" fillId="2" borderId="0" xfId="0" applyFont="1" applyFill="1" applyAlignment="1"/>
    <xf numFmtId="167" fontId="65" fillId="0" borderId="15" xfId="0" applyNumberFormat="1" applyFont="1" applyBorder="1"/>
    <xf numFmtId="167" fontId="65" fillId="0" borderId="0" xfId="0" applyNumberFormat="1" applyFont="1" applyBorder="1"/>
    <xf numFmtId="167" fontId="65" fillId="0" borderId="17" xfId="0" applyNumberFormat="1" applyFont="1" applyFill="1" applyBorder="1"/>
    <xf numFmtId="49" fontId="9" fillId="13" borderId="18" xfId="0" applyNumberFormat="1" applyFont="1" applyFill="1" applyBorder="1" applyAlignment="1">
      <alignment horizontal="center"/>
    </xf>
    <xf numFmtId="0" fontId="9" fillId="13" borderId="1" xfId="0" applyNumberFormat="1" applyFont="1" applyFill="1" applyBorder="1" applyAlignment="1">
      <alignment horizontal="center"/>
    </xf>
    <xf numFmtId="49" fontId="9" fillId="13" borderId="19" xfId="0" applyNumberFormat="1" applyFont="1" applyFill="1" applyBorder="1" applyAlignment="1">
      <alignment horizontal="center"/>
    </xf>
    <xf numFmtId="49" fontId="65" fillId="0" borderId="14" xfId="0" applyNumberFormat="1" applyFont="1" applyBorder="1"/>
    <xf numFmtId="1" fontId="65" fillId="0" borderId="0" xfId="0" applyNumberFormat="1" applyFont="1" applyBorder="1"/>
    <xf numFmtId="49" fontId="65" fillId="0" borderId="15" xfId="0" applyNumberFormat="1" applyFont="1" applyBorder="1"/>
    <xf numFmtId="49" fontId="65" fillId="0" borderId="15" xfId="0" applyNumberFormat="1" applyFont="1" applyFill="1" applyBorder="1"/>
    <xf numFmtId="0" fontId="65" fillId="0" borderId="0" xfId="0" applyNumberFormat="1" applyFont="1" applyFill="1" applyAlignment="1"/>
    <xf numFmtId="167" fontId="65" fillId="0" borderId="15" xfId="0" applyNumberFormat="1" applyFont="1" applyFill="1" applyBorder="1"/>
    <xf numFmtId="166" fontId="65" fillId="0" borderId="15" xfId="0" applyNumberFormat="1" applyFont="1" applyBorder="1"/>
    <xf numFmtId="0" fontId="65" fillId="0" borderId="15" xfId="0" applyFont="1" applyBorder="1"/>
    <xf numFmtId="49" fontId="65" fillId="0" borderId="11" xfId="0" applyNumberFormat="1" applyFont="1" applyBorder="1"/>
    <xf numFmtId="49" fontId="65" fillId="0" borderId="0" xfId="0" applyNumberFormat="1" applyFont="1" applyBorder="1"/>
    <xf numFmtId="167" fontId="65" fillId="0" borderId="0" xfId="0" applyNumberFormat="1" applyFont="1" applyFill="1" applyBorder="1"/>
    <xf numFmtId="166" fontId="65" fillId="0" borderId="0" xfId="0" applyNumberFormat="1" applyFont="1" applyBorder="1"/>
    <xf numFmtId="0" fontId="65" fillId="0" borderId="0" xfId="0" applyFont="1" applyBorder="1"/>
    <xf numFmtId="49" fontId="65" fillId="0" borderId="0" xfId="0" applyNumberFormat="1" applyFont="1" applyFill="1" applyBorder="1"/>
    <xf numFmtId="49" fontId="65" fillId="0" borderId="11" xfId="0" applyNumberFormat="1" applyFont="1" applyFill="1" applyBorder="1"/>
    <xf numFmtId="0" fontId="92" fillId="32" borderId="0" xfId="49" applyAlignment="1" applyProtection="1"/>
    <xf numFmtId="2" fontId="0" fillId="0" borderId="16" xfId="0" applyNumberFormat="1" applyBorder="1"/>
    <xf numFmtId="2" fontId="0" fillId="0" borderId="16" xfId="0" applyNumberFormat="1" applyFont="1" applyBorder="1"/>
    <xf numFmtId="2" fontId="0" fillId="0" borderId="17" xfId="0" applyNumberFormat="1" applyFont="1" applyBorder="1"/>
    <xf numFmtId="2" fontId="16" fillId="0" borderId="1" xfId="0" applyNumberFormat="1" applyFont="1" applyBorder="1"/>
    <xf numFmtId="2" fontId="0" fillId="0" borderId="19" xfId="0" applyNumberFormat="1" applyFont="1" applyBorder="1"/>
    <xf numFmtId="0" fontId="0" fillId="24" borderId="0" xfId="0" applyFont="1" applyFill="1"/>
    <xf numFmtId="0" fontId="0" fillId="24" borderId="0" xfId="0" applyFont="1" applyFill="1" applyAlignment="1">
      <alignment horizontal="left"/>
    </xf>
    <xf numFmtId="0" fontId="0" fillId="24" borderId="0" xfId="0" applyFont="1" applyFill="1" applyAlignment="1">
      <alignment horizontal="right"/>
    </xf>
    <xf numFmtId="0" fontId="0" fillId="0" borderId="0" xfId="0" applyFont="1" applyFill="1" applyBorder="1" applyAlignment="1">
      <alignment horizontal="right"/>
    </xf>
    <xf numFmtId="178" fontId="0" fillId="0" borderId="0" xfId="0" applyNumberFormat="1" applyFont="1" applyFill="1" applyBorder="1" applyAlignment="1">
      <alignment horizontal="right"/>
    </xf>
    <xf numFmtId="49" fontId="0" fillId="0" borderId="11" xfId="0" applyNumberFormat="1" applyFont="1" applyFill="1" applyBorder="1"/>
    <xf numFmtId="0" fontId="0" fillId="0" borderId="45" xfId="0" applyFont="1" applyFill="1" applyBorder="1"/>
    <xf numFmtId="0" fontId="0" fillId="0" borderId="11" xfId="0" applyFont="1" applyBorder="1"/>
    <xf numFmtId="0" fontId="0" fillId="22" borderId="11" xfId="0" applyFont="1" applyFill="1" applyBorder="1"/>
    <xf numFmtId="0" fontId="0" fillId="22" borderId="0" xfId="0" applyFont="1" applyFill="1" applyBorder="1"/>
    <xf numFmtId="0" fontId="0" fillId="22" borderId="17" xfId="0" applyFont="1" applyFill="1" applyBorder="1"/>
    <xf numFmtId="0" fontId="0" fillId="6" borderId="11" xfId="0" applyFont="1" applyFill="1" applyBorder="1"/>
    <xf numFmtId="0" fontId="0" fillId="6" borderId="0" xfId="0" applyFont="1" applyFill="1" applyBorder="1"/>
    <xf numFmtId="0" fontId="0" fillId="6" borderId="17" xfId="0" applyFont="1" applyFill="1" applyBorder="1"/>
    <xf numFmtId="0" fontId="0" fillId="23" borderId="11" xfId="0" applyFont="1" applyFill="1" applyBorder="1"/>
    <xf numFmtId="0" fontId="0" fillId="23" borderId="0" xfId="0" applyFont="1" applyFill="1" applyBorder="1"/>
    <xf numFmtId="0" fontId="0" fillId="23" borderId="17" xfId="0" applyFont="1" applyFill="1" applyBorder="1"/>
    <xf numFmtId="0" fontId="0" fillId="0" borderId="18" xfId="0" applyFont="1" applyBorder="1"/>
    <xf numFmtId="0" fontId="0" fillId="2" borderId="0" xfId="0" applyNumberFormat="1" applyFont="1" applyFill="1"/>
    <xf numFmtId="0" fontId="0" fillId="2" borderId="0" xfId="0" applyFont="1" applyFill="1" applyBorder="1" applyAlignment="1"/>
    <xf numFmtId="49" fontId="0" fillId="2" borderId="0" xfId="0" applyNumberFormat="1" applyFont="1" applyFill="1"/>
    <xf numFmtId="0" fontId="0" fillId="2" borderId="0" xfId="0" applyFont="1" applyFill="1" applyAlignment="1" applyProtection="1"/>
    <xf numFmtId="0" fontId="0" fillId="2" borderId="0" xfId="0" applyNumberFormat="1" applyFont="1" applyFill="1" applyAlignment="1"/>
    <xf numFmtId="49" fontId="0" fillId="2" borderId="0" xfId="0" applyNumberFormat="1" applyFont="1" applyFill="1" applyAlignment="1"/>
    <xf numFmtId="49" fontId="9" fillId="6" borderId="11" xfId="0" applyNumberFormat="1" applyFont="1" applyFill="1" applyBorder="1" applyAlignment="1">
      <alignment horizontal="center"/>
    </xf>
    <xf numFmtId="49" fontId="9" fillId="34" borderId="19" xfId="0" applyNumberFormat="1" applyFont="1" applyFill="1" applyBorder="1" applyAlignment="1">
      <alignment horizontal="center"/>
    </xf>
    <xf numFmtId="0" fontId="0" fillId="0" borderId="14" xfId="0" applyFont="1" applyFill="1" applyBorder="1"/>
    <xf numFmtId="1" fontId="0" fillId="0" borderId="15" xfId="0" applyNumberFormat="1" applyFont="1" applyFill="1" applyBorder="1" applyAlignment="1">
      <alignment horizontal="left"/>
    </xf>
    <xf numFmtId="49" fontId="0" fillId="0" borderId="15" xfId="0" applyNumberFormat="1" applyFont="1" applyFill="1" applyBorder="1"/>
    <xf numFmtId="2" fontId="0" fillId="0" borderId="0" xfId="0" applyNumberFormat="1" applyFont="1" applyFill="1" applyBorder="1" applyAlignment="1"/>
    <xf numFmtId="2" fontId="0" fillId="0" borderId="15" xfId="0" applyNumberFormat="1" applyFont="1" applyFill="1" applyBorder="1"/>
    <xf numFmtId="2" fontId="0" fillId="0" borderId="16" xfId="0" applyNumberFormat="1" applyFont="1" applyFill="1" applyBorder="1"/>
    <xf numFmtId="1" fontId="0" fillId="0" borderId="0" xfId="0" applyNumberFormat="1" applyFont="1" applyFill="1" applyBorder="1" applyAlignment="1">
      <alignment horizontal="left"/>
    </xf>
    <xf numFmtId="49" fontId="0" fillId="0" borderId="0" xfId="0" applyNumberFormat="1" applyFont="1" applyFill="1" applyBorder="1"/>
    <xf numFmtId="165" fontId="0" fillId="0" borderId="0" xfId="0" applyNumberFormat="1" applyFont="1" applyFill="1" applyBorder="1" applyAlignment="1"/>
    <xf numFmtId="2" fontId="0" fillId="0" borderId="41" xfId="0" applyNumberFormat="1" applyFont="1" applyFill="1" applyBorder="1"/>
    <xf numFmtId="0" fontId="0" fillId="0" borderId="18" xfId="0" applyFont="1" applyFill="1" applyBorder="1"/>
    <xf numFmtId="1" fontId="0" fillId="0" borderId="42" xfId="0" applyNumberFormat="1" applyFont="1" applyFill="1" applyBorder="1" applyAlignment="1">
      <alignment horizontal="left"/>
    </xf>
    <xf numFmtId="49" fontId="0" fillId="0" borderId="1" xfId="0" applyNumberFormat="1" applyFont="1" applyFill="1" applyBorder="1"/>
    <xf numFmtId="2" fontId="0" fillId="0" borderId="1" xfId="0" applyNumberFormat="1" applyFont="1" applyFill="1" applyBorder="1" applyAlignment="1">
      <alignment horizontal="right"/>
    </xf>
    <xf numFmtId="2" fontId="0" fillId="0" borderId="1" xfId="0" applyNumberFormat="1" applyFont="1" applyFill="1" applyBorder="1"/>
    <xf numFmtId="2" fontId="0" fillId="0" borderId="19" xfId="0" applyNumberFormat="1" applyFont="1" applyFill="1" applyBorder="1"/>
    <xf numFmtId="0" fontId="92" fillId="32" borderId="0" xfId="49" applyNumberFormat="1" applyAlignment="1" applyProtection="1"/>
    <xf numFmtId="0" fontId="0" fillId="0" borderId="14" xfId="0" applyFont="1" applyBorder="1"/>
    <xf numFmtId="0" fontId="0" fillId="0" borderId="41" xfId="0" applyFont="1" applyFill="1" applyBorder="1"/>
    <xf numFmtId="0" fontId="0" fillId="0" borderId="0" xfId="0" applyFont="1" applyAlignment="1"/>
    <xf numFmtId="0" fontId="0" fillId="0" borderId="21" xfId="0" applyFont="1" applyBorder="1"/>
    <xf numFmtId="0" fontId="0" fillId="0" borderId="11" xfId="0" applyFont="1" applyBorder="1" applyAlignment="1">
      <alignment wrapText="1"/>
    </xf>
    <xf numFmtId="0" fontId="0" fillId="0" borderId="0" xfId="0" applyFont="1" applyBorder="1" applyAlignment="1">
      <alignment wrapText="1"/>
    </xf>
    <xf numFmtId="0" fontId="0" fillId="32" borderId="0" xfId="0" applyFont="1" applyFill="1"/>
    <xf numFmtId="0" fontId="90" fillId="32" borderId="0" xfId="0" applyFont="1" applyFill="1" applyAlignment="1">
      <alignment vertical="top"/>
    </xf>
    <xf numFmtId="0" fontId="92" fillId="32" borderId="0" xfId="49" applyFill="1" applyAlignment="1" applyProtection="1">
      <alignment vertical="top"/>
    </xf>
    <xf numFmtId="0" fontId="0" fillId="32" borderId="0" xfId="0" applyFont="1" applyFill="1" applyAlignment="1">
      <alignment vertical="top"/>
    </xf>
    <xf numFmtId="0" fontId="92" fillId="32" borderId="0" xfId="49" applyAlignment="1" applyProtection="1">
      <alignment vertical="top"/>
    </xf>
    <xf numFmtId="4" fontId="68" fillId="69" borderId="48" xfId="50" applyNumberFormat="1" applyFont="1" applyBorder="1"/>
    <xf numFmtId="4" fontId="68" fillId="69" borderId="49" xfId="50" applyNumberFormat="1" applyFont="1" applyBorder="1"/>
    <xf numFmtId="3" fontId="0" fillId="69" borderId="50" xfId="50" applyNumberFormat="1" applyFont="1" applyBorder="1"/>
    <xf numFmtId="4" fontId="68" fillId="69" borderId="51" xfId="50" applyNumberFormat="1" applyFont="1" applyBorder="1"/>
    <xf numFmtId="4" fontId="4" fillId="69" borderId="46" xfId="50" applyNumberFormat="1" applyFont="1" applyBorder="1"/>
    <xf numFmtId="4" fontId="0" fillId="69" borderId="52" xfId="50" applyNumberFormat="1" applyFont="1" applyBorder="1"/>
    <xf numFmtId="2" fontId="0" fillId="69" borderId="52" xfId="50" applyNumberFormat="1" applyFont="1" applyBorder="1"/>
    <xf numFmtId="3" fontId="0" fillId="69" borderId="53" xfId="50" applyNumberFormat="1" applyFont="1" applyBorder="1"/>
    <xf numFmtId="3" fontId="0" fillId="69" borderId="54" xfId="50" applyNumberFormat="1" applyFont="1" applyBorder="1"/>
    <xf numFmtId="3" fontId="0" fillId="69" borderId="55" xfId="50" applyNumberFormat="1" applyFont="1" applyBorder="1"/>
    <xf numFmtId="3" fontId="65" fillId="69" borderId="53" xfId="50" applyNumberFormat="1" applyFont="1" applyBorder="1"/>
    <xf numFmtId="3" fontId="65" fillId="69" borderId="54" xfId="50" applyNumberFormat="1" applyFont="1" applyBorder="1"/>
    <xf numFmtId="3" fontId="65" fillId="69" borderId="55" xfId="50" applyNumberFormat="1" applyFont="1" applyBorder="1"/>
    <xf numFmtId="3" fontId="65" fillId="69" borderId="47" xfId="50" applyNumberFormat="1" applyFont="1" applyBorder="1"/>
    <xf numFmtId="3" fontId="65" fillId="69" borderId="48" xfId="50" applyNumberFormat="1" applyFont="1" applyBorder="1"/>
    <xf numFmtId="3" fontId="4" fillId="69" borderId="48" xfId="50" applyNumberFormat="1" applyFont="1" applyBorder="1"/>
    <xf numFmtId="3" fontId="65" fillId="69" borderId="49" xfId="50" applyNumberFormat="1" applyFont="1" applyBorder="1"/>
    <xf numFmtId="167" fontId="0" fillId="69" borderId="56" xfId="50" applyNumberFormat="1" applyFont="1" applyBorder="1"/>
    <xf numFmtId="167" fontId="0" fillId="69" borderId="57" xfId="50" applyNumberFormat="1" applyFont="1" applyBorder="1"/>
    <xf numFmtId="167" fontId="0" fillId="69" borderId="58" xfId="50" applyNumberFormat="1" applyFont="1" applyBorder="1"/>
    <xf numFmtId="11" fontId="0" fillId="69" borderId="59" xfId="50" applyNumberFormat="1" applyFont="1" applyBorder="1" applyAlignment="1">
      <alignment horizontal="right"/>
    </xf>
    <xf numFmtId="167" fontId="0" fillId="69" borderId="54" xfId="50" applyNumberFormat="1" applyFont="1" applyBorder="1"/>
    <xf numFmtId="167" fontId="4" fillId="69" borderId="53" xfId="50" applyNumberFormat="1" applyBorder="1"/>
    <xf numFmtId="167" fontId="4" fillId="69" borderId="54" xfId="50" applyNumberFormat="1" applyBorder="1"/>
    <xf numFmtId="3" fontId="4" fillId="69" borderId="53" xfId="50" applyNumberFormat="1" applyFont="1" applyBorder="1" applyAlignment="1">
      <alignment horizontal="right"/>
    </xf>
    <xf numFmtId="3" fontId="4" fillId="69" borderId="54" xfId="50" applyNumberFormat="1" applyFont="1" applyBorder="1" applyAlignment="1">
      <alignment horizontal="right"/>
    </xf>
    <xf numFmtId="3" fontId="4" fillId="69" borderId="55" xfId="50" applyNumberFormat="1" applyFont="1" applyBorder="1" applyAlignment="1">
      <alignment horizontal="right"/>
    </xf>
    <xf numFmtId="167" fontId="0" fillId="69" borderId="52" xfId="50" applyNumberFormat="1" applyFont="1" applyBorder="1"/>
    <xf numFmtId="167" fontId="0" fillId="69" borderId="60" xfId="50" applyNumberFormat="1" applyFont="1" applyBorder="1"/>
    <xf numFmtId="167" fontId="0" fillId="69" borderId="60" xfId="50" applyNumberFormat="1" applyFont="1" applyBorder="1" applyAlignment="1"/>
    <xf numFmtId="167" fontId="0" fillId="69" borderId="61" xfId="50" applyNumberFormat="1" applyFont="1" applyBorder="1" applyAlignment="1"/>
    <xf numFmtId="167" fontId="0" fillId="69" borderId="61" xfId="50" applyNumberFormat="1" applyFont="1" applyBorder="1"/>
    <xf numFmtId="9" fontId="0" fillId="69" borderId="52" xfId="50" applyNumberFormat="1" applyFont="1" applyBorder="1"/>
    <xf numFmtId="167" fontId="4" fillId="69" borderId="53" xfId="50" applyNumberFormat="1" applyFont="1" applyBorder="1"/>
    <xf numFmtId="167" fontId="4" fillId="69" borderId="54" xfId="50" applyNumberFormat="1" applyFont="1" applyBorder="1"/>
    <xf numFmtId="167" fontId="4" fillId="69" borderId="55" xfId="50" applyNumberFormat="1" applyFont="1" applyBorder="1"/>
    <xf numFmtId="0" fontId="0" fillId="69" borderId="52" xfId="50" applyNumberFormat="1" applyFont="1" applyBorder="1"/>
    <xf numFmtId="0" fontId="0" fillId="69" borderId="60" xfId="50" applyNumberFormat="1" applyFont="1" applyBorder="1"/>
    <xf numFmtId="0" fontId="0" fillId="69" borderId="61" xfId="50" applyNumberFormat="1" applyFont="1" applyBorder="1"/>
    <xf numFmtId="1" fontId="6" fillId="0" borderId="15" xfId="0" applyNumberFormat="1" applyFont="1" applyFill="1" applyBorder="1"/>
    <xf numFmtId="0" fontId="6" fillId="0" borderId="15" xfId="0" applyFont="1" applyFill="1" applyBorder="1" applyAlignment="1">
      <alignment horizontal="center"/>
    </xf>
    <xf numFmtId="0" fontId="86" fillId="0" borderId="11" xfId="0" applyFont="1" applyFill="1" applyBorder="1" applyAlignment="1">
      <alignment horizontal="left" indent="2"/>
    </xf>
    <xf numFmtId="1" fontId="86" fillId="0" borderId="0" xfId="0" applyNumberFormat="1" applyFont="1" applyFill="1" applyBorder="1"/>
    <xf numFmtId="0" fontId="86" fillId="0" borderId="11" xfId="0" applyFont="1" applyFill="1" applyBorder="1" applyAlignment="1">
      <alignment horizontal="left" indent="1"/>
    </xf>
    <xf numFmtId="0" fontId="86" fillId="0" borderId="11" xfId="0" applyFont="1" applyFill="1" applyBorder="1" applyAlignment="1">
      <alignment horizontal="left" indent="3"/>
    </xf>
    <xf numFmtId="1" fontId="6" fillId="0" borderId="0" xfId="0" applyNumberFormat="1" applyFont="1" applyFill="1" applyBorder="1"/>
    <xf numFmtId="0" fontId="6" fillId="0" borderId="0" xfId="0" applyFont="1" applyFill="1" applyBorder="1" applyAlignment="1">
      <alignment horizontal="center"/>
    </xf>
    <xf numFmtId="1" fontId="6" fillId="0" borderId="1" xfId="0" applyNumberFormat="1" applyFont="1" applyFill="1" applyBorder="1"/>
    <xf numFmtId="0" fontId="6" fillId="0" borderId="1" xfId="0" applyFont="1" applyFill="1" applyBorder="1" applyAlignment="1">
      <alignment horizontal="center"/>
    </xf>
    <xf numFmtId="2" fontId="6" fillId="0" borderId="15" xfId="0" applyNumberFormat="1" applyFont="1" applyFill="1" applyBorder="1"/>
    <xf numFmtId="3" fontId="86" fillId="0" borderId="41" xfId="0" applyNumberFormat="1" applyFont="1" applyFill="1" applyBorder="1"/>
    <xf numFmtId="2" fontId="6" fillId="0" borderId="0" xfId="0" applyNumberFormat="1" applyFont="1" applyFill="1" applyBorder="1"/>
    <xf numFmtId="2" fontId="6" fillId="0" borderId="1" xfId="0" applyNumberFormat="1" applyFont="1" applyFill="1" applyBorder="1"/>
    <xf numFmtId="167" fontId="6" fillId="69" borderId="53" xfId="50" applyNumberFormat="1" applyFont="1" applyBorder="1" applyAlignment="1">
      <alignment horizontal="center"/>
    </xf>
    <xf numFmtId="167" fontId="86" fillId="69" borderId="54" xfId="50" applyNumberFormat="1" applyFont="1" applyBorder="1" applyAlignment="1">
      <alignment horizontal="center"/>
    </xf>
    <xf numFmtId="167" fontId="6" fillId="69" borderId="54" xfId="50" applyNumberFormat="1" applyFont="1" applyBorder="1" applyAlignment="1">
      <alignment horizontal="center"/>
    </xf>
    <xf numFmtId="167" fontId="6" fillId="69" borderId="55" xfId="50" applyNumberFormat="1" applyFont="1" applyBorder="1" applyAlignment="1">
      <alignment horizontal="center"/>
    </xf>
    <xf numFmtId="167" fontId="4" fillId="69" borderId="62" xfId="50" applyNumberFormat="1" applyBorder="1"/>
    <xf numFmtId="167" fontId="4" fillId="69" borderId="63" xfId="50" applyNumberFormat="1" applyBorder="1"/>
    <xf numFmtId="167" fontId="4" fillId="69" borderId="55" xfId="50" applyNumberFormat="1" applyBorder="1"/>
    <xf numFmtId="2" fontId="0" fillId="69" borderId="60" xfId="50" applyNumberFormat="1" applyFont="1" applyBorder="1"/>
    <xf numFmtId="2" fontId="0" fillId="69" borderId="61" xfId="50" applyNumberFormat="1" applyFont="1" applyBorder="1" applyAlignment="1"/>
    <xf numFmtId="2" fontId="0" fillId="69" borderId="61" xfId="50" applyNumberFormat="1" applyFont="1" applyBorder="1"/>
    <xf numFmtId="3" fontId="0" fillId="69" borderId="64" xfId="50" applyNumberFormat="1" applyFont="1" applyBorder="1"/>
    <xf numFmtId="3" fontId="0" fillId="69" borderId="65" xfId="50" applyNumberFormat="1" applyFont="1" applyBorder="1"/>
    <xf numFmtId="3" fontId="0" fillId="69" borderId="66" xfId="50" applyNumberFormat="1" applyFont="1" applyBorder="1"/>
    <xf numFmtId="1" fontId="0" fillId="70" borderId="67" xfId="51" applyNumberFormat="1" applyFont="1" applyBorder="1"/>
    <xf numFmtId="1" fontId="0" fillId="70" borderId="68" xfId="51" applyNumberFormat="1" applyFont="1" applyBorder="1"/>
    <xf numFmtId="1" fontId="0" fillId="70" borderId="69" xfId="51" applyNumberFormat="1" applyFont="1" applyBorder="1"/>
    <xf numFmtId="0" fontId="0" fillId="70" borderId="70" xfId="51" applyNumberFormat="1" applyFont="1" applyBorder="1"/>
    <xf numFmtId="0" fontId="0" fillId="70" borderId="71" xfId="51" applyNumberFormat="1" applyFont="1" applyBorder="1"/>
    <xf numFmtId="0" fontId="0" fillId="70" borderId="75" xfId="51" applyNumberFormat="1" applyFont="1" applyBorder="1" applyAlignment="1">
      <alignment horizontal="center"/>
    </xf>
    <xf numFmtId="177" fontId="0" fillId="70" borderId="76" xfId="51" applyNumberFormat="1" applyFont="1" applyBorder="1" applyAlignment="1">
      <alignment horizontal="left"/>
    </xf>
    <xf numFmtId="177" fontId="0" fillId="70" borderId="76" xfId="51" applyNumberFormat="1" applyFont="1" applyBorder="1" applyAlignment="1">
      <alignment horizontal="center"/>
    </xf>
    <xf numFmtId="177" fontId="0" fillId="70" borderId="68" xfId="51" applyNumberFormat="1" applyFont="1" applyBorder="1" applyAlignment="1">
      <alignment horizontal="left"/>
    </xf>
    <xf numFmtId="177" fontId="0" fillId="70" borderId="68" xfId="51" applyNumberFormat="1" applyFont="1" applyBorder="1" applyAlignment="1">
      <alignment horizontal="center"/>
    </xf>
    <xf numFmtId="0" fontId="4" fillId="70" borderId="73" xfId="51" applyNumberFormat="1" applyFont="1" applyBorder="1" applyAlignment="1">
      <alignment horizontal="center"/>
    </xf>
    <xf numFmtId="0" fontId="0" fillId="70" borderId="69" xfId="51" applyNumberFormat="1" applyFont="1" applyBorder="1" applyAlignment="1">
      <alignment horizontal="left"/>
    </xf>
    <xf numFmtId="0" fontId="0" fillId="70" borderId="69" xfId="51" applyNumberFormat="1" applyFont="1" applyBorder="1" applyAlignment="1">
      <alignment horizontal="center"/>
    </xf>
    <xf numFmtId="9" fontId="0" fillId="70" borderId="67" xfId="51" applyNumberFormat="1" applyFont="1" applyBorder="1"/>
    <xf numFmtId="9" fontId="0" fillId="70" borderId="68" xfId="51" applyNumberFormat="1" applyFont="1" applyBorder="1"/>
    <xf numFmtId="0" fontId="0" fillId="70" borderId="77" xfId="51" applyNumberFormat="1" applyFont="1" applyBorder="1"/>
    <xf numFmtId="9" fontId="0" fillId="70" borderId="69" xfId="51" applyNumberFormat="1" applyFont="1" applyBorder="1"/>
    <xf numFmtId="0" fontId="0" fillId="70" borderId="78" xfId="51" applyNumberFormat="1" applyFont="1" applyBorder="1"/>
    <xf numFmtId="0" fontId="0" fillId="70" borderId="67" xfId="51" applyNumberFormat="1" applyFont="1" applyBorder="1"/>
    <xf numFmtId="179" fontId="4" fillId="70" borderId="67" xfId="51" applyNumberFormat="1" applyFont="1" applyBorder="1"/>
    <xf numFmtId="179" fontId="0" fillId="70" borderId="67" xfId="51" applyNumberFormat="1" applyFont="1" applyBorder="1"/>
    <xf numFmtId="0" fontId="0" fillId="70" borderId="68" xfId="51" applyNumberFormat="1" applyFont="1" applyBorder="1"/>
    <xf numFmtId="179" fontId="4" fillId="70" borderId="68" xfId="51" applyNumberFormat="1" applyFont="1" applyBorder="1"/>
    <xf numFmtId="179" fontId="0" fillId="70" borderId="68" xfId="51" applyNumberFormat="1" applyFont="1" applyBorder="1"/>
    <xf numFmtId="0" fontId="0" fillId="70" borderId="69" xfId="51" applyNumberFormat="1" applyFont="1" applyBorder="1"/>
    <xf numFmtId="179" fontId="4" fillId="70" borderId="69" xfId="51" applyNumberFormat="1" applyFont="1" applyBorder="1"/>
    <xf numFmtId="179" fontId="0" fillId="70" borderId="69" xfId="51" applyNumberFormat="1" applyFont="1" applyBorder="1"/>
    <xf numFmtId="2" fontId="0" fillId="70" borderId="67" xfId="51" applyNumberFormat="1" applyFont="1" applyBorder="1" applyAlignment="1">
      <alignment horizontal="center"/>
    </xf>
    <xf numFmtId="2" fontId="0" fillId="70" borderId="68" xfId="51" applyNumberFormat="1" applyFont="1" applyBorder="1" applyAlignment="1">
      <alignment horizontal="center"/>
    </xf>
    <xf numFmtId="2" fontId="0" fillId="70" borderId="69" xfId="51" applyNumberFormat="1" applyFont="1" applyBorder="1" applyAlignment="1">
      <alignment horizontal="center"/>
    </xf>
    <xf numFmtId="0" fontId="0" fillId="70" borderId="67" xfId="51" applyNumberFormat="1" applyFont="1" applyBorder="1" applyAlignment="1">
      <alignment horizontal="center"/>
    </xf>
    <xf numFmtId="0" fontId="0" fillId="70" borderId="68" xfId="51" applyNumberFormat="1" applyFont="1" applyBorder="1" applyAlignment="1">
      <alignment horizontal="center"/>
    </xf>
    <xf numFmtId="2" fontId="0" fillId="70" borderId="67" xfId="51" applyNumberFormat="1" applyFont="1" applyBorder="1"/>
    <xf numFmtId="2" fontId="0" fillId="70" borderId="70" xfId="51" applyNumberFormat="1" applyFont="1" applyBorder="1"/>
    <xf numFmtId="2" fontId="0" fillId="70" borderId="68" xfId="51" applyNumberFormat="1" applyFont="1" applyBorder="1"/>
    <xf numFmtId="2" fontId="0" fillId="70" borderId="77" xfId="51" applyNumberFormat="1" applyFont="1" applyBorder="1"/>
    <xf numFmtId="0" fontId="4" fillId="70" borderId="77" xfId="51" applyNumberFormat="1" applyFont="1" applyBorder="1"/>
    <xf numFmtId="2" fontId="65" fillId="70" borderId="67" xfId="51" applyNumberFormat="1" applyFont="1" applyBorder="1"/>
    <xf numFmtId="2" fontId="65" fillId="70" borderId="70" xfId="51" applyNumberFormat="1" applyFont="1" applyBorder="1"/>
    <xf numFmtId="2" fontId="65" fillId="70" borderId="68" xfId="51" applyNumberFormat="1" applyFont="1" applyBorder="1"/>
    <xf numFmtId="2" fontId="65" fillId="70" borderId="77" xfId="51" applyNumberFormat="1" applyFont="1" applyBorder="1"/>
    <xf numFmtId="2" fontId="65" fillId="70" borderId="69" xfId="51" applyNumberFormat="1" applyFont="1" applyBorder="1"/>
    <xf numFmtId="2" fontId="65" fillId="70" borderId="78" xfId="51" applyNumberFormat="1" applyFont="1" applyBorder="1"/>
    <xf numFmtId="2" fontId="65" fillId="70" borderId="81" xfId="51" applyNumberFormat="1" applyFont="1" applyBorder="1"/>
    <xf numFmtId="2" fontId="65" fillId="70" borderId="82" xfId="51" applyNumberFormat="1" applyFont="1" applyBorder="1"/>
    <xf numFmtId="0" fontId="0" fillId="69" borderId="53" xfId="50" applyNumberFormat="1" applyFont="1" applyBorder="1" applyAlignment="1">
      <alignment horizontal="left" wrapText="1"/>
    </xf>
    <xf numFmtId="0" fontId="0" fillId="69" borderId="54" xfId="50" applyNumberFormat="1" applyFont="1" applyBorder="1" applyAlignment="1">
      <alignment horizontal="left" wrapText="1"/>
    </xf>
    <xf numFmtId="0" fontId="0" fillId="69" borderId="55" xfId="50" applyNumberFormat="1" applyFont="1" applyBorder="1" applyAlignment="1">
      <alignment horizontal="left" wrapText="1"/>
    </xf>
    <xf numFmtId="49" fontId="0" fillId="70" borderId="72" xfId="51" applyNumberFormat="1" applyFont="1" applyBorder="1"/>
    <xf numFmtId="49" fontId="0" fillId="70" borderId="67" xfId="51" applyNumberFormat="1" applyFont="1" applyBorder="1"/>
    <xf numFmtId="49" fontId="0" fillId="70" borderId="73" xfId="51" applyNumberFormat="1" applyFont="1" applyBorder="1"/>
    <xf numFmtId="49" fontId="0" fillId="70" borderId="68" xfId="51" applyNumberFormat="1" applyFont="1" applyBorder="1"/>
    <xf numFmtId="49" fontId="0" fillId="70" borderId="74" xfId="51" applyNumberFormat="1" applyFont="1" applyBorder="1"/>
    <xf numFmtId="49" fontId="0" fillId="70" borderId="69" xfId="51" applyNumberFormat="1" applyFont="1" applyBorder="1"/>
    <xf numFmtId="2" fontId="8" fillId="70" borderId="70" xfId="51" applyNumberFormat="1" applyFont="1" applyBorder="1" applyAlignment="1">
      <alignment horizontal="center"/>
    </xf>
    <xf numFmtId="2" fontId="8" fillId="70" borderId="77" xfId="51" applyNumberFormat="1" applyFont="1" applyBorder="1" applyAlignment="1">
      <alignment horizontal="center"/>
    </xf>
    <xf numFmtId="2" fontId="8" fillId="70" borderId="78" xfId="51" applyNumberFormat="1" applyFont="1" applyBorder="1" applyAlignment="1">
      <alignment horizontal="center"/>
    </xf>
    <xf numFmtId="2" fontId="0" fillId="70" borderId="77" xfId="51" applyNumberFormat="1" applyFont="1" applyBorder="1" applyAlignment="1">
      <alignment horizontal="right"/>
    </xf>
    <xf numFmtId="2" fontId="4" fillId="70" borderId="77" xfId="51" applyNumberFormat="1" applyFont="1" applyBorder="1"/>
    <xf numFmtId="167" fontId="86" fillId="69" borderId="84" xfId="50" applyNumberFormat="1" applyFont="1" applyBorder="1" applyAlignment="1">
      <alignment horizontal="center"/>
    </xf>
    <xf numFmtId="167" fontId="4" fillId="69" borderId="85" xfId="50" applyNumberFormat="1" applyBorder="1"/>
    <xf numFmtId="2" fontId="4" fillId="70" borderId="67" xfId="51" applyNumberFormat="1" applyFont="1" applyBorder="1"/>
    <xf numFmtId="2" fontId="4" fillId="70" borderId="70" xfId="51" applyNumberFormat="1" applyFont="1" applyBorder="1"/>
    <xf numFmtId="2" fontId="4" fillId="70" borderId="68" xfId="51" applyNumberFormat="1" applyFont="1" applyBorder="1"/>
    <xf numFmtId="2" fontId="4" fillId="70" borderId="69" xfId="51" applyNumberFormat="1" applyFont="1" applyBorder="1"/>
    <xf numFmtId="2" fontId="4" fillId="70" borderId="78" xfId="51" applyNumberFormat="1" applyFont="1" applyBorder="1"/>
    <xf numFmtId="3" fontId="0" fillId="70" borderId="68" xfId="51" applyNumberFormat="1" applyFont="1" applyBorder="1"/>
    <xf numFmtId="167" fontId="0" fillId="70" borderId="68" xfId="51" applyNumberFormat="1" applyFont="1" applyBorder="1"/>
    <xf numFmtId="167" fontId="0" fillId="70" borderId="80" xfId="51" applyNumberFormat="1" applyFont="1" applyBorder="1"/>
    <xf numFmtId="167" fontId="0" fillId="70" borderId="68" xfId="51" applyNumberFormat="1" applyFont="1" applyBorder="1" applyAlignment="1">
      <alignment horizontal="center"/>
    </xf>
    <xf numFmtId="167" fontId="0" fillId="70" borderId="80" xfId="51" applyNumberFormat="1" applyFont="1" applyBorder="1" applyAlignment="1">
      <alignment horizontal="center"/>
    </xf>
    <xf numFmtId="167" fontId="4" fillId="70" borderId="68" xfId="51" applyNumberFormat="1" applyFont="1" applyBorder="1"/>
    <xf numFmtId="167" fontId="4" fillId="70" borderId="80" xfId="51" applyNumberFormat="1" applyFont="1" applyBorder="1"/>
    <xf numFmtId="167" fontId="4" fillId="70" borderId="80" xfId="51" applyNumberFormat="1" applyFont="1" applyBorder="1" applyAlignment="1">
      <alignment horizontal="center"/>
    </xf>
    <xf numFmtId="167" fontId="4" fillId="70" borderId="68" xfId="51" applyNumberFormat="1" applyFont="1" applyBorder="1" applyAlignment="1">
      <alignment wrapText="1"/>
    </xf>
    <xf numFmtId="167" fontId="0" fillId="70" borderId="68" xfId="51" applyNumberFormat="1" applyFont="1" applyBorder="1" applyAlignment="1">
      <alignment wrapText="1"/>
    </xf>
    <xf numFmtId="167" fontId="0" fillId="70" borderId="68" xfId="51" applyNumberFormat="1" applyFont="1" applyBorder="1" applyAlignment="1">
      <alignment horizontal="left"/>
    </xf>
    <xf numFmtId="167" fontId="0" fillId="70" borderId="86" xfId="51" applyNumberFormat="1" applyFont="1" applyBorder="1"/>
    <xf numFmtId="167" fontId="64" fillId="70" borderId="86" xfId="51" applyNumberFormat="1" applyFont="1" applyBorder="1"/>
    <xf numFmtId="167" fontId="4" fillId="70" borderId="86" xfId="51" applyNumberFormat="1" applyFont="1" applyBorder="1"/>
    <xf numFmtId="167" fontId="0" fillId="70" borderId="83" xfId="51" applyNumberFormat="1" applyFont="1" applyBorder="1"/>
    <xf numFmtId="1" fontId="0" fillId="0" borderId="15" xfId="0" applyNumberFormat="1" applyFill="1" applyBorder="1" applyAlignment="1"/>
    <xf numFmtId="3" fontId="0" fillId="70" borderId="67" xfId="51" applyNumberFormat="1" applyFont="1" applyBorder="1"/>
    <xf numFmtId="167" fontId="0" fillId="70" borderId="67" xfId="51" applyNumberFormat="1" applyFont="1" applyBorder="1"/>
    <xf numFmtId="167" fontId="0" fillId="70" borderId="79" xfId="51" applyNumberFormat="1" applyFont="1" applyBorder="1"/>
    <xf numFmtId="167" fontId="0" fillId="70" borderId="87" xfId="51" applyNumberFormat="1" applyFont="1" applyBorder="1"/>
    <xf numFmtId="2" fontId="6" fillId="12" borderId="88" xfId="0" applyNumberFormat="1" applyFont="1" applyFill="1" applyBorder="1"/>
    <xf numFmtId="3" fontId="6" fillId="12" borderId="89" xfId="0" applyNumberFormat="1" applyFont="1" applyFill="1" applyBorder="1"/>
    <xf numFmtId="2" fontId="86" fillId="12" borderId="90" xfId="0" applyNumberFormat="1" applyFont="1" applyFill="1" applyBorder="1"/>
    <xf numFmtId="3" fontId="86" fillId="12" borderId="91" xfId="0" applyNumberFormat="1" applyFont="1" applyFill="1" applyBorder="1"/>
    <xf numFmtId="2" fontId="86" fillId="12" borderId="92" xfId="0" applyNumberFormat="1" applyFont="1" applyFill="1" applyBorder="1"/>
    <xf numFmtId="3" fontId="86" fillId="12" borderId="93" xfId="0" applyNumberFormat="1" applyFont="1" applyFill="1" applyBorder="1"/>
    <xf numFmtId="0" fontId="6" fillId="12" borderId="94" xfId="0" applyFont="1" applyFill="1" applyBorder="1"/>
    <xf numFmtId="1" fontId="6" fillId="12" borderId="88" xfId="0" applyNumberFormat="1" applyFont="1" applyFill="1" applyBorder="1"/>
    <xf numFmtId="0" fontId="6" fillId="12" borderId="95" xfId="0" applyFont="1" applyFill="1" applyBorder="1" applyAlignment="1">
      <alignment horizontal="center"/>
    </xf>
    <xf numFmtId="0" fontId="86" fillId="12" borderId="96" xfId="0" applyFont="1" applyFill="1" applyBorder="1" applyAlignment="1">
      <alignment horizontal="left" indent="2"/>
    </xf>
    <xf numFmtId="1" fontId="86" fillId="12" borderId="90" xfId="0" applyNumberFormat="1" applyFont="1" applyFill="1" applyBorder="1"/>
    <xf numFmtId="0" fontId="86" fillId="12" borderId="97" xfId="0" applyFont="1" applyFill="1" applyBorder="1" applyAlignment="1">
      <alignment horizontal="center"/>
    </xf>
    <xf numFmtId="0" fontId="86" fillId="12" borderId="98" xfId="0" applyFont="1" applyFill="1" applyBorder="1" applyAlignment="1">
      <alignment horizontal="left" indent="2"/>
    </xf>
    <xf numFmtId="1" fontId="86" fillId="12" borderId="92" xfId="0" applyNumberFormat="1" applyFont="1" applyFill="1" applyBorder="1"/>
    <xf numFmtId="0" fontId="86" fillId="12" borderId="99" xfId="0" applyFont="1" applyFill="1" applyBorder="1" applyAlignment="1">
      <alignment horizontal="center"/>
    </xf>
    <xf numFmtId="0" fontId="6" fillId="12" borderId="100" xfId="0" applyFont="1" applyFill="1" applyBorder="1"/>
    <xf numFmtId="1" fontId="6" fillId="12" borderId="101" xfId="0" applyNumberFormat="1" applyFont="1" applyFill="1" applyBorder="1"/>
    <xf numFmtId="0" fontId="6" fillId="12" borderId="102" xfId="0" applyFont="1" applyFill="1" applyBorder="1" applyAlignment="1">
      <alignment horizontal="center"/>
    </xf>
    <xf numFmtId="0" fontId="86" fillId="12" borderId="103" xfId="0" applyFont="1" applyFill="1" applyBorder="1" applyAlignment="1">
      <alignment horizontal="left" indent="2"/>
    </xf>
    <xf numFmtId="1" fontId="86" fillId="12" borderId="104" xfId="0" applyNumberFormat="1" applyFont="1" applyFill="1" applyBorder="1"/>
    <xf numFmtId="0" fontId="86" fillId="12" borderId="105" xfId="0" applyFont="1" applyFill="1" applyBorder="1" applyAlignment="1">
      <alignment horizontal="center"/>
    </xf>
    <xf numFmtId="0" fontId="86" fillId="12" borderId="106" xfId="0" applyFont="1" applyFill="1" applyBorder="1" applyAlignment="1">
      <alignment horizontal="left" indent="2"/>
    </xf>
    <xf numFmtId="1" fontId="86" fillId="12" borderId="107" xfId="0" applyNumberFormat="1" applyFont="1" applyFill="1" applyBorder="1"/>
    <xf numFmtId="0" fontId="86" fillId="12" borderId="108" xfId="0" applyFont="1" applyFill="1" applyBorder="1" applyAlignment="1">
      <alignment horizontal="center"/>
    </xf>
    <xf numFmtId="2" fontId="6" fillId="12" borderId="101" xfId="0" applyNumberFormat="1" applyFont="1" applyFill="1" applyBorder="1"/>
    <xf numFmtId="3" fontId="6" fillId="12" borderId="101" xfId="0" applyNumberFormat="1" applyFont="1" applyFill="1" applyBorder="1"/>
    <xf numFmtId="3" fontId="6" fillId="12" borderId="109" xfId="0" applyNumberFormat="1" applyFont="1" applyFill="1" applyBorder="1"/>
    <xf numFmtId="2" fontId="86" fillId="12" borderId="104" xfId="0" applyNumberFormat="1" applyFont="1" applyFill="1" applyBorder="1"/>
    <xf numFmtId="3" fontId="86" fillId="12" borderId="104" xfId="0" applyNumberFormat="1" applyFont="1" applyFill="1" applyBorder="1"/>
    <xf numFmtId="3" fontId="86" fillId="12" borderId="110" xfId="0" applyNumberFormat="1" applyFont="1" applyFill="1" applyBorder="1"/>
    <xf numFmtId="2" fontId="86" fillId="12" borderId="107" xfId="0" applyNumberFormat="1" applyFont="1" applyFill="1" applyBorder="1"/>
    <xf numFmtId="3" fontId="86" fillId="12" borderId="107" xfId="0" applyNumberFormat="1" applyFont="1" applyFill="1" applyBorder="1"/>
    <xf numFmtId="3" fontId="86" fillId="12" borderId="111" xfId="0" applyNumberFormat="1" applyFont="1" applyFill="1" applyBorder="1"/>
    <xf numFmtId="1" fontId="0" fillId="13" borderId="104" xfId="0" applyNumberFormat="1" applyFont="1" applyFill="1" applyBorder="1"/>
    <xf numFmtId="0" fontId="0" fillId="13" borderId="104" xfId="0" applyFont="1" applyFill="1" applyBorder="1"/>
    <xf numFmtId="167" fontId="0" fillId="0" borderId="0" xfId="0" applyNumberFormat="1" applyFont="1" applyFill="1" applyBorder="1" applyAlignment="1"/>
    <xf numFmtId="0" fontId="8" fillId="0" borderId="11" xfId="0" applyFont="1" applyBorder="1"/>
    <xf numFmtId="43" fontId="0" fillId="0" borderId="41" xfId="0" applyNumberFormat="1" applyFont="1" applyBorder="1"/>
    <xf numFmtId="0" fontId="0" fillId="0" borderId="11" xfId="0" applyFont="1" applyFill="1" applyBorder="1" applyAlignment="1">
      <alignment horizontal="right"/>
    </xf>
    <xf numFmtId="178" fontId="0" fillId="0" borderId="41" xfId="0" applyNumberFormat="1" applyFont="1" applyFill="1" applyBorder="1" applyAlignment="1">
      <alignment horizontal="right"/>
    </xf>
    <xf numFmtId="0" fontId="0" fillId="13" borderId="103" xfId="0" applyFont="1" applyFill="1" applyBorder="1"/>
    <xf numFmtId="0" fontId="0" fillId="13" borderId="110" xfId="0" applyFont="1" applyFill="1" applyBorder="1"/>
    <xf numFmtId="0" fontId="0" fillId="13" borderId="106" xfId="0" applyFont="1" applyFill="1" applyBorder="1"/>
    <xf numFmtId="0" fontId="0" fillId="13" borderId="107" xfId="0" applyFont="1" applyFill="1" applyBorder="1"/>
    <xf numFmtId="0" fontId="0" fillId="13" borderId="111" xfId="0" applyFont="1" applyFill="1" applyBorder="1"/>
    <xf numFmtId="0" fontId="0" fillId="0" borderId="41" xfId="0" applyFont="1" applyFill="1" applyBorder="1" applyAlignment="1">
      <alignment horizontal="right"/>
    </xf>
    <xf numFmtId="0" fontId="0" fillId="13" borderId="112" xfId="0" applyFont="1" applyFill="1" applyBorder="1"/>
    <xf numFmtId="0" fontId="0" fillId="13" borderId="113" xfId="0" applyFont="1" applyFill="1" applyBorder="1"/>
    <xf numFmtId="165" fontId="0" fillId="70" borderId="114" xfId="51" applyNumberFormat="1" applyFont="1" applyBorder="1"/>
    <xf numFmtId="165" fontId="0" fillId="70" borderId="86" xfId="51" applyNumberFormat="1" applyFont="1" applyBorder="1"/>
    <xf numFmtId="165" fontId="0" fillId="70" borderId="115" xfId="51" applyNumberFormat="1" applyFont="1" applyBorder="1"/>
    <xf numFmtId="1" fontId="0" fillId="13" borderId="116" xfId="0" applyNumberFormat="1" applyFont="1" applyFill="1" applyBorder="1"/>
    <xf numFmtId="0" fontId="0" fillId="13" borderId="116" xfId="0" applyFont="1" applyFill="1" applyBorder="1"/>
    <xf numFmtId="0" fontId="0" fillId="13" borderId="117" xfId="0" applyFont="1" applyFill="1" applyBorder="1"/>
    <xf numFmtId="0" fontId="0" fillId="13" borderId="118" xfId="0" applyFont="1" applyFill="1" applyBorder="1"/>
    <xf numFmtId="49" fontId="9" fillId="6" borderId="25" xfId="0" applyNumberFormat="1" applyFont="1" applyFill="1" applyBorder="1" applyAlignment="1">
      <alignment horizontal="center"/>
    </xf>
    <xf numFmtId="0" fontId="89" fillId="35" borderId="14" xfId="0" applyFont="1" applyFill="1" applyBorder="1" applyAlignment="1">
      <alignment horizontal="center" vertical="center"/>
    </xf>
    <xf numFmtId="0" fontId="89" fillId="35" borderId="15" xfId="0" applyFont="1" applyFill="1" applyBorder="1" applyAlignment="1">
      <alignment horizontal="center" vertical="center"/>
    </xf>
    <xf numFmtId="0" fontId="89" fillId="35" borderId="16" xfId="0" applyFont="1" applyFill="1" applyBorder="1" applyAlignment="1">
      <alignment horizontal="center" vertical="center"/>
    </xf>
    <xf numFmtId="0" fontId="89" fillId="35" borderId="24" xfId="0" applyFont="1" applyFill="1" applyBorder="1" applyAlignment="1">
      <alignment horizontal="center" vertical="center"/>
    </xf>
    <xf numFmtId="0" fontId="67" fillId="6" borderId="18" xfId="0" applyFont="1" applyFill="1" applyBorder="1" applyAlignment="1">
      <alignment horizontal="center"/>
    </xf>
    <xf numFmtId="0" fontId="67" fillId="6" borderId="19" xfId="0" applyFont="1" applyFill="1" applyBorder="1" applyAlignment="1">
      <alignment horizontal="center"/>
    </xf>
    <xf numFmtId="0" fontId="92" fillId="32" borderId="0" xfId="49" applyBorder="1" applyAlignment="1" applyProtection="1"/>
    <xf numFmtId="3" fontId="6" fillId="0" borderId="19" xfId="0" applyNumberFormat="1" applyFont="1" applyBorder="1"/>
    <xf numFmtId="49" fontId="6" fillId="13" borderId="15" xfId="0" applyNumberFormat="1" applyFont="1" applyFill="1" applyBorder="1" applyAlignment="1">
      <alignment horizontal="center"/>
    </xf>
    <xf numFmtId="49" fontId="6" fillId="13" borderId="16" xfId="0" applyNumberFormat="1" applyFont="1" applyFill="1" applyBorder="1" applyAlignment="1">
      <alignment horizontal="center"/>
    </xf>
    <xf numFmtId="49" fontId="9" fillId="13" borderId="1" xfId="0" applyNumberFormat="1" applyFont="1" applyFill="1" applyBorder="1" applyAlignment="1">
      <alignment horizontal="center"/>
    </xf>
    <xf numFmtId="49" fontId="9" fillId="13" borderId="19" xfId="0" applyNumberFormat="1" applyFont="1" applyFill="1" applyBorder="1" applyAlignment="1">
      <alignment horizontal="center"/>
    </xf>
    <xf numFmtId="2" fontId="0" fillId="0" borderId="0" xfId="0" applyNumberFormat="1" applyFill="1" applyBorder="1"/>
    <xf numFmtId="2" fontId="4" fillId="0" borderId="0" xfId="0" applyNumberFormat="1" applyFont="1" applyFill="1" applyBorder="1"/>
    <xf numFmtId="2" fontId="4" fillId="0" borderId="15" xfId="0" applyNumberFormat="1" applyFont="1" applyBorder="1"/>
    <xf numFmtId="0" fontId="24" fillId="0" borderId="1" xfId="0" applyFont="1" applyBorder="1"/>
    <xf numFmtId="0" fontId="0" fillId="0" borderId="0" xfId="0" applyFill="1"/>
    <xf numFmtId="3" fontId="0" fillId="2" borderId="0" xfId="0" applyNumberFormat="1" applyFill="1" applyBorder="1"/>
    <xf numFmtId="43" fontId="0" fillId="2" borderId="0" xfId="0" applyNumberFormat="1" applyFill="1" applyBorder="1"/>
    <xf numFmtId="170" fontId="0" fillId="0" borderId="0" xfId="52" applyFont="1" applyFill="1" applyBorder="1" applyAlignment="1">
      <alignment horizontal="right"/>
    </xf>
    <xf numFmtId="165" fontId="0" fillId="69" borderId="59" xfId="50" applyNumberFormat="1" applyFont="1" applyBorder="1" applyAlignment="1">
      <alignment horizontal="right"/>
    </xf>
    <xf numFmtId="165" fontId="0" fillId="0" borderId="19" xfId="0" applyNumberFormat="1" applyFont="1" applyFill="1" applyBorder="1"/>
    <xf numFmtId="165" fontId="0" fillId="70" borderId="70" xfId="51" applyNumberFormat="1" applyFont="1" applyBorder="1"/>
    <xf numFmtId="165" fontId="0" fillId="70" borderId="77" xfId="51" applyNumberFormat="1" applyFont="1" applyBorder="1"/>
    <xf numFmtId="170" fontId="0" fillId="0" borderId="15" xfId="52" applyFont="1" applyBorder="1"/>
    <xf numFmtId="170" fontId="0" fillId="0" borderId="0" xfId="52" applyFont="1" applyFill="1" applyBorder="1"/>
    <xf numFmtId="170" fontId="0" fillId="0" borderId="16" xfId="52" applyFont="1" applyBorder="1"/>
    <xf numFmtId="170" fontId="0" fillId="0" borderId="17" xfId="52" applyFont="1" applyFill="1" applyBorder="1"/>
    <xf numFmtId="170" fontId="4" fillId="0" borderId="17" xfId="52" applyFont="1" applyFill="1" applyBorder="1"/>
    <xf numFmtId="170" fontId="0" fillId="0" borderId="16" xfId="52" applyFont="1" applyFill="1" applyBorder="1"/>
    <xf numFmtId="170" fontId="0" fillId="0" borderId="41" xfId="52" applyFont="1" applyFill="1" applyBorder="1"/>
    <xf numFmtId="170" fontId="0" fillId="0" borderId="19" xfId="52" applyFont="1" applyFill="1" applyBorder="1"/>
    <xf numFmtId="2" fontId="0" fillId="18" borderId="0" xfId="0" applyNumberFormat="1" applyFill="1" applyBorder="1"/>
    <xf numFmtId="2" fontId="8" fillId="0" borderId="0" xfId="0" applyNumberFormat="1" applyFont="1" applyFill="1" applyBorder="1"/>
    <xf numFmtId="2" fontId="8" fillId="0" borderId="1" xfId="0" applyNumberFormat="1" applyFont="1" applyFill="1" applyBorder="1"/>
    <xf numFmtId="2" fontId="0" fillId="0" borderId="17" xfId="0" applyNumberFormat="1" applyFont="1" applyFill="1" applyBorder="1"/>
    <xf numFmtId="43" fontId="0" fillId="0" borderId="17" xfId="0" applyNumberFormat="1" applyFont="1" applyFill="1" applyBorder="1"/>
    <xf numFmtId="170" fontId="0" fillId="0" borderId="1" xfId="52" applyFont="1" applyFill="1" applyBorder="1"/>
    <xf numFmtId="43" fontId="0" fillId="70" borderId="67" xfId="51" applyNumberFormat="1" applyFont="1" applyBorder="1"/>
    <xf numFmtId="43" fontId="0" fillId="70" borderId="70" xfId="51" applyNumberFormat="1" applyFont="1" applyBorder="1"/>
    <xf numFmtId="43" fontId="0" fillId="70" borderId="68" xfId="51" applyNumberFormat="1" applyFont="1" applyBorder="1"/>
    <xf numFmtId="43" fontId="0" fillId="70" borderId="77" xfId="51" applyNumberFormat="1" applyFont="1" applyBorder="1"/>
    <xf numFmtId="43" fontId="0" fillId="70" borderId="69" xfId="51" applyNumberFormat="1" applyFont="1" applyBorder="1"/>
    <xf numFmtId="43" fontId="0" fillId="70" borderId="78" xfId="51" applyNumberFormat="1" applyFont="1" applyBorder="1"/>
    <xf numFmtId="0" fontId="4" fillId="32" borderId="2" xfId="49" applyFont="1" applyBorder="1" applyAlignment="1" applyProtection="1"/>
    <xf numFmtId="3" fontId="0" fillId="69" borderId="119" xfId="50" applyNumberFormat="1" applyFont="1" applyBorder="1"/>
    <xf numFmtId="0" fontId="0" fillId="0" borderId="15" xfId="0" applyBorder="1" applyAlignment="1"/>
    <xf numFmtId="3" fontId="0" fillId="69" borderId="120" xfId="50" applyNumberFormat="1" applyFont="1" applyBorder="1" applyAlignment="1"/>
    <xf numFmtId="2" fontId="6" fillId="15" borderId="14" xfId="0" applyNumberFormat="1" applyFont="1" applyFill="1" applyBorder="1" applyAlignment="1">
      <alignment horizontal="center"/>
    </xf>
    <xf numFmtId="2" fontId="9" fillId="15" borderId="18" xfId="0" applyNumberFormat="1" applyFont="1" applyFill="1" applyBorder="1" applyAlignment="1">
      <alignment horizontal="center"/>
    </xf>
    <xf numFmtId="0" fontId="0" fillId="0" borderId="14" xfId="0" applyBorder="1" applyAlignment="1">
      <alignment wrapText="1"/>
    </xf>
    <xf numFmtId="1" fontId="0" fillId="0" borderId="0" xfId="0" applyNumberFormat="1" applyBorder="1" applyAlignment="1">
      <alignment horizontal="left" wrapText="1"/>
    </xf>
    <xf numFmtId="0" fontId="0" fillId="0" borderId="11" xfId="0" applyBorder="1" applyAlignment="1">
      <alignment wrapText="1"/>
    </xf>
    <xf numFmtId="0" fontId="0" fillId="0" borderId="0" xfId="0" applyBorder="1" applyAlignment="1">
      <alignment wrapText="1"/>
    </xf>
    <xf numFmtId="2" fontId="0" fillId="0" borderId="41" xfId="0" applyNumberFormat="1" applyFill="1" applyBorder="1" applyAlignment="1"/>
    <xf numFmtId="0" fontId="0" fillId="0" borderId="18" xfId="0" applyBorder="1" applyAlignment="1">
      <alignment wrapText="1"/>
    </xf>
    <xf numFmtId="2" fontId="6" fillId="4" borderId="16" xfId="0" applyNumberFormat="1" applyFont="1" applyFill="1" applyBorder="1" applyAlignment="1">
      <alignment horizontal="center"/>
    </xf>
    <xf numFmtId="0" fontId="6" fillId="0" borderId="22" xfId="0" applyFont="1" applyFill="1" applyBorder="1"/>
    <xf numFmtId="49" fontId="0" fillId="0" borderId="0" xfId="0" applyNumberFormat="1" applyBorder="1"/>
    <xf numFmtId="167" fontId="0" fillId="0" borderId="0" xfId="0" applyNumberFormat="1" applyFont="1" applyFill="1" applyBorder="1"/>
    <xf numFmtId="167" fontId="0" fillId="0" borderId="41" xfId="0" applyNumberFormat="1" applyFont="1" applyFill="1" applyBorder="1"/>
    <xf numFmtId="167" fontId="6" fillId="0" borderId="21" xfId="0" applyNumberFormat="1" applyFont="1" applyBorder="1"/>
    <xf numFmtId="167" fontId="0" fillId="0" borderId="15" xfId="0" applyNumberFormat="1" applyFont="1" applyFill="1" applyBorder="1"/>
    <xf numFmtId="167" fontId="0" fillId="0" borderId="16" xfId="0" applyNumberFormat="1" applyFont="1" applyFill="1" applyBorder="1"/>
    <xf numFmtId="49" fontId="0" fillId="0" borderId="11" xfId="0" applyNumberFormat="1" applyFill="1" applyBorder="1"/>
    <xf numFmtId="49" fontId="0" fillId="0" borderId="14" xfId="0" applyNumberFormat="1" applyBorder="1"/>
    <xf numFmtId="49" fontId="0" fillId="0" borderId="15" xfId="0" applyNumberFormat="1" applyBorder="1"/>
    <xf numFmtId="49" fontId="0" fillId="0" borderId="11" xfId="0" applyNumberFormat="1" applyBorder="1"/>
    <xf numFmtId="0" fontId="6" fillId="4" borderId="15" xfId="0" applyNumberFormat="1" applyFont="1" applyFill="1" applyBorder="1" applyAlignment="1">
      <alignment horizontal="center"/>
    </xf>
    <xf numFmtId="0" fontId="6" fillId="4" borderId="16" xfId="0" applyNumberFormat="1" applyFont="1" applyFill="1" applyBorder="1" applyAlignment="1">
      <alignment horizontal="center"/>
    </xf>
    <xf numFmtId="49" fontId="6" fillId="4" borderId="14" xfId="0" applyNumberFormat="1" applyFont="1" applyFill="1" applyBorder="1" applyAlignment="1">
      <alignment horizontal="center"/>
    </xf>
    <xf numFmtId="49" fontId="6" fillId="4" borderId="15" xfId="0" applyNumberFormat="1" applyFont="1" applyFill="1" applyBorder="1" applyAlignment="1">
      <alignment horizontal="center"/>
    </xf>
    <xf numFmtId="2" fontId="6" fillId="4" borderId="15" xfId="0" applyNumberFormat="1" applyFont="1" applyFill="1" applyBorder="1" applyAlignment="1">
      <alignment horizontal="center"/>
    </xf>
    <xf numFmtId="49" fontId="9" fillId="4" borderId="18" xfId="0" applyNumberFormat="1" applyFont="1" applyFill="1" applyBorder="1" applyAlignment="1">
      <alignment horizontal="center"/>
    </xf>
    <xf numFmtId="49" fontId="9" fillId="4" borderId="1" xfId="0" applyNumberFormat="1" applyFont="1" applyFill="1" applyBorder="1" applyAlignment="1">
      <alignment horizontal="center"/>
    </xf>
    <xf numFmtId="3" fontId="9" fillId="4" borderId="1" xfId="0" applyNumberFormat="1" applyFont="1" applyFill="1" applyBorder="1" applyAlignment="1">
      <alignment horizontal="center"/>
    </xf>
    <xf numFmtId="2" fontId="9" fillId="4" borderId="1" xfId="0" applyNumberFormat="1" applyFont="1" applyFill="1" applyBorder="1" applyAlignment="1">
      <alignment horizontal="center"/>
    </xf>
    <xf numFmtId="0" fontId="6" fillId="4" borderId="16" xfId="0" applyFont="1" applyFill="1" applyBorder="1" applyAlignment="1">
      <alignment horizontal="center"/>
    </xf>
    <xf numFmtId="0" fontId="9" fillId="4" borderId="19" xfId="0" applyFont="1" applyFill="1" applyBorder="1" applyAlignment="1">
      <alignment horizontal="center"/>
    </xf>
    <xf numFmtId="3" fontId="6" fillId="4" borderId="15" xfId="0" applyNumberFormat="1" applyFont="1" applyFill="1" applyBorder="1" applyAlignment="1">
      <alignment horizontal="center"/>
    </xf>
    <xf numFmtId="3" fontId="9" fillId="4" borderId="0" xfId="0" applyNumberFormat="1" applyFont="1" applyFill="1" applyBorder="1" applyAlignment="1">
      <alignment horizontal="center"/>
    </xf>
    <xf numFmtId="3" fontId="9" fillId="4" borderId="41" xfId="0" applyNumberFormat="1" applyFont="1" applyFill="1" applyBorder="1" applyAlignment="1">
      <alignment horizontal="center"/>
    </xf>
    <xf numFmtId="167" fontId="0" fillId="0" borderId="21" xfId="0" applyNumberFormat="1" applyFont="1" applyBorder="1"/>
    <xf numFmtId="2" fontId="0" fillId="0" borderId="22" xfId="0" applyNumberFormat="1" applyFill="1" applyBorder="1"/>
    <xf numFmtId="43" fontId="0" fillId="0" borderId="0" xfId="0" applyNumberFormat="1" applyFont="1" applyFill="1" applyBorder="1"/>
    <xf numFmtId="49" fontId="0" fillId="0" borderId="20" xfId="0" applyNumberFormat="1" applyFill="1" applyBorder="1" applyAlignment="1"/>
    <xf numFmtId="0" fontId="4" fillId="0" borderId="21" xfId="0" applyNumberFormat="1" applyFont="1" applyFill="1" applyBorder="1" applyAlignment="1"/>
    <xf numFmtId="167" fontId="0" fillId="0" borderId="21" xfId="0" applyNumberFormat="1" applyFont="1" applyFill="1" applyBorder="1" applyAlignment="1"/>
    <xf numFmtId="43" fontId="0" fillId="0" borderId="15" xfId="0" applyNumberFormat="1" applyFont="1" applyFill="1" applyBorder="1"/>
    <xf numFmtId="49" fontId="6" fillId="0" borderId="20" xfId="0" applyNumberFormat="1" applyFont="1" applyBorder="1"/>
    <xf numFmtId="49" fontId="0" fillId="0" borderId="21" xfId="0" applyNumberFormat="1" applyBorder="1"/>
    <xf numFmtId="0" fontId="0" fillId="0" borderId="21" xfId="0" applyFont="1" applyFill="1" applyBorder="1"/>
    <xf numFmtId="0" fontId="0" fillId="2" borderId="21" xfId="0" applyFill="1" applyBorder="1" applyAlignment="1"/>
    <xf numFmtId="2" fontId="0" fillId="2" borderId="21" xfId="0" applyNumberFormat="1" applyFill="1" applyBorder="1" applyAlignment="1"/>
    <xf numFmtId="0" fontId="0" fillId="0" borderId="15" xfId="0" applyNumberFormat="1" applyBorder="1" applyAlignment="1">
      <alignment horizontal="right" indent="1"/>
    </xf>
    <xf numFmtId="0" fontId="0" fillId="0" borderId="0" xfId="0" applyNumberFormat="1" applyBorder="1" applyAlignment="1">
      <alignment horizontal="right" indent="1"/>
    </xf>
    <xf numFmtId="2" fontId="0" fillId="0" borderId="0" xfId="0" applyNumberFormat="1" applyFont="1" applyFill="1" applyBorder="1"/>
    <xf numFmtId="49" fontId="4" fillId="0" borderId="11" xfId="0" applyNumberFormat="1" applyFont="1" applyFill="1" applyBorder="1"/>
    <xf numFmtId="2" fontId="0" fillId="0" borderId="15" xfId="0" applyNumberFormat="1" applyFont="1" applyFill="1" applyBorder="1"/>
    <xf numFmtId="167" fontId="0" fillId="69" borderId="54" xfId="50" applyNumberFormat="1" applyFont="1" applyBorder="1"/>
    <xf numFmtId="167" fontId="0" fillId="69" borderId="55" xfId="50" applyNumberFormat="1" applyFont="1" applyBorder="1"/>
    <xf numFmtId="167" fontId="4" fillId="69" borderId="53" xfId="50" applyNumberFormat="1" applyBorder="1"/>
    <xf numFmtId="167" fontId="4" fillId="69" borderId="54" xfId="50" applyNumberFormat="1" applyBorder="1"/>
    <xf numFmtId="0" fontId="0" fillId="70" borderId="72" xfId="51" applyNumberFormat="1" applyFont="1" applyBorder="1" applyAlignment="1">
      <alignment horizontal="center"/>
    </xf>
    <xf numFmtId="0" fontId="0" fillId="70" borderId="73" xfId="51" applyNumberFormat="1" applyFont="1" applyBorder="1" applyAlignment="1">
      <alignment horizontal="center"/>
    </xf>
    <xf numFmtId="0" fontId="0" fillId="70" borderId="74" xfId="51" applyNumberFormat="1" applyFont="1" applyBorder="1" applyAlignment="1">
      <alignment horizontal="center"/>
    </xf>
    <xf numFmtId="0" fontId="9" fillId="4" borderId="1" xfId="0" applyFont="1" applyFill="1" applyBorder="1" applyAlignment="1">
      <alignment horizontal="center"/>
    </xf>
    <xf numFmtId="2" fontId="9" fillId="4" borderId="19" xfId="0" applyNumberFormat="1" applyFont="1" applyFill="1" applyBorder="1" applyAlignment="1">
      <alignment horizontal="center"/>
    </xf>
    <xf numFmtId="43" fontId="0" fillId="0" borderId="1" xfId="0" applyNumberFormat="1" applyFont="1" applyFill="1" applyBorder="1"/>
    <xf numFmtId="3" fontId="9" fillId="4" borderId="18" xfId="0" applyNumberFormat="1" applyFont="1" applyFill="1" applyBorder="1" applyAlignment="1">
      <alignment horizontal="center"/>
    </xf>
    <xf numFmtId="49" fontId="6" fillId="4" borderId="16" xfId="0" applyNumberFormat="1" applyFont="1" applyFill="1" applyBorder="1" applyAlignment="1">
      <alignment horizontal="center"/>
    </xf>
    <xf numFmtId="49" fontId="36" fillId="4" borderId="41" xfId="0" applyNumberFormat="1" applyFont="1" applyFill="1" applyBorder="1" applyAlignment="1">
      <alignment horizontal="center"/>
    </xf>
    <xf numFmtId="2" fontId="0" fillId="70" borderId="121" xfId="51" applyNumberFormat="1" applyFont="1" applyBorder="1" applyAlignment="1">
      <alignment horizontal="right"/>
    </xf>
    <xf numFmtId="2" fontId="0" fillId="70" borderId="78" xfId="51" applyNumberFormat="1" applyFont="1" applyBorder="1" applyAlignment="1">
      <alignment horizontal="right"/>
    </xf>
    <xf numFmtId="2" fontId="0" fillId="0" borderId="0" xfId="0" applyNumberFormat="1" applyFont="1" applyFill="1" applyBorder="1"/>
    <xf numFmtId="167" fontId="0" fillId="0" borderId="0" xfId="0" applyNumberFormat="1" applyFont="1" applyFill="1" applyBorder="1" applyAlignment="1"/>
    <xf numFmtId="0" fontId="6" fillId="4" borderId="14" xfId="0" applyNumberFormat="1" applyFont="1" applyFill="1" applyBorder="1" applyAlignment="1">
      <alignment horizontal="center"/>
    </xf>
    <xf numFmtId="3" fontId="36" fillId="4" borderId="18" xfId="0" applyNumberFormat="1" applyFont="1" applyFill="1" applyBorder="1" applyAlignment="1">
      <alignment horizontal="center"/>
    </xf>
    <xf numFmtId="3" fontId="0" fillId="69" borderId="122" xfId="50" applyNumberFormat="1" applyFont="1" applyBorder="1"/>
    <xf numFmtId="3" fontId="0" fillId="69" borderId="123" xfId="50" applyNumberFormat="1" applyFont="1" applyBorder="1"/>
    <xf numFmtId="3" fontId="0" fillId="69" borderId="124" xfId="50" applyNumberFormat="1" applyFont="1" applyBorder="1"/>
    <xf numFmtId="167" fontId="4" fillId="69" borderId="122" xfId="50" applyNumberFormat="1" applyBorder="1"/>
    <xf numFmtId="167" fontId="4" fillId="69" borderId="123" xfId="50" applyNumberFormat="1" applyBorder="1"/>
    <xf numFmtId="167" fontId="0" fillId="69" borderId="123" xfId="50" applyNumberFormat="1" applyFont="1" applyBorder="1"/>
    <xf numFmtId="167" fontId="0" fillId="69" borderId="124" xfId="50" applyNumberFormat="1" applyFont="1" applyBorder="1"/>
    <xf numFmtId="0" fontId="21" fillId="11" borderId="14" xfId="0" applyNumberFormat="1" applyFont="1" applyFill="1" applyBorder="1" applyAlignment="1">
      <alignment horizontal="center"/>
    </xf>
    <xf numFmtId="3" fontId="33" fillId="11" borderId="18" xfId="0" applyNumberFormat="1" applyFont="1" applyFill="1" applyBorder="1" applyAlignment="1">
      <alignment horizontal="center"/>
    </xf>
    <xf numFmtId="0" fontId="0" fillId="69" borderId="122" xfId="50" applyNumberFormat="1" applyFont="1" applyBorder="1" applyAlignment="1">
      <alignment horizontal="left" wrapText="1"/>
    </xf>
    <xf numFmtId="0" fontId="0" fillId="69" borderId="123" xfId="50" applyNumberFormat="1" applyFont="1" applyBorder="1" applyAlignment="1">
      <alignment horizontal="left" wrapText="1"/>
    </xf>
    <xf numFmtId="0" fontId="0" fillId="69" borderId="124" xfId="50" applyNumberFormat="1" applyFont="1" applyBorder="1" applyAlignment="1">
      <alignment horizontal="left" wrapText="1"/>
    </xf>
    <xf numFmtId="2" fontId="9" fillId="4" borderId="0" xfId="0" applyNumberFormat="1" applyFont="1" applyFill="1" applyBorder="1" applyAlignment="1">
      <alignment horizontal="center"/>
    </xf>
    <xf numFmtId="2" fontId="6" fillId="12" borderId="95" xfId="0" applyNumberFormat="1" applyFont="1" applyFill="1" applyBorder="1"/>
    <xf numFmtId="2" fontId="86" fillId="12" borderId="97" xfId="0" applyNumberFormat="1" applyFont="1" applyFill="1" applyBorder="1"/>
    <xf numFmtId="2" fontId="86" fillId="12" borderId="99" xfId="0" applyNumberFormat="1" applyFont="1" applyFill="1" applyBorder="1"/>
    <xf numFmtId="2" fontId="6" fillId="12" borderId="125" xfId="0" applyNumberFormat="1" applyFont="1" applyFill="1" applyBorder="1"/>
    <xf numFmtId="2" fontId="86" fillId="12" borderId="126" xfId="0" applyNumberFormat="1" applyFont="1" applyFill="1" applyBorder="1"/>
    <xf numFmtId="2" fontId="86" fillId="12" borderId="127" xfId="0" applyNumberFormat="1" applyFont="1" applyFill="1" applyBorder="1"/>
    <xf numFmtId="0" fontId="6" fillId="70" borderId="128" xfId="51" applyNumberFormat="1" applyFont="1" applyBorder="1" applyAlignment="1">
      <alignment horizontal="center"/>
    </xf>
    <xf numFmtId="0" fontId="86" fillId="70" borderId="129" xfId="51" applyNumberFormat="1" applyFont="1" applyBorder="1" applyAlignment="1">
      <alignment horizontal="center"/>
    </xf>
    <xf numFmtId="0" fontId="86" fillId="70" borderId="130" xfId="51" applyNumberFormat="1" applyFont="1" applyBorder="1" applyAlignment="1">
      <alignment horizontal="center"/>
    </xf>
    <xf numFmtId="0" fontId="6" fillId="70" borderId="129" xfId="51" applyNumberFormat="1" applyFont="1" applyBorder="1" applyAlignment="1">
      <alignment horizontal="center"/>
    </xf>
    <xf numFmtId="0" fontId="6" fillId="70" borderId="131" xfId="51" applyNumberFormat="1" applyFont="1" applyBorder="1" applyAlignment="1">
      <alignment horizontal="center"/>
    </xf>
    <xf numFmtId="0" fontId="65" fillId="70" borderId="128" xfId="51" applyNumberFormat="1" applyBorder="1" applyAlignment="1">
      <alignment horizontal="center"/>
    </xf>
    <xf numFmtId="0" fontId="65" fillId="70" borderId="129" xfId="51" applyNumberFormat="1" applyBorder="1" applyAlignment="1">
      <alignment horizontal="center"/>
    </xf>
    <xf numFmtId="0" fontId="65" fillId="70" borderId="130" xfId="51" applyNumberFormat="1" applyBorder="1" applyAlignment="1">
      <alignment horizontal="center"/>
    </xf>
    <xf numFmtId="0" fontId="65" fillId="70" borderId="131" xfId="51" applyNumberFormat="1" applyBorder="1" applyAlignment="1">
      <alignment horizontal="center"/>
    </xf>
    <xf numFmtId="0" fontId="21" fillId="14" borderId="15" xfId="0" applyFont="1" applyFill="1" applyBorder="1" applyAlignment="1">
      <alignment horizontal="center"/>
    </xf>
    <xf numFmtId="43" fontId="0" fillId="0" borderId="15" xfId="0" applyNumberFormat="1" applyFont="1" applyFill="1" applyBorder="1" applyAlignment="1"/>
    <xf numFmtId="43" fontId="0" fillId="0" borderId="16" xfId="0" applyNumberFormat="1" applyFont="1" applyFill="1" applyBorder="1"/>
    <xf numFmtId="43" fontId="0" fillId="0" borderId="41" xfId="0" applyNumberFormat="1" applyFont="1" applyFill="1" applyBorder="1"/>
    <xf numFmtId="0" fontId="0" fillId="70" borderId="132" xfId="51" applyNumberFormat="1" applyFont="1" applyBorder="1" applyAlignment="1"/>
    <xf numFmtId="0" fontId="0" fillId="70" borderId="133" xfId="51" applyNumberFormat="1" applyFont="1" applyBorder="1" applyAlignment="1"/>
    <xf numFmtId="0" fontId="0" fillId="70" borderId="134" xfId="51" applyNumberFormat="1" applyFont="1" applyBorder="1" applyAlignment="1"/>
    <xf numFmtId="167" fontId="0" fillId="0" borderId="16" xfId="0" applyNumberFormat="1" applyFont="1" applyFill="1" applyBorder="1" applyAlignment="1"/>
    <xf numFmtId="167" fontId="0" fillId="0" borderId="0" xfId="0" applyNumberFormat="1" applyFont="1" applyFill="1" applyBorder="1"/>
    <xf numFmtId="2" fontId="0" fillId="0" borderId="0" xfId="0" applyNumberFormat="1" applyFont="1" applyFill="1" applyBorder="1"/>
    <xf numFmtId="167" fontId="0" fillId="0" borderId="11" xfId="0" applyNumberFormat="1" applyFont="1" applyFill="1" applyBorder="1"/>
    <xf numFmtId="167" fontId="0" fillId="0" borderId="0" xfId="0" applyNumberFormat="1" applyFont="1" applyFill="1" applyBorder="1"/>
    <xf numFmtId="49" fontId="6" fillId="33" borderId="15" xfId="0" applyNumberFormat="1" applyFont="1" applyFill="1" applyBorder="1" applyAlignment="1">
      <alignment horizontal="center"/>
    </xf>
    <xf numFmtId="49" fontId="9" fillId="33" borderId="1" xfId="0" applyNumberFormat="1" applyFont="1" applyFill="1" applyBorder="1" applyAlignment="1">
      <alignment horizontal="center"/>
    </xf>
    <xf numFmtId="49" fontId="93" fillId="71" borderId="15" xfId="0" applyNumberFormat="1" applyFont="1" applyFill="1" applyBorder="1" applyAlignment="1">
      <alignment horizontal="center"/>
    </xf>
    <xf numFmtId="49" fontId="74" fillId="71" borderId="1" xfId="0" applyNumberFormat="1" applyFont="1" applyFill="1" applyBorder="1" applyAlignment="1">
      <alignment horizontal="center"/>
    </xf>
    <xf numFmtId="49" fontId="6" fillId="34" borderId="15" xfId="0" applyNumberFormat="1" applyFont="1" applyFill="1" applyBorder="1" applyAlignment="1">
      <alignment horizontal="center"/>
    </xf>
    <xf numFmtId="49" fontId="9" fillId="34" borderId="1" xfId="0" applyNumberFormat="1" applyFont="1" applyFill="1" applyBorder="1" applyAlignment="1">
      <alignment horizontal="center"/>
    </xf>
    <xf numFmtId="49" fontId="21" fillId="11" borderId="15" xfId="0" applyNumberFormat="1" applyFont="1" applyFill="1" applyBorder="1" applyAlignment="1">
      <alignment horizontal="center"/>
    </xf>
    <xf numFmtId="49" fontId="19" fillId="11" borderId="1" xfId="0" applyNumberFormat="1" applyFont="1" applyFill="1" applyBorder="1" applyAlignment="1">
      <alignment horizontal="center"/>
    </xf>
    <xf numFmtId="167" fontId="0" fillId="0" borderId="0" xfId="0" applyNumberFormat="1" applyFont="1" applyFill="1" applyBorder="1"/>
    <xf numFmtId="2" fontId="0" fillId="0" borderId="0" xfId="0" applyNumberFormat="1" applyFont="1" applyFill="1" applyBorder="1"/>
    <xf numFmtId="0" fontId="6" fillId="33" borderId="15" xfId="0" applyNumberFormat="1" applyFont="1" applyFill="1" applyBorder="1" applyAlignment="1">
      <alignment horizontal="center"/>
    </xf>
    <xf numFmtId="0" fontId="6" fillId="33" borderId="16" xfId="0" applyNumberFormat="1" applyFont="1" applyFill="1" applyBorder="1" applyAlignment="1">
      <alignment horizontal="center"/>
    </xf>
    <xf numFmtId="0" fontId="36" fillId="33" borderId="1" xfId="0" applyNumberFormat="1" applyFont="1" applyFill="1" applyBorder="1" applyAlignment="1">
      <alignment horizontal="center"/>
    </xf>
    <xf numFmtId="0" fontId="36" fillId="33" borderId="41" xfId="0" applyNumberFormat="1" applyFont="1" applyFill="1" applyBorder="1" applyAlignment="1">
      <alignment horizontal="center"/>
    </xf>
    <xf numFmtId="0" fontId="93" fillId="71" borderId="15" xfId="0" applyNumberFormat="1" applyFont="1" applyFill="1" applyBorder="1" applyAlignment="1">
      <alignment horizontal="center"/>
    </xf>
    <xf numFmtId="0" fontId="93" fillId="71" borderId="16" xfId="0" applyNumberFormat="1" applyFont="1" applyFill="1" applyBorder="1" applyAlignment="1">
      <alignment horizontal="center"/>
    </xf>
    <xf numFmtId="0" fontId="74" fillId="71" borderId="0" xfId="0" applyNumberFormat="1" applyFont="1" applyFill="1" applyBorder="1" applyAlignment="1">
      <alignment horizontal="center"/>
    </xf>
    <xf numFmtId="0" fontId="74" fillId="71" borderId="17" xfId="0" applyNumberFormat="1" applyFont="1" applyFill="1" applyBorder="1" applyAlignment="1">
      <alignment horizontal="center"/>
    </xf>
    <xf numFmtId="0" fontId="74" fillId="71" borderId="1" xfId="0" applyNumberFormat="1" applyFont="1" applyFill="1" applyBorder="1" applyAlignment="1">
      <alignment horizontal="center"/>
    </xf>
    <xf numFmtId="0" fontId="6" fillId="34" borderId="15" xfId="0" applyNumberFormat="1" applyFont="1" applyFill="1" applyBorder="1" applyAlignment="1">
      <alignment horizontal="center"/>
    </xf>
    <xf numFmtId="0" fontId="6" fillId="34" borderId="16" xfId="0" applyNumberFormat="1" applyFont="1" applyFill="1" applyBorder="1" applyAlignment="1">
      <alignment horizontal="center"/>
    </xf>
    <xf numFmtId="0" fontId="36" fillId="34" borderId="1" xfId="0" applyNumberFormat="1" applyFont="1" applyFill="1" applyBorder="1" applyAlignment="1">
      <alignment horizontal="center"/>
    </xf>
    <xf numFmtId="0" fontId="36" fillId="34" borderId="19" xfId="0" applyNumberFormat="1" applyFont="1" applyFill="1" applyBorder="1" applyAlignment="1">
      <alignment horizontal="center"/>
    </xf>
    <xf numFmtId="0" fontId="36" fillId="34" borderId="17" xfId="0" applyNumberFormat="1" applyFont="1" applyFill="1" applyBorder="1" applyAlignment="1">
      <alignment horizontal="center"/>
    </xf>
    <xf numFmtId="0" fontId="6" fillId="33" borderId="14" xfId="0" applyNumberFormat="1" applyFont="1" applyFill="1" applyBorder="1" applyAlignment="1">
      <alignment horizontal="center"/>
    </xf>
    <xf numFmtId="0" fontId="36" fillId="33" borderId="18" xfId="0" applyNumberFormat="1" applyFont="1" applyFill="1" applyBorder="1" applyAlignment="1">
      <alignment horizontal="center"/>
    </xf>
    <xf numFmtId="167" fontId="0" fillId="0" borderId="14" xfId="0" applyNumberFormat="1" applyFont="1" applyFill="1" applyBorder="1"/>
    <xf numFmtId="167" fontId="0" fillId="0" borderId="18" xfId="0" applyNumberFormat="1" applyFont="1" applyFill="1" applyBorder="1"/>
    <xf numFmtId="167" fontId="0" fillId="0" borderId="14" xfId="0" applyNumberFormat="1" applyFill="1" applyBorder="1"/>
    <xf numFmtId="167" fontId="0" fillId="0" borderId="11" xfId="0" applyNumberFormat="1" applyFill="1" applyBorder="1"/>
    <xf numFmtId="43" fontId="0" fillId="0" borderId="41" xfId="0" applyNumberFormat="1" applyFill="1" applyBorder="1"/>
    <xf numFmtId="167" fontId="0" fillId="0" borderId="18" xfId="0" applyNumberFormat="1" applyFill="1" applyBorder="1"/>
    <xf numFmtId="0" fontId="0" fillId="2" borderId="3" xfId="0" applyFill="1" applyBorder="1" applyAlignment="1"/>
    <xf numFmtId="2" fontId="0" fillId="0" borderId="135" xfId="0" applyNumberFormat="1" applyFont="1" applyFill="1" applyBorder="1"/>
    <xf numFmtId="2" fontId="0" fillId="0" borderId="136" xfId="0" applyNumberFormat="1" applyFont="1" applyFill="1" applyBorder="1"/>
    <xf numFmtId="2" fontId="0" fillId="0" borderId="137" xfId="0" applyNumberFormat="1" applyFont="1" applyFill="1" applyBorder="1"/>
    <xf numFmtId="167" fontId="0" fillId="69" borderId="63" xfId="50" applyNumberFormat="1" applyFont="1" applyBorder="1"/>
    <xf numFmtId="167" fontId="0" fillId="69" borderId="138" xfId="50" applyNumberFormat="1" applyFont="1" applyBorder="1"/>
    <xf numFmtId="49" fontId="6" fillId="32" borderId="3" xfId="0" applyNumberFormat="1" applyFont="1" applyFill="1" applyBorder="1" applyAlignment="1">
      <alignment horizontal="center"/>
    </xf>
    <xf numFmtId="49" fontId="9" fillId="32" borderId="3" xfId="0" applyNumberFormat="1" applyFont="1" applyFill="1" applyBorder="1" applyAlignment="1">
      <alignment horizontal="center"/>
    </xf>
    <xf numFmtId="167" fontId="0" fillId="32" borderId="3" xfId="0" applyNumberFormat="1" applyFont="1" applyFill="1" applyBorder="1"/>
    <xf numFmtId="0" fontId="0" fillId="32" borderId="0" xfId="0" applyFont="1" applyFill="1" applyAlignment="1"/>
    <xf numFmtId="169" fontId="0" fillId="0" borderId="15" xfId="52" applyNumberFormat="1" applyFont="1" applyBorder="1"/>
    <xf numFmtId="0" fontId="65" fillId="70" borderId="70" xfId="51" applyNumberFormat="1" applyBorder="1" applyAlignment="1">
      <alignment horizontal="center"/>
    </xf>
    <xf numFmtId="0" fontId="65" fillId="70" borderId="77" xfId="51" applyNumberFormat="1" applyBorder="1" applyAlignment="1">
      <alignment horizontal="center"/>
    </xf>
    <xf numFmtId="0" fontId="65" fillId="70" borderId="82" xfId="51" applyNumberFormat="1" applyBorder="1" applyAlignment="1">
      <alignment horizontal="center"/>
    </xf>
    <xf numFmtId="0" fontId="65" fillId="70" borderId="78" xfId="51" applyNumberFormat="1" applyBorder="1" applyAlignment="1">
      <alignment horizontal="center"/>
    </xf>
    <xf numFmtId="0" fontId="6" fillId="70" borderId="70" xfId="51" applyNumberFormat="1" applyFont="1" applyBorder="1" applyAlignment="1">
      <alignment horizontal="center"/>
    </xf>
    <xf numFmtId="0" fontId="86" fillId="70" borderId="77" xfId="51" applyNumberFormat="1" applyFont="1" applyBorder="1" applyAlignment="1">
      <alignment horizontal="center"/>
    </xf>
    <xf numFmtId="0" fontId="86" fillId="70" borderId="82" xfId="51" applyNumberFormat="1" applyFont="1" applyBorder="1" applyAlignment="1">
      <alignment horizontal="center"/>
    </xf>
    <xf numFmtId="0" fontId="6" fillId="70" borderId="77" xfId="51" applyNumberFormat="1" applyFont="1" applyBorder="1" applyAlignment="1">
      <alignment horizontal="center"/>
    </xf>
    <xf numFmtId="0" fontId="6" fillId="70" borderId="78" xfId="51" applyNumberFormat="1" applyFont="1" applyBorder="1" applyAlignment="1">
      <alignment horizontal="center"/>
    </xf>
    <xf numFmtId="0" fontId="96" fillId="32" borderId="0" xfId="0" applyFont="1" applyFill="1" applyAlignment="1">
      <alignment horizontal="left" indent="1"/>
    </xf>
    <xf numFmtId="0" fontId="0" fillId="0" borderId="0" xfId="0" applyBorder="1" applyAlignment="1">
      <alignment horizontal="left" indent="6"/>
    </xf>
    <xf numFmtId="0" fontId="97" fillId="0" borderId="0" xfId="0" applyFont="1"/>
    <xf numFmtId="0" fontId="6" fillId="67" borderId="0" xfId="0" applyFont="1" applyFill="1" applyBorder="1" applyAlignment="1">
      <alignment horizontal="left"/>
    </xf>
    <xf numFmtId="170" fontId="0" fillId="0" borderId="1" xfId="52" applyFont="1" applyFill="1" applyBorder="1" applyAlignment="1">
      <alignment horizontal="right"/>
    </xf>
    <xf numFmtId="169" fontId="0" fillId="0" borderId="1" xfId="0" applyNumberFormat="1" applyFill="1" applyBorder="1"/>
    <xf numFmtId="0" fontId="33" fillId="11" borderId="41" xfId="0" applyFont="1" applyFill="1" applyBorder="1" applyAlignment="1">
      <alignment horizontal="center"/>
    </xf>
    <xf numFmtId="3" fontId="0" fillId="69" borderId="139" xfId="50" applyNumberFormat="1" applyFont="1" applyBorder="1"/>
    <xf numFmtId="167" fontId="0" fillId="0" borderId="0" xfId="0" applyNumberFormat="1" applyFont="1" applyFill="1" applyBorder="1"/>
    <xf numFmtId="49" fontId="6" fillId="13" borderId="20" xfId="0" applyNumberFormat="1" applyFont="1" applyFill="1" applyBorder="1" applyAlignment="1">
      <alignment horizontal="center" vertical="center"/>
    </xf>
    <xf numFmtId="49" fontId="6" fillId="13" borderId="21" xfId="0" applyNumberFormat="1" applyFont="1" applyFill="1" applyBorder="1" applyAlignment="1">
      <alignment horizontal="center" vertical="center"/>
    </xf>
    <xf numFmtId="49" fontId="6" fillId="13" borderId="21" xfId="0" applyNumberFormat="1" applyFont="1" applyFill="1" applyBorder="1" applyAlignment="1">
      <alignment horizontal="center" vertical="center" wrapText="1"/>
    </xf>
    <xf numFmtId="49" fontId="6" fillId="13" borderId="22" xfId="0" applyNumberFormat="1" applyFont="1" applyFill="1" applyBorder="1" applyAlignment="1">
      <alignment horizontal="center" vertical="center"/>
    </xf>
    <xf numFmtId="9" fontId="0" fillId="69" borderId="61" xfId="50" applyNumberFormat="1" applyFont="1" applyBorder="1"/>
    <xf numFmtId="165" fontId="0" fillId="69" borderId="140" xfId="50" applyNumberFormat="1" applyFont="1" applyBorder="1" applyAlignment="1"/>
    <xf numFmtId="165" fontId="0" fillId="69" borderId="141" xfId="50" applyNumberFormat="1" applyFont="1" applyBorder="1" applyAlignment="1"/>
    <xf numFmtId="0" fontId="0" fillId="69" borderId="141" xfId="50" applyNumberFormat="1" applyFont="1" applyBorder="1" applyAlignment="1"/>
    <xf numFmtId="0" fontId="0" fillId="69" borderId="142" xfId="50" applyNumberFormat="1" applyFont="1" applyBorder="1" applyAlignment="1"/>
    <xf numFmtId="165" fontId="0" fillId="69" borderId="47" xfId="50" applyNumberFormat="1" applyFont="1" applyBorder="1" applyAlignment="1"/>
    <xf numFmtId="165" fontId="0" fillId="69" borderId="48" xfId="50" applyNumberFormat="1" applyFont="1" applyBorder="1" applyAlignment="1"/>
    <xf numFmtId="165" fontId="0" fillId="69" borderId="143" xfId="50" applyNumberFormat="1" applyFont="1" applyBorder="1" applyAlignment="1"/>
    <xf numFmtId="165" fontId="0" fillId="69" borderId="144" xfId="50" applyNumberFormat="1" applyFont="1" applyBorder="1" applyAlignment="1"/>
    <xf numFmtId="0" fontId="0" fillId="69" borderId="144" xfId="50" applyNumberFormat="1" applyFont="1" applyBorder="1" applyAlignment="1"/>
    <xf numFmtId="0" fontId="0" fillId="69" borderId="145" xfId="50" applyNumberFormat="1" applyFont="1" applyBorder="1" applyAlignment="1"/>
    <xf numFmtId="1" fontId="4" fillId="0" borderId="0" xfId="0" applyNumberFormat="1" applyFont="1" applyBorder="1" applyAlignment="1">
      <alignment horizontal="center"/>
    </xf>
    <xf numFmtId="0" fontId="4" fillId="0" borderId="0" xfId="0" applyNumberFormat="1" applyFont="1" applyBorder="1" applyAlignment="1">
      <alignment horizontal="center"/>
    </xf>
    <xf numFmtId="0" fontId="4" fillId="0" borderId="146" xfId="0" applyNumberFormat="1" applyFont="1" applyBorder="1" applyAlignment="1">
      <alignment horizontal="center"/>
    </xf>
    <xf numFmtId="0" fontId="4" fillId="0" borderId="1" xfId="0" applyNumberFormat="1" applyFont="1" applyBorder="1" applyAlignment="1">
      <alignment horizontal="center"/>
    </xf>
    <xf numFmtId="2" fontId="0" fillId="0" borderId="0" xfId="0" applyNumberFormat="1" applyFont="1" applyFill="1" applyBorder="1" applyAlignment="1"/>
    <xf numFmtId="165" fontId="0" fillId="69" borderId="49" xfId="50" applyNumberFormat="1" applyFont="1" applyBorder="1" applyAlignment="1"/>
    <xf numFmtId="165" fontId="0" fillId="69" borderId="48" xfId="50" applyNumberFormat="1" applyFont="1" applyBorder="1" applyAlignment="1"/>
    <xf numFmtId="2" fontId="4" fillId="69" borderId="147" xfId="50" applyNumberFormat="1" applyBorder="1"/>
    <xf numFmtId="2" fontId="4" fillId="69" borderId="148" xfId="50" applyNumberFormat="1" applyBorder="1"/>
    <xf numFmtId="0" fontId="36" fillId="15" borderId="11" xfId="0" applyFont="1" applyFill="1" applyBorder="1" applyAlignment="1">
      <alignment horizontal="center"/>
    </xf>
    <xf numFmtId="0" fontId="9" fillId="15" borderId="19" xfId="0" applyFont="1" applyFill="1" applyBorder="1" applyAlignment="1">
      <alignment horizontal="center"/>
    </xf>
    <xf numFmtId="2" fontId="4" fillId="36" borderId="70" xfId="51" applyNumberFormat="1" applyFont="1" applyFill="1" applyBorder="1"/>
    <xf numFmtId="2" fontId="4" fillId="36" borderId="78" xfId="51" applyNumberFormat="1" applyFont="1" applyFill="1" applyBorder="1"/>
    <xf numFmtId="0" fontId="68" fillId="0" borderId="11" xfId="0" applyFont="1" applyBorder="1" applyAlignment="1">
      <alignment horizontal="left" indent="3"/>
    </xf>
    <xf numFmtId="4" fontId="68" fillId="69" borderId="149" xfId="50" applyNumberFormat="1" applyFont="1" applyBorder="1"/>
    <xf numFmtId="3" fontId="68" fillId="0" borderId="41" xfId="0" applyNumberFormat="1" applyFont="1" applyBorder="1"/>
    <xf numFmtId="0" fontId="68" fillId="0" borderId="11" xfId="0" applyFont="1" applyBorder="1" applyAlignment="1">
      <alignment horizontal="left"/>
    </xf>
    <xf numFmtId="0" fontId="68" fillId="0" borderId="11" xfId="0" applyFont="1" applyBorder="1" applyAlignment="1">
      <alignment wrapText="1"/>
    </xf>
    <xf numFmtId="167" fontId="0" fillId="0" borderId="0" xfId="0" applyNumberFormat="1" applyFont="1" applyFill="1" applyBorder="1"/>
    <xf numFmtId="0" fontId="0" fillId="0" borderId="11" xfId="0" applyBorder="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Border="1" applyAlignment="1">
      <alignment vertical="center"/>
    </xf>
    <xf numFmtId="0" fontId="0" fillId="69" borderId="84" xfId="50" applyNumberFormat="1" applyFont="1" applyBorder="1" applyAlignment="1">
      <alignment horizontal="left" wrapText="1"/>
    </xf>
    <xf numFmtId="0" fontId="0" fillId="69" borderId="150" xfId="50" applyNumberFormat="1" applyFont="1" applyBorder="1" applyAlignment="1">
      <alignment horizontal="left" wrapText="1"/>
    </xf>
    <xf numFmtId="49" fontId="0" fillId="70" borderId="151" xfId="51" applyNumberFormat="1" applyFont="1" applyBorder="1"/>
    <xf numFmtId="49" fontId="0" fillId="70" borderId="81" xfId="51" applyNumberFormat="1" applyFont="1" applyBorder="1"/>
    <xf numFmtId="2" fontId="0" fillId="70" borderId="16" xfId="51" applyNumberFormat="1" applyFont="1" applyBorder="1" applyAlignment="1">
      <alignment horizontal="right"/>
    </xf>
    <xf numFmtId="2" fontId="0" fillId="70" borderId="41" xfId="51" applyNumberFormat="1" applyFont="1" applyBorder="1" applyAlignment="1">
      <alignment horizontal="right"/>
    </xf>
    <xf numFmtId="0" fontId="4" fillId="0" borderId="11" xfId="0" applyFont="1" applyBorder="1" applyAlignment="1"/>
    <xf numFmtId="0" fontId="4" fillId="0" borderId="0" xfId="0" applyFont="1" applyBorder="1" applyAlignment="1"/>
    <xf numFmtId="2" fontId="4" fillId="70" borderId="41" xfId="51" applyNumberFormat="1" applyFont="1" applyBorder="1" applyAlignment="1">
      <alignment horizontal="right"/>
    </xf>
    <xf numFmtId="2" fontId="0" fillId="70" borderId="19" xfId="51" applyNumberFormat="1" applyFont="1" applyBorder="1" applyAlignment="1">
      <alignment horizontal="right"/>
    </xf>
    <xf numFmtId="0" fontId="65" fillId="0" borderId="0" xfId="0" applyFont="1" applyFill="1" applyBorder="1" applyAlignment="1"/>
    <xf numFmtId="0" fontId="65" fillId="0" borderId="1" xfId="0" applyFont="1" applyFill="1" applyBorder="1" applyAlignment="1"/>
    <xf numFmtId="2" fontId="0" fillId="32" borderId="0" xfId="0" applyNumberFormat="1" applyFill="1" applyBorder="1" applyAlignment="1">
      <alignment horizontal="left" indent="4"/>
    </xf>
    <xf numFmtId="3" fontId="0" fillId="32" borderId="0" xfId="50" applyNumberFormat="1" applyFont="1" applyFill="1" applyBorder="1"/>
    <xf numFmtId="4" fontId="0" fillId="32" borderId="0" xfId="0" applyNumberFormat="1" applyFill="1" applyBorder="1"/>
    <xf numFmtId="2" fontId="0" fillId="32" borderId="0" xfId="0" applyNumberFormat="1" applyFill="1" applyBorder="1" applyAlignment="1"/>
    <xf numFmtId="0" fontId="0" fillId="32" borderId="0" xfId="0" applyFill="1" applyBorder="1" applyAlignment="1">
      <alignment vertical="center" wrapText="1"/>
    </xf>
    <xf numFmtId="0" fontId="0" fillId="0" borderId="0" xfId="0" applyAlignment="1">
      <alignment vertical="center" wrapText="1"/>
    </xf>
    <xf numFmtId="0" fontId="0" fillId="32" borderId="0" xfId="0" applyFill="1" applyBorder="1" applyAlignment="1">
      <alignment vertical="center"/>
    </xf>
    <xf numFmtId="0" fontId="0" fillId="32" borderId="0" xfId="0" applyFill="1" applyAlignment="1">
      <alignment vertical="center"/>
    </xf>
    <xf numFmtId="49" fontId="0" fillId="32" borderId="0" xfId="51" applyNumberFormat="1" applyFont="1" applyFill="1" applyBorder="1"/>
    <xf numFmtId="0" fontId="65" fillId="32" borderId="0" xfId="0" applyFont="1" applyFill="1" applyBorder="1"/>
    <xf numFmtId="49" fontId="65" fillId="32" borderId="0" xfId="51" applyNumberFormat="1" applyFont="1" applyFill="1" applyBorder="1"/>
    <xf numFmtId="0" fontId="1" fillId="32" borderId="0" xfId="53" applyFill="1" applyBorder="1" applyAlignment="1"/>
    <xf numFmtId="1" fontId="1" fillId="32" borderId="0" xfId="53" applyNumberFormat="1" applyFill="1" applyBorder="1" applyAlignment="1">
      <alignment horizontal="left"/>
    </xf>
    <xf numFmtId="49" fontId="1" fillId="32" borderId="0" xfId="51" applyNumberFormat="1" applyFont="1" applyFill="1" applyBorder="1" applyAlignment="1"/>
    <xf numFmtId="0" fontId="1" fillId="32" borderId="0" xfId="51" applyNumberFormat="1" applyFont="1" applyFill="1" applyBorder="1"/>
    <xf numFmtId="0" fontId="1" fillId="32" borderId="0" xfId="53" applyFill="1" applyBorder="1" applyAlignment="1">
      <alignment vertical="center"/>
    </xf>
    <xf numFmtId="49" fontId="1" fillId="32" borderId="0" xfId="51" applyNumberFormat="1" applyFont="1" applyFill="1" applyBorder="1"/>
    <xf numFmtId="0" fontId="0" fillId="0" borderId="0" xfId="0" applyFill="1" applyAlignment="1"/>
    <xf numFmtId="170" fontId="65" fillId="0" borderId="17" xfId="52" applyFont="1" applyFill="1" applyBorder="1" applyAlignment="1"/>
    <xf numFmtId="43" fontId="65" fillId="0" borderId="14" xfId="0" applyNumberFormat="1" applyFont="1" applyFill="1" applyBorder="1" applyAlignment="1"/>
    <xf numFmtId="43" fontId="65" fillId="0" borderId="16" xfId="0" applyNumberFormat="1" applyFont="1" applyFill="1" applyBorder="1" applyAlignment="1"/>
    <xf numFmtId="170" fontId="65" fillId="0" borderId="41" xfId="52" applyFont="1" applyFill="1" applyBorder="1" applyAlignment="1"/>
    <xf numFmtId="43" fontId="65" fillId="0" borderId="41" xfId="0" applyNumberFormat="1" applyFont="1" applyFill="1" applyBorder="1" applyAlignment="1"/>
    <xf numFmtId="170" fontId="65" fillId="0" borderId="19" xfId="52" applyFont="1" applyFill="1" applyBorder="1" applyAlignment="1"/>
    <xf numFmtId="180" fontId="0" fillId="0" borderId="16" xfId="0" applyNumberFormat="1" applyFill="1" applyBorder="1"/>
    <xf numFmtId="180" fontId="0" fillId="0" borderId="41" xfId="0" applyNumberFormat="1" applyFill="1" applyBorder="1"/>
    <xf numFmtId="180" fontId="0" fillId="0" borderId="41" xfId="52" applyNumberFormat="1" applyFont="1" applyFill="1" applyBorder="1"/>
    <xf numFmtId="180" fontId="0" fillId="0" borderId="19" xfId="52" applyNumberFormat="1" applyFont="1" applyFill="1" applyBorder="1"/>
    <xf numFmtId="0" fontId="0" fillId="0" borderId="0" xfId="0" applyBorder="1" applyAlignment="1">
      <alignment vertical="center" wrapText="1"/>
    </xf>
    <xf numFmtId="0" fontId="0" fillId="0" borderId="1" xfId="0" applyBorder="1" applyAlignment="1">
      <alignment vertical="center" wrapText="1"/>
    </xf>
    <xf numFmtId="4" fontId="0" fillId="0" borderId="1" xfId="0" applyNumberFormat="1" applyBorder="1"/>
    <xf numFmtId="0" fontId="0" fillId="0" borderId="1" xfId="0" applyBorder="1" applyAlignment="1">
      <alignment vertical="center"/>
    </xf>
    <xf numFmtId="0" fontId="0" fillId="69" borderId="152" xfId="50" applyNumberFormat="1" applyFont="1" applyBorder="1" applyAlignment="1">
      <alignment horizontal="left" wrapText="1"/>
    </xf>
    <xf numFmtId="0" fontId="0" fillId="69" borderId="153" xfId="50" applyNumberFormat="1" applyFont="1" applyBorder="1" applyAlignment="1">
      <alignment horizontal="left" wrapText="1"/>
    </xf>
    <xf numFmtId="0" fontId="0" fillId="69" borderId="0" xfId="50" applyNumberFormat="1" applyFont="1" applyBorder="1" applyAlignment="1">
      <alignment horizontal="left" wrapText="1"/>
    </xf>
    <xf numFmtId="0" fontId="21" fillId="4" borderId="14" xfId="0" applyFont="1" applyFill="1" applyBorder="1" applyAlignment="1">
      <alignment horizontal="center"/>
    </xf>
    <xf numFmtId="0" fontId="21" fillId="4" borderId="16" xfId="0" applyFont="1" applyFill="1" applyBorder="1" applyAlignment="1">
      <alignment horizontal="center"/>
    </xf>
    <xf numFmtId="0" fontId="57" fillId="4" borderId="18" xfId="0" applyFont="1" applyFill="1" applyBorder="1" applyAlignment="1">
      <alignment horizontal="center"/>
    </xf>
    <xf numFmtId="0" fontId="57" fillId="4" borderId="19" xfId="0" applyFont="1" applyFill="1" applyBorder="1" applyAlignment="1">
      <alignment horizontal="center"/>
    </xf>
    <xf numFmtId="0" fontId="67" fillId="6" borderId="1" xfId="0" applyFont="1" applyFill="1" applyBorder="1" applyAlignment="1">
      <alignment horizontal="center"/>
    </xf>
    <xf numFmtId="2" fontId="33" fillId="11" borderId="18" xfId="0" applyNumberFormat="1" applyFont="1" applyFill="1" applyBorder="1" applyAlignment="1">
      <alignment horizontal="center" wrapText="1"/>
    </xf>
    <xf numFmtId="0" fontId="98" fillId="32" borderId="2" xfId="49" applyFont="1" applyBorder="1" applyAlignment="1" applyProtection="1"/>
    <xf numFmtId="0" fontId="41" fillId="0" borderId="4" xfId="0" applyFont="1" applyBorder="1" applyAlignment="1">
      <alignment horizontal="left"/>
    </xf>
    <xf numFmtId="0" fontId="42" fillId="0" borderId="29" xfId="0" applyFont="1" applyBorder="1" applyAlignment="1">
      <alignment horizontal="left"/>
    </xf>
    <xf numFmtId="0" fontId="42" fillId="0" borderId="7" xfId="0" applyFont="1" applyBorder="1" applyAlignment="1">
      <alignment horizontal="left"/>
    </xf>
    <xf numFmtId="0" fontId="43" fillId="0" borderId="4" xfId="0" applyFont="1" applyBorder="1" applyAlignment="1">
      <alignment horizontal="left"/>
    </xf>
    <xf numFmtId="0" fontId="0" fillId="2" borderId="30" xfId="0" applyFill="1" applyBorder="1" applyAlignment="1">
      <alignment horizontal="left" vertical="top" wrapText="1"/>
    </xf>
    <xf numFmtId="0" fontId="0" fillId="2" borderId="28" xfId="0" applyFill="1" applyBorder="1" applyAlignment="1">
      <alignment horizontal="left" vertical="top" wrapText="1"/>
    </xf>
    <xf numFmtId="0" fontId="0" fillId="2" borderId="31" xfId="0" applyFill="1" applyBorder="1" applyAlignment="1">
      <alignment horizontal="left" vertical="top" wrapText="1"/>
    </xf>
    <xf numFmtId="0" fontId="0" fillId="2" borderId="0" xfId="0" applyFill="1" applyBorder="1" applyAlignment="1">
      <alignment horizontal="left" vertical="top" wrapText="1"/>
    </xf>
    <xf numFmtId="167" fontId="0" fillId="0" borderId="11" xfId="0" applyNumberFormat="1" applyFont="1" applyFill="1" applyBorder="1" applyAlignment="1"/>
    <xf numFmtId="167" fontId="0" fillId="0" borderId="17" xfId="0" applyNumberFormat="1" applyFont="1" applyFill="1" applyBorder="1" applyAlignment="1"/>
    <xf numFmtId="167" fontId="0" fillId="0" borderId="17" xfId="0" applyNumberFormat="1" applyFont="1" applyBorder="1" applyAlignment="1"/>
    <xf numFmtId="2" fontId="0" fillId="0" borderId="11" xfId="0" applyNumberFormat="1" applyFont="1" applyFill="1" applyBorder="1"/>
    <xf numFmtId="2" fontId="0" fillId="0" borderId="17" xfId="0" applyNumberFormat="1" applyFont="1" applyFill="1" applyBorder="1"/>
    <xf numFmtId="167" fontId="0" fillId="0" borderId="0" xfId="0" applyNumberFormat="1" applyFont="1" applyFill="1" applyBorder="1"/>
    <xf numFmtId="167" fontId="0" fillId="0" borderId="17" xfId="0" applyNumberFormat="1" applyFont="1" applyFill="1" applyBorder="1"/>
    <xf numFmtId="3" fontId="33" fillId="17" borderId="0" xfId="0" applyNumberFormat="1" applyFont="1" applyFill="1" applyBorder="1" applyAlignment="1">
      <alignment horizontal="center"/>
    </xf>
    <xf numFmtId="0" fontId="21" fillId="17" borderId="15" xfId="0" applyNumberFormat="1" applyFont="1" applyFill="1" applyBorder="1" applyAlignment="1">
      <alignment horizontal="center"/>
    </xf>
    <xf numFmtId="0" fontId="21" fillId="17" borderId="16" xfId="0" applyNumberFormat="1" applyFont="1" applyFill="1" applyBorder="1" applyAlignment="1">
      <alignment horizontal="center"/>
    </xf>
    <xf numFmtId="0" fontId="21" fillId="17" borderId="14" xfId="0" applyNumberFormat="1" applyFont="1" applyFill="1" applyBorder="1" applyAlignment="1">
      <alignment horizontal="center"/>
    </xf>
    <xf numFmtId="2" fontId="0" fillId="0" borderId="11" xfId="0" applyNumberFormat="1" applyFont="1" applyFill="1" applyBorder="1" applyAlignment="1"/>
    <xf numFmtId="2" fontId="0" fillId="0" borderId="0" xfId="0" applyNumberFormat="1" applyFont="1" applyFill="1" applyBorder="1" applyAlignment="1"/>
    <xf numFmtId="2" fontId="0" fillId="0" borderId="0" xfId="0" applyNumberFormat="1" applyFont="1" applyFill="1" applyBorder="1"/>
    <xf numFmtId="167" fontId="0" fillId="0" borderId="0" xfId="0" applyNumberFormat="1" applyFont="1" applyFill="1" applyBorder="1" applyAlignment="1"/>
    <xf numFmtId="3" fontId="33" fillId="17" borderId="18" xfId="0" applyNumberFormat="1" applyFont="1" applyFill="1" applyBorder="1" applyAlignment="1">
      <alignment horizontal="center"/>
    </xf>
    <xf numFmtId="3" fontId="33" fillId="17" borderId="1" xfId="0" applyNumberFormat="1" applyFont="1" applyFill="1" applyBorder="1" applyAlignment="1">
      <alignment horizontal="center"/>
    </xf>
    <xf numFmtId="3" fontId="33" fillId="17" borderId="19" xfId="0" applyNumberFormat="1" applyFont="1" applyFill="1" applyBorder="1" applyAlignment="1">
      <alignment horizontal="center"/>
    </xf>
    <xf numFmtId="0" fontId="21" fillId="17" borderId="26" xfId="0" applyFont="1" applyFill="1" applyBorder="1" applyAlignment="1">
      <alignment vertical="center" wrapText="1"/>
    </xf>
    <xf numFmtId="4" fontId="25" fillId="0" borderId="24" xfId="0" applyNumberFormat="1" applyFont="1" applyFill="1" applyBorder="1" applyAlignment="1">
      <alignment horizontal="center" vertical="center"/>
    </xf>
    <xf numFmtId="4" fontId="25" fillId="0" borderId="3" xfId="0" applyNumberFormat="1" applyFont="1" applyFill="1" applyBorder="1" applyAlignment="1">
      <alignment horizontal="center" vertical="center"/>
    </xf>
    <xf numFmtId="4" fontId="25" fillId="0" borderId="25" xfId="0" applyNumberFormat="1" applyFont="1" applyFill="1" applyBorder="1" applyAlignment="1">
      <alignment horizontal="center" vertical="center"/>
    </xf>
    <xf numFmtId="2" fontId="6" fillId="3" borderId="18" xfId="0" applyNumberFormat="1" applyFont="1" applyFill="1" applyBorder="1"/>
    <xf numFmtId="2" fontId="6" fillId="3" borderId="19" xfId="0" applyNumberFormat="1" applyFont="1" applyFill="1" applyBorder="1"/>
    <xf numFmtId="4" fontId="21" fillId="17" borderId="14" xfId="0" applyNumberFormat="1" applyFont="1" applyFill="1" applyBorder="1" applyAlignment="1">
      <alignment horizontal="center"/>
    </xf>
    <xf numFmtId="4" fontId="21" fillId="17" borderId="16" xfId="0" applyNumberFormat="1" applyFont="1" applyFill="1" applyBorder="1" applyAlignment="1">
      <alignment horizontal="center"/>
    </xf>
    <xf numFmtId="4" fontId="21" fillId="17" borderId="15" xfId="0" applyNumberFormat="1" applyFont="1" applyFill="1" applyBorder="1" applyAlignment="1">
      <alignment horizontal="center"/>
    </xf>
    <xf numFmtId="2" fontId="6" fillId="3" borderId="1" xfId="0" applyNumberFormat="1" applyFont="1" applyFill="1" applyBorder="1"/>
    <xf numFmtId="2" fontId="6" fillId="3" borderId="18" xfId="0" applyNumberFormat="1" applyFont="1" applyFill="1" applyBorder="1" applyAlignment="1"/>
    <xf numFmtId="2" fontId="6" fillId="3" borderId="1" xfId="0" applyNumberFormat="1" applyFont="1" applyFill="1" applyBorder="1" applyAlignment="1"/>
    <xf numFmtId="0" fontId="37" fillId="17" borderId="14" xfId="0" applyFont="1" applyFill="1" applyBorder="1" applyAlignment="1">
      <alignment horizontal="center"/>
    </xf>
    <xf numFmtId="0" fontId="37" fillId="17" borderId="15" xfId="0" applyFont="1" applyFill="1" applyBorder="1" applyAlignment="1">
      <alignment horizontal="center"/>
    </xf>
    <xf numFmtId="0" fontId="37" fillId="17" borderId="16" xfId="0" applyFont="1" applyFill="1" applyBorder="1" applyAlignment="1">
      <alignment horizontal="center"/>
    </xf>
    <xf numFmtId="3" fontId="33" fillId="17" borderId="11" xfId="0" applyNumberFormat="1" applyFont="1" applyFill="1" applyBorder="1" applyAlignment="1">
      <alignment horizontal="center"/>
    </xf>
    <xf numFmtId="3" fontId="33" fillId="17" borderId="17" xfId="0" applyNumberFormat="1" applyFont="1" applyFill="1" applyBorder="1" applyAlignment="1">
      <alignment horizontal="center"/>
    </xf>
    <xf numFmtId="167" fontId="6" fillId="3" borderId="1" xfId="0" applyNumberFormat="1" applyFont="1" applyFill="1" applyBorder="1"/>
    <xf numFmtId="167" fontId="6" fillId="3" borderId="19" xfId="0" applyNumberFormat="1" applyFont="1" applyFill="1" applyBorder="1"/>
    <xf numFmtId="167" fontId="6" fillId="3" borderId="18" xfId="0" applyNumberFormat="1" applyFont="1" applyFill="1" applyBorder="1"/>
    <xf numFmtId="167" fontId="6" fillId="3" borderId="18" xfId="0" applyNumberFormat="1" applyFont="1" applyFill="1" applyBorder="1" applyAlignment="1"/>
    <xf numFmtId="167" fontId="6" fillId="3" borderId="1" xfId="0" applyNumberFormat="1" applyFont="1" applyFill="1" applyBorder="1" applyAlignment="1"/>
    <xf numFmtId="167" fontId="4" fillId="0" borderId="11" xfId="0" applyNumberFormat="1" applyFont="1" applyFill="1" applyBorder="1" applyAlignment="1"/>
    <xf numFmtId="167" fontId="4" fillId="0" borderId="0" xfId="0" applyNumberFormat="1" applyFont="1" applyFill="1" applyBorder="1" applyAlignment="1"/>
    <xf numFmtId="2" fontId="0" fillId="0" borderId="17" xfId="0" applyNumberFormat="1" applyFont="1" applyFill="1" applyBorder="1" applyAlignment="1"/>
    <xf numFmtId="167" fontId="0" fillId="0" borderId="11" xfId="0" applyNumberFormat="1" applyFont="1" applyFill="1" applyBorder="1"/>
    <xf numFmtId="0" fontId="20" fillId="17" borderId="16" xfId="0" applyFont="1" applyFill="1" applyBorder="1" applyAlignment="1">
      <alignment horizontal="center"/>
    </xf>
    <xf numFmtId="0" fontId="33" fillId="17" borderId="17" xfId="0" applyFont="1" applyFill="1" applyBorder="1" applyAlignment="1">
      <alignment horizontal="center"/>
    </xf>
    <xf numFmtId="0" fontId="39" fillId="17" borderId="18" xfId="0" applyFont="1" applyFill="1" applyBorder="1" applyAlignment="1">
      <alignment horizontal="center"/>
    </xf>
    <xf numFmtId="0" fontId="39" fillId="17" borderId="1" xfId="0" applyFont="1" applyFill="1" applyBorder="1" applyAlignment="1">
      <alignment horizontal="center"/>
    </xf>
    <xf numFmtId="0" fontId="39" fillId="17" borderId="19" xfId="0" applyFont="1" applyFill="1" applyBorder="1" applyAlignment="1">
      <alignment horizontal="center"/>
    </xf>
    <xf numFmtId="0" fontId="16" fillId="2" borderId="0" xfId="0" applyFont="1" applyFill="1" applyAlignment="1">
      <alignment horizontal="left"/>
    </xf>
    <xf numFmtId="0" fontId="90" fillId="33" borderId="20" xfId="0" applyFont="1" applyFill="1" applyBorder="1" applyAlignment="1">
      <alignment horizontal="center"/>
    </xf>
    <xf numFmtId="0" fontId="90" fillId="33" borderId="21" xfId="0" applyFont="1" applyFill="1" applyBorder="1" applyAlignment="1">
      <alignment horizontal="center"/>
    </xf>
    <xf numFmtId="0" fontId="90" fillId="33" borderId="22" xfId="0" applyFont="1" applyFill="1" applyBorder="1" applyAlignment="1">
      <alignment horizontal="center"/>
    </xf>
    <xf numFmtId="0" fontId="93" fillId="71" borderId="20" xfId="0" applyFont="1" applyFill="1" applyBorder="1" applyAlignment="1">
      <alignment horizontal="center"/>
    </xf>
    <xf numFmtId="0" fontId="93" fillId="71" borderId="21" xfId="0" applyFont="1" applyFill="1" applyBorder="1" applyAlignment="1">
      <alignment horizontal="center"/>
    </xf>
    <xf numFmtId="0" fontId="93" fillId="71" borderId="22" xfId="0" applyFont="1" applyFill="1" applyBorder="1" applyAlignment="1">
      <alignment horizontal="center"/>
    </xf>
    <xf numFmtId="0" fontId="6" fillId="34" borderId="20" xfId="0" applyFont="1" applyFill="1" applyBorder="1" applyAlignment="1">
      <alignment horizontal="center"/>
    </xf>
    <xf numFmtId="0" fontId="6" fillId="34" borderId="21" xfId="0" applyFont="1" applyFill="1" applyBorder="1" applyAlignment="1">
      <alignment horizontal="center"/>
    </xf>
    <xf numFmtId="0" fontId="6" fillId="34" borderId="22" xfId="0" applyFont="1" applyFill="1" applyBorder="1" applyAlignment="1">
      <alignment horizontal="center"/>
    </xf>
    <xf numFmtId="0" fontId="55" fillId="24" borderId="0" xfId="0" applyFont="1" applyFill="1" applyBorder="1" applyAlignment="1">
      <alignment horizontal="center" wrapText="1"/>
    </xf>
    <xf numFmtId="0" fontId="21" fillId="16" borderId="0" xfId="0" applyFont="1" applyFill="1" applyBorder="1" applyAlignment="1">
      <alignment horizontal="center" wrapText="1"/>
    </xf>
    <xf numFmtId="0" fontId="74" fillId="40" borderId="15" xfId="0" applyFont="1" applyFill="1" applyBorder="1" applyAlignment="1">
      <alignment horizontal="center" vertical="center" wrapText="1"/>
    </xf>
    <xf numFmtId="0" fontId="74" fillId="40" borderId="16" xfId="0" applyFont="1" applyFill="1" applyBorder="1" applyAlignment="1">
      <alignment horizontal="center" vertical="center" wrapText="1"/>
    </xf>
    <xf numFmtId="0" fontId="74" fillId="40" borderId="0" xfId="0" applyFont="1" applyFill="1" applyBorder="1" applyAlignment="1">
      <alignment horizontal="center" vertical="center" wrapText="1"/>
    </xf>
    <xf numFmtId="0" fontId="74" fillId="40" borderId="17" xfId="0" applyFont="1" applyFill="1" applyBorder="1" applyAlignment="1">
      <alignment horizontal="center" vertical="center" wrapText="1"/>
    </xf>
    <xf numFmtId="1" fontId="21" fillId="16" borderId="0" xfId="0" applyNumberFormat="1" applyFont="1" applyFill="1" applyBorder="1" applyAlignment="1">
      <alignment wrapText="1"/>
    </xf>
    <xf numFmtId="0" fontId="21" fillId="16" borderId="0" xfId="0" applyFont="1" applyFill="1" applyBorder="1" applyAlignment="1">
      <alignment horizontal="center"/>
    </xf>
    <xf numFmtId="0" fontId="21" fillId="16" borderId="3" xfId="0" applyFont="1" applyFill="1" applyBorder="1" applyAlignment="1">
      <alignment horizontal="center" wrapText="1"/>
    </xf>
    <xf numFmtId="0" fontId="72" fillId="16" borderId="0" xfId="0" applyFont="1" applyFill="1" applyBorder="1" applyAlignment="1">
      <alignment horizontal="center" wrapText="1"/>
    </xf>
  </cellXfs>
  <cellStyles count="54">
    <cellStyle name="20% - Accent1" xfId="1" builtinId="30" hidden="1" customBuiltin="1"/>
    <cellStyle name="20% - Accent2" xfId="2" builtinId="34" hidden="1" customBuiltin="1"/>
    <cellStyle name="20% - Accent3" xfId="3" builtinId="38" hidden="1" customBuiltin="1"/>
    <cellStyle name="20% - Accent4" xfId="4" builtinId="42" hidden="1" customBuiltin="1"/>
    <cellStyle name="20% - Accent5" xfId="5" builtinId="46" hidden="1" customBuiltin="1"/>
    <cellStyle name="20% - Accent6" xfId="6" builtinId="50" hidden="1" customBuiltin="1"/>
    <cellStyle name="40% - Accent1" xfId="7" builtinId="31" hidden="1" customBuiltin="1"/>
    <cellStyle name="40% - Accent2" xfId="8" builtinId="35" hidden="1" customBuiltin="1"/>
    <cellStyle name="40% - Accent3" xfId="9" builtinId="39" hidden="1" customBuiltin="1"/>
    <cellStyle name="40% - Accent4" xfId="10" builtinId="43" hidden="1" customBuiltin="1"/>
    <cellStyle name="40% - Accent5" xfId="11" builtinId="47" hidden="1" customBuiltin="1"/>
    <cellStyle name="40% - Accent6" xfId="12" builtinId="51" hidden="1" customBuiltin="1"/>
    <cellStyle name="60% - Accent1" xfId="13" builtinId="32" hidden="1" customBuiltin="1"/>
    <cellStyle name="60% - Accent2" xfId="14" builtinId="36" hidden="1" customBuiltin="1"/>
    <cellStyle name="60% - Accent3" xfId="15" builtinId="40" hidden="1" customBuiltin="1"/>
    <cellStyle name="60% - Accent4" xfId="16" builtinId="44" hidden="1" customBuiltin="1"/>
    <cellStyle name="60% - Accent5" xfId="17" builtinId="48" hidden="1" customBuiltin="1"/>
    <cellStyle name="60% - Accent6" xfId="18" builtinId="52" hidden="1" customBuiltin="1"/>
    <cellStyle name="Accent1" xfId="19" builtinId="29" hidden="1" customBuiltin="1"/>
    <cellStyle name="Accent2" xfId="20" builtinId="33" hidden="1" customBuiltin="1"/>
    <cellStyle name="Accent3" xfId="21" builtinId="37" hidden="1" customBuiltin="1"/>
    <cellStyle name="Accent4" xfId="22" builtinId="41" hidden="1" customBuiltin="1"/>
    <cellStyle name="Accent5" xfId="23" builtinId="45" hidden="1" customBuiltin="1"/>
    <cellStyle name="Accent6" xfId="24" builtinId="49" hidden="1" customBuiltin="1"/>
    <cellStyle name="Bad" xfId="25" builtinId="27" hidden="1" customBuiltin="1"/>
    <cellStyle name="Calculation" xfId="26" builtinId="22" hidden="1" customBuiltin="1"/>
    <cellStyle name="Check Cell" xfId="27" builtinId="23" hidden="1" customBuiltin="1"/>
    <cellStyle name="Comma" xfId="28" builtinId="3" hidden="1"/>
    <cellStyle name="Comma" xfId="52" builtinId="3" customBuiltin="1"/>
    <cellStyle name="Comma [0]" xfId="45" builtinId="6" hidden="1"/>
    <cellStyle name="Constants" xfId="51"/>
    <cellStyle name="Currency" xfId="46" builtinId="4" hidden="1"/>
    <cellStyle name="Currency [0]" xfId="47" builtinId="7" hidden="1"/>
    <cellStyle name="Explanatory Text" xfId="29" builtinId="53" hidden="1" customBuiltin="1"/>
    <cellStyle name="Followed Hyperlink" xfId="30" builtinId="9" hidden="1"/>
    <cellStyle name="Good" xfId="31" builtinId="26" hidden="1" customBuiltin="1"/>
    <cellStyle name="Heading 1" xfId="32" builtinId="16" hidden="1" customBuiltin="1"/>
    <cellStyle name="Heading 2" xfId="33" builtinId="17" hidden="1" customBuiltin="1"/>
    <cellStyle name="Heading 3" xfId="34" builtinId="18" hidden="1" customBuiltin="1"/>
    <cellStyle name="Heading 4" xfId="35" builtinId="19" hidden="1" customBuiltin="1"/>
    <cellStyle name="Hyperlink" xfId="36" builtinId="8" hidden="1"/>
    <cellStyle name="Hyperlink" xfId="49" builtinId="8" customBuiltin="1"/>
    <cellStyle name="Input" xfId="37" builtinId="20" hidden="1" customBuiltin="1"/>
    <cellStyle name="Linked Cell" xfId="38" builtinId="24" hidden="1" customBuiltin="1"/>
    <cellStyle name="Neutral" xfId="39" builtinId="28" hidden="1" customBuiltin="1"/>
    <cellStyle name="Normal" xfId="0" builtinId="0" customBuiltin="1"/>
    <cellStyle name="Normal 2" xfId="53"/>
    <cellStyle name="Note" xfId="48" builtinId="10" hidden="1"/>
    <cellStyle name="Output" xfId="40" builtinId="21" hidden="1" customBuiltin="1"/>
    <cellStyle name="Percent" xfId="41" builtinId="5" hidden="1"/>
    <cellStyle name="Raw Data" xfId="50"/>
    <cellStyle name="Title" xfId="42" builtinId="15" hidden="1" customBuiltin="1"/>
    <cellStyle name="Total" xfId="43" builtinId="25" hidden="1" customBuiltin="1"/>
    <cellStyle name="Warning Text" xfId="44" builtinId="11" hidden="1" customBuiltin="1"/>
  </cellStyles>
  <dxfs count="18">
    <dxf>
      <font>
        <condense val="0"/>
        <extend val="0"/>
        <color indexed="9"/>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2"/>
      </font>
    </dxf>
    <dxf>
      <font>
        <condense val="0"/>
        <extend val="0"/>
        <color indexed="9"/>
      </font>
    </dxf>
    <dxf>
      <font>
        <condense val="0"/>
        <extend val="0"/>
        <color indexed="9"/>
      </font>
    </dxf>
    <dxf>
      <font>
        <condense val="0"/>
        <extend val="0"/>
        <color indexed="9"/>
      </font>
    </dxf>
    <dxf>
      <font>
        <condense val="0"/>
        <extend val="0"/>
        <color rgb="FF9C0006"/>
      </font>
      <fill>
        <patternFill>
          <bgColor rgb="FFFFC7CE"/>
        </patternFill>
      </fill>
    </dxf>
    <dxf>
      <font>
        <condense val="0"/>
        <extend val="0"/>
        <color indexed="9"/>
      </font>
    </dxf>
    <dxf>
      <font>
        <condense val="0"/>
        <extend val="0"/>
        <color indexed="22"/>
      </font>
    </dxf>
    <dxf>
      <font>
        <condense val="0"/>
        <extend val="0"/>
        <color indexed="22"/>
      </font>
    </dxf>
    <dxf>
      <font>
        <condense val="0"/>
        <extend val="0"/>
        <color indexed="20"/>
      </font>
    </dxf>
    <dxf>
      <font>
        <condense val="0"/>
        <extend val="0"/>
        <color indexed="2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E8A7"/>
      <rgbColor rgb="0000A100"/>
      <rgbColor rgb="000000FF"/>
      <rgbColor rgb="00A0C8B4"/>
      <rgbColor rgb="00807F83"/>
      <rgbColor rgb="0099CCFF"/>
      <rgbColor rgb="004C88C4"/>
      <rgbColor rgb="00336600"/>
      <rgbColor rgb="000000FF"/>
      <rgbColor rgb="0041C4DC"/>
      <rgbColor rgb="00FF0000"/>
      <rgbColor rgb="00A9EBE9"/>
      <rgbColor rgb="00C0C0C0"/>
      <rgbColor rgb="00808080"/>
      <rgbColor rgb="00FF9966"/>
      <rgbColor rgb="00FDE349"/>
      <rgbColor rgb="0099BB61"/>
      <rgbColor rgb="00A7BCFF"/>
      <rgbColor rgb="00BCD2A2"/>
      <rgbColor rgb="00FFFFFF"/>
      <rgbColor rgb="00FFFFFF"/>
      <rgbColor rgb="00FFFFFF"/>
      <rgbColor rgb="00FFFFFF"/>
      <rgbColor rgb="00FFFFFF"/>
      <rgbColor rgb="00FFFFFF"/>
      <rgbColor rgb="00FFFFFF"/>
      <rgbColor rgb="00FFFFFF"/>
      <rgbColor rgb="00FFFFFF"/>
      <rgbColor rgb="00FFFFFF"/>
      <rgbColor rgb="00FFFFFF"/>
      <rgbColor rgb="00B0CA90"/>
      <rgbColor rgb="00D7E4BC"/>
      <rgbColor rgb="007CE497"/>
      <rgbColor rgb="00008CF0"/>
      <rgbColor rgb="00005595"/>
      <rgbColor rgb="00C60C13"/>
      <rgbColor rgb="00000000"/>
      <rgbColor rgb="00FFA25D"/>
      <rgbColor rgb="00808080"/>
      <rgbColor rgb="00003366"/>
      <rgbColor rgb="00874F40"/>
      <rgbColor rgb="00B0CA90"/>
      <rgbColor rgb="00FF9900"/>
      <rgbColor rgb="00FFE49C"/>
      <rgbColor rgb="00CCFFCC"/>
      <rgbColor rgb="00BFBFBF"/>
      <rgbColor rgb="0099CC00"/>
      <rgbColor rgb="00005000"/>
      <rgbColor rgb="0000CC99"/>
      <rgbColor rgb="005EA283"/>
      <rgbColor rgb="00E07762"/>
      <rgbColor rgb="00003366"/>
      <rgbColor rgb="00FF9900"/>
      <rgbColor rgb="00C0C0C0"/>
    </indexedColors>
    <mruColors>
      <color rgb="FFF1DD93"/>
      <color rgb="FFEED284"/>
      <color rgb="FFA3C6F5"/>
      <color rgb="FFBED7F8"/>
      <color rgb="FF99CCFF"/>
      <color rgb="FFB8D3EE"/>
      <color rgb="FFAED2F0"/>
      <color rgb="FF9DC9ED"/>
      <color rgb="FFA0C4E8"/>
      <color rgb="FF2969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theme" Target="theme/theme1.xml"/><Relationship Id="rId68" Type="http://schemas.openxmlformats.org/officeDocument/2006/relationships/styles" Target="styles.xml"/><Relationship Id="rId69" Type="http://schemas.openxmlformats.org/officeDocument/2006/relationships/sharedStrings" Target="sharedStrings.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70" Type="http://schemas.openxmlformats.org/officeDocument/2006/relationships/calcChain" Target="calcChain.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sz="1800" b="1" i="0" u="none" strike="noStrike" baseline="0">
                <a:solidFill>
                  <a:srgbClr val="000000"/>
                </a:solidFill>
                <a:latin typeface="Calibri"/>
                <a:ea typeface="Calibri"/>
                <a:cs typeface="Calibri"/>
              </a:defRPr>
            </a:pPr>
            <a:r>
              <a:rPr lang="en-US"/>
              <a:t>Ecological Footprint of Consumption by Land Use Type</a:t>
            </a:r>
          </a:p>
        </c:rich>
      </c:tx>
      <c:layout>
        <c:manualLayout>
          <c:xMode val="edge"/>
          <c:yMode val="edge"/>
          <c:x val="0.134557049933976"/>
          <c:y val="0.0298508107047367"/>
        </c:manualLayout>
      </c:layout>
      <c:overlay val="1"/>
      <c:spPr>
        <a:noFill/>
        <a:ln w="25400">
          <a:noFill/>
        </a:ln>
      </c:spPr>
    </c:title>
    <c:autoTitleDeleted val="0"/>
    <c:plotArea>
      <c:layout>
        <c:manualLayout>
          <c:layoutTarget val="inner"/>
          <c:xMode val="edge"/>
          <c:yMode val="edge"/>
          <c:x val="0.314179325715127"/>
          <c:y val="0.281094527363184"/>
          <c:w val="0.418335558522474"/>
          <c:h val="0.584577114427837"/>
        </c:manualLayout>
      </c:layout>
      <c:pieChart>
        <c:varyColors val="1"/>
        <c:ser>
          <c:idx val="0"/>
          <c:order val="0"/>
          <c:spPr>
            <a:effectLst>
              <a:outerShdw blurRad="50800" dist="38100" dir="8100000" algn="tr" rotWithShape="0">
                <a:prstClr val="black">
                  <a:alpha val="40000"/>
                </a:prstClr>
              </a:outerShdw>
            </a:effectLst>
          </c:spPr>
          <c:dLbls>
            <c:spPr>
              <a:noFill/>
              <a:ln w="25400">
                <a:noFill/>
              </a:ln>
            </c:spPr>
            <c:txPr>
              <a:bodyPr/>
              <a:lstStyle/>
              <a:p>
                <a:pPr>
                  <a:defRPr sz="1100" b="1" i="0" u="none" strike="noStrike" baseline="0">
                    <a:solidFill>
                      <a:srgbClr val="000000"/>
                    </a:solidFill>
                    <a:latin typeface="Arial"/>
                    <a:ea typeface="Arial"/>
                    <a:cs typeface="Arial"/>
                  </a:defRPr>
                </a:pPr>
                <a:endParaRPr lang="en-US"/>
              </a:p>
            </c:txPr>
            <c:dLblPos val="outEnd"/>
            <c:showLegendKey val="0"/>
            <c:showVal val="0"/>
            <c:showCatName val="1"/>
            <c:showSerName val="0"/>
            <c:showPercent val="1"/>
            <c:showBubbleSize val="0"/>
            <c:showLeaderLines val="1"/>
            <c:extLst xmlns:c16r2="http://schemas.microsoft.com/office/drawing/2015/06/chart">
              <c:ext xmlns:c15="http://schemas.microsoft.com/office/drawing/2012/chart" uri="{CE6537A1-D6FC-4f65-9D91-7224C49458BB}"/>
            </c:extLst>
          </c:dLbls>
          <c:cat>
            <c:strRef>
              <c:f>summary!$A$7:$A$12</c:f>
              <c:strCache>
                <c:ptCount val="6"/>
                <c:pt idx="0">
                  <c:v>Crop</c:v>
                </c:pt>
                <c:pt idx="1">
                  <c:v>Grazing</c:v>
                </c:pt>
                <c:pt idx="2">
                  <c:v>Forest Products</c:v>
                </c:pt>
                <c:pt idx="3">
                  <c:v>Fish</c:v>
                </c:pt>
                <c:pt idx="4">
                  <c:v>Built-up</c:v>
                </c:pt>
                <c:pt idx="5">
                  <c:v>Carbon</c:v>
                </c:pt>
              </c:strCache>
            </c:strRef>
          </c:cat>
          <c:val>
            <c:numRef>
              <c:f>summary!$H$7:$H$12</c:f>
              <c:numCache>
                <c:formatCode>_(* #,##0_);_(* \(#,##0\);_(* "-"??_);_(@_)</c:formatCode>
                <c:ptCount val="6"/>
                <c:pt idx="0">
                  <c:v>3.73335133875116E8</c:v>
                </c:pt>
                <c:pt idx="1">
                  <c:v>9.58969988332938E7</c:v>
                </c:pt>
                <c:pt idx="2">
                  <c:v>2.61321524526326E8</c:v>
                </c:pt>
                <c:pt idx="3">
                  <c:v>4.27379506600905E7</c:v>
                </c:pt>
                <c:pt idx="4">
                  <c:v>3.00072158475546E7</c:v>
                </c:pt>
                <c:pt idx="5">
                  <c:v>1.92129762020259E9</c:v>
                </c:pt>
              </c:numCache>
            </c:numRef>
          </c:val>
          <c:extLst xmlns:c16r2="http://schemas.microsoft.com/office/drawing/2015/06/chart">
            <c:ext xmlns:c16="http://schemas.microsoft.com/office/drawing/2014/chart" uri="{C3380CC4-5D6E-409C-BE32-E72D297353CC}">
              <c16:uniqueId val="{00000000-6EE3-4408-B974-9A5AD48A8CC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5" l="0.700000000000001" r="0.700000000000001" t="0.75000000000001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sz="1800" b="1" i="0" u="none" strike="noStrike" baseline="0">
                <a:solidFill>
                  <a:srgbClr val="000000"/>
                </a:solidFill>
                <a:latin typeface="Arial"/>
                <a:ea typeface="Arial"/>
                <a:cs typeface="Arial"/>
              </a:defRPr>
            </a:pPr>
            <a:r>
              <a:rPr lang="en-US"/>
              <a:t>Ecological Footprint and Biocapacity</a:t>
            </a:r>
          </a:p>
        </c:rich>
      </c:tx>
      <c:layout>
        <c:manualLayout>
          <c:xMode val="edge"/>
          <c:yMode val="edge"/>
          <c:x val="0.143129710826963"/>
          <c:y val="0.0299625468164794"/>
        </c:manualLayout>
      </c:layout>
      <c:overlay val="0"/>
      <c:spPr>
        <a:noFill/>
        <a:ln w="25400">
          <a:noFill/>
        </a:ln>
      </c:spPr>
    </c:title>
    <c:autoTitleDeleted val="0"/>
    <c:plotArea>
      <c:layout>
        <c:manualLayout>
          <c:layoutTarget val="inner"/>
          <c:xMode val="edge"/>
          <c:yMode val="edge"/>
          <c:x val="0.0267175572519084"/>
          <c:y val="0.323970629920569"/>
          <c:w val="0.587786259541985"/>
          <c:h val="0.576780081014603"/>
        </c:manualLayout>
      </c:layout>
      <c:doughnutChart>
        <c:varyColors val="1"/>
        <c:ser>
          <c:idx val="3"/>
          <c:order val="0"/>
          <c:spPr>
            <a:solidFill>
              <a:srgbClr val="005595"/>
            </a:solidFill>
          </c:spPr>
          <c:dPt>
            <c:idx val="0"/>
            <c:bubble3D val="0"/>
            <c:spPr>
              <a:noFill/>
            </c:spPr>
            <c:extLst xmlns:c16r2="http://schemas.microsoft.com/office/drawing/2015/06/chart">
              <c:ext xmlns:c16="http://schemas.microsoft.com/office/drawing/2014/chart" uri="{C3380CC4-5D6E-409C-BE32-E72D297353CC}">
                <c16:uniqueId val="{00000000-588F-458E-9CB1-48429E859876}"/>
              </c:ext>
            </c:extLst>
          </c:dPt>
          <c:val>
            <c:numRef>
              <c:f>summary!$F$38:$F$39</c:f>
              <c:numCache>
                <c:formatCode>General</c:formatCode>
                <c:ptCount val="2"/>
                <c:pt idx="0" formatCode="#,##0">
                  <c:v>2.71709125289678E9</c:v>
                </c:pt>
                <c:pt idx="1">
                  <c:v>7.50519104819059E6</c:v>
                </c:pt>
              </c:numCache>
            </c:numRef>
          </c:val>
          <c:extLst xmlns:c16r2="http://schemas.microsoft.com/office/drawing/2015/06/chart">
            <c:ext xmlns:c16="http://schemas.microsoft.com/office/drawing/2014/chart" uri="{C3380CC4-5D6E-409C-BE32-E72D297353CC}">
              <c16:uniqueId val="{00000001-588F-458E-9CB1-48429E859876}"/>
            </c:ext>
          </c:extLst>
        </c:ser>
        <c:ser>
          <c:idx val="0"/>
          <c:order val="1"/>
          <c:spPr>
            <a:solidFill>
              <a:srgbClr val="C60C13"/>
            </a:solidFill>
            <a:effectLst>
              <a:outerShdw blurRad="50800" dist="38100" dir="8100000" algn="tr" rotWithShape="0">
                <a:prstClr val="black">
                  <a:alpha val="40000"/>
                </a:prstClr>
              </a:outerShdw>
            </a:effectLst>
          </c:spPr>
          <c:dPt>
            <c:idx val="0"/>
            <c:bubble3D val="0"/>
            <c:spPr>
              <a:solidFill>
                <a:srgbClr val="920000"/>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2-588F-458E-9CB1-48429E859876}"/>
              </c:ext>
            </c:extLst>
          </c:dPt>
          <c:dPt>
            <c:idx val="1"/>
            <c:bubble3D val="0"/>
            <c:spPr>
              <a:no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3-588F-458E-9CB1-48429E859876}"/>
              </c:ext>
            </c:extLst>
          </c:dPt>
          <c:val>
            <c:numRef>
              <c:f>summary!$B$38:$B$39</c:f>
              <c:numCache>
                <c:formatCode>#,##0</c:formatCode>
                <c:ptCount val="2"/>
                <c:pt idx="0">
                  <c:v>2.71709125289678E9</c:v>
                </c:pt>
                <c:pt idx="1">
                  <c:v>7.50519104819059E6</c:v>
                </c:pt>
              </c:numCache>
            </c:numRef>
          </c:val>
          <c:extLst xmlns:c16r2="http://schemas.microsoft.com/office/drawing/2015/06/chart">
            <c:ext xmlns:c16="http://schemas.microsoft.com/office/drawing/2014/chart" uri="{C3380CC4-5D6E-409C-BE32-E72D297353CC}">
              <c16:uniqueId val="{00000004-588F-458E-9CB1-48429E859876}"/>
            </c:ext>
          </c:extLst>
        </c:ser>
        <c:ser>
          <c:idx val="1"/>
          <c:order val="2"/>
          <c:spPr>
            <a:solidFill>
              <a:srgbClr val="4D7002"/>
            </a:solidFill>
            <a:effectLst>
              <a:outerShdw blurRad="50800" dist="38100" dir="8100000" algn="tr" rotWithShape="0">
                <a:prstClr val="black">
                  <a:alpha val="40000"/>
                </a:prstClr>
              </a:outerShdw>
            </a:effectLst>
          </c:spPr>
          <c:dPt>
            <c:idx val="1"/>
            <c:bubble3D val="0"/>
            <c:spPr>
              <a:noFill/>
              <a:ln w="25400">
                <a:noFill/>
              </a:ln>
              <a:effectLst>
                <a:outerShdw dist="35921" dir="2700000" algn="br">
                  <a:srgbClr val="000000"/>
                </a:outerShdw>
              </a:effectLst>
            </c:spPr>
            <c:extLst xmlns:c16r2="http://schemas.microsoft.com/office/drawing/2015/06/chart">
              <c:ext xmlns:c16="http://schemas.microsoft.com/office/drawing/2014/chart" uri="{C3380CC4-5D6E-409C-BE32-E72D297353CC}">
                <c16:uniqueId val="{00000005-588F-458E-9CB1-48429E859876}"/>
              </c:ext>
            </c:extLst>
          </c:dPt>
          <c:val>
            <c:numRef>
              <c:f>summary!$C$38:$C$39</c:f>
              <c:numCache>
                <c:formatCode>#,##0</c:formatCode>
                <c:ptCount val="2"/>
                <c:pt idx="0">
                  <c:v>1.19908864173408E9</c:v>
                </c:pt>
                <c:pt idx="1">
                  <c:v>1.52550780221089E9</c:v>
                </c:pt>
              </c:numCache>
            </c:numRef>
          </c:val>
          <c:extLst xmlns:c16r2="http://schemas.microsoft.com/office/drawing/2015/06/chart">
            <c:ext xmlns:c16="http://schemas.microsoft.com/office/drawing/2014/chart" uri="{C3380CC4-5D6E-409C-BE32-E72D297353CC}">
              <c16:uniqueId val="{00000006-588F-458E-9CB1-48429E859876}"/>
            </c:ext>
          </c:extLst>
        </c:ser>
        <c:ser>
          <c:idx val="2"/>
          <c:order val="3"/>
          <c:spPr>
            <a:solidFill>
              <a:schemeClr val="accent1"/>
            </a:solidFill>
            <a:effectLst>
              <a:outerShdw blurRad="50800" dist="38100" dir="8100000" algn="tr" rotWithShape="0">
                <a:prstClr val="black">
                  <a:alpha val="40000"/>
                </a:prstClr>
              </a:outerShdw>
            </a:effectLst>
          </c:spPr>
          <c:dPt>
            <c:idx val="0"/>
            <c:bubble3D val="0"/>
            <c:spPr>
              <a:solidFill>
                <a:schemeClr val="accent6"/>
              </a:solidFill>
              <a:ln w="25400">
                <a:noFill/>
              </a:ln>
              <a:effectLst>
                <a:outerShdw blurRad="50800" dist="38100" dir="8100000" algn="tr" rotWithShape="0">
                  <a:prstClr val="black">
                    <a:alpha val="40000"/>
                  </a:prstClr>
                </a:outerShdw>
              </a:effectLst>
              <a:scene3d>
                <a:camera prst="orthographicFront"/>
                <a:lightRig rig="threePt" dir="t"/>
              </a:scene3d>
              <a:sp3d>
                <a:bevelT/>
              </a:sp3d>
            </c:spPr>
            <c:extLst xmlns:c16r2="http://schemas.microsoft.com/office/drawing/2015/06/chart">
              <c:ext xmlns:c16="http://schemas.microsoft.com/office/drawing/2014/chart" uri="{C3380CC4-5D6E-409C-BE32-E72D297353CC}">
                <c16:uniqueId val="{00000007-588F-458E-9CB1-48429E859876}"/>
              </c:ext>
            </c:extLst>
          </c:dPt>
          <c:dPt>
            <c:idx val="1"/>
            <c:bubble3D val="0"/>
            <c:spPr>
              <a:no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8-588F-458E-9CB1-48429E859876}"/>
              </c:ext>
            </c:extLst>
          </c:dPt>
          <c:val>
            <c:numRef>
              <c:f>summary!$D$38:$D$39</c:f>
              <c:numCache>
                <c:formatCode>#,##0</c:formatCode>
                <c:ptCount val="2"/>
                <c:pt idx="0">
                  <c:v>2.72459644394497E9</c:v>
                </c:pt>
                <c:pt idx="1">
                  <c:v>0.0</c:v>
                </c:pt>
              </c:numCache>
            </c:numRef>
          </c:val>
          <c:extLst xmlns:c16r2="http://schemas.microsoft.com/office/drawing/2015/06/chart">
            <c:ext xmlns:c16="http://schemas.microsoft.com/office/drawing/2014/chart" uri="{C3380CC4-5D6E-409C-BE32-E72D297353CC}">
              <c16:uniqueId val="{00000009-588F-458E-9CB1-48429E859876}"/>
            </c:ext>
          </c:extLst>
        </c:ser>
        <c:dLbls>
          <c:showLegendKey val="0"/>
          <c:showVal val="0"/>
          <c:showCatName val="0"/>
          <c:showSerName val="0"/>
          <c:showPercent val="0"/>
          <c:showBubbleSize val="0"/>
          <c:showLeaderLines val="0"/>
        </c:dLbls>
        <c:firstSliceAng val="0"/>
        <c:holeSize val="65"/>
      </c:doughnutChart>
      <c:spPr>
        <a:noFill/>
        <a:ln w="25400">
          <a:noFill/>
        </a:ln>
      </c:spPr>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0" l="0.750000000000015" r="0.750000000000015" t="1.0" header="0.5" footer="0.5"/>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sz="1000" b="0" i="0" u="none" strike="noStrike" baseline="0">
                <a:solidFill>
                  <a:srgbClr val="000000"/>
                </a:solidFill>
                <a:latin typeface="Calibri"/>
                <a:ea typeface="Calibri"/>
                <a:cs typeface="Calibri"/>
              </a:defRPr>
            </a:pPr>
            <a:r>
              <a:rPr lang="en-US" sz="1800" b="1" i="0" u="none" strike="noStrike" baseline="0">
                <a:solidFill>
                  <a:srgbClr val="000000"/>
                </a:solidFill>
                <a:latin typeface="Calibri"/>
                <a:cs typeface="Calibri"/>
              </a:rPr>
              <a:t>Flow of Embodied CO</a:t>
            </a:r>
            <a:r>
              <a:rPr lang="en-US" sz="1800" b="1" i="0" u="none" strike="noStrike" baseline="-25000">
                <a:solidFill>
                  <a:srgbClr val="000000"/>
                </a:solidFill>
                <a:latin typeface="Calibri"/>
                <a:cs typeface="Calibri"/>
              </a:rPr>
              <a:t>2</a:t>
            </a:r>
            <a:r>
              <a:rPr lang="en-US" sz="1800" b="1" i="0" u="none" strike="noStrike" baseline="0">
                <a:solidFill>
                  <a:srgbClr val="000000"/>
                </a:solidFill>
                <a:latin typeface="Calibri"/>
                <a:cs typeface="Calibri"/>
              </a:rPr>
              <a:t> Emissions</a:t>
            </a:r>
          </a:p>
        </c:rich>
      </c:tx>
      <c:layout>
        <c:manualLayout>
          <c:xMode val="edge"/>
          <c:yMode val="edge"/>
          <c:x val="0.370495506243538"/>
          <c:y val="0.021978021978022"/>
        </c:manualLayout>
      </c:layout>
      <c:overlay val="0"/>
      <c:spPr>
        <a:noFill/>
        <a:ln w="25400">
          <a:noFill/>
        </a:ln>
      </c:spPr>
    </c:title>
    <c:autoTitleDeleted val="0"/>
    <c:plotArea>
      <c:layout/>
      <c:barChart>
        <c:barDir val="col"/>
        <c:grouping val="stacked"/>
        <c:varyColors val="0"/>
        <c:ser>
          <c:idx val="0"/>
          <c:order val="0"/>
          <c:spPr>
            <a:solidFill>
              <a:schemeClr val="accent1"/>
            </a:solidFill>
            <a:effectLst/>
          </c:spPr>
          <c:invertIfNegative val="0"/>
          <c:dPt>
            <c:idx val="1"/>
            <c:invertIfNegative val="0"/>
            <c:bubble3D val="0"/>
            <c:spPr>
              <a:gradFill>
                <a:gsLst>
                  <a:gs pos="0">
                    <a:srgbClr val="949EFE"/>
                  </a:gs>
                  <a:gs pos="100000">
                    <a:srgbClr val="4F81BD">
                      <a:tint val="23500"/>
                      <a:satMod val="160000"/>
                    </a:srgbClr>
                  </a:gs>
                </a:gsLst>
                <a:lin ang="10800000" scaled="1"/>
              </a:gradFill>
              <a:effectLst/>
              <a:scene3d>
                <a:camera prst="orthographicFront"/>
                <a:lightRig rig="threePt" dir="t">
                  <a:rot lat="0" lon="0" rev="1200000"/>
                </a:lightRig>
              </a:scene3d>
              <a:sp3d>
                <a:bevelT w="0" h="0"/>
              </a:sp3d>
            </c:spPr>
            <c:extLst xmlns:c16r2="http://schemas.microsoft.com/office/drawing/2015/06/chart">
              <c:ext xmlns:c16="http://schemas.microsoft.com/office/drawing/2014/chart" uri="{C3380CC4-5D6E-409C-BE32-E72D297353CC}">
                <c16:uniqueId val="{00000000-7DD0-4234-8C7E-DCDADD99AA00}"/>
              </c:ext>
            </c:extLst>
          </c:dPt>
          <c:dLbls>
            <c:dLbl>
              <c:idx val="0"/>
              <c:tx>
                <c:rich>
                  <a:bodyPr/>
                  <a:lstStyle/>
                  <a:p>
                    <a:r>
                      <a:rPr lang="en-US"/>
                      <a:t> Production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7DD0-4234-8C7E-DCDADD99AA00}"/>
                </c:ext>
              </c:extLst>
            </c:dLbl>
            <c:dLbl>
              <c:idx val="1"/>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7DD0-4234-8C7E-DCDADD99AA00}"/>
                </c:ext>
              </c:extLst>
            </c:dLbl>
            <c:dLbl>
              <c:idx val="2"/>
              <c:tx>
                <c:rich>
                  <a:bodyPr/>
                  <a:lstStyle/>
                  <a:p>
                    <a:r>
                      <a:rPr lang="en-US"/>
                      <a:t>Consumption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7DD0-4234-8C7E-DCDADD99AA00}"/>
                </c:ext>
              </c:extLst>
            </c:dLbl>
            <c:spPr>
              <a:noFill/>
              <a:ln w="25400">
                <a:noFill/>
              </a:ln>
            </c:spPr>
            <c:txPr>
              <a:bodyPr/>
              <a:lstStyle/>
              <a:p>
                <a:pPr>
                  <a:defRPr sz="1100" b="1" i="0" u="none" strike="noStrike" baseline="0">
                    <a:solidFill>
                      <a:srgbClr val="FFFFFF"/>
                    </a:solidFill>
                    <a:latin typeface="Calibri"/>
                    <a:ea typeface="Calibri"/>
                    <a:cs typeface="Calibri"/>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ef_carbon!$A$39:$C$39</c:f>
              <c:numCache>
                <c:formatCode>_(* #,##0_);_(* \(#,##0\);_(* "-"??_);_(@_)</c:formatCode>
                <c:ptCount val="3"/>
                <c:pt idx="0">
                  <c:v>1.8145210928674E9</c:v>
                </c:pt>
                <c:pt idx="1">
                  <c:v>1.8145210928674E9</c:v>
                </c:pt>
                <c:pt idx="2">
                  <c:v>1.92129762020259E9</c:v>
                </c:pt>
              </c:numCache>
            </c:numRef>
          </c:val>
          <c:extLst xmlns:c16r2="http://schemas.microsoft.com/office/drawing/2015/06/chart">
            <c:ext xmlns:c16="http://schemas.microsoft.com/office/drawing/2014/chart" uri="{C3380CC4-5D6E-409C-BE32-E72D297353CC}">
              <c16:uniqueId val="{00000003-7DD0-4234-8C7E-DCDADD99AA00}"/>
            </c:ext>
          </c:extLst>
        </c:ser>
        <c:ser>
          <c:idx val="1"/>
          <c:order val="1"/>
          <c:spPr>
            <a:solidFill>
              <a:schemeClr val="accent1">
                <a:lumMod val="75000"/>
              </a:schemeClr>
            </a:solidFill>
            <a:effectLst/>
          </c:spPr>
          <c:invertIfNegative val="0"/>
          <c:dPt>
            <c:idx val="1"/>
            <c:invertIfNegative val="0"/>
            <c:bubble3D val="0"/>
            <c:spPr>
              <a:gradFill rotWithShape="0">
                <a:gsLst>
                  <a:gs pos="0">
                    <a:srgbClr val="4C88C4"/>
                  </a:gs>
                  <a:gs pos="50000">
                    <a:srgbClr val="FFFFFF"/>
                  </a:gs>
                  <a:gs pos="100000">
                    <a:srgbClr val="4C88C4"/>
                  </a:gs>
                </a:gsLst>
                <a:lin ang="10800000" scaled="1"/>
              </a:gradFill>
              <a:ln w="25400">
                <a:noFill/>
              </a:ln>
            </c:spPr>
            <c:extLst xmlns:c16r2="http://schemas.microsoft.com/office/drawing/2015/06/chart">
              <c:ext xmlns:c16="http://schemas.microsoft.com/office/drawing/2014/chart" uri="{C3380CC4-5D6E-409C-BE32-E72D297353CC}">
                <c16:uniqueId val="{00000004-7DD0-4234-8C7E-DCDADD99AA00}"/>
              </c:ext>
            </c:extLst>
          </c:dPt>
          <c:dLbls>
            <c:dLbl>
              <c:idx val="0"/>
              <c:tx>
                <c:rich>
                  <a:bodyPr/>
                  <a:lstStyle/>
                  <a:p>
                    <a:r>
                      <a:rPr lang="en-US"/>
                      <a:t> Imports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7DD0-4234-8C7E-DCDADD99AA00}"/>
                </c:ext>
              </c:extLst>
            </c:dLbl>
            <c:dLbl>
              <c:idx val="1"/>
              <c:tx>
                <c:rich>
                  <a:bodyPr/>
                  <a:lstStyle/>
                  <a:p>
                    <a:pPr>
                      <a:defRPr sz="1100" b="1" i="0" u="none" strike="noStrike" baseline="0">
                        <a:solidFill>
                          <a:srgbClr val="000000"/>
                        </a:solidFill>
                        <a:latin typeface="Calibri"/>
                        <a:ea typeface="Calibri"/>
                        <a:cs typeface="Calibri"/>
                      </a:defRPr>
                    </a:pPr>
                    <a:r>
                      <a:rPr lang="en-US"/>
                      <a:t> Net Trade </a:t>
                    </a:r>
                  </a:p>
                </c:rich>
              </c:tx>
              <c:spPr>
                <a:noFill/>
                <a:ln w="25400">
                  <a:noFill/>
                </a:ln>
              </c:spPr>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7DD0-4234-8C7E-DCDADD99AA00}"/>
                </c:ext>
              </c:extLst>
            </c:dLbl>
            <c:dLbl>
              <c:idx val="2"/>
              <c:tx>
                <c:rich>
                  <a:bodyPr/>
                  <a:lstStyle/>
                  <a:p>
                    <a:r>
                      <a:rPr lang="en-US"/>
                      <a:t>Exports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7DD0-4234-8C7E-DCDADD99AA00}"/>
                </c:ext>
              </c:extLst>
            </c:dLbl>
            <c:spPr>
              <a:noFill/>
              <a:ln w="25400">
                <a:noFill/>
              </a:ln>
            </c:spPr>
            <c:txPr>
              <a:bodyPr/>
              <a:lstStyle/>
              <a:p>
                <a:pPr>
                  <a:defRPr sz="1100" b="1" i="0" u="none" strike="noStrike" baseline="0">
                    <a:solidFill>
                      <a:srgbClr val="FFFFFF"/>
                    </a:solidFill>
                    <a:latin typeface="Calibri"/>
                    <a:ea typeface="Calibri"/>
                    <a:cs typeface="Calibri"/>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ef_carbon!$A$40:$C$40</c:f>
              <c:numCache>
                <c:formatCode>_(* #,##0_);_(* \(#,##0\);_(* "-"??_);_(@_)</c:formatCode>
                <c:ptCount val="3"/>
                <c:pt idx="0">
                  <c:v>3.55063201842867E8</c:v>
                </c:pt>
                <c:pt idx="1">
                  <c:v>1.06776527335184E8</c:v>
                </c:pt>
                <c:pt idx="2">
                  <c:v>2.48286674507684E8</c:v>
                </c:pt>
              </c:numCache>
            </c:numRef>
          </c:val>
          <c:extLst xmlns:c16r2="http://schemas.microsoft.com/office/drawing/2015/06/chart">
            <c:ext xmlns:c16="http://schemas.microsoft.com/office/drawing/2014/chart" uri="{C3380CC4-5D6E-409C-BE32-E72D297353CC}">
              <c16:uniqueId val="{00000007-7DD0-4234-8C7E-DCDADD99AA00}"/>
            </c:ext>
          </c:extLst>
        </c:ser>
        <c:ser>
          <c:idx val="2"/>
          <c:order val="2"/>
          <c:spPr>
            <a:effectLst/>
            <a:scene3d>
              <a:camera prst="orthographicFront"/>
              <a:lightRig rig="threePt" dir="t">
                <a:rot lat="0" lon="0" rev="1200000"/>
              </a:lightRig>
            </a:scene3d>
            <a:sp3d>
              <a:bevelT w="0" h="0"/>
            </a:sp3d>
          </c:spPr>
          <c:invertIfNegative val="0"/>
          <c:dPt>
            <c:idx val="1"/>
            <c:invertIfNegative val="0"/>
            <c:bubble3D val="0"/>
            <c:spPr>
              <a:gradFill flip="none" rotWithShape="1">
                <a:gsLst>
                  <a:gs pos="0">
                    <a:srgbClr val="949EFE"/>
                  </a:gs>
                  <a:gs pos="100000">
                    <a:srgbClr val="4F81BD">
                      <a:tint val="23500"/>
                      <a:satMod val="160000"/>
                    </a:srgbClr>
                  </a:gs>
                </a:gsLst>
                <a:lin ang="10800000" scaled="1"/>
                <a:tileRect/>
              </a:gradFill>
              <a:ln w="19050">
                <a:noFill/>
              </a:ln>
              <a:effectLst/>
              <a:scene3d>
                <a:camera prst="orthographicFront"/>
                <a:lightRig rig="threePt" dir="t">
                  <a:rot lat="0" lon="0" rev="1200000"/>
                </a:lightRig>
              </a:scene3d>
              <a:sp3d>
                <a:bevelT w="0" h="0"/>
              </a:sp3d>
            </c:spPr>
            <c:extLst xmlns:c16r2="http://schemas.microsoft.com/office/drawing/2015/06/chart">
              <c:ext xmlns:c16="http://schemas.microsoft.com/office/drawing/2014/chart" uri="{C3380CC4-5D6E-409C-BE32-E72D297353CC}">
                <c16:uniqueId val="{00000008-7DD0-4234-8C7E-DCDADD99AA00}"/>
              </c:ext>
            </c:extLst>
          </c:dPt>
          <c:val>
            <c:numRef>
              <c:f>ef_carbon!$A$41:$C$41</c:f>
              <c:numCache>
                <c:formatCode>_(* #,##0_);_(* \(#,##0\);_(* "-"??_);_(@_)</c:formatCode>
                <c:ptCount val="3"/>
                <c:pt idx="0" formatCode="General">
                  <c:v>0.0</c:v>
                </c:pt>
                <c:pt idx="1">
                  <c:v>2.48286674507684E8</c:v>
                </c:pt>
                <c:pt idx="2" formatCode="General">
                  <c:v>0.0</c:v>
                </c:pt>
              </c:numCache>
            </c:numRef>
          </c:val>
          <c:extLst xmlns:c16r2="http://schemas.microsoft.com/office/drawing/2015/06/chart">
            <c:ext xmlns:c16="http://schemas.microsoft.com/office/drawing/2014/chart" uri="{C3380CC4-5D6E-409C-BE32-E72D297353CC}">
              <c16:uniqueId val="{00000009-7DD0-4234-8C7E-DCDADD99AA00}"/>
            </c:ext>
          </c:extLst>
        </c:ser>
        <c:dLbls>
          <c:showLegendKey val="0"/>
          <c:showVal val="0"/>
          <c:showCatName val="0"/>
          <c:showSerName val="0"/>
          <c:showPercent val="0"/>
          <c:showBubbleSize val="0"/>
        </c:dLbls>
        <c:gapWidth val="0"/>
        <c:overlap val="100"/>
        <c:axId val="-2133955672"/>
        <c:axId val="-2133952680"/>
      </c:barChart>
      <c:catAx>
        <c:axId val="-2133955672"/>
        <c:scaling>
          <c:orientation val="minMax"/>
        </c:scaling>
        <c:delete val="1"/>
        <c:axPos val="b"/>
        <c:majorTickMark val="out"/>
        <c:minorTickMark val="none"/>
        <c:tickLblPos val="none"/>
        <c:crossAx val="-2133952680"/>
        <c:crosses val="autoZero"/>
        <c:auto val="1"/>
        <c:lblAlgn val="ctr"/>
        <c:lblOffset val="100"/>
        <c:noMultiLvlLbl val="0"/>
      </c:catAx>
      <c:valAx>
        <c:axId val="-2133952680"/>
        <c:scaling>
          <c:orientation val="minMax"/>
        </c:scaling>
        <c:delete val="0"/>
        <c:axPos val="l"/>
        <c:title>
          <c:tx>
            <c:rich>
              <a:bodyPr/>
              <a:lstStyle/>
              <a:p>
                <a:pPr>
                  <a:defRPr sz="1000" b="1" i="0" u="none" strike="noStrike" baseline="0">
                    <a:solidFill>
                      <a:srgbClr val="000000"/>
                    </a:solidFill>
                    <a:latin typeface="Calibri"/>
                    <a:ea typeface="Calibri"/>
                    <a:cs typeface="Calibri"/>
                  </a:defRPr>
                </a:pPr>
                <a:r>
                  <a:rPr lang="en-US"/>
                  <a:t>Global Hectares</a:t>
                </a:r>
              </a:p>
            </c:rich>
          </c:tx>
          <c:overlay val="0"/>
          <c:spPr>
            <a:noFill/>
            <a:ln w="25400">
              <a:noFill/>
            </a:ln>
          </c:spPr>
        </c:title>
        <c:numFmt formatCode="_(* #,##0_);_(* \(#,##0\);_(* &quot;-&quot;??_);_(@_)" sourceLinked="1"/>
        <c:majorTickMark val="out"/>
        <c:minorTickMark val="none"/>
        <c:tickLblPos val="nextTo"/>
        <c:txPr>
          <a:bodyPr rot="0" vert="horz"/>
          <a:lstStyle/>
          <a:p>
            <a:pPr>
              <a:defRPr sz="1000" b="1" i="0" u="none" strike="noStrike" baseline="0">
                <a:solidFill>
                  <a:srgbClr val="000000"/>
                </a:solidFill>
                <a:latin typeface="Calibri"/>
                <a:ea typeface="Calibri"/>
                <a:cs typeface="Calibri"/>
              </a:defRPr>
            </a:pPr>
            <a:endParaRPr lang="en-US"/>
          </a:p>
        </c:txPr>
        <c:crossAx val="-2133955672"/>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5" l="0.700000000000001" r="0.700000000000001" t="0.75000000000001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sz="1800" b="1" i="0" u="none" strike="noStrike" baseline="0">
                <a:solidFill>
                  <a:srgbClr val="000000"/>
                </a:solidFill>
                <a:latin typeface="Calibri"/>
                <a:ea typeface="Calibri"/>
                <a:cs typeface="Calibri"/>
              </a:defRPr>
            </a:pPr>
            <a:r>
              <a:rPr lang="en-US"/>
              <a:t>Resource Throughput</a:t>
            </a:r>
          </a:p>
        </c:rich>
      </c:tx>
      <c:layout>
        <c:manualLayout>
          <c:xMode val="edge"/>
          <c:yMode val="edge"/>
          <c:x val="0.435810810810834"/>
          <c:y val="0.010989010989011"/>
        </c:manualLayout>
      </c:layout>
      <c:overlay val="0"/>
      <c:spPr>
        <a:noFill/>
        <a:ln w="25400">
          <a:noFill/>
        </a:ln>
      </c:spPr>
    </c:title>
    <c:autoTitleDeleted val="0"/>
    <c:plotArea>
      <c:layout/>
      <c:barChart>
        <c:barDir val="col"/>
        <c:grouping val="stacked"/>
        <c:varyColors val="0"/>
        <c:ser>
          <c:idx val="0"/>
          <c:order val="0"/>
          <c:spPr>
            <a:solidFill>
              <a:schemeClr val="accent2"/>
            </a:solidFill>
            <a:effectLst/>
          </c:spPr>
          <c:invertIfNegative val="0"/>
          <c:dPt>
            <c:idx val="1"/>
            <c:invertIfNegative val="0"/>
            <c:bubble3D val="0"/>
            <c:spPr>
              <a:gradFill>
                <a:gsLst>
                  <a:gs pos="0">
                    <a:srgbClr val="FDD299"/>
                  </a:gs>
                  <a:gs pos="50000">
                    <a:srgbClr val="FFA25D">
                      <a:lumMod val="40000"/>
                      <a:lumOff val="60000"/>
                    </a:srgbClr>
                  </a:gs>
                  <a:gs pos="100000">
                    <a:srgbClr val="4F81BD">
                      <a:tint val="23500"/>
                      <a:satMod val="160000"/>
                    </a:srgbClr>
                  </a:gs>
                </a:gsLst>
                <a:lin ang="10800000" scaled="1"/>
              </a:gradFill>
              <a:effectLst/>
              <a:scene3d>
                <a:camera prst="orthographicFront"/>
                <a:lightRig rig="threePt" dir="t">
                  <a:rot lat="0" lon="0" rev="1200000"/>
                </a:lightRig>
              </a:scene3d>
              <a:sp3d>
                <a:bevelT w="0" h="0"/>
              </a:sp3d>
            </c:spPr>
            <c:extLst xmlns:c16r2="http://schemas.microsoft.com/office/drawing/2015/06/chart">
              <c:ext xmlns:c16="http://schemas.microsoft.com/office/drawing/2014/chart" uri="{C3380CC4-5D6E-409C-BE32-E72D297353CC}">
                <c16:uniqueId val="{00000000-168C-48E2-9E4C-40B0D9813A2C}"/>
              </c:ext>
            </c:extLst>
          </c:dPt>
          <c:dLbls>
            <c:dLbl>
              <c:idx val="0"/>
              <c:tx>
                <c:rich>
                  <a:bodyPr/>
                  <a:lstStyle/>
                  <a:p>
                    <a:r>
                      <a:rPr lang="en-US"/>
                      <a:t> Production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168C-48E2-9E4C-40B0D9813A2C}"/>
                </c:ext>
              </c:extLst>
            </c:dLbl>
            <c:dLbl>
              <c:idx val="1"/>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168C-48E2-9E4C-40B0D9813A2C}"/>
                </c:ext>
              </c:extLst>
            </c:dLbl>
            <c:dLbl>
              <c:idx val="2"/>
              <c:tx>
                <c:rich>
                  <a:bodyPr/>
                  <a:lstStyle/>
                  <a:p>
                    <a:r>
                      <a:rPr lang="en-US"/>
                      <a:t>Consumption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168C-48E2-9E4C-40B0D9813A2C}"/>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ef_crop!$A$12:$C$12</c:f>
              <c:numCache>
                <c:formatCode>_(* #,##0_);_(* \(#,##0\);_(* "-"??_);_(@_)</c:formatCode>
                <c:ptCount val="3"/>
                <c:pt idx="0">
                  <c:v>4.77400551760823E8</c:v>
                </c:pt>
                <c:pt idx="1">
                  <c:v>3.73335133875116E8</c:v>
                </c:pt>
                <c:pt idx="2">
                  <c:v>3.73335133875116E8</c:v>
                </c:pt>
              </c:numCache>
            </c:numRef>
          </c:val>
          <c:extLst xmlns:c16r2="http://schemas.microsoft.com/office/drawing/2015/06/chart">
            <c:ext xmlns:c16="http://schemas.microsoft.com/office/drawing/2014/chart" uri="{C3380CC4-5D6E-409C-BE32-E72D297353CC}">
              <c16:uniqueId val="{00000003-168C-48E2-9E4C-40B0D9813A2C}"/>
            </c:ext>
          </c:extLst>
        </c:ser>
        <c:ser>
          <c:idx val="1"/>
          <c:order val="1"/>
          <c:spPr>
            <a:gradFill>
              <a:gsLst>
                <a:gs pos="0">
                  <a:srgbClr val="FBA737"/>
                </a:gs>
                <a:gs pos="50000">
                  <a:srgbClr val="FFA25D">
                    <a:lumMod val="40000"/>
                    <a:lumOff val="60000"/>
                  </a:srgbClr>
                </a:gs>
                <a:gs pos="100000">
                  <a:srgbClr val="4F81BD">
                    <a:tint val="23500"/>
                    <a:satMod val="160000"/>
                  </a:srgbClr>
                </a:gs>
              </a:gsLst>
              <a:lin ang="10800000" scaled="1"/>
            </a:gradFill>
            <a:effectLst/>
          </c:spPr>
          <c:invertIfNegative val="0"/>
          <c:dPt>
            <c:idx val="0"/>
            <c:invertIfNegative val="0"/>
            <c:bubble3D val="0"/>
            <c:spPr>
              <a:solidFill>
                <a:srgbClr val="FFA25D">
                  <a:lumMod val="75000"/>
                </a:srgbClr>
              </a:solidFill>
              <a:effectLst/>
            </c:spPr>
            <c:extLst xmlns:c16r2="http://schemas.microsoft.com/office/drawing/2015/06/chart">
              <c:ext xmlns:c16="http://schemas.microsoft.com/office/drawing/2014/chart" uri="{C3380CC4-5D6E-409C-BE32-E72D297353CC}">
                <c16:uniqueId val="{00000004-168C-48E2-9E4C-40B0D9813A2C}"/>
              </c:ext>
            </c:extLst>
          </c:dPt>
          <c:dPt>
            <c:idx val="1"/>
            <c:invertIfNegative val="0"/>
            <c:bubble3D val="0"/>
            <c:spPr>
              <a:gradFill rotWithShape="0">
                <a:gsLst>
                  <a:gs pos="0">
                    <a:srgbClr val="FF9966"/>
                  </a:gs>
                  <a:gs pos="50000">
                    <a:srgbClr val="FFFFFF"/>
                  </a:gs>
                  <a:gs pos="100000">
                    <a:srgbClr val="FF9966"/>
                  </a:gs>
                </a:gsLst>
                <a:lin ang="10800000" scaled="1"/>
              </a:gradFill>
              <a:ln w="25400">
                <a:noFill/>
              </a:ln>
            </c:spPr>
            <c:extLst xmlns:c16r2="http://schemas.microsoft.com/office/drawing/2015/06/chart">
              <c:ext xmlns:c16="http://schemas.microsoft.com/office/drawing/2014/chart" uri="{C3380CC4-5D6E-409C-BE32-E72D297353CC}">
                <c16:uniqueId val="{00000005-168C-48E2-9E4C-40B0D9813A2C}"/>
              </c:ext>
            </c:extLst>
          </c:dPt>
          <c:dPt>
            <c:idx val="2"/>
            <c:invertIfNegative val="0"/>
            <c:bubble3D val="0"/>
            <c:spPr>
              <a:solidFill>
                <a:schemeClr val="accent2">
                  <a:lumMod val="75000"/>
                </a:schemeClr>
              </a:solidFill>
              <a:effectLst/>
            </c:spPr>
            <c:extLst xmlns:c16r2="http://schemas.microsoft.com/office/drawing/2015/06/chart">
              <c:ext xmlns:c16="http://schemas.microsoft.com/office/drawing/2014/chart" uri="{C3380CC4-5D6E-409C-BE32-E72D297353CC}">
                <c16:uniqueId val="{00000006-168C-48E2-9E4C-40B0D9813A2C}"/>
              </c:ext>
            </c:extLst>
          </c:dPt>
          <c:dLbls>
            <c:dLbl>
              <c:idx val="0"/>
              <c:tx>
                <c:rich>
                  <a:bodyPr/>
                  <a:lstStyle/>
                  <a:p>
                    <a:r>
                      <a:rPr lang="en-US"/>
                      <a:t> Imports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168C-48E2-9E4C-40B0D9813A2C}"/>
                </c:ext>
              </c:extLst>
            </c:dLbl>
            <c:dLbl>
              <c:idx val="1"/>
              <c:tx>
                <c:rich>
                  <a:bodyPr/>
                  <a:lstStyle/>
                  <a:p>
                    <a:r>
                      <a:rPr lang="en-US"/>
                      <a:t> Net Trade </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168C-48E2-9E4C-40B0D9813A2C}"/>
                </c:ext>
              </c:extLst>
            </c:dLbl>
            <c:dLbl>
              <c:idx val="2"/>
              <c:tx>
                <c:rich>
                  <a:bodyPr/>
                  <a:lstStyle/>
                  <a:p>
                    <a:r>
                      <a:rPr lang="en-US"/>
                      <a:t>Exports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168C-48E2-9E4C-40B0D9813A2C}"/>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ef_crop!$A$13:$C$13</c:f>
              <c:numCache>
                <c:formatCode>_(* #,##0_);_(* \(#,##0\);_(* "-"??_);_(@_)</c:formatCode>
                <c:ptCount val="3"/>
                <c:pt idx="0">
                  <c:v>5.76786366927567E7</c:v>
                </c:pt>
                <c:pt idx="1">
                  <c:v>1.04065417885707E8</c:v>
                </c:pt>
                <c:pt idx="2">
                  <c:v>1.61744054578464E8</c:v>
                </c:pt>
              </c:numCache>
            </c:numRef>
          </c:val>
          <c:extLst xmlns:c16r2="http://schemas.microsoft.com/office/drawing/2015/06/chart">
            <c:ext xmlns:c16="http://schemas.microsoft.com/office/drawing/2014/chart" uri="{C3380CC4-5D6E-409C-BE32-E72D297353CC}">
              <c16:uniqueId val="{00000007-168C-48E2-9E4C-40B0D9813A2C}"/>
            </c:ext>
          </c:extLst>
        </c:ser>
        <c:ser>
          <c:idx val="2"/>
          <c:order val="2"/>
          <c:spPr>
            <a:gradFill>
              <a:gsLst>
                <a:gs pos="0">
                  <a:schemeClr val="accent2"/>
                </a:gs>
                <a:gs pos="50000">
                  <a:srgbClr val="4F81BD">
                    <a:tint val="44500"/>
                    <a:satMod val="160000"/>
                  </a:srgbClr>
                </a:gs>
                <a:gs pos="100000">
                  <a:srgbClr val="4F81BD">
                    <a:tint val="23500"/>
                    <a:satMod val="160000"/>
                  </a:srgbClr>
                </a:gs>
              </a:gsLst>
              <a:lin ang="10800000" scaled="1"/>
            </a:gradFill>
            <a:effectLst/>
          </c:spPr>
          <c:invertIfNegative val="0"/>
          <c:dPt>
            <c:idx val="1"/>
            <c:invertIfNegative val="0"/>
            <c:bubble3D val="0"/>
            <c:spPr>
              <a:gradFill>
                <a:gsLst>
                  <a:gs pos="0">
                    <a:srgbClr val="FDD299"/>
                  </a:gs>
                  <a:gs pos="50000">
                    <a:srgbClr val="FFA25D">
                      <a:lumMod val="40000"/>
                      <a:lumOff val="60000"/>
                    </a:srgbClr>
                  </a:gs>
                  <a:gs pos="100000">
                    <a:srgbClr val="4F81BD">
                      <a:tint val="23500"/>
                      <a:satMod val="160000"/>
                    </a:srgbClr>
                  </a:gs>
                </a:gsLst>
                <a:lin ang="10800000" scaled="1"/>
              </a:gradFill>
              <a:effectLst/>
              <a:scene3d>
                <a:camera prst="orthographicFront"/>
                <a:lightRig rig="threePt" dir="t">
                  <a:rot lat="0" lon="0" rev="1200000"/>
                </a:lightRig>
              </a:scene3d>
              <a:sp3d>
                <a:bevelT w="0" h="0"/>
              </a:sp3d>
            </c:spPr>
            <c:extLst xmlns:c16r2="http://schemas.microsoft.com/office/drawing/2015/06/chart">
              <c:ext xmlns:c16="http://schemas.microsoft.com/office/drawing/2014/chart" uri="{C3380CC4-5D6E-409C-BE32-E72D297353CC}">
                <c16:uniqueId val="{00000008-168C-48E2-9E4C-40B0D9813A2C}"/>
              </c:ext>
            </c:extLst>
          </c:dPt>
          <c:val>
            <c:numRef>
              <c:f>ef_crop!$A$14:$C$14</c:f>
              <c:numCache>
                <c:formatCode>_(* #,##0_);_(* \(#,##0\);_(* "-"??_);_(@_)</c:formatCode>
                <c:ptCount val="3"/>
                <c:pt idx="0" formatCode="General">
                  <c:v>0.0</c:v>
                </c:pt>
                <c:pt idx="1">
                  <c:v>5.76786366927567E7</c:v>
                </c:pt>
                <c:pt idx="2">
                  <c:v>0.0</c:v>
                </c:pt>
              </c:numCache>
            </c:numRef>
          </c:val>
          <c:extLst xmlns:c16r2="http://schemas.microsoft.com/office/drawing/2015/06/chart">
            <c:ext xmlns:c16="http://schemas.microsoft.com/office/drawing/2014/chart" uri="{C3380CC4-5D6E-409C-BE32-E72D297353CC}">
              <c16:uniqueId val="{00000009-168C-48E2-9E4C-40B0D9813A2C}"/>
            </c:ext>
          </c:extLst>
        </c:ser>
        <c:dLbls>
          <c:showLegendKey val="0"/>
          <c:showVal val="0"/>
          <c:showCatName val="0"/>
          <c:showSerName val="0"/>
          <c:showPercent val="0"/>
          <c:showBubbleSize val="0"/>
        </c:dLbls>
        <c:gapWidth val="0"/>
        <c:overlap val="100"/>
        <c:axId val="-2133208792"/>
        <c:axId val="-2133205816"/>
      </c:barChart>
      <c:catAx>
        <c:axId val="-2133208792"/>
        <c:scaling>
          <c:orientation val="minMax"/>
        </c:scaling>
        <c:delete val="1"/>
        <c:axPos val="b"/>
        <c:majorTickMark val="out"/>
        <c:minorTickMark val="none"/>
        <c:tickLblPos val="none"/>
        <c:crossAx val="-2133205816"/>
        <c:crosses val="autoZero"/>
        <c:auto val="1"/>
        <c:lblAlgn val="ctr"/>
        <c:lblOffset val="100"/>
        <c:noMultiLvlLbl val="0"/>
      </c:catAx>
      <c:valAx>
        <c:axId val="-2133205816"/>
        <c:scaling>
          <c:orientation val="minMax"/>
        </c:scaling>
        <c:delete val="0"/>
        <c:axPos val="l"/>
        <c:title>
          <c:tx>
            <c:rich>
              <a:bodyPr/>
              <a:lstStyle/>
              <a:p>
                <a:pPr>
                  <a:defRPr sz="1000" b="1" i="0" u="none" strike="noStrike" baseline="0">
                    <a:solidFill>
                      <a:srgbClr val="000000"/>
                    </a:solidFill>
                    <a:latin typeface="Calibri"/>
                    <a:ea typeface="Calibri"/>
                    <a:cs typeface="Calibri"/>
                  </a:defRPr>
                </a:pPr>
                <a:r>
                  <a:rPr lang="en-US"/>
                  <a:t>Global Hectares</a:t>
                </a:r>
              </a:p>
            </c:rich>
          </c:tx>
          <c:overlay val="0"/>
          <c:spPr>
            <a:noFill/>
            <a:ln w="25400">
              <a:noFill/>
            </a:ln>
          </c:spPr>
        </c:title>
        <c:numFmt formatCode="_(* #,##0_);_(* \(#,##0\);_(* &quot;-&quot;??_);_(@_)" sourceLinked="1"/>
        <c:majorTickMark val="out"/>
        <c:minorTickMark val="none"/>
        <c:tickLblPos val="nextTo"/>
        <c:txPr>
          <a:bodyPr rot="0" vert="horz"/>
          <a:lstStyle/>
          <a:p>
            <a:pPr>
              <a:defRPr sz="1000" b="1" i="0" u="none" strike="noStrike" baseline="0">
                <a:solidFill>
                  <a:srgbClr val="000000"/>
                </a:solidFill>
                <a:latin typeface="Calibri"/>
                <a:ea typeface="Calibri"/>
                <a:cs typeface="Calibri"/>
              </a:defRPr>
            </a:pPr>
            <a:endParaRPr lang="en-US"/>
          </a:p>
        </c:txPr>
        <c:crossAx val="-2133208792"/>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5" l="0.700000000000001" r="0.700000000000001" t="0.75000000000001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sz="1800" b="1" i="0" u="none" strike="noStrike" baseline="0">
                <a:solidFill>
                  <a:srgbClr val="000000"/>
                </a:solidFill>
                <a:latin typeface="Calibri"/>
                <a:ea typeface="Calibri"/>
                <a:cs typeface="Calibri"/>
              </a:defRPr>
            </a:pPr>
            <a:r>
              <a:rPr lang="en-US"/>
              <a:t>Resource Throughput</a:t>
            </a:r>
          </a:p>
        </c:rich>
      </c:tx>
      <c:layout>
        <c:manualLayout>
          <c:xMode val="edge"/>
          <c:yMode val="edge"/>
          <c:x val="0.432432432432432"/>
          <c:y val="0.010989010989011"/>
        </c:manualLayout>
      </c:layout>
      <c:overlay val="0"/>
      <c:spPr>
        <a:noFill/>
        <a:ln w="25400">
          <a:noFill/>
        </a:ln>
      </c:spPr>
    </c:title>
    <c:autoTitleDeleted val="0"/>
    <c:plotArea>
      <c:layout/>
      <c:barChart>
        <c:barDir val="col"/>
        <c:grouping val="stacked"/>
        <c:varyColors val="0"/>
        <c:ser>
          <c:idx val="0"/>
          <c:order val="0"/>
          <c:spPr>
            <a:solidFill>
              <a:schemeClr val="accent3"/>
            </a:solidFill>
            <a:effectLst/>
          </c:spPr>
          <c:invertIfNegative val="0"/>
          <c:dPt>
            <c:idx val="1"/>
            <c:invertIfNegative val="0"/>
            <c:bubble3D val="0"/>
            <c:spPr>
              <a:gradFill rotWithShape="0">
                <a:gsLst>
                  <a:gs pos="0">
                    <a:srgbClr val="FFE8A7"/>
                  </a:gs>
                  <a:gs pos="100000">
                    <a:srgbClr val="FFFFFF"/>
                  </a:gs>
                </a:gsLst>
                <a:lin ang="10800000" scaled="1"/>
              </a:gradFill>
              <a:ln w="25400">
                <a:noFill/>
              </a:ln>
            </c:spPr>
            <c:extLst xmlns:c16r2="http://schemas.microsoft.com/office/drawing/2015/06/chart">
              <c:ext xmlns:c16="http://schemas.microsoft.com/office/drawing/2014/chart" uri="{C3380CC4-5D6E-409C-BE32-E72D297353CC}">
                <c16:uniqueId val="{00000000-8142-4DE9-8600-551219351797}"/>
              </c:ext>
            </c:extLst>
          </c:dPt>
          <c:dLbls>
            <c:dLbl>
              <c:idx val="0"/>
              <c:tx>
                <c:rich>
                  <a:bodyPr/>
                  <a:lstStyle/>
                  <a:p>
                    <a:r>
                      <a:rPr lang="en-US"/>
                      <a:t> Production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8142-4DE9-8600-551219351797}"/>
                </c:ext>
              </c:extLst>
            </c:dLbl>
            <c:dLbl>
              <c:idx val="1"/>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8142-4DE9-8600-551219351797}"/>
                </c:ext>
              </c:extLst>
            </c:dLbl>
            <c:dLbl>
              <c:idx val="2"/>
              <c:tx>
                <c:rich>
                  <a:bodyPr/>
                  <a:lstStyle/>
                  <a:p>
                    <a:r>
                      <a:rPr lang="en-US"/>
                      <a:t>Consumption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8142-4DE9-8600-551219351797}"/>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ef_grazing!$A$11:$C$11</c:f>
              <c:numCache>
                <c:formatCode>_(* #,##0_);_(* \(#,##0\);_(* "-"??_);_(@_)</c:formatCode>
                <c:ptCount val="3"/>
                <c:pt idx="0">
                  <c:v>8.8764550368579E7</c:v>
                </c:pt>
                <c:pt idx="1">
                  <c:v>8.8764550368579E7</c:v>
                </c:pt>
                <c:pt idx="2">
                  <c:v>9.58969988332938E7</c:v>
                </c:pt>
              </c:numCache>
            </c:numRef>
          </c:val>
          <c:extLst xmlns:c16r2="http://schemas.microsoft.com/office/drawing/2015/06/chart">
            <c:ext xmlns:c16="http://schemas.microsoft.com/office/drawing/2014/chart" uri="{C3380CC4-5D6E-409C-BE32-E72D297353CC}">
              <c16:uniqueId val="{00000003-8142-4DE9-8600-551219351797}"/>
            </c:ext>
          </c:extLst>
        </c:ser>
        <c:ser>
          <c:idx val="1"/>
          <c:order val="1"/>
          <c:spPr>
            <a:solidFill>
              <a:schemeClr val="accent3">
                <a:lumMod val="75000"/>
              </a:schemeClr>
            </a:solidFill>
            <a:effectLst/>
          </c:spPr>
          <c:invertIfNegative val="0"/>
          <c:dPt>
            <c:idx val="1"/>
            <c:invertIfNegative val="0"/>
            <c:bubble3D val="0"/>
            <c:spPr>
              <a:gradFill rotWithShape="0">
                <a:gsLst>
                  <a:gs pos="0">
                    <a:srgbClr val="FDE349"/>
                  </a:gs>
                  <a:gs pos="50000">
                    <a:srgbClr val="FFFFFF"/>
                  </a:gs>
                  <a:gs pos="100000">
                    <a:srgbClr val="FDE349"/>
                  </a:gs>
                </a:gsLst>
                <a:lin ang="10800000" scaled="1"/>
              </a:gradFill>
              <a:ln w="25400">
                <a:noFill/>
              </a:ln>
            </c:spPr>
            <c:extLst xmlns:c16r2="http://schemas.microsoft.com/office/drawing/2015/06/chart">
              <c:ext xmlns:c16="http://schemas.microsoft.com/office/drawing/2014/chart" uri="{C3380CC4-5D6E-409C-BE32-E72D297353CC}">
                <c16:uniqueId val="{00000004-8142-4DE9-8600-551219351797}"/>
              </c:ext>
            </c:extLst>
          </c:dPt>
          <c:dLbls>
            <c:dLbl>
              <c:idx val="0"/>
              <c:tx>
                <c:rich>
                  <a:bodyPr/>
                  <a:lstStyle/>
                  <a:p>
                    <a:r>
                      <a:rPr lang="en-US"/>
                      <a:t> Imports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8142-4DE9-8600-551219351797}"/>
                </c:ext>
              </c:extLst>
            </c:dLbl>
            <c:dLbl>
              <c:idx val="1"/>
              <c:tx>
                <c:rich>
                  <a:bodyPr/>
                  <a:lstStyle/>
                  <a:p>
                    <a:r>
                      <a:rPr lang="en-US"/>
                      <a:t> Net Trade </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8142-4DE9-8600-551219351797}"/>
                </c:ext>
              </c:extLst>
            </c:dLbl>
            <c:dLbl>
              <c:idx val="2"/>
              <c:tx>
                <c:rich>
                  <a:bodyPr/>
                  <a:lstStyle/>
                  <a:p>
                    <a:r>
                      <a:rPr lang="en-US"/>
                      <a:t>Exports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8142-4DE9-8600-551219351797}"/>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ef_grazing!$A$12:$C$12</c:f>
              <c:numCache>
                <c:formatCode>_(* #,##0_);_(* \(#,##0\);_(* "-"??_);_(@_)</c:formatCode>
                <c:ptCount val="3"/>
                <c:pt idx="0">
                  <c:v>2.36044795520129E7</c:v>
                </c:pt>
                <c:pt idx="1">
                  <c:v>7.13244846471486E6</c:v>
                </c:pt>
                <c:pt idx="2">
                  <c:v>1.64720310872981E7</c:v>
                </c:pt>
              </c:numCache>
            </c:numRef>
          </c:val>
          <c:extLst xmlns:c16r2="http://schemas.microsoft.com/office/drawing/2015/06/chart">
            <c:ext xmlns:c16="http://schemas.microsoft.com/office/drawing/2014/chart" uri="{C3380CC4-5D6E-409C-BE32-E72D297353CC}">
              <c16:uniqueId val="{00000007-8142-4DE9-8600-551219351797}"/>
            </c:ext>
          </c:extLst>
        </c:ser>
        <c:ser>
          <c:idx val="2"/>
          <c:order val="2"/>
          <c:spPr>
            <a:gradFill>
              <a:gsLst>
                <a:gs pos="0">
                  <a:srgbClr val="FFD96D"/>
                </a:gs>
                <a:gs pos="50000">
                  <a:srgbClr val="FFA25D">
                    <a:lumMod val="40000"/>
                    <a:lumOff val="60000"/>
                  </a:srgbClr>
                </a:gs>
                <a:gs pos="100000">
                  <a:srgbClr val="4F81BD">
                    <a:tint val="23500"/>
                    <a:satMod val="160000"/>
                  </a:srgbClr>
                </a:gs>
              </a:gsLst>
              <a:lin ang="10800000" scaled="1"/>
            </a:gradFill>
            <a:effectLst/>
          </c:spPr>
          <c:invertIfNegative val="0"/>
          <c:dPt>
            <c:idx val="1"/>
            <c:invertIfNegative val="0"/>
            <c:bubble3D val="0"/>
            <c:spPr>
              <a:gradFill rotWithShape="0">
                <a:gsLst>
                  <a:gs pos="0">
                    <a:srgbClr val="FFE8A7"/>
                  </a:gs>
                  <a:gs pos="100000">
                    <a:srgbClr val="FFFFFF"/>
                  </a:gs>
                </a:gsLst>
                <a:lin ang="10800000" scaled="1"/>
              </a:gradFill>
              <a:ln w="25400">
                <a:noFill/>
              </a:ln>
            </c:spPr>
            <c:extLst xmlns:c16r2="http://schemas.microsoft.com/office/drawing/2015/06/chart">
              <c:ext xmlns:c16="http://schemas.microsoft.com/office/drawing/2014/chart" uri="{C3380CC4-5D6E-409C-BE32-E72D297353CC}">
                <c16:uniqueId val="{00000008-8142-4DE9-8600-551219351797}"/>
              </c:ext>
            </c:extLst>
          </c:dPt>
          <c:val>
            <c:numRef>
              <c:f>ef_grazing!$A$13:$C$13</c:f>
              <c:numCache>
                <c:formatCode>_(* #,##0_);_(* \(#,##0\);_(* "-"??_);_(@_)</c:formatCode>
                <c:ptCount val="3"/>
                <c:pt idx="0" formatCode="General">
                  <c:v>0.0</c:v>
                </c:pt>
                <c:pt idx="1">
                  <c:v>1.64720310872981E7</c:v>
                </c:pt>
                <c:pt idx="2" formatCode="General">
                  <c:v>0.0</c:v>
                </c:pt>
              </c:numCache>
            </c:numRef>
          </c:val>
          <c:extLst xmlns:c16r2="http://schemas.microsoft.com/office/drawing/2015/06/chart">
            <c:ext xmlns:c16="http://schemas.microsoft.com/office/drawing/2014/chart" uri="{C3380CC4-5D6E-409C-BE32-E72D297353CC}">
              <c16:uniqueId val="{00000009-8142-4DE9-8600-551219351797}"/>
            </c:ext>
          </c:extLst>
        </c:ser>
        <c:ser>
          <c:idx val="3"/>
          <c:order val="3"/>
          <c:invertIfNegative val="0"/>
          <c:val>
            <c:numRef>
              <c:f>ef_grazing!$A$14:$C$14</c:f>
              <c:numCache>
                <c:formatCode>General</c:formatCode>
                <c:ptCount val="3"/>
              </c:numCache>
            </c:numRef>
          </c:val>
          <c:extLst xmlns:c16r2="http://schemas.microsoft.com/office/drawing/2015/06/chart">
            <c:ext xmlns:c16="http://schemas.microsoft.com/office/drawing/2014/chart" uri="{C3380CC4-5D6E-409C-BE32-E72D297353CC}">
              <c16:uniqueId val="{0000000A-8142-4DE9-8600-551219351797}"/>
            </c:ext>
          </c:extLst>
        </c:ser>
        <c:dLbls>
          <c:showLegendKey val="0"/>
          <c:showVal val="0"/>
          <c:showCatName val="0"/>
          <c:showSerName val="0"/>
          <c:showPercent val="0"/>
          <c:showBubbleSize val="0"/>
        </c:dLbls>
        <c:gapWidth val="0"/>
        <c:overlap val="100"/>
        <c:axId val="2080417128"/>
        <c:axId val="2080420296"/>
      </c:barChart>
      <c:catAx>
        <c:axId val="2080417128"/>
        <c:scaling>
          <c:orientation val="minMax"/>
        </c:scaling>
        <c:delete val="1"/>
        <c:axPos val="b"/>
        <c:majorTickMark val="out"/>
        <c:minorTickMark val="none"/>
        <c:tickLblPos val="none"/>
        <c:crossAx val="2080420296"/>
        <c:crosses val="autoZero"/>
        <c:auto val="1"/>
        <c:lblAlgn val="ctr"/>
        <c:lblOffset val="100"/>
        <c:noMultiLvlLbl val="0"/>
      </c:catAx>
      <c:valAx>
        <c:axId val="2080420296"/>
        <c:scaling>
          <c:orientation val="minMax"/>
        </c:scaling>
        <c:delete val="0"/>
        <c:axPos val="l"/>
        <c:title>
          <c:tx>
            <c:rich>
              <a:bodyPr/>
              <a:lstStyle/>
              <a:p>
                <a:pPr>
                  <a:defRPr sz="1000" b="1" i="0" u="none" strike="noStrike" baseline="0">
                    <a:solidFill>
                      <a:srgbClr val="000000"/>
                    </a:solidFill>
                    <a:latin typeface="Calibri"/>
                    <a:ea typeface="Calibri"/>
                    <a:cs typeface="Calibri"/>
                  </a:defRPr>
                </a:pPr>
                <a:r>
                  <a:rPr lang="en-US"/>
                  <a:t>Global Hectares</a:t>
                </a:r>
              </a:p>
            </c:rich>
          </c:tx>
          <c:overlay val="0"/>
          <c:spPr>
            <a:noFill/>
            <a:ln w="25400">
              <a:noFill/>
            </a:ln>
          </c:spPr>
        </c:title>
        <c:numFmt formatCode="_(* #,##0_);_(* \(#,##0\);_(* &quot;-&quot;??_);_(@_)" sourceLinked="1"/>
        <c:majorTickMark val="out"/>
        <c:minorTickMark val="none"/>
        <c:tickLblPos val="nextTo"/>
        <c:txPr>
          <a:bodyPr rot="0" vert="horz"/>
          <a:lstStyle/>
          <a:p>
            <a:pPr>
              <a:defRPr sz="1000" b="1" i="0" u="none" strike="noStrike" baseline="0">
                <a:solidFill>
                  <a:srgbClr val="000000"/>
                </a:solidFill>
                <a:latin typeface="Calibri"/>
                <a:ea typeface="Calibri"/>
                <a:cs typeface="Calibri"/>
              </a:defRPr>
            </a:pPr>
            <a:endParaRPr lang="en-US"/>
          </a:p>
        </c:txPr>
        <c:crossAx val="2080417128"/>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5" l="0.700000000000001" r="0.700000000000001" t="0.75000000000001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sz="1800" b="1" i="0" u="none" strike="noStrike" baseline="0">
                <a:solidFill>
                  <a:srgbClr val="000000"/>
                </a:solidFill>
                <a:latin typeface="Calibri"/>
                <a:ea typeface="Calibri"/>
                <a:cs typeface="Calibri"/>
              </a:defRPr>
            </a:pPr>
            <a:r>
              <a:rPr lang="en-US"/>
              <a:t>Resource Throughput</a:t>
            </a:r>
          </a:p>
        </c:rich>
      </c:tx>
      <c:layout>
        <c:manualLayout>
          <c:xMode val="edge"/>
          <c:yMode val="edge"/>
          <c:x val="0.426801747057899"/>
          <c:y val="0.010989010989011"/>
        </c:manualLayout>
      </c:layout>
      <c:overlay val="0"/>
      <c:spPr>
        <a:noFill/>
        <a:ln w="25400">
          <a:noFill/>
        </a:ln>
      </c:spPr>
    </c:title>
    <c:autoTitleDeleted val="0"/>
    <c:plotArea>
      <c:layout>
        <c:manualLayout>
          <c:layoutTarget val="inner"/>
          <c:xMode val="edge"/>
          <c:yMode val="edge"/>
          <c:x val="0.127252252252252"/>
          <c:y val="0.114285714285716"/>
          <c:w val="0.843468468468469"/>
          <c:h val="0.850549450549491"/>
        </c:manualLayout>
      </c:layout>
      <c:barChart>
        <c:barDir val="col"/>
        <c:grouping val="stacked"/>
        <c:varyColors val="0"/>
        <c:ser>
          <c:idx val="0"/>
          <c:order val="0"/>
          <c:spPr>
            <a:solidFill>
              <a:schemeClr val="accent4"/>
            </a:solidFill>
            <a:effectLst/>
          </c:spPr>
          <c:invertIfNegative val="0"/>
          <c:dPt>
            <c:idx val="1"/>
            <c:invertIfNegative val="0"/>
            <c:bubble3D val="0"/>
            <c:spPr>
              <a:gradFill rotWithShape="0">
                <a:gsLst>
                  <a:gs pos="0">
                    <a:srgbClr val="A7BCFF"/>
                  </a:gs>
                  <a:gs pos="100000">
                    <a:srgbClr val="FFFFFF"/>
                  </a:gs>
                </a:gsLst>
                <a:lin ang="10800000" scaled="1"/>
              </a:gradFill>
              <a:ln w="25400">
                <a:noFill/>
              </a:ln>
            </c:spPr>
            <c:extLst xmlns:c16r2="http://schemas.microsoft.com/office/drawing/2015/06/chart">
              <c:ext xmlns:c16="http://schemas.microsoft.com/office/drawing/2014/chart" uri="{C3380CC4-5D6E-409C-BE32-E72D297353CC}">
                <c16:uniqueId val="{00000000-87B3-485C-BC3A-6A4DF7295DE1}"/>
              </c:ext>
            </c:extLst>
          </c:dPt>
          <c:dLbls>
            <c:dLbl>
              <c:idx val="0"/>
              <c:layout/>
              <c:tx>
                <c:rich>
                  <a:bodyPr/>
                  <a:lstStyle/>
                  <a:p>
                    <a:r>
                      <a:rPr lang="en-US"/>
                      <a:t> Production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87B3-485C-BC3A-6A4DF7295DE1}"/>
                </c:ext>
              </c:extLst>
            </c:dLbl>
            <c:dLbl>
              <c:idx val="1"/>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87B3-485C-BC3A-6A4DF7295DE1}"/>
                </c:ext>
              </c:extLst>
            </c:dLbl>
            <c:dLbl>
              <c:idx val="2"/>
              <c:layout/>
              <c:tx>
                <c:rich>
                  <a:bodyPr/>
                  <a:lstStyle/>
                  <a:p>
                    <a:r>
                      <a:rPr lang="en-US"/>
                      <a:t>Consumption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87B3-485C-BC3A-6A4DF7295DE1}"/>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ef_fish!$A$38:$C$38</c:f>
              <c:numCache>
                <c:formatCode>_(* #,##0_);_(* \(#,##0\);_(* "-"??_);_(@_)</c:formatCode>
                <c:ptCount val="3"/>
                <c:pt idx="0">
                  <c:v>3.76489620985085E7</c:v>
                </c:pt>
                <c:pt idx="1">
                  <c:v>3.76489620985085E7</c:v>
                </c:pt>
                <c:pt idx="2">
                  <c:v>4.27379506600905E7</c:v>
                </c:pt>
              </c:numCache>
            </c:numRef>
          </c:val>
          <c:extLst xmlns:c16r2="http://schemas.microsoft.com/office/drawing/2015/06/chart">
            <c:ext xmlns:c16="http://schemas.microsoft.com/office/drawing/2014/chart" uri="{C3380CC4-5D6E-409C-BE32-E72D297353CC}">
              <c16:uniqueId val="{00000003-87B3-485C-BC3A-6A4DF7295DE1}"/>
            </c:ext>
          </c:extLst>
        </c:ser>
        <c:ser>
          <c:idx val="1"/>
          <c:order val="1"/>
          <c:spPr>
            <a:solidFill>
              <a:schemeClr val="accent4">
                <a:lumMod val="75000"/>
              </a:schemeClr>
            </a:solidFill>
            <a:effectLst/>
          </c:spPr>
          <c:invertIfNegative val="0"/>
          <c:dPt>
            <c:idx val="1"/>
            <c:invertIfNegative val="0"/>
            <c:bubble3D val="0"/>
            <c:spPr>
              <a:gradFill rotWithShape="0">
                <a:gsLst>
                  <a:gs pos="0">
                    <a:srgbClr val="005595"/>
                  </a:gs>
                  <a:gs pos="50000">
                    <a:srgbClr val="FFFFFF"/>
                  </a:gs>
                  <a:gs pos="100000">
                    <a:srgbClr val="005595"/>
                  </a:gs>
                </a:gsLst>
                <a:lin ang="10800000" scaled="1"/>
              </a:gradFill>
              <a:ln w="25400">
                <a:noFill/>
              </a:ln>
            </c:spPr>
            <c:extLst xmlns:c16r2="http://schemas.microsoft.com/office/drawing/2015/06/chart">
              <c:ext xmlns:c16="http://schemas.microsoft.com/office/drawing/2014/chart" uri="{C3380CC4-5D6E-409C-BE32-E72D297353CC}">
                <c16:uniqueId val="{00000004-87B3-485C-BC3A-6A4DF7295DE1}"/>
              </c:ext>
            </c:extLst>
          </c:dPt>
          <c:dLbls>
            <c:dLbl>
              <c:idx val="0"/>
              <c:layout/>
              <c:tx>
                <c:rich>
                  <a:bodyPr/>
                  <a:lstStyle/>
                  <a:p>
                    <a:r>
                      <a:rPr lang="en-US"/>
                      <a:t> Imports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87B3-485C-BC3A-6A4DF7295DE1}"/>
                </c:ext>
              </c:extLst>
            </c:dLbl>
            <c:dLbl>
              <c:idx val="1"/>
              <c:layout/>
              <c:tx>
                <c:rich>
                  <a:bodyPr/>
                  <a:lstStyle/>
                  <a:p>
                    <a:r>
                      <a:rPr lang="en-US"/>
                      <a:t> Net Trade </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87B3-485C-BC3A-6A4DF7295DE1}"/>
                </c:ext>
              </c:extLst>
            </c:dLbl>
            <c:dLbl>
              <c:idx val="2"/>
              <c:layout/>
              <c:tx>
                <c:rich>
                  <a:bodyPr/>
                  <a:lstStyle/>
                  <a:p>
                    <a:r>
                      <a:rPr lang="en-US"/>
                      <a:t>Exports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87B3-485C-BC3A-6A4DF7295DE1}"/>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ef_fish!$A$39:$C$39</c:f>
              <c:numCache>
                <c:formatCode>_(* #,##0_);_(* \(#,##0\);_(* "-"??_);_(@_)</c:formatCode>
                <c:ptCount val="3"/>
                <c:pt idx="0">
                  <c:v>1.75976659641762E7</c:v>
                </c:pt>
                <c:pt idx="1">
                  <c:v>5.08898856158201E6</c:v>
                </c:pt>
                <c:pt idx="2">
                  <c:v>1.25086774025942E7</c:v>
                </c:pt>
              </c:numCache>
            </c:numRef>
          </c:val>
          <c:extLst xmlns:c16r2="http://schemas.microsoft.com/office/drawing/2015/06/chart">
            <c:ext xmlns:c16="http://schemas.microsoft.com/office/drawing/2014/chart" uri="{C3380CC4-5D6E-409C-BE32-E72D297353CC}">
              <c16:uniqueId val="{00000007-87B3-485C-BC3A-6A4DF7295DE1}"/>
            </c:ext>
          </c:extLst>
        </c:ser>
        <c:ser>
          <c:idx val="2"/>
          <c:order val="2"/>
          <c:spPr>
            <a:gradFill>
              <a:gsLst>
                <a:gs pos="0">
                  <a:srgbClr val="75E5FF"/>
                </a:gs>
                <a:gs pos="100000">
                  <a:sysClr val="window" lastClr="FFFFFF"/>
                </a:gs>
              </a:gsLst>
              <a:lin ang="10800000" scaled="1"/>
            </a:gradFill>
            <a:effectLst/>
          </c:spPr>
          <c:invertIfNegative val="0"/>
          <c:dPt>
            <c:idx val="1"/>
            <c:invertIfNegative val="0"/>
            <c:bubble3D val="0"/>
            <c:spPr>
              <a:gradFill rotWithShape="0">
                <a:gsLst>
                  <a:gs pos="0">
                    <a:srgbClr val="A7BCFF"/>
                  </a:gs>
                  <a:gs pos="100000">
                    <a:srgbClr val="FFFFFF"/>
                  </a:gs>
                </a:gsLst>
                <a:lin ang="10800000" scaled="1"/>
              </a:gradFill>
              <a:ln w="25400">
                <a:noFill/>
              </a:ln>
            </c:spPr>
            <c:extLst xmlns:c16r2="http://schemas.microsoft.com/office/drawing/2015/06/chart">
              <c:ext xmlns:c16="http://schemas.microsoft.com/office/drawing/2014/chart" uri="{C3380CC4-5D6E-409C-BE32-E72D297353CC}">
                <c16:uniqueId val="{00000008-87B3-485C-BC3A-6A4DF7295DE1}"/>
              </c:ext>
            </c:extLst>
          </c:dPt>
          <c:val>
            <c:numRef>
              <c:f>ef_fish!$A$40:$C$40</c:f>
              <c:numCache>
                <c:formatCode>_(* #,##0_);_(* \(#,##0\);_(* "-"??_);_(@_)</c:formatCode>
                <c:ptCount val="3"/>
                <c:pt idx="0" formatCode="General">
                  <c:v>0.0</c:v>
                </c:pt>
                <c:pt idx="1">
                  <c:v>1.25086774025942E7</c:v>
                </c:pt>
                <c:pt idx="2" formatCode="General">
                  <c:v>0.0</c:v>
                </c:pt>
              </c:numCache>
            </c:numRef>
          </c:val>
          <c:extLst xmlns:c16r2="http://schemas.microsoft.com/office/drawing/2015/06/chart">
            <c:ext xmlns:c16="http://schemas.microsoft.com/office/drawing/2014/chart" uri="{C3380CC4-5D6E-409C-BE32-E72D297353CC}">
              <c16:uniqueId val="{00000009-87B3-485C-BC3A-6A4DF7295DE1}"/>
            </c:ext>
          </c:extLst>
        </c:ser>
        <c:dLbls>
          <c:showLegendKey val="0"/>
          <c:showVal val="0"/>
          <c:showCatName val="0"/>
          <c:showSerName val="0"/>
          <c:showPercent val="0"/>
          <c:showBubbleSize val="0"/>
        </c:dLbls>
        <c:gapWidth val="0"/>
        <c:overlap val="100"/>
        <c:axId val="-2132880840"/>
        <c:axId val="-2132877896"/>
      </c:barChart>
      <c:catAx>
        <c:axId val="-2132880840"/>
        <c:scaling>
          <c:orientation val="minMax"/>
        </c:scaling>
        <c:delete val="1"/>
        <c:axPos val="b"/>
        <c:majorTickMark val="out"/>
        <c:minorTickMark val="none"/>
        <c:tickLblPos val="none"/>
        <c:crossAx val="-2132877896"/>
        <c:crosses val="autoZero"/>
        <c:auto val="1"/>
        <c:lblAlgn val="ctr"/>
        <c:lblOffset val="100"/>
        <c:noMultiLvlLbl val="0"/>
      </c:catAx>
      <c:valAx>
        <c:axId val="-2132877896"/>
        <c:scaling>
          <c:orientation val="minMax"/>
        </c:scaling>
        <c:delete val="0"/>
        <c:axPos val="l"/>
        <c:title>
          <c:tx>
            <c:rich>
              <a:bodyPr/>
              <a:lstStyle/>
              <a:p>
                <a:pPr>
                  <a:defRPr sz="1000" b="1" i="0" u="none" strike="noStrike" baseline="0">
                    <a:solidFill>
                      <a:srgbClr val="000000"/>
                    </a:solidFill>
                    <a:latin typeface="Calibri"/>
                    <a:ea typeface="Calibri"/>
                    <a:cs typeface="Calibri"/>
                  </a:defRPr>
                </a:pPr>
                <a:r>
                  <a:rPr lang="en-US"/>
                  <a:t>Global Hectares</a:t>
                </a:r>
              </a:p>
            </c:rich>
          </c:tx>
          <c:layout/>
          <c:overlay val="0"/>
          <c:spPr>
            <a:noFill/>
            <a:ln w="25400">
              <a:noFill/>
            </a:ln>
          </c:spPr>
        </c:title>
        <c:numFmt formatCode="_(* #,##0_);_(* \(#,##0\);_(* &quot;-&quot;??_);_(@_)" sourceLinked="1"/>
        <c:majorTickMark val="out"/>
        <c:minorTickMark val="none"/>
        <c:tickLblPos val="nextTo"/>
        <c:txPr>
          <a:bodyPr rot="0" vert="horz"/>
          <a:lstStyle/>
          <a:p>
            <a:pPr>
              <a:defRPr sz="1000" b="1" i="0" u="none" strike="noStrike" baseline="0">
                <a:solidFill>
                  <a:srgbClr val="000000"/>
                </a:solidFill>
                <a:latin typeface="Calibri"/>
                <a:ea typeface="Calibri"/>
                <a:cs typeface="Calibri"/>
              </a:defRPr>
            </a:pPr>
            <a:endParaRPr lang="en-US"/>
          </a:p>
        </c:txPr>
        <c:crossAx val="-2132880840"/>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5" l="0.700000000000001" r="0.700000000000001" t="0.75000000000001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sz="1800" b="1" i="0" u="none" strike="noStrike" baseline="0">
                <a:solidFill>
                  <a:srgbClr val="000000"/>
                </a:solidFill>
                <a:latin typeface="Calibri"/>
                <a:ea typeface="Calibri"/>
                <a:cs typeface="Calibri"/>
              </a:defRPr>
            </a:pPr>
            <a:r>
              <a:rPr lang="en-US"/>
              <a:t>Resource Throughput</a:t>
            </a:r>
          </a:p>
        </c:rich>
      </c:tx>
      <c:layout>
        <c:manualLayout>
          <c:xMode val="edge"/>
          <c:yMode val="edge"/>
          <c:x val="0.438063063063077"/>
          <c:y val="0.0175824175824176"/>
        </c:manualLayout>
      </c:layout>
      <c:overlay val="0"/>
      <c:spPr>
        <a:noFill/>
        <a:ln w="25400">
          <a:noFill/>
        </a:ln>
      </c:spPr>
    </c:title>
    <c:autoTitleDeleted val="0"/>
    <c:plotArea>
      <c:layout/>
      <c:barChart>
        <c:barDir val="col"/>
        <c:grouping val="stacked"/>
        <c:varyColors val="0"/>
        <c:ser>
          <c:idx val="0"/>
          <c:order val="0"/>
          <c:spPr>
            <a:solidFill>
              <a:schemeClr val="accent5"/>
            </a:solidFill>
            <a:effectLst/>
          </c:spPr>
          <c:invertIfNegative val="0"/>
          <c:dPt>
            <c:idx val="1"/>
            <c:invertIfNegative val="0"/>
            <c:bubble3D val="0"/>
            <c:spPr>
              <a:gradFill rotWithShape="0">
                <a:gsLst>
                  <a:gs pos="0">
                    <a:srgbClr val="BCD2A2"/>
                  </a:gs>
                  <a:gs pos="100000">
                    <a:srgbClr val="FFFFFF"/>
                  </a:gs>
                </a:gsLst>
                <a:lin ang="10800000" scaled="1"/>
              </a:gradFill>
              <a:ln w="25400">
                <a:noFill/>
              </a:ln>
            </c:spPr>
            <c:extLst xmlns:c16r2="http://schemas.microsoft.com/office/drawing/2015/06/chart">
              <c:ext xmlns:c16="http://schemas.microsoft.com/office/drawing/2014/chart" uri="{C3380CC4-5D6E-409C-BE32-E72D297353CC}">
                <c16:uniqueId val="{00000000-3982-47F2-87A1-622BC39BD604}"/>
              </c:ext>
            </c:extLst>
          </c:dPt>
          <c:dLbls>
            <c:dLbl>
              <c:idx val="0"/>
              <c:layout/>
              <c:tx>
                <c:rich>
                  <a:bodyPr/>
                  <a:lstStyle/>
                  <a:p>
                    <a:r>
                      <a:rPr lang="en-US"/>
                      <a:t> Production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3982-47F2-87A1-622BC39BD604}"/>
                </c:ext>
              </c:extLst>
            </c:dLbl>
            <c:dLbl>
              <c:idx val="1"/>
              <c:delete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0-3982-47F2-87A1-622BC39BD604}"/>
                </c:ext>
              </c:extLst>
            </c:dLbl>
            <c:dLbl>
              <c:idx val="2"/>
              <c:layout/>
              <c:tx>
                <c:rich>
                  <a:bodyPr/>
                  <a:lstStyle/>
                  <a:p>
                    <a:r>
                      <a:rPr lang="en-US"/>
                      <a:t>Consumption</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3982-47F2-87A1-622BC39BD604}"/>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ef_forest_products!$A$36:$C$36</c:f>
              <c:numCache>
                <c:formatCode>_(* #,##0_);_(* \(#,##0\);_(* "-"??_);_(@_)</c:formatCode>
                <c:ptCount val="3"/>
                <c:pt idx="0">
                  <c:v>2.68748879953908E8</c:v>
                </c:pt>
                <c:pt idx="1">
                  <c:v>2.61321524526326E8</c:v>
                </c:pt>
                <c:pt idx="2">
                  <c:v>2.61321524526326E8</c:v>
                </c:pt>
              </c:numCache>
            </c:numRef>
          </c:val>
          <c:extLst xmlns:c16r2="http://schemas.microsoft.com/office/drawing/2015/06/chart">
            <c:ext xmlns:c16="http://schemas.microsoft.com/office/drawing/2014/chart" uri="{C3380CC4-5D6E-409C-BE32-E72D297353CC}">
              <c16:uniqueId val="{00000003-3982-47F2-87A1-622BC39BD604}"/>
            </c:ext>
          </c:extLst>
        </c:ser>
        <c:ser>
          <c:idx val="1"/>
          <c:order val="1"/>
          <c:spPr>
            <a:solidFill>
              <a:schemeClr val="accent5">
                <a:lumMod val="75000"/>
              </a:schemeClr>
            </a:solidFill>
            <a:effectLst/>
          </c:spPr>
          <c:invertIfNegative val="0"/>
          <c:dPt>
            <c:idx val="1"/>
            <c:invertIfNegative val="0"/>
            <c:bubble3D val="0"/>
            <c:spPr>
              <a:gradFill rotWithShape="0">
                <a:gsLst>
                  <a:gs pos="0">
                    <a:srgbClr val="99BB61"/>
                  </a:gs>
                  <a:gs pos="50000">
                    <a:srgbClr val="FFFFFF"/>
                  </a:gs>
                  <a:gs pos="100000">
                    <a:srgbClr val="99BB61"/>
                  </a:gs>
                </a:gsLst>
                <a:lin ang="10800000" scaled="1"/>
              </a:gradFill>
              <a:ln w="25400">
                <a:noFill/>
              </a:ln>
            </c:spPr>
            <c:extLst xmlns:c16r2="http://schemas.microsoft.com/office/drawing/2015/06/chart">
              <c:ext xmlns:c16="http://schemas.microsoft.com/office/drawing/2014/chart" uri="{C3380CC4-5D6E-409C-BE32-E72D297353CC}">
                <c16:uniqueId val="{00000004-3982-47F2-87A1-622BC39BD604}"/>
              </c:ext>
            </c:extLst>
          </c:dPt>
          <c:dLbls>
            <c:dLbl>
              <c:idx val="0"/>
              <c:layout/>
              <c:tx>
                <c:rich>
                  <a:bodyPr/>
                  <a:lstStyle/>
                  <a:p>
                    <a:r>
                      <a:rPr lang="en-US"/>
                      <a:t> Imports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3982-47F2-87A1-622BC39BD604}"/>
                </c:ext>
              </c:extLst>
            </c:dLbl>
            <c:dLbl>
              <c:idx val="1"/>
              <c:layout/>
              <c:tx>
                <c:rich>
                  <a:bodyPr/>
                  <a:lstStyle/>
                  <a:p>
                    <a:r>
                      <a:rPr lang="en-US"/>
                      <a:t> Net Trade </a:t>
                    </a:r>
                  </a:p>
                </c:rich>
              </c:tx>
              <c:dLblPos val="ctr"/>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3982-47F2-87A1-622BC39BD604}"/>
                </c:ext>
              </c:extLst>
            </c:dLbl>
            <c:dLbl>
              <c:idx val="2"/>
              <c:layout/>
              <c:tx>
                <c:rich>
                  <a:bodyPr/>
                  <a:lstStyle/>
                  <a:p>
                    <a:r>
                      <a:rPr lang="en-US"/>
                      <a:t>Exports</a:t>
                    </a:r>
                  </a:p>
                </c:rich>
              </c:tx>
              <c:showLegendKey val="0"/>
              <c:showVal val="0"/>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3982-47F2-87A1-622BC39BD604}"/>
                </c:ext>
              </c:extLst>
            </c:dLbl>
            <c:spPr>
              <a:noFill/>
              <a:ln w="25400">
                <a:noFill/>
              </a:ln>
            </c:spPr>
            <c:txPr>
              <a:bodyPr/>
              <a:lstStyle/>
              <a:p>
                <a:pPr>
                  <a:defRPr sz="1100" b="1"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ef_forest_products!$A$37:$C$37</c:f>
              <c:numCache>
                <c:formatCode>_(* #,##0_);_(* \(#,##0\);_(* "-"??_);_(@_)</c:formatCode>
                <c:ptCount val="3"/>
                <c:pt idx="0">
                  <c:v>6.78657185438958E7</c:v>
                </c:pt>
                <c:pt idx="1">
                  <c:v>7.42735542758298E6</c:v>
                </c:pt>
                <c:pt idx="2">
                  <c:v>7.52930739714787E7</c:v>
                </c:pt>
              </c:numCache>
            </c:numRef>
          </c:val>
          <c:extLst xmlns:c16r2="http://schemas.microsoft.com/office/drawing/2015/06/chart">
            <c:ext xmlns:c16="http://schemas.microsoft.com/office/drawing/2014/chart" uri="{C3380CC4-5D6E-409C-BE32-E72D297353CC}">
              <c16:uniqueId val="{00000007-3982-47F2-87A1-622BC39BD604}"/>
            </c:ext>
          </c:extLst>
        </c:ser>
        <c:ser>
          <c:idx val="2"/>
          <c:order val="2"/>
          <c:spPr>
            <a:gradFill>
              <a:gsLst>
                <a:gs pos="0">
                  <a:schemeClr val="bg1"/>
                </a:gs>
                <a:gs pos="100000">
                  <a:sysClr val="window" lastClr="FFFFFF"/>
                </a:gs>
              </a:gsLst>
              <a:lin ang="10800000" scaled="1"/>
            </a:gradFill>
            <a:effectLst/>
            <a:scene3d>
              <a:camera prst="orthographicFront"/>
              <a:lightRig rig="threePt" dir="t">
                <a:rot lat="0" lon="0" rev="1200000"/>
              </a:lightRig>
            </a:scene3d>
            <a:sp3d>
              <a:bevelT w="0" h="0"/>
            </a:sp3d>
          </c:spPr>
          <c:invertIfNegative val="0"/>
          <c:dPt>
            <c:idx val="1"/>
            <c:invertIfNegative val="0"/>
            <c:bubble3D val="0"/>
            <c:spPr>
              <a:gradFill rotWithShape="0">
                <a:gsLst>
                  <a:gs pos="0">
                    <a:srgbClr val="BCD2A2"/>
                  </a:gs>
                  <a:gs pos="100000">
                    <a:srgbClr val="FFFFFF"/>
                  </a:gs>
                </a:gsLst>
                <a:lin ang="10800000" scaled="1"/>
              </a:gradFill>
              <a:ln w="25400">
                <a:noFill/>
              </a:ln>
            </c:spPr>
            <c:extLst xmlns:c16r2="http://schemas.microsoft.com/office/drawing/2015/06/chart">
              <c:ext xmlns:c16="http://schemas.microsoft.com/office/drawing/2014/chart" uri="{C3380CC4-5D6E-409C-BE32-E72D297353CC}">
                <c16:uniqueId val="{00000008-3982-47F2-87A1-622BC39BD604}"/>
              </c:ext>
            </c:extLst>
          </c:dPt>
          <c:val>
            <c:numRef>
              <c:f>ef_forest_products!$A$38:$C$38</c:f>
              <c:numCache>
                <c:formatCode>_(* #,##0_);_(* \(#,##0\);_(* "-"??_);_(@_)</c:formatCode>
                <c:ptCount val="3"/>
                <c:pt idx="1">
                  <c:v>6.78657185438958E7</c:v>
                </c:pt>
              </c:numCache>
            </c:numRef>
          </c:val>
          <c:extLst xmlns:c16r2="http://schemas.microsoft.com/office/drawing/2015/06/chart">
            <c:ext xmlns:c16="http://schemas.microsoft.com/office/drawing/2014/chart" uri="{C3380CC4-5D6E-409C-BE32-E72D297353CC}">
              <c16:uniqueId val="{00000009-3982-47F2-87A1-622BC39BD604}"/>
            </c:ext>
          </c:extLst>
        </c:ser>
        <c:dLbls>
          <c:showLegendKey val="0"/>
          <c:showVal val="0"/>
          <c:showCatName val="0"/>
          <c:showSerName val="0"/>
          <c:showPercent val="0"/>
          <c:showBubbleSize val="0"/>
        </c:dLbls>
        <c:gapWidth val="0"/>
        <c:overlap val="100"/>
        <c:axId val="-2080264104"/>
        <c:axId val="-2080267064"/>
      </c:barChart>
      <c:catAx>
        <c:axId val="-2080264104"/>
        <c:scaling>
          <c:orientation val="minMax"/>
        </c:scaling>
        <c:delete val="1"/>
        <c:axPos val="b"/>
        <c:majorTickMark val="out"/>
        <c:minorTickMark val="none"/>
        <c:tickLblPos val="none"/>
        <c:crossAx val="-2080267064"/>
        <c:crosses val="autoZero"/>
        <c:auto val="1"/>
        <c:lblAlgn val="ctr"/>
        <c:lblOffset val="100"/>
        <c:noMultiLvlLbl val="0"/>
      </c:catAx>
      <c:valAx>
        <c:axId val="-2080267064"/>
        <c:scaling>
          <c:orientation val="minMax"/>
        </c:scaling>
        <c:delete val="0"/>
        <c:axPos val="l"/>
        <c:title>
          <c:tx>
            <c:rich>
              <a:bodyPr/>
              <a:lstStyle/>
              <a:p>
                <a:pPr>
                  <a:defRPr sz="1000" b="1" i="0" u="none" strike="noStrike" baseline="0">
                    <a:solidFill>
                      <a:srgbClr val="000000"/>
                    </a:solidFill>
                    <a:latin typeface="Calibri"/>
                    <a:ea typeface="Calibri"/>
                    <a:cs typeface="Calibri"/>
                  </a:defRPr>
                </a:pPr>
                <a:r>
                  <a:rPr lang="en-US"/>
                  <a:t>Global Hectares</a:t>
                </a:r>
              </a:p>
            </c:rich>
          </c:tx>
          <c:layout/>
          <c:overlay val="0"/>
          <c:spPr>
            <a:noFill/>
            <a:ln w="25400">
              <a:noFill/>
            </a:ln>
          </c:spPr>
        </c:title>
        <c:numFmt formatCode="_(* #,##0_);_(* \(#,##0\);_(* &quot;-&quot;??_);_(@_)" sourceLinked="1"/>
        <c:majorTickMark val="out"/>
        <c:minorTickMark val="none"/>
        <c:tickLblPos val="nextTo"/>
        <c:txPr>
          <a:bodyPr rot="0" vert="horz"/>
          <a:lstStyle/>
          <a:p>
            <a:pPr>
              <a:defRPr sz="1000" b="1" i="0" u="none" strike="noStrike" baseline="0">
                <a:solidFill>
                  <a:srgbClr val="000000"/>
                </a:solidFill>
                <a:latin typeface="Calibri"/>
                <a:ea typeface="Calibri"/>
                <a:cs typeface="Calibri"/>
              </a:defRPr>
            </a:pPr>
            <a:endParaRPr lang="en-US"/>
          </a:p>
        </c:txPr>
        <c:crossAx val="-2080264104"/>
        <c:crosses val="autoZero"/>
        <c:crossBetween val="between"/>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5" l="0.700000000000001" r="0.700000000000001" t="0.75000000000001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autoTitleDeleted val="0"/>
    <c:plotArea>
      <c:layout/>
      <c:pieChart>
        <c:varyColors val="1"/>
        <c:ser>
          <c:idx val="0"/>
          <c:order val="0"/>
          <c:spPr>
            <a:effectLst>
              <a:outerShdw blurRad="50800" dist="38100" dir="8100000" algn="tr" rotWithShape="0">
                <a:prstClr val="black">
                  <a:alpha val="40000"/>
                </a:prstClr>
              </a:outerShdw>
            </a:effectLst>
          </c:spPr>
          <c:dPt>
            <c:idx val="0"/>
            <c:bubble3D val="0"/>
            <c:spPr>
              <a:solidFill>
                <a:srgbClr val="005000"/>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0-4AD7-49DB-8F23-4EB1E6963282}"/>
              </c:ext>
            </c:extLst>
          </c:dPt>
          <c:dPt>
            <c:idx val="1"/>
            <c:bubble3D val="0"/>
            <c:spPr>
              <a:solidFill>
                <a:srgbClr val="4D7002"/>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1-4AD7-49DB-8F23-4EB1E6963282}"/>
              </c:ext>
            </c:extLst>
          </c:dPt>
          <c:dPt>
            <c:idx val="2"/>
            <c:bubble3D val="0"/>
            <c:spPr>
              <a:solidFill>
                <a:srgbClr val="5EA283"/>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2-4AD7-49DB-8F23-4EB1E6963282}"/>
              </c:ext>
            </c:extLst>
          </c:dPt>
          <c:dPt>
            <c:idx val="3"/>
            <c:bubble3D val="0"/>
            <c:spPr>
              <a:solidFill>
                <a:srgbClr val="5EA283">
                  <a:alpha val="70000"/>
                </a:srgbClr>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3-4AD7-49DB-8F23-4EB1E6963282}"/>
              </c:ext>
            </c:extLst>
          </c:dPt>
          <c:dPt>
            <c:idx val="4"/>
            <c:bubble3D val="0"/>
            <c:spPr>
              <a:solidFill>
                <a:srgbClr val="B0CA90"/>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4-4AD7-49DB-8F23-4EB1E6963282}"/>
              </c:ext>
            </c:extLst>
          </c:dPt>
          <c:dPt>
            <c:idx val="5"/>
            <c:bubble3D val="0"/>
            <c:spPr>
              <a:solidFill>
                <a:srgbClr val="005595"/>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5-4AD7-49DB-8F23-4EB1E6963282}"/>
              </c:ext>
            </c:extLst>
          </c:dPt>
          <c:dPt>
            <c:idx val="6"/>
            <c:bubble3D val="0"/>
            <c:spPr>
              <a:solidFill>
                <a:srgbClr val="005595">
                  <a:alpha val="70000"/>
                </a:srgbClr>
              </a:solidFill>
              <a:effectLst>
                <a:outerShdw blurRad="50800" dist="38100" dir="8100000" algn="tr" rotWithShape="0">
                  <a:prstClr val="black">
                    <a:alpha val="40000"/>
                  </a:prstClr>
                </a:outerShdw>
              </a:effectLst>
            </c:spPr>
            <c:extLst xmlns:c16r2="http://schemas.microsoft.com/office/drawing/2015/06/chart">
              <c:ext xmlns:c16="http://schemas.microsoft.com/office/drawing/2014/chart" uri="{C3380CC4-5D6E-409C-BE32-E72D297353CC}">
                <c16:uniqueId val="{00000006-4AD7-49DB-8F23-4EB1E6963282}"/>
              </c:ext>
            </c:extLst>
          </c:dPt>
          <c:cat>
            <c:strRef>
              <c:f>biocap!$A$3:$A$8</c:f>
              <c:strCache>
                <c:ptCount val="6"/>
                <c:pt idx="0">
                  <c:v>Crop Land</c:v>
                </c:pt>
                <c:pt idx="1">
                  <c:v>Grazing Land</c:v>
                </c:pt>
                <c:pt idx="2">
                  <c:v>Marine Fishing Grounds</c:v>
                </c:pt>
                <c:pt idx="3">
                  <c:v>Inland Fishing Grounds</c:v>
                </c:pt>
                <c:pt idx="4">
                  <c:v>Forest Land</c:v>
                </c:pt>
                <c:pt idx="5">
                  <c:v>Infrastructure</c:v>
                </c:pt>
              </c:strCache>
            </c:strRef>
          </c:cat>
          <c:val>
            <c:numRef>
              <c:f>biocap!$F$3:$F$8</c:f>
              <c:numCache>
                <c:formatCode>#,##0;;\-;</c:formatCode>
                <c:ptCount val="6"/>
                <c:pt idx="0">
                  <c:v>4.77400551760823E8</c:v>
                </c:pt>
                <c:pt idx="1">
                  <c:v>8.8764550368579E7</c:v>
                </c:pt>
                <c:pt idx="2">
                  <c:v>8.0354886120263E7</c:v>
                </c:pt>
                <c:pt idx="3">
                  <c:v>2.51192421029708E7</c:v>
                </c:pt>
                <c:pt idx="4">
                  <c:v>4.97442195533887E8</c:v>
                </c:pt>
                <c:pt idx="5">
                  <c:v>3.00072158475546E7</c:v>
                </c:pt>
              </c:numCache>
            </c:numRef>
          </c:val>
          <c:extLst xmlns:c16r2="http://schemas.microsoft.com/office/drawing/2015/06/chart">
            <c:ext xmlns:c16="http://schemas.microsoft.com/office/drawing/2014/chart" uri="{C3380CC4-5D6E-409C-BE32-E72D297353CC}">
              <c16:uniqueId val="{00000007-4AD7-49DB-8F23-4EB1E6963282}"/>
            </c:ext>
          </c:extLst>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84084214933256"/>
          <c:y val="0.336538841735709"/>
          <c:w val="0.145645782007318"/>
          <c:h val="0.323077342604913"/>
        </c:manualLayout>
      </c:layout>
      <c:overlay val="0"/>
      <c:txPr>
        <a:bodyPr/>
        <a:lstStyle/>
        <a:p>
          <a:pPr>
            <a:defRPr sz="77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5" l="0.700000000000001" r="0.700000000000001" t="0.75000000000001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hyperlink" Target="#fossil_efp!A1"/><Relationship Id="rId4" Type="http://schemas.openxmlformats.org/officeDocument/2006/relationships/hyperlink" Target="#Int_transport!A1"/><Relationship Id="rId5" Type="http://schemas.openxmlformats.org/officeDocument/2006/relationships/hyperlink" Target="#other_CO2_efp!A1"/><Relationship Id="rId6" Type="http://schemas.openxmlformats.org/officeDocument/2006/relationships/hyperlink" Target="#eqf!A1"/><Relationship Id="rId7" Type="http://schemas.openxmlformats.org/officeDocument/2006/relationships/hyperlink" Target="#cnst_carbon!A1"/><Relationship Id="rId8" Type="http://schemas.openxmlformats.org/officeDocument/2006/relationships/hyperlink" Target="#carbon_intensity_n!A1"/><Relationship Id="rId9" Type="http://schemas.openxmlformats.org/officeDocument/2006/relationships/hyperlink" Target="#electricity_trade!A1"/><Relationship Id="rId1" Type="http://schemas.openxmlformats.org/officeDocument/2006/relationships/chart" Target="../charts/chart3.xml"/><Relationship Id="rId2" Type="http://schemas.openxmlformats.org/officeDocument/2006/relationships/hyperlink" Target="#carbon_efi_efe!A1"/></Relationships>
</file>

<file path=xl/drawings/_rels/drawing5.xml.rels><?xml version="1.0" encoding="UTF-8" standalone="yes"?>
<Relationships xmlns="http://schemas.openxmlformats.org/package/2006/relationships"><Relationship Id="rId3" Type="http://schemas.openxmlformats.org/officeDocument/2006/relationships/hyperlink" Target="#eqf!A1"/><Relationship Id="rId4" Type="http://schemas.openxmlformats.org/officeDocument/2006/relationships/hyperlink" Target="#crop_efi_efe!A1"/><Relationship Id="rId5" Type="http://schemas.openxmlformats.org/officeDocument/2006/relationships/hyperlink" Target="#livestock_trade!A1"/><Relationship Id="rId6" Type="http://schemas.openxmlformats.org/officeDocument/2006/relationships/hyperlink" Target="#fish_commodity!A1"/><Relationship Id="rId7" Type="http://schemas.openxmlformats.org/officeDocument/2006/relationships/hyperlink" Target="#crop_intensity!A1"/><Relationship Id="rId8" Type="http://schemas.openxmlformats.org/officeDocument/2006/relationships/hyperlink" Target="#constant_crop_factor!A1"/><Relationship Id="rId1" Type="http://schemas.openxmlformats.org/officeDocument/2006/relationships/chart" Target="../charts/chart4.xml"/><Relationship Id="rId2" Type="http://schemas.openxmlformats.org/officeDocument/2006/relationships/hyperlink" Target="#crop_efp!A1"/></Relationships>
</file>

<file path=xl/drawings/_rels/drawing6.xml.rels><?xml version="1.0" encoding="UTF-8" standalone="yes"?>
<Relationships xmlns="http://schemas.openxmlformats.org/package/2006/relationships"><Relationship Id="rId9" Type="http://schemas.openxmlformats.org/officeDocument/2006/relationships/hyperlink" Target="#feed_intensity_w!A1"/><Relationship Id="rId20" Type="http://schemas.openxmlformats.org/officeDocument/2006/relationships/hyperlink" Target="#crop_yield_w!A1"/><Relationship Id="rId21" Type="http://schemas.openxmlformats.org/officeDocument/2006/relationships/hyperlink" Target="#crop_feed_cnst!A1"/><Relationship Id="rId22" Type="http://schemas.openxmlformats.org/officeDocument/2006/relationships/hyperlink" Target="#prodstat_livestock_n!A1"/><Relationship Id="rId23" Type="http://schemas.openxmlformats.org/officeDocument/2006/relationships/hyperlink" Target="#crop_trade_yield_w!A1"/><Relationship Id="rId24" Type="http://schemas.openxmlformats.org/officeDocument/2006/relationships/hyperlink" Target="#prodstat_crop_n!A1"/><Relationship Id="rId10" Type="http://schemas.openxmlformats.org/officeDocument/2006/relationships/hyperlink" Target="#market_feed_supply_n!A1"/><Relationship Id="rId11" Type="http://schemas.openxmlformats.org/officeDocument/2006/relationships/hyperlink" Target="#livestock_intensity_w!A1"/><Relationship Id="rId12" Type="http://schemas.openxmlformats.org/officeDocument/2006/relationships/hyperlink" Target="#livestock_efi_efe!A1"/><Relationship Id="rId13" Type="http://schemas.openxmlformats.org/officeDocument/2006/relationships/hyperlink" Target="#biocap!A1"/><Relationship Id="rId14" Type="http://schemas.openxmlformats.org/officeDocument/2006/relationships/hyperlink" Target="#livestock_feed_ef_n!A1"/><Relationship Id="rId15" Type="http://schemas.openxmlformats.org/officeDocument/2006/relationships/hyperlink" Target="#crop_efe!A1"/><Relationship Id="rId16" Type="http://schemas.openxmlformats.org/officeDocument/2006/relationships/hyperlink" Target="#fish_feed_group_yield_n!A1"/><Relationship Id="rId17" Type="http://schemas.openxmlformats.org/officeDocument/2006/relationships/hyperlink" Target="#livestock_intensity_n_crop!A1"/><Relationship Id="rId18" Type="http://schemas.openxmlformats.org/officeDocument/2006/relationships/hyperlink" Target="#livestock_intensity_n_grazing!A1"/><Relationship Id="rId19" Type="http://schemas.openxmlformats.org/officeDocument/2006/relationships/hyperlink" Target="#livestock_intensity_n_fish!A1"/><Relationship Id="rId1" Type="http://schemas.openxmlformats.org/officeDocument/2006/relationships/chart" Target="../charts/chart5.xml"/><Relationship Id="rId2" Type="http://schemas.openxmlformats.org/officeDocument/2006/relationships/hyperlink" Target="#feed_demand_n!A1"/><Relationship Id="rId3" Type="http://schemas.openxmlformats.org/officeDocument/2006/relationships/hyperlink" Target="#resourcestat_livestock_n!A1"/><Relationship Id="rId4" Type="http://schemas.openxmlformats.org/officeDocument/2006/relationships/hyperlink" Target="#feed_mix_w!A1"/><Relationship Id="rId5" Type="http://schemas.openxmlformats.org/officeDocument/2006/relationships/hyperlink" Target="#livestock_feed_balance!A1"/><Relationship Id="rId6" Type="http://schemas.openxmlformats.org/officeDocument/2006/relationships/hyperlink" Target="#grass_supply_n!A1"/><Relationship Id="rId7" Type="http://schemas.openxmlformats.org/officeDocument/2006/relationships/hyperlink" Target="#residue_supply_n!A1"/><Relationship Id="rId8" Type="http://schemas.openxmlformats.org/officeDocument/2006/relationships/hyperlink" Target="#crop_efp!A1"/></Relationships>
</file>

<file path=xl/drawings/_rels/drawing7.xml.rels><?xml version="1.0" encoding="UTF-8" standalone="yes"?>
<Relationships xmlns="http://schemas.openxmlformats.org/package/2006/relationships"><Relationship Id="rId11" Type="http://schemas.openxmlformats.org/officeDocument/2006/relationships/hyperlink" Target="#fishmeal_fishes!A1"/><Relationship Id="rId12" Type="http://schemas.openxmlformats.org/officeDocument/2006/relationships/hyperlink" Target="#aquaculture_yields!A1"/><Relationship Id="rId13" Type="http://schemas.openxmlformats.org/officeDocument/2006/relationships/hyperlink" Target="#aquaculture_production_w!A1"/><Relationship Id="rId14" Type="http://schemas.openxmlformats.org/officeDocument/2006/relationships/hyperlink" Target="#aquaculture_production_n!A1"/><Relationship Id="rId15" Type="http://schemas.openxmlformats.org/officeDocument/2006/relationships/hyperlink" Target="#yf!A1"/><Relationship Id="rId16" Type="http://schemas.openxmlformats.org/officeDocument/2006/relationships/hyperlink" Target="#crop_efp!A1"/><Relationship Id="rId17" Type="http://schemas.openxmlformats.org/officeDocument/2006/relationships/hyperlink" Target="#livestock_trade!A1"/><Relationship Id="rId1" Type="http://schemas.openxmlformats.org/officeDocument/2006/relationships/chart" Target="../charts/chart6.xml"/><Relationship Id="rId2" Type="http://schemas.openxmlformats.org/officeDocument/2006/relationships/hyperlink" Target="#fish_efp!A1"/><Relationship Id="rId3" Type="http://schemas.openxmlformats.org/officeDocument/2006/relationships/hyperlink" Target="#fish_efi_efe!A1"/><Relationship Id="rId4" Type="http://schemas.openxmlformats.org/officeDocument/2006/relationships/hyperlink" Target="#fish_commodity_yield_n!A1"/><Relationship Id="rId5" Type="http://schemas.openxmlformats.org/officeDocument/2006/relationships/hyperlink" Target="#eqf!A1"/><Relationship Id="rId6" Type="http://schemas.openxmlformats.org/officeDocument/2006/relationships/hyperlink" Target="#cnst_fish!A1"/><Relationship Id="rId7" Type="http://schemas.openxmlformats.org/officeDocument/2006/relationships/hyperlink" Target="#fish_group_yield_n!A1"/><Relationship Id="rId8" Type="http://schemas.openxmlformats.org/officeDocument/2006/relationships/hyperlink" Target="#fish_feed_group_yield_w!A1"/><Relationship Id="rId9" Type="http://schemas.openxmlformats.org/officeDocument/2006/relationships/hyperlink" Target="#fish_feed_group_yield_n!A1"/><Relationship Id="rId10" Type="http://schemas.openxmlformats.org/officeDocument/2006/relationships/hyperlink" Target="#fish_group_yield_w!A1"/></Relationships>
</file>

<file path=xl/drawings/_rels/drawing9.xml.rels><?xml version="1.0" encoding="UTF-8" standalone="yes"?>
<Relationships xmlns="http://schemas.openxmlformats.org/package/2006/relationships"><Relationship Id="rId3" Type="http://schemas.openxmlformats.org/officeDocument/2006/relationships/hyperlink" Target="#forest_efi_efe!A1"/><Relationship Id="rId4" Type="http://schemas.openxmlformats.org/officeDocument/2006/relationships/hyperlink" Target="#eqf!A1"/><Relationship Id="rId1" Type="http://schemas.openxmlformats.org/officeDocument/2006/relationships/chart" Target="../charts/chart7.xml"/><Relationship Id="rId2" Type="http://schemas.openxmlformats.org/officeDocument/2006/relationships/hyperlink" Target="#forest_efp!A1"/></Relationships>
</file>

<file path=xl/drawings/_rels/drawing10.xml.rels><?xml version="1.0" encoding="UTF-8" standalone="yes"?>
<Relationships xmlns="http://schemas.openxmlformats.org/package/2006/relationships"><Relationship Id="rId1" Type="http://schemas.openxmlformats.org/officeDocument/2006/relationships/hyperlink" Target="#infrastructure_efp!A1"/><Relationship Id="rId2" Type="http://schemas.openxmlformats.org/officeDocument/2006/relationships/hyperlink" Target="#yf!A1"/></Relationships>
</file>

<file path=xl/drawings/_rels/drawing11.xml.rels><?xml version="1.0" encoding="UTF-8" standalone="yes"?>
<Relationships xmlns="http://schemas.openxmlformats.org/package/2006/relationships"><Relationship Id="rId3" Type="http://schemas.openxmlformats.org/officeDocument/2006/relationships/hyperlink" Target="#yf!A1"/><Relationship Id="rId4" Type="http://schemas.openxmlformats.org/officeDocument/2006/relationships/hyperlink" Target="#bioproductive_area!A1"/><Relationship Id="rId5" Type="http://schemas.openxmlformats.org/officeDocument/2006/relationships/hyperlink" Target="#iyf!A1"/><Relationship Id="rId1" Type="http://schemas.openxmlformats.org/officeDocument/2006/relationships/chart" Target="../charts/chart8.xml"/><Relationship Id="rId2" Type="http://schemas.openxmlformats.org/officeDocument/2006/relationships/hyperlink" Target="#eqf!A1"/></Relationships>
</file>

<file path=xl/drawings/_rels/drawing12.xml.rels><?xml version="1.0" encoding="UTF-8" standalone="yes"?>
<Relationships xmlns="http://schemas.openxmlformats.org/package/2006/relationships"><Relationship Id="rId1" Type="http://schemas.openxmlformats.org/officeDocument/2006/relationships/hyperlink" Target="#ef_carbon!A1"/><Relationship Id="rId2" Type="http://schemas.openxmlformats.org/officeDocument/2006/relationships/hyperlink" Target="#summary!A1"/></Relationships>
</file>

<file path=xl/drawings/_rels/drawing13.xml.rels><?xml version="1.0" encoding="UTF-8" standalone="yes"?>
<Relationships xmlns="http://schemas.openxmlformats.org/package/2006/relationships"><Relationship Id="rId1" Type="http://schemas.openxmlformats.org/officeDocument/2006/relationships/hyperlink" Target="#ef_carbon!A1"/><Relationship Id="rId2" Type="http://schemas.openxmlformats.org/officeDocument/2006/relationships/hyperlink" Target="#summary!A1"/></Relationships>
</file>

<file path=xl/drawings/_rels/drawing14.xml.rels><?xml version="1.0" encoding="UTF-8" standalone="yes"?>
<Relationships xmlns="http://schemas.openxmlformats.org/package/2006/relationships"><Relationship Id="rId1" Type="http://schemas.openxmlformats.org/officeDocument/2006/relationships/hyperlink" Target="#ef_carbon!A1"/><Relationship Id="rId2" Type="http://schemas.openxmlformats.org/officeDocument/2006/relationships/hyperlink" Target="#summary!A1"/></Relationships>
</file>

<file path=xl/drawings/_rels/drawing15.xml.rels><?xml version="1.0" encoding="UTF-8" standalone="yes"?>
<Relationships xmlns="http://schemas.openxmlformats.org/package/2006/relationships"><Relationship Id="rId1" Type="http://schemas.openxmlformats.org/officeDocument/2006/relationships/hyperlink" Target="#ef_carbon!A1"/><Relationship Id="rId2" Type="http://schemas.openxmlformats.org/officeDocument/2006/relationships/hyperlink" Target="#summary!A1"/></Relationships>
</file>

<file path=xl/drawings/_rels/drawing16.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carbon!A1"/></Relationships>
</file>

<file path=xl/drawings/_rels/drawing17.xml.rels><?xml version="1.0" encoding="UTF-8" standalone="yes"?>
<Relationships xmlns="http://schemas.openxmlformats.org/package/2006/relationships"><Relationship Id="rId1" Type="http://schemas.openxmlformats.org/officeDocument/2006/relationships/hyperlink" Target="#ef_carbon!A1"/><Relationship Id="rId2" Type="http://schemas.openxmlformats.org/officeDocument/2006/relationships/hyperlink" Target="#summary!A1"/></Relationships>
</file>

<file path=xl/drawings/_rels/drawing18.xml.rels><?xml version="1.0" encoding="UTF-8" standalone="yes"?>
<Relationships xmlns="http://schemas.openxmlformats.org/package/2006/relationships"><Relationship Id="rId1" Type="http://schemas.openxmlformats.org/officeDocument/2006/relationships/hyperlink" Target="#ef_carbon!A1"/><Relationship Id="rId2" Type="http://schemas.openxmlformats.org/officeDocument/2006/relationships/hyperlink" Target="#summary!A1"/></Relationships>
</file>

<file path=xl/drawings/_rels/drawing19.xml.rels><?xml version="1.0" encoding="UTF-8" standalone="yes"?>
<Relationships xmlns="http://schemas.openxmlformats.org/package/2006/relationships"><Relationship Id="rId1" Type="http://schemas.openxmlformats.org/officeDocument/2006/relationships/hyperlink" Target="#ef_crop!A1"/><Relationship Id="rId2" Type="http://schemas.openxmlformats.org/officeDocument/2006/relationships/hyperlink" Target="#summary!A1"/></Relationships>
</file>

<file path=xl/drawings/_rels/drawing20.xml.rels><?xml version="1.0" encoding="UTF-8" standalone="yes"?>
<Relationships xmlns="http://schemas.openxmlformats.org/package/2006/relationships"><Relationship Id="rId1" Type="http://schemas.openxmlformats.org/officeDocument/2006/relationships/hyperlink" Target="#ef_crop!A1"/><Relationship Id="rId2" Type="http://schemas.openxmlformats.org/officeDocument/2006/relationships/hyperlink" Target="#summary!A1"/></Relationships>
</file>

<file path=xl/drawings/_rels/drawing21.xml.rels><?xml version="1.0" encoding="UTF-8" standalone="yes"?>
<Relationships xmlns="http://schemas.openxmlformats.org/package/2006/relationships"><Relationship Id="rId1" Type="http://schemas.openxmlformats.org/officeDocument/2006/relationships/hyperlink" Target="#ef_crop!A1"/><Relationship Id="rId2" Type="http://schemas.openxmlformats.org/officeDocument/2006/relationships/hyperlink" Target="#summary!A1"/></Relationships>
</file>

<file path=xl/drawings/_rels/drawing22.xml.rels><?xml version="1.0" encoding="UTF-8" standalone="yes"?>
<Relationships xmlns="http://schemas.openxmlformats.org/package/2006/relationships"><Relationship Id="rId1" Type="http://schemas.openxmlformats.org/officeDocument/2006/relationships/hyperlink" Target="#ef_crop!A1"/><Relationship Id="rId2" Type="http://schemas.openxmlformats.org/officeDocument/2006/relationships/hyperlink" Target="#summary!A1"/></Relationships>
</file>

<file path=xl/drawings/_rels/drawing23.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24.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25.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26.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27.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28.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29.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30.xml.rels><?xml version="1.0" encoding="UTF-8" standalone="yes"?>
<Relationships xmlns="http://schemas.openxmlformats.org/package/2006/relationships"><Relationship Id="rId1" Type="http://schemas.openxmlformats.org/officeDocument/2006/relationships/hyperlink" Target="#ef_grazing!A1"/><Relationship Id="rId2" Type="http://schemas.openxmlformats.org/officeDocument/2006/relationships/hyperlink" Target="#summary!A1"/></Relationships>
</file>

<file path=xl/drawings/_rels/drawing31.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2.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3.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4.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5.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6.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7.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8.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39.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40.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41.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grazing!A1"/></Relationships>
</file>

<file path=xl/drawings/_rels/drawing42.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43.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44.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45.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fish!A1"/></Relationships>
</file>

<file path=xl/drawings/_rels/drawing46.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ef_fish!A1"/></Relationships>
</file>

<file path=xl/drawings/_rels/drawing47.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48.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49.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0.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1.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2.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3.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4.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5.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6.xml.rels><?xml version="1.0" encoding="UTF-8" standalone="yes"?>
<Relationships xmlns="http://schemas.openxmlformats.org/package/2006/relationships"><Relationship Id="rId1" Type="http://schemas.openxmlformats.org/officeDocument/2006/relationships/hyperlink" Target="#ef_fish!A1"/><Relationship Id="rId2" Type="http://schemas.openxmlformats.org/officeDocument/2006/relationships/hyperlink" Target="#summary!A1"/></Relationships>
</file>

<file path=xl/drawings/_rels/drawing57.xml.rels><?xml version="1.0" encoding="UTF-8" standalone="yes"?>
<Relationships xmlns="http://schemas.openxmlformats.org/package/2006/relationships"><Relationship Id="rId1" Type="http://schemas.openxmlformats.org/officeDocument/2006/relationships/hyperlink" Target="#ef_forest_products!A1"/><Relationship Id="rId2" Type="http://schemas.openxmlformats.org/officeDocument/2006/relationships/hyperlink" Target="#summary!A1"/></Relationships>
</file>

<file path=xl/drawings/_rels/drawing58.xml.rels><?xml version="1.0" encoding="UTF-8" standalone="yes"?>
<Relationships xmlns="http://schemas.openxmlformats.org/package/2006/relationships"><Relationship Id="rId1" Type="http://schemas.openxmlformats.org/officeDocument/2006/relationships/hyperlink" Target="#ef_forest_products!A1"/><Relationship Id="rId2" Type="http://schemas.openxmlformats.org/officeDocument/2006/relationships/hyperlink" Target="#summary!A1"/></Relationships>
</file>

<file path=xl/drawings/_rels/drawing59.xml.rels><?xml version="1.0" encoding="UTF-8" standalone="yes"?>
<Relationships xmlns="http://schemas.openxmlformats.org/package/2006/relationships"><Relationship Id="rId1" Type="http://schemas.openxmlformats.org/officeDocument/2006/relationships/hyperlink" Target="#ef_forest!A1"/><Relationship Id="rId2" Type="http://schemas.openxmlformats.org/officeDocument/2006/relationships/hyperlink" Target="#summary!A1"/></Relationships>
</file>

<file path=xl/drawings/_rels/drawing60.xml.rels><?xml version="1.0" encoding="UTF-8" standalone="yes"?>
<Relationships xmlns="http://schemas.openxmlformats.org/package/2006/relationships"><Relationship Id="rId1" Type="http://schemas.openxmlformats.org/officeDocument/2006/relationships/hyperlink" Target="#ef_forest!A1"/><Relationship Id="rId2" Type="http://schemas.openxmlformats.org/officeDocument/2006/relationships/hyperlink" Target="#summary!A1"/></Relationships>
</file>

<file path=xl/drawings/_rels/drawing61.xml.rels><?xml version="1.0" encoding="UTF-8" standalone="yes"?>
<Relationships xmlns="http://schemas.openxmlformats.org/package/2006/relationships"><Relationship Id="rId1" Type="http://schemas.openxmlformats.org/officeDocument/2006/relationships/hyperlink" Target="#ef_built!A1"/><Relationship Id="rId2" Type="http://schemas.openxmlformats.org/officeDocument/2006/relationships/hyperlink" Target="#summary!A1"/></Relationships>
</file>

<file path=xl/drawings/_rels/drawing62.xml.rels><?xml version="1.0" encoding="UTF-8" standalone="yes"?>
<Relationships xmlns="http://schemas.openxmlformats.org/package/2006/relationships"><Relationship Id="rId1" Type="http://schemas.openxmlformats.org/officeDocument/2006/relationships/hyperlink" Target="#biocap!A1"/><Relationship Id="rId2" Type="http://schemas.openxmlformats.org/officeDocument/2006/relationships/hyperlink" Target="#summary!A1"/></Relationships>
</file>

<file path=xl/drawings/_rels/drawing63.xml.rels><?xml version="1.0" encoding="UTF-8" standalone="yes"?>
<Relationships xmlns="http://schemas.openxmlformats.org/package/2006/relationships"><Relationship Id="rId1" Type="http://schemas.openxmlformats.org/officeDocument/2006/relationships/hyperlink" Target="#biocap!A1"/><Relationship Id="rId2" Type="http://schemas.openxmlformats.org/officeDocument/2006/relationships/hyperlink" Target="#summary!A1"/></Relationships>
</file>

<file path=xl/drawings/_rels/drawing64.xml.rels><?xml version="1.0" encoding="UTF-8" standalone="yes"?>
<Relationships xmlns="http://schemas.openxmlformats.org/package/2006/relationships"><Relationship Id="rId1" Type="http://schemas.openxmlformats.org/officeDocument/2006/relationships/hyperlink" Target="#biocap!A1"/><Relationship Id="rId2" Type="http://schemas.openxmlformats.org/officeDocument/2006/relationships/hyperlink" Target="#summary!A1"/></Relationships>
</file>

<file path=xl/drawings/_rels/drawing65.xml.rels><?xml version="1.0" encoding="UTF-8" standalone="yes"?>
<Relationships xmlns="http://schemas.openxmlformats.org/package/2006/relationships"><Relationship Id="rId1" Type="http://schemas.openxmlformats.org/officeDocument/2006/relationships/hyperlink" Target="#biocap!A1"/><Relationship Id="rId2" Type="http://schemas.openxmlformats.org/officeDocument/2006/relationships/hyperlink" Target="#summary!A1"/></Relationships>
</file>

<file path=xl/drawings/_rels/drawing66.xml.rels><?xml version="1.0" encoding="UTF-8" standalone="yes"?>
<Relationships xmlns="http://schemas.openxmlformats.org/package/2006/relationships"><Relationship Id="rId1" Type="http://schemas.openxmlformats.org/officeDocument/2006/relationships/hyperlink" Target="#summary!A1"/><Relationship Id="rId2" Type="http://schemas.openxmlformats.org/officeDocument/2006/relationships/hyperlink" Target="#biocap!A1"/></Relationships>
</file>

<file path=xl/drawings/_rels/drawing67.xml.rels><?xml version="1.0" encoding="UTF-8" standalone="yes"?>
<Relationships xmlns="http://schemas.openxmlformats.org/package/2006/relationships"><Relationship Id="rId1" Type="http://schemas.openxmlformats.org/officeDocument/2006/relationships/hyperlink" Target="#summary!A1"/></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2</xdr:col>
      <xdr:colOff>466725</xdr:colOff>
      <xdr:row>4</xdr:row>
      <xdr:rowOff>152400</xdr:rowOff>
    </xdr:to>
    <xdr:pic>
      <xdr:nvPicPr>
        <xdr:cNvPr id="663889" name="Picture 3" descr="GFN_electronic documents and email">
          <a:extLst>
            <a:ext uri="{FF2B5EF4-FFF2-40B4-BE49-F238E27FC236}">
              <a16:creationId xmlns:a16="http://schemas.microsoft.com/office/drawing/2014/main" xmlns="" id="{00000000-0008-0000-0000-000051210A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6225" y="0"/>
          <a:ext cx="1885950" cy="8001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33</xdr:row>
      <xdr:rowOff>104775</xdr:rowOff>
    </xdr:from>
    <xdr:to>
      <xdr:col>10</xdr:col>
      <xdr:colOff>1047750</xdr:colOff>
      <xdr:row>65</xdr:row>
      <xdr:rowOff>19050</xdr:rowOff>
    </xdr:to>
    <xdr:graphicFrame macro="">
      <xdr:nvGraphicFramePr>
        <xdr:cNvPr id="665255" name="Chart 5">
          <a:extLst>
            <a:ext uri="{FF2B5EF4-FFF2-40B4-BE49-F238E27FC236}">
              <a16:creationId xmlns:a16="http://schemas.microsoft.com/office/drawing/2014/main" xmlns="" id="{00000000-0008-0000-0100-0000A7260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104775</xdr:rowOff>
    </xdr:from>
    <xdr:to>
      <xdr:col>4</xdr:col>
      <xdr:colOff>123825</xdr:colOff>
      <xdr:row>65</xdr:row>
      <xdr:rowOff>9525</xdr:rowOff>
    </xdr:to>
    <xdr:graphicFrame macro="">
      <xdr:nvGraphicFramePr>
        <xdr:cNvPr id="665256" name="Chart 30">
          <a:extLst>
            <a:ext uri="{FF2B5EF4-FFF2-40B4-BE49-F238E27FC236}">
              <a16:creationId xmlns:a16="http://schemas.microsoft.com/office/drawing/2014/main" xmlns="" id="{00000000-0008-0000-0100-0000A8260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0.48859</cdr:x>
      <cdr:y>0.20935</cdr:y>
    </cdr:from>
    <cdr:to>
      <cdr:x>0.80887</cdr:x>
      <cdr:y>0.25425</cdr:y>
    </cdr:to>
    <cdr:sp macro="" textlink="summary!$D$43">
      <cdr:nvSpPr>
        <cdr:cNvPr id="124929" name="Text Box 1"/>
        <cdr:cNvSpPr txBox="1">
          <a:spLocks xmlns:a="http://schemas.openxmlformats.org/drawingml/2006/main" noChangeArrowheads="1"/>
        </cdr:cNvSpPr>
      </cdr:nvSpPr>
      <cdr:spPr bwMode="auto">
        <a:xfrm xmlns:a="http://schemas.openxmlformats.org/drawingml/2006/main">
          <a:off x="3113397" y="1064845"/>
          <a:ext cx="2040896" cy="22837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36576" tIns="22860" rIns="0" bIns="0" anchor="t" upright="1"/>
        <a:lstStyle xmlns:a="http://schemas.openxmlformats.org/drawingml/2006/main"/>
        <a:p xmlns:a="http://schemas.openxmlformats.org/drawingml/2006/main">
          <a:pPr algn="l" rtl="1">
            <a:defRPr sz="1000"/>
          </a:pPr>
          <a:fld id="{0FD36A15-1846-408B-8CCD-9EB46D3E0234}" type="TxLink">
            <a:rPr lang="en-US" sz="1100" b="1" i="0" u="none" strike="noStrike">
              <a:solidFill>
                <a:srgbClr val="000000"/>
              </a:solidFill>
              <a:latin typeface="Arial"/>
              <a:cs typeface="Arial"/>
            </a:rPr>
            <a:pPr algn="l" rtl="1">
              <a:defRPr sz="1000"/>
            </a:pPr>
            <a:t>Footprint of Production</a:t>
          </a:fld>
          <a:endParaRPr lang="en-US" sz="1400" b="1" i="0" strike="noStrike">
            <a:solidFill>
              <a:srgbClr val="000000"/>
            </a:solidFill>
            <a:latin typeface="Arial"/>
            <a:cs typeface="Arial"/>
          </a:endParaRPr>
        </a:p>
      </cdr:txBody>
    </cdr:sp>
  </cdr:relSizeAnchor>
  <cdr:relSizeAnchor xmlns:cdr="http://schemas.openxmlformats.org/drawingml/2006/chartDrawing">
    <cdr:from>
      <cdr:x>0.40663</cdr:x>
      <cdr:y>0.1426</cdr:y>
    </cdr:from>
    <cdr:to>
      <cdr:x>0.58198</cdr:x>
      <cdr:y>0.1875</cdr:y>
    </cdr:to>
    <cdr:sp macro="" textlink="">
      <cdr:nvSpPr>
        <cdr:cNvPr id="124930" name="Text Box 2"/>
        <cdr:cNvSpPr txBox="1">
          <a:spLocks xmlns:a="http://schemas.openxmlformats.org/drawingml/2006/main" noChangeArrowheads="1"/>
        </cdr:cNvSpPr>
      </cdr:nvSpPr>
      <cdr:spPr bwMode="auto">
        <a:xfrm xmlns:a="http://schemas.openxmlformats.org/drawingml/2006/main">
          <a:off x="2591165" y="725334"/>
          <a:ext cx="1117370" cy="22837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36576" tIns="22860" rIns="0" bIns="0" anchor="t" upright="1"/>
        <a:lstStyle xmlns:a="http://schemas.openxmlformats.org/drawingml/2006/main"/>
        <a:p xmlns:a="http://schemas.openxmlformats.org/drawingml/2006/main">
          <a:pPr algn="l" rtl="1">
            <a:defRPr sz="1000"/>
          </a:pPr>
          <a:r>
            <a:rPr lang="en-US" sz="1100" b="1" i="0" strike="noStrike">
              <a:solidFill>
                <a:srgbClr val="000000"/>
              </a:solidFill>
              <a:latin typeface="Arial"/>
              <a:cs typeface="Arial"/>
            </a:rPr>
            <a:t>Biocapacity</a:t>
          </a:r>
        </a:p>
      </cdr:txBody>
    </cdr:sp>
  </cdr:relSizeAnchor>
  <cdr:relSizeAnchor xmlns:cdr="http://schemas.openxmlformats.org/drawingml/2006/chartDrawing">
    <cdr:from>
      <cdr:x>0.54671</cdr:x>
      <cdr:y>0.33655</cdr:y>
    </cdr:from>
    <cdr:to>
      <cdr:x>0.89887</cdr:x>
      <cdr:y>0.38145</cdr:y>
    </cdr:to>
    <cdr:sp macro="" textlink="summary!$D$44">
      <cdr:nvSpPr>
        <cdr:cNvPr id="124931" name="Text Box 3"/>
        <cdr:cNvSpPr txBox="1">
          <a:spLocks xmlns:a="http://schemas.openxmlformats.org/drawingml/2006/main" noChangeArrowheads="1"/>
        </cdr:cNvSpPr>
      </cdr:nvSpPr>
      <cdr:spPr bwMode="auto">
        <a:xfrm xmlns:a="http://schemas.openxmlformats.org/drawingml/2006/main">
          <a:off x="3483768" y="1711825"/>
          <a:ext cx="2244043" cy="22837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36576" tIns="22860" rIns="0" bIns="0" anchor="t" upright="1"/>
        <a:lstStyle xmlns:a="http://schemas.openxmlformats.org/drawingml/2006/main"/>
        <a:p xmlns:a="http://schemas.openxmlformats.org/drawingml/2006/main">
          <a:pPr algn="l" rtl="1">
            <a:defRPr sz="1000"/>
          </a:pPr>
          <a:fld id="{434241FF-AB88-43AE-94D5-D1E123948234}" type="TxLink">
            <a:rPr lang="en-US" sz="1100" b="1" i="0" u="none" strike="noStrike">
              <a:solidFill>
                <a:srgbClr val="000000"/>
              </a:solidFill>
              <a:latin typeface="Arial"/>
              <a:cs typeface="Arial"/>
            </a:rPr>
            <a:pPr algn="l" rtl="1">
              <a:defRPr sz="1000"/>
            </a:pPr>
            <a:t>Footprint of Consumption</a:t>
          </a:fld>
          <a:endParaRPr lang="en-US" sz="1100" b="1" i="0" strike="noStrike" baseline="0">
            <a:solidFill>
              <a:srgbClr val="000000"/>
            </a:solidFill>
            <a:latin typeface="Arial"/>
            <a:cs typeface="Arial"/>
          </a:endParaRPr>
        </a:p>
      </cdr:txBody>
    </cdr:sp>
  </cdr:relSizeAnchor>
  <cdr:relSizeAnchor xmlns:cdr="http://schemas.openxmlformats.org/drawingml/2006/chartDrawing">
    <cdr:from>
      <cdr:x>0.39143</cdr:x>
      <cdr:y>0.16395</cdr:y>
    </cdr:from>
    <cdr:to>
      <cdr:x>0.40589</cdr:x>
      <cdr:y>0.16395</cdr:y>
    </cdr:to>
    <cdr:sp macro="" textlink="">
      <cdr:nvSpPr>
        <cdr:cNvPr id="124932" name="Line 4"/>
        <cdr:cNvSpPr>
          <a:spLocks xmlns:a="http://schemas.openxmlformats.org/drawingml/2006/main" noChangeShapeType="1"/>
        </cdr:cNvSpPr>
      </cdr:nvSpPr>
      <cdr:spPr bwMode="auto">
        <a:xfrm xmlns:a="http://schemas.openxmlformats.org/drawingml/2006/main" flipH="1">
          <a:off x="2557662" y="833907"/>
          <a:ext cx="94484" cy="0"/>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0.36297</cdr:x>
      <cdr:y>0.16395</cdr:y>
    </cdr:from>
    <cdr:to>
      <cdr:x>0.39143</cdr:x>
      <cdr:y>0.36704</cdr:y>
    </cdr:to>
    <cdr:sp macro="" textlink="">
      <cdr:nvSpPr>
        <cdr:cNvPr id="124933" name="Line 5"/>
        <cdr:cNvSpPr>
          <a:spLocks xmlns:a="http://schemas.openxmlformats.org/drawingml/2006/main" noChangeShapeType="1"/>
        </cdr:cNvSpPr>
      </cdr:nvSpPr>
      <cdr:spPr bwMode="auto">
        <a:xfrm xmlns:a="http://schemas.openxmlformats.org/drawingml/2006/main" flipH="1">
          <a:off x="2371724" y="833907"/>
          <a:ext cx="185937" cy="1032993"/>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0.46136</cdr:x>
      <cdr:y>0.2356</cdr:y>
    </cdr:from>
    <cdr:to>
      <cdr:x>0.47755</cdr:x>
      <cdr:y>0.2356</cdr:y>
    </cdr:to>
    <cdr:sp macro="" textlink="">
      <cdr:nvSpPr>
        <cdr:cNvPr id="124938" name="Line 10"/>
        <cdr:cNvSpPr>
          <a:spLocks xmlns:a="http://schemas.openxmlformats.org/drawingml/2006/main" noChangeShapeType="1"/>
        </cdr:cNvSpPr>
      </cdr:nvSpPr>
      <cdr:spPr bwMode="auto">
        <a:xfrm xmlns:a="http://schemas.openxmlformats.org/drawingml/2006/main" flipH="1">
          <a:off x="3014596" y="1198343"/>
          <a:ext cx="105787" cy="0"/>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0.42857</cdr:x>
      <cdr:y>0.23462</cdr:y>
    </cdr:from>
    <cdr:to>
      <cdr:x>0.4621</cdr:x>
      <cdr:y>0.4382</cdr:y>
    </cdr:to>
    <cdr:sp macro="" textlink="">
      <cdr:nvSpPr>
        <cdr:cNvPr id="124939" name="Line 11"/>
        <cdr:cNvSpPr>
          <a:spLocks xmlns:a="http://schemas.openxmlformats.org/drawingml/2006/main" noChangeShapeType="1"/>
        </cdr:cNvSpPr>
      </cdr:nvSpPr>
      <cdr:spPr bwMode="auto">
        <a:xfrm xmlns:a="http://schemas.openxmlformats.org/drawingml/2006/main" flipH="1">
          <a:off x="2800349" y="1193359"/>
          <a:ext cx="219081" cy="1035491"/>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0.52339</cdr:x>
      <cdr:y>0.35495</cdr:y>
    </cdr:from>
    <cdr:to>
      <cdr:x>0.5386</cdr:x>
      <cdr:y>0.35495</cdr:y>
    </cdr:to>
    <cdr:sp macro="" textlink="">
      <cdr:nvSpPr>
        <cdr:cNvPr id="124940" name="Line 12"/>
        <cdr:cNvSpPr>
          <a:spLocks xmlns:a="http://schemas.openxmlformats.org/drawingml/2006/main" noChangeShapeType="1"/>
        </cdr:cNvSpPr>
      </cdr:nvSpPr>
      <cdr:spPr bwMode="auto">
        <a:xfrm xmlns:a="http://schemas.openxmlformats.org/drawingml/2006/main" flipH="1">
          <a:off x="3419909" y="1805400"/>
          <a:ext cx="99384" cy="0"/>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0.50437</cdr:x>
      <cdr:y>0.35617</cdr:y>
    </cdr:from>
    <cdr:to>
      <cdr:x>0.52487</cdr:x>
      <cdr:y>0.47191</cdr:y>
    </cdr:to>
    <cdr:sp macro="" textlink="">
      <cdr:nvSpPr>
        <cdr:cNvPr id="124941" name="Line 13"/>
        <cdr:cNvSpPr>
          <a:spLocks xmlns:a="http://schemas.openxmlformats.org/drawingml/2006/main" noChangeShapeType="1"/>
        </cdr:cNvSpPr>
      </cdr:nvSpPr>
      <cdr:spPr bwMode="auto">
        <a:xfrm xmlns:a="http://schemas.openxmlformats.org/drawingml/2006/main" flipH="1">
          <a:off x="3295649" y="1811605"/>
          <a:ext cx="133929" cy="588695"/>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0.31794</cdr:x>
      <cdr:y>0.20599</cdr:y>
    </cdr:from>
    <cdr:to>
      <cdr:x>0.3324</cdr:x>
      <cdr:y>0.20599</cdr:y>
    </cdr:to>
    <cdr:sp macro="" textlink="">
      <cdr:nvSpPr>
        <cdr:cNvPr id="13" name="Line 4"/>
        <cdr:cNvSpPr>
          <a:spLocks xmlns:a="http://schemas.openxmlformats.org/drawingml/2006/main" noChangeShapeType="1"/>
        </cdr:cNvSpPr>
      </cdr:nvSpPr>
      <cdr:spPr bwMode="auto">
        <a:xfrm xmlns:a="http://schemas.openxmlformats.org/drawingml/2006/main" flipH="1">
          <a:off x="2077476" y="1047737"/>
          <a:ext cx="94484" cy="0"/>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0.30758</cdr:x>
      <cdr:y>0.20599</cdr:y>
    </cdr:from>
    <cdr:to>
      <cdr:x>0.33121</cdr:x>
      <cdr:y>0.41199</cdr:y>
    </cdr:to>
    <cdr:sp macro="" textlink="">
      <cdr:nvSpPr>
        <cdr:cNvPr id="14" name="Line 5"/>
        <cdr:cNvSpPr>
          <a:spLocks xmlns:a="http://schemas.openxmlformats.org/drawingml/2006/main" noChangeShapeType="1"/>
        </cdr:cNvSpPr>
      </cdr:nvSpPr>
      <cdr:spPr bwMode="auto">
        <a:xfrm xmlns:a="http://schemas.openxmlformats.org/drawingml/2006/main" flipH="1">
          <a:off x="2009775" y="1047737"/>
          <a:ext cx="154410" cy="1047763"/>
        </a:xfrm>
        <a:prstGeom xmlns:a="http://schemas.openxmlformats.org/drawingml/2006/main" prst="line">
          <a:avLst/>
        </a:prstGeom>
        <a:noFill xmlns:a="http://schemas.openxmlformats.org/drawingml/2006/main"/>
        <a:ln xmlns:a="http://schemas.openxmlformats.org/drawingml/2006/main" w="9525">
          <a:solidFill>
            <a:srgbClr val="000000"/>
          </a:solidFill>
          <a:round/>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0.06312</cdr:x>
      <cdr:y>0.18353</cdr:y>
    </cdr:from>
    <cdr:to>
      <cdr:x>0.33264</cdr:x>
      <cdr:y>0.23596</cdr:y>
    </cdr:to>
    <cdr:sp macro="" textlink="summary!$E$37">
      <cdr:nvSpPr>
        <cdr:cNvPr id="17" name="Text Box 2"/>
        <cdr:cNvSpPr txBox="1">
          <a:spLocks xmlns:a="http://schemas.openxmlformats.org/drawingml/2006/main" noChangeArrowheads="1"/>
        </cdr:cNvSpPr>
      </cdr:nvSpPr>
      <cdr:spPr bwMode="auto">
        <a:xfrm xmlns:a="http://schemas.openxmlformats.org/drawingml/2006/main">
          <a:off x="412444" y="933498"/>
          <a:ext cx="1761084" cy="26667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36576"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1">
            <a:defRPr sz="1000"/>
          </a:pPr>
          <a:fld id="{C6C7AE36-52C3-46CA-BB68-BAB02587D797}" type="TxLink">
            <a:rPr lang="en-US" sz="1100" b="1" i="0" u="none" strike="noStrike">
              <a:solidFill>
                <a:srgbClr val="000000"/>
              </a:solidFill>
              <a:latin typeface="Arial"/>
              <a:cs typeface="Arial"/>
            </a:rPr>
            <a:pPr algn="l" rtl="1">
              <a:defRPr sz="1000"/>
            </a:pPr>
            <a:t>Net Footprint of Imports</a:t>
          </a:fld>
          <a:endParaRPr lang="en-US" sz="1100" b="1" i="0" strike="noStrike">
            <a:solidFill>
              <a:sysClr val="windowText" lastClr="000000"/>
            </a:solidFill>
            <a:latin typeface="Arial"/>
            <a:cs typeface="Aria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0</xdr:colOff>
      <xdr:row>2</xdr:row>
      <xdr:rowOff>66675</xdr:rowOff>
    </xdr:from>
    <xdr:to>
      <xdr:col>6</xdr:col>
      <xdr:colOff>9525</xdr:colOff>
      <xdr:row>3</xdr:row>
      <xdr:rowOff>19050</xdr:rowOff>
    </xdr:to>
    <xdr:cxnSp macro="">
      <xdr:nvCxnSpPr>
        <xdr:cNvPr id="3379972" name="AutoShape 27">
          <a:extLst>
            <a:ext uri="{FF2B5EF4-FFF2-40B4-BE49-F238E27FC236}">
              <a16:creationId xmlns:a16="http://schemas.microsoft.com/office/drawing/2014/main" xmlns="" id="{00000000-0008-0000-0200-000004933300}"/>
            </a:ext>
          </a:extLst>
        </xdr:cNvPr>
        <xdr:cNvCxnSpPr>
          <a:cxnSpLocks noChangeShapeType="1"/>
        </xdr:cNvCxnSpPr>
      </xdr:nvCxnSpPr>
      <xdr:spPr bwMode="auto">
        <a:xfrm rot="10800000">
          <a:off x="7743825" y="409575"/>
          <a:ext cx="1457325" cy="114300"/>
        </a:xfrm>
        <a:prstGeom prst="straightConnector1">
          <a:avLst/>
        </a:prstGeom>
        <a:noFill/>
        <a:ln w="9525">
          <a:solidFill>
            <a:srgbClr val="000000"/>
          </a:solidFill>
          <a:round/>
          <a:headEnd/>
          <a:tailEnd type="triangle" w="med" len="med"/>
        </a:ln>
      </xdr:spPr>
    </xdr:cxnSp>
    <xdr:clientData/>
  </xdr:twoCellAnchor>
  <xdr:twoCellAnchor>
    <xdr:from>
      <xdr:col>5</xdr:col>
      <xdr:colOff>9525</xdr:colOff>
      <xdr:row>2</xdr:row>
      <xdr:rowOff>76200</xdr:rowOff>
    </xdr:from>
    <xdr:to>
      <xdr:col>6</xdr:col>
      <xdr:colOff>9525</xdr:colOff>
      <xdr:row>8</xdr:row>
      <xdr:rowOff>66675</xdr:rowOff>
    </xdr:to>
    <xdr:cxnSp macro="">
      <xdr:nvCxnSpPr>
        <xdr:cNvPr id="3379973" name="AutoShape 27">
          <a:extLst>
            <a:ext uri="{FF2B5EF4-FFF2-40B4-BE49-F238E27FC236}">
              <a16:creationId xmlns:a16="http://schemas.microsoft.com/office/drawing/2014/main" xmlns="" id="{00000000-0008-0000-0200-000005933300}"/>
            </a:ext>
          </a:extLst>
        </xdr:cNvPr>
        <xdr:cNvCxnSpPr>
          <a:cxnSpLocks noChangeShapeType="1"/>
        </xdr:cNvCxnSpPr>
      </xdr:nvCxnSpPr>
      <xdr:spPr bwMode="auto">
        <a:xfrm rot="10800000">
          <a:off x="7753350" y="419100"/>
          <a:ext cx="1447800" cy="962025"/>
        </a:xfrm>
        <a:prstGeom prst="straightConnector1">
          <a:avLst/>
        </a:prstGeom>
        <a:noFill/>
        <a:ln w="9525">
          <a:solidFill>
            <a:srgbClr val="000000"/>
          </a:solidFill>
          <a:round/>
          <a:headEnd/>
          <a:tailEnd type="triangle" w="med" len="med"/>
        </a:ln>
      </xdr:spPr>
    </xdr:cxnSp>
    <xdr:clientData/>
  </xdr:twoCellAnchor>
  <xdr:twoCellAnchor>
    <xdr:from>
      <xdr:col>5</xdr:col>
      <xdr:colOff>9525</xdr:colOff>
      <xdr:row>3</xdr:row>
      <xdr:rowOff>76200</xdr:rowOff>
    </xdr:from>
    <xdr:to>
      <xdr:col>6</xdr:col>
      <xdr:colOff>0</xdr:colOff>
      <xdr:row>16</xdr:row>
      <xdr:rowOff>152400</xdr:rowOff>
    </xdr:to>
    <xdr:cxnSp macro="">
      <xdr:nvCxnSpPr>
        <xdr:cNvPr id="3379975" name="AutoShape 27">
          <a:extLst>
            <a:ext uri="{FF2B5EF4-FFF2-40B4-BE49-F238E27FC236}">
              <a16:creationId xmlns:a16="http://schemas.microsoft.com/office/drawing/2014/main" xmlns="" id="{00000000-0008-0000-0200-000007933300}"/>
            </a:ext>
          </a:extLst>
        </xdr:cNvPr>
        <xdr:cNvCxnSpPr>
          <a:cxnSpLocks noChangeShapeType="1"/>
        </xdr:cNvCxnSpPr>
      </xdr:nvCxnSpPr>
      <xdr:spPr bwMode="auto">
        <a:xfrm rot="10800000">
          <a:off x="7753350" y="581025"/>
          <a:ext cx="1438275" cy="2181225"/>
        </a:xfrm>
        <a:prstGeom prst="straightConnector1">
          <a:avLst/>
        </a:prstGeom>
        <a:noFill/>
        <a:ln w="9525">
          <a:solidFill>
            <a:srgbClr val="000000"/>
          </a:solidFill>
          <a:round/>
          <a:headEnd/>
          <a:tailEnd type="triangle" w="med" len="med"/>
        </a:ln>
      </xdr:spPr>
    </xdr:cxnSp>
    <xdr:clientData/>
  </xdr:twoCellAnchor>
  <xdr:twoCellAnchor>
    <xdr:from>
      <xdr:col>5</xdr:col>
      <xdr:colOff>9525</xdr:colOff>
      <xdr:row>5</xdr:row>
      <xdr:rowOff>95250</xdr:rowOff>
    </xdr:from>
    <xdr:to>
      <xdr:col>6</xdr:col>
      <xdr:colOff>19050</xdr:colOff>
      <xdr:row>21</xdr:row>
      <xdr:rowOff>28575</xdr:rowOff>
    </xdr:to>
    <xdr:cxnSp macro="">
      <xdr:nvCxnSpPr>
        <xdr:cNvPr id="3379976" name="AutoShape 27">
          <a:extLst>
            <a:ext uri="{FF2B5EF4-FFF2-40B4-BE49-F238E27FC236}">
              <a16:creationId xmlns:a16="http://schemas.microsoft.com/office/drawing/2014/main" xmlns="" id="{00000000-0008-0000-0200-000008933300}"/>
            </a:ext>
          </a:extLst>
        </xdr:cNvPr>
        <xdr:cNvCxnSpPr>
          <a:cxnSpLocks noChangeShapeType="1"/>
        </xdr:cNvCxnSpPr>
      </xdr:nvCxnSpPr>
      <xdr:spPr bwMode="auto">
        <a:xfrm rot="10800000">
          <a:off x="7753350" y="923925"/>
          <a:ext cx="1457325" cy="2524125"/>
        </a:xfrm>
        <a:prstGeom prst="straightConnector1">
          <a:avLst/>
        </a:prstGeom>
        <a:noFill/>
        <a:ln w="9525">
          <a:solidFill>
            <a:srgbClr val="000000"/>
          </a:solidFill>
          <a:round/>
          <a:headEnd/>
          <a:tailEnd type="triangle" w="med" len="med"/>
        </a:ln>
      </xdr:spPr>
    </xdr:cxnSp>
    <xdr:clientData/>
  </xdr:twoCellAnchor>
  <xdr:twoCellAnchor>
    <xdr:from>
      <xdr:col>0</xdr:col>
      <xdr:colOff>0</xdr:colOff>
      <xdr:row>9</xdr:row>
      <xdr:rowOff>9525</xdr:rowOff>
    </xdr:from>
    <xdr:to>
      <xdr:col>4</xdr:col>
      <xdr:colOff>733425</xdr:colOff>
      <xdr:row>35</xdr:row>
      <xdr:rowOff>133350</xdr:rowOff>
    </xdr:to>
    <xdr:graphicFrame macro="">
      <xdr:nvGraphicFramePr>
        <xdr:cNvPr id="3379977" name="Chart 93">
          <a:extLst>
            <a:ext uri="{FF2B5EF4-FFF2-40B4-BE49-F238E27FC236}">
              <a16:creationId xmlns:a16="http://schemas.microsoft.com/office/drawing/2014/main" xmlns="" id="{00000000-0008-0000-0200-000009933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3362326</xdr:colOff>
      <xdr:row>11</xdr:row>
      <xdr:rowOff>66674</xdr:rowOff>
    </xdr:from>
    <xdr:to>
      <xdr:col>2</xdr:col>
      <xdr:colOff>1228725</xdr:colOff>
      <xdr:row>12</xdr:row>
      <xdr:rowOff>152399</xdr:rowOff>
    </xdr:to>
    <xdr:sp macro="" textlink="">
      <xdr:nvSpPr>
        <xdr:cNvPr id="95" name="Right Arrow 94">
          <a:extLst>
            <a:ext uri="{FF2B5EF4-FFF2-40B4-BE49-F238E27FC236}">
              <a16:creationId xmlns:a16="http://schemas.microsoft.com/office/drawing/2014/main" xmlns="" id="{00000000-0008-0000-0200-00005F000000}"/>
            </a:ext>
          </a:extLst>
        </xdr:cNvPr>
        <xdr:cNvSpPr/>
      </xdr:nvSpPr>
      <xdr:spPr>
        <a:xfrm>
          <a:off x="3362326" y="1866899"/>
          <a:ext cx="2695574"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6</xdr:col>
      <xdr:colOff>7949</xdr:colOff>
      <xdr:row>6</xdr:row>
      <xdr:rowOff>149236</xdr:rowOff>
    </xdr:from>
    <xdr:to>
      <xdr:col>8</xdr:col>
      <xdr:colOff>196925</xdr:colOff>
      <xdr:row>10</xdr:row>
      <xdr:rowOff>4456</xdr:rowOff>
    </xdr:to>
    <xdr:sp macro="" textlink="">
      <xdr:nvSpPr>
        <xdr:cNvPr id="34" name="AutoShape 19">
          <a:hlinkClick xmlns:r="http://schemas.openxmlformats.org/officeDocument/2006/relationships" r:id="rId2" tooltip="Go to carbon_efi"/>
          <a:extLst>
            <a:ext uri="{FF2B5EF4-FFF2-40B4-BE49-F238E27FC236}">
              <a16:creationId xmlns:a16="http://schemas.microsoft.com/office/drawing/2014/main" xmlns="" id="{00000000-0008-0000-0200-000022000000}"/>
            </a:ext>
          </a:extLst>
        </xdr:cNvPr>
        <xdr:cNvSpPr>
          <a:spLocks noChangeArrowheads="1"/>
        </xdr:cNvSpPr>
      </xdr:nvSpPr>
      <xdr:spPr bwMode="auto">
        <a:xfrm>
          <a:off x="9199574" y="1139836"/>
          <a:ext cx="1408176" cy="502920"/>
        </a:xfrm>
        <a:prstGeom prst="roundRect">
          <a:avLst>
            <a:gd name="adj" fmla="val 16667"/>
          </a:avLst>
        </a:prstGeom>
        <a:solidFill>
          <a:schemeClr val="accent1"/>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carbon_efi_efe</a:t>
          </a:r>
        </a:p>
      </xdr:txBody>
    </xdr:sp>
    <xdr:clientData/>
  </xdr:twoCellAnchor>
  <xdr:twoCellAnchor>
    <xdr:from>
      <xdr:col>6</xdr:col>
      <xdr:colOff>7950</xdr:colOff>
      <xdr:row>2</xdr:row>
      <xdr:rowOff>76200</xdr:rowOff>
    </xdr:from>
    <xdr:to>
      <xdr:col>8</xdr:col>
      <xdr:colOff>196926</xdr:colOff>
      <xdr:row>5</xdr:row>
      <xdr:rowOff>93345</xdr:rowOff>
    </xdr:to>
    <xdr:sp macro="" textlink="">
      <xdr:nvSpPr>
        <xdr:cNvPr id="36" name="AutoShape 21">
          <a:hlinkClick xmlns:r="http://schemas.openxmlformats.org/officeDocument/2006/relationships" r:id="rId3" tooltip="Go to fossil_efp"/>
          <a:extLst>
            <a:ext uri="{FF2B5EF4-FFF2-40B4-BE49-F238E27FC236}">
              <a16:creationId xmlns:a16="http://schemas.microsoft.com/office/drawing/2014/main" xmlns="" id="{00000000-0008-0000-0200-000024000000}"/>
            </a:ext>
          </a:extLst>
        </xdr:cNvPr>
        <xdr:cNvSpPr>
          <a:spLocks noChangeArrowheads="1"/>
        </xdr:cNvSpPr>
      </xdr:nvSpPr>
      <xdr:spPr bwMode="auto">
        <a:xfrm>
          <a:off x="9199575" y="419100"/>
          <a:ext cx="1408176" cy="502920"/>
        </a:xfrm>
        <a:prstGeom prst="roundRect">
          <a:avLst>
            <a:gd name="adj" fmla="val 16667"/>
          </a:avLst>
        </a:prstGeom>
        <a:solidFill>
          <a:schemeClr val="accent1"/>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fossil_efp</a:t>
          </a:r>
        </a:p>
      </xdr:txBody>
    </xdr:sp>
    <xdr:clientData/>
  </xdr:twoCellAnchor>
  <xdr:twoCellAnchor>
    <xdr:from>
      <xdr:col>6</xdr:col>
      <xdr:colOff>6375</xdr:colOff>
      <xdr:row>19</xdr:row>
      <xdr:rowOff>115921</xdr:rowOff>
    </xdr:from>
    <xdr:to>
      <xdr:col>8</xdr:col>
      <xdr:colOff>195351</xdr:colOff>
      <xdr:row>22</xdr:row>
      <xdr:rowOff>133066</xdr:rowOff>
    </xdr:to>
    <xdr:sp macro="" textlink="">
      <xdr:nvSpPr>
        <xdr:cNvPr id="37" name="AutoShape 22">
          <a:hlinkClick xmlns:r="http://schemas.openxmlformats.org/officeDocument/2006/relationships" r:id="rId4" tooltip="Go to bunker_efp"/>
          <a:extLst>
            <a:ext uri="{FF2B5EF4-FFF2-40B4-BE49-F238E27FC236}">
              <a16:creationId xmlns:a16="http://schemas.microsoft.com/office/drawing/2014/main" xmlns="" id="{00000000-0008-0000-0200-000025000000}"/>
            </a:ext>
          </a:extLst>
        </xdr:cNvPr>
        <xdr:cNvSpPr>
          <a:spLocks noChangeArrowheads="1"/>
        </xdr:cNvSpPr>
      </xdr:nvSpPr>
      <xdr:spPr bwMode="auto">
        <a:xfrm>
          <a:off x="10626750" y="3211546"/>
          <a:ext cx="1408176" cy="502920"/>
        </a:xfrm>
        <a:prstGeom prst="roundRect">
          <a:avLst>
            <a:gd name="adj" fmla="val 16667"/>
          </a:avLst>
        </a:prstGeom>
        <a:solidFill>
          <a:schemeClr val="accent1"/>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Int_Transport</a:t>
          </a:r>
        </a:p>
      </xdr:txBody>
    </xdr:sp>
    <xdr:clientData/>
  </xdr:twoCellAnchor>
  <xdr:twoCellAnchor>
    <xdr:from>
      <xdr:col>6</xdr:col>
      <xdr:colOff>0</xdr:colOff>
      <xdr:row>15</xdr:row>
      <xdr:rowOff>73051</xdr:rowOff>
    </xdr:from>
    <xdr:to>
      <xdr:col>8</xdr:col>
      <xdr:colOff>188976</xdr:colOff>
      <xdr:row>18</xdr:row>
      <xdr:rowOff>90196</xdr:rowOff>
    </xdr:to>
    <xdr:sp macro="" textlink="">
      <xdr:nvSpPr>
        <xdr:cNvPr id="38" name="AutoShape 23">
          <a:hlinkClick xmlns:r="http://schemas.openxmlformats.org/officeDocument/2006/relationships" r:id="rId5" tooltip="Go to other_C02_efp"/>
          <a:extLst>
            <a:ext uri="{FF2B5EF4-FFF2-40B4-BE49-F238E27FC236}">
              <a16:creationId xmlns:a16="http://schemas.microsoft.com/office/drawing/2014/main" xmlns="" id="{00000000-0008-0000-0200-000026000000}"/>
            </a:ext>
          </a:extLst>
        </xdr:cNvPr>
        <xdr:cNvSpPr>
          <a:spLocks noChangeArrowheads="1"/>
        </xdr:cNvSpPr>
      </xdr:nvSpPr>
      <xdr:spPr bwMode="auto">
        <a:xfrm>
          <a:off x="9191625" y="2520976"/>
          <a:ext cx="1408176" cy="502920"/>
        </a:xfrm>
        <a:prstGeom prst="roundRect">
          <a:avLst>
            <a:gd name="adj" fmla="val 16667"/>
          </a:avLst>
        </a:prstGeom>
        <a:solidFill>
          <a:schemeClr val="accent1"/>
        </a:solidFill>
        <a:ln w="9525">
          <a:solidFill>
            <a:schemeClr val="tx1"/>
          </a:solidFill>
          <a:round/>
          <a:headEnd/>
          <a:tailEnd/>
        </a:ln>
        <a:effectLst/>
        <a:scene3d>
          <a:camera prst="orthographicFront"/>
          <a:lightRig rig="threePt" dir="t"/>
        </a:scene3d>
        <a:sp3d>
          <a:bevelT/>
        </a:sp3d>
      </xdr:spPr>
      <xdr:txBody>
        <a:bodyPr wrap="square" anchor="ctr"/>
        <a:lstStyle/>
        <a:p>
          <a:pPr algn="ctr" rtl="1">
            <a:defRPr sz="1000"/>
          </a:pPr>
          <a:r>
            <a:rPr lang="en-US" sz="1000" b="0" i="0" strike="noStrike">
              <a:solidFill>
                <a:srgbClr val="FFFFFF"/>
              </a:solidFill>
              <a:latin typeface="Arial"/>
              <a:cs typeface="Arial"/>
            </a:rPr>
            <a:t>other_co2_efp</a:t>
          </a:r>
        </a:p>
      </xdr:txBody>
    </xdr:sp>
    <xdr:clientData/>
  </xdr:twoCellAnchor>
  <xdr:twoCellAnchor>
    <xdr:from>
      <xdr:col>10</xdr:col>
      <xdr:colOff>360435</xdr:colOff>
      <xdr:row>3</xdr:row>
      <xdr:rowOff>23820</xdr:rowOff>
    </xdr:from>
    <xdr:to>
      <xdr:col>12</xdr:col>
      <xdr:colOff>549411</xdr:colOff>
      <xdr:row>6</xdr:row>
      <xdr:rowOff>40965</xdr:rowOff>
    </xdr:to>
    <xdr:sp macro="" textlink="">
      <xdr:nvSpPr>
        <xdr:cNvPr id="43" name="AutoShape 36">
          <a:hlinkClick xmlns:r="http://schemas.openxmlformats.org/officeDocument/2006/relationships" r:id="rId6" tooltip="Go to eqf"/>
          <a:extLst>
            <a:ext uri="{FF2B5EF4-FFF2-40B4-BE49-F238E27FC236}">
              <a16:creationId xmlns:a16="http://schemas.microsoft.com/office/drawing/2014/main" xmlns="" id="{00000000-0008-0000-0200-00002B000000}"/>
            </a:ext>
          </a:extLst>
        </xdr:cNvPr>
        <xdr:cNvSpPr>
          <a:spLocks noChangeArrowheads="1"/>
        </xdr:cNvSpPr>
      </xdr:nvSpPr>
      <xdr:spPr bwMode="auto">
        <a:xfrm>
          <a:off x="11990460" y="528645"/>
          <a:ext cx="1408176" cy="502920"/>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eqf</a:t>
          </a:r>
        </a:p>
      </xdr:txBody>
    </xdr:sp>
    <xdr:clientData/>
  </xdr:twoCellAnchor>
  <xdr:twoCellAnchor>
    <xdr:from>
      <xdr:col>10</xdr:col>
      <xdr:colOff>330285</xdr:colOff>
      <xdr:row>7</xdr:row>
      <xdr:rowOff>76215</xdr:rowOff>
    </xdr:from>
    <xdr:to>
      <xdr:col>12</xdr:col>
      <xdr:colOff>519261</xdr:colOff>
      <xdr:row>10</xdr:row>
      <xdr:rowOff>93360</xdr:rowOff>
    </xdr:to>
    <xdr:sp macro="" textlink="">
      <xdr:nvSpPr>
        <xdr:cNvPr id="44" name="AutoShape 38">
          <a:hlinkClick xmlns:r="http://schemas.openxmlformats.org/officeDocument/2006/relationships" r:id="rId7" tooltip="Go to cnst_carbon"/>
          <a:extLst>
            <a:ext uri="{FF2B5EF4-FFF2-40B4-BE49-F238E27FC236}">
              <a16:creationId xmlns:a16="http://schemas.microsoft.com/office/drawing/2014/main" xmlns="" id="{00000000-0008-0000-0200-00002C000000}"/>
            </a:ext>
          </a:extLst>
        </xdr:cNvPr>
        <xdr:cNvSpPr>
          <a:spLocks noChangeArrowheads="1"/>
        </xdr:cNvSpPr>
      </xdr:nvSpPr>
      <xdr:spPr bwMode="auto">
        <a:xfrm>
          <a:off x="11960310" y="1228740"/>
          <a:ext cx="1408176" cy="502920"/>
        </a:xfrm>
        <a:prstGeom prst="roundRect">
          <a:avLst>
            <a:gd name="adj" fmla="val 16667"/>
          </a:avLst>
        </a:prstGeom>
        <a:solidFill>
          <a:schemeClr val="accent1"/>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cnst_carbon</a:t>
          </a:r>
        </a:p>
      </xdr:txBody>
    </xdr:sp>
    <xdr:clientData/>
  </xdr:twoCellAnchor>
  <xdr:twoCellAnchor>
    <xdr:from>
      <xdr:col>7</xdr:col>
      <xdr:colOff>102437</xdr:colOff>
      <xdr:row>5</xdr:row>
      <xdr:rowOff>93345</xdr:rowOff>
    </xdr:from>
    <xdr:to>
      <xdr:col>8</xdr:col>
      <xdr:colOff>195350</xdr:colOff>
      <xdr:row>21</xdr:row>
      <xdr:rowOff>43531</xdr:rowOff>
    </xdr:to>
    <xdr:cxnSp macro="">
      <xdr:nvCxnSpPr>
        <xdr:cNvPr id="3379993" name="Shape 105">
          <a:extLst>
            <a:ext uri="{FF2B5EF4-FFF2-40B4-BE49-F238E27FC236}">
              <a16:creationId xmlns:a16="http://schemas.microsoft.com/office/drawing/2014/main" xmlns="" id="{00000000-0008-0000-0200-000019933300}"/>
            </a:ext>
          </a:extLst>
        </xdr:cNvPr>
        <xdr:cNvCxnSpPr>
          <a:cxnSpLocks noChangeShapeType="1"/>
          <a:stCxn id="36" idx="2"/>
          <a:endCxn id="37" idx="3"/>
        </xdr:cNvCxnSpPr>
      </xdr:nvCxnSpPr>
      <xdr:spPr bwMode="auto">
        <a:xfrm rot="16200000" flipH="1">
          <a:off x="10413176" y="1841256"/>
          <a:ext cx="2540986" cy="702513"/>
        </a:xfrm>
        <a:prstGeom prst="curvedConnector4">
          <a:avLst>
            <a:gd name="adj1" fmla="val 45052"/>
            <a:gd name="adj2" fmla="val 132765"/>
          </a:avLst>
        </a:prstGeom>
        <a:noFill/>
        <a:ln w="9525" algn="ctr">
          <a:solidFill>
            <a:srgbClr val="000000"/>
          </a:solidFill>
          <a:round/>
          <a:headEnd/>
          <a:tailEnd type="triangle" w="med" len="med"/>
        </a:ln>
      </xdr:spPr>
    </xdr:cxnSp>
    <xdr:clientData/>
  </xdr:twoCellAnchor>
  <xdr:twoCellAnchor>
    <xdr:from>
      <xdr:col>9</xdr:col>
      <xdr:colOff>69056</xdr:colOff>
      <xdr:row>19</xdr:row>
      <xdr:rowOff>85725</xdr:rowOff>
    </xdr:from>
    <xdr:to>
      <xdr:col>11</xdr:col>
      <xdr:colOff>258032</xdr:colOff>
      <xdr:row>22</xdr:row>
      <xdr:rowOff>102870</xdr:rowOff>
    </xdr:to>
    <xdr:sp macro="" textlink="">
      <xdr:nvSpPr>
        <xdr:cNvPr id="24" name="AutoShape 26">
          <a:hlinkClick xmlns:r="http://schemas.openxmlformats.org/officeDocument/2006/relationships" r:id="rId8" tooltip="Go to carbon_intensity_n"/>
          <a:extLst>
            <a:ext uri="{FF2B5EF4-FFF2-40B4-BE49-F238E27FC236}">
              <a16:creationId xmlns:a16="http://schemas.microsoft.com/office/drawing/2014/main" xmlns="" id="{00000000-0008-0000-0200-000018000000}"/>
            </a:ext>
          </a:extLst>
        </xdr:cNvPr>
        <xdr:cNvSpPr>
          <a:spLocks noChangeArrowheads="1"/>
        </xdr:cNvSpPr>
      </xdr:nvSpPr>
      <xdr:spPr bwMode="auto">
        <a:xfrm>
          <a:off x="11089481" y="3181350"/>
          <a:ext cx="1408176" cy="502920"/>
        </a:xfrm>
        <a:prstGeom prst="roundRect">
          <a:avLst>
            <a:gd name="adj" fmla="val 16667"/>
          </a:avLst>
        </a:prstGeom>
        <a:solidFill>
          <a:schemeClr val="accent1"/>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carbon_intensity_n</a:t>
          </a:r>
        </a:p>
      </xdr:txBody>
    </xdr:sp>
    <xdr:clientData/>
  </xdr:twoCellAnchor>
  <xdr:twoCellAnchor>
    <xdr:from>
      <xdr:col>10</xdr:col>
      <xdr:colOff>163544</xdr:colOff>
      <xdr:row>10</xdr:row>
      <xdr:rowOff>93360</xdr:rowOff>
    </xdr:from>
    <xdr:to>
      <xdr:col>11</xdr:col>
      <xdr:colOff>424773</xdr:colOff>
      <xdr:row>19</xdr:row>
      <xdr:rowOff>85725</xdr:rowOff>
    </xdr:to>
    <xdr:cxnSp macro="">
      <xdr:nvCxnSpPr>
        <xdr:cNvPr id="3379995" name="Straight Connector 44">
          <a:extLst>
            <a:ext uri="{FF2B5EF4-FFF2-40B4-BE49-F238E27FC236}">
              <a16:creationId xmlns:a16="http://schemas.microsoft.com/office/drawing/2014/main" xmlns="" id="{00000000-0008-0000-0200-00001B933300}"/>
            </a:ext>
          </a:extLst>
        </xdr:cNvPr>
        <xdr:cNvCxnSpPr>
          <a:cxnSpLocks noChangeShapeType="1"/>
          <a:stCxn id="44" idx="2"/>
          <a:endCxn id="24" idx="0"/>
        </xdr:cNvCxnSpPr>
      </xdr:nvCxnSpPr>
      <xdr:spPr bwMode="auto">
        <a:xfrm flipH="1">
          <a:off x="11793569" y="1731660"/>
          <a:ext cx="870829" cy="1449690"/>
        </a:xfrm>
        <a:prstGeom prst="line">
          <a:avLst/>
        </a:prstGeom>
        <a:noFill/>
        <a:ln w="9525" algn="ctr">
          <a:solidFill>
            <a:srgbClr val="000000"/>
          </a:solidFill>
          <a:round/>
          <a:headEnd/>
          <a:tailEnd type="triangle" w="med" len="med"/>
        </a:ln>
      </xdr:spPr>
    </xdr:cxnSp>
    <xdr:clientData/>
  </xdr:twoCellAnchor>
  <xdr:twoCellAnchor>
    <xdr:from>
      <xdr:col>6</xdr:col>
      <xdr:colOff>7948</xdr:colOff>
      <xdr:row>8</xdr:row>
      <xdr:rowOff>76846</xdr:rowOff>
    </xdr:from>
    <xdr:to>
      <xdr:col>11</xdr:col>
      <xdr:colOff>258031</xdr:colOff>
      <xdr:row>21</xdr:row>
      <xdr:rowOff>13335</xdr:rowOff>
    </xdr:to>
    <xdr:cxnSp macro="">
      <xdr:nvCxnSpPr>
        <xdr:cNvPr id="3379996" name="Shape 105">
          <a:extLst>
            <a:ext uri="{FF2B5EF4-FFF2-40B4-BE49-F238E27FC236}">
              <a16:creationId xmlns:a16="http://schemas.microsoft.com/office/drawing/2014/main" xmlns="" id="{00000000-0008-0000-0200-00001C933300}"/>
            </a:ext>
          </a:extLst>
        </xdr:cNvPr>
        <xdr:cNvCxnSpPr>
          <a:cxnSpLocks noChangeShapeType="1"/>
          <a:stCxn id="34" idx="1"/>
          <a:endCxn id="24" idx="3"/>
        </xdr:cNvCxnSpPr>
      </xdr:nvCxnSpPr>
      <xdr:spPr bwMode="auto">
        <a:xfrm rot="10800000" flipH="1" flipV="1">
          <a:off x="9199573" y="1391296"/>
          <a:ext cx="3298083" cy="2041514"/>
        </a:xfrm>
        <a:prstGeom prst="curvedConnector5">
          <a:avLst>
            <a:gd name="adj1" fmla="val -6931"/>
            <a:gd name="adj2" fmla="val 50000"/>
            <a:gd name="adj3" fmla="val 106931"/>
          </a:avLst>
        </a:prstGeom>
        <a:noFill/>
        <a:ln w="9525" algn="ctr">
          <a:solidFill>
            <a:srgbClr val="000000"/>
          </a:solidFill>
          <a:round/>
          <a:headEnd/>
          <a:tailEnd type="triangle" w="med" len="med"/>
        </a:ln>
      </xdr:spPr>
    </xdr:cxnSp>
    <xdr:clientData/>
  </xdr:twoCellAnchor>
  <xdr:twoCellAnchor>
    <xdr:from>
      <xdr:col>6</xdr:col>
      <xdr:colOff>7950</xdr:colOff>
      <xdr:row>4</xdr:row>
      <xdr:rowOff>3810</xdr:rowOff>
    </xdr:from>
    <xdr:to>
      <xdr:col>11</xdr:col>
      <xdr:colOff>258032</xdr:colOff>
      <xdr:row>21</xdr:row>
      <xdr:rowOff>13335</xdr:rowOff>
    </xdr:to>
    <xdr:cxnSp macro="">
      <xdr:nvCxnSpPr>
        <xdr:cNvPr id="3379997" name="Shape 105">
          <a:extLst>
            <a:ext uri="{FF2B5EF4-FFF2-40B4-BE49-F238E27FC236}">
              <a16:creationId xmlns:a16="http://schemas.microsoft.com/office/drawing/2014/main" xmlns="" id="{00000000-0008-0000-0200-00001D933300}"/>
            </a:ext>
          </a:extLst>
        </xdr:cNvPr>
        <xdr:cNvCxnSpPr>
          <a:cxnSpLocks noChangeShapeType="1"/>
          <a:stCxn id="36" idx="1"/>
          <a:endCxn id="24" idx="3"/>
        </xdr:cNvCxnSpPr>
      </xdr:nvCxnSpPr>
      <xdr:spPr bwMode="auto">
        <a:xfrm rot="10800000" flipH="1" flipV="1">
          <a:off x="9199575" y="670560"/>
          <a:ext cx="3298082" cy="2762250"/>
        </a:xfrm>
        <a:prstGeom prst="curvedConnector5">
          <a:avLst>
            <a:gd name="adj1" fmla="val -6931"/>
            <a:gd name="adj2" fmla="val 50000"/>
            <a:gd name="adj3" fmla="val 106931"/>
          </a:avLst>
        </a:prstGeom>
        <a:noFill/>
        <a:ln w="9525" algn="ctr">
          <a:solidFill>
            <a:srgbClr val="000000"/>
          </a:solidFill>
          <a:round/>
          <a:headEnd/>
          <a:tailEnd type="triangle" w="med" len="med"/>
        </a:ln>
      </xdr:spPr>
    </xdr:cxnSp>
    <xdr:clientData/>
  </xdr:twoCellAnchor>
  <xdr:twoCellAnchor>
    <xdr:from>
      <xdr:col>6</xdr:col>
      <xdr:colOff>0</xdr:colOff>
      <xdr:row>24</xdr:row>
      <xdr:rowOff>0</xdr:rowOff>
    </xdr:from>
    <xdr:to>
      <xdr:col>8</xdr:col>
      <xdr:colOff>188976</xdr:colOff>
      <xdr:row>27</xdr:row>
      <xdr:rowOff>17145</xdr:rowOff>
    </xdr:to>
    <xdr:sp macro="" textlink="">
      <xdr:nvSpPr>
        <xdr:cNvPr id="30" name="AutoShape 22">
          <a:hlinkClick xmlns:r="http://schemas.openxmlformats.org/officeDocument/2006/relationships" r:id="rId9" tooltip="Go to bunker_efp"/>
          <a:extLst>
            <a:ext uri="{FF2B5EF4-FFF2-40B4-BE49-F238E27FC236}">
              <a16:creationId xmlns:a16="http://schemas.microsoft.com/office/drawing/2014/main" xmlns="" id="{00000000-0008-0000-0200-00001E000000}"/>
            </a:ext>
          </a:extLst>
        </xdr:cNvPr>
        <xdr:cNvSpPr>
          <a:spLocks noChangeArrowheads="1"/>
        </xdr:cNvSpPr>
      </xdr:nvSpPr>
      <xdr:spPr bwMode="auto">
        <a:xfrm>
          <a:off x="9191625" y="3905250"/>
          <a:ext cx="1408176" cy="502920"/>
        </a:xfrm>
        <a:prstGeom prst="roundRect">
          <a:avLst>
            <a:gd name="adj" fmla="val 16667"/>
          </a:avLst>
        </a:prstGeom>
        <a:solidFill>
          <a:schemeClr val="accent1"/>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electricity trade</a:t>
          </a:r>
        </a:p>
      </xdr:txBody>
    </xdr:sp>
    <xdr:clientData/>
  </xdr:twoCellAnchor>
  <xdr:twoCellAnchor>
    <xdr:from>
      <xdr:col>5</xdr:col>
      <xdr:colOff>0</xdr:colOff>
      <xdr:row>4</xdr:row>
      <xdr:rowOff>85725</xdr:rowOff>
    </xdr:from>
    <xdr:to>
      <xdr:col>6</xdr:col>
      <xdr:colOff>0</xdr:colOff>
      <xdr:row>25</xdr:row>
      <xdr:rowOff>85725</xdr:rowOff>
    </xdr:to>
    <xdr:cxnSp macro="">
      <xdr:nvCxnSpPr>
        <xdr:cNvPr id="3380001" name="AutoShape 27">
          <a:extLst>
            <a:ext uri="{FF2B5EF4-FFF2-40B4-BE49-F238E27FC236}">
              <a16:creationId xmlns:a16="http://schemas.microsoft.com/office/drawing/2014/main" xmlns="" id="{00000000-0008-0000-0200-000021933300}"/>
            </a:ext>
          </a:extLst>
        </xdr:cNvPr>
        <xdr:cNvCxnSpPr>
          <a:cxnSpLocks noChangeShapeType="1"/>
          <a:stCxn id="30" idx="1"/>
        </xdr:cNvCxnSpPr>
      </xdr:nvCxnSpPr>
      <xdr:spPr bwMode="auto">
        <a:xfrm rot="10800000">
          <a:off x="7743825" y="752475"/>
          <a:ext cx="1447800" cy="3400425"/>
        </a:xfrm>
        <a:prstGeom prst="straightConnector1">
          <a:avLst/>
        </a:prstGeom>
        <a:noFill/>
        <a:ln w="9525">
          <a:solidFill>
            <a:srgbClr val="000000"/>
          </a:solidFill>
          <a:round/>
          <a:headEnd/>
          <a:tailEnd type="triangle"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38101</xdr:colOff>
      <xdr:row>4</xdr:row>
      <xdr:rowOff>95250</xdr:rowOff>
    </xdr:from>
    <xdr:to>
      <xdr:col>6</xdr:col>
      <xdr:colOff>85725</xdr:colOff>
      <xdr:row>20</xdr:row>
      <xdr:rowOff>9525</xdr:rowOff>
    </xdr:to>
    <xdr:cxnSp macro="">
      <xdr:nvCxnSpPr>
        <xdr:cNvPr id="3456896" name="Straight Connector 62">
          <a:extLst>
            <a:ext uri="{FF2B5EF4-FFF2-40B4-BE49-F238E27FC236}">
              <a16:creationId xmlns:a16="http://schemas.microsoft.com/office/drawing/2014/main" xmlns="" id="{00000000-0008-0000-0300-000080BF3400}"/>
            </a:ext>
          </a:extLst>
        </xdr:cNvPr>
        <xdr:cNvCxnSpPr>
          <a:cxnSpLocks noChangeShapeType="1"/>
        </xdr:cNvCxnSpPr>
      </xdr:nvCxnSpPr>
      <xdr:spPr bwMode="auto">
        <a:xfrm flipH="1" flipV="1">
          <a:off x="9210676" y="762000"/>
          <a:ext cx="1495424" cy="2505075"/>
        </a:xfrm>
        <a:prstGeom prst="line">
          <a:avLst/>
        </a:prstGeom>
        <a:noFill/>
        <a:ln w="9525" algn="ctr">
          <a:solidFill>
            <a:srgbClr val="000000"/>
          </a:solidFill>
          <a:round/>
          <a:headEnd/>
          <a:tailEnd type="triangle" w="med" len="med"/>
        </a:ln>
      </xdr:spPr>
    </xdr:cxnSp>
    <xdr:clientData/>
  </xdr:twoCellAnchor>
  <xdr:twoCellAnchor>
    <xdr:from>
      <xdr:col>0</xdr:col>
      <xdr:colOff>9525</xdr:colOff>
      <xdr:row>8</xdr:row>
      <xdr:rowOff>0</xdr:rowOff>
    </xdr:from>
    <xdr:to>
      <xdr:col>4</xdr:col>
      <xdr:colOff>742950</xdr:colOff>
      <xdr:row>34</xdr:row>
      <xdr:rowOff>123825</xdr:rowOff>
    </xdr:to>
    <xdr:graphicFrame macro="">
      <xdr:nvGraphicFramePr>
        <xdr:cNvPr id="3456852" name="Chart 2">
          <a:extLst>
            <a:ext uri="{FF2B5EF4-FFF2-40B4-BE49-F238E27FC236}">
              <a16:creationId xmlns:a16="http://schemas.microsoft.com/office/drawing/2014/main" xmlns="" id="{00000000-0008-0000-0300-000054BF3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28576</xdr:colOff>
      <xdr:row>10</xdr:row>
      <xdr:rowOff>57150</xdr:rowOff>
    </xdr:from>
    <xdr:to>
      <xdr:col>2</xdr:col>
      <xdr:colOff>1276350</xdr:colOff>
      <xdr:row>11</xdr:row>
      <xdr:rowOff>142875</xdr:rowOff>
    </xdr:to>
    <xdr:sp macro="" textlink="">
      <xdr:nvSpPr>
        <xdr:cNvPr id="5" name="Right Arrow 4">
          <a:extLst>
            <a:ext uri="{FF2B5EF4-FFF2-40B4-BE49-F238E27FC236}">
              <a16:creationId xmlns:a16="http://schemas.microsoft.com/office/drawing/2014/main" xmlns="" id="{00000000-0008-0000-0300-000005000000}"/>
            </a:ext>
          </a:extLst>
        </xdr:cNvPr>
        <xdr:cNvSpPr/>
      </xdr:nvSpPr>
      <xdr:spPr>
        <a:xfrm>
          <a:off x="2400301" y="1647825"/>
          <a:ext cx="1895474"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5</xdr:col>
      <xdr:colOff>0</xdr:colOff>
      <xdr:row>2</xdr:row>
      <xdr:rowOff>19050</xdr:rowOff>
    </xdr:from>
    <xdr:to>
      <xdr:col>6</xdr:col>
      <xdr:colOff>0</xdr:colOff>
      <xdr:row>2</xdr:row>
      <xdr:rowOff>76200</xdr:rowOff>
    </xdr:to>
    <xdr:cxnSp macro="">
      <xdr:nvCxnSpPr>
        <xdr:cNvPr id="3456854" name="Straight Connector 45">
          <a:extLst>
            <a:ext uri="{FF2B5EF4-FFF2-40B4-BE49-F238E27FC236}">
              <a16:creationId xmlns:a16="http://schemas.microsoft.com/office/drawing/2014/main" xmlns="" id="{00000000-0008-0000-0300-000056BF3400}"/>
            </a:ext>
          </a:extLst>
        </xdr:cNvPr>
        <xdr:cNvCxnSpPr>
          <a:cxnSpLocks noChangeShapeType="1"/>
          <a:stCxn id="89" idx="1"/>
        </xdr:cNvCxnSpPr>
      </xdr:nvCxnSpPr>
      <xdr:spPr bwMode="auto">
        <a:xfrm rot="10800000" flipV="1">
          <a:off x="9172575" y="361950"/>
          <a:ext cx="1447800" cy="57150"/>
        </a:xfrm>
        <a:prstGeom prst="line">
          <a:avLst/>
        </a:prstGeom>
        <a:noFill/>
        <a:ln w="9525" algn="ctr">
          <a:solidFill>
            <a:srgbClr val="000000"/>
          </a:solidFill>
          <a:round/>
          <a:headEnd/>
          <a:tailEnd type="triangle" w="med" len="med"/>
        </a:ln>
      </xdr:spPr>
    </xdr:cxnSp>
    <xdr:clientData/>
  </xdr:twoCellAnchor>
  <xdr:twoCellAnchor>
    <xdr:from>
      <xdr:col>5</xdr:col>
      <xdr:colOff>28575</xdr:colOff>
      <xdr:row>5</xdr:row>
      <xdr:rowOff>85725</xdr:rowOff>
    </xdr:from>
    <xdr:to>
      <xdr:col>5</xdr:col>
      <xdr:colOff>1438275</xdr:colOff>
      <xdr:row>9</xdr:row>
      <xdr:rowOff>19050</xdr:rowOff>
    </xdr:to>
    <xdr:cxnSp macro="">
      <xdr:nvCxnSpPr>
        <xdr:cNvPr id="3456855" name="Straight Connector 48">
          <a:extLst>
            <a:ext uri="{FF2B5EF4-FFF2-40B4-BE49-F238E27FC236}">
              <a16:creationId xmlns:a16="http://schemas.microsoft.com/office/drawing/2014/main" xmlns="" id="{00000000-0008-0000-0300-000057BF3400}"/>
            </a:ext>
          </a:extLst>
        </xdr:cNvPr>
        <xdr:cNvCxnSpPr>
          <a:cxnSpLocks noChangeShapeType="1"/>
          <a:stCxn id="93" idx="1"/>
        </xdr:cNvCxnSpPr>
      </xdr:nvCxnSpPr>
      <xdr:spPr bwMode="auto">
        <a:xfrm rot="10800000">
          <a:off x="9201150" y="914400"/>
          <a:ext cx="1409700" cy="581025"/>
        </a:xfrm>
        <a:prstGeom prst="line">
          <a:avLst/>
        </a:prstGeom>
        <a:noFill/>
        <a:ln w="9525" algn="ctr">
          <a:solidFill>
            <a:srgbClr val="000000"/>
          </a:solidFill>
          <a:round/>
          <a:headEnd/>
          <a:tailEnd type="triangle" w="med" len="med"/>
        </a:ln>
      </xdr:spPr>
    </xdr:cxnSp>
    <xdr:clientData/>
  </xdr:twoCellAnchor>
  <xdr:twoCellAnchor>
    <xdr:from>
      <xdr:col>5</xdr:col>
      <xdr:colOff>9525</xdr:colOff>
      <xdr:row>3</xdr:row>
      <xdr:rowOff>66675</xdr:rowOff>
    </xdr:from>
    <xdr:to>
      <xdr:col>6</xdr:col>
      <xdr:colOff>9525</xdr:colOff>
      <xdr:row>14</xdr:row>
      <xdr:rowOff>142875</xdr:rowOff>
    </xdr:to>
    <xdr:cxnSp macro="">
      <xdr:nvCxnSpPr>
        <xdr:cNvPr id="3456857" name="Straight Connector 53">
          <a:extLst>
            <a:ext uri="{FF2B5EF4-FFF2-40B4-BE49-F238E27FC236}">
              <a16:creationId xmlns:a16="http://schemas.microsoft.com/office/drawing/2014/main" xmlns="" id="{00000000-0008-0000-0300-000059BF3400}"/>
            </a:ext>
          </a:extLst>
        </xdr:cNvPr>
        <xdr:cNvCxnSpPr>
          <a:cxnSpLocks noChangeShapeType="1"/>
          <a:stCxn id="111" idx="1"/>
        </xdr:cNvCxnSpPr>
      </xdr:nvCxnSpPr>
      <xdr:spPr bwMode="auto">
        <a:xfrm rot="10800000">
          <a:off x="9182100" y="571500"/>
          <a:ext cx="1447800" cy="1857375"/>
        </a:xfrm>
        <a:prstGeom prst="line">
          <a:avLst/>
        </a:prstGeom>
        <a:noFill/>
        <a:ln w="9525" algn="ctr">
          <a:solidFill>
            <a:srgbClr val="000000"/>
          </a:solidFill>
          <a:round/>
          <a:headEnd/>
          <a:tailEnd type="triangle" w="med" len="med"/>
        </a:ln>
      </xdr:spPr>
    </xdr:cxnSp>
    <xdr:clientData/>
  </xdr:twoCellAnchor>
  <xdr:twoCellAnchor>
    <xdr:from>
      <xdr:col>6</xdr:col>
      <xdr:colOff>1408180</xdr:colOff>
      <xdr:row>2</xdr:row>
      <xdr:rowOff>15086</xdr:rowOff>
    </xdr:from>
    <xdr:to>
      <xdr:col>9</xdr:col>
      <xdr:colOff>165250</xdr:colOff>
      <xdr:row>2</xdr:row>
      <xdr:rowOff>124791</xdr:rowOff>
    </xdr:to>
    <xdr:cxnSp macro="">
      <xdr:nvCxnSpPr>
        <xdr:cNvPr id="3456861" name="Straight Connector 62">
          <a:extLst>
            <a:ext uri="{FF2B5EF4-FFF2-40B4-BE49-F238E27FC236}">
              <a16:creationId xmlns:a16="http://schemas.microsoft.com/office/drawing/2014/main" xmlns="" id="{00000000-0008-0000-0300-00005DBF3400}"/>
            </a:ext>
          </a:extLst>
        </xdr:cNvPr>
        <xdr:cNvCxnSpPr>
          <a:cxnSpLocks noChangeShapeType="1"/>
          <a:stCxn id="98" idx="0"/>
          <a:endCxn id="89" idx="3"/>
        </xdr:cNvCxnSpPr>
      </xdr:nvCxnSpPr>
      <xdr:spPr bwMode="auto">
        <a:xfrm rot="16200000" flipV="1">
          <a:off x="12685737" y="-299196"/>
          <a:ext cx="109705" cy="1424070"/>
        </a:xfrm>
        <a:prstGeom prst="curvedConnector2">
          <a:avLst/>
        </a:prstGeom>
        <a:noFill/>
        <a:ln w="9525" algn="ctr">
          <a:solidFill>
            <a:srgbClr val="000000"/>
          </a:solidFill>
          <a:round/>
          <a:headEnd/>
          <a:tailEnd type="triangle" w="med" len="med"/>
        </a:ln>
      </xdr:spPr>
    </xdr:cxnSp>
    <xdr:clientData/>
  </xdr:twoCellAnchor>
  <xdr:twoCellAnchor>
    <xdr:from>
      <xdr:col>6</xdr:col>
      <xdr:colOff>3</xdr:colOff>
      <xdr:row>0</xdr:row>
      <xdr:rowOff>104777</xdr:rowOff>
    </xdr:from>
    <xdr:to>
      <xdr:col>6</xdr:col>
      <xdr:colOff>1408179</xdr:colOff>
      <xdr:row>3</xdr:row>
      <xdr:rowOff>106370</xdr:rowOff>
    </xdr:to>
    <xdr:sp macro="" textlink="">
      <xdr:nvSpPr>
        <xdr:cNvPr id="89" name="AutoShape 20">
          <a:hlinkClick xmlns:r="http://schemas.openxmlformats.org/officeDocument/2006/relationships" r:id="rId2" tooltip="Go to crop_efp"/>
          <a:extLst>
            <a:ext uri="{FF2B5EF4-FFF2-40B4-BE49-F238E27FC236}">
              <a16:creationId xmlns:a16="http://schemas.microsoft.com/office/drawing/2014/main" xmlns="" id="{00000000-0008-0000-0300-000059000000}"/>
            </a:ext>
          </a:extLst>
        </xdr:cNvPr>
        <xdr:cNvSpPr>
          <a:spLocks noChangeArrowheads="1"/>
        </xdr:cNvSpPr>
      </xdr:nvSpPr>
      <xdr:spPr bwMode="auto">
        <a:xfrm>
          <a:off x="10620378" y="104777"/>
          <a:ext cx="1408176" cy="506418"/>
        </a:xfrm>
        <a:prstGeom prst="roundRect">
          <a:avLst>
            <a:gd name="adj" fmla="val 16667"/>
          </a:avLst>
        </a:prstGeom>
        <a:solidFill>
          <a:schemeClr val="accent2"/>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crop_efp</a:t>
          </a:r>
        </a:p>
      </xdr:txBody>
    </xdr:sp>
    <xdr:clientData/>
  </xdr:twoCellAnchor>
  <xdr:twoCellAnchor>
    <xdr:from>
      <xdr:col>11</xdr:col>
      <xdr:colOff>200161</xdr:colOff>
      <xdr:row>2</xdr:row>
      <xdr:rowOff>123825</xdr:rowOff>
    </xdr:from>
    <xdr:to>
      <xdr:col>13</xdr:col>
      <xdr:colOff>384360</xdr:colOff>
      <xdr:row>5</xdr:row>
      <xdr:rowOff>144469</xdr:rowOff>
    </xdr:to>
    <xdr:sp macro="" textlink="">
      <xdr:nvSpPr>
        <xdr:cNvPr id="92" name="AutoShape 54">
          <a:hlinkClick xmlns:r="http://schemas.openxmlformats.org/officeDocument/2006/relationships" r:id="rId3" tooltip="Go to eqf"/>
          <a:extLst>
            <a:ext uri="{FF2B5EF4-FFF2-40B4-BE49-F238E27FC236}">
              <a16:creationId xmlns:a16="http://schemas.microsoft.com/office/drawing/2014/main" xmlns="" id="{00000000-0008-0000-0300-00005C000000}"/>
            </a:ext>
          </a:extLst>
        </xdr:cNvPr>
        <xdr:cNvSpPr>
          <a:spLocks noChangeArrowheads="1"/>
        </xdr:cNvSpPr>
      </xdr:nvSpPr>
      <xdr:spPr bwMode="auto">
        <a:xfrm>
          <a:off x="14706736" y="466725"/>
          <a:ext cx="1403399" cy="506419"/>
        </a:xfrm>
        <a:prstGeom prst="roundRect">
          <a:avLst>
            <a:gd name="adj" fmla="val 16667"/>
          </a:avLst>
        </a:prstGeom>
        <a:solidFill>
          <a:srgbClr val="4D7002"/>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eqf</a:t>
          </a:r>
        </a:p>
      </xdr:txBody>
    </xdr:sp>
    <xdr:clientData/>
  </xdr:twoCellAnchor>
  <xdr:twoCellAnchor>
    <xdr:from>
      <xdr:col>5</xdr:col>
      <xdr:colOff>1438278</xdr:colOff>
      <xdr:row>7</xdr:row>
      <xdr:rowOff>92089</xdr:rowOff>
    </xdr:from>
    <xdr:to>
      <xdr:col>6</xdr:col>
      <xdr:colOff>1398654</xdr:colOff>
      <xdr:row>10</xdr:row>
      <xdr:rowOff>109234</xdr:rowOff>
    </xdr:to>
    <xdr:sp macro="" textlink="">
      <xdr:nvSpPr>
        <xdr:cNvPr id="93" name="AutoShape 20">
          <a:hlinkClick xmlns:r="http://schemas.openxmlformats.org/officeDocument/2006/relationships" r:id="rId4" tooltip="Go to crop_efi"/>
          <a:extLst>
            <a:ext uri="{FF2B5EF4-FFF2-40B4-BE49-F238E27FC236}">
              <a16:creationId xmlns:a16="http://schemas.microsoft.com/office/drawing/2014/main" xmlns="" id="{00000000-0008-0000-0300-00005D000000}"/>
            </a:ext>
          </a:extLst>
        </xdr:cNvPr>
        <xdr:cNvSpPr>
          <a:spLocks noChangeArrowheads="1"/>
        </xdr:cNvSpPr>
      </xdr:nvSpPr>
      <xdr:spPr bwMode="auto">
        <a:xfrm>
          <a:off x="10610853" y="1244614"/>
          <a:ext cx="1408176" cy="502920"/>
        </a:xfrm>
        <a:prstGeom prst="roundRect">
          <a:avLst>
            <a:gd name="adj" fmla="val 16667"/>
          </a:avLst>
        </a:prstGeom>
        <a:solidFill>
          <a:schemeClr val="accent2"/>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crop_efi_efe</a:t>
          </a:r>
        </a:p>
      </xdr:txBody>
    </xdr:sp>
    <xdr:clientData/>
  </xdr:twoCellAnchor>
  <xdr:twoCellAnchor>
    <xdr:from>
      <xdr:col>6</xdr:col>
      <xdr:colOff>7953</xdr:colOff>
      <xdr:row>13</xdr:row>
      <xdr:rowOff>54003</xdr:rowOff>
    </xdr:from>
    <xdr:to>
      <xdr:col>6</xdr:col>
      <xdr:colOff>1416129</xdr:colOff>
      <xdr:row>16</xdr:row>
      <xdr:rowOff>74647</xdr:rowOff>
    </xdr:to>
    <xdr:sp macro="" textlink="">
      <xdr:nvSpPr>
        <xdr:cNvPr id="111" name="AutoShape 20">
          <a:hlinkClick xmlns:r="http://schemas.openxmlformats.org/officeDocument/2006/relationships" r:id="rId5" tooltip="Go to livestock_efi"/>
          <a:extLst>
            <a:ext uri="{FF2B5EF4-FFF2-40B4-BE49-F238E27FC236}">
              <a16:creationId xmlns:a16="http://schemas.microsoft.com/office/drawing/2014/main" xmlns="" id="{00000000-0008-0000-0300-00006F000000}"/>
            </a:ext>
          </a:extLst>
        </xdr:cNvPr>
        <xdr:cNvSpPr>
          <a:spLocks noChangeArrowheads="1"/>
        </xdr:cNvSpPr>
      </xdr:nvSpPr>
      <xdr:spPr bwMode="auto">
        <a:xfrm>
          <a:off x="10628328" y="2178078"/>
          <a:ext cx="1408176" cy="506419"/>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livestock_trade</a:t>
          </a:r>
        </a:p>
      </xdr:txBody>
    </xdr:sp>
    <xdr:clientData/>
  </xdr:twoCellAnchor>
  <xdr:twoCellAnchor>
    <xdr:from>
      <xdr:col>6</xdr:col>
      <xdr:colOff>28574</xdr:colOff>
      <xdr:row>18</xdr:row>
      <xdr:rowOff>95251</xdr:rowOff>
    </xdr:from>
    <xdr:to>
      <xdr:col>6</xdr:col>
      <xdr:colOff>1404091</xdr:colOff>
      <xdr:row>21</xdr:row>
      <xdr:rowOff>114300</xdr:rowOff>
    </xdr:to>
    <xdr:sp macro="" textlink="">
      <xdr:nvSpPr>
        <xdr:cNvPr id="47" name="AutoShape 22">
          <a:hlinkClick xmlns:r="http://schemas.openxmlformats.org/officeDocument/2006/relationships" r:id="rId6" tooltip="Go to fish_comodity_efe"/>
          <a:extLst>
            <a:ext uri="{FF2B5EF4-FFF2-40B4-BE49-F238E27FC236}">
              <a16:creationId xmlns:a16="http://schemas.microsoft.com/office/drawing/2014/main" xmlns="" id="{00000000-0008-0000-0300-00002F000000}"/>
            </a:ext>
          </a:extLst>
        </xdr:cNvPr>
        <xdr:cNvSpPr>
          <a:spLocks noChangeArrowheads="1"/>
        </xdr:cNvSpPr>
      </xdr:nvSpPr>
      <xdr:spPr bwMode="auto">
        <a:xfrm>
          <a:off x="10648949" y="3028951"/>
          <a:ext cx="1375517" cy="504824"/>
        </a:xfrm>
        <a:prstGeom prst="roundRect">
          <a:avLst>
            <a:gd name="adj" fmla="val 16667"/>
          </a:avLst>
        </a:prstGeom>
        <a:solidFill>
          <a:schemeClr val="accent4"/>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fish_commodity</a:t>
          </a:r>
        </a:p>
      </xdr:txBody>
    </xdr:sp>
    <xdr:clientData/>
  </xdr:twoCellAnchor>
  <xdr:twoCellAnchor>
    <xdr:from>
      <xdr:col>6</xdr:col>
      <xdr:colOff>1398654</xdr:colOff>
      <xdr:row>4</xdr:row>
      <xdr:rowOff>54150</xdr:rowOff>
    </xdr:from>
    <xdr:to>
      <xdr:col>8</xdr:col>
      <xdr:colOff>73482</xdr:colOff>
      <xdr:row>9</xdr:row>
      <xdr:rowOff>19699</xdr:rowOff>
    </xdr:to>
    <xdr:cxnSp macro="">
      <xdr:nvCxnSpPr>
        <xdr:cNvPr id="3456897" name="Straight Connector 62">
          <a:extLst>
            <a:ext uri="{FF2B5EF4-FFF2-40B4-BE49-F238E27FC236}">
              <a16:creationId xmlns:a16="http://schemas.microsoft.com/office/drawing/2014/main" xmlns="" id="{00000000-0008-0000-0300-000081BF3400}"/>
            </a:ext>
          </a:extLst>
        </xdr:cNvPr>
        <xdr:cNvCxnSpPr>
          <a:cxnSpLocks noChangeShapeType="1"/>
          <a:stCxn id="93" idx="3"/>
          <a:endCxn id="98" idx="1"/>
        </xdr:cNvCxnSpPr>
      </xdr:nvCxnSpPr>
      <xdr:spPr bwMode="auto">
        <a:xfrm flipV="1">
          <a:off x="12019029" y="720900"/>
          <a:ext cx="732228" cy="775174"/>
        </a:xfrm>
        <a:prstGeom prst="curvedConnector3">
          <a:avLst>
            <a:gd name="adj1" fmla="val 50000"/>
          </a:avLst>
        </a:prstGeom>
        <a:noFill/>
        <a:ln w="9525" algn="ctr">
          <a:solidFill>
            <a:srgbClr val="000000"/>
          </a:solidFill>
          <a:round/>
          <a:headEnd/>
          <a:tailEnd type="triangle" w="med" len="med"/>
        </a:ln>
      </xdr:spPr>
    </xdr:cxnSp>
    <xdr:clientData/>
  </xdr:twoCellAnchor>
  <xdr:twoCellAnchor>
    <xdr:from>
      <xdr:col>8</xdr:col>
      <xdr:colOff>73482</xdr:colOff>
      <xdr:row>2</xdr:row>
      <xdr:rowOff>124791</xdr:rowOff>
    </xdr:from>
    <xdr:to>
      <xdr:col>10</xdr:col>
      <xdr:colOff>257015</xdr:colOff>
      <xdr:row>5</xdr:row>
      <xdr:rowOff>145434</xdr:rowOff>
    </xdr:to>
    <xdr:sp macro="" textlink="">
      <xdr:nvSpPr>
        <xdr:cNvPr id="98" name="AutoShape 35">
          <a:hlinkClick xmlns:r="http://schemas.openxmlformats.org/officeDocument/2006/relationships" r:id="rId7" tooltip="Go to crop_unharvest"/>
          <a:extLst>
            <a:ext uri="{FF2B5EF4-FFF2-40B4-BE49-F238E27FC236}">
              <a16:creationId xmlns:a16="http://schemas.microsoft.com/office/drawing/2014/main" xmlns="" id="{00000000-0008-0000-0300-000062000000}"/>
            </a:ext>
          </a:extLst>
        </xdr:cNvPr>
        <xdr:cNvSpPr>
          <a:spLocks noChangeArrowheads="1"/>
        </xdr:cNvSpPr>
      </xdr:nvSpPr>
      <xdr:spPr bwMode="auto">
        <a:xfrm>
          <a:off x="12751257" y="467691"/>
          <a:ext cx="1402733" cy="506418"/>
        </a:xfrm>
        <a:prstGeom prst="roundRect">
          <a:avLst>
            <a:gd name="adj" fmla="val 16667"/>
          </a:avLst>
        </a:prstGeom>
        <a:solidFill>
          <a:schemeClr val="accent2"/>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crop_intensity</a:t>
          </a:r>
        </a:p>
      </xdr:txBody>
    </xdr:sp>
    <xdr:clientData/>
  </xdr:twoCellAnchor>
  <xdr:twoCellAnchor>
    <xdr:from>
      <xdr:col>6</xdr:col>
      <xdr:colOff>694567</xdr:colOff>
      <xdr:row>5</xdr:row>
      <xdr:rowOff>145434</xdr:rowOff>
    </xdr:from>
    <xdr:to>
      <xdr:col>9</xdr:col>
      <xdr:colOff>165250</xdr:colOff>
      <xdr:row>10</xdr:row>
      <xdr:rowOff>109234</xdr:rowOff>
    </xdr:to>
    <xdr:cxnSp macro="">
      <xdr:nvCxnSpPr>
        <xdr:cNvPr id="44" name="Straight Connector 62">
          <a:extLst>
            <a:ext uri="{FF2B5EF4-FFF2-40B4-BE49-F238E27FC236}">
              <a16:creationId xmlns:a16="http://schemas.microsoft.com/office/drawing/2014/main" xmlns="" id="{00000000-0008-0000-0300-00002C000000}"/>
            </a:ext>
          </a:extLst>
        </xdr:cNvPr>
        <xdr:cNvCxnSpPr>
          <a:cxnSpLocks noChangeShapeType="1"/>
          <a:stCxn id="98" idx="2"/>
          <a:endCxn id="93" idx="2"/>
        </xdr:cNvCxnSpPr>
      </xdr:nvCxnSpPr>
      <xdr:spPr bwMode="auto">
        <a:xfrm rot="5400000">
          <a:off x="11997071" y="291980"/>
          <a:ext cx="773425" cy="2137683"/>
        </a:xfrm>
        <a:prstGeom prst="curvedConnector3">
          <a:avLst>
            <a:gd name="adj1" fmla="val 129557"/>
          </a:avLst>
        </a:prstGeom>
        <a:noFill/>
        <a:ln w="9525" algn="ctr">
          <a:solidFill>
            <a:srgbClr val="000000"/>
          </a:solidFill>
          <a:round/>
          <a:headEnd/>
          <a:tailEnd type="triangle" w="med" len="med"/>
        </a:ln>
      </xdr:spPr>
    </xdr:cxnSp>
    <xdr:clientData/>
  </xdr:twoCellAnchor>
  <xdr:twoCellAnchor>
    <xdr:from>
      <xdr:col>7</xdr:col>
      <xdr:colOff>581025</xdr:colOff>
      <xdr:row>6</xdr:row>
      <xdr:rowOff>85725</xdr:rowOff>
    </xdr:from>
    <xdr:to>
      <xdr:col>10</xdr:col>
      <xdr:colOff>323850</xdr:colOff>
      <xdr:row>9</xdr:row>
      <xdr:rowOff>106368</xdr:rowOff>
    </xdr:to>
    <xdr:sp macro="" textlink="">
      <xdr:nvSpPr>
        <xdr:cNvPr id="59" name="AutoShape 35">
          <a:hlinkClick xmlns:r="http://schemas.openxmlformats.org/officeDocument/2006/relationships" r:id="rId8" tooltip="Go to crop_unharvest"/>
          <a:extLst>
            <a:ext uri="{FF2B5EF4-FFF2-40B4-BE49-F238E27FC236}">
              <a16:creationId xmlns:a16="http://schemas.microsoft.com/office/drawing/2014/main" xmlns="" id="{00000000-0008-0000-0300-00003B000000}"/>
            </a:ext>
          </a:extLst>
        </xdr:cNvPr>
        <xdr:cNvSpPr>
          <a:spLocks noChangeArrowheads="1"/>
        </xdr:cNvSpPr>
      </xdr:nvSpPr>
      <xdr:spPr bwMode="auto">
        <a:xfrm>
          <a:off x="12649200" y="1076325"/>
          <a:ext cx="1571625" cy="506418"/>
        </a:xfrm>
        <a:prstGeom prst="roundRect">
          <a:avLst>
            <a:gd name="adj" fmla="val 16667"/>
          </a:avLst>
        </a:prstGeom>
        <a:solidFill>
          <a:schemeClr val="accent2"/>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constant_crop_factor</a:t>
          </a:r>
        </a:p>
      </xdr:txBody>
    </xdr:sp>
    <xdr:clientData/>
  </xdr:twoCellAnchor>
  <xdr:twoCellAnchor>
    <xdr:from>
      <xdr:col>6</xdr:col>
      <xdr:colOff>704091</xdr:colOff>
      <xdr:row>3</xdr:row>
      <xdr:rowOff>106371</xdr:rowOff>
    </xdr:from>
    <xdr:to>
      <xdr:col>7</xdr:col>
      <xdr:colOff>581025</xdr:colOff>
      <xdr:row>8</xdr:row>
      <xdr:rowOff>15085</xdr:rowOff>
    </xdr:to>
    <xdr:cxnSp macro="">
      <xdr:nvCxnSpPr>
        <xdr:cNvPr id="60" name="Straight Connector 62">
          <a:extLst>
            <a:ext uri="{FF2B5EF4-FFF2-40B4-BE49-F238E27FC236}">
              <a16:creationId xmlns:a16="http://schemas.microsoft.com/office/drawing/2014/main" xmlns="" id="{00000000-0008-0000-0300-00003C000000}"/>
            </a:ext>
          </a:extLst>
        </xdr:cNvPr>
        <xdr:cNvCxnSpPr>
          <a:cxnSpLocks noChangeShapeType="1"/>
          <a:stCxn id="59" idx="1"/>
          <a:endCxn id="89" idx="2"/>
        </xdr:cNvCxnSpPr>
      </xdr:nvCxnSpPr>
      <xdr:spPr bwMode="auto">
        <a:xfrm rot="10800000">
          <a:off x="11324466" y="611196"/>
          <a:ext cx="1324734" cy="718339"/>
        </a:xfrm>
        <a:prstGeom prst="curvedConnector2">
          <a:avLst/>
        </a:prstGeom>
        <a:noFill/>
        <a:ln w="9525" algn="ctr">
          <a:solidFill>
            <a:srgbClr val="000000"/>
          </a:solidFill>
          <a:round/>
          <a:headEnd/>
          <a:tailEnd type="triangle" w="med" len="med"/>
        </a:ln>
      </xdr:spPr>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6</xdr:row>
      <xdr:rowOff>104775</xdr:rowOff>
    </xdr:from>
    <xdr:to>
      <xdr:col>4</xdr:col>
      <xdr:colOff>733425</xdr:colOff>
      <xdr:row>33</xdr:row>
      <xdr:rowOff>66675</xdr:rowOff>
    </xdr:to>
    <xdr:graphicFrame macro="">
      <xdr:nvGraphicFramePr>
        <xdr:cNvPr id="3551782" name="Chart 127">
          <a:extLst>
            <a:ext uri="{FF2B5EF4-FFF2-40B4-BE49-F238E27FC236}">
              <a16:creationId xmlns:a16="http://schemas.microsoft.com/office/drawing/2014/main" xmlns="" id="{00000000-0008-0000-0400-000026323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3343276</xdr:colOff>
      <xdr:row>8</xdr:row>
      <xdr:rowOff>152399</xdr:rowOff>
    </xdr:from>
    <xdr:to>
      <xdr:col>2</xdr:col>
      <xdr:colOff>1209675</xdr:colOff>
      <xdr:row>10</xdr:row>
      <xdr:rowOff>76199</xdr:rowOff>
    </xdr:to>
    <xdr:sp macro="" textlink="">
      <xdr:nvSpPr>
        <xdr:cNvPr id="129" name="Right Arrow 128">
          <a:extLst>
            <a:ext uri="{FF2B5EF4-FFF2-40B4-BE49-F238E27FC236}">
              <a16:creationId xmlns:a16="http://schemas.microsoft.com/office/drawing/2014/main" xmlns="" id="{00000000-0008-0000-0400-000081000000}"/>
            </a:ext>
          </a:extLst>
        </xdr:cNvPr>
        <xdr:cNvSpPr/>
      </xdr:nvSpPr>
      <xdr:spPr>
        <a:xfrm>
          <a:off x="3343276" y="1466849"/>
          <a:ext cx="2695574"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7</xdr:col>
      <xdr:colOff>0</xdr:colOff>
      <xdr:row>14</xdr:row>
      <xdr:rowOff>139434</xdr:rowOff>
    </xdr:from>
    <xdr:to>
      <xdr:col>10</xdr:col>
      <xdr:colOff>13584</xdr:colOff>
      <xdr:row>32</xdr:row>
      <xdr:rowOff>95250</xdr:rowOff>
    </xdr:to>
    <xdr:cxnSp macro="">
      <xdr:nvCxnSpPr>
        <xdr:cNvPr id="3551785" name="Straight Connector 392">
          <a:extLst>
            <a:ext uri="{FF2B5EF4-FFF2-40B4-BE49-F238E27FC236}">
              <a16:creationId xmlns:a16="http://schemas.microsoft.com/office/drawing/2014/main" xmlns="" id="{00000000-0008-0000-0400-000029323600}"/>
            </a:ext>
          </a:extLst>
        </xdr:cNvPr>
        <xdr:cNvCxnSpPr>
          <a:cxnSpLocks noChangeShapeType="1"/>
          <a:stCxn id="162" idx="1"/>
        </xdr:cNvCxnSpPr>
      </xdr:nvCxnSpPr>
      <xdr:spPr bwMode="auto">
        <a:xfrm flipH="1">
          <a:off x="12068175" y="2425434"/>
          <a:ext cx="4356984" cy="2870466"/>
        </a:xfrm>
        <a:prstGeom prst="line">
          <a:avLst/>
        </a:prstGeom>
        <a:noFill/>
        <a:ln w="9525" algn="ctr">
          <a:solidFill>
            <a:srgbClr val="000000"/>
          </a:solidFill>
          <a:round/>
          <a:headEnd/>
          <a:tailEnd type="triangle" w="med" len="med"/>
        </a:ln>
      </xdr:spPr>
    </xdr:cxnSp>
    <xdr:clientData/>
  </xdr:twoCellAnchor>
  <xdr:twoCellAnchor>
    <xdr:from>
      <xdr:col>6</xdr:col>
      <xdr:colOff>1257300</xdr:colOff>
      <xdr:row>7</xdr:row>
      <xdr:rowOff>19050</xdr:rowOff>
    </xdr:from>
    <xdr:to>
      <xdr:col>10</xdr:col>
      <xdr:colOff>0</xdr:colOff>
      <xdr:row>24</xdr:row>
      <xdr:rowOff>85725</xdr:rowOff>
    </xdr:to>
    <xdr:cxnSp macro="">
      <xdr:nvCxnSpPr>
        <xdr:cNvPr id="3551786" name="Straight Connector 325">
          <a:extLst>
            <a:ext uri="{FF2B5EF4-FFF2-40B4-BE49-F238E27FC236}">
              <a16:creationId xmlns:a16="http://schemas.microsoft.com/office/drawing/2014/main" xmlns="" id="{00000000-0008-0000-0400-00002A323600}"/>
            </a:ext>
          </a:extLst>
        </xdr:cNvPr>
        <xdr:cNvCxnSpPr>
          <a:cxnSpLocks noChangeShapeType="1"/>
          <a:stCxn id="144" idx="1"/>
          <a:endCxn id="183" idx="3"/>
        </xdr:cNvCxnSpPr>
      </xdr:nvCxnSpPr>
      <xdr:spPr bwMode="auto">
        <a:xfrm rot="10800000" flipV="1">
          <a:off x="11877675" y="1171575"/>
          <a:ext cx="4533900" cy="2819400"/>
        </a:xfrm>
        <a:prstGeom prst="line">
          <a:avLst/>
        </a:prstGeom>
        <a:noFill/>
        <a:ln w="9525" algn="ctr">
          <a:solidFill>
            <a:srgbClr val="000000"/>
          </a:solidFill>
          <a:round/>
          <a:headEnd/>
          <a:tailEnd type="triangle" w="med" len="med"/>
        </a:ln>
      </xdr:spPr>
    </xdr:cxnSp>
    <xdr:clientData/>
  </xdr:twoCellAnchor>
  <xdr:twoCellAnchor>
    <xdr:from>
      <xdr:col>6</xdr:col>
      <xdr:colOff>1266825</xdr:colOff>
      <xdr:row>7</xdr:row>
      <xdr:rowOff>19050</xdr:rowOff>
    </xdr:from>
    <xdr:to>
      <xdr:col>10</xdr:col>
      <xdr:colOff>0</xdr:colOff>
      <xdr:row>15</xdr:row>
      <xdr:rowOff>142875</xdr:rowOff>
    </xdr:to>
    <xdr:cxnSp macro="">
      <xdr:nvCxnSpPr>
        <xdr:cNvPr id="3551789" name="Straight Connector 325">
          <a:extLst>
            <a:ext uri="{FF2B5EF4-FFF2-40B4-BE49-F238E27FC236}">
              <a16:creationId xmlns:a16="http://schemas.microsoft.com/office/drawing/2014/main" xmlns="" id="{00000000-0008-0000-0400-00002D323600}"/>
            </a:ext>
          </a:extLst>
        </xdr:cNvPr>
        <xdr:cNvCxnSpPr>
          <a:cxnSpLocks noChangeShapeType="1"/>
          <a:stCxn id="144" idx="1"/>
          <a:endCxn id="181" idx="3"/>
        </xdr:cNvCxnSpPr>
      </xdr:nvCxnSpPr>
      <xdr:spPr bwMode="auto">
        <a:xfrm rot="10800000" flipV="1">
          <a:off x="11887200" y="1171575"/>
          <a:ext cx="4524375" cy="1419225"/>
        </a:xfrm>
        <a:prstGeom prst="line">
          <a:avLst/>
        </a:prstGeom>
        <a:noFill/>
        <a:ln w="9525" algn="ctr">
          <a:solidFill>
            <a:srgbClr val="000000"/>
          </a:solidFill>
          <a:round/>
          <a:headEnd/>
          <a:tailEnd type="triangle" w="med" len="med"/>
        </a:ln>
      </xdr:spPr>
    </xdr:cxnSp>
    <xdr:clientData/>
  </xdr:twoCellAnchor>
  <xdr:twoCellAnchor>
    <xdr:from>
      <xdr:col>6</xdr:col>
      <xdr:colOff>1266825</xdr:colOff>
      <xdr:row>7</xdr:row>
      <xdr:rowOff>19050</xdr:rowOff>
    </xdr:from>
    <xdr:to>
      <xdr:col>10</xdr:col>
      <xdr:colOff>0</xdr:colOff>
      <xdr:row>20</xdr:row>
      <xdr:rowOff>38100</xdr:rowOff>
    </xdr:to>
    <xdr:cxnSp macro="">
      <xdr:nvCxnSpPr>
        <xdr:cNvPr id="3551790" name="Straight Connector 325">
          <a:extLst>
            <a:ext uri="{FF2B5EF4-FFF2-40B4-BE49-F238E27FC236}">
              <a16:creationId xmlns:a16="http://schemas.microsoft.com/office/drawing/2014/main" xmlns="" id="{00000000-0008-0000-0400-00002E323600}"/>
            </a:ext>
          </a:extLst>
        </xdr:cNvPr>
        <xdr:cNvCxnSpPr>
          <a:cxnSpLocks noChangeShapeType="1"/>
          <a:stCxn id="144" idx="1"/>
          <a:endCxn id="182" idx="3"/>
        </xdr:cNvCxnSpPr>
      </xdr:nvCxnSpPr>
      <xdr:spPr bwMode="auto">
        <a:xfrm rot="10800000" flipV="1">
          <a:off x="11887200" y="1171575"/>
          <a:ext cx="4524375" cy="2124075"/>
        </a:xfrm>
        <a:prstGeom prst="line">
          <a:avLst/>
        </a:prstGeom>
        <a:noFill/>
        <a:ln w="9525" algn="ctr">
          <a:solidFill>
            <a:srgbClr val="000000"/>
          </a:solidFill>
          <a:round/>
          <a:headEnd/>
          <a:tailEnd type="triangle" w="med" len="med"/>
        </a:ln>
      </xdr:spPr>
    </xdr:cxnSp>
    <xdr:clientData/>
  </xdr:twoCellAnchor>
  <xdr:twoCellAnchor>
    <xdr:from>
      <xdr:col>6</xdr:col>
      <xdr:colOff>1266825</xdr:colOff>
      <xdr:row>11</xdr:row>
      <xdr:rowOff>0</xdr:rowOff>
    </xdr:from>
    <xdr:to>
      <xdr:col>10</xdr:col>
      <xdr:colOff>19050</xdr:colOff>
      <xdr:row>11</xdr:row>
      <xdr:rowOff>123825</xdr:rowOff>
    </xdr:to>
    <xdr:cxnSp macro="">
      <xdr:nvCxnSpPr>
        <xdr:cNvPr id="3551791" name="Straight Connector 331">
          <a:extLst>
            <a:ext uri="{FF2B5EF4-FFF2-40B4-BE49-F238E27FC236}">
              <a16:creationId xmlns:a16="http://schemas.microsoft.com/office/drawing/2014/main" xmlns="" id="{00000000-0008-0000-0400-00002F323600}"/>
            </a:ext>
          </a:extLst>
        </xdr:cNvPr>
        <xdr:cNvCxnSpPr>
          <a:cxnSpLocks noChangeShapeType="1"/>
          <a:stCxn id="147" idx="1"/>
          <a:endCxn id="171" idx="3"/>
        </xdr:cNvCxnSpPr>
      </xdr:nvCxnSpPr>
      <xdr:spPr bwMode="auto">
        <a:xfrm rot="10800000" flipV="1">
          <a:off x="11887200" y="1800225"/>
          <a:ext cx="4543425" cy="123825"/>
        </a:xfrm>
        <a:prstGeom prst="line">
          <a:avLst/>
        </a:prstGeom>
        <a:noFill/>
        <a:ln w="9525" algn="ctr">
          <a:solidFill>
            <a:srgbClr val="000000"/>
          </a:solidFill>
          <a:round/>
          <a:headEnd/>
          <a:tailEnd type="triangle" w="med" len="med"/>
        </a:ln>
      </xdr:spPr>
    </xdr:cxnSp>
    <xdr:clientData/>
  </xdr:twoCellAnchor>
  <xdr:twoCellAnchor>
    <xdr:from>
      <xdr:col>8</xdr:col>
      <xdr:colOff>1419225</xdr:colOff>
      <xdr:row>11</xdr:row>
      <xdr:rowOff>38100</xdr:rowOff>
    </xdr:from>
    <xdr:to>
      <xdr:col>10</xdr:col>
      <xdr:colOff>9525</xdr:colOff>
      <xdr:row>14</xdr:row>
      <xdr:rowOff>142875</xdr:rowOff>
    </xdr:to>
    <xdr:cxnSp macro="">
      <xdr:nvCxnSpPr>
        <xdr:cNvPr id="3551792" name="Straight Connector 347">
          <a:extLst>
            <a:ext uri="{FF2B5EF4-FFF2-40B4-BE49-F238E27FC236}">
              <a16:creationId xmlns:a16="http://schemas.microsoft.com/office/drawing/2014/main" xmlns="" id="{00000000-0008-0000-0400-000030323600}"/>
            </a:ext>
          </a:extLst>
        </xdr:cNvPr>
        <xdr:cNvCxnSpPr>
          <a:cxnSpLocks noChangeShapeType="1"/>
          <a:stCxn id="162" idx="1"/>
          <a:endCxn id="143" idx="3"/>
        </xdr:cNvCxnSpPr>
      </xdr:nvCxnSpPr>
      <xdr:spPr bwMode="auto">
        <a:xfrm rot="10800000">
          <a:off x="14935200" y="1838325"/>
          <a:ext cx="1485900" cy="590550"/>
        </a:xfrm>
        <a:prstGeom prst="line">
          <a:avLst/>
        </a:prstGeom>
        <a:noFill/>
        <a:ln w="9525" algn="ctr">
          <a:solidFill>
            <a:srgbClr val="000000"/>
          </a:solidFill>
          <a:round/>
          <a:headEnd/>
          <a:tailEnd type="triangle" w="med" len="med"/>
        </a:ln>
      </xdr:spPr>
    </xdr:cxnSp>
    <xdr:clientData/>
  </xdr:twoCellAnchor>
  <xdr:twoCellAnchor>
    <xdr:from>
      <xdr:col>8</xdr:col>
      <xdr:colOff>714375</xdr:colOff>
      <xdr:row>8</xdr:row>
      <xdr:rowOff>123825</xdr:rowOff>
    </xdr:from>
    <xdr:to>
      <xdr:col>8</xdr:col>
      <xdr:colOff>723900</xdr:colOff>
      <xdr:row>9</xdr:row>
      <xdr:rowOff>114300</xdr:rowOff>
    </xdr:to>
    <xdr:cxnSp macro="">
      <xdr:nvCxnSpPr>
        <xdr:cNvPr id="3551793" name="Curved Connector 343">
          <a:extLst>
            <a:ext uri="{FF2B5EF4-FFF2-40B4-BE49-F238E27FC236}">
              <a16:creationId xmlns:a16="http://schemas.microsoft.com/office/drawing/2014/main" xmlns="" id="{00000000-0008-0000-0400-000031323600}"/>
            </a:ext>
          </a:extLst>
        </xdr:cNvPr>
        <xdr:cNvCxnSpPr>
          <a:cxnSpLocks noChangeShapeType="1"/>
          <a:stCxn id="160" idx="2"/>
          <a:endCxn id="143" idx="0"/>
        </xdr:cNvCxnSpPr>
      </xdr:nvCxnSpPr>
      <xdr:spPr bwMode="auto">
        <a:xfrm rot="5400000">
          <a:off x="14158913" y="1509712"/>
          <a:ext cx="152400" cy="9525"/>
        </a:xfrm>
        <a:prstGeom prst="curvedConnector3">
          <a:avLst>
            <a:gd name="adj1" fmla="val 50000"/>
          </a:avLst>
        </a:prstGeom>
        <a:noFill/>
        <a:ln w="9525" algn="ctr">
          <a:solidFill>
            <a:srgbClr val="000000"/>
          </a:solidFill>
          <a:round/>
          <a:headEnd/>
          <a:tailEnd type="triangle" w="med" len="med"/>
        </a:ln>
      </xdr:spPr>
    </xdr:cxnSp>
    <xdr:clientData/>
  </xdr:twoCellAnchor>
  <xdr:twoCellAnchor>
    <xdr:from>
      <xdr:col>8</xdr:col>
      <xdr:colOff>666750</xdr:colOff>
      <xdr:row>20</xdr:row>
      <xdr:rowOff>161925</xdr:rowOff>
    </xdr:from>
    <xdr:to>
      <xdr:col>8</xdr:col>
      <xdr:colOff>676275</xdr:colOff>
      <xdr:row>22</xdr:row>
      <xdr:rowOff>76200</xdr:rowOff>
    </xdr:to>
    <xdr:cxnSp macro="">
      <xdr:nvCxnSpPr>
        <xdr:cNvPr id="3551794" name="Shape 233">
          <a:extLst>
            <a:ext uri="{FF2B5EF4-FFF2-40B4-BE49-F238E27FC236}">
              <a16:creationId xmlns:a16="http://schemas.microsoft.com/office/drawing/2014/main" xmlns="" id="{00000000-0008-0000-0400-000032323600}"/>
            </a:ext>
          </a:extLst>
        </xdr:cNvPr>
        <xdr:cNvCxnSpPr>
          <a:cxnSpLocks noChangeShapeType="1"/>
          <a:stCxn id="158" idx="0"/>
          <a:endCxn id="155" idx="2"/>
        </xdr:cNvCxnSpPr>
      </xdr:nvCxnSpPr>
      <xdr:spPr bwMode="auto">
        <a:xfrm rot="5400000" flipH="1" flipV="1">
          <a:off x="14068425" y="3533775"/>
          <a:ext cx="238125" cy="9525"/>
        </a:xfrm>
        <a:prstGeom prst="curvedConnector3">
          <a:avLst>
            <a:gd name="adj1" fmla="val 50000"/>
          </a:avLst>
        </a:prstGeom>
        <a:noFill/>
        <a:ln w="9525" algn="ctr">
          <a:solidFill>
            <a:srgbClr val="000000"/>
          </a:solidFill>
          <a:round/>
          <a:headEnd/>
          <a:tailEnd type="triangle" w="med" len="med"/>
        </a:ln>
      </xdr:spPr>
    </xdr:cxnSp>
    <xdr:clientData/>
  </xdr:twoCellAnchor>
  <xdr:twoCellAnchor>
    <xdr:from>
      <xdr:col>6</xdr:col>
      <xdr:colOff>1266825</xdr:colOff>
      <xdr:row>7</xdr:row>
      <xdr:rowOff>66675</xdr:rowOff>
    </xdr:from>
    <xdr:to>
      <xdr:col>7</xdr:col>
      <xdr:colOff>1400175</xdr:colOff>
      <xdr:row>15</xdr:row>
      <xdr:rowOff>38100</xdr:rowOff>
    </xdr:to>
    <xdr:cxnSp macro="">
      <xdr:nvCxnSpPr>
        <xdr:cNvPr id="3551795" name="Straight Connector 325">
          <a:extLst>
            <a:ext uri="{FF2B5EF4-FFF2-40B4-BE49-F238E27FC236}">
              <a16:creationId xmlns:a16="http://schemas.microsoft.com/office/drawing/2014/main" xmlns="" id="{00000000-0008-0000-0400-000033323600}"/>
            </a:ext>
          </a:extLst>
        </xdr:cNvPr>
        <xdr:cNvCxnSpPr>
          <a:cxnSpLocks noChangeShapeType="1"/>
          <a:stCxn id="161" idx="1"/>
          <a:endCxn id="154" idx="3"/>
        </xdr:cNvCxnSpPr>
      </xdr:nvCxnSpPr>
      <xdr:spPr bwMode="auto">
        <a:xfrm rot="10800000">
          <a:off x="11887200" y="1219200"/>
          <a:ext cx="1581150" cy="1266825"/>
        </a:xfrm>
        <a:prstGeom prst="line">
          <a:avLst/>
        </a:prstGeom>
        <a:noFill/>
        <a:ln w="9525" algn="ctr">
          <a:solidFill>
            <a:srgbClr val="000000"/>
          </a:solidFill>
          <a:round/>
          <a:headEnd/>
          <a:tailEnd type="triangle" w="med" len="med"/>
        </a:ln>
      </xdr:spPr>
    </xdr:cxnSp>
    <xdr:clientData/>
  </xdr:twoCellAnchor>
  <xdr:twoCellAnchor>
    <xdr:from>
      <xdr:col>4</xdr:col>
      <xdr:colOff>1428750</xdr:colOff>
      <xdr:row>2</xdr:row>
      <xdr:rowOff>66675</xdr:rowOff>
    </xdr:from>
    <xdr:to>
      <xdr:col>5</xdr:col>
      <xdr:colOff>1304925</xdr:colOff>
      <xdr:row>7</xdr:row>
      <xdr:rowOff>66675</xdr:rowOff>
    </xdr:to>
    <xdr:cxnSp macro="">
      <xdr:nvCxnSpPr>
        <xdr:cNvPr id="3551796" name="Straight Connector 197">
          <a:extLst>
            <a:ext uri="{FF2B5EF4-FFF2-40B4-BE49-F238E27FC236}">
              <a16:creationId xmlns:a16="http://schemas.microsoft.com/office/drawing/2014/main" xmlns="" id="{00000000-0008-0000-0400-000034323600}"/>
            </a:ext>
          </a:extLst>
        </xdr:cNvPr>
        <xdr:cNvCxnSpPr>
          <a:cxnSpLocks noChangeShapeType="1"/>
          <a:stCxn id="154" idx="1"/>
        </xdr:cNvCxnSpPr>
      </xdr:nvCxnSpPr>
      <xdr:spPr bwMode="auto">
        <a:xfrm rot="10800000">
          <a:off x="9153525" y="409575"/>
          <a:ext cx="1323975" cy="809625"/>
        </a:xfrm>
        <a:prstGeom prst="line">
          <a:avLst/>
        </a:prstGeom>
        <a:noFill/>
        <a:ln w="9525" algn="ctr">
          <a:solidFill>
            <a:srgbClr val="000000"/>
          </a:solidFill>
          <a:round/>
          <a:headEnd/>
          <a:tailEnd type="triangle" w="med" len="med"/>
        </a:ln>
      </xdr:spPr>
    </xdr:cxnSp>
    <xdr:clientData/>
  </xdr:twoCellAnchor>
  <xdr:twoCellAnchor>
    <xdr:from>
      <xdr:col>5</xdr:col>
      <xdr:colOff>0</xdr:colOff>
      <xdr:row>3</xdr:row>
      <xdr:rowOff>123825</xdr:rowOff>
    </xdr:from>
    <xdr:to>
      <xdr:col>5</xdr:col>
      <xdr:colOff>1428750</xdr:colOff>
      <xdr:row>32</xdr:row>
      <xdr:rowOff>85725</xdr:rowOff>
    </xdr:to>
    <xdr:cxnSp macro="">
      <xdr:nvCxnSpPr>
        <xdr:cNvPr id="3551797" name="Straight Connector 241">
          <a:extLst>
            <a:ext uri="{FF2B5EF4-FFF2-40B4-BE49-F238E27FC236}">
              <a16:creationId xmlns:a16="http://schemas.microsoft.com/office/drawing/2014/main" xmlns="" id="{00000000-0008-0000-0400-000035323600}"/>
            </a:ext>
          </a:extLst>
        </xdr:cNvPr>
        <xdr:cNvCxnSpPr>
          <a:cxnSpLocks noChangeShapeType="1"/>
          <a:stCxn id="166" idx="1"/>
        </xdr:cNvCxnSpPr>
      </xdr:nvCxnSpPr>
      <xdr:spPr bwMode="auto">
        <a:xfrm rot="10800000">
          <a:off x="9172575" y="628650"/>
          <a:ext cx="1428750" cy="4657725"/>
        </a:xfrm>
        <a:prstGeom prst="line">
          <a:avLst/>
        </a:prstGeom>
        <a:noFill/>
        <a:ln w="9525" algn="ctr">
          <a:solidFill>
            <a:srgbClr val="000000"/>
          </a:solidFill>
          <a:round/>
          <a:headEnd/>
          <a:tailEnd type="triangle" w="med" len="med"/>
        </a:ln>
      </xdr:spPr>
    </xdr:cxnSp>
    <xdr:clientData/>
  </xdr:twoCellAnchor>
  <xdr:twoCellAnchor>
    <xdr:from>
      <xdr:col>8</xdr:col>
      <xdr:colOff>10295</xdr:colOff>
      <xdr:row>9</xdr:row>
      <xdr:rowOff>112939</xdr:rowOff>
    </xdr:from>
    <xdr:to>
      <xdr:col>8</xdr:col>
      <xdr:colOff>1418471</xdr:colOff>
      <xdr:row>12</xdr:row>
      <xdr:rowOff>130084</xdr:rowOff>
    </xdr:to>
    <xdr:sp macro="" textlink="">
      <xdr:nvSpPr>
        <xdr:cNvPr id="143" name="AutoShape 23">
          <a:hlinkClick xmlns:r="http://schemas.openxmlformats.org/officeDocument/2006/relationships" r:id="rId2" tooltip="Go to feed_demand_n"/>
          <a:extLst>
            <a:ext uri="{FF2B5EF4-FFF2-40B4-BE49-F238E27FC236}">
              <a16:creationId xmlns:a16="http://schemas.microsoft.com/office/drawing/2014/main" xmlns="" id="{00000000-0008-0000-0400-00008F000000}"/>
            </a:ext>
          </a:extLst>
        </xdr:cNvPr>
        <xdr:cNvSpPr>
          <a:spLocks noChangeArrowheads="1"/>
        </xdr:cNvSpPr>
      </xdr:nvSpPr>
      <xdr:spPr bwMode="auto">
        <a:xfrm>
          <a:off x="13526270" y="1589314"/>
          <a:ext cx="1408176" cy="502920"/>
        </a:xfrm>
        <a:prstGeom prst="roundRect">
          <a:avLst>
            <a:gd name="adj" fmla="val 16667"/>
          </a:avLst>
        </a:prstGeom>
        <a:solidFill>
          <a:srgbClr val="FFE499"/>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feed_demand_n</a:t>
          </a:r>
        </a:p>
      </xdr:txBody>
    </xdr:sp>
    <xdr:clientData/>
  </xdr:twoCellAnchor>
  <xdr:twoCellAnchor>
    <xdr:from>
      <xdr:col>10</xdr:col>
      <xdr:colOff>1430</xdr:colOff>
      <xdr:row>5</xdr:row>
      <xdr:rowOff>92752</xdr:rowOff>
    </xdr:from>
    <xdr:to>
      <xdr:col>10</xdr:col>
      <xdr:colOff>1409606</xdr:colOff>
      <xdr:row>8</xdr:row>
      <xdr:rowOff>109897</xdr:rowOff>
    </xdr:to>
    <xdr:sp macro="" textlink="">
      <xdr:nvSpPr>
        <xdr:cNvPr id="144" name="AutoShape 27">
          <a:hlinkClick xmlns:r="http://schemas.openxmlformats.org/officeDocument/2006/relationships" r:id="rId3" tooltip="Go to resourcestat_livestock_n"/>
          <a:extLst>
            <a:ext uri="{FF2B5EF4-FFF2-40B4-BE49-F238E27FC236}">
              <a16:creationId xmlns:a16="http://schemas.microsoft.com/office/drawing/2014/main" xmlns="" id="{00000000-0008-0000-0400-000090000000}"/>
            </a:ext>
          </a:extLst>
        </xdr:cNvPr>
        <xdr:cNvSpPr>
          <a:spLocks noChangeArrowheads="1"/>
        </xdr:cNvSpPr>
      </xdr:nvSpPr>
      <xdr:spPr bwMode="auto">
        <a:xfrm>
          <a:off x="16413005" y="921427"/>
          <a:ext cx="1408176" cy="502920"/>
        </a:xfrm>
        <a:prstGeom prst="roundRect">
          <a:avLst>
            <a:gd name="adj" fmla="val 16667"/>
          </a:avLst>
        </a:prstGeom>
        <a:solidFill>
          <a:srgbClr val="FFE499"/>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resourcestat_</a:t>
          </a:r>
        </a:p>
        <a:p>
          <a:r>
            <a:rPr lang="en-US" sz="1000"/>
            <a:t>livestock_n</a:t>
          </a:r>
        </a:p>
      </xdr:txBody>
    </xdr:sp>
    <xdr:clientData/>
  </xdr:twoCellAnchor>
  <xdr:twoCellAnchor>
    <xdr:from>
      <xdr:col>6</xdr:col>
      <xdr:colOff>1266825</xdr:colOff>
      <xdr:row>7</xdr:row>
      <xdr:rowOff>66675</xdr:rowOff>
    </xdr:from>
    <xdr:to>
      <xdr:col>7</xdr:col>
      <xdr:colOff>1447800</xdr:colOff>
      <xdr:row>27</xdr:row>
      <xdr:rowOff>161925</xdr:rowOff>
    </xdr:to>
    <xdr:cxnSp macro="">
      <xdr:nvCxnSpPr>
        <xdr:cNvPr id="3551800" name="Straight Connector 321">
          <a:extLst>
            <a:ext uri="{FF2B5EF4-FFF2-40B4-BE49-F238E27FC236}">
              <a16:creationId xmlns:a16="http://schemas.microsoft.com/office/drawing/2014/main" xmlns="" id="{00000000-0008-0000-0400-000038323600}"/>
            </a:ext>
          </a:extLst>
        </xdr:cNvPr>
        <xdr:cNvCxnSpPr>
          <a:cxnSpLocks noChangeShapeType="1"/>
          <a:stCxn id="156" idx="1"/>
          <a:endCxn id="154" idx="3"/>
        </xdr:cNvCxnSpPr>
      </xdr:nvCxnSpPr>
      <xdr:spPr bwMode="auto">
        <a:xfrm rot="10800000">
          <a:off x="11887200" y="1219200"/>
          <a:ext cx="1628775" cy="3333750"/>
        </a:xfrm>
        <a:prstGeom prst="line">
          <a:avLst/>
        </a:prstGeom>
        <a:noFill/>
        <a:ln w="9525" algn="ctr">
          <a:solidFill>
            <a:srgbClr val="000000"/>
          </a:solidFill>
          <a:round/>
          <a:headEnd/>
          <a:tailEnd type="triangle" w="med" len="med"/>
        </a:ln>
      </xdr:spPr>
    </xdr:cxnSp>
    <xdr:clientData/>
  </xdr:twoCellAnchor>
  <xdr:twoCellAnchor>
    <xdr:from>
      <xdr:col>6</xdr:col>
      <xdr:colOff>1266825</xdr:colOff>
      <xdr:row>7</xdr:row>
      <xdr:rowOff>66675</xdr:rowOff>
    </xdr:from>
    <xdr:to>
      <xdr:col>8</xdr:col>
      <xdr:colOff>9525</xdr:colOff>
      <xdr:row>11</xdr:row>
      <xdr:rowOff>38100</xdr:rowOff>
    </xdr:to>
    <xdr:cxnSp macro="">
      <xdr:nvCxnSpPr>
        <xdr:cNvPr id="3551801" name="Straight Connector 322">
          <a:extLst>
            <a:ext uri="{FF2B5EF4-FFF2-40B4-BE49-F238E27FC236}">
              <a16:creationId xmlns:a16="http://schemas.microsoft.com/office/drawing/2014/main" xmlns="" id="{00000000-0008-0000-0400-000039323600}"/>
            </a:ext>
          </a:extLst>
        </xdr:cNvPr>
        <xdr:cNvCxnSpPr>
          <a:cxnSpLocks noChangeShapeType="1"/>
          <a:stCxn id="143" idx="1"/>
          <a:endCxn id="154" idx="3"/>
        </xdr:cNvCxnSpPr>
      </xdr:nvCxnSpPr>
      <xdr:spPr bwMode="auto">
        <a:xfrm rot="10800000">
          <a:off x="11887200" y="1219200"/>
          <a:ext cx="1638300" cy="619125"/>
        </a:xfrm>
        <a:prstGeom prst="line">
          <a:avLst/>
        </a:prstGeom>
        <a:noFill/>
        <a:ln w="9525" algn="ctr">
          <a:solidFill>
            <a:srgbClr val="000000"/>
          </a:solidFill>
          <a:round/>
          <a:headEnd/>
          <a:tailEnd type="triangle" w="med" len="med"/>
        </a:ln>
      </xdr:spPr>
    </xdr:cxnSp>
    <xdr:clientData/>
  </xdr:twoCellAnchor>
  <xdr:twoCellAnchor>
    <xdr:from>
      <xdr:col>10</xdr:col>
      <xdr:colOff>20693</xdr:colOff>
      <xdr:row>9</xdr:row>
      <xdr:rowOff>77113</xdr:rowOff>
    </xdr:from>
    <xdr:to>
      <xdr:col>10</xdr:col>
      <xdr:colOff>1428869</xdr:colOff>
      <xdr:row>12</xdr:row>
      <xdr:rowOff>94258</xdr:rowOff>
    </xdr:to>
    <xdr:sp macro="" textlink="">
      <xdr:nvSpPr>
        <xdr:cNvPr id="147" name="AutoShape 15">
          <a:hlinkClick xmlns:r="http://schemas.openxmlformats.org/officeDocument/2006/relationships" r:id="rId4" tooltip="Go to feed_mix_w"/>
          <a:extLst>
            <a:ext uri="{FF2B5EF4-FFF2-40B4-BE49-F238E27FC236}">
              <a16:creationId xmlns:a16="http://schemas.microsoft.com/office/drawing/2014/main" xmlns="" id="{00000000-0008-0000-0400-000093000000}"/>
            </a:ext>
          </a:extLst>
        </xdr:cNvPr>
        <xdr:cNvSpPr>
          <a:spLocks noChangeArrowheads="1"/>
        </xdr:cNvSpPr>
      </xdr:nvSpPr>
      <xdr:spPr bwMode="auto">
        <a:xfrm>
          <a:off x="16432268" y="1553488"/>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feed_mix_w</a:t>
          </a:r>
        </a:p>
      </xdr:txBody>
    </xdr:sp>
    <xdr:clientData/>
  </xdr:twoCellAnchor>
  <xdr:twoCellAnchor>
    <xdr:from>
      <xdr:col>8</xdr:col>
      <xdr:colOff>1419225</xdr:colOff>
      <xdr:row>11</xdr:row>
      <xdr:rowOff>0</xdr:rowOff>
    </xdr:from>
    <xdr:to>
      <xdr:col>10</xdr:col>
      <xdr:colOff>19050</xdr:colOff>
      <xdr:row>11</xdr:row>
      <xdr:rowOff>38100</xdr:rowOff>
    </xdr:to>
    <xdr:cxnSp macro="">
      <xdr:nvCxnSpPr>
        <xdr:cNvPr id="3551803" name="Straight Connector 325">
          <a:extLst>
            <a:ext uri="{FF2B5EF4-FFF2-40B4-BE49-F238E27FC236}">
              <a16:creationId xmlns:a16="http://schemas.microsoft.com/office/drawing/2014/main" xmlns="" id="{00000000-0008-0000-0400-00003B323600}"/>
            </a:ext>
          </a:extLst>
        </xdr:cNvPr>
        <xdr:cNvCxnSpPr>
          <a:cxnSpLocks noChangeShapeType="1"/>
          <a:stCxn id="147" idx="1"/>
          <a:endCxn id="143" idx="3"/>
        </xdr:cNvCxnSpPr>
      </xdr:nvCxnSpPr>
      <xdr:spPr bwMode="auto">
        <a:xfrm rot="10800000" flipV="1">
          <a:off x="14935200" y="1800225"/>
          <a:ext cx="1495425" cy="38100"/>
        </a:xfrm>
        <a:prstGeom prst="line">
          <a:avLst/>
        </a:prstGeom>
        <a:noFill/>
        <a:ln w="9525" algn="ctr">
          <a:solidFill>
            <a:srgbClr val="000000"/>
          </a:solidFill>
          <a:round/>
          <a:headEnd/>
          <a:tailEnd type="triangle" w="med" len="med"/>
        </a:ln>
      </xdr:spPr>
    </xdr:cxnSp>
    <xdr:clientData/>
  </xdr:twoCellAnchor>
  <xdr:twoCellAnchor>
    <xdr:from>
      <xdr:col>8</xdr:col>
      <xdr:colOff>1381125</xdr:colOff>
      <xdr:row>19</xdr:row>
      <xdr:rowOff>66675</xdr:rowOff>
    </xdr:from>
    <xdr:to>
      <xdr:col>10</xdr:col>
      <xdr:colOff>9525</xdr:colOff>
      <xdr:row>30</xdr:row>
      <xdr:rowOff>76200</xdr:rowOff>
    </xdr:to>
    <xdr:cxnSp macro="">
      <xdr:nvCxnSpPr>
        <xdr:cNvPr id="3551804" name="Straight Connector 326">
          <a:extLst>
            <a:ext uri="{FF2B5EF4-FFF2-40B4-BE49-F238E27FC236}">
              <a16:creationId xmlns:a16="http://schemas.microsoft.com/office/drawing/2014/main" xmlns="" id="{00000000-0008-0000-0400-00003C323600}"/>
            </a:ext>
          </a:extLst>
        </xdr:cNvPr>
        <xdr:cNvCxnSpPr>
          <a:cxnSpLocks noChangeShapeType="1"/>
          <a:endCxn id="155" idx="3"/>
        </xdr:cNvCxnSpPr>
      </xdr:nvCxnSpPr>
      <xdr:spPr bwMode="auto">
        <a:xfrm rot="16200000" flipV="1">
          <a:off x="14763750" y="3295650"/>
          <a:ext cx="1790700" cy="1524000"/>
        </a:xfrm>
        <a:prstGeom prst="line">
          <a:avLst/>
        </a:prstGeom>
        <a:noFill/>
        <a:ln w="9525" algn="ctr">
          <a:solidFill>
            <a:srgbClr val="000000"/>
          </a:solidFill>
          <a:round/>
          <a:headEnd/>
          <a:tailEnd type="triangle" w="med" len="med"/>
        </a:ln>
      </xdr:spPr>
    </xdr:cxnSp>
    <xdr:clientData/>
  </xdr:twoCellAnchor>
  <xdr:twoCellAnchor>
    <xdr:from>
      <xdr:col>6</xdr:col>
      <xdr:colOff>1390650</xdr:colOff>
      <xdr:row>20</xdr:row>
      <xdr:rowOff>57151</xdr:rowOff>
    </xdr:from>
    <xdr:to>
      <xdr:col>7</xdr:col>
      <xdr:colOff>1419225</xdr:colOff>
      <xdr:row>31</xdr:row>
      <xdr:rowOff>0</xdr:rowOff>
    </xdr:to>
    <xdr:cxnSp macro="">
      <xdr:nvCxnSpPr>
        <xdr:cNvPr id="3551805" name="Straight Connector 327">
          <a:extLst>
            <a:ext uri="{FF2B5EF4-FFF2-40B4-BE49-F238E27FC236}">
              <a16:creationId xmlns:a16="http://schemas.microsoft.com/office/drawing/2014/main" xmlns="" id="{00000000-0008-0000-0400-00003D323600}"/>
            </a:ext>
          </a:extLst>
        </xdr:cNvPr>
        <xdr:cNvCxnSpPr>
          <a:cxnSpLocks noChangeShapeType="1"/>
        </xdr:cNvCxnSpPr>
      </xdr:nvCxnSpPr>
      <xdr:spPr bwMode="auto">
        <a:xfrm flipV="1">
          <a:off x="12011025" y="3314701"/>
          <a:ext cx="1476375" cy="1724024"/>
        </a:xfrm>
        <a:prstGeom prst="line">
          <a:avLst/>
        </a:prstGeom>
        <a:noFill/>
        <a:ln w="9525" algn="ctr">
          <a:solidFill>
            <a:srgbClr val="000000"/>
          </a:solidFill>
          <a:round/>
          <a:headEnd/>
          <a:tailEnd type="triangle" w="med" len="med"/>
        </a:ln>
      </xdr:spPr>
    </xdr:cxnSp>
    <xdr:clientData/>
  </xdr:twoCellAnchor>
  <xdr:twoCellAnchor>
    <xdr:from>
      <xdr:col>8</xdr:col>
      <xdr:colOff>1381125</xdr:colOff>
      <xdr:row>19</xdr:row>
      <xdr:rowOff>66675</xdr:rowOff>
    </xdr:from>
    <xdr:to>
      <xdr:col>10</xdr:col>
      <xdr:colOff>9525</xdr:colOff>
      <xdr:row>22</xdr:row>
      <xdr:rowOff>142875</xdr:rowOff>
    </xdr:to>
    <xdr:cxnSp macro="">
      <xdr:nvCxnSpPr>
        <xdr:cNvPr id="3551806" name="Straight Connector 329">
          <a:extLst>
            <a:ext uri="{FF2B5EF4-FFF2-40B4-BE49-F238E27FC236}">
              <a16:creationId xmlns:a16="http://schemas.microsoft.com/office/drawing/2014/main" xmlns="" id="{00000000-0008-0000-0400-00003E323600}"/>
            </a:ext>
          </a:extLst>
        </xdr:cNvPr>
        <xdr:cNvCxnSpPr>
          <a:cxnSpLocks noChangeShapeType="1"/>
          <a:stCxn id="173" idx="1"/>
          <a:endCxn id="155" idx="3"/>
        </xdr:cNvCxnSpPr>
      </xdr:nvCxnSpPr>
      <xdr:spPr bwMode="auto">
        <a:xfrm rot="10800000">
          <a:off x="14897100" y="3162300"/>
          <a:ext cx="1524000" cy="561975"/>
        </a:xfrm>
        <a:prstGeom prst="line">
          <a:avLst/>
        </a:prstGeom>
        <a:noFill/>
        <a:ln w="9525" algn="ctr">
          <a:solidFill>
            <a:srgbClr val="000000"/>
          </a:solidFill>
          <a:round/>
          <a:headEnd/>
          <a:tailEnd type="triangle" w="med" len="med"/>
        </a:ln>
      </xdr:spPr>
    </xdr:cxnSp>
    <xdr:clientData/>
  </xdr:twoCellAnchor>
  <xdr:twoCellAnchor>
    <xdr:from>
      <xdr:col>8</xdr:col>
      <xdr:colOff>1419225</xdr:colOff>
      <xdr:row>7</xdr:row>
      <xdr:rowOff>19050</xdr:rowOff>
    </xdr:from>
    <xdr:to>
      <xdr:col>10</xdr:col>
      <xdr:colOff>0</xdr:colOff>
      <xdr:row>11</xdr:row>
      <xdr:rowOff>38100</xdr:rowOff>
    </xdr:to>
    <xdr:cxnSp macro="">
      <xdr:nvCxnSpPr>
        <xdr:cNvPr id="3551807" name="Straight Connector 331">
          <a:extLst>
            <a:ext uri="{FF2B5EF4-FFF2-40B4-BE49-F238E27FC236}">
              <a16:creationId xmlns:a16="http://schemas.microsoft.com/office/drawing/2014/main" xmlns="" id="{00000000-0008-0000-0400-00003F323600}"/>
            </a:ext>
          </a:extLst>
        </xdr:cNvPr>
        <xdr:cNvCxnSpPr>
          <a:cxnSpLocks noChangeShapeType="1"/>
          <a:stCxn id="144" idx="1"/>
          <a:endCxn id="143" idx="3"/>
        </xdr:cNvCxnSpPr>
      </xdr:nvCxnSpPr>
      <xdr:spPr bwMode="auto">
        <a:xfrm rot="10800000" flipV="1">
          <a:off x="14935200" y="1171575"/>
          <a:ext cx="1476375" cy="666750"/>
        </a:xfrm>
        <a:prstGeom prst="line">
          <a:avLst/>
        </a:prstGeom>
        <a:noFill/>
        <a:ln w="9525" algn="ctr">
          <a:solidFill>
            <a:srgbClr val="000000"/>
          </a:solidFill>
          <a:round/>
          <a:headEnd/>
          <a:tailEnd type="triangle" w="med" len="med"/>
        </a:ln>
      </xdr:spPr>
    </xdr:cxnSp>
    <xdr:clientData/>
  </xdr:twoCellAnchor>
  <xdr:twoCellAnchor>
    <xdr:from>
      <xdr:col>5</xdr:col>
      <xdr:colOff>1306287</xdr:colOff>
      <xdr:row>5</xdr:row>
      <xdr:rowOff>142875</xdr:rowOff>
    </xdr:from>
    <xdr:to>
      <xdr:col>6</xdr:col>
      <xdr:colOff>1266663</xdr:colOff>
      <xdr:row>8</xdr:row>
      <xdr:rowOff>160020</xdr:rowOff>
    </xdr:to>
    <xdr:sp macro="" textlink="">
      <xdr:nvSpPr>
        <xdr:cNvPr id="154" name="AutoShape 19">
          <a:hlinkClick xmlns:r="http://schemas.openxmlformats.org/officeDocument/2006/relationships" r:id="rId5" tooltip="Go to livestock_feed_balance"/>
          <a:extLst>
            <a:ext uri="{FF2B5EF4-FFF2-40B4-BE49-F238E27FC236}">
              <a16:creationId xmlns:a16="http://schemas.microsoft.com/office/drawing/2014/main" xmlns="" id="{00000000-0008-0000-0400-00009A000000}"/>
            </a:ext>
          </a:extLst>
        </xdr:cNvPr>
        <xdr:cNvSpPr>
          <a:spLocks noChangeArrowheads="1"/>
        </xdr:cNvSpPr>
      </xdr:nvSpPr>
      <xdr:spPr bwMode="auto">
        <a:xfrm>
          <a:off x="10478862" y="971550"/>
          <a:ext cx="1408176" cy="502920"/>
        </a:xfrm>
        <a:prstGeom prst="roundRect">
          <a:avLst>
            <a:gd name="adj" fmla="val 16667"/>
          </a:avLst>
        </a:prstGeom>
        <a:solidFill>
          <a:srgbClr val="FFE499"/>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kern="1200">
              <a:solidFill>
                <a:schemeClr val="tx1"/>
              </a:solidFill>
              <a:latin typeface="Arial" charset="0"/>
              <a:ea typeface="+mn-ea"/>
              <a:cs typeface="+mn-cs"/>
            </a:rPr>
            <a:t>livestock_feed_balance</a:t>
          </a:r>
        </a:p>
      </xdr:txBody>
    </xdr:sp>
    <xdr:clientData/>
  </xdr:twoCellAnchor>
  <xdr:twoCellAnchor>
    <xdr:from>
      <xdr:col>7</xdr:col>
      <xdr:colOff>1423767</xdr:colOff>
      <xdr:row>17</xdr:row>
      <xdr:rowOff>142456</xdr:rowOff>
    </xdr:from>
    <xdr:to>
      <xdr:col>8</xdr:col>
      <xdr:colOff>1384143</xdr:colOff>
      <xdr:row>20</xdr:row>
      <xdr:rowOff>159601</xdr:rowOff>
    </xdr:to>
    <xdr:sp macro="" textlink="">
      <xdr:nvSpPr>
        <xdr:cNvPr id="155" name="AutoShape 22">
          <a:hlinkClick xmlns:r="http://schemas.openxmlformats.org/officeDocument/2006/relationships" r:id="rId6" tooltip="Go to grass_supply_n"/>
          <a:extLst>
            <a:ext uri="{FF2B5EF4-FFF2-40B4-BE49-F238E27FC236}">
              <a16:creationId xmlns:a16="http://schemas.microsoft.com/office/drawing/2014/main" xmlns="" id="{00000000-0008-0000-0400-00009B000000}"/>
            </a:ext>
          </a:extLst>
        </xdr:cNvPr>
        <xdr:cNvSpPr>
          <a:spLocks noChangeArrowheads="1"/>
        </xdr:cNvSpPr>
      </xdr:nvSpPr>
      <xdr:spPr bwMode="auto">
        <a:xfrm>
          <a:off x="13491942" y="2914231"/>
          <a:ext cx="1408176" cy="502920"/>
        </a:xfrm>
        <a:prstGeom prst="roundRect">
          <a:avLst>
            <a:gd name="adj" fmla="val 16667"/>
          </a:avLst>
        </a:prstGeom>
        <a:solidFill>
          <a:srgbClr val="FFE499"/>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grass_supply_n</a:t>
          </a:r>
        </a:p>
      </xdr:txBody>
    </xdr:sp>
    <xdr:clientData/>
  </xdr:twoCellAnchor>
  <xdr:twoCellAnchor>
    <xdr:from>
      <xdr:col>7</xdr:col>
      <xdr:colOff>1443693</xdr:colOff>
      <xdr:row>26</xdr:row>
      <xdr:rowOff>71010</xdr:rowOff>
    </xdr:from>
    <xdr:to>
      <xdr:col>8</xdr:col>
      <xdr:colOff>1404069</xdr:colOff>
      <xdr:row>29</xdr:row>
      <xdr:rowOff>88155</xdr:rowOff>
    </xdr:to>
    <xdr:sp macro="" textlink="">
      <xdr:nvSpPr>
        <xdr:cNvPr id="156" name="AutoShape 25">
          <a:hlinkClick xmlns:r="http://schemas.openxmlformats.org/officeDocument/2006/relationships" r:id="rId7" tooltip="Go to residue_supply_n"/>
          <a:extLst>
            <a:ext uri="{FF2B5EF4-FFF2-40B4-BE49-F238E27FC236}">
              <a16:creationId xmlns:a16="http://schemas.microsoft.com/office/drawing/2014/main" xmlns="" id="{00000000-0008-0000-0400-00009C000000}"/>
            </a:ext>
          </a:extLst>
        </xdr:cNvPr>
        <xdr:cNvSpPr>
          <a:spLocks noChangeArrowheads="1"/>
        </xdr:cNvSpPr>
      </xdr:nvSpPr>
      <xdr:spPr bwMode="auto">
        <a:xfrm>
          <a:off x="13511868" y="4300110"/>
          <a:ext cx="1408176" cy="502920"/>
        </a:xfrm>
        <a:prstGeom prst="roundRect">
          <a:avLst>
            <a:gd name="adj" fmla="val 16667"/>
          </a:avLst>
        </a:prstGeom>
        <a:solidFill>
          <a:srgbClr val="FFE499"/>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residue_supply_n</a:t>
          </a:r>
        </a:p>
      </xdr:txBody>
    </xdr:sp>
    <xdr:clientData/>
  </xdr:twoCellAnchor>
  <xdr:twoCellAnchor>
    <xdr:from>
      <xdr:col>7</xdr:col>
      <xdr:colOff>1412421</xdr:colOff>
      <xdr:row>22</xdr:row>
      <xdr:rowOff>78471</xdr:rowOff>
    </xdr:from>
    <xdr:to>
      <xdr:col>8</xdr:col>
      <xdr:colOff>1372797</xdr:colOff>
      <xdr:row>25</xdr:row>
      <xdr:rowOff>95616</xdr:rowOff>
    </xdr:to>
    <xdr:sp macro="" textlink="">
      <xdr:nvSpPr>
        <xdr:cNvPr id="158" name="AutoShape 42">
          <a:hlinkClick xmlns:r="http://schemas.openxmlformats.org/officeDocument/2006/relationships" r:id="rId8" tooltip="Go to crop_efp"/>
          <a:extLst>
            <a:ext uri="{FF2B5EF4-FFF2-40B4-BE49-F238E27FC236}">
              <a16:creationId xmlns:a16="http://schemas.microsoft.com/office/drawing/2014/main" xmlns="" id="{00000000-0008-0000-0400-00009E000000}"/>
            </a:ext>
          </a:extLst>
        </xdr:cNvPr>
        <xdr:cNvSpPr>
          <a:spLocks noChangeArrowheads="1"/>
        </xdr:cNvSpPr>
      </xdr:nvSpPr>
      <xdr:spPr bwMode="auto">
        <a:xfrm>
          <a:off x="13480596" y="3659871"/>
          <a:ext cx="1408176" cy="502920"/>
        </a:xfrm>
        <a:prstGeom prst="roundRect">
          <a:avLst>
            <a:gd name="adj" fmla="val 16667"/>
          </a:avLst>
        </a:prstGeom>
        <a:solidFill>
          <a:schemeClr val="accent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crop_efp</a:t>
          </a:r>
        </a:p>
      </xdr:txBody>
    </xdr:sp>
    <xdr:clientData/>
  </xdr:twoCellAnchor>
  <xdr:twoCellAnchor>
    <xdr:from>
      <xdr:col>8</xdr:col>
      <xdr:colOff>23901</xdr:colOff>
      <xdr:row>5</xdr:row>
      <xdr:rowOff>107734</xdr:rowOff>
    </xdr:from>
    <xdr:to>
      <xdr:col>8</xdr:col>
      <xdr:colOff>1432077</xdr:colOff>
      <xdr:row>8</xdr:row>
      <xdr:rowOff>124879</xdr:rowOff>
    </xdr:to>
    <xdr:sp macro="" textlink="">
      <xdr:nvSpPr>
        <xdr:cNvPr id="160" name="AutoShape 14">
          <a:hlinkClick xmlns:r="http://schemas.openxmlformats.org/officeDocument/2006/relationships" r:id="rId9" tooltip="Go to feed_intensity_w"/>
          <a:extLst>
            <a:ext uri="{FF2B5EF4-FFF2-40B4-BE49-F238E27FC236}">
              <a16:creationId xmlns:a16="http://schemas.microsoft.com/office/drawing/2014/main" xmlns="" id="{00000000-0008-0000-0400-0000A0000000}"/>
            </a:ext>
          </a:extLst>
        </xdr:cNvPr>
        <xdr:cNvSpPr>
          <a:spLocks noChangeArrowheads="1"/>
        </xdr:cNvSpPr>
      </xdr:nvSpPr>
      <xdr:spPr bwMode="auto">
        <a:xfrm>
          <a:off x="13539876" y="936409"/>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feed_intensity_w</a:t>
          </a:r>
        </a:p>
      </xdr:txBody>
    </xdr:sp>
    <xdr:clientData/>
  </xdr:twoCellAnchor>
  <xdr:twoCellAnchor>
    <xdr:from>
      <xdr:col>7</xdr:col>
      <xdr:colOff>1396375</xdr:colOff>
      <xdr:row>13</xdr:row>
      <xdr:rowOff>111373</xdr:rowOff>
    </xdr:from>
    <xdr:to>
      <xdr:col>8</xdr:col>
      <xdr:colOff>1356751</xdr:colOff>
      <xdr:row>16</xdr:row>
      <xdr:rowOff>128518</xdr:rowOff>
    </xdr:to>
    <xdr:sp macro="" textlink="">
      <xdr:nvSpPr>
        <xdr:cNvPr id="161" name="AutoShape 26">
          <a:hlinkClick xmlns:r="http://schemas.openxmlformats.org/officeDocument/2006/relationships" r:id="rId10" tooltip="Go to market_feed_supply_n"/>
          <a:extLst>
            <a:ext uri="{FF2B5EF4-FFF2-40B4-BE49-F238E27FC236}">
              <a16:creationId xmlns:a16="http://schemas.microsoft.com/office/drawing/2014/main" xmlns="" id="{00000000-0008-0000-0400-0000A1000000}"/>
            </a:ext>
          </a:extLst>
        </xdr:cNvPr>
        <xdr:cNvSpPr>
          <a:spLocks noChangeArrowheads="1"/>
        </xdr:cNvSpPr>
      </xdr:nvSpPr>
      <xdr:spPr bwMode="auto">
        <a:xfrm>
          <a:off x="13464550" y="2235448"/>
          <a:ext cx="1408176" cy="502920"/>
        </a:xfrm>
        <a:prstGeom prst="roundRect">
          <a:avLst>
            <a:gd name="adj" fmla="val 16667"/>
          </a:avLst>
        </a:prstGeom>
        <a:solidFill>
          <a:srgbClr val="FFE499"/>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market_feed_</a:t>
          </a:r>
        </a:p>
        <a:p>
          <a:r>
            <a:rPr lang="en-US" sz="1000"/>
            <a:t>supply_n</a:t>
          </a:r>
        </a:p>
      </xdr:txBody>
    </xdr:sp>
    <xdr:clientData/>
  </xdr:twoCellAnchor>
  <xdr:twoCellAnchor>
    <xdr:from>
      <xdr:col>10</xdr:col>
      <xdr:colOff>13584</xdr:colOff>
      <xdr:row>13</xdr:row>
      <xdr:rowOff>49899</xdr:rowOff>
    </xdr:from>
    <xdr:to>
      <xdr:col>10</xdr:col>
      <xdr:colOff>1421760</xdr:colOff>
      <xdr:row>16</xdr:row>
      <xdr:rowOff>67044</xdr:rowOff>
    </xdr:to>
    <xdr:sp macro="" textlink="">
      <xdr:nvSpPr>
        <xdr:cNvPr id="162" name="AutoShape 9">
          <a:hlinkClick xmlns:r="http://schemas.openxmlformats.org/officeDocument/2006/relationships" r:id="rId11" tooltip="Go to livestock_intensity_w"/>
          <a:extLst>
            <a:ext uri="{FF2B5EF4-FFF2-40B4-BE49-F238E27FC236}">
              <a16:creationId xmlns:a16="http://schemas.microsoft.com/office/drawing/2014/main" xmlns="" id="{00000000-0008-0000-0400-0000A2000000}"/>
            </a:ext>
          </a:extLst>
        </xdr:cNvPr>
        <xdr:cNvSpPr>
          <a:spLocks noChangeArrowheads="1"/>
        </xdr:cNvSpPr>
      </xdr:nvSpPr>
      <xdr:spPr bwMode="auto">
        <a:xfrm>
          <a:off x="16425159" y="2173974"/>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livestock_</a:t>
          </a:r>
        </a:p>
        <a:p>
          <a:r>
            <a:rPr lang="en-US" sz="1000"/>
            <a:t>intensity_w</a:t>
          </a:r>
        </a:p>
      </xdr:txBody>
    </xdr:sp>
    <xdr:clientData/>
  </xdr:twoCellAnchor>
  <xdr:twoCellAnchor>
    <xdr:from>
      <xdr:col>8</xdr:col>
      <xdr:colOff>1400175</xdr:colOff>
      <xdr:row>27</xdr:row>
      <xdr:rowOff>161925</xdr:rowOff>
    </xdr:from>
    <xdr:to>
      <xdr:col>10</xdr:col>
      <xdr:colOff>28575</xdr:colOff>
      <xdr:row>30</xdr:row>
      <xdr:rowOff>123825</xdr:rowOff>
    </xdr:to>
    <xdr:cxnSp macro="">
      <xdr:nvCxnSpPr>
        <xdr:cNvPr id="3551815" name="Straight Connector 342">
          <a:extLst>
            <a:ext uri="{FF2B5EF4-FFF2-40B4-BE49-F238E27FC236}">
              <a16:creationId xmlns:a16="http://schemas.microsoft.com/office/drawing/2014/main" xmlns="" id="{00000000-0008-0000-0400-000047323600}"/>
            </a:ext>
          </a:extLst>
        </xdr:cNvPr>
        <xdr:cNvCxnSpPr>
          <a:cxnSpLocks noChangeShapeType="1"/>
          <a:stCxn id="134" idx="1"/>
          <a:endCxn id="156" idx="3"/>
        </xdr:cNvCxnSpPr>
      </xdr:nvCxnSpPr>
      <xdr:spPr bwMode="auto">
        <a:xfrm rot="10800000">
          <a:off x="14916150" y="4552950"/>
          <a:ext cx="1524000" cy="447675"/>
        </a:xfrm>
        <a:prstGeom prst="line">
          <a:avLst/>
        </a:prstGeom>
        <a:noFill/>
        <a:ln w="9525" algn="ctr">
          <a:solidFill>
            <a:srgbClr val="000000"/>
          </a:solidFill>
          <a:round/>
          <a:headEnd/>
          <a:tailEnd type="triangle" w="med" len="med"/>
        </a:ln>
      </xdr:spPr>
    </xdr:cxnSp>
    <xdr:clientData/>
  </xdr:twoCellAnchor>
  <xdr:twoCellAnchor>
    <xdr:from>
      <xdr:col>6</xdr:col>
      <xdr:colOff>561975</xdr:colOff>
      <xdr:row>4</xdr:row>
      <xdr:rowOff>47625</xdr:rowOff>
    </xdr:from>
    <xdr:to>
      <xdr:col>6</xdr:col>
      <xdr:colOff>571500</xdr:colOff>
      <xdr:row>5</xdr:row>
      <xdr:rowOff>142875</xdr:rowOff>
    </xdr:to>
    <xdr:cxnSp macro="">
      <xdr:nvCxnSpPr>
        <xdr:cNvPr id="3551816" name="Shape 233">
          <a:extLst>
            <a:ext uri="{FF2B5EF4-FFF2-40B4-BE49-F238E27FC236}">
              <a16:creationId xmlns:a16="http://schemas.microsoft.com/office/drawing/2014/main" xmlns="" id="{00000000-0008-0000-0400-000048323600}"/>
            </a:ext>
          </a:extLst>
        </xdr:cNvPr>
        <xdr:cNvCxnSpPr>
          <a:cxnSpLocks noChangeShapeType="1"/>
          <a:stCxn id="169" idx="2"/>
          <a:endCxn id="154" idx="0"/>
        </xdr:cNvCxnSpPr>
      </xdr:nvCxnSpPr>
      <xdr:spPr bwMode="auto">
        <a:xfrm rot="5400000">
          <a:off x="11058525" y="838200"/>
          <a:ext cx="257175" cy="9525"/>
        </a:xfrm>
        <a:prstGeom prst="curvedConnector3">
          <a:avLst>
            <a:gd name="adj1" fmla="val 50000"/>
          </a:avLst>
        </a:prstGeom>
        <a:noFill/>
        <a:ln w="9525" algn="ctr">
          <a:solidFill>
            <a:srgbClr val="000000"/>
          </a:solidFill>
          <a:round/>
          <a:headEnd/>
          <a:tailEnd type="triangle" w="med" len="med"/>
        </a:ln>
      </xdr:spPr>
    </xdr:cxnSp>
    <xdr:clientData/>
  </xdr:twoCellAnchor>
  <xdr:twoCellAnchor>
    <xdr:from>
      <xdr:col>6</xdr:col>
      <xdr:colOff>1266825</xdr:colOff>
      <xdr:row>7</xdr:row>
      <xdr:rowOff>38100</xdr:rowOff>
    </xdr:from>
    <xdr:to>
      <xdr:col>8</xdr:col>
      <xdr:colOff>28575</xdr:colOff>
      <xdr:row>7</xdr:row>
      <xdr:rowOff>66675</xdr:rowOff>
    </xdr:to>
    <xdr:cxnSp macro="">
      <xdr:nvCxnSpPr>
        <xdr:cNvPr id="3551817" name="Straight Connector 346">
          <a:extLst>
            <a:ext uri="{FF2B5EF4-FFF2-40B4-BE49-F238E27FC236}">
              <a16:creationId xmlns:a16="http://schemas.microsoft.com/office/drawing/2014/main" xmlns="" id="{00000000-0008-0000-0400-000049323600}"/>
            </a:ext>
          </a:extLst>
        </xdr:cNvPr>
        <xdr:cNvCxnSpPr>
          <a:cxnSpLocks noChangeShapeType="1"/>
          <a:stCxn id="160" idx="1"/>
          <a:endCxn id="154" idx="3"/>
        </xdr:cNvCxnSpPr>
      </xdr:nvCxnSpPr>
      <xdr:spPr bwMode="auto">
        <a:xfrm rot="10800000" flipV="1">
          <a:off x="11887200" y="1190625"/>
          <a:ext cx="1657350" cy="28575"/>
        </a:xfrm>
        <a:prstGeom prst="line">
          <a:avLst/>
        </a:prstGeom>
        <a:noFill/>
        <a:ln w="9525" algn="ctr">
          <a:solidFill>
            <a:srgbClr val="000000"/>
          </a:solidFill>
          <a:round/>
          <a:headEnd/>
          <a:tailEnd type="triangle" w="med" len="med"/>
        </a:ln>
      </xdr:spPr>
    </xdr:cxnSp>
    <xdr:clientData/>
  </xdr:twoCellAnchor>
  <xdr:twoCellAnchor>
    <xdr:from>
      <xdr:col>5</xdr:col>
      <xdr:colOff>1428751</xdr:colOff>
      <xdr:row>31</xdr:row>
      <xdr:rowOff>1</xdr:rowOff>
    </xdr:from>
    <xdr:to>
      <xdr:col>6</xdr:col>
      <xdr:colOff>1389127</xdr:colOff>
      <xdr:row>34</xdr:row>
      <xdr:rowOff>17146</xdr:rowOff>
    </xdr:to>
    <xdr:sp macro="" textlink="">
      <xdr:nvSpPr>
        <xdr:cNvPr id="166" name="AutoShape 5">
          <a:hlinkClick xmlns:r="http://schemas.openxmlformats.org/officeDocument/2006/relationships" r:id="rId12" tooltip="Go to livestock_efi"/>
          <a:extLst>
            <a:ext uri="{FF2B5EF4-FFF2-40B4-BE49-F238E27FC236}">
              <a16:creationId xmlns:a16="http://schemas.microsoft.com/office/drawing/2014/main" xmlns="" id="{00000000-0008-0000-0400-0000A6000000}"/>
            </a:ext>
          </a:extLst>
        </xdr:cNvPr>
        <xdr:cNvSpPr>
          <a:spLocks noChangeArrowheads="1"/>
        </xdr:cNvSpPr>
      </xdr:nvSpPr>
      <xdr:spPr bwMode="auto">
        <a:xfrm>
          <a:off x="10601326" y="5038726"/>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livestock_efi_efe</a:t>
          </a:r>
        </a:p>
      </xdr:txBody>
    </xdr:sp>
    <xdr:clientData/>
  </xdr:twoCellAnchor>
  <xdr:twoCellAnchor>
    <xdr:from>
      <xdr:col>5</xdr:col>
      <xdr:colOff>1317171</xdr:colOff>
      <xdr:row>1</xdr:row>
      <xdr:rowOff>34016</xdr:rowOff>
    </xdr:from>
    <xdr:to>
      <xdr:col>6</xdr:col>
      <xdr:colOff>1277547</xdr:colOff>
      <xdr:row>4</xdr:row>
      <xdr:rowOff>51161</xdr:rowOff>
    </xdr:to>
    <xdr:sp macro="" textlink="">
      <xdr:nvSpPr>
        <xdr:cNvPr id="169" name="AutoShape 19">
          <a:hlinkClick xmlns:r="http://schemas.openxmlformats.org/officeDocument/2006/relationships" r:id="rId13" tooltip="Go to biocap"/>
          <a:extLst>
            <a:ext uri="{FF2B5EF4-FFF2-40B4-BE49-F238E27FC236}">
              <a16:creationId xmlns:a16="http://schemas.microsoft.com/office/drawing/2014/main" xmlns="" id="{00000000-0008-0000-0400-0000A9000000}"/>
            </a:ext>
          </a:extLst>
        </xdr:cNvPr>
        <xdr:cNvSpPr>
          <a:spLocks noChangeArrowheads="1"/>
        </xdr:cNvSpPr>
      </xdr:nvSpPr>
      <xdr:spPr bwMode="auto">
        <a:xfrm>
          <a:off x="10489746" y="214991"/>
          <a:ext cx="1408176" cy="502920"/>
        </a:xfrm>
        <a:prstGeom prst="roundRect">
          <a:avLst>
            <a:gd name="adj" fmla="val 16667"/>
          </a:avLst>
        </a:prstGeom>
        <a:solidFill>
          <a:srgbClr val="230EC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rgbClr val="FF0000"/>
              </a:solidFill>
            </a:rPr>
            <a:t>biocap</a:t>
          </a:r>
        </a:p>
      </xdr:txBody>
    </xdr:sp>
    <xdr:clientData/>
  </xdr:twoCellAnchor>
  <xdr:twoCellAnchor>
    <xdr:from>
      <xdr:col>6</xdr:col>
      <xdr:colOff>561975</xdr:colOff>
      <xdr:row>8</xdr:row>
      <xdr:rowOff>161925</xdr:rowOff>
    </xdr:from>
    <xdr:to>
      <xdr:col>6</xdr:col>
      <xdr:colOff>561975</xdr:colOff>
      <xdr:row>10</xdr:row>
      <xdr:rowOff>38100</xdr:rowOff>
    </xdr:to>
    <xdr:cxnSp macro="">
      <xdr:nvCxnSpPr>
        <xdr:cNvPr id="3551822" name="Shape 233">
          <a:extLst>
            <a:ext uri="{FF2B5EF4-FFF2-40B4-BE49-F238E27FC236}">
              <a16:creationId xmlns:a16="http://schemas.microsoft.com/office/drawing/2014/main" xmlns="" id="{00000000-0008-0000-0400-00004E323600}"/>
            </a:ext>
          </a:extLst>
        </xdr:cNvPr>
        <xdr:cNvCxnSpPr>
          <a:cxnSpLocks noChangeShapeType="1"/>
          <a:stCxn id="154" idx="2"/>
          <a:endCxn id="171" idx="0"/>
        </xdr:cNvCxnSpPr>
      </xdr:nvCxnSpPr>
      <xdr:spPr bwMode="auto">
        <a:xfrm rot="5400000">
          <a:off x="11082337" y="1576388"/>
          <a:ext cx="200025" cy="0"/>
        </a:xfrm>
        <a:prstGeom prst="curvedConnector3">
          <a:avLst>
            <a:gd name="adj1" fmla="val 50000"/>
          </a:avLst>
        </a:prstGeom>
        <a:noFill/>
        <a:ln w="9525" algn="ctr">
          <a:solidFill>
            <a:srgbClr val="000000"/>
          </a:solidFill>
          <a:round/>
          <a:headEnd/>
          <a:tailEnd type="triangle" w="med" len="med"/>
        </a:ln>
      </xdr:spPr>
    </xdr:cxnSp>
    <xdr:clientData/>
  </xdr:twoCellAnchor>
  <xdr:twoCellAnchor>
    <xdr:from>
      <xdr:col>5</xdr:col>
      <xdr:colOff>1306286</xdr:colOff>
      <xdr:row>10</xdr:row>
      <xdr:rowOff>34019</xdr:rowOff>
    </xdr:from>
    <xdr:to>
      <xdr:col>6</xdr:col>
      <xdr:colOff>1266662</xdr:colOff>
      <xdr:row>13</xdr:row>
      <xdr:rowOff>51164</xdr:rowOff>
    </xdr:to>
    <xdr:sp macro="" textlink="">
      <xdr:nvSpPr>
        <xdr:cNvPr id="171" name="AutoShape 9">
          <a:hlinkClick xmlns:r="http://schemas.openxmlformats.org/officeDocument/2006/relationships" r:id="rId14" tooltip="Go to livestock_feed_ef_n"/>
          <a:extLst>
            <a:ext uri="{FF2B5EF4-FFF2-40B4-BE49-F238E27FC236}">
              <a16:creationId xmlns:a16="http://schemas.microsoft.com/office/drawing/2014/main" xmlns="" id="{00000000-0008-0000-0400-0000AB000000}"/>
            </a:ext>
          </a:extLst>
        </xdr:cNvPr>
        <xdr:cNvSpPr>
          <a:spLocks noChangeArrowheads="1"/>
        </xdr:cNvSpPr>
      </xdr:nvSpPr>
      <xdr:spPr bwMode="auto">
        <a:xfrm>
          <a:off x="10478861" y="1672319"/>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p>
          <a:pPr algn="ctr" rtl="1">
            <a:defRPr sz="1000"/>
          </a:pPr>
          <a:r>
            <a:rPr lang="en-US" sz="1000" kern="1200">
              <a:solidFill>
                <a:schemeClr val="tx1"/>
              </a:solidFill>
              <a:latin typeface="Arial" charset="0"/>
              <a:ea typeface="+mn-ea"/>
              <a:cs typeface="+mn-cs"/>
            </a:rPr>
            <a:t>livestock_feed</a:t>
          </a:r>
          <a:r>
            <a:rPr lang="en-US" sz="1000" b="0" i="0" strike="noStrike">
              <a:solidFill>
                <a:sysClr val="windowText" lastClr="000000"/>
              </a:solidFill>
              <a:latin typeface="Arial"/>
              <a:cs typeface="Arial"/>
            </a:rPr>
            <a:t>_</a:t>
          </a:r>
        </a:p>
        <a:p>
          <a:pPr algn="ctr" rtl="1">
            <a:defRPr sz="1000"/>
          </a:pPr>
          <a:r>
            <a:rPr lang="en-US" sz="1000" kern="1200">
              <a:solidFill>
                <a:schemeClr val="tx1"/>
              </a:solidFill>
              <a:latin typeface="Arial" charset="0"/>
              <a:ea typeface="+mn-ea"/>
              <a:cs typeface="+mn-cs"/>
            </a:rPr>
            <a:t>ef_n</a:t>
          </a:r>
        </a:p>
      </xdr:txBody>
    </xdr:sp>
    <xdr:clientData/>
  </xdr:twoCellAnchor>
  <xdr:twoCellAnchor>
    <xdr:from>
      <xdr:col>6</xdr:col>
      <xdr:colOff>1266825</xdr:colOff>
      <xdr:row>7</xdr:row>
      <xdr:rowOff>66675</xdr:rowOff>
    </xdr:from>
    <xdr:to>
      <xdr:col>7</xdr:col>
      <xdr:colOff>1419225</xdr:colOff>
      <xdr:row>19</xdr:row>
      <xdr:rowOff>66675</xdr:rowOff>
    </xdr:to>
    <xdr:cxnSp macro="">
      <xdr:nvCxnSpPr>
        <xdr:cNvPr id="3551824" name="Straight Connector 321">
          <a:extLst>
            <a:ext uri="{FF2B5EF4-FFF2-40B4-BE49-F238E27FC236}">
              <a16:creationId xmlns:a16="http://schemas.microsoft.com/office/drawing/2014/main" xmlns="" id="{00000000-0008-0000-0400-000050323600}"/>
            </a:ext>
          </a:extLst>
        </xdr:cNvPr>
        <xdr:cNvCxnSpPr>
          <a:cxnSpLocks noChangeShapeType="1"/>
          <a:stCxn id="155" idx="1"/>
          <a:endCxn id="154" idx="3"/>
        </xdr:cNvCxnSpPr>
      </xdr:nvCxnSpPr>
      <xdr:spPr bwMode="auto">
        <a:xfrm rot="10800000">
          <a:off x="11887200" y="1219200"/>
          <a:ext cx="1600200" cy="1943100"/>
        </a:xfrm>
        <a:prstGeom prst="line">
          <a:avLst/>
        </a:prstGeom>
        <a:noFill/>
        <a:ln w="9525" algn="ctr">
          <a:solidFill>
            <a:srgbClr val="000000"/>
          </a:solidFill>
          <a:round/>
          <a:headEnd/>
          <a:tailEnd type="triangle" w="med" len="med"/>
        </a:ln>
      </xdr:spPr>
    </xdr:cxnSp>
    <xdr:clientData/>
  </xdr:twoCellAnchor>
  <xdr:twoCellAnchor>
    <xdr:from>
      <xdr:col>10</xdr:col>
      <xdr:colOff>8180</xdr:colOff>
      <xdr:row>21</xdr:row>
      <xdr:rowOff>48980</xdr:rowOff>
    </xdr:from>
    <xdr:to>
      <xdr:col>10</xdr:col>
      <xdr:colOff>1416356</xdr:colOff>
      <xdr:row>24</xdr:row>
      <xdr:rowOff>66125</xdr:rowOff>
    </xdr:to>
    <xdr:sp macro="" textlink="">
      <xdr:nvSpPr>
        <xdr:cNvPr id="173" name="AutoShape 43">
          <a:hlinkClick xmlns:r="http://schemas.openxmlformats.org/officeDocument/2006/relationships" r:id="rId15" tooltip="Go to crop_efe"/>
          <a:extLst>
            <a:ext uri="{FF2B5EF4-FFF2-40B4-BE49-F238E27FC236}">
              <a16:creationId xmlns:a16="http://schemas.microsoft.com/office/drawing/2014/main" xmlns="" id="{00000000-0008-0000-0400-0000AD000000}"/>
            </a:ext>
          </a:extLst>
        </xdr:cNvPr>
        <xdr:cNvSpPr>
          <a:spLocks noChangeArrowheads="1"/>
        </xdr:cNvSpPr>
      </xdr:nvSpPr>
      <xdr:spPr bwMode="auto">
        <a:xfrm>
          <a:off x="16419755" y="3468455"/>
          <a:ext cx="1408176" cy="502920"/>
        </a:xfrm>
        <a:prstGeom prst="roundRect">
          <a:avLst>
            <a:gd name="adj" fmla="val 16667"/>
          </a:avLst>
        </a:prstGeom>
        <a:solidFill>
          <a:schemeClr val="accent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rgbClr val="FF0000"/>
              </a:solidFill>
            </a:rPr>
            <a:t>crop_efe</a:t>
          </a:r>
        </a:p>
      </xdr:txBody>
    </xdr:sp>
    <xdr:clientData/>
  </xdr:twoCellAnchor>
  <xdr:twoCellAnchor>
    <xdr:from>
      <xdr:col>10</xdr:col>
      <xdr:colOff>23134</xdr:colOff>
      <xdr:row>17</xdr:row>
      <xdr:rowOff>43538</xdr:rowOff>
    </xdr:from>
    <xdr:to>
      <xdr:col>10</xdr:col>
      <xdr:colOff>1431310</xdr:colOff>
      <xdr:row>20</xdr:row>
      <xdr:rowOff>60683</xdr:rowOff>
    </xdr:to>
    <xdr:sp macro="" textlink="">
      <xdr:nvSpPr>
        <xdr:cNvPr id="174" name="AutoShape 43">
          <a:hlinkClick xmlns:r="http://schemas.openxmlformats.org/officeDocument/2006/relationships" r:id="rId16" tooltip="Go to fish_feed_group_yield_n"/>
          <a:extLst>
            <a:ext uri="{FF2B5EF4-FFF2-40B4-BE49-F238E27FC236}">
              <a16:creationId xmlns:a16="http://schemas.microsoft.com/office/drawing/2014/main" xmlns="" id="{00000000-0008-0000-0400-0000AE000000}"/>
            </a:ext>
          </a:extLst>
        </xdr:cNvPr>
        <xdr:cNvSpPr>
          <a:spLocks noChangeArrowheads="1"/>
        </xdr:cNvSpPr>
      </xdr:nvSpPr>
      <xdr:spPr bwMode="auto">
        <a:xfrm>
          <a:off x="16434709" y="2815313"/>
          <a:ext cx="1408176" cy="502920"/>
        </a:xfrm>
        <a:prstGeom prst="roundRect">
          <a:avLst>
            <a:gd name="adj" fmla="val 16667"/>
          </a:avLst>
        </a:prstGeom>
        <a:solidFill>
          <a:schemeClr val="accent4"/>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fish_feed_group_yield_n</a:t>
          </a:r>
        </a:p>
      </xdr:txBody>
    </xdr:sp>
    <xdr:clientData/>
  </xdr:twoCellAnchor>
  <xdr:twoCellAnchor>
    <xdr:from>
      <xdr:col>8</xdr:col>
      <xdr:colOff>1381125</xdr:colOff>
      <xdr:row>19</xdr:row>
      <xdr:rowOff>66675</xdr:rowOff>
    </xdr:from>
    <xdr:to>
      <xdr:col>10</xdr:col>
      <xdr:colOff>9525</xdr:colOff>
      <xdr:row>26</xdr:row>
      <xdr:rowOff>76200</xdr:rowOff>
    </xdr:to>
    <xdr:cxnSp macro="">
      <xdr:nvCxnSpPr>
        <xdr:cNvPr id="3551827" name="Straight Connector 327">
          <a:extLst>
            <a:ext uri="{FF2B5EF4-FFF2-40B4-BE49-F238E27FC236}">
              <a16:creationId xmlns:a16="http://schemas.microsoft.com/office/drawing/2014/main" xmlns="" id="{00000000-0008-0000-0400-000053323600}"/>
            </a:ext>
          </a:extLst>
        </xdr:cNvPr>
        <xdr:cNvCxnSpPr>
          <a:cxnSpLocks noChangeShapeType="1"/>
          <a:stCxn id="133" idx="1"/>
          <a:endCxn id="155" idx="3"/>
        </xdr:cNvCxnSpPr>
      </xdr:nvCxnSpPr>
      <xdr:spPr bwMode="auto">
        <a:xfrm rot="10800000">
          <a:off x="14897100" y="3162300"/>
          <a:ext cx="1524000" cy="1143000"/>
        </a:xfrm>
        <a:prstGeom prst="line">
          <a:avLst/>
        </a:prstGeom>
        <a:noFill/>
        <a:ln w="9525" algn="ctr">
          <a:solidFill>
            <a:srgbClr val="000000"/>
          </a:solidFill>
          <a:round/>
          <a:headEnd/>
          <a:tailEnd type="triangle" w="med" len="med"/>
        </a:ln>
      </xdr:spPr>
    </xdr:cxnSp>
    <xdr:clientData/>
  </xdr:twoCellAnchor>
  <xdr:twoCellAnchor>
    <xdr:from>
      <xdr:col>8</xdr:col>
      <xdr:colOff>1352550</xdr:colOff>
      <xdr:row>15</xdr:row>
      <xdr:rowOff>38100</xdr:rowOff>
    </xdr:from>
    <xdr:to>
      <xdr:col>10</xdr:col>
      <xdr:colOff>19050</xdr:colOff>
      <xdr:row>18</xdr:row>
      <xdr:rowOff>133350</xdr:rowOff>
    </xdr:to>
    <xdr:cxnSp macro="">
      <xdr:nvCxnSpPr>
        <xdr:cNvPr id="3551828" name="Straight Connector 325">
          <a:extLst>
            <a:ext uri="{FF2B5EF4-FFF2-40B4-BE49-F238E27FC236}">
              <a16:creationId xmlns:a16="http://schemas.microsoft.com/office/drawing/2014/main" xmlns="" id="{00000000-0008-0000-0400-000054323600}"/>
            </a:ext>
          </a:extLst>
        </xdr:cNvPr>
        <xdr:cNvCxnSpPr>
          <a:cxnSpLocks noChangeShapeType="1"/>
          <a:stCxn id="174" idx="1"/>
          <a:endCxn id="161" idx="3"/>
        </xdr:cNvCxnSpPr>
      </xdr:nvCxnSpPr>
      <xdr:spPr bwMode="auto">
        <a:xfrm rot="10800000">
          <a:off x="14868525" y="2486025"/>
          <a:ext cx="1562100" cy="581025"/>
        </a:xfrm>
        <a:prstGeom prst="line">
          <a:avLst/>
        </a:prstGeom>
        <a:noFill/>
        <a:ln w="9525" algn="ctr">
          <a:solidFill>
            <a:srgbClr val="000000"/>
          </a:solidFill>
          <a:round/>
          <a:headEnd/>
          <a:tailEnd type="triangle" w="med" len="med"/>
        </a:ln>
      </xdr:spPr>
    </xdr:cxnSp>
    <xdr:clientData/>
  </xdr:twoCellAnchor>
  <xdr:twoCellAnchor>
    <xdr:from>
      <xdr:col>8</xdr:col>
      <xdr:colOff>1352550</xdr:colOff>
      <xdr:row>14</xdr:row>
      <xdr:rowOff>142875</xdr:rowOff>
    </xdr:from>
    <xdr:to>
      <xdr:col>10</xdr:col>
      <xdr:colOff>9525</xdr:colOff>
      <xdr:row>15</xdr:row>
      <xdr:rowOff>38100</xdr:rowOff>
    </xdr:to>
    <xdr:cxnSp macro="">
      <xdr:nvCxnSpPr>
        <xdr:cNvPr id="3551829" name="Straight Connector 347">
          <a:extLst>
            <a:ext uri="{FF2B5EF4-FFF2-40B4-BE49-F238E27FC236}">
              <a16:creationId xmlns:a16="http://schemas.microsoft.com/office/drawing/2014/main" xmlns="" id="{00000000-0008-0000-0400-000055323600}"/>
            </a:ext>
          </a:extLst>
        </xdr:cNvPr>
        <xdr:cNvCxnSpPr>
          <a:cxnSpLocks noChangeShapeType="1"/>
          <a:stCxn id="162" idx="1"/>
          <a:endCxn id="161" idx="3"/>
        </xdr:cNvCxnSpPr>
      </xdr:nvCxnSpPr>
      <xdr:spPr bwMode="auto">
        <a:xfrm rot="10800000" flipV="1">
          <a:off x="14868525" y="2428875"/>
          <a:ext cx="1552575" cy="57150"/>
        </a:xfrm>
        <a:prstGeom prst="line">
          <a:avLst/>
        </a:prstGeom>
        <a:noFill/>
        <a:ln w="9525" algn="ctr">
          <a:solidFill>
            <a:srgbClr val="000000"/>
          </a:solidFill>
          <a:round/>
          <a:headEnd/>
          <a:tailEnd type="triangle" w="med" len="med"/>
        </a:ln>
      </xdr:spPr>
    </xdr:cxnSp>
    <xdr:clientData/>
  </xdr:twoCellAnchor>
  <xdr:twoCellAnchor>
    <xdr:from>
      <xdr:col>8</xdr:col>
      <xdr:colOff>1352550</xdr:colOff>
      <xdr:row>15</xdr:row>
      <xdr:rowOff>38100</xdr:rowOff>
    </xdr:from>
    <xdr:to>
      <xdr:col>9</xdr:col>
      <xdr:colOff>1400175</xdr:colOff>
      <xdr:row>22</xdr:row>
      <xdr:rowOff>95250</xdr:rowOff>
    </xdr:to>
    <xdr:cxnSp macro="">
      <xdr:nvCxnSpPr>
        <xdr:cNvPr id="3551830" name="Straight Connector 325">
          <a:extLst>
            <a:ext uri="{FF2B5EF4-FFF2-40B4-BE49-F238E27FC236}">
              <a16:creationId xmlns:a16="http://schemas.microsoft.com/office/drawing/2014/main" xmlns="" id="{00000000-0008-0000-0400-000056323600}"/>
            </a:ext>
          </a:extLst>
        </xdr:cNvPr>
        <xdr:cNvCxnSpPr>
          <a:cxnSpLocks noChangeShapeType="1"/>
          <a:endCxn id="161" idx="3"/>
        </xdr:cNvCxnSpPr>
      </xdr:nvCxnSpPr>
      <xdr:spPr bwMode="auto">
        <a:xfrm rot="10800000">
          <a:off x="14868525" y="2486025"/>
          <a:ext cx="1495425" cy="1190625"/>
        </a:xfrm>
        <a:prstGeom prst="line">
          <a:avLst/>
        </a:prstGeom>
        <a:noFill/>
        <a:ln w="9525" algn="ctr">
          <a:solidFill>
            <a:srgbClr val="000000"/>
          </a:solidFill>
          <a:round/>
          <a:headEnd/>
          <a:tailEnd type="triangle" w="med" len="med"/>
        </a:ln>
      </xdr:spPr>
    </xdr:cxnSp>
    <xdr:clientData/>
  </xdr:twoCellAnchor>
  <xdr:twoCellAnchor>
    <xdr:from>
      <xdr:col>8</xdr:col>
      <xdr:colOff>1352550</xdr:colOff>
      <xdr:row>15</xdr:row>
      <xdr:rowOff>38100</xdr:rowOff>
    </xdr:from>
    <xdr:to>
      <xdr:col>10</xdr:col>
      <xdr:colOff>9525</xdr:colOff>
      <xdr:row>26</xdr:row>
      <xdr:rowOff>76200</xdr:rowOff>
    </xdr:to>
    <xdr:cxnSp macro="">
      <xdr:nvCxnSpPr>
        <xdr:cNvPr id="3551831" name="Straight Connector 327">
          <a:extLst>
            <a:ext uri="{FF2B5EF4-FFF2-40B4-BE49-F238E27FC236}">
              <a16:creationId xmlns:a16="http://schemas.microsoft.com/office/drawing/2014/main" xmlns="" id="{00000000-0008-0000-0400-000057323600}"/>
            </a:ext>
          </a:extLst>
        </xdr:cNvPr>
        <xdr:cNvCxnSpPr>
          <a:cxnSpLocks noChangeShapeType="1"/>
          <a:stCxn id="133" idx="1"/>
          <a:endCxn id="161" idx="3"/>
        </xdr:cNvCxnSpPr>
      </xdr:nvCxnSpPr>
      <xdr:spPr bwMode="auto">
        <a:xfrm rot="10800000">
          <a:off x="14868525" y="2486025"/>
          <a:ext cx="1552575" cy="1819275"/>
        </a:xfrm>
        <a:prstGeom prst="line">
          <a:avLst/>
        </a:prstGeom>
        <a:noFill/>
        <a:ln w="9525" algn="ctr">
          <a:solidFill>
            <a:srgbClr val="000000"/>
          </a:solidFill>
          <a:round/>
          <a:headEnd/>
          <a:tailEnd type="triangle" w="med" len="med"/>
        </a:ln>
      </xdr:spPr>
    </xdr:cxnSp>
    <xdr:clientData/>
  </xdr:twoCellAnchor>
  <xdr:twoCellAnchor>
    <xdr:from>
      <xdr:col>6</xdr:col>
      <xdr:colOff>1266825</xdr:colOff>
      <xdr:row>11</xdr:row>
      <xdr:rowOff>38100</xdr:rowOff>
    </xdr:from>
    <xdr:to>
      <xdr:col>8</xdr:col>
      <xdr:colOff>9525</xdr:colOff>
      <xdr:row>11</xdr:row>
      <xdr:rowOff>123825</xdr:rowOff>
    </xdr:to>
    <xdr:cxnSp macro="">
      <xdr:nvCxnSpPr>
        <xdr:cNvPr id="3551832" name="Straight Connector 346">
          <a:extLst>
            <a:ext uri="{FF2B5EF4-FFF2-40B4-BE49-F238E27FC236}">
              <a16:creationId xmlns:a16="http://schemas.microsoft.com/office/drawing/2014/main" xmlns="" id="{00000000-0008-0000-0400-000058323600}"/>
            </a:ext>
          </a:extLst>
        </xdr:cNvPr>
        <xdr:cNvCxnSpPr>
          <a:cxnSpLocks noChangeShapeType="1"/>
          <a:stCxn id="143" idx="1"/>
          <a:endCxn id="171" idx="3"/>
        </xdr:cNvCxnSpPr>
      </xdr:nvCxnSpPr>
      <xdr:spPr bwMode="auto">
        <a:xfrm rot="10800000" flipV="1">
          <a:off x="11887200" y="1838325"/>
          <a:ext cx="1638300" cy="85725"/>
        </a:xfrm>
        <a:prstGeom prst="line">
          <a:avLst/>
        </a:prstGeom>
        <a:noFill/>
        <a:ln w="9525" algn="ctr">
          <a:solidFill>
            <a:srgbClr val="000000"/>
          </a:solidFill>
          <a:round/>
          <a:headEnd/>
          <a:tailEnd type="triangle" w="med" len="med"/>
        </a:ln>
      </xdr:spPr>
    </xdr:cxnSp>
    <xdr:clientData/>
  </xdr:twoCellAnchor>
  <xdr:twoCellAnchor>
    <xdr:from>
      <xdr:col>5</xdr:col>
      <xdr:colOff>1306286</xdr:colOff>
      <xdr:row>14</xdr:row>
      <xdr:rowOff>54429</xdr:rowOff>
    </xdr:from>
    <xdr:to>
      <xdr:col>6</xdr:col>
      <xdr:colOff>1266662</xdr:colOff>
      <xdr:row>17</xdr:row>
      <xdr:rowOff>71574</xdr:rowOff>
    </xdr:to>
    <xdr:sp macro="" textlink="">
      <xdr:nvSpPr>
        <xdr:cNvPr id="181" name="AutoShape 14">
          <a:hlinkClick xmlns:r="http://schemas.openxmlformats.org/officeDocument/2006/relationships" r:id="rId17" tooltip="Go to livestock_intensity_n_crop"/>
          <a:extLst>
            <a:ext uri="{FF2B5EF4-FFF2-40B4-BE49-F238E27FC236}">
              <a16:creationId xmlns:a16="http://schemas.microsoft.com/office/drawing/2014/main" xmlns="" id="{00000000-0008-0000-0400-0000B5000000}"/>
            </a:ext>
          </a:extLst>
        </xdr:cNvPr>
        <xdr:cNvSpPr>
          <a:spLocks noChangeArrowheads="1"/>
        </xdr:cNvSpPr>
      </xdr:nvSpPr>
      <xdr:spPr bwMode="auto">
        <a:xfrm>
          <a:off x="10478861" y="2340429"/>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livestock_intensity_</a:t>
          </a:r>
        </a:p>
        <a:p>
          <a:r>
            <a:rPr lang="en-US" sz="1000"/>
            <a:t>n_crop</a:t>
          </a:r>
        </a:p>
      </xdr:txBody>
    </xdr:sp>
    <xdr:clientData/>
  </xdr:twoCellAnchor>
  <xdr:twoCellAnchor>
    <xdr:from>
      <xdr:col>5</xdr:col>
      <xdr:colOff>1306286</xdr:colOff>
      <xdr:row>18</xdr:row>
      <xdr:rowOff>108857</xdr:rowOff>
    </xdr:from>
    <xdr:to>
      <xdr:col>6</xdr:col>
      <xdr:colOff>1266662</xdr:colOff>
      <xdr:row>21</xdr:row>
      <xdr:rowOff>126002</xdr:rowOff>
    </xdr:to>
    <xdr:sp macro="" textlink="">
      <xdr:nvSpPr>
        <xdr:cNvPr id="182" name="AutoShape 9">
          <a:hlinkClick xmlns:r="http://schemas.openxmlformats.org/officeDocument/2006/relationships" r:id="rId18" tooltip="Go to livestock_intensity_n_grazing"/>
          <a:extLst>
            <a:ext uri="{FF2B5EF4-FFF2-40B4-BE49-F238E27FC236}">
              <a16:creationId xmlns:a16="http://schemas.microsoft.com/office/drawing/2014/main" xmlns="" id="{00000000-0008-0000-0400-0000B6000000}"/>
            </a:ext>
          </a:extLst>
        </xdr:cNvPr>
        <xdr:cNvSpPr>
          <a:spLocks noChangeArrowheads="1"/>
        </xdr:cNvSpPr>
      </xdr:nvSpPr>
      <xdr:spPr bwMode="auto">
        <a:xfrm>
          <a:off x="10478861" y="3042557"/>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livestock_intensity_</a:t>
          </a:r>
        </a:p>
        <a:p>
          <a:r>
            <a:rPr lang="en-US" sz="1000"/>
            <a:t>n_grazing</a:t>
          </a:r>
        </a:p>
      </xdr:txBody>
    </xdr:sp>
    <xdr:clientData/>
  </xdr:twoCellAnchor>
  <xdr:twoCellAnchor>
    <xdr:from>
      <xdr:col>5</xdr:col>
      <xdr:colOff>1292679</xdr:colOff>
      <xdr:row>23</xdr:row>
      <xdr:rowOff>0</xdr:rowOff>
    </xdr:from>
    <xdr:to>
      <xdr:col>6</xdr:col>
      <xdr:colOff>1253055</xdr:colOff>
      <xdr:row>26</xdr:row>
      <xdr:rowOff>17145</xdr:rowOff>
    </xdr:to>
    <xdr:sp macro="" textlink="">
      <xdr:nvSpPr>
        <xdr:cNvPr id="183" name="AutoShape 9">
          <a:hlinkClick xmlns:r="http://schemas.openxmlformats.org/officeDocument/2006/relationships" r:id="rId19" tooltip="Go to livestock_intensity_n_fish"/>
          <a:extLst>
            <a:ext uri="{FF2B5EF4-FFF2-40B4-BE49-F238E27FC236}">
              <a16:creationId xmlns:a16="http://schemas.microsoft.com/office/drawing/2014/main" xmlns="" id="{00000000-0008-0000-0400-0000B7000000}"/>
            </a:ext>
          </a:extLst>
        </xdr:cNvPr>
        <xdr:cNvSpPr>
          <a:spLocks noChangeArrowheads="1"/>
        </xdr:cNvSpPr>
      </xdr:nvSpPr>
      <xdr:spPr bwMode="auto">
        <a:xfrm>
          <a:off x="10465254" y="3743325"/>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livestock_intensity_</a:t>
          </a:r>
        </a:p>
        <a:p>
          <a:r>
            <a:rPr lang="en-US" sz="1000"/>
            <a:t>n_fish</a:t>
          </a:r>
        </a:p>
      </xdr:txBody>
    </xdr:sp>
    <xdr:clientData/>
  </xdr:twoCellAnchor>
  <xdr:twoCellAnchor>
    <xdr:from>
      <xdr:col>6</xdr:col>
      <xdr:colOff>561975</xdr:colOff>
      <xdr:row>13</xdr:row>
      <xdr:rowOff>47625</xdr:rowOff>
    </xdr:from>
    <xdr:to>
      <xdr:col>6</xdr:col>
      <xdr:colOff>561975</xdr:colOff>
      <xdr:row>14</xdr:row>
      <xdr:rowOff>57150</xdr:rowOff>
    </xdr:to>
    <xdr:cxnSp macro="">
      <xdr:nvCxnSpPr>
        <xdr:cNvPr id="3551836" name="Straight Connector 321">
          <a:extLst>
            <a:ext uri="{FF2B5EF4-FFF2-40B4-BE49-F238E27FC236}">
              <a16:creationId xmlns:a16="http://schemas.microsoft.com/office/drawing/2014/main" xmlns="" id="{00000000-0008-0000-0400-00005C323600}"/>
            </a:ext>
          </a:extLst>
        </xdr:cNvPr>
        <xdr:cNvCxnSpPr>
          <a:cxnSpLocks noChangeShapeType="1"/>
          <a:stCxn id="171" idx="2"/>
          <a:endCxn id="181" idx="0"/>
        </xdr:cNvCxnSpPr>
      </xdr:nvCxnSpPr>
      <xdr:spPr bwMode="auto">
        <a:xfrm rot="5400000">
          <a:off x="11096625" y="2257425"/>
          <a:ext cx="171450" cy="0"/>
        </a:xfrm>
        <a:prstGeom prst="line">
          <a:avLst/>
        </a:prstGeom>
        <a:noFill/>
        <a:ln w="9525" algn="ctr">
          <a:solidFill>
            <a:srgbClr val="000000"/>
          </a:solidFill>
          <a:round/>
          <a:headEnd/>
          <a:tailEnd type="triangle" w="med" len="med"/>
        </a:ln>
      </xdr:spPr>
    </xdr:cxnSp>
    <xdr:clientData/>
  </xdr:twoCellAnchor>
  <xdr:twoCellAnchor>
    <xdr:from>
      <xdr:col>6</xdr:col>
      <xdr:colOff>1266662</xdr:colOff>
      <xdr:row>11</xdr:row>
      <xdr:rowOff>123554</xdr:rowOff>
    </xdr:from>
    <xdr:to>
      <xdr:col>6</xdr:col>
      <xdr:colOff>1268250</xdr:colOff>
      <xdr:row>20</xdr:row>
      <xdr:rowOff>36467</xdr:rowOff>
    </xdr:to>
    <xdr:cxnSp macro="">
      <xdr:nvCxnSpPr>
        <xdr:cNvPr id="185" name="Shape 233">
          <a:extLst>
            <a:ext uri="{FF2B5EF4-FFF2-40B4-BE49-F238E27FC236}">
              <a16:creationId xmlns:a16="http://schemas.microsoft.com/office/drawing/2014/main" xmlns="" id="{00000000-0008-0000-0400-0000B9000000}"/>
            </a:ext>
          </a:extLst>
        </xdr:cNvPr>
        <xdr:cNvCxnSpPr>
          <a:cxnSpLocks noChangeShapeType="1"/>
          <a:stCxn id="171" idx="3"/>
          <a:endCxn id="182" idx="3"/>
        </xdr:cNvCxnSpPr>
      </xdr:nvCxnSpPr>
      <xdr:spPr bwMode="auto">
        <a:xfrm>
          <a:off x="11887037" y="1923779"/>
          <a:ext cx="1588" cy="1370238"/>
        </a:xfrm>
        <a:prstGeom prst="curvedConnector3">
          <a:avLst>
            <a:gd name="adj1" fmla="val 14395466"/>
          </a:avLst>
        </a:prstGeom>
        <a:ln>
          <a:headEnd/>
          <a:tailEnd type="triangle" w="med" len="med"/>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1257300</xdr:colOff>
      <xdr:row>11</xdr:row>
      <xdr:rowOff>123825</xdr:rowOff>
    </xdr:from>
    <xdr:to>
      <xdr:col>6</xdr:col>
      <xdr:colOff>1266825</xdr:colOff>
      <xdr:row>24</xdr:row>
      <xdr:rowOff>85725</xdr:rowOff>
    </xdr:to>
    <xdr:cxnSp macro="">
      <xdr:nvCxnSpPr>
        <xdr:cNvPr id="3551838" name="Shape 233">
          <a:extLst>
            <a:ext uri="{FF2B5EF4-FFF2-40B4-BE49-F238E27FC236}">
              <a16:creationId xmlns:a16="http://schemas.microsoft.com/office/drawing/2014/main" xmlns="" id="{00000000-0008-0000-0400-00005E323600}"/>
            </a:ext>
          </a:extLst>
        </xdr:cNvPr>
        <xdr:cNvCxnSpPr>
          <a:cxnSpLocks noChangeShapeType="1"/>
          <a:stCxn id="171" idx="3"/>
          <a:endCxn id="183" idx="3"/>
        </xdr:cNvCxnSpPr>
      </xdr:nvCxnSpPr>
      <xdr:spPr bwMode="auto">
        <a:xfrm flipH="1">
          <a:off x="11877675" y="1924050"/>
          <a:ext cx="9525" cy="2066925"/>
        </a:xfrm>
        <a:prstGeom prst="curvedConnector3">
          <a:avLst>
            <a:gd name="adj1" fmla="val -1680019"/>
          </a:avLst>
        </a:prstGeom>
        <a:noFill/>
        <a:ln w="9525" algn="ctr">
          <a:solidFill>
            <a:srgbClr val="000000"/>
          </a:solidFill>
          <a:round/>
          <a:headEnd/>
          <a:tailEnd type="triangle" w="med" len="med"/>
        </a:ln>
      </xdr:spPr>
    </xdr:cxnSp>
    <xdr:clientData/>
  </xdr:twoCellAnchor>
  <xdr:twoCellAnchor>
    <xdr:from>
      <xdr:col>8</xdr:col>
      <xdr:colOff>1428750</xdr:colOff>
      <xdr:row>7</xdr:row>
      <xdr:rowOff>38100</xdr:rowOff>
    </xdr:from>
    <xdr:to>
      <xdr:col>10</xdr:col>
      <xdr:colOff>19050</xdr:colOff>
      <xdr:row>18</xdr:row>
      <xdr:rowOff>133350</xdr:rowOff>
    </xdr:to>
    <xdr:cxnSp macro="">
      <xdr:nvCxnSpPr>
        <xdr:cNvPr id="3551839" name="Straight Connector 325">
          <a:extLst>
            <a:ext uri="{FF2B5EF4-FFF2-40B4-BE49-F238E27FC236}">
              <a16:creationId xmlns:a16="http://schemas.microsoft.com/office/drawing/2014/main" xmlns="" id="{00000000-0008-0000-0400-00005F323600}"/>
            </a:ext>
          </a:extLst>
        </xdr:cNvPr>
        <xdr:cNvCxnSpPr>
          <a:cxnSpLocks noChangeShapeType="1"/>
          <a:stCxn id="174" idx="1"/>
          <a:endCxn id="160" idx="3"/>
        </xdr:cNvCxnSpPr>
      </xdr:nvCxnSpPr>
      <xdr:spPr bwMode="auto">
        <a:xfrm rot="10800000">
          <a:off x="14944725" y="1190625"/>
          <a:ext cx="1485900" cy="1876425"/>
        </a:xfrm>
        <a:prstGeom prst="line">
          <a:avLst/>
        </a:prstGeom>
        <a:noFill/>
        <a:ln w="9525" algn="ctr">
          <a:solidFill>
            <a:srgbClr val="000000"/>
          </a:solidFill>
          <a:round/>
          <a:headEnd/>
          <a:tailEnd type="triangle" w="med" len="med"/>
        </a:ln>
      </xdr:spPr>
    </xdr:cxnSp>
    <xdr:clientData/>
  </xdr:twoCellAnchor>
  <xdr:twoCellAnchor>
    <xdr:from>
      <xdr:col>8</xdr:col>
      <xdr:colOff>1428750</xdr:colOff>
      <xdr:row>7</xdr:row>
      <xdr:rowOff>38100</xdr:rowOff>
    </xdr:from>
    <xdr:to>
      <xdr:col>10</xdr:col>
      <xdr:colOff>9525</xdr:colOff>
      <xdr:row>14</xdr:row>
      <xdr:rowOff>142875</xdr:rowOff>
    </xdr:to>
    <xdr:cxnSp macro="">
      <xdr:nvCxnSpPr>
        <xdr:cNvPr id="3551840" name="Straight Connector 325">
          <a:extLst>
            <a:ext uri="{FF2B5EF4-FFF2-40B4-BE49-F238E27FC236}">
              <a16:creationId xmlns:a16="http://schemas.microsoft.com/office/drawing/2014/main" xmlns="" id="{00000000-0008-0000-0400-000060323600}"/>
            </a:ext>
          </a:extLst>
        </xdr:cNvPr>
        <xdr:cNvCxnSpPr>
          <a:cxnSpLocks noChangeShapeType="1"/>
          <a:stCxn id="160" idx="3"/>
          <a:endCxn id="162" idx="1"/>
        </xdr:cNvCxnSpPr>
      </xdr:nvCxnSpPr>
      <xdr:spPr bwMode="auto">
        <a:xfrm>
          <a:off x="14944725" y="1190625"/>
          <a:ext cx="1476375" cy="1238250"/>
        </a:xfrm>
        <a:prstGeom prst="line">
          <a:avLst/>
        </a:prstGeom>
        <a:noFill/>
        <a:ln w="9525" algn="ctr">
          <a:solidFill>
            <a:srgbClr val="000000"/>
          </a:solidFill>
          <a:round/>
          <a:headEnd/>
          <a:tailEnd type="triangle" w="med" len="med"/>
        </a:ln>
      </xdr:spPr>
    </xdr:cxnSp>
    <xdr:clientData/>
  </xdr:twoCellAnchor>
  <xdr:twoCellAnchor>
    <xdr:from>
      <xdr:col>8</xdr:col>
      <xdr:colOff>19050</xdr:colOff>
      <xdr:row>1</xdr:row>
      <xdr:rowOff>72117</xdr:rowOff>
    </xdr:from>
    <xdr:to>
      <xdr:col>8</xdr:col>
      <xdr:colOff>1427226</xdr:colOff>
      <xdr:row>4</xdr:row>
      <xdr:rowOff>89262</xdr:rowOff>
    </xdr:to>
    <xdr:sp macro="" textlink="">
      <xdr:nvSpPr>
        <xdr:cNvPr id="189" name="AutoShape 42">
          <a:hlinkClick xmlns:r="http://schemas.openxmlformats.org/officeDocument/2006/relationships" r:id="rId20" tooltip="Go to crop_yield_w"/>
          <a:extLst>
            <a:ext uri="{FF2B5EF4-FFF2-40B4-BE49-F238E27FC236}">
              <a16:creationId xmlns:a16="http://schemas.microsoft.com/office/drawing/2014/main" xmlns="" id="{00000000-0008-0000-0400-0000BD000000}"/>
            </a:ext>
          </a:extLst>
        </xdr:cNvPr>
        <xdr:cNvSpPr>
          <a:spLocks noChangeArrowheads="1"/>
        </xdr:cNvSpPr>
      </xdr:nvSpPr>
      <xdr:spPr bwMode="auto">
        <a:xfrm>
          <a:off x="13535025" y="253092"/>
          <a:ext cx="1408176" cy="502920"/>
        </a:xfrm>
        <a:prstGeom prst="roundRect">
          <a:avLst>
            <a:gd name="adj" fmla="val 16667"/>
          </a:avLst>
        </a:prstGeom>
        <a:solidFill>
          <a:schemeClr val="accent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crop_yield_w</a:t>
          </a:r>
        </a:p>
      </xdr:txBody>
    </xdr:sp>
    <xdr:clientData/>
  </xdr:twoCellAnchor>
  <xdr:twoCellAnchor>
    <xdr:from>
      <xdr:col>8</xdr:col>
      <xdr:colOff>723900</xdr:colOff>
      <xdr:row>4</xdr:row>
      <xdr:rowOff>85725</xdr:rowOff>
    </xdr:from>
    <xdr:to>
      <xdr:col>8</xdr:col>
      <xdr:colOff>723900</xdr:colOff>
      <xdr:row>5</xdr:row>
      <xdr:rowOff>104775</xdr:rowOff>
    </xdr:to>
    <xdr:cxnSp macro="">
      <xdr:nvCxnSpPr>
        <xdr:cNvPr id="3551842" name="Straight Connector 346">
          <a:extLst>
            <a:ext uri="{FF2B5EF4-FFF2-40B4-BE49-F238E27FC236}">
              <a16:creationId xmlns:a16="http://schemas.microsoft.com/office/drawing/2014/main" xmlns="" id="{00000000-0008-0000-0400-000062323600}"/>
            </a:ext>
          </a:extLst>
        </xdr:cNvPr>
        <xdr:cNvCxnSpPr>
          <a:cxnSpLocks noChangeShapeType="1"/>
          <a:stCxn id="189" idx="2"/>
          <a:endCxn id="160" idx="0"/>
        </xdr:cNvCxnSpPr>
      </xdr:nvCxnSpPr>
      <xdr:spPr bwMode="auto">
        <a:xfrm rot="16200000" flipH="1">
          <a:off x="14149387" y="842963"/>
          <a:ext cx="180975" cy="0"/>
        </a:xfrm>
        <a:prstGeom prst="line">
          <a:avLst/>
        </a:prstGeom>
        <a:noFill/>
        <a:ln w="9525" algn="ctr">
          <a:solidFill>
            <a:srgbClr val="000000"/>
          </a:solidFill>
          <a:round/>
          <a:headEnd/>
          <a:tailEnd type="triangle" w="med" len="med"/>
        </a:ln>
      </xdr:spPr>
    </xdr:cxnSp>
    <xdr:clientData/>
  </xdr:twoCellAnchor>
  <xdr:twoCellAnchor>
    <xdr:from>
      <xdr:col>10</xdr:col>
      <xdr:colOff>9526</xdr:colOff>
      <xdr:row>1</xdr:row>
      <xdr:rowOff>123825</xdr:rowOff>
    </xdr:from>
    <xdr:to>
      <xdr:col>10</xdr:col>
      <xdr:colOff>1417702</xdr:colOff>
      <xdr:row>4</xdr:row>
      <xdr:rowOff>140970</xdr:rowOff>
    </xdr:to>
    <xdr:sp macro="" textlink="">
      <xdr:nvSpPr>
        <xdr:cNvPr id="191" name="AutoShape 15">
          <a:hlinkClick xmlns:r="http://schemas.openxmlformats.org/officeDocument/2006/relationships" r:id="rId21" tooltip="Go to crop_feed_cnst"/>
          <a:extLst>
            <a:ext uri="{FF2B5EF4-FFF2-40B4-BE49-F238E27FC236}">
              <a16:creationId xmlns:a16="http://schemas.microsoft.com/office/drawing/2014/main" xmlns="" id="{00000000-0008-0000-0400-0000BF000000}"/>
            </a:ext>
          </a:extLst>
        </xdr:cNvPr>
        <xdr:cNvSpPr>
          <a:spLocks noChangeArrowheads="1"/>
        </xdr:cNvSpPr>
      </xdr:nvSpPr>
      <xdr:spPr bwMode="auto">
        <a:xfrm>
          <a:off x="16421101" y="304800"/>
          <a:ext cx="1408176" cy="502920"/>
        </a:xfrm>
        <a:prstGeom prst="roundRect">
          <a:avLst>
            <a:gd name="adj" fmla="val 16667"/>
          </a:avLst>
        </a:prstGeom>
        <a:solidFill>
          <a:srgbClr val="FF9900"/>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crop_feed_cnst</a:t>
          </a:r>
        </a:p>
      </xdr:txBody>
    </xdr:sp>
    <xdr:clientData/>
  </xdr:twoCellAnchor>
  <xdr:twoCellAnchor>
    <xdr:from>
      <xdr:col>8</xdr:col>
      <xdr:colOff>1428750</xdr:colOff>
      <xdr:row>3</xdr:row>
      <xdr:rowOff>47625</xdr:rowOff>
    </xdr:from>
    <xdr:to>
      <xdr:col>10</xdr:col>
      <xdr:colOff>9525</xdr:colOff>
      <xdr:row>7</xdr:row>
      <xdr:rowOff>38100</xdr:rowOff>
    </xdr:to>
    <xdr:cxnSp macro="">
      <xdr:nvCxnSpPr>
        <xdr:cNvPr id="3551844" name="Straight Connector 331">
          <a:extLst>
            <a:ext uri="{FF2B5EF4-FFF2-40B4-BE49-F238E27FC236}">
              <a16:creationId xmlns:a16="http://schemas.microsoft.com/office/drawing/2014/main" xmlns="" id="{00000000-0008-0000-0400-000064323600}"/>
            </a:ext>
          </a:extLst>
        </xdr:cNvPr>
        <xdr:cNvCxnSpPr>
          <a:cxnSpLocks noChangeShapeType="1"/>
          <a:stCxn id="191" idx="1"/>
          <a:endCxn id="160" idx="3"/>
        </xdr:cNvCxnSpPr>
      </xdr:nvCxnSpPr>
      <xdr:spPr bwMode="auto">
        <a:xfrm rot="10800000" flipV="1">
          <a:off x="14944725" y="552450"/>
          <a:ext cx="1476375" cy="638175"/>
        </a:xfrm>
        <a:prstGeom prst="line">
          <a:avLst/>
        </a:prstGeom>
        <a:noFill/>
        <a:ln w="9525" algn="ctr">
          <a:solidFill>
            <a:srgbClr val="000000"/>
          </a:solidFill>
          <a:round/>
          <a:headEnd/>
          <a:tailEnd type="triangle" w="med" len="med"/>
        </a:ln>
      </xdr:spPr>
    </xdr:cxnSp>
    <xdr:clientData/>
  </xdr:twoCellAnchor>
  <xdr:twoCellAnchor>
    <xdr:from>
      <xdr:col>8</xdr:col>
      <xdr:colOff>1428750</xdr:colOff>
      <xdr:row>7</xdr:row>
      <xdr:rowOff>38100</xdr:rowOff>
    </xdr:from>
    <xdr:to>
      <xdr:col>10</xdr:col>
      <xdr:colOff>19050</xdr:colOff>
      <xdr:row>11</xdr:row>
      <xdr:rowOff>0</xdr:rowOff>
    </xdr:to>
    <xdr:cxnSp macro="">
      <xdr:nvCxnSpPr>
        <xdr:cNvPr id="3551845" name="Straight Connector 325">
          <a:extLst>
            <a:ext uri="{FF2B5EF4-FFF2-40B4-BE49-F238E27FC236}">
              <a16:creationId xmlns:a16="http://schemas.microsoft.com/office/drawing/2014/main" xmlns="" id="{00000000-0008-0000-0400-000065323600}"/>
            </a:ext>
          </a:extLst>
        </xdr:cNvPr>
        <xdr:cNvCxnSpPr>
          <a:cxnSpLocks noChangeShapeType="1"/>
          <a:stCxn id="147" idx="1"/>
          <a:endCxn id="160" idx="3"/>
        </xdr:cNvCxnSpPr>
      </xdr:nvCxnSpPr>
      <xdr:spPr bwMode="auto">
        <a:xfrm rot="10800000">
          <a:off x="14944725" y="1190625"/>
          <a:ext cx="1485900" cy="609600"/>
        </a:xfrm>
        <a:prstGeom prst="line">
          <a:avLst/>
        </a:prstGeom>
        <a:noFill/>
        <a:ln w="9525" algn="ctr">
          <a:solidFill>
            <a:srgbClr val="000000"/>
          </a:solidFill>
          <a:round/>
          <a:headEnd/>
          <a:tailEnd type="triangle" w="med" len="med"/>
        </a:ln>
      </xdr:spPr>
    </xdr:cxnSp>
    <xdr:clientData/>
  </xdr:twoCellAnchor>
  <xdr:twoCellAnchor>
    <xdr:from>
      <xdr:col>6</xdr:col>
      <xdr:colOff>1266825</xdr:colOff>
      <xdr:row>15</xdr:row>
      <xdr:rowOff>142875</xdr:rowOff>
    </xdr:from>
    <xdr:to>
      <xdr:col>7</xdr:col>
      <xdr:colOff>1438275</xdr:colOff>
      <xdr:row>32</xdr:row>
      <xdr:rowOff>95250</xdr:rowOff>
    </xdr:to>
    <xdr:cxnSp macro="">
      <xdr:nvCxnSpPr>
        <xdr:cNvPr id="3551846" name="Straight Connector 321">
          <a:extLst>
            <a:ext uri="{FF2B5EF4-FFF2-40B4-BE49-F238E27FC236}">
              <a16:creationId xmlns:a16="http://schemas.microsoft.com/office/drawing/2014/main" xmlns="" id="{00000000-0008-0000-0400-000066323600}"/>
            </a:ext>
          </a:extLst>
        </xdr:cNvPr>
        <xdr:cNvCxnSpPr>
          <a:cxnSpLocks noChangeShapeType="1"/>
          <a:stCxn id="219" idx="1"/>
          <a:endCxn id="181" idx="3"/>
        </xdr:cNvCxnSpPr>
      </xdr:nvCxnSpPr>
      <xdr:spPr bwMode="auto">
        <a:xfrm rot="10800000">
          <a:off x="11887200" y="2590800"/>
          <a:ext cx="1619250" cy="2705100"/>
        </a:xfrm>
        <a:prstGeom prst="line">
          <a:avLst/>
        </a:prstGeom>
        <a:noFill/>
        <a:ln w="9525" algn="ctr">
          <a:solidFill>
            <a:srgbClr val="000000"/>
          </a:solidFill>
          <a:round/>
          <a:headEnd/>
          <a:tailEnd type="triangle" w="med" len="med"/>
        </a:ln>
      </xdr:spPr>
    </xdr:cxnSp>
    <xdr:clientData/>
  </xdr:twoCellAnchor>
  <xdr:twoCellAnchor>
    <xdr:from>
      <xdr:col>6</xdr:col>
      <xdr:colOff>1266825</xdr:colOff>
      <xdr:row>20</xdr:row>
      <xdr:rowOff>38100</xdr:rowOff>
    </xdr:from>
    <xdr:to>
      <xdr:col>7</xdr:col>
      <xdr:colOff>1438275</xdr:colOff>
      <xdr:row>32</xdr:row>
      <xdr:rowOff>95250</xdr:rowOff>
    </xdr:to>
    <xdr:cxnSp macro="">
      <xdr:nvCxnSpPr>
        <xdr:cNvPr id="3551847" name="Straight Connector 321">
          <a:extLst>
            <a:ext uri="{FF2B5EF4-FFF2-40B4-BE49-F238E27FC236}">
              <a16:creationId xmlns:a16="http://schemas.microsoft.com/office/drawing/2014/main" xmlns="" id="{00000000-0008-0000-0400-000067323600}"/>
            </a:ext>
          </a:extLst>
        </xdr:cNvPr>
        <xdr:cNvCxnSpPr>
          <a:cxnSpLocks noChangeShapeType="1"/>
          <a:stCxn id="219" idx="1"/>
          <a:endCxn id="182" idx="3"/>
        </xdr:cNvCxnSpPr>
      </xdr:nvCxnSpPr>
      <xdr:spPr bwMode="auto">
        <a:xfrm rot="10800000">
          <a:off x="11887200" y="3295650"/>
          <a:ext cx="1619250" cy="2000250"/>
        </a:xfrm>
        <a:prstGeom prst="line">
          <a:avLst/>
        </a:prstGeom>
        <a:noFill/>
        <a:ln w="9525" algn="ctr">
          <a:solidFill>
            <a:srgbClr val="000000"/>
          </a:solidFill>
          <a:round/>
          <a:headEnd/>
          <a:tailEnd type="triangle" w="med" len="med"/>
        </a:ln>
      </xdr:spPr>
    </xdr:cxnSp>
    <xdr:clientData/>
  </xdr:twoCellAnchor>
  <xdr:twoCellAnchor>
    <xdr:from>
      <xdr:col>6</xdr:col>
      <xdr:colOff>1257300</xdr:colOff>
      <xdr:row>24</xdr:row>
      <xdr:rowOff>85725</xdr:rowOff>
    </xdr:from>
    <xdr:to>
      <xdr:col>7</xdr:col>
      <xdr:colOff>1438275</xdr:colOff>
      <xdr:row>32</xdr:row>
      <xdr:rowOff>95250</xdr:rowOff>
    </xdr:to>
    <xdr:cxnSp macro="">
      <xdr:nvCxnSpPr>
        <xdr:cNvPr id="3551858" name="Straight Connector 321">
          <a:extLst>
            <a:ext uri="{FF2B5EF4-FFF2-40B4-BE49-F238E27FC236}">
              <a16:creationId xmlns:a16="http://schemas.microsoft.com/office/drawing/2014/main" xmlns="" id="{00000000-0008-0000-0400-000072323600}"/>
            </a:ext>
          </a:extLst>
        </xdr:cNvPr>
        <xdr:cNvCxnSpPr>
          <a:cxnSpLocks noChangeShapeType="1"/>
          <a:stCxn id="219" idx="1"/>
          <a:endCxn id="183" idx="3"/>
        </xdr:cNvCxnSpPr>
      </xdr:nvCxnSpPr>
      <xdr:spPr bwMode="auto">
        <a:xfrm rot="10800000">
          <a:off x="11877675" y="3990975"/>
          <a:ext cx="1628775" cy="1304925"/>
        </a:xfrm>
        <a:prstGeom prst="line">
          <a:avLst/>
        </a:prstGeom>
        <a:noFill/>
        <a:ln w="9525" algn="ctr">
          <a:solidFill>
            <a:srgbClr val="000000"/>
          </a:solidFill>
          <a:round/>
          <a:headEnd/>
          <a:tailEnd type="triangle" w="med" len="med"/>
        </a:ln>
      </xdr:spPr>
    </xdr:cxnSp>
    <xdr:clientData/>
  </xdr:twoCellAnchor>
  <xdr:twoCellAnchor>
    <xdr:from>
      <xdr:col>6</xdr:col>
      <xdr:colOff>1390650</xdr:colOff>
      <xdr:row>7</xdr:row>
      <xdr:rowOff>38100</xdr:rowOff>
    </xdr:from>
    <xdr:to>
      <xdr:col>8</xdr:col>
      <xdr:colOff>28575</xdr:colOff>
      <xdr:row>32</xdr:row>
      <xdr:rowOff>85725</xdr:rowOff>
    </xdr:to>
    <xdr:cxnSp macro="">
      <xdr:nvCxnSpPr>
        <xdr:cNvPr id="3551859" name="AutoShape 30">
          <a:extLst>
            <a:ext uri="{FF2B5EF4-FFF2-40B4-BE49-F238E27FC236}">
              <a16:creationId xmlns:a16="http://schemas.microsoft.com/office/drawing/2014/main" xmlns="" id="{00000000-0008-0000-0400-000073323600}"/>
            </a:ext>
          </a:extLst>
        </xdr:cNvPr>
        <xdr:cNvCxnSpPr>
          <a:cxnSpLocks noChangeShapeType="1"/>
          <a:stCxn id="160" idx="1"/>
          <a:endCxn id="166" idx="3"/>
        </xdr:cNvCxnSpPr>
      </xdr:nvCxnSpPr>
      <xdr:spPr bwMode="auto">
        <a:xfrm rot="10800000" flipV="1">
          <a:off x="12011025" y="1190625"/>
          <a:ext cx="1533525" cy="4095750"/>
        </a:xfrm>
        <a:prstGeom prst="straightConnector1">
          <a:avLst/>
        </a:prstGeom>
        <a:noFill/>
        <a:ln w="9525">
          <a:solidFill>
            <a:srgbClr val="000000"/>
          </a:solidFill>
          <a:round/>
          <a:headEnd/>
          <a:tailEnd type="triangle" w="med" len="med"/>
        </a:ln>
      </xdr:spPr>
    </xdr:cxnSp>
    <xdr:clientData/>
  </xdr:twoCellAnchor>
  <xdr:twoCellAnchor>
    <xdr:from>
      <xdr:col>5</xdr:col>
      <xdr:colOff>1295400</xdr:colOff>
      <xdr:row>24</xdr:row>
      <xdr:rowOff>85725</xdr:rowOff>
    </xdr:from>
    <xdr:to>
      <xdr:col>5</xdr:col>
      <xdr:colOff>1428750</xdr:colOff>
      <xdr:row>32</xdr:row>
      <xdr:rowOff>85725</xdr:rowOff>
    </xdr:to>
    <xdr:cxnSp macro="">
      <xdr:nvCxnSpPr>
        <xdr:cNvPr id="3551860" name="Curved Connector 140">
          <a:extLst>
            <a:ext uri="{FF2B5EF4-FFF2-40B4-BE49-F238E27FC236}">
              <a16:creationId xmlns:a16="http://schemas.microsoft.com/office/drawing/2014/main" xmlns="" id="{00000000-0008-0000-0400-000074323600}"/>
            </a:ext>
          </a:extLst>
        </xdr:cNvPr>
        <xdr:cNvCxnSpPr>
          <a:cxnSpLocks noChangeShapeType="1"/>
          <a:stCxn id="166" idx="1"/>
          <a:endCxn id="183" idx="1"/>
        </xdr:cNvCxnSpPr>
      </xdr:nvCxnSpPr>
      <xdr:spPr bwMode="auto">
        <a:xfrm rot="10800000">
          <a:off x="10467975" y="3990975"/>
          <a:ext cx="133350" cy="1295400"/>
        </a:xfrm>
        <a:prstGeom prst="curvedConnector3">
          <a:avLst>
            <a:gd name="adj1" fmla="val 268000"/>
          </a:avLst>
        </a:prstGeom>
        <a:noFill/>
        <a:ln w="9525" algn="ctr">
          <a:solidFill>
            <a:srgbClr val="000000"/>
          </a:solidFill>
          <a:round/>
          <a:headEnd/>
          <a:tailEnd type="triangle" w="med" len="med"/>
        </a:ln>
      </xdr:spPr>
    </xdr:cxnSp>
    <xdr:clientData/>
  </xdr:twoCellAnchor>
  <xdr:twoCellAnchor>
    <xdr:from>
      <xdr:col>5</xdr:col>
      <xdr:colOff>1304925</xdr:colOff>
      <xdr:row>20</xdr:row>
      <xdr:rowOff>38100</xdr:rowOff>
    </xdr:from>
    <xdr:to>
      <xdr:col>5</xdr:col>
      <xdr:colOff>1428750</xdr:colOff>
      <xdr:row>32</xdr:row>
      <xdr:rowOff>85725</xdr:rowOff>
    </xdr:to>
    <xdr:cxnSp macro="">
      <xdr:nvCxnSpPr>
        <xdr:cNvPr id="3551861" name="Curved Connector 140">
          <a:extLst>
            <a:ext uri="{FF2B5EF4-FFF2-40B4-BE49-F238E27FC236}">
              <a16:creationId xmlns:a16="http://schemas.microsoft.com/office/drawing/2014/main" xmlns="" id="{00000000-0008-0000-0400-000075323600}"/>
            </a:ext>
          </a:extLst>
        </xdr:cNvPr>
        <xdr:cNvCxnSpPr>
          <a:cxnSpLocks noChangeShapeType="1"/>
          <a:stCxn id="166" idx="1"/>
          <a:endCxn id="182" idx="1"/>
        </xdr:cNvCxnSpPr>
      </xdr:nvCxnSpPr>
      <xdr:spPr bwMode="auto">
        <a:xfrm rot="10800000">
          <a:off x="10477500" y="3295650"/>
          <a:ext cx="123825" cy="1990725"/>
        </a:xfrm>
        <a:prstGeom prst="curvedConnector3">
          <a:avLst>
            <a:gd name="adj1" fmla="val 286667"/>
          </a:avLst>
        </a:prstGeom>
        <a:noFill/>
        <a:ln w="9525" algn="ctr">
          <a:solidFill>
            <a:srgbClr val="000000"/>
          </a:solidFill>
          <a:round/>
          <a:headEnd/>
          <a:tailEnd type="triangle" w="med" len="med"/>
        </a:ln>
      </xdr:spPr>
    </xdr:cxnSp>
    <xdr:clientData/>
  </xdr:twoCellAnchor>
  <xdr:twoCellAnchor>
    <xdr:from>
      <xdr:col>5</xdr:col>
      <xdr:colOff>1304925</xdr:colOff>
      <xdr:row>15</xdr:row>
      <xdr:rowOff>142875</xdr:rowOff>
    </xdr:from>
    <xdr:to>
      <xdr:col>5</xdr:col>
      <xdr:colOff>1428750</xdr:colOff>
      <xdr:row>32</xdr:row>
      <xdr:rowOff>85725</xdr:rowOff>
    </xdr:to>
    <xdr:cxnSp macro="">
      <xdr:nvCxnSpPr>
        <xdr:cNvPr id="3551862" name="Curved Connector 140">
          <a:extLst>
            <a:ext uri="{FF2B5EF4-FFF2-40B4-BE49-F238E27FC236}">
              <a16:creationId xmlns:a16="http://schemas.microsoft.com/office/drawing/2014/main" xmlns="" id="{00000000-0008-0000-0400-000076323600}"/>
            </a:ext>
          </a:extLst>
        </xdr:cNvPr>
        <xdr:cNvCxnSpPr>
          <a:cxnSpLocks noChangeShapeType="1"/>
          <a:stCxn id="166" idx="1"/>
          <a:endCxn id="181" idx="1"/>
        </xdr:cNvCxnSpPr>
      </xdr:nvCxnSpPr>
      <xdr:spPr bwMode="auto">
        <a:xfrm rot="10800000">
          <a:off x="10477500" y="2590800"/>
          <a:ext cx="123825" cy="2695575"/>
        </a:xfrm>
        <a:prstGeom prst="curvedConnector3">
          <a:avLst>
            <a:gd name="adj1" fmla="val 286667"/>
          </a:avLst>
        </a:prstGeom>
        <a:noFill/>
        <a:ln w="9525" algn="ctr">
          <a:solidFill>
            <a:srgbClr val="000000"/>
          </a:solidFill>
          <a:round/>
          <a:headEnd/>
          <a:tailEnd type="triangle" w="med" len="med"/>
        </a:ln>
      </xdr:spPr>
    </xdr:cxnSp>
    <xdr:clientData/>
  </xdr:twoCellAnchor>
  <xdr:twoCellAnchor>
    <xdr:from>
      <xdr:col>8</xdr:col>
      <xdr:colOff>1372797</xdr:colOff>
      <xdr:row>2</xdr:row>
      <xdr:rowOff>161652</xdr:rowOff>
    </xdr:from>
    <xdr:to>
      <xdr:col>8</xdr:col>
      <xdr:colOff>1427226</xdr:colOff>
      <xdr:row>24</xdr:row>
      <xdr:rowOff>6081</xdr:rowOff>
    </xdr:to>
    <xdr:cxnSp macro="">
      <xdr:nvCxnSpPr>
        <xdr:cNvPr id="211" name="Shape 233">
          <a:extLst>
            <a:ext uri="{FF2B5EF4-FFF2-40B4-BE49-F238E27FC236}">
              <a16:creationId xmlns:a16="http://schemas.microsoft.com/office/drawing/2014/main" xmlns="" id="{00000000-0008-0000-0400-0000D3000000}"/>
            </a:ext>
          </a:extLst>
        </xdr:cNvPr>
        <xdr:cNvCxnSpPr>
          <a:cxnSpLocks noChangeShapeType="1"/>
          <a:stCxn id="189" idx="3"/>
          <a:endCxn id="158" idx="3"/>
        </xdr:cNvCxnSpPr>
      </xdr:nvCxnSpPr>
      <xdr:spPr bwMode="auto">
        <a:xfrm flipH="1">
          <a:off x="14888772" y="504552"/>
          <a:ext cx="54429" cy="3406779"/>
        </a:xfrm>
        <a:prstGeom prst="curvedConnector3">
          <a:avLst>
            <a:gd name="adj1" fmla="val -419997"/>
          </a:avLst>
        </a:prstGeom>
        <a:ln>
          <a:solidFill>
            <a:schemeClr val="tx1"/>
          </a:solidFill>
          <a:headEnd/>
          <a:tailEnd type="triangle" w="med" len="med"/>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xdr:col>
      <xdr:colOff>1266662</xdr:colOff>
      <xdr:row>20</xdr:row>
      <xdr:rowOff>36467</xdr:rowOff>
    </xdr:from>
    <xdr:to>
      <xdr:col>7</xdr:col>
      <xdr:colOff>19050</xdr:colOff>
      <xdr:row>31</xdr:row>
      <xdr:rowOff>57150</xdr:rowOff>
    </xdr:to>
    <xdr:cxnSp macro="">
      <xdr:nvCxnSpPr>
        <xdr:cNvPr id="3551866" name="Shape 233">
          <a:extLst>
            <a:ext uri="{FF2B5EF4-FFF2-40B4-BE49-F238E27FC236}">
              <a16:creationId xmlns:a16="http://schemas.microsoft.com/office/drawing/2014/main" xmlns="" id="{00000000-0008-0000-0400-00007A323600}"/>
            </a:ext>
          </a:extLst>
        </xdr:cNvPr>
        <xdr:cNvCxnSpPr>
          <a:cxnSpLocks noChangeShapeType="1"/>
          <a:stCxn id="182" idx="3"/>
        </xdr:cNvCxnSpPr>
      </xdr:nvCxnSpPr>
      <xdr:spPr bwMode="auto">
        <a:xfrm>
          <a:off x="11887037" y="3294017"/>
          <a:ext cx="200188" cy="1801858"/>
        </a:xfrm>
        <a:prstGeom prst="curvedConnector2">
          <a:avLst/>
        </a:prstGeom>
        <a:noFill/>
        <a:ln w="9525" algn="ctr">
          <a:solidFill>
            <a:srgbClr val="000000"/>
          </a:solidFill>
          <a:round/>
          <a:headEnd/>
          <a:tailEnd type="triangle" w="med" len="med"/>
        </a:ln>
      </xdr:spPr>
    </xdr:cxnSp>
    <xdr:clientData/>
  </xdr:twoCellAnchor>
  <xdr:twoCellAnchor>
    <xdr:from>
      <xdr:col>6</xdr:col>
      <xdr:colOff>1253055</xdr:colOff>
      <xdr:row>24</xdr:row>
      <xdr:rowOff>89535</xdr:rowOff>
    </xdr:from>
    <xdr:to>
      <xdr:col>6</xdr:col>
      <xdr:colOff>1333500</xdr:colOff>
      <xdr:row>30</xdr:row>
      <xdr:rowOff>114300</xdr:rowOff>
    </xdr:to>
    <xdr:cxnSp macro="">
      <xdr:nvCxnSpPr>
        <xdr:cNvPr id="3551867" name="Shape 233">
          <a:extLst>
            <a:ext uri="{FF2B5EF4-FFF2-40B4-BE49-F238E27FC236}">
              <a16:creationId xmlns:a16="http://schemas.microsoft.com/office/drawing/2014/main" xmlns="" id="{00000000-0008-0000-0400-00007B323600}"/>
            </a:ext>
          </a:extLst>
        </xdr:cNvPr>
        <xdr:cNvCxnSpPr>
          <a:cxnSpLocks noChangeShapeType="1"/>
          <a:stCxn id="183" idx="3"/>
        </xdr:cNvCxnSpPr>
      </xdr:nvCxnSpPr>
      <xdr:spPr bwMode="auto">
        <a:xfrm>
          <a:off x="11873430" y="3994785"/>
          <a:ext cx="80445" cy="996315"/>
        </a:xfrm>
        <a:prstGeom prst="curvedConnector2">
          <a:avLst/>
        </a:prstGeom>
        <a:noFill/>
        <a:ln w="9525" algn="ctr">
          <a:solidFill>
            <a:srgbClr val="000000"/>
          </a:solidFill>
          <a:round/>
          <a:headEnd/>
          <a:tailEnd type="triangle" w="med" len="med"/>
        </a:ln>
      </xdr:spPr>
    </xdr:cxnSp>
    <xdr:clientData/>
  </xdr:twoCellAnchor>
  <xdr:twoCellAnchor>
    <xdr:from>
      <xdr:col>6</xdr:col>
      <xdr:colOff>1266662</xdr:colOff>
      <xdr:row>15</xdr:row>
      <xdr:rowOff>143964</xdr:rowOff>
    </xdr:from>
    <xdr:to>
      <xdr:col>6</xdr:col>
      <xdr:colOff>1390650</xdr:colOff>
      <xdr:row>31</xdr:row>
      <xdr:rowOff>0</xdr:rowOff>
    </xdr:to>
    <xdr:cxnSp macro="">
      <xdr:nvCxnSpPr>
        <xdr:cNvPr id="3551868" name="Shape 233">
          <a:extLst>
            <a:ext uri="{FF2B5EF4-FFF2-40B4-BE49-F238E27FC236}">
              <a16:creationId xmlns:a16="http://schemas.microsoft.com/office/drawing/2014/main" xmlns="" id="{00000000-0008-0000-0400-00007C323600}"/>
            </a:ext>
          </a:extLst>
        </xdr:cNvPr>
        <xdr:cNvCxnSpPr>
          <a:cxnSpLocks noChangeShapeType="1"/>
          <a:stCxn id="181" idx="3"/>
        </xdr:cNvCxnSpPr>
      </xdr:nvCxnSpPr>
      <xdr:spPr bwMode="auto">
        <a:xfrm>
          <a:off x="11887037" y="2591889"/>
          <a:ext cx="123988" cy="2446836"/>
        </a:xfrm>
        <a:prstGeom prst="curvedConnector2">
          <a:avLst/>
        </a:prstGeom>
        <a:noFill/>
        <a:ln w="9525" algn="ctr">
          <a:solidFill>
            <a:srgbClr val="000000"/>
          </a:solidFill>
          <a:round/>
          <a:headEnd/>
          <a:tailEnd type="triangle" w="med" len="med"/>
        </a:ln>
      </xdr:spPr>
    </xdr:cxnSp>
    <xdr:clientData/>
  </xdr:twoCellAnchor>
  <xdr:twoCellAnchor>
    <xdr:from>
      <xdr:col>7</xdr:col>
      <xdr:colOff>1439636</xdr:colOff>
      <xdr:row>31</xdr:row>
      <xdr:rowOff>4083</xdr:rowOff>
    </xdr:from>
    <xdr:to>
      <xdr:col>8</xdr:col>
      <xdr:colOff>1400012</xdr:colOff>
      <xdr:row>34</xdr:row>
      <xdr:rowOff>21228</xdr:rowOff>
    </xdr:to>
    <xdr:sp macro="" textlink="">
      <xdr:nvSpPr>
        <xdr:cNvPr id="219" name="AutoShape 27">
          <a:hlinkClick xmlns:r="http://schemas.openxmlformats.org/officeDocument/2006/relationships" r:id="rId22" tooltip="Go to resourcestat_livestock_n"/>
          <a:extLst>
            <a:ext uri="{FF2B5EF4-FFF2-40B4-BE49-F238E27FC236}">
              <a16:creationId xmlns:a16="http://schemas.microsoft.com/office/drawing/2014/main" xmlns="" id="{00000000-0008-0000-0400-0000DB000000}"/>
            </a:ext>
          </a:extLst>
        </xdr:cNvPr>
        <xdr:cNvSpPr>
          <a:spLocks noChangeArrowheads="1"/>
        </xdr:cNvSpPr>
      </xdr:nvSpPr>
      <xdr:spPr bwMode="auto">
        <a:xfrm>
          <a:off x="13507811" y="5042808"/>
          <a:ext cx="1408176" cy="502920"/>
        </a:xfrm>
        <a:prstGeom prst="roundRect">
          <a:avLst>
            <a:gd name="adj" fmla="val 16667"/>
          </a:avLst>
        </a:prstGeom>
        <a:solidFill>
          <a:srgbClr val="FFE499"/>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prodstat_</a:t>
          </a:r>
        </a:p>
        <a:p>
          <a:r>
            <a:rPr lang="en-US" sz="1000"/>
            <a:t>livestock_n</a:t>
          </a:r>
        </a:p>
      </xdr:txBody>
    </xdr:sp>
    <xdr:clientData/>
  </xdr:twoCellAnchor>
  <xdr:twoCellAnchor>
    <xdr:from>
      <xdr:col>10</xdr:col>
      <xdr:colOff>8937</xdr:colOff>
      <xdr:row>24</xdr:row>
      <xdr:rowOff>149944</xdr:rowOff>
    </xdr:from>
    <xdr:to>
      <xdr:col>10</xdr:col>
      <xdr:colOff>1417113</xdr:colOff>
      <xdr:row>28</xdr:row>
      <xdr:rowOff>5164</xdr:rowOff>
    </xdr:to>
    <xdr:sp macro="" textlink="">
      <xdr:nvSpPr>
        <xdr:cNvPr id="133" name="AutoShape 28">
          <a:hlinkClick xmlns:r="http://schemas.openxmlformats.org/officeDocument/2006/relationships" r:id="rId23" tooltip="Go to crop_trade_yield_w"/>
          <a:extLst>
            <a:ext uri="{FF2B5EF4-FFF2-40B4-BE49-F238E27FC236}">
              <a16:creationId xmlns:a16="http://schemas.microsoft.com/office/drawing/2014/main" xmlns="" id="{00000000-0008-0000-0400-000085000000}"/>
            </a:ext>
          </a:extLst>
        </xdr:cNvPr>
        <xdr:cNvSpPr>
          <a:spLocks noChangeArrowheads="1"/>
        </xdr:cNvSpPr>
      </xdr:nvSpPr>
      <xdr:spPr bwMode="auto">
        <a:xfrm>
          <a:off x="16420512" y="4055194"/>
          <a:ext cx="1408176" cy="502920"/>
        </a:xfrm>
        <a:prstGeom prst="roundRect">
          <a:avLst>
            <a:gd name="adj" fmla="val 16667"/>
          </a:avLst>
        </a:prstGeom>
        <a:solidFill>
          <a:schemeClr val="accent2"/>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crop_trade_</a:t>
          </a:r>
        </a:p>
        <a:p>
          <a:r>
            <a:rPr lang="en-US" sz="1000"/>
            <a:t>yield_w</a:t>
          </a:r>
        </a:p>
      </xdr:txBody>
    </xdr:sp>
    <xdr:clientData/>
  </xdr:twoCellAnchor>
  <xdr:twoCellAnchor>
    <xdr:from>
      <xdr:col>10</xdr:col>
      <xdr:colOff>31297</xdr:colOff>
      <xdr:row>29</xdr:row>
      <xdr:rowOff>36990</xdr:rowOff>
    </xdr:from>
    <xdr:to>
      <xdr:col>10</xdr:col>
      <xdr:colOff>1439473</xdr:colOff>
      <xdr:row>32</xdr:row>
      <xdr:rowOff>54135</xdr:rowOff>
    </xdr:to>
    <xdr:sp macro="" textlink="">
      <xdr:nvSpPr>
        <xdr:cNvPr id="134" name="AutoShape 34">
          <a:hlinkClick xmlns:r="http://schemas.openxmlformats.org/officeDocument/2006/relationships" r:id="rId24" tooltip="Go to prodstat_crop_n"/>
          <a:extLst>
            <a:ext uri="{FF2B5EF4-FFF2-40B4-BE49-F238E27FC236}">
              <a16:creationId xmlns:a16="http://schemas.microsoft.com/office/drawing/2014/main" xmlns="" id="{00000000-0008-0000-0400-000086000000}"/>
            </a:ext>
          </a:extLst>
        </xdr:cNvPr>
        <xdr:cNvSpPr>
          <a:spLocks noChangeArrowheads="1"/>
        </xdr:cNvSpPr>
      </xdr:nvSpPr>
      <xdr:spPr bwMode="auto">
        <a:xfrm>
          <a:off x="16442872" y="4751865"/>
          <a:ext cx="1408176" cy="502920"/>
        </a:xfrm>
        <a:prstGeom prst="roundRect">
          <a:avLst>
            <a:gd name="adj" fmla="val 16667"/>
          </a:avLst>
        </a:prstGeom>
        <a:solidFill>
          <a:schemeClr val="accent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prodstat_crop_n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8</xdr:row>
      <xdr:rowOff>0</xdr:rowOff>
    </xdr:from>
    <xdr:to>
      <xdr:col>4</xdr:col>
      <xdr:colOff>733425</xdr:colOff>
      <xdr:row>34</xdr:row>
      <xdr:rowOff>123825</xdr:rowOff>
    </xdr:to>
    <xdr:graphicFrame macro="">
      <xdr:nvGraphicFramePr>
        <xdr:cNvPr id="3511084" name="Chart 5">
          <a:extLst>
            <a:ext uri="{FF2B5EF4-FFF2-40B4-BE49-F238E27FC236}">
              <a16:creationId xmlns:a16="http://schemas.microsoft.com/office/drawing/2014/main" xmlns="" id="{00000000-0008-0000-0500-00002C933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11210</xdr:colOff>
      <xdr:row>3</xdr:row>
      <xdr:rowOff>64995</xdr:rowOff>
    </xdr:from>
    <xdr:to>
      <xdr:col>6</xdr:col>
      <xdr:colOff>149087</xdr:colOff>
      <xdr:row>3</xdr:row>
      <xdr:rowOff>66261</xdr:rowOff>
    </xdr:to>
    <xdr:cxnSp macro="">
      <xdr:nvCxnSpPr>
        <xdr:cNvPr id="3511085" name="Straight Connector 36">
          <a:extLst>
            <a:ext uri="{FF2B5EF4-FFF2-40B4-BE49-F238E27FC236}">
              <a16:creationId xmlns:a16="http://schemas.microsoft.com/office/drawing/2014/main" xmlns="" id="{00000000-0008-0000-0500-00002D933500}"/>
            </a:ext>
          </a:extLst>
        </xdr:cNvPr>
        <xdr:cNvCxnSpPr>
          <a:cxnSpLocks noChangeShapeType="1"/>
        </xdr:cNvCxnSpPr>
      </xdr:nvCxnSpPr>
      <xdr:spPr bwMode="auto">
        <a:xfrm flipH="1" flipV="1">
          <a:off x="7697471" y="578517"/>
          <a:ext cx="1454812" cy="1266"/>
        </a:xfrm>
        <a:prstGeom prst="line">
          <a:avLst/>
        </a:prstGeom>
        <a:noFill/>
        <a:ln w="9525" algn="ctr">
          <a:solidFill>
            <a:srgbClr val="000000"/>
          </a:solidFill>
          <a:round/>
          <a:headEnd/>
          <a:tailEnd type="triangle" w="med" len="med"/>
        </a:ln>
      </xdr:spPr>
    </xdr:cxnSp>
    <xdr:clientData/>
  </xdr:twoCellAnchor>
  <xdr:twoCellAnchor>
    <xdr:from>
      <xdr:col>5</xdr:col>
      <xdr:colOff>9525</xdr:colOff>
      <xdr:row>5</xdr:row>
      <xdr:rowOff>57151</xdr:rowOff>
    </xdr:from>
    <xdr:to>
      <xdr:col>6</xdr:col>
      <xdr:colOff>40821</xdr:colOff>
      <xdr:row>12</xdr:row>
      <xdr:rowOff>27214</xdr:rowOff>
    </xdr:to>
    <xdr:cxnSp macro="">
      <xdr:nvCxnSpPr>
        <xdr:cNvPr id="3511087" name="Straight Connector 40">
          <a:extLst>
            <a:ext uri="{FF2B5EF4-FFF2-40B4-BE49-F238E27FC236}">
              <a16:creationId xmlns:a16="http://schemas.microsoft.com/office/drawing/2014/main" xmlns="" id="{00000000-0008-0000-0500-00002F933500}"/>
            </a:ext>
          </a:extLst>
        </xdr:cNvPr>
        <xdr:cNvCxnSpPr>
          <a:cxnSpLocks noChangeShapeType="1"/>
        </xdr:cNvCxnSpPr>
      </xdr:nvCxnSpPr>
      <xdr:spPr bwMode="auto">
        <a:xfrm flipH="1" flipV="1">
          <a:off x="7697561" y="887187"/>
          <a:ext cx="1351189" cy="1113063"/>
        </a:xfrm>
        <a:prstGeom prst="line">
          <a:avLst/>
        </a:prstGeom>
        <a:noFill/>
        <a:ln w="9525" algn="ctr">
          <a:solidFill>
            <a:srgbClr val="000000"/>
          </a:solidFill>
          <a:round/>
          <a:headEnd/>
          <a:tailEnd type="triangle" w="med" len="med"/>
        </a:ln>
      </xdr:spPr>
    </xdr:cxnSp>
    <xdr:clientData/>
  </xdr:twoCellAnchor>
  <xdr:twoCellAnchor>
    <xdr:from>
      <xdr:col>5</xdr:col>
      <xdr:colOff>1221443</xdr:colOff>
      <xdr:row>1</xdr:row>
      <xdr:rowOff>80683</xdr:rowOff>
    </xdr:from>
    <xdr:to>
      <xdr:col>8</xdr:col>
      <xdr:colOff>94554</xdr:colOff>
      <xdr:row>4</xdr:row>
      <xdr:rowOff>103097</xdr:rowOff>
    </xdr:to>
    <xdr:sp macro="" textlink="">
      <xdr:nvSpPr>
        <xdr:cNvPr id="64" name="AutoShape 19">
          <a:hlinkClick xmlns:r="http://schemas.openxmlformats.org/officeDocument/2006/relationships" r:id="rId2" tooltip="Go to fish_marine_efp"/>
          <a:extLst>
            <a:ext uri="{FF2B5EF4-FFF2-40B4-BE49-F238E27FC236}">
              <a16:creationId xmlns:a16="http://schemas.microsoft.com/office/drawing/2014/main" xmlns="" id="{00000000-0008-0000-0500-000040000000}"/>
            </a:ext>
          </a:extLst>
        </xdr:cNvPr>
        <xdr:cNvSpPr>
          <a:spLocks noChangeArrowheads="1"/>
        </xdr:cNvSpPr>
      </xdr:nvSpPr>
      <xdr:spPr bwMode="auto">
        <a:xfrm>
          <a:off x="8908678" y="259977"/>
          <a:ext cx="1394435" cy="493061"/>
        </a:xfrm>
        <a:prstGeom prst="roundRect">
          <a:avLst>
            <a:gd name="adj" fmla="val 16667"/>
          </a:avLst>
        </a:prstGeom>
        <a:solidFill>
          <a:schemeClr val="accent4"/>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fish_efp</a:t>
          </a:r>
        </a:p>
      </xdr:txBody>
    </xdr:sp>
    <xdr:clientData/>
  </xdr:twoCellAnchor>
  <xdr:twoCellAnchor>
    <xdr:from>
      <xdr:col>5</xdr:col>
      <xdr:colOff>1250497</xdr:colOff>
      <xdr:row>10</xdr:row>
      <xdr:rowOff>45837</xdr:rowOff>
    </xdr:from>
    <xdr:to>
      <xdr:col>8</xdr:col>
      <xdr:colOff>120247</xdr:colOff>
      <xdr:row>13</xdr:row>
      <xdr:rowOff>64889</xdr:rowOff>
    </xdr:to>
    <xdr:sp macro="" textlink="">
      <xdr:nvSpPr>
        <xdr:cNvPr id="66" name="AutoShape 21">
          <a:hlinkClick xmlns:r="http://schemas.openxmlformats.org/officeDocument/2006/relationships" r:id="rId3" tooltip="Go to fish_commodity_efi"/>
          <a:extLst>
            <a:ext uri="{FF2B5EF4-FFF2-40B4-BE49-F238E27FC236}">
              <a16:creationId xmlns:a16="http://schemas.microsoft.com/office/drawing/2014/main" xmlns="" id="{00000000-0008-0000-0500-000042000000}"/>
            </a:ext>
          </a:extLst>
        </xdr:cNvPr>
        <xdr:cNvSpPr>
          <a:spLocks noChangeArrowheads="1"/>
        </xdr:cNvSpPr>
      </xdr:nvSpPr>
      <xdr:spPr bwMode="auto">
        <a:xfrm>
          <a:off x="8938533" y="1692301"/>
          <a:ext cx="1414285" cy="508909"/>
        </a:xfrm>
        <a:prstGeom prst="roundRect">
          <a:avLst>
            <a:gd name="adj" fmla="val 16667"/>
          </a:avLst>
        </a:prstGeom>
        <a:solidFill>
          <a:schemeClr val="accent4"/>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fish_efi_efe</a:t>
          </a:r>
        </a:p>
      </xdr:txBody>
    </xdr:sp>
    <xdr:clientData/>
  </xdr:twoCellAnchor>
  <xdr:twoCellAnchor>
    <xdr:from>
      <xdr:col>10</xdr:col>
      <xdr:colOff>123856</xdr:colOff>
      <xdr:row>12</xdr:row>
      <xdr:rowOff>42900</xdr:rowOff>
    </xdr:from>
    <xdr:to>
      <xdr:col>12</xdr:col>
      <xdr:colOff>308056</xdr:colOff>
      <xdr:row>15</xdr:row>
      <xdr:rowOff>61952</xdr:rowOff>
    </xdr:to>
    <xdr:sp macro="" textlink="">
      <xdr:nvSpPr>
        <xdr:cNvPr id="68" name="AutoShape 27">
          <a:hlinkClick xmlns:r="http://schemas.openxmlformats.org/officeDocument/2006/relationships" r:id="rId4" tooltip="Go to fish_commodity_yield_n"/>
          <a:extLst>
            <a:ext uri="{FF2B5EF4-FFF2-40B4-BE49-F238E27FC236}">
              <a16:creationId xmlns:a16="http://schemas.microsoft.com/office/drawing/2014/main" xmlns="" id="{00000000-0008-0000-0500-000044000000}"/>
            </a:ext>
          </a:extLst>
        </xdr:cNvPr>
        <xdr:cNvSpPr>
          <a:spLocks noChangeArrowheads="1"/>
        </xdr:cNvSpPr>
      </xdr:nvSpPr>
      <xdr:spPr bwMode="auto">
        <a:xfrm>
          <a:off x="13249306" y="3567150"/>
          <a:ext cx="1403400" cy="504827"/>
        </a:xfrm>
        <a:prstGeom prst="roundRect">
          <a:avLst>
            <a:gd name="adj" fmla="val 16667"/>
          </a:avLst>
        </a:prstGeom>
        <a:solidFill>
          <a:schemeClr val="accent4"/>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fish_commodity_</a:t>
          </a:r>
        </a:p>
        <a:p>
          <a:r>
            <a:rPr lang="en-US" sz="1000">
              <a:solidFill>
                <a:schemeClr val="bg1"/>
              </a:solidFill>
            </a:rPr>
            <a:t>yield_n</a:t>
          </a:r>
        </a:p>
      </xdr:txBody>
    </xdr:sp>
    <xdr:clientData/>
  </xdr:twoCellAnchor>
  <xdr:twoCellAnchor>
    <xdr:from>
      <xdr:col>13</xdr:col>
      <xdr:colOff>474736</xdr:colOff>
      <xdr:row>43</xdr:row>
      <xdr:rowOff>101626</xdr:rowOff>
    </xdr:from>
    <xdr:to>
      <xdr:col>16</xdr:col>
      <xdr:colOff>49336</xdr:colOff>
      <xdr:row>46</xdr:row>
      <xdr:rowOff>120678</xdr:rowOff>
    </xdr:to>
    <xdr:sp macro="" textlink="">
      <xdr:nvSpPr>
        <xdr:cNvPr id="73" name="AutoShape 41">
          <a:hlinkClick xmlns:r="http://schemas.openxmlformats.org/officeDocument/2006/relationships" r:id="rId5" tooltip="Go to eqf"/>
          <a:extLst>
            <a:ext uri="{FF2B5EF4-FFF2-40B4-BE49-F238E27FC236}">
              <a16:creationId xmlns:a16="http://schemas.microsoft.com/office/drawing/2014/main" xmlns="" id="{00000000-0008-0000-0500-000049000000}"/>
            </a:ext>
          </a:extLst>
        </xdr:cNvPr>
        <xdr:cNvSpPr>
          <a:spLocks noChangeArrowheads="1"/>
        </xdr:cNvSpPr>
      </xdr:nvSpPr>
      <xdr:spPr bwMode="auto">
        <a:xfrm>
          <a:off x="16019536" y="2187601"/>
          <a:ext cx="1403400" cy="504827"/>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eqf</a:t>
          </a:r>
        </a:p>
      </xdr:txBody>
    </xdr:sp>
    <xdr:clientData/>
  </xdr:twoCellAnchor>
  <xdr:twoCellAnchor>
    <xdr:from>
      <xdr:col>13</xdr:col>
      <xdr:colOff>465211</xdr:colOff>
      <xdr:row>39</xdr:row>
      <xdr:rowOff>92116</xdr:rowOff>
    </xdr:from>
    <xdr:to>
      <xdr:col>16</xdr:col>
      <xdr:colOff>39811</xdr:colOff>
      <xdr:row>42</xdr:row>
      <xdr:rowOff>111168</xdr:rowOff>
    </xdr:to>
    <xdr:sp macro="" textlink="">
      <xdr:nvSpPr>
        <xdr:cNvPr id="74" name="AutoShape 43">
          <a:hlinkClick xmlns:r="http://schemas.openxmlformats.org/officeDocument/2006/relationships" r:id="rId6" tooltip="Go to cnst_fish"/>
          <a:extLst>
            <a:ext uri="{FF2B5EF4-FFF2-40B4-BE49-F238E27FC236}">
              <a16:creationId xmlns:a16="http://schemas.microsoft.com/office/drawing/2014/main" xmlns="" id="{00000000-0008-0000-0500-00004A000000}"/>
            </a:ext>
          </a:extLst>
        </xdr:cNvPr>
        <xdr:cNvSpPr>
          <a:spLocks noChangeArrowheads="1"/>
        </xdr:cNvSpPr>
      </xdr:nvSpPr>
      <xdr:spPr bwMode="auto">
        <a:xfrm>
          <a:off x="16019536" y="3568741"/>
          <a:ext cx="1403400" cy="504827"/>
        </a:xfrm>
        <a:prstGeom prst="roundRect">
          <a:avLst>
            <a:gd name="adj" fmla="val 16667"/>
          </a:avLst>
        </a:prstGeom>
        <a:solidFill>
          <a:schemeClr val="accent4"/>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cnst_fish</a:t>
          </a:r>
        </a:p>
      </xdr:txBody>
    </xdr:sp>
    <xdr:clientData/>
  </xdr:twoCellAnchor>
  <xdr:twoCellAnchor>
    <xdr:from>
      <xdr:col>10</xdr:col>
      <xdr:colOff>122280</xdr:colOff>
      <xdr:row>7</xdr:row>
      <xdr:rowOff>82576</xdr:rowOff>
    </xdr:from>
    <xdr:to>
      <xdr:col>12</xdr:col>
      <xdr:colOff>306480</xdr:colOff>
      <xdr:row>10</xdr:row>
      <xdr:rowOff>101628</xdr:rowOff>
    </xdr:to>
    <xdr:sp macro="" textlink="">
      <xdr:nvSpPr>
        <xdr:cNvPr id="83" name="AutoShape 27">
          <a:hlinkClick xmlns:r="http://schemas.openxmlformats.org/officeDocument/2006/relationships" r:id="rId7" tooltip="Go to fish_group_yield_n"/>
          <a:extLst>
            <a:ext uri="{FF2B5EF4-FFF2-40B4-BE49-F238E27FC236}">
              <a16:creationId xmlns:a16="http://schemas.microsoft.com/office/drawing/2014/main" xmlns="" id="{00000000-0008-0000-0500-000053000000}"/>
            </a:ext>
          </a:extLst>
        </xdr:cNvPr>
        <xdr:cNvSpPr>
          <a:spLocks noChangeArrowheads="1"/>
        </xdr:cNvSpPr>
      </xdr:nvSpPr>
      <xdr:spPr bwMode="auto">
        <a:xfrm>
          <a:off x="13257255" y="2187601"/>
          <a:ext cx="1403400" cy="504827"/>
        </a:xfrm>
        <a:prstGeom prst="roundRect">
          <a:avLst>
            <a:gd name="adj" fmla="val 16667"/>
          </a:avLst>
        </a:prstGeom>
        <a:solidFill>
          <a:schemeClr val="accent4"/>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fish_group_</a:t>
          </a:r>
        </a:p>
        <a:p>
          <a:r>
            <a:rPr lang="en-US" sz="1000">
              <a:solidFill>
                <a:schemeClr val="bg1"/>
              </a:solidFill>
            </a:rPr>
            <a:t>yield_n</a:t>
          </a:r>
        </a:p>
      </xdr:txBody>
    </xdr:sp>
    <xdr:clientData/>
  </xdr:twoCellAnchor>
  <xdr:twoCellAnchor>
    <xdr:from>
      <xdr:col>10</xdr:col>
      <xdr:colOff>104775</xdr:colOff>
      <xdr:row>33</xdr:row>
      <xdr:rowOff>114300</xdr:rowOff>
    </xdr:from>
    <xdr:to>
      <xdr:col>12</xdr:col>
      <xdr:colOff>285750</xdr:colOff>
      <xdr:row>36</xdr:row>
      <xdr:rowOff>133350</xdr:rowOff>
    </xdr:to>
    <xdr:sp macro="" textlink="">
      <xdr:nvSpPr>
        <xdr:cNvPr id="672630" name="AutoShape 886">
          <a:hlinkClick xmlns:r="http://schemas.openxmlformats.org/officeDocument/2006/relationships" r:id="rId8" tooltip="Go to fish_feed_group_yield_w"/>
          <a:extLst>
            <a:ext uri="{FF2B5EF4-FFF2-40B4-BE49-F238E27FC236}">
              <a16:creationId xmlns:a16="http://schemas.microsoft.com/office/drawing/2014/main" xmlns="" id="{00000000-0008-0000-0500-000076430A00}"/>
            </a:ext>
          </a:extLst>
        </xdr:cNvPr>
        <xdr:cNvSpPr>
          <a:spLocks noChangeArrowheads="1"/>
        </xdr:cNvSpPr>
      </xdr:nvSpPr>
      <xdr:spPr bwMode="auto">
        <a:xfrm>
          <a:off x="14859000" y="5476875"/>
          <a:ext cx="1400175" cy="504825"/>
        </a:xfrm>
        <a:prstGeom prst="flowChartAlternateProcess">
          <a:avLst/>
        </a:prstGeom>
        <a:solidFill>
          <a:srgbClr val="4C88C4"/>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fish_feed_group_yield_w</a:t>
          </a:r>
        </a:p>
      </xdr:txBody>
    </xdr:sp>
    <xdr:clientData/>
  </xdr:twoCellAnchor>
  <xdr:twoCellAnchor>
    <xdr:from>
      <xdr:col>10</xdr:col>
      <xdr:colOff>104775</xdr:colOff>
      <xdr:row>29</xdr:row>
      <xdr:rowOff>0</xdr:rowOff>
    </xdr:from>
    <xdr:to>
      <xdr:col>12</xdr:col>
      <xdr:colOff>285750</xdr:colOff>
      <xdr:row>32</xdr:row>
      <xdr:rowOff>19050</xdr:rowOff>
    </xdr:to>
    <xdr:sp macro="" textlink="">
      <xdr:nvSpPr>
        <xdr:cNvPr id="672631" name="AutoShape 887">
          <a:hlinkClick xmlns:r="http://schemas.openxmlformats.org/officeDocument/2006/relationships" r:id="rId9" tooltip="Go to fish_feed_group_yield_n"/>
          <a:extLst>
            <a:ext uri="{FF2B5EF4-FFF2-40B4-BE49-F238E27FC236}">
              <a16:creationId xmlns:a16="http://schemas.microsoft.com/office/drawing/2014/main" xmlns="" id="{00000000-0008-0000-0500-000077430A00}"/>
            </a:ext>
          </a:extLst>
        </xdr:cNvPr>
        <xdr:cNvSpPr>
          <a:spLocks noChangeArrowheads="1"/>
        </xdr:cNvSpPr>
      </xdr:nvSpPr>
      <xdr:spPr bwMode="auto">
        <a:xfrm>
          <a:off x="14859000" y="4714875"/>
          <a:ext cx="1400175" cy="504825"/>
        </a:xfrm>
        <a:prstGeom prst="flowChartAlternateProcess">
          <a:avLst/>
        </a:prstGeom>
        <a:solidFill>
          <a:srgbClr val="4C88C4"/>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fish_feed_group_yield_n</a:t>
          </a:r>
        </a:p>
      </xdr:txBody>
    </xdr:sp>
    <xdr:clientData/>
  </xdr:twoCellAnchor>
  <xdr:twoCellAnchor>
    <xdr:from>
      <xdr:col>10</xdr:col>
      <xdr:colOff>104775</xdr:colOff>
      <xdr:row>19</xdr:row>
      <xdr:rowOff>133350</xdr:rowOff>
    </xdr:from>
    <xdr:to>
      <xdr:col>12</xdr:col>
      <xdr:colOff>285750</xdr:colOff>
      <xdr:row>22</xdr:row>
      <xdr:rowOff>152400</xdr:rowOff>
    </xdr:to>
    <xdr:sp macro="" textlink="">
      <xdr:nvSpPr>
        <xdr:cNvPr id="672632" name="AutoShape 888">
          <a:hlinkClick xmlns:r="http://schemas.openxmlformats.org/officeDocument/2006/relationships" r:id="rId10" tooltip="Go to fish_group_yield_w"/>
          <a:extLst>
            <a:ext uri="{FF2B5EF4-FFF2-40B4-BE49-F238E27FC236}">
              <a16:creationId xmlns:a16="http://schemas.microsoft.com/office/drawing/2014/main" xmlns="" id="{00000000-0008-0000-0500-000078430A00}"/>
            </a:ext>
          </a:extLst>
        </xdr:cNvPr>
        <xdr:cNvSpPr>
          <a:spLocks noChangeArrowheads="1"/>
        </xdr:cNvSpPr>
      </xdr:nvSpPr>
      <xdr:spPr bwMode="auto">
        <a:xfrm>
          <a:off x="14859000" y="3228975"/>
          <a:ext cx="1400175" cy="504825"/>
        </a:xfrm>
        <a:prstGeom prst="flowChartAlternateProcess">
          <a:avLst/>
        </a:prstGeom>
        <a:solidFill>
          <a:srgbClr val="4C88C4"/>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fish_group_yield_w</a:t>
          </a:r>
        </a:p>
      </xdr:txBody>
    </xdr:sp>
    <xdr:clientData/>
  </xdr:twoCellAnchor>
  <xdr:twoCellAnchor>
    <xdr:from>
      <xdr:col>10</xdr:col>
      <xdr:colOff>104775</xdr:colOff>
      <xdr:row>38</xdr:row>
      <xdr:rowOff>9525</xdr:rowOff>
    </xdr:from>
    <xdr:to>
      <xdr:col>12</xdr:col>
      <xdr:colOff>285750</xdr:colOff>
      <xdr:row>41</xdr:row>
      <xdr:rowOff>28575</xdr:rowOff>
    </xdr:to>
    <xdr:sp macro="" textlink="">
      <xdr:nvSpPr>
        <xdr:cNvPr id="672633" name="AutoShape 889">
          <a:hlinkClick xmlns:r="http://schemas.openxmlformats.org/officeDocument/2006/relationships" r:id="rId11" tooltip="Go to fishmeal_fishes"/>
          <a:extLst>
            <a:ext uri="{FF2B5EF4-FFF2-40B4-BE49-F238E27FC236}">
              <a16:creationId xmlns:a16="http://schemas.microsoft.com/office/drawing/2014/main" xmlns="" id="{00000000-0008-0000-0500-000079430A00}"/>
            </a:ext>
          </a:extLst>
        </xdr:cNvPr>
        <xdr:cNvSpPr>
          <a:spLocks noChangeArrowheads="1"/>
        </xdr:cNvSpPr>
      </xdr:nvSpPr>
      <xdr:spPr bwMode="auto">
        <a:xfrm>
          <a:off x="14859000" y="6181725"/>
          <a:ext cx="1400175" cy="504825"/>
        </a:xfrm>
        <a:prstGeom prst="flowChartAlternateProcess">
          <a:avLst/>
        </a:prstGeom>
        <a:solidFill>
          <a:srgbClr val="4C88C4"/>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fishmeal_fishes</a:t>
          </a:r>
        </a:p>
      </xdr:txBody>
    </xdr:sp>
    <xdr:clientData/>
  </xdr:twoCellAnchor>
  <xdr:twoCellAnchor>
    <xdr:from>
      <xdr:col>10</xdr:col>
      <xdr:colOff>104775</xdr:colOff>
      <xdr:row>24</xdr:row>
      <xdr:rowOff>85725</xdr:rowOff>
    </xdr:from>
    <xdr:to>
      <xdr:col>12</xdr:col>
      <xdr:colOff>285750</xdr:colOff>
      <xdr:row>27</xdr:row>
      <xdr:rowOff>104775</xdr:rowOff>
    </xdr:to>
    <xdr:sp macro="" textlink="">
      <xdr:nvSpPr>
        <xdr:cNvPr id="672634" name="AutoShape 890">
          <a:hlinkClick xmlns:r="http://schemas.openxmlformats.org/officeDocument/2006/relationships" r:id="rId12" tooltip="Go to aquaculture_yields"/>
          <a:extLst>
            <a:ext uri="{FF2B5EF4-FFF2-40B4-BE49-F238E27FC236}">
              <a16:creationId xmlns:a16="http://schemas.microsoft.com/office/drawing/2014/main" xmlns="" id="{00000000-0008-0000-0500-00007A430A00}"/>
            </a:ext>
          </a:extLst>
        </xdr:cNvPr>
        <xdr:cNvSpPr>
          <a:spLocks noChangeArrowheads="1"/>
        </xdr:cNvSpPr>
      </xdr:nvSpPr>
      <xdr:spPr bwMode="auto">
        <a:xfrm>
          <a:off x="14859000" y="3990975"/>
          <a:ext cx="1400175" cy="504825"/>
        </a:xfrm>
        <a:prstGeom prst="flowChartAlternateProcess">
          <a:avLst/>
        </a:prstGeom>
        <a:solidFill>
          <a:srgbClr val="4C88C4"/>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aquaculture_yields</a:t>
          </a:r>
        </a:p>
      </xdr:txBody>
    </xdr:sp>
    <xdr:clientData/>
  </xdr:twoCellAnchor>
  <xdr:twoCellAnchor>
    <xdr:from>
      <xdr:col>13</xdr:col>
      <xdr:colOff>466725</xdr:colOff>
      <xdr:row>29</xdr:row>
      <xdr:rowOff>57150</xdr:rowOff>
    </xdr:from>
    <xdr:to>
      <xdr:col>16</xdr:col>
      <xdr:colOff>38100</xdr:colOff>
      <xdr:row>32</xdr:row>
      <xdr:rowOff>76200</xdr:rowOff>
    </xdr:to>
    <xdr:sp macro="" textlink="">
      <xdr:nvSpPr>
        <xdr:cNvPr id="672636" name="AutoShape 892">
          <a:hlinkClick xmlns:r="http://schemas.openxmlformats.org/officeDocument/2006/relationships" r:id="rId13" tooltip="Go to aquaculture_production_w"/>
          <a:extLst>
            <a:ext uri="{FF2B5EF4-FFF2-40B4-BE49-F238E27FC236}">
              <a16:creationId xmlns:a16="http://schemas.microsoft.com/office/drawing/2014/main" xmlns="" id="{00000000-0008-0000-0500-00007C430A00}"/>
            </a:ext>
          </a:extLst>
        </xdr:cNvPr>
        <xdr:cNvSpPr>
          <a:spLocks noChangeArrowheads="1"/>
        </xdr:cNvSpPr>
      </xdr:nvSpPr>
      <xdr:spPr bwMode="auto">
        <a:xfrm>
          <a:off x="18878550" y="4772025"/>
          <a:ext cx="1400175" cy="504825"/>
        </a:xfrm>
        <a:prstGeom prst="flowChartAlternateProcess">
          <a:avLst/>
        </a:prstGeom>
        <a:solidFill>
          <a:srgbClr val="4C88C4"/>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aquaculture_production_w</a:t>
          </a:r>
        </a:p>
      </xdr:txBody>
    </xdr:sp>
    <xdr:clientData/>
  </xdr:twoCellAnchor>
  <xdr:twoCellAnchor>
    <xdr:from>
      <xdr:col>13</xdr:col>
      <xdr:colOff>466725</xdr:colOff>
      <xdr:row>25</xdr:row>
      <xdr:rowOff>76200</xdr:rowOff>
    </xdr:from>
    <xdr:to>
      <xdr:col>16</xdr:col>
      <xdr:colOff>38100</xdr:colOff>
      <xdr:row>28</xdr:row>
      <xdr:rowOff>95250</xdr:rowOff>
    </xdr:to>
    <xdr:sp macro="" textlink="">
      <xdr:nvSpPr>
        <xdr:cNvPr id="672637" name="AutoShape 893">
          <a:hlinkClick xmlns:r="http://schemas.openxmlformats.org/officeDocument/2006/relationships" r:id="rId14" tooltip="Go to aquaculture_production_n"/>
          <a:extLst>
            <a:ext uri="{FF2B5EF4-FFF2-40B4-BE49-F238E27FC236}">
              <a16:creationId xmlns:a16="http://schemas.microsoft.com/office/drawing/2014/main" xmlns="" id="{00000000-0008-0000-0500-00007D430A00}"/>
            </a:ext>
          </a:extLst>
        </xdr:cNvPr>
        <xdr:cNvSpPr>
          <a:spLocks noChangeArrowheads="1"/>
        </xdr:cNvSpPr>
      </xdr:nvSpPr>
      <xdr:spPr bwMode="auto">
        <a:xfrm>
          <a:off x="18878550" y="4143375"/>
          <a:ext cx="1400175" cy="504825"/>
        </a:xfrm>
        <a:prstGeom prst="flowChartAlternateProcess">
          <a:avLst/>
        </a:prstGeom>
        <a:solidFill>
          <a:srgbClr val="4C88C4"/>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aquaculture_production_n</a:t>
          </a:r>
        </a:p>
      </xdr:txBody>
    </xdr:sp>
    <xdr:clientData/>
  </xdr:twoCellAnchor>
  <xdr:twoCellAnchor>
    <xdr:from>
      <xdr:col>13</xdr:col>
      <xdr:colOff>484261</xdr:colOff>
      <xdr:row>47</xdr:row>
      <xdr:rowOff>120676</xdr:rowOff>
    </xdr:from>
    <xdr:to>
      <xdr:col>16</xdr:col>
      <xdr:colOff>58861</xdr:colOff>
      <xdr:row>50</xdr:row>
      <xdr:rowOff>139728</xdr:rowOff>
    </xdr:to>
    <xdr:sp macro="" textlink="">
      <xdr:nvSpPr>
        <xdr:cNvPr id="2" name="AutoShape 41">
          <a:hlinkClick xmlns:r="http://schemas.openxmlformats.org/officeDocument/2006/relationships" r:id="rId15" tooltip="Go to yf"/>
          <a:extLst>
            <a:ext uri="{FF2B5EF4-FFF2-40B4-BE49-F238E27FC236}">
              <a16:creationId xmlns:a16="http://schemas.microsoft.com/office/drawing/2014/main" xmlns="" id="{00000000-0008-0000-0500-000002000000}"/>
            </a:ext>
          </a:extLst>
        </xdr:cNvPr>
        <xdr:cNvSpPr>
          <a:spLocks noChangeArrowheads="1"/>
        </xdr:cNvSpPr>
      </xdr:nvSpPr>
      <xdr:spPr bwMode="auto">
        <a:xfrm>
          <a:off x="16019536" y="2187601"/>
          <a:ext cx="1403400" cy="504827"/>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p>
          <a:pPr algn="ctr" rtl="0">
            <a:defRPr sz="1000"/>
          </a:pPr>
          <a:r>
            <a:rPr lang="en-US" sz="1000" b="0" i="0" u="none" strike="noStrike" baseline="0">
              <a:solidFill>
                <a:srgbClr val="FFFFFF"/>
              </a:solidFill>
              <a:latin typeface="Arial"/>
              <a:cs typeface="Arial"/>
            </a:rPr>
            <a:t>yf</a:t>
          </a:r>
        </a:p>
      </xdr:txBody>
    </xdr:sp>
    <xdr:clientData/>
  </xdr:twoCellAnchor>
  <xdr:twoCellAnchor>
    <xdr:from>
      <xdr:col>8</xdr:col>
      <xdr:colOff>120247</xdr:colOff>
      <xdr:row>11</xdr:row>
      <xdr:rowOff>137006</xdr:rowOff>
    </xdr:from>
    <xdr:to>
      <xdr:col>10</xdr:col>
      <xdr:colOff>123856</xdr:colOff>
      <xdr:row>13</xdr:row>
      <xdr:rowOff>134070</xdr:rowOff>
    </xdr:to>
    <xdr:cxnSp macro="">
      <xdr:nvCxnSpPr>
        <xdr:cNvPr id="3511120" name="AutoShape 910">
          <a:extLst>
            <a:ext uri="{FF2B5EF4-FFF2-40B4-BE49-F238E27FC236}">
              <a16:creationId xmlns:a16="http://schemas.microsoft.com/office/drawing/2014/main" xmlns="" id="{00000000-0008-0000-0500-000050933500}"/>
            </a:ext>
          </a:extLst>
        </xdr:cNvPr>
        <xdr:cNvCxnSpPr>
          <a:cxnSpLocks noChangeShapeType="1"/>
          <a:stCxn id="68" idx="1"/>
          <a:endCxn id="66" idx="3"/>
        </xdr:cNvCxnSpPr>
      </xdr:nvCxnSpPr>
      <xdr:spPr bwMode="auto">
        <a:xfrm flipH="1" flipV="1">
          <a:off x="10352818" y="1946756"/>
          <a:ext cx="3065217" cy="323635"/>
        </a:xfrm>
        <a:prstGeom prst="straightConnector1">
          <a:avLst/>
        </a:prstGeom>
        <a:noFill/>
        <a:ln w="9525">
          <a:solidFill>
            <a:srgbClr val="000000"/>
          </a:solidFill>
          <a:round/>
          <a:headEnd/>
          <a:tailEnd type="triangle" w="med" len="med"/>
        </a:ln>
      </xdr:spPr>
    </xdr:cxnSp>
    <xdr:clientData/>
  </xdr:twoCellAnchor>
  <xdr:twoCellAnchor>
    <xdr:from>
      <xdr:col>12</xdr:col>
      <xdr:colOff>285750</xdr:colOff>
      <xdr:row>13</xdr:row>
      <xdr:rowOff>142875</xdr:rowOff>
    </xdr:from>
    <xdr:to>
      <xdr:col>12</xdr:col>
      <xdr:colOff>304800</xdr:colOff>
      <xdr:row>30</xdr:row>
      <xdr:rowOff>95250</xdr:rowOff>
    </xdr:to>
    <xdr:cxnSp macro="">
      <xdr:nvCxnSpPr>
        <xdr:cNvPr id="3511127" name="AutoShape 925">
          <a:extLst>
            <a:ext uri="{FF2B5EF4-FFF2-40B4-BE49-F238E27FC236}">
              <a16:creationId xmlns:a16="http://schemas.microsoft.com/office/drawing/2014/main" xmlns="" id="{00000000-0008-0000-0500-000057933500}"/>
            </a:ext>
          </a:extLst>
        </xdr:cNvPr>
        <xdr:cNvCxnSpPr>
          <a:cxnSpLocks noChangeShapeType="1"/>
          <a:stCxn id="672631" idx="3"/>
          <a:endCxn id="68" idx="3"/>
        </xdr:cNvCxnSpPr>
      </xdr:nvCxnSpPr>
      <xdr:spPr bwMode="auto">
        <a:xfrm flipV="1">
          <a:off x="14773275" y="2266950"/>
          <a:ext cx="19050" cy="2705100"/>
        </a:xfrm>
        <a:prstGeom prst="curvedConnector3">
          <a:avLst>
            <a:gd name="adj1" fmla="val 3800000"/>
          </a:avLst>
        </a:prstGeom>
        <a:noFill/>
        <a:ln w="9525">
          <a:solidFill>
            <a:srgbClr val="000000"/>
          </a:solidFill>
          <a:round/>
          <a:headEnd/>
          <a:tailEnd type="triangle" w="med" len="med"/>
        </a:ln>
      </xdr:spPr>
    </xdr:cxnSp>
    <xdr:clientData/>
  </xdr:twoCellAnchor>
  <xdr:twoCellAnchor>
    <xdr:from>
      <xdr:col>13</xdr:col>
      <xdr:colOff>476250</xdr:colOff>
      <xdr:row>18</xdr:row>
      <xdr:rowOff>38100</xdr:rowOff>
    </xdr:from>
    <xdr:to>
      <xdr:col>13</xdr:col>
      <xdr:colOff>476250</xdr:colOff>
      <xdr:row>18</xdr:row>
      <xdr:rowOff>38100</xdr:rowOff>
    </xdr:to>
    <xdr:cxnSp macro="">
      <xdr:nvCxnSpPr>
        <xdr:cNvPr id="3511128" name="AutoShape 926">
          <a:extLst>
            <a:ext uri="{FF2B5EF4-FFF2-40B4-BE49-F238E27FC236}">
              <a16:creationId xmlns:a16="http://schemas.microsoft.com/office/drawing/2014/main" xmlns="" id="{00000000-0008-0000-0500-000058933500}"/>
            </a:ext>
          </a:extLst>
        </xdr:cNvPr>
        <xdr:cNvCxnSpPr>
          <a:cxnSpLocks noChangeShapeType="1"/>
          <a:endCxn id="72" idx="1"/>
        </xdr:cNvCxnSpPr>
      </xdr:nvCxnSpPr>
      <xdr:spPr bwMode="auto">
        <a:xfrm>
          <a:off x="17402175" y="2971800"/>
          <a:ext cx="0" cy="0"/>
        </a:xfrm>
        <a:prstGeom prst="straightConnector1">
          <a:avLst/>
        </a:prstGeom>
        <a:noFill/>
        <a:ln w="9525">
          <a:solidFill>
            <a:srgbClr val="000000"/>
          </a:solidFill>
          <a:round/>
          <a:headEnd/>
          <a:tailEnd type="triangle" w="med" len="med"/>
        </a:ln>
      </xdr:spPr>
    </xdr:cxnSp>
    <xdr:clientData/>
  </xdr:twoCellAnchor>
  <xdr:twoCellAnchor>
    <xdr:from>
      <xdr:col>12</xdr:col>
      <xdr:colOff>285750</xdr:colOff>
      <xdr:row>13</xdr:row>
      <xdr:rowOff>142875</xdr:rowOff>
    </xdr:from>
    <xdr:to>
      <xdr:col>12</xdr:col>
      <xdr:colOff>304800</xdr:colOff>
      <xdr:row>21</xdr:row>
      <xdr:rowOff>66675</xdr:rowOff>
    </xdr:to>
    <xdr:cxnSp macro="">
      <xdr:nvCxnSpPr>
        <xdr:cNvPr id="3511130" name="AutoShape 928">
          <a:extLst>
            <a:ext uri="{FF2B5EF4-FFF2-40B4-BE49-F238E27FC236}">
              <a16:creationId xmlns:a16="http://schemas.microsoft.com/office/drawing/2014/main" xmlns="" id="{00000000-0008-0000-0500-00005A933500}"/>
            </a:ext>
          </a:extLst>
        </xdr:cNvPr>
        <xdr:cNvCxnSpPr>
          <a:cxnSpLocks noChangeShapeType="1"/>
          <a:stCxn id="672632" idx="3"/>
          <a:endCxn id="68" idx="3"/>
        </xdr:cNvCxnSpPr>
      </xdr:nvCxnSpPr>
      <xdr:spPr bwMode="auto">
        <a:xfrm flipV="1">
          <a:off x="14773275" y="2266950"/>
          <a:ext cx="19050" cy="1219200"/>
        </a:xfrm>
        <a:prstGeom prst="curvedConnector3">
          <a:avLst>
            <a:gd name="adj1" fmla="val 2000000"/>
          </a:avLst>
        </a:prstGeom>
        <a:noFill/>
        <a:ln w="9525">
          <a:solidFill>
            <a:srgbClr val="000000"/>
          </a:solidFill>
          <a:round/>
          <a:headEnd/>
          <a:tailEnd type="triangle" w="med" len="med"/>
        </a:ln>
      </xdr:spPr>
    </xdr:cxnSp>
    <xdr:clientData/>
  </xdr:twoCellAnchor>
  <xdr:twoCellAnchor>
    <xdr:from>
      <xdr:col>11</xdr:col>
      <xdr:colOff>219075</xdr:colOff>
      <xdr:row>10</xdr:row>
      <xdr:rowOff>104775</xdr:rowOff>
    </xdr:from>
    <xdr:to>
      <xdr:col>11</xdr:col>
      <xdr:colOff>219075</xdr:colOff>
      <xdr:row>12</xdr:row>
      <xdr:rowOff>47625</xdr:rowOff>
    </xdr:to>
    <xdr:cxnSp macro="">
      <xdr:nvCxnSpPr>
        <xdr:cNvPr id="3511132" name="AutoShape 931">
          <a:extLst>
            <a:ext uri="{FF2B5EF4-FFF2-40B4-BE49-F238E27FC236}">
              <a16:creationId xmlns:a16="http://schemas.microsoft.com/office/drawing/2014/main" xmlns="" id="{00000000-0008-0000-0500-00005C933500}"/>
            </a:ext>
          </a:extLst>
        </xdr:cNvPr>
        <xdr:cNvCxnSpPr>
          <a:cxnSpLocks noChangeShapeType="1"/>
          <a:stCxn id="68" idx="0"/>
          <a:endCxn id="83" idx="2"/>
        </xdr:cNvCxnSpPr>
      </xdr:nvCxnSpPr>
      <xdr:spPr bwMode="auto">
        <a:xfrm rot="-5400000">
          <a:off x="13963650" y="1876425"/>
          <a:ext cx="266700" cy="0"/>
        </a:xfrm>
        <a:prstGeom prst="straightConnector1">
          <a:avLst/>
        </a:prstGeom>
        <a:noFill/>
        <a:ln w="9525">
          <a:solidFill>
            <a:srgbClr val="000000"/>
          </a:solidFill>
          <a:round/>
          <a:headEnd/>
          <a:tailEnd type="triangle" w="med" len="med"/>
        </a:ln>
      </xdr:spPr>
    </xdr:cxnSp>
    <xdr:clientData/>
  </xdr:twoCellAnchor>
  <xdr:twoCellAnchor>
    <xdr:from>
      <xdr:col>12</xdr:col>
      <xdr:colOff>285750</xdr:colOff>
      <xdr:row>9</xdr:row>
      <xdr:rowOff>19050</xdr:rowOff>
    </xdr:from>
    <xdr:to>
      <xdr:col>12</xdr:col>
      <xdr:colOff>304800</xdr:colOff>
      <xdr:row>21</xdr:row>
      <xdr:rowOff>66675</xdr:rowOff>
    </xdr:to>
    <xdr:cxnSp macro="">
      <xdr:nvCxnSpPr>
        <xdr:cNvPr id="3511133" name="AutoShape 932">
          <a:extLst>
            <a:ext uri="{FF2B5EF4-FFF2-40B4-BE49-F238E27FC236}">
              <a16:creationId xmlns:a16="http://schemas.microsoft.com/office/drawing/2014/main" xmlns="" id="{00000000-0008-0000-0500-00005D933500}"/>
            </a:ext>
          </a:extLst>
        </xdr:cNvPr>
        <xdr:cNvCxnSpPr>
          <a:cxnSpLocks noChangeShapeType="1"/>
          <a:stCxn id="672632" idx="3"/>
          <a:endCxn id="83" idx="3"/>
        </xdr:cNvCxnSpPr>
      </xdr:nvCxnSpPr>
      <xdr:spPr bwMode="auto">
        <a:xfrm flipV="1">
          <a:off x="14773275" y="1495425"/>
          <a:ext cx="19050" cy="1990725"/>
        </a:xfrm>
        <a:prstGeom prst="curvedConnector3">
          <a:avLst>
            <a:gd name="adj1" fmla="val 3050000"/>
          </a:avLst>
        </a:prstGeom>
        <a:noFill/>
        <a:ln w="9525">
          <a:solidFill>
            <a:srgbClr val="000000"/>
          </a:solidFill>
          <a:round/>
          <a:headEnd/>
          <a:tailEnd type="triangle" w="med" len="med"/>
        </a:ln>
      </xdr:spPr>
    </xdr:cxnSp>
    <xdr:clientData/>
  </xdr:twoCellAnchor>
  <xdr:twoCellAnchor>
    <xdr:from>
      <xdr:col>12</xdr:col>
      <xdr:colOff>304800</xdr:colOff>
      <xdr:row>9</xdr:row>
      <xdr:rowOff>19050</xdr:rowOff>
    </xdr:from>
    <xdr:to>
      <xdr:col>13</xdr:col>
      <xdr:colOff>466725</xdr:colOff>
      <xdr:row>27</xdr:row>
      <xdr:rowOff>9525</xdr:rowOff>
    </xdr:to>
    <xdr:cxnSp macro="">
      <xdr:nvCxnSpPr>
        <xdr:cNvPr id="3511134" name="AutoShape 933">
          <a:extLst>
            <a:ext uri="{FF2B5EF4-FFF2-40B4-BE49-F238E27FC236}">
              <a16:creationId xmlns:a16="http://schemas.microsoft.com/office/drawing/2014/main" xmlns="" id="{00000000-0008-0000-0500-00005E933500}"/>
            </a:ext>
          </a:extLst>
        </xdr:cNvPr>
        <xdr:cNvCxnSpPr>
          <a:cxnSpLocks noChangeShapeType="1"/>
          <a:stCxn id="672637" idx="1"/>
          <a:endCxn id="83" idx="3"/>
        </xdr:cNvCxnSpPr>
      </xdr:nvCxnSpPr>
      <xdr:spPr bwMode="auto">
        <a:xfrm flipH="1" flipV="1">
          <a:off x="14792325" y="1495425"/>
          <a:ext cx="2600325" cy="2905125"/>
        </a:xfrm>
        <a:prstGeom prst="straightConnector1">
          <a:avLst/>
        </a:prstGeom>
        <a:noFill/>
        <a:ln w="9525">
          <a:solidFill>
            <a:srgbClr val="000000"/>
          </a:solidFill>
          <a:round/>
          <a:headEnd/>
          <a:tailEnd type="triangle" w="med" len="med"/>
        </a:ln>
      </xdr:spPr>
    </xdr:cxnSp>
    <xdr:clientData/>
  </xdr:twoCellAnchor>
  <xdr:twoCellAnchor>
    <xdr:from>
      <xdr:col>12</xdr:col>
      <xdr:colOff>285750</xdr:colOff>
      <xdr:row>9</xdr:row>
      <xdr:rowOff>19050</xdr:rowOff>
    </xdr:from>
    <xdr:to>
      <xdr:col>12</xdr:col>
      <xdr:colOff>304800</xdr:colOff>
      <xdr:row>26</xdr:row>
      <xdr:rowOff>19050</xdr:rowOff>
    </xdr:to>
    <xdr:cxnSp macro="">
      <xdr:nvCxnSpPr>
        <xdr:cNvPr id="3511135" name="AutoShape 934">
          <a:extLst>
            <a:ext uri="{FF2B5EF4-FFF2-40B4-BE49-F238E27FC236}">
              <a16:creationId xmlns:a16="http://schemas.microsoft.com/office/drawing/2014/main" xmlns="" id="{00000000-0008-0000-0500-00005F933500}"/>
            </a:ext>
          </a:extLst>
        </xdr:cNvPr>
        <xdr:cNvCxnSpPr>
          <a:cxnSpLocks noChangeShapeType="1"/>
          <a:stCxn id="672634" idx="3"/>
          <a:endCxn id="83" idx="3"/>
        </xdr:cNvCxnSpPr>
      </xdr:nvCxnSpPr>
      <xdr:spPr bwMode="auto">
        <a:xfrm flipV="1">
          <a:off x="14773275" y="1495425"/>
          <a:ext cx="19050" cy="2752725"/>
        </a:xfrm>
        <a:prstGeom prst="curvedConnector3">
          <a:avLst>
            <a:gd name="adj1" fmla="val 4550000"/>
          </a:avLst>
        </a:prstGeom>
        <a:noFill/>
        <a:ln w="9525">
          <a:solidFill>
            <a:srgbClr val="000000"/>
          </a:solidFill>
          <a:round/>
          <a:headEnd/>
          <a:tailEnd type="triangle" w="med" len="med"/>
        </a:ln>
      </xdr:spPr>
    </xdr:cxnSp>
    <xdr:clientData/>
  </xdr:twoCellAnchor>
  <xdr:twoCellAnchor>
    <xdr:from>
      <xdr:col>8</xdr:col>
      <xdr:colOff>51281</xdr:colOff>
      <xdr:row>3</xdr:row>
      <xdr:rowOff>100694</xdr:rowOff>
    </xdr:from>
    <xdr:to>
      <xdr:col>10</xdr:col>
      <xdr:colOff>54428</xdr:colOff>
      <xdr:row>21</xdr:row>
      <xdr:rowOff>54429</xdr:rowOff>
    </xdr:to>
    <xdr:cxnSp macro="">
      <xdr:nvCxnSpPr>
        <xdr:cNvPr id="3511136" name="AutoShape 936">
          <a:extLst>
            <a:ext uri="{FF2B5EF4-FFF2-40B4-BE49-F238E27FC236}">
              <a16:creationId xmlns:a16="http://schemas.microsoft.com/office/drawing/2014/main" xmlns="" id="{00000000-0008-0000-0500-000060933500}"/>
            </a:ext>
          </a:extLst>
        </xdr:cNvPr>
        <xdr:cNvCxnSpPr>
          <a:cxnSpLocks noChangeShapeType="1"/>
        </xdr:cNvCxnSpPr>
      </xdr:nvCxnSpPr>
      <xdr:spPr bwMode="auto">
        <a:xfrm>
          <a:off x="10283852" y="604158"/>
          <a:ext cx="3064755" cy="2892878"/>
        </a:xfrm>
        <a:prstGeom prst="curvedConnector3">
          <a:avLst>
            <a:gd name="adj1" fmla="val 24693"/>
          </a:avLst>
        </a:prstGeom>
        <a:noFill/>
        <a:ln w="9525">
          <a:solidFill>
            <a:srgbClr val="000000"/>
          </a:solidFill>
          <a:round/>
          <a:headEnd/>
          <a:tailEnd type="triangle" w="med" len="med"/>
        </a:ln>
      </xdr:spPr>
    </xdr:cxnSp>
    <xdr:clientData/>
  </xdr:twoCellAnchor>
  <xdr:twoCellAnchor>
    <xdr:from>
      <xdr:col>11</xdr:col>
      <xdr:colOff>200025</xdr:colOff>
      <xdr:row>22</xdr:row>
      <xdr:rowOff>152400</xdr:rowOff>
    </xdr:from>
    <xdr:to>
      <xdr:col>13</xdr:col>
      <xdr:colOff>466725</xdr:colOff>
      <xdr:row>30</xdr:row>
      <xdr:rowOff>152400</xdr:rowOff>
    </xdr:to>
    <xdr:cxnSp macro="">
      <xdr:nvCxnSpPr>
        <xdr:cNvPr id="3511137" name="AutoShape 937">
          <a:extLst>
            <a:ext uri="{FF2B5EF4-FFF2-40B4-BE49-F238E27FC236}">
              <a16:creationId xmlns:a16="http://schemas.microsoft.com/office/drawing/2014/main" xmlns="" id="{00000000-0008-0000-0500-000061933500}"/>
            </a:ext>
          </a:extLst>
        </xdr:cNvPr>
        <xdr:cNvCxnSpPr>
          <a:cxnSpLocks noChangeShapeType="1"/>
          <a:stCxn id="672636" idx="1"/>
          <a:endCxn id="672632" idx="2"/>
        </xdr:cNvCxnSpPr>
      </xdr:nvCxnSpPr>
      <xdr:spPr bwMode="auto">
        <a:xfrm flipH="1" flipV="1">
          <a:off x="14077950" y="3733800"/>
          <a:ext cx="3314700" cy="1295400"/>
        </a:xfrm>
        <a:prstGeom prst="straightConnector1">
          <a:avLst/>
        </a:prstGeom>
        <a:noFill/>
        <a:ln w="9525">
          <a:solidFill>
            <a:srgbClr val="000000"/>
          </a:solidFill>
          <a:round/>
          <a:headEnd/>
          <a:tailEnd type="triangle" w="med" len="med"/>
        </a:ln>
      </xdr:spPr>
    </xdr:cxnSp>
    <xdr:clientData/>
  </xdr:twoCellAnchor>
  <xdr:twoCellAnchor>
    <xdr:from>
      <xdr:col>11</xdr:col>
      <xdr:colOff>200025</xdr:colOff>
      <xdr:row>22</xdr:row>
      <xdr:rowOff>152400</xdr:rowOff>
    </xdr:from>
    <xdr:to>
      <xdr:col>11</xdr:col>
      <xdr:colOff>200025</xdr:colOff>
      <xdr:row>24</xdr:row>
      <xdr:rowOff>85725</xdr:rowOff>
    </xdr:to>
    <xdr:cxnSp macro="">
      <xdr:nvCxnSpPr>
        <xdr:cNvPr id="3511138" name="AutoShape 938">
          <a:extLst>
            <a:ext uri="{FF2B5EF4-FFF2-40B4-BE49-F238E27FC236}">
              <a16:creationId xmlns:a16="http://schemas.microsoft.com/office/drawing/2014/main" xmlns="" id="{00000000-0008-0000-0500-000062933500}"/>
            </a:ext>
          </a:extLst>
        </xdr:cNvPr>
        <xdr:cNvCxnSpPr>
          <a:cxnSpLocks noChangeShapeType="1"/>
          <a:stCxn id="672634" idx="0"/>
          <a:endCxn id="672632" idx="2"/>
        </xdr:cNvCxnSpPr>
      </xdr:nvCxnSpPr>
      <xdr:spPr bwMode="auto">
        <a:xfrm flipV="1">
          <a:off x="14077950" y="3733800"/>
          <a:ext cx="0" cy="257175"/>
        </a:xfrm>
        <a:prstGeom prst="straightConnector1">
          <a:avLst/>
        </a:prstGeom>
        <a:noFill/>
        <a:ln w="9525">
          <a:solidFill>
            <a:srgbClr val="000000"/>
          </a:solidFill>
          <a:round/>
          <a:headEnd/>
          <a:tailEnd type="triangle" w="med" len="med"/>
        </a:ln>
      </xdr:spPr>
    </xdr:cxnSp>
    <xdr:clientData/>
  </xdr:twoCellAnchor>
  <xdr:twoCellAnchor>
    <xdr:from>
      <xdr:col>11</xdr:col>
      <xdr:colOff>200025</xdr:colOff>
      <xdr:row>27</xdr:row>
      <xdr:rowOff>104775</xdr:rowOff>
    </xdr:from>
    <xdr:to>
      <xdr:col>11</xdr:col>
      <xdr:colOff>200025</xdr:colOff>
      <xdr:row>29</xdr:row>
      <xdr:rowOff>0</xdr:rowOff>
    </xdr:to>
    <xdr:cxnSp macro="">
      <xdr:nvCxnSpPr>
        <xdr:cNvPr id="3511139" name="AutoShape 940">
          <a:extLst>
            <a:ext uri="{FF2B5EF4-FFF2-40B4-BE49-F238E27FC236}">
              <a16:creationId xmlns:a16="http://schemas.microsoft.com/office/drawing/2014/main" xmlns="" id="{00000000-0008-0000-0500-000063933500}"/>
            </a:ext>
          </a:extLst>
        </xdr:cNvPr>
        <xdr:cNvCxnSpPr>
          <a:cxnSpLocks noChangeShapeType="1"/>
          <a:stCxn id="672631" idx="0"/>
          <a:endCxn id="672634" idx="2"/>
        </xdr:cNvCxnSpPr>
      </xdr:nvCxnSpPr>
      <xdr:spPr bwMode="auto">
        <a:xfrm flipV="1">
          <a:off x="14077950" y="4495800"/>
          <a:ext cx="0" cy="219075"/>
        </a:xfrm>
        <a:prstGeom prst="straightConnector1">
          <a:avLst/>
        </a:prstGeom>
        <a:noFill/>
        <a:ln w="9525">
          <a:solidFill>
            <a:srgbClr val="000000"/>
          </a:solidFill>
          <a:round/>
          <a:headEnd/>
          <a:tailEnd type="triangle" w="med" len="med"/>
        </a:ln>
      </xdr:spPr>
    </xdr:cxnSp>
    <xdr:clientData/>
  </xdr:twoCellAnchor>
  <xdr:twoCellAnchor>
    <xdr:from>
      <xdr:col>10</xdr:col>
      <xdr:colOff>104775</xdr:colOff>
      <xdr:row>26</xdr:row>
      <xdr:rowOff>19050</xdr:rowOff>
    </xdr:from>
    <xdr:to>
      <xdr:col>10</xdr:col>
      <xdr:colOff>114300</xdr:colOff>
      <xdr:row>35</xdr:row>
      <xdr:rowOff>47625</xdr:rowOff>
    </xdr:to>
    <xdr:cxnSp macro="">
      <xdr:nvCxnSpPr>
        <xdr:cNvPr id="3511140" name="AutoShape 941">
          <a:extLst>
            <a:ext uri="{FF2B5EF4-FFF2-40B4-BE49-F238E27FC236}">
              <a16:creationId xmlns:a16="http://schemas.microsoft.com/office/drawing/2014/main" xmlns="" id="{00000000-0008-0000-0500-000064933500}"/>
            </a:ext>
          </a:extLst>
        </xdr:cNvPr>
        <xdr:cNvCxnSpPr>
          <a:cxnSpLocks noChangeShapeType="1"/>
          <a:stCxn id="672630" idx="1"/>
          <a:endCxn id="672634" idx="1"/>
        </xdr:cNvCxnSpPr>
      </xdr:nvCxnSpPr>
      <xdr:spPr bwMode="auto">
        <a:xfrm rot="10800000" flipH="1">
          <a:off x="13373100" y="4248150"/>
          <a:ext cx="9525" cy="1485900"/>
        </a:xfrm>
        <a:prstGeom prst="curvedConnector3">
          <a:avLst>
            <a:gd name="adj1" fmla="val -5000000"/>
          </a:avLst>
        </a:prstGeom>
        <a:noFill/>
        <a:ln w="9525">
          <a:solidFill>
            <a:srgbClr val="000000"/>
          </a:solidFill>
          <a:round/>
          <a:headEnd/>
          <a:tailEnd type="triangle" w="med" len="med"/>
        </a:ln>
      </xdr:spPr>
    </xdr:cxnSp>
    <xdr:clientData/>
  </xdr:twoCellAnchor>
  <xdr:twoCellAnchor>
    <xdr:from>
      <xdr:col>8</xdr:col>
      <xdr:colOff>94554</xdr:colOff>
      <xdr:row>3</xdr:row>
      <xdr:rowOff>13449</xdr:rowOff>
    </xdr:from>
    <xdr:to>
      <xdr:col>10</xdr:col>
      <xdr:colOff>104775</xdr:colOff>
      <xdr:row>30</xdr:row>
      <xdr:rowOff>87967</xdr:rowOff>
    </xdr:to>
    <xdr:cxnSp macro="">
      <xdr:nvCxnSpPr>
        <xdr:cNvPr id="3511141" name="AutoShape 942">
          <a:extLst>
            <a:ext uri="{FF2B5EF4-FFF2-40B4-BE49-F238E27FC236}">
              <a16:creationId xmlns:a16="http://schemas.microsoft.com/office/drawing/2014/main" xmlns="" id="{00000000-0008-0000-0500-000065933500}"/>
            </a:ext>
          </a:extLst>
        </xdr:cNvPr>
        <xdr:cNvCxnSpPr>
          <a:cxnSpLocks noChangeShapeType="1"/>
          <a:stCxn id="64" idx="3"/>
          <a:endCxn id="672631" idx="1"/>
        </xdr:cNvCxnSpPr>
      </xdr:nvCxnSpPr>
      <xdr:spPr bwMode="auto">
        <a:xfrm>
          <a:off x="10303113" y="506508"/>
          <a:ext cx="3035809" cy="4310341"/>
        </a:xfrm>
        <a:prstGeom prst="curvedConnector3">
          <a:avLst>
            <a:gd name="adj1" fmla="val 50000"/>
          </a:avLst>
        </a:prstGeom>
        <a:noFill/>
        <a:ln w="9525">
          <a:solidFill>
            <a:srgbClr val="000000"/>
          </a:solidFill>
          <a:round/>
          <a:headEnd/>
          <a:tailEnd type="triangle" w="med" len="med"/>
        </a:ln>
      </xdr:spPr>
    </xdr:cxnSp>
    <xdr:clientData/>
  </xdr:twoCellAnchor>
  <xdr:twoCellAnchor>
    <xdr:from>
      <xdr:col>10</xdr:col>
      <xdr:colOff>104775</xdr:colOff>
      <xdr:row>13</xdr:row>
      <xdr:rowOff>142875</xdr:rowOff>
    </xdr:from>
    <xdr:to>
      <xdr:col>10</xdr:col>
      <xdr:colOff>123825</xdr:colOff>
      <xdr:row>30</xdr:row>
      <xdr:rowOff>95250</xdr:rowOff>
    </xdr:to>
    <xdr:cxnSp macro="">
      <xdr:nvCxnSpPr>
        <xdr:cNvPr id="3511142" name="AutoShape 943">
          <a:extLst>
            <a:ext uri="{FF2B5EF4-FFF2-40B4-BE49-F238E27FC236}">
              <a16:creationId xmlns:a16="http://schemas.microsoft.com/office/drawing/2014/main" xmlns="" id="{00000000-0008-0000-0500-000066933500}"/>
            </a:ext>
          </a:extLst>
        </xdr:cNvPr>
        <xdr:cNvCxnSpPr>
          <a:cxnSpLocks noChangeShapeType="1"/>
          <a:stCxn id="68" idx="1"/>
          <a:endCxn id="672631" idx="1"/>
        </xdr:cNvCxnSpPr>
      </xdr:nvCxnSpPr>
      <xdr:spPr bwMode="auto">
        <a:xfrm rot="10800000" flipV="1">
          <a:off x="13373100" y="2266950"/>
          <a:ext cx="19050" cy="2705100"/>
        </a:xfrm>
        <a:prstGeom prst="curvedConnector3">
          <a:avLst>
            <a:gd name="adj1" fmla="val 2500000"/>
          </a:avLst>
        </a:prstGeom>
        <a:noFill/>
        <a:ln w="9525">
          <a:solidFill>
            <a:srgbClr val="000000"/>
          </a:solidFill>
          <a:round/>
          <a:headEnd/>
          <a:tailEnd type="triangle" w="med" len="med"/>
        </a:ln>
      </xdr:spPr>
    </xdr:cxnSp>
    <xdr:clientData/>
  </xdr:twoCellAnchor>
  <xdr:twoCellAnchor>
    <xdr:from>
      <xdr:col>11</xdr:col>
      <xdr:colOff>200025</xdr:colOff>
      <xdr:row>32</xdr:row>
      <xdr:rowOff>19050</xdr:rowOff>
    </xdr:from>
    <xdr:to>
      <xdr:col>11</xdr:col>
      <xdr:colOff>200025</xdr:colOff>
      <xdr:row>33</xdr:row>
      <xdr:rowOff>114300</xdr:rowOff>
    </xdr:to>
    <xdr:cxnSp macro="">
      <xdr:nvCxnSpPr>
        <xdr:cNvPr id="3511143" name="AutoShape 944">
          <a:extLst>
            <a:ext uri="{FF2B5EF4-FFF2-40B4-BE49-F238E27FC236}">
              <a16:creationId xmlns:a16="http://schemas.microsoft.com/office/drawing/2014/main" xmlns="" id="{00000000-0008-0000-0500-000067933500}"/>
            </a:ext>
          </a:extLst>
        </xdr:cNvPr>
        <xdr:cNvCxnSpPr>
          <a:cxnSpLocks noChangeShapeType="1"/>
          <a:stCxn id="672630" idx="0"/>
          <a:endCxn id="672631" idx="2"/>
        </xdr:cNvCxnSpPr>
      </xdr:nvCxnSpPr>
      <xdr:spPr bwMode="auto">
        <a:xfrm flipV="1">
          <a:off x="14077950" y="5219700"/>
          <a:ext cx="0" cy="257175"/>
        </a:xfrm>
        <a:prstGeom prst="straightConnector1">
          <a:avLst/>
        </a:prstGeom>
        <a:noFill/>
        <a:ln w="9525">
          <a:solidFill>
            <a:srgbClr val="000000"/>
          </a:solidFill>
          <a:round/>
          <a:headEnd/>
          <a:tailEnd type="triangle" w="med" len="med"/>
        </a:ln>
      </xdr:spPr>
    </xdr:cxnSp>
    <xdr:clientData/>
  </xdr:twoCellAnchor>
  <xdr:twoCellAnchor>
    <xdr:from>
      <xdr:col>10</xdr:col>
      <xdr:colOff>104775</xdr:colOff>
      <xdr:row>30</xdr:row>
      <xdr:rowOff>95250</xdr:rowOff>
    </xdr:from>
    <xdr:to>
      <xdr:col>10</xdr:col>
      <xdr:colOff>114300</xdr:colOff>
      <xdr:row>39</xdr:row>
      <xdr:rowOff>104775</xdr:rowOff>
    </xdr:to>
    <xdr:cxnSp macro="">
      <xdr:nvCxnSpPr>
        <xdr:cNvPr id="3511144" name="AutoShape 945">
          <a:extLst>
            <a:ext uri="{FF2B5EF4-FFF2-40B4-BE49-F238E27FC236}">
              <a16:creationId xmlns:a16="http://schemas.microsoft.com/office/drawing/2014/main" xmlns="" id="{00000000-0008-0000-0500-000068933500}"/>
            </a:ext>
          </a:extLst>
        </xdr:cNvPr>
        <xdr:cNvCxnSpPr>
          <a:cxnSpLocks noChangeShapeType="1"/>
          <a:stCxn id="672633" idx="1"/>
          <a:endCxn id="672631" idx="1"/>
        </xdr:cNvCxnSpPr>
      </xdr:nvCxnSpPr>
      <xdr:spPr bwMode="auto">
        <a:xfrm rot="10800000" flipH="1">
          <a:off x="13373100" y="4972050"/>
          <a:ext cx="9525" cy="1466850"/>
        </a:xfrm>
        <a:prstGeom prst="curvedConnector3">
          <a:avLst>
            <a:gd name="adj1" fmla="val -4000000"/>
          </a:avLst>
        </a:prstGeom>
        <a:noFill/>
        <a:ln w="9525">
          <a:solidFill>
            <a:srgbClr val="000000"/>
          </a:solidFill>
          <a:round/>
          <a:headEnd/>
          <a:tailEnd type="triangle" w="med" len="med"/>
        </a:ln>
      </xdr:spPr>
    </xdr:cxnSp>
    <xdr:clientData/>
  </xdr:twoCellAnchor>
  <xdr:twoCellAnchor>
    <xdr:from>
      <xdr:col>8</xdr:col>
      <xdr:colOff>108858</xdr:colOff>
      <xdr:row>3</xdr:row>
      <xdr:rowOff>136071</xdr:rowOff>
    </xdr:from>
    <xdr:to>
      <xdr:col>10</xdr:col>
      <xdr:colOff>104775</xdr:colOff>
      <xdr:row>39</xdr:row>
      <xdr:rowOff>100692</xdr:rowOff>
    </xdr:to>
    <xdr:cxnSp macro="">
      <xdr:nvCxnSpPr>
        <xdr:cNvPr id="3511145" name="AutoShape 946">
          <a:extLst>
            <a:ext uri="{FF2B5EF4-FFF2-40B4-BE49-F238E27FC236}">
              <a16:creationId xmlns:a16="http://schemas.microsoft.com/office/drawing/2014/main" xmlns="" id="{00000000-0008-0000-0500-000069933500}"/>
            </a:ext>
          </a:extLst>
        </xdr:cNvPr>
        <xdr:cNvCxnSpPr>
          <a:cxnSpLocks noChangeShapeType="1"/>
          <a:endCxn id="672633" idx="1"/>
        </xdr:cNvCxnSpPr>
      </xdr:nvCxnSpPr>
      <xdr:spPr bwMode="auto">
        <a:xfrm rot="16200000" flipH="1">
          <a:off x="8948738" y="2032226"/>
          <a:ext cx="5842907" cy="3057525"/>
        </a:xfrm>
        <a:prstGeom prst="curvedConnector2">
          <a:avLst/>
        </a:prstGeom>
        <a:noFill/>
        <a:ln w="9525">
          <a:solidFill>
            <a:srgbClr val="000000"/>
          </a:solidFill>
          <a:round/>
          <a:headEnd/>
          <a:tailEnd type="triangle" w="med" len="med"/>
        </a:ln>
      </xdr:spPr>
    </xdr:cxnSp>
    <xdr:clientData/>
  </xdr:twoCellAnchor>
  <xdr:twoCellAnchor>
    <xdr:from>
      <xdr:col>11</xdr:col>
      <xdr:colOff>200025</xdr:colOff>
      <xdr:row>36</xdr:row>
      <xdr:rowOff>133350</xdr:rowOff>
    </xdr:from>
    <xdr:to>
      <xdr:col>11</xdr:col>
      <xdr:colOff>200025</xdr:colOff>
      <xdr:row>38</xdr:row>
      <xdr:rowOff>9525</xdr:rowOff>
    </xdr:to>
    <xdr:cxnSp macro="">
      <xdr:nvCxnSpPr>
        <xdr:cNvPr id="3511146" name="AutoShape 947">
          <a:extLst>
            <a:ext uri="{FF2B5EF4-FFF2-40B4-BE49-F238E27FC236}">
              <a16:creationId xmlns:a16="http://schemas.microsoft.com/office/drawing/2014/main" xmlns="" id="{00000000-0008-0000-0500-00006A933500}"/>
            </a:ext>
          </a:extLst>
        </xdr:cNvPr>
        <xdr:cNvCxnSpPr>
          <a:cxnSpLocks noChangeShapeType="1"/>
          <a:stCxn id="672633" idx="0"/>
          <a:endCxn id="672630" idx="2"/>
        </xdr:cNvCxnSpPr>
      </xdr:nvCxnSpPr>
      <xdr:spPr bwMode="auto">
        <a:xfrm flipV="1">
          <a:off x="14077950" y="5981700"/>
          <a:ext cx="0" cy="200025"/>
        </a:xfrm>
        <a:prstGeom prst="straightConnector1">
          <a:avLst/>
        </a:prstGeom>
        <a:noFill/>
        <a:ln w="9525">
          <a:solidFill>
            <a:srgbClr val="000000"/>
          </a:solidFill>
          <a:round/>
          <a:headEnd/>
          <a:tailEnd type="triangle" w="med" len="med"/>
        </a:ln>
      </xdr:spPr>
    </xdr:cxnSp>
    <xdr:clientData/>
  </xdr:twoCellAnchor>
  <xdr:twoCellAnchor>
    <xdr:from>
      <xdr:col>13</xdr:col>
      <xdr:colOff>476250</xdr:colOff>
      <xdr:row>33</xdr:row>
      <xdr:rowOff>28575</xdr:rowOff>
    </xdr:from>
    <xdr:to>
      <xdr:col>16</xdr:col>
      <xdr:colOff>47625</xdr:colOff>
      <xdr:row>36</xdr:row>
      <xdr:rowOff>47625</xdr:rowOff>
    </xdr:to>
    <xdr:sp macro="" textlink="">
      <xdr:nvSpPr>
        <xdr:cNvPr id="672692" name="AutoShape 948">
          <a:hlinkClick xmlns:r="http://schemas.openxmlformats.org/officeDocument/2006/relationships" r:id="rId16" tooltip="Go to crop_yield_w"/>
          <a:extLst>
            <a:ext uri="{FF2B5EF4-FFF2-40B4-BE49-F238E27FC236}">
              <a16:creationId xmlns:a16="http://schemas.microsoft.com/office/drawing/2014/main" xmlns="" id="{00000000-0008-0000-0500-0000B4430A00}"/>
            </a:ext>
          </a:extLst>
        </xdr:cNvPr>
        <xdr:cNvSpPr>
          <a:spLocks noChangeArrowheads="1"/>
        </xdr:cNvSpPr>
      </xdr:nvSpPr>
      <xdr:spPr bwMode="auto">
        <a:xfrm>
          <a:off x="18888075" y="5391150"/>
          <a:ext cx="1400175" cy="504825"/>
        </a:xfrm>
        <a:prstGeom prst="flowChartAlternateProcess">
          <a:avLst/>
        </a:prstGeom>
        <a:solidFill>
          <a:srgbClr val="FFA25D"/>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crop_efp</a:t>
          </a:r>
        </a:p>
      </xdr:txBody>
    </xdr:sp>
    <xdr:clientData/>
  </xdr:twoCellAnchor>
  <xdr:twoCellAnchor>
    <xdr:from>
      <xdr:col>12</xdr:col>
      <xdr:colOff>285750</xdr:colOff>
      <xdr:row>34</xdr:row>
      <xdr:rowOff>123825</xdr:rowOff>
    </xdr:from>
    <xdr:to>
      <xdr:col>13</xdr:col>
      <xdr:colOff>476250</xdr:colOff>
      <xdr:row>35</xdr:row>
      <xdr:rowOff>47625</xdr:rowOff>
    </xdr:to>
    <xdr:cxnSp macro="">
      <xdr:nvCxnSpPr>
        <xdr:cNvPr id="3511148" name="AutoShape 949">
          <a:extLst>
            <a:ext uri="{FF2B5EF4-FFF2-40B4-BE49-F238E27FC236}">
              <a16:creationId xmlns:a16="http://schemas.microsoft.com/office/drawing/2014/main" xmlns="" id="{00000000-0008-0000-0500-00006C933500}"/>
            </a:ext>
          </a:extLst>
        </xdr:cNvPr>
        <xdr:cNvCxnSpPr>
          <a:cxnSpLocks noChangeShapeType="1"/>
          <a:stCxn id="672692" idx="1"/>
          <a:endCxn id="672630" idx="3"/>
        </xdr:cNvCxnSpPr>
      </xdr:nvCxnSpPr>
      <xdr:spPr bwMode="auto">
        <a:xfrm flipH="1">
          <a:off x="14773275" y="5648325"/>
          <a:ext cx="2628900" cy="85725"/>
        </a:xfrm>
        <a:prstGeom prst="straightConnector1">
          <a:avLst/>
        </a:prstGeom>
        <a:noFill/>
        <a:ln w="9525">
          <a:solidFill>
            <a:srgbClr val="000000"/>
          </a:solidFill>
          <a:round/>
          <a:headEnd/>
          <a:tailEnd type="triangle" w="med" len="med"/>
        </a:ln>
      </xdr:spPr>
    </xdr:cxnSp>
    <xdr:clientData/>
  </xdr:twoCellAnchor>
  <xdr:twoCellAnchor>
    <xdr:from>
      <xdr:col>8</xdr:col>
      <xdr:colOff>94554</xdr:colOff>
      <xdr:row>3</xdr:row>
      <xdr:rowOff>13449</xdr:rowOff>
    </xdr:from>
    <xdr:to>
      <xdr:col>11</xdr:col>
      <xdr:colOff>195262</xdr:colOff>
      <xdr:row>41</xdr:row>
      <xdr:rowOff>28575</xdr:rowOff>
    </xdr:to>
    <xdr:cxnSp macro="">
      <xdr:nvCxnSpPr>
        <xdr:cNvPr id="3511149" name="AutoShape 950">
          <a:extLst>
            <a:ext uri="{FF2B5EF4-FFF2-40B4-BE49-F238E27FC236}">
              <a16:creationId xmlns:a16="http://schemas.microsoft.com/office/drawing/2014/main" xmlns="" id="{00000000-0008-0000-0500-00006D933500}"/>
            </a:ext>
          </a:extLst>
        </xdr:cNvPr>
        <xdr:cNvCxnSpPr>
          <a:cxnSpLocks noChangeShapeType="1"/>
          <a:stCxn id="64" idx="3"/>
          <a:endCxn id="672633" idx="2"/>
        </xdr:cNvCxnSpPr>
      </xdr:nvCxnSpPr>
      <xdr:spPr bwMode="auto">
        <a:xfrm>
          <a:off x="10303113" y="506508"/>
          <a:ext cx="3731414" cy="5976655"/>
        </a:xfrm>
        <a:prstGeom prst="curvedConnector4">
          <a:avLst>
            <a:gd name="adj1" fmla="val 40679"/>
            <a:gd name="adj2" fmla="val 103825"/>
          </a:avLst>
        </a:prstGeom>
        <a:noFill/>
        <a:ln w="9525">
          <a:solidFill>
            <a:srgbClr val="000000"/>
          </a:solidFill>
          <a:round/>
          <a:headEnd/>
          <a:tailEnd type="triangle" w="med" len="med"/>
        </a:ln>
      </xdr:spPr>
    </xdr:cxnSp>
    <xdr:clientData/>
  </xdr:twoCellAnchor>
  <xdr:twoCellAnchor>
    <xdr:from>
      <xdr:col>5</xdr:col>
      <xdr:colOff>1215118</xdr:colOff>
      <xdr:row>5</xdr:row>
      <xdr:rowOff>137432</xdr:rowOff>
    </xdr:from>
    <xdr:to>
      <xdr:col>8</xdr:col>
      <xdr:colOff>78922</xdr:colOff>
      <xdr:row>8</xdr:row>
      <xdr:rowOff>108857</xdr:rowOff>
    </xdr:to>
    <xdr:sp macro="" textlink="">
      <xdr:nvSpPr>
        <xdr:cNvPr id="965970" name="AutoShape 1362">
          <a:hlinkClick xmlns:r="http://schemas.openxmlformats.org/officeDocument/2006/relationships" r:id="rId17" tooltip="Go to livestock_efi"/>
          <a:extLst>
            <a:ext uri="{FF2B5EF4-FFF2-40B4-BE49-F238E27FC236}">
              <a16:creationId xmlns:a16="http://schemas.microsoft.com/office/drawing/2014/main" xmlns="" id="{00000000-0008-0000-0500-000052BD0E00}"/>
            </a:ext>
          </a:extLst>
        </xdr:cNvPr>
        <xdr:cNvSpPr>
          <a:spLocks noChangeArrowheads="1"/>
        </xdr:cNvSpPr>
      </xdr:nvSpPr>
      <xdr:spPr bwMode="auto">
        <a:xfrm>
          <a:off x="8903154" y="967468"/>
          <a:ext cx="1408339" cy="461282"/>
        </a:xfrm>
        <a:prstGeom prst="flowChartAlternateProcess">
          <a:avLst/>
        </a:prstGeom>
        <a:solidFill>
          <a:srgbClr val="FF9900"/>
        </a:solidFill>
        <a:ln w="9525">
          <a:solidFill>
            <a:srgbClr val="000000"/>
          </a:solidFill>
          <a:miter lim="800000"/>
          <a:headEnd/>
          <a:tailEnd/>
        </a:ln>
        <a:scene3d>
          <a:camera prst="orthographicFront"/>
          <a:lightRig rig="threePt" dir="t"/>
        </a:scene3d>
        <a:sp3d>
          <a:bevelT/>
        </a:sp3d>
      </xdr:spPr>
      <xdr:txBody>
        <a:bodyPr vertOverflow="clip" wrap="square" lIns="27432" tIns="22860" rIns="27432" bIns="22860" anchor="ctr" upright="1"/>
        <a:lstStyle/>
        <a:p>
          <a:pPr algn="ctr" rtl="0">
            <a:defRPr sz="1000"/>
          </a:pPr>
          <a:r>
            <a:rPr lang="en-US" sz="1000" b="0" i="0" u="none" strike="noStrike" baseline="0">
              <a:solidFill>
                <a:srgbClr val="FFFFFF"/>
              </a:solidFill>
              <a:latin typeface="Arial"/>
              <a:cs typeface="Arial"/>
            </a:rPr>
            <a:t>livestock_trade</a:t>
          </a:r>
        </a:p>
      </xdr:txBody>
    </xdr:sp>
    <xdr:clientData/>
  </xdr:twoCellAnchor>
  <xdr:twoCellAnchor>
    <xdr:from>
      <xdr:col>5</xdr:col>
      <xdr:colOff>0</xdr:colOff>
      <xdr:row>4</xdr:row>
      <xdr:rowOff>76200</xdr:rowOff>
    </xdr:from>
    <xdr:to>
      <xdr:col>5</xdr:col>
      <xdr:colOff>1215118</xdr:colOff>
      <xdr:row>7</xdr:row>
      <xdr:rowOff>42182</xdr:rowOff>
    </xdr:to>
    <xdr:cxnSp macro="">
      <xdr:nvCxnSpPr>
        <xdr:cNvPr id="3511154" name="AutoShape 1364">
          <a:extLst>
            <a:ext uri="{FF2B5EF4-FFF2-40B4-BE49-F238E27FC236}">
              <a16:creationId xmlns:a16="http://schemas.microsoft.com/office/drawing/2014/main" xmlns="" id="{00000000-0008-0000-0500-000072933500}"/>
            </a:ext>
          </a:extLst>
        </xdr:cNvPr>
        <xdr:cNvCxnSpPr>
          <a:cxnSpLocks noChangeShapeType="1"/>
          <a:stCxn id="965970" idx="1"/>
        </xdr:cNvCxnSpPr>
      </xdr:nvCxnSpPr>
      <xdr:spPr bwMode="auto">
        <a:xfrm flipH="1" flipV="1">
          <a:off x="7686675" y="742950"/>
          <a:ext cx="1215118" cy="451757"/>
        </a:xfrm>
        <a:prstGeom prst="straightConnector1">
          <a:avLst/>
        </a:prstGeom>
        <a:noFill/>
        <a:ln w="9525">
          <a:solidFill>
            <a:srgbClr val="000000"/>
          </a:solidFill>
          <a:round/>
          <a:headEnd/>
          <a:tailEnd type="triangle" w="med" len="med"/>
        </a:ln>
      </xdr:spPr>
    </xdr:cxnSp>
    <xdr:clientData/>
  </xdr:twoCellAnchor>
  <xdr:twoCellAnchor>
    <xdr:from>
      <xdr:col>5</xdr:col>
      <xdr:colOff>2</xdr:colOff>
      <xdr:row>2</xdr:row>
      <xdr:rowOff>92448</xdr:rowOff>
    </xdr:from>
    <xdr:to>
      <xdr:col>5</xdr:col>
      <xdr:colOff>1200978</xdr:colOff>
      <xdr:row>2</xdr:row>
      <xdr:rowOff>99391</xdr:rowOff>
    </xdr:to>
    <xdr:cxnSp macro="">
      <xdr:nvCxnSpPr>
        <xdr:cNvPr id="75" name="Straight Connector 36">
          <a:extLst>
            <a:ext uri="{FF2B5EF4-FFF2-40B4-BE49-F238E27FC236}">
              <a16:creationId xmlns:a16="http://schemas.microsoft.com/office/drawing/2014/main" xmlns="" id="{00000000-0008-0000-0500-00004B000000}"/>
            </a:ext>
          </a:extLst>
        </xdr:cNvPr>
        <xdr:cNvCxnSpPr>
          <a:cxnSpLocks noChangeShapeType="1"/>
        </xdr:cNvCxnSpPr>
      </xdr:nvCxnSpPr>
      <xdr:spPr bwMode="auto">
        <a:xfrm flipH="1" flipV="1">
          <a:off x="7686263" y="440318"/>
          <a:ext cx="1200976" cy="6943"/>
        </a:xfrm>
        <a:prstGeom prst="line">
          <a:avLst/>
        </a:prstGeom>
        <a:noFill/>
        <a:ln w="9525" algn="ctr">
          <a:solidFill>
            <a:srgbClr val="000000"/>
          </a:solidFill>
          <a:round/>
          <a:headEnd/>
          <a:tailEnd type="triangle" w="med" len="med"/>
        </a:ln>
      </xdr:spPr>
    </xdr:cxnSp>
    <xdr:clientData/>
  </xdr:twoCellAnchor>
</xdr:wsDr>
</file>

<file path=xl/drawings/drawing8.xml><?xml version="1.0" encoding="utf-8"?>
<c:userShapes xmlns:c="http://schemas.openxmlformats.org/drawingml/2006/chart">
  <cdr:relSizeAnchor xmlns:cdr="http://schemas.openxmlformats.org/drawingml/2006/chartDrawing">
    <cdr:from>
      <cdr:x>0.43671</cdr:x>
      <cdr:y>0.0862</cdr:y>
    </cdr:from>
    <cdr:to>
      <cdr:x>0.65487</cdr:x>
      <cdr:y>0.14359</cdr:y>
    </cdr:to>
    <cdr:sp macro="" textlink="">
      <cdr:nvSpPr>
        <cdr:cNvPr id="4" name="Right Arrow 3"/>
        <cdr:cNvSpPr/>
      </cdr:nvSpPr>
      <cdr:spPr>
        <a:xfrm xmlns:a="http://schemas.openxmlformats.org/drawingml/2006/main">
          <a:off x="3693804" y="373580"/>
          <a:ext cx="1845241" cy="248721"/>
        </a:xfrm>
        <a:prstGeom xmlns:a="http://schemas.openxmlformats.org/drawingml/2006/main" prst="rightArrow">
          <a:avLst/>
        </a:prstGeom>
        <a:solidFill xmlns:a="http://schemas.openxmlformats.org/drawingml/2006/main">
          <a:srgbClr val="005595"/>
        </a:solidFill>
        <a:ln xmlns:a="http://schemas.openxmlformats.org/drawingml/2006/main" w="25400" cap="flat" cmpd="sng" algn="ctr">
          <a:solidFill>
            <a:srgbClr val="005595">
              <a:shade val="50000"/>
            </a:srgbClr>
          </a:solid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p xmlns:a="http://schemas.openxmlformats.org/drawingml/2006/main">
          <a:endParaRPr lang="en-US"/>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0</xdr:colOff>
      <xdr:row>8</xdr:row>
      <xdr:rowOff>0</xdr:rowOff>
    </xdr:from>
    <xdr:to>
      <xdr:col>4</xdr:col>
      <xdr:colOff>733425</xdr:colOff>
      <xdr:row>34</xdr:row>
      <xdr:rowOff>123825</xdr:rowOff>
    </xdr:to>
    <xdr:graphicFrame macro="">
      <xdr:nvGraphicFramePr>
        <xdr:cNvPr id="3215286" name="Chart 5">
          <a:extLst>
            <a:ext uri="{FF2B5EF4-FFF2-40B4-BE49-F238E27FC236}">
              <a16:creationId xmlns:a16="http://schemas.microsoft.com/office/drawing/2014/main" xmlns="" id="{00000000-0008-0000-0600-0000B60F3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76201</xdr:colOff>
      <xdr:row>10</xdr:row>
      <xdr:rowOff>85724</xdr:rowOff>
    </xdr:from>
    <xdr:to>
      <xdr:col>2</xdr:col>
      <xdr:colOff>1323975</xdr:colOff>
      <xdr:row>12</xdr:row>
      <xdr:rowOff>9524</xdr:rowOff>
    </xdr:to>
    <xdr:sp macro="" textlink="">
      <xdr:nvSpPr>
        <xdr:cNvPr id="7" name="Right Arrow 6">
          <a:extLst>
            <a:ext uri="{FF2B5EF4-FFF2-40B4-BE49-F238E27FC236}">
              <a16:creationId xmlns:a16="http://schemas.microsoft.com/office/drawing/2014/main" xmlns="" id="{00000000-0008-0000-0600-000007000000}"/>
            </a:ext>
          </a:extLst>
        </xdr:cNvPr>
        <xdr:cNvSpPr/>
      </xdr:nvSpPr>
      <xdr:spPr>
        <a:xfrm>
          <a:off x="2362201" y="1362074"/>
          <a:ext cx="1895474"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5</xdr:col>
      <xdr:colOff>0</xdr:colOff>
      <xdr:row>2</xdr:row>
      <xdr:rowOff>9525</xdr:rowOff>
    </xdr:from>
    <xdr:to>
      <xdr:col>6</xdr:col>
      <xdr:colOff>0</xdr:colOff>
      <xdr:row>2</xdr:row>
      <xdr:rowOff>76200</xdr:rowOff>
    </xdr:to>
    <xdr:cxnSp macro="">
      <xdr:nvCxnSpPr>
        <xdr:cNvPr id="3215288" name="Straight Connector 22">
          <a:extLst>
            <a:ext uri="{FF2B5EF4-FFF2-40B4-BE49-F238E27FC236}">
              <a16:creationId xmlns:a16="http://schemas.microsoft.com/office/drawing/2014/main" xmlns="" id="{00000000-0008-0000-0600-0000B80F3100}"/>
            </a:ext>
          </a:extLst>
        </xdr:cNvPr>
        <xdr:cNvCxnSpPr>
          <a:cxnSpLocks noChangeShapeType="1"/>
          <a:stCxn id="46" idx="1"/>
        </xdr:cNvCxnSpPr>
      </xdr:nvCxnSpPr>
      <xdr:spPr bwMode="auto">
        <a:xfrm rot="10800000" flipV="1">
          <a:off x="9172575" y="352425"/>
          <a:ext cx="1314450" cy="66675"/>
        </a:xfrm>
        <a:prstGeom prst="line">
          <a:avLst/>
        </a:prstGeom>
        <a:noFill/>
        <a:ln w="9525" algn="ctr">
          <a:solidFill>
            <a:srgbClr val="000000"/>
          </a:solidFill>
          <a:round/>
          <a:headEnd/>
          <a:tailEnd type="triangle" w="med" len="med"/>
        </a:ln>
      </xdr:spPr>
    </xdr:cxnSp>
    <xdr:clientData/>
  </xdr:twoCellAnchor>
  <xdr:twoCellAnchor>
    <xdr:from>
      <xdr:col>5</xdr:col>
      <xdr:colOff>9525</xdr:colOff>
      <xdr:row>2</xdr:row>
      <xdr:rowOff>85725</xdr:rowOff>
    </xdr:from>
    <xdr:to>
      <xdr:col>6</xdr:col>
      <xdr:colOff>0</xdr:colOff>
      <xdr:row>6</xdr:row>
      <xdr:rowOff>47625</xdr:rowOff>
    </xdr:to>
    <xdr:cxnSp macro="">
      <xdr:nvCxnSpPr>
        <xdr:cNvPr id="3215289" name="Straight Connector 24">
          <a:extLst>
            <a:ext uri="{FF2B5EF4-FFF2-40B4-BE49-F238E27FC236}">
              <a16:creationId xmlns:a16="http://schemas.microsoft.com/office/drawing/2014/main" xmlns="" id="{00000000-0008-0000-0600-0000B90F3100}"/>
            </a:ext>
          </a:extLst>
        </xdr:cNvPr>
        <xdr:cNvCxnSpPr>
          <a:cxnSpLocks noChangeShapeType="1"/>
          <a:stCxn id="47" idx="1"/>
        </xdr:cNvCxnSpPr>
      </xdr:nvCxnSpPr>
      <xdr:spPr bwMode="auto">
        <a:xfrm rot="10800000">
          <a:off x="9182100" y="428625"/>
          <a:ext cx="1304925" cy="609600"/>
        </a:xfrm>
        <a:prstGeom prst="line">
          <a:avLst/>
        </a:prstGeom>
        <a:noFill/>
        <a:ln w="9525" algn="ctr">
          <a:solidFill>
            <a:srgbClr val="000000"/>
          </a:solidFill>
          <a:round/>
          <a:headEnd/>
          <a:tailEnd type="triangle" w="med" len="med"/>
        </a:ln>
      </xdr:spPr>
    </xdr:cxnSp>
    <xdr:clientData/>
  </xdr:twoCellAnchor>
  <xdr:twoCellAnchor>
    <xdr:from>
      <xdr:col>5</xdr:col>
      <xdr:colOff>0</xdr:colOff>
      <xdr:row>2</xdr:row>
      <xdr:rowOff>9525</xdr:rowOff>
    </xdr:from>
    <xdr:to>
      <xdr:col>6</xdr:col>
      <xdr:colOff>0</xdr:colOff>
      <xdr:row>3</xdr:row>
      <xdr:rowOff>76200</xdr:rowOff>
    </xdr:to>
    <xdr:cxnSp macro="">
      <xdr:nvCxnSpPr>
        <xdr:cNvPr id="3215291" name="Straight Connector 28">
          <a:extLst>
            <a:ext uri="{FF2B5EF4-FFF2-40B4-BE49-F238E27FC236}">
              <a16:creationId xmlns:a16="http://schemas.microsoft.com/office/drawing/2014/main" xmlns="" id="{00000000-0008-0000-0600-0000BB0F3100}"/>
            </a:ext>
          </a:extLst>
        </xdr:cNvPr>
        <xdr:cNvCxnSpPr>
          <a:cxnSpLocks noChangeShapeType="1"/>
          <a:stCxn id="46" idx="1"/>
        </xdr:cNvCxnSpPr>
      </xdr:nvCxnSpPr>
      <xdr:spPr bwMode="auto">
        <a:xfrm rot="10800000" flipV="1">
          <a:off x="9172575" y="352425"/>
          <a:ext cx="1314450" cy="228600"/>
        </a:xfrm>
        <a:prstGeom prst="line">
          <a:avLst/>
        </a:prstGeom>
        <a:noFill/>
        <a:ln w="9525" algn="ctr">
          <a:solidFill>
            <a:srgbClr val="000000"/>
          </a:solidFill>
          <a:round/>
          <a:headEnd/>
          <a:tailEnd type="triangle" w="med" len="med"/>
        </a:ln>
      </xdr:spPr>
    </xdr:cxnSp>
    <xdr:clientData/>
  </xdr:twoCellAnchor>
  <xdr:twoCellAnchor>
    <xdr:from>
      <xdr:col>5</xdr:col>
      <xdr:colOff>0</xdr:colOff>
      <xdr:row>3</xdr:row>
      <xdr:rowOff>76200</xdr:rowOff>
    </xdr:from>
    <xdr:to>
      <xdr:col>6</xdr:col>
      <xdr:colOff>0</xdr:colOff>
      <xdr:row>6</xdr:row>
      <xdr:rowOff>47625</xdr:rowOff>
    </xdr:to>
    <xdr:cxnSp macro="">
      <xdr:nvCxnSpPr>
        <xdr:cNvPr id="3215292" name="Straight Connector 30">
          <a:extLst>
            <a:ext uri="{FF2B5EF4-FFF2-40B4-BE49-F238E27FC236}">
              <a16:creationId xmlns:a16="http://schemas.microsoft.com/office/drawing/2014/main" xmlns="" id="{00000000-0008-0000-0600-0000BC0F3100}"/>
            </a:ext>
          </a:extLst>
        </xdr:cNvPr>
        <xdr:cNvCxnSpPr>
          <a:cxnSpLocks noChangeShapeType="1"/>
          <a:stCxn id="47" idx="1"/>
        </xdr:cNvCxnSpPr>
      </xdr:nvCxnSpPr>
      <xdr:spPr bwMode="auto">
        <a:xfrm rot="10800000">
          <a:off x="9172575" y="581025"/>
          <a:ext cx="1314450" cy="457200"/>
        </a:xfrm>
        <a:prstGeom prst="line">
          <a:avLst/>
        </a:prstGeom>
        <a:noFill/>
        <a:ln w="9525" algn="ctr">
          <a:solidFill>
            <a:srgbClr val="000000"/>
          </a:solidFill>
          <a:round/>
          <a:headEnd/>
          <a:tailEnd type="triangle" w="med" len="med"/>
        </a:ln>
      </xdr:spPr>
    </xdr:cxnSp>
    <xdr:clientData/>
  </xdr:twoCellAnchor>
  <xdr:twoCellAnchor>
    <xdr:from>
      <xdr:col>6</xdr:col>
      <xdr:colOff>0</xdr:colOff>
      <xdr:row>0</xdr:row>
      <xdr:rowOff>114300</xdr:rowOff>
    </xdr:from>
    <xdr:to>
      <xdr:col>8</xdr:col>
      <xdr:colOff>184200</xdr:colOff>
      <xdr:row>3</xdr:row>
      <xdr:rowOff>84164</xdr:rowOff>
    </xdr:to>
    <xdr:sp macro="" textlink="">
      <xdr:nvSpPr>
        <xdr:cNvPr id="46" name="AutoShape 19">
          <a:hlinkClick xmlns:r="http://schemas.openxmlformats.org/officeDocument/2006/relationships" r:id="rId2" tooltip="Go to forest_efp"/>
          <a:extLst>
            <a:ext uri="{FF2B5EF4-FFF2-40B4-BE49-F238E27FC236}">
              <a16:creationId xmlns:a16="http://schemas.microsoft.com/office/drawing/2014/main" xmlns="" id="{00000000-0008-0000-0600-00002E000000}"/>
            </a:ext>
          </a:extLst>
        </xdr:cNvPr>
        <xdr:cNvSpPr>
          <a:spLocks noChangeArrowheads="1"/>
        </xdr:cNvSpPr>
      </xdr:nvSpPr>
      <xdr:spPr bwMode="auto">
        <a:xfrm>
          <a:off x="10487025" y="114300"/>
          <a:ext cx="1403400" cy="474689"/>
        </a:xfrm>
        <a:prstGeom prst="roundRect">
          <a:avLst>
            <a:gd name="adj" fmla="val 16667"/>
          </a:avLst>
        </a:prstGeom>
        <a:solidFill>
          <a:schemeClr val="accent5"/>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forest_efp</a:t>
          </a:r>
        </a:p>
      </xdr:txBody>
    </xdr:sp>
    <xdr:clientData/>
  </xdr:twoCellAnchor>
  <xdr:twoCellAnchor>
    <xdr:from>
      <xdr:col>6</xdr:col>
      <xdr:colOff>0</xdr:colOff>
      <xdr:row>4</xdr:row>
      <xdr:rowOff>138120</xdr:rowOff>
    </xdr:from>
    <xdr:to>
      <xdr:col>8</xdr:col>
      <xdr:colOff>184200</xdr:colOff>
      <xdr:row>7</xdr:row>
      <xdr:rowOff>127034</xdr:rowOff>
    </xdr:to>
    <xdr:sp macro="" textlink="">
      <xdr:nvSpPr>
        <xdr:cNvPr id="47" name="AutoShape 20">
          <a:hlinkClick xmlns:r="http://schemas.openxmlformats.org/officeDocument/2006/relationships" r:id="rId3" tooltip="Go to forest_efi"/>
          <a:extLst>
            <a:ext uri="{FF2B5EF4-FFF2-40B4-BE49-F238E27FC236}">
              <a16:creationId xmlns:a16="http://schemas.microsoft.com/office/drawing/2014/main" xmlns="" id="{00000000-0008-0000-0600-00002F000000}"/>
            </a:ext>
          </a:extLst>
        </xdr:cNvPr>
        <xdr:cNvSpPr>
          <a:spLocks noChangeArrowheads="1"/>
        </xdr:cNvSpPr>
      </xdr:nvSpPr>
      <xdr:spPr bwMode="auto">
        <a:xfrm>
          <a:off x="10487025" y="804870"/>
          <a:ext cx="1403400" cy="474689"/>
        </a:xfrm>
        <a:prstGeom prst="roundRect">
          <a:avLst>
            <a:gd name="adj" fmla="val 16667"/>
          </a:avLst>
        </a:prstGeom>
        <a:solidFill>
          <a:schemeClr val="accent5"/>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t>forest_efi_efe</a:t>
          </a:r>
        </a:p>
      </xdr:txBody>
    </xdr:sp>
    <xdr:clientData/>
  </xdr:twoCellAnchor>
  <xdr:twoCellAnchor>
    <xdr:from>
      <xdr:col>9</xdr:col>
      <xdr:colOff>217560</xdr:colOff>
      <xdr:row>2</xdr:row>
      <xdr:rowOff>47662</xdr:rowOff>
    </xdr:from>
    <xdr:to>
      <xdr:col>11</xdr:col>
      <xdr:colOff>401760</xdr:colOff>
      <xdr:row>5</xdr:row>
      <xdr:rowOff>36567</xdr:rowOff>
    </xdr:to>
    <xdr:sp macro="" textlink="">
      <xdr:nvSpPr>
        <xdr:cNvPr id="51" name="AutoShape 34">
          <a:hlinkClick xmlns:r="http://schemas.openxmlformats.org/officeDocument/2006/relationships" r:id="rId4" tooltip="Go to eqf"/>
          <a:extLst>
            <a:ext uri="{FF2B5EF4-FFF2-40B4-BE49-F238E27FC236}">
              <a16:creationId xmlns:a16="http://schemas.microsoft.com/office/drawing/2014/main" xmlns="" id="{00000000-0008-0000-0600-000033000000}"/>
            </a:ext>
          </a:extLst>
        </xdr:cNvPr>
        <xdr:cNvSpPr>
          <a:spLocks noChangeArrowheads="1"/>
        </xdr:cNvSpPr>
      </xdr:nvSpPr>
      <xdr:spPr bwMode="auto">
        <a:xfrm>
          <a:off x="12533385" y="390562"/>
          <a:ext cx="1403400" cy="474680"/>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eqf</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2</xdr:row>
      <xdr:rowOff>28575</xdr:rowOff>
    </xdr:from>
    <xdr:to>
      <xdr:col>6</xdr:col>
      <xdr:colOff>0</xdr:colOff>
      <xdr:row>2</xdr:row>
      <xdr:rowOff>76200</xdr:rowOff>
    </xdr:to>
    <xdr:cxnSp macro="">
      <xdr:nvCxnSpPr>
        <xdr:cNvPr id="2809584" name="AutoShape 37">
          <a:extLst>
            <a:ext uri="{FF2B5EF4-FFF2-40B4-BE49-F238E27FC236}">
              <a16:creationId xmlns:a16="http://schemas.microsoft.com/office/drawing/2014/main" xmlns="" id="{00000000-0008-0000-0700-0000F0DE2A00}"/>
            </a:ext>
          </a:extLst>
        </xdr:cNvPr>
        <xdr:cNvCxnSpPr>
          <a:cxnSpLocks noChangeShapeType="1"/>
          <a:stCxn id="11" idx="1"/>
        </xdr:cNvCxnSpPr>
      </xdr:nvCxnSpPr>
      <xdr:spPr bwMode="auto">
        <a:xfrm rot="10800000" flipV="1">
          <a:off x="9172575" y="371475"/>
          <a:ext cx="1314450" cy="47625"/>
        </a:xfrm>
        <a:prstGeom prst="straightConnector1">
          <a:avLst/>
        </a:prstGeom>
        <a:noFill/>
        <a:ln w="9525">
          <a:solidFill>
            <a:srgbClr val="000000"/>
          </a:solidFill>
          <a:round/>
          <a:headEnd/>
          <a:tailEnd type="triangle" w="med" len="med"/>
        </a:ln>
      </xdr:spPr>
    </xdr:cxnSp>
    <xdr:clientData/>
  </xdr:twoCellAnchor>
  <xdr:twoCellAnchor>
    <xdr:from>
      <xdr:col>6</xdr:col>
      <xdr:colOff>1</xdr:colOff>
      <xdr:row>0</xdr:row>
      <xdr:rowOff>114303</xdr:rowOff>
    </xdr:from>
    <xdr:to>
      <xdr:col>8</xdr:col>
      <xdr:colOff>184202</xdr:colOff>
      <xdr:row>3</xdr:row>
      <xdr:rowOff>0</xdr:rowOff>
    </xdr:to>
    <xdr:sp macro="" textlink="">
      <xdr:nvSpPr>
        <xdr:cNvPr id="11" name="AutoShape 19">
          <a:hlinkClick xmlns:r="http://schemas.openxmlformats.org/officeDocument/2006/relationships" r:id="rId1" tooltip="Go to infrastructure_efp"/>
          <a:extLst>
            <a:ext uri="{FF2B5EF4-FFF2-40B4-BE49-F238E27FC236}">
              <a16:creationId xmlns:a16="http://schemas.microsoft.com/office/drawing/2014/main" xmlns="" id="{00000000-0008-0000-0700-00000B000000}"/>
            </a:ext>
          </a:extLst>
        </xdr:cNvPr>
        <xdr:cNvSpPr>
          <a:spLocks noChangeArrowheads="1"/>
        </xdr:cNvSpPr>
      </xdr:nvSpPr>
      <xdr:spPr bwMode="auto">
        <a:xfrm>
          <a:off x="10487026" y="114303"/>
          <a:ext cx="1403401" cy="504828"/>
        </a:xfrm>
        <a:prstGeom prst="roundRect">
          <a:avLst>
            <a:gd name="adj" fmla="val 16667"/>
          </a:avLst>
        </a:prstGeom>
        <a:solidFill>
          <a:schemeClr val="accent6"/>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infrastructure_efp</a:t>
          </a:r>
        </a:p>
      </xdr:txBody>
    </xdr:sp>
    <xdr:clientData/>
  </xdr:twoCellAnchor>
  <xdr:twoCellAnchor>
    <xdr:from>
      <xdr:col>9</xdr:col>
      <xdr:colOff>608086</xdr:colOff>
      <xdr:row>0</xdr:row>
      <xdr:rowOff>111138</xdr:rowOff>
    </xdr:from>
    <xdr:to>
      <xdr:col>12</xdr:col>
      <xdr:colOff>182687</xdr:colOff>
      <xdr:row>3</xdr:row>
      <xdr:rowOff>0</xdr:rowOff>
    </xdr:to>
    <xdr:sp macro="" textlink="">
      <xdr:nvSpPr>
        <xdr:cNvPr id="16" name="AutoShape 23">
          <a:hlinkClick xmlns:r="http://schemas.openxmlformats.org/officeDocument/2006/relationships" r:id="rId2" tooltip="Go to yf"/>
          <a:extLst>
            <a:ext uri="{FF2B5EF4-FFF2-40B4-BE49-F238E27FC236}">
              <a16:creationId xmlns:a16="http://schemas.microsoft.com/office/drawing/2014/main" xmlns="" id="{00000000-0008-0000-0700-000010000000}"/>
            </a:ext>
          </a:extLst>
        </xdr:cNvPr>
        <xdr:cNvSpPr>
          <a:spLocks noChangeArrowheads="1"/>
        </xdr:cNvSpPr>
      </xdr:nvSpPr>
      <xdr:spPr bwMode="auto">
        <a:xfrm>
          <a:off x="12923911" y="111138"/>
          <a:ext cx="1403401" cy="504828"/>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yf</a:t>
          </a:r>
        </a:p>
      </xdr:txBody>
    </xdr:sp>
    <xdr:clientData/>
  </xdr:twoCellAnchor>
  <xdr:twoCellAnchor>
    <xdr:from>
      <xdr:col>8</xdr:col>
      <xdr:colOff>180975</xdr:colOff>
      <xdr:row>2</xdr:row>
      <xdr:rowOff>19050</xdr:rowOff>
    </xdr:from>
    <xdr:to>
      <xdr:col>9</xdr:col>
      <xdr:colOff>609600</xdr:colOff>
      <xdr:row>2</xdr:row>
      <xdr:rowOff>28575</xdr:rowOff>
    </xdr:to>
    <xdr:cxnSp macro="">
      <xdr:nvCxnSpPr>
        <xdr:cNvPr id="2809590" name="Straight Connector 16">
          <a:extLst>
            <a:ext uri="{FF2B5EF4-FFF2-40B4-BE49-F238E27FC236}">
              <a16:creationId xmlns:a16="http://schemas.microsoft.com/office/drawing/2014/main" xmlns="" id="{00000000-0008-0000-0700-0000F6DE2A00}"/>
            </a:ext>
          </a:extLst>
        </xdr:cNvPr>
        <xdr:cNvCxnSpPr>
          <a:cxnSpLocks noChangeShapeType="1"/>
          <a:stCxn id="16" idx="1"/>
          <a:endCxn id="11" idx="3"/>
        </xdr:cNvCxnSpPr>
      </xdr:nvCxnSpPr>
      <xdr:spPr bwMode="auto">
        <a:xfrm rot="10800000" flipV="1">
          <a:off x="11887200" y="361950"/>
          <a:ext cx="1038225" cy="9525"/>
        </a:xfrm>
        <a:prstGeom prst="line">
          <a:avLst/>
        </a:prstGeom>
        <a:noFill/>
        <a:ln w="9525" algn="ctr">
          <a:solidFill>
            <a:srgbClr val="000000"/>
          </a:solidFill>
          <a:round/>
          <a:headEnd/>
          <a:tailEnd type="triangle" w="med" len="med"/>
        </a:ln>
      </xdr:spPr>
    </xdr:cxn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1828800</xdr:colOff>
      <xdr:row>21</xdr:row>
      <xdr:rowOff>142875</xdr:rowOff>
    </xdr:from>
    <xdr:to>
      <xdr:col>4</xdr:col>
      <xdr:colOff>314325</xdr:colOff>
      <xdr:row>40</xdr:row>
      <xdr:rowOff>0</xdr:rowOff>
    </xdr:to>
    <xdr:graphicFrame macro="">
      <xdr:nvGraphicFramePr>
        <xdr:cNvPr id="3461341" name="Chart 2">
          <a:extLst>
            <a:ext uri="{FF2B5EF4-FFF2-40B4-BE49-F238E27FC236}">
              <a16:creationId xmlns:a16="http://schemas.microsoft.com/office/drawing/2014/main" xmlns="" id="{00000000-0008-0000-0800-0000DDD03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1004255</xdr:colOff>
      <xdr:row>17</xdr:row>
      <xdr:rowOff>41278</xdr:rowOff>
    </xdr:from>
    <xdr:to>
      <xdr:col>5</xdr:col>
      <xdr:colOff>931908</xdr:colOff>
      <xdr:row>20</xdr:row>
      <xdr:rowOff>60330</xdr:rowOff>
    </xdr:to>
    <xdr:sp macro="" textlink="">
      <xdr:nvSpPr>
        <xdr:cNvPr id="30" name="AutoShape 22">
          <a:hlinkClick xmlns:r="http://schemas.openxmlformats.org/officeDocument/2006/relationships" r:id="rId2" tooltip="Go to eqf"/>
          <a:extLst>
            <a:ext uri="{FF2B5EF4-FFF2-40B4-BE49-F238E27FC236}">
              <a16:creationId xmlns:a16="http://schemas.microsoft.com/office/drawing/2014/main" xmlns="" id="{00000000-0008-0000-0800-00001E000000}"/>
            </a:ext>
          </a:extLst>
        </xdr:cNvPr>
        <xdr:cNvSpPr>
          <a:spLocks noChangeArrowheads="1"/>
        </xdr:cNvSpPr>
      </xdr:nvSpPr>
      <xdr:spPr bwMode="auto">
        <a:xfrm>
          <a:off x="8729030" y="2813053"/>
          <a:ext cx="1375453" cy="504827"/>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eqf</a:t>
          </a:r>
        </a:p>
      </xdr:txBody>
    </xdr:sp>
    <xdr:clientData/>
  </xdr:twoCellAnchor>
  <xdr:twoCellAnchor editAs="absolute">
    <xdr:from>
      <xdr:col>2</xdr:col>
      <xdr:colOff>665012</xdr:colOff>
      <xdr:row>17</xdr:row>
      <xdr:rowOff>50803</xdr:rowOff>
    </xdr:from>
    <xdr:to>
      <xdr:col>3</xdr:col>
      <xdr:colOff>580268</xdr:colOff>
      <xdr:row>20</xdr:row>
      <xdr:rowOff>69855</xdr:rowOff>
    </xdr:to>
    <xdr:sp macro="" textlink="">
      <xdr:nvSpPr>
        <xdr:cNvPr id="31" name="AutoShape 23">
          <a:hlinkClick xmlns:r="http://schemas.openxmlformats.org/officeDocument/2006/relationships" r:id="rId3" tooltip="Go to yf"/>
          <a:extLst>
            <a:ext uri="{FF2B5EF4-FFF2-40B4-BE49-F238E27FC236}">
              <a16:creationId xmlns:a16="http://schemas.microsoft.com/office/drawing/2014/main" xmlns="" id="{00000000-0008-0000-0800-00001F000000}"/>
            </a:ext>
          </a:extLst>
        </xdr:cNvPr>
        <xdr:cNvSpPr>
          <a:spLocks noChangeArrowheads="1"/>
        </xdr:cNvSpPr>
      </xdr:nvSpPr>
      <xdr:spPr bwMode="auto">
        <a:xfrm>
          <a:off x="5494187" y="2822578"/>
          <a:ext cx="1363056" cy="504827"/>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yf</a:t>
          </a:r>
        </a:p>
      </xdr:txBody>
    </xdr:sp>
    <xdr:clientData/>
  </xdr:twoCellAnchor>
  <xdr:twoCellAnchor editAs="absolute">
    <xdr:from>
      <xdr:col>2</xdr:col>
      <xdr:colOff>1304925</xdr:colOff>
      <xdr:row>8</xdr:row>
      <xdr:rowOff>19050</xdr:rowOff>
    </xdr:from>
    <xdr:to>
      <xdr:col>2</xdr:col>
      <xdr:colOff>1346540</xdr:colOff>
      <xdr:row>17</xdr:row>
      <xdr:rowOff>50803</xdr:rowOff>
    </xdr:to>
    <xdr:cxnSp macro="">
      <xdr:nvCxnSpPr>
        <xdr:cNvPr id="3461348" name="AutoShape 485">
          <a:extLst>
            <a:ext uri="{FF2B5EF4-FFF2-40B4-BE49-F238E27FC236}">
              <a16:creationId xmlns:a16="http://schemas.microsoft.com/office/drawing/2014/main" xmlns="" id="{00000000-0008-0000-0800-0000E4D03400}"/>
            </a:ext>
          </a:extLst>
        </xdr:cNvPr>
        <xdr:cNvCxnSpPr>
          <a:cxnSpLocks noChangeShapeType="1"/>
          <a:stCxn id="31" idx="0"/>
        </xdr:cNvCxnSpPr>
      </xdr:nvCxnSpPr>
      <xdr:spPr bwMode="auto">
        <a:xfrm flipH="1" flipV="1">
          <a:off x="6134100" y="1333500"/>
          <a:ext cx="41615" cy="1489078"/>
        </a:xfrm>
        <a:prstGeom prst="straightConnector1">
          <a:avLst/>
        </a:prstGeom>
        <a:noFill/>
        <a:ln w="9525">
          <a:solidFill>
            <a:srgbClr val="000000"/>
          </a:solidFill>
          <a:round/>
          <a:headEnd/>
          <a:tailEnd type="triangle" w="med" len="med"/>
        </a:ln>
      </xdr:spPr>
    </xdr:cxnSp>
    <xdr:clientData/>
  </xdr:twoCellAnchor>
  <xdr:twoCellAnchor>
    <xdr:from>
      <xdr:col>4</xdr:col>
      <xdr:colOff>1314450</xdr:colOff>
      <xdr:row>8</xdr:row>
      <xdr:rowOff>28575</xdr:rowOff>
    </xdr:from>
    <xdr:to>
      <xdr:col>5</xdr:col>
      <xdr:colOff>244182</xdr:colOff>
      <xdr:row>17</xdr:row>
      <xdr:rowOff>41278</xdr:rowOff>
    </xdr:to>
    <xdr:cxnSp macro="">
      <xdr:nvCxnSpPr>
        <xdr:cNvPr id="3461349" name="AutoShape 486">
          <a:extLst>
            <a:ext uri="{FF2B5EF4-FFF2-40B4-BE49-F238E27FC236}">
              <a16:creationId xmlns:a16="http://schemas.microsoft.com/office/drawing/2014/main" xmlns="" id="{00000000-0008-0000-0800-0000E5D03400}"/>
            </a:ext>
          </a:extLst>
        </xdr:cNvPr>
        <xdr:cNvCxnSpPr>
          <a:cxnSpLocks noChangeShapeType="1"/>
          <a:stCxn id="30" idx="0"/>
        </xdr:cNvCxnSpPr>
      </xdr:nvCxnSpPr>
      <xdr:spPr bwMode="auto">
        <a:xfrm flipH="1" flipV="1">
          <a:off x="9039225" y="1343025"/>
          <a:ext cx="377532" cy="1470028"/>
        </a:xfrm>
        <a:prstGeom prst="straightConnector1">
          <a:avLst/>
        </a:prstGeom>
        <a:noFill/>
        <a:ln w="9525">
          <a:solidFill>
            <a:srgbClr val="000000"/>
          </a:solidFill>
          <a:round/>
          <a:headEnd/>
          <a:tailEnd type="triangle" w="med" len="med"/>
        </a:ln>
      </xdr:spPr>
    </xdr:cxnSp>
    <xdr:clientData/>
  </xdr:twoCellAnchor>
  <xdr:twoCellAnchor>
    <xdr:from>
      <xdr:col>0</xdr:col>
      <xdr:colOff>2984494</xdr:colOff>
      <xdr:row>13</xdr:row>
      <xdr:rowOff>68284</xdr:rowOff>
    </xdr:from>
    <xdr:to>
      <xdr:col>1</xdr:col>
      <xdr:colOff>974719</xdr:colOff>
      <xdr:row>16</xdr:row>
      <xdr:rowOff>87335</xdr:rowOff>
    </xdr:to>
    <xdr:sp macro="" textlink="">
      <xdr:nvSpPr>
        <xdr:cNvPr id="18" name="AutoShape 48">
          <a:hlinkClick xmlns:r="http://schemas.openxmlformats.org/officeDocument/2006/relationships" r:id="rId4" tooltip="Go to land_use"/>
          <a:extLst>
            <a:ext uri="{FF2B5EF4-FFF2-40B4-BE49-F238E27FC236}">
              <a16:creationId xmlns:a16="http://schemas.microsoft.com/office/drawing/2014/main" xmlns="" id="{00000000-0008-0000-0800-000012000000}"/>
            </a:ext>
          </a:extLst>
        </xdr:cNvPr>
        <xdr:cNvSpPr>
          <a:spLocks noChangeArrowheads="1"/>
        </xdr:cNvSpPr>
      </xdr:nvSpPr>
      <xdr:spPr bwMode="auto">
        <a:xfrm>
          <a:off x="2984494" y="2354284"/>
          <a:ext cx="1371600" cy="504826"/>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bioproductive_area</a:t>
          </a:r>
        </a:p>
      </xdr:txBody>
    </xdr:sp>
    <xdr:clientData/>
  </xdr:twoCellAnchor>
  <xdr:twoCellAnchor>
    <xdr:from>
      <xdr:col>1</xdr:col>
      <xdr:colOff>38100</xdr:colOff>
      <xdr:row>8</xdr:row>
      <xdr:rowOff>0</xdr:rowOff>
    </xdr:from>
    <xdr:to>
      <xdr:col>1</xdr:col>
      <xdr:colOff>1076325</xdr:colOff>
      <xdr:row>13</xdr:row>
      <xdr:rowOff>57150</xdr:rowOff>
    </xdr:to>
    <xdr:cxnSp macro="">
      <xdr:nvCxnSpPr>
        <xdr:cNvPr id="3461351" name="AutoShape 483">
          <a:extLst>
            <a:ext uri="{FF2B5EF4-FFF2-40B4-BE49-F238E27FC236}">
              <a16:creationId xmlns:a16="http://schemas.microsoft.com/office/drawing/2014/main" xmlns="" id="{00000000-0008-0000-0800-0000E7D03400}"/>
            </a:ext>
          </a:extLst>
        </xdr:cNvPr>
        <xdr:cNvCxnSpPr>
          <a:cxnSpLocks noChangeShapeType="1"/>
        </xdr:cNvCxnSpPr>
      </xdr:nvCxnSpPr>
      <xdr:spPr bwMode="auto">
        <a:xfrm flipV="1">
          <a:off x="3419475" y="1476375"/>
          <a:ext cx="1038225" cy="866775"/>
        </a:xfrm>
        <a:prstGeom prst="straightConnector1">
          <a:avLst/>
        </a:prstGeom>
        <a:noFill/>
        <a:ln w="9525">
          <a:solidFill>
            <a:srgbClr val="000000"/>
          </a:solidFill>
          <a:round/>
          <a:headEnd/>
          <a:tailEnd type="triangle" w="med" len="med"/>
        </a:ln>
      </xdr:spPr>
    </xdr:cxnSp>
    <xdr:clientData/>
  </xdr:twoCellAnchor>
  <xdr:twoCellAnchor editAs="absolute">
    <xdr:from>
      <xdr:col>3</xdr:col>
      <xdr:colOff>904875</xdr:colOff>
      <xdr:row>17</xdr:row>
      <xdr:rowOff>28575</xdr:rowOff>
    </xdr:from>
    <xdr:to>
      <xdr:col>4</xdr:col>
      <xdr:colOff>820131</xdr:colOff>
      <xdr:row>20</xdr:row>
      <xdr:rowOff>47627</xdr:rowOff>
    </xdr:to>
    <xdr:sp macro="" textlink="">
      <xdr:nvSpPr>
        <xdr:cNvPr id="15" name="AutoShape 23">
          <a:hlinkClick xmlns:r="http://schemas.openxmlformats.org/officeDocument/2006/relationships" r:id="rId5" tooltip="Go to iyf"/>
          <a:extLst>
            <a:ext uri="{FF2B5EF4-FFF2-40B4-BE49-F238E27FC236}">
              <a16:creationId xmlns:a16="http://schemas.microsoft.com/office/drawing/2014/main" xmlns="" id="{00000000-0008-0000-0800-00000F000000}"/>
            </a:ext>
          </a:extLst>
        </xdr:cNvPr>
        <xdr:cNvSpPr>
          <a:spLocks noChangeArrowheads="1"/>
        </xdr:cNvSpPr>
      </xdr:nvSpPr>
      <xdr:spPr bwMode="auto">
        <a:xfrm>
          <a:off x="7181850" y="2800350"/>
          <a:ext cx="1363056" cy="504827"/>
        </a:xfrm>
        <a:prstGeom prst="roundRect">
          <a:avLst>
            <a:gd name="adj" fmla="val 16667"/>
          </a:avLst>
        </a:prstGeom>
        <a:solidFill>
          <a:srgbClr val="4D7002"/>
        </a:solidFill>
        <a:ln w="9525">
          <a:solidFill>
            <a:schemeClr val="tx1"/>
          </a:solidFill>
          <a:round/>
          <a:headEnd/>
          <a:tailEnd/>
        </a:ln>
        <a:effectLst/>
        <a:scene3d>
          <a:camera prst="orthographicFront"/>
          <a:lightRig rig="threeP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a:solidFill>
                <a:schemeClr val="bg1"/>
              </a:solidFill>
            </a:rPr>
            <a:t>iyf</a:t>
          </a:r>
        </a:p>
      </xdr:txBody>
    </xdr:sp>
    <xdr:clientData/>
  </xdr:twoCellAnchor>
  <xdr:twoCellAnchor editAs="absolute">
    <xdr:from>
      <xdr:col>3</xdr:col>
      <xdr:colOff>1228725</xdr:colOff>
      <xdr:row>8</xdr:row>
      <xdr:rowOff>28575</xdr:rowOff>
    </xdr:from>
    <xdr:to>
      <xdr:col>3</xdr:col>
      <xdr:colOff>1228726</xdr:colOff>
      <xdr:row>17</xdr:row>
      <xdr:rowOff>19051</xdr:rowOff>
    </xdr:to>
    <xdr:cxnSp macro="">
      <xdr:nvCxnSpPr>
        <xdr:cNvPr id="3461353" name="AutoShape 485">
          <a:extLst>
            <a:ext uri="{FF2B5EF4-FFF2-40B4-BE49-F238E27FC236}">
              <a16:creationId xmlns:a16="http://schemas.microsoft.com/office/drawing/2014/main" xmlns="" id="{00000000-0008-0000-0800-0000E9D03400}"/>
            </a:ext>
          </a:extLst>
        </xdr:cNvPr>
        <xdr:cNvCxnSpPr>
          <a:cxnSpLocks noChangeShapeType="1"/>
        </xdr:cNvCxnSpPr>
      </xdr:nvCxnSpPr>
      <xdr:spPr bwMode="auto">
        <a:xfrm flipH="1" flipV="1">
          <a:off x="7505700" y="1343025"/>
          <a:ext cx="1" cy="1447801"/>
        </a:xfrm>
        <a:prstGeom prst="straightConnector1">
          <a:avLst/>
        </a:prstGeom>
        <a:noFill/>
        <a:ln w="9525">
          <a:solidFill>
            <a:srgbClr val="000000"/>
          </a:solidFill>
          <a:round/>
          <a:headEnd/>
          <a:tailEnd type="triangle" w="med" len="med"/>
        </a:ln>
      </xdr:spPr>
    </xdr:cxn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carbon Footprint summary"/>
          <a:extLst>
            <a:ext uri="{FF2B5EF4-FFF2-40B4-BE49-F238E27FC236}">
              <a16:creationId xmlns:a16="http://schemas.microsoft.com/office/drawing/2014/main" xmlns="" id="{00000000-0008-0000-09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ef_carbon</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09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carbon Footprint summary"/>
          <a:extLst>
            <a:ext uri="{FF2B5EF4-FFF2-40B4-BE49-F238E27FC236}">
              <a16:creationId xmlns:a16="http://schemas.microsoft.com/office/drawing/2014/main" xmlns="" id="{00000000-0008-0000-0A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ef_carbon</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0A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carbon Footprint summary"/>
          <a:extLst>
            <a:ext uri="{FF2B5EF4-FFF2-40B4-BE49-F238E27FC236}">
              <a16:creationId xmlns:a16="http://schemas.microsoft.com/office/drawing/2014/main" xmlns="" id="{00000000-0008-0000-0B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ef_carbon</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0B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8" name="AutoShape 9">
          <a:hlinkClick xmlns:r="http://schemas.openxmlformats.org/officeDocument/2006/relationships" r:id="rId1" tooltip="Go to carbon Footprint summary"/>
          <a:extLst>
            <a:ext uri="{FF2B5EF4-FFF2-40B4-BE49-F238E27FC236}">
              <a16:creationId xmlns:a16="http://schemas.microsoft.com/office/drawing/2014/main" xmlns="" id="{00000000-0008-0000-0C00-000008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ef_carbon</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9" name="AutoShape 12">
          <a:hlinkClick xmlns:r="http://schemas.openxmlformats.org/officeDocument/2006/relationships" r:id="rId2" tooltip="Go to summary sheet"/>
          <a:extLst>
            <a:ext uri="{FF2B5EF4-FFF2-40B4-BE49-F238E27FC236}">
              <a16:creationId xmlns:a16="http://schemas.microsoft.com/office/drawing/2014/main" xmlns="" id="{00000000-0008-0000-0C00-000009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361950</xdr:colOff>
      <xdr:row>0</xdr:row>
      <xdr:rowOff>142875</xdr:rowOff>
    </xdr:from>
    <xdr:to>
      <xdr:col>0</xdr:col>
      <xdr:colOff>1514475</xdr:colOff>
      <xdr:row>3</xdr:row>
      <xdr:rowOff>19050</xdr:rowOff>
    </xdr:to>
    <xdr:sp macro="" textlink="">
      <xdr:nvSpPr>
        <xdr:cNvPr id="2" name="AutoShape 12">
          <a:hlinkClick xmlns:r="http://schemas.openxmlformats.org/officeDocument/2006/relationships" r:id="rId1" tooltip="Go to summary sheet"/>
          <a:extLst>
            <a:ext uri="{FF2B5EF4-FFF2-40B4-BE49-F238E27FC236}">
              <a16:creationId xmlns:a16="http://schemas.microsoft.com/office/drawing/2014/main" xmlns="" id="{00000000-0008-0000-0D00-000002000000}"/>
            </a:ext>
          </a:extLst>
        </xdr:cNvPr>
        <xdr:cNvSpPr>
          <a:spLocks noChangeArrowheads="1"/>
        </xdr:cNvSpPr>
      </xdr:nvSpPr>
      <xdr:spPr bwMode="auto">
        <a:xfrm>
          <a:off x="361950" y="142875"/>
          <a:ext cx="1152525" cy="361950"/>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1847850</xdr:colOff>
      <xdr:row>0</xdr:row>
      <xdr:rowOff>142874</xdr:rowOff>
    </xdr:from>
    <xdr:to>
      <xdr:col>0</xdr:col>
      <xdr:colOff>3038475</xdr:colOff>
      <xdr:row>3</xdr:row>
      <xdr:rowOff>22859</xdr:rowOff>
    </xdr:to>
    <xdr:sp macro="" textlink="">
      <xdr:nvSpPr>
        <xdr:cNvPr id="3" name="AutoShape 9">
          <a:hlinkClick xmlns:r="http://schemas.openxmlformats.org/officeDocument/2006/relationships" r:id="rId2" tooltip="Go to carbon Footprint summary"/>
          <a:extLst>
            <a:ext uri="{FF2B5EF4-FFF2-40B4-BE49-F238E27FC236}">
              <a16:creationId xmlns:a16="http://schemas.microsoft.com/office/drawing/2014/main" xmlns="" id="{00000000-0008-0000-0D00-000003000000}"/>
            </a:ext>
          </a:extLst>
        </xdr:cNvPr>
        <xdr:cNvSpPr>
          <a:spLocks noChangeArrowheads="1"/>
        </xdr:cNvSpPr>
      </xdr:nvSpPr>
      <xdr:spPr bwMode="auto">
        <a:xfrm>
          <a:off x="1847850" y="142874"/>
          <a:ext cx="1190625" cy="365760"/>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ef_carbon</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1790700</xdr:colOff>
      <xdr:row>1</xdr:row>
      <xdr:rowOff>0</xdr:rowOff>
    </xdr:from>
    <xdr:to>
      <xdr:col>0</xdr:col>
      <xdr:colOff>2933700</xdr:colOff>
      <xdr:row>3</xdr:row>
      <xdr:rowOff>42862</xdr:rowOff>
    </xdr:to>
    <xdr:sp macro="" textlink="">
      <xdr:nvSpPr>
        <xdr:cNvPr id="2" name="AutoShape 9">
          <a:hlinkClick xmlns:r="http://schemas.openxmlformats.org/officeDocument/2006/relationships" r:id="rId1" tooltip="Go to carbon Footprint summary"/>
          <a:extLst>
            <a:ext uri="{FF2B5EF4-FFF2-40B4-BE49-F238E27FC236}">
              <a16:creationId xmlns:a16="http://schemas.microsoft.com/office/drawing/2014/main" xmlns="" id="{00000000-0008-0000-0E00-000002000000}"/>
            </a:ext>
          </a:extLst>
        </xdr:cNvPr>
        <xdr:cNvSpPr>
          <a:spLocks noChangeArrowheads="1"/>
        </xdr:cNvSpPr>
      </xdr:nvSpPr>
      <xdr:spPr bwMode="auto">
        <a:xfrm>
          <a:off x="1790700" y="161925"/>
          <a:ext cx="1143000"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ef_carbon</a:t>
          </a:r>
        </a:p>
      </xdr:txBody>
    </xdr:sp>
    <xdr:clientData/>
  </xdr:twoCellAnchor>
  <xdr:twoCellAnchor>
    <xdr:from>
      <xdr:col>0</xdr:col>
      <xdr:colOff>342900</xdr:colOff>
      <xdr:row>1</xdr:row>
      <xdr:rowOff>19050</xdr:rowOff>
    </xdr:from>
    <xdr:to>
      <xdr:col>0</xdr:col>
      <xdr:colOff>1485900</xdr:colOff>
      <xdr:row>3</xdr:row>
      <xdr:rowOff>61913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0E00-000003000000}"/>
            </a:ext>
          </a:extLst>
        </xdr:cNvPr>
        <xdr:cNvSpPr>
          <a:spLocks noChangeArrowheads="1"/>
        </xdr:cNvSpPr>
      </xdr:nvSpPr>
      <xdr:spPr bwMode="auto">
        <a:xfrm>
          <a:off x="342900" y="1809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carbon Footprint summary"/>
          <a:extLst>
            <a:ext uri="{FF2B5EF4-FFF2-40B4-BE49-F238E27FC236}">
              <a16:creationId xmlns:a16="http://schemas.microsoft.com/office/drawing/2014/main" xmlns="" id="{00000000-0008-0000-0F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ef_carbon</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0F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1905000</xdr:colOff>
      <xdr:row>0</xdr:row>
      <xdr:rowOff>133351</xdr:rowOff>
    </xdr:from>
    <xdr:to>
      <xdr:col>1</xdr:col>
      <xdr:colOff>895350</xdr:colOff>
      <xdr:row>3</xdr:row>
      <xdr:rowOff>14288</xdr:rowOff>
    </xdr:to>
    <xdr:sp macro="" textlink="">
      <xdr:nvSpPr>
        <xdr:cNvPr id="2" name="AutoShape 9">
          <a:hlinkClick xmlns:r="http://schemas.openxmlformats.org/officeDocument/2006/relationships" r:id="rId1" tooltip="Go to cropland Footprint summary"/>
          <a:extLst>
            <a:ext uri="{FF2B5EF4-FFF2-40B4-BE49-F238E27FC236}">
              <a16:creationId xmlns:a16="http://schemas.microsoft.com/office/drawing/2014/main" xmlns="" id="{00000000-0008-0000-1000-000002000000}"/>
            </a:ext>
          </a:extLst>
        </xdr:cNvPr>
        <xdr:cNvSpPr>
          <a:spLocks noChangeArrowheads="1"/>
        </xdr:cNvSpPr>
      </xdr:nvSpPr>
      <xdr:spPr bwMode="auto">
        <a:xfrm>
          <a:off x="1905000" y="133351"/>
          <a:ext cx="1000125"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ef_crop</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10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1338279</xdr:colOff>
      <xdr:row>1</xdr:row>
      <xdr:rowOff>1</xdr:rowOff>
    </xdr:from>
    <xdr:to>
      <xdr:col>0</xdr:col>
      <xdr:colOff>2480483</xdr:colOff>
      <xdr:row>3</xdr:row>
      <xdr:rowOff>42863</xdr:rowOff>
    </xdr:to>
    <xdr:sp macro="" textlink="">
      <xdr:nvSpPr>
        <xdr:cNvPr id="2" name="AutoShape 9">
          <a:hlinkClick xmlns:r="http://schemas.openxmlformats.org/officeDocument/2006/relationships" r:id="rId1" tooltip="Go to cropland Footprint summary"/>
          <a:extLst>
            <a:ext uri="{FF2B5EF4-FFF2-40B4-BE49-F238E27FC236}">
              <a16:creationId xmlns:a16="http://schemas.microsoft.com/office/drawing/2014/main" xmlns="" id="{00000000-0008-0000-1100-000002000000}"/>
            </a:ext>
          </a:extLst>
        </xdr:cNvPr>
        <xdr:cNvSpPr>
          <a:spLocks noChangeArrowheads="1"/>
        </xdr:cNvSpPr>
      </xdr:nvSpPr>
      <xdr:spPr bwMode="auto">
        <a:xfrm>
          <a:off x="1338279" y="16192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ef_crop</a:t>
          </a:r>
        </a:p>
      </xdr:txBody>
    </xdr:sp>
    <xdr:clientData/>
  </xdr:twoCellAnchor>
  <xdr:twoCellAnchor>
    <xdr:from>
      <xdr:col>0</xdr:col>
      <xdr:colOff>66675</xdr:colOff>
      <xdr:row>0</xdr:row>
      <xdr:rowOff>142875</xdr:rowOff>
    </xdr:from>
    <xdr:to>
      <xdr:col>0</xdr:col>
      <xdr:colOff>1209675</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1100-000003000000}"/>
            </a:ext>
          </a:extLst>
        </xdr:cNvPr>
        <xdr:cNvSpPr>
          <a:spLocks noChangeArrowheads="1"/>
        </xdr:cNvSpPr>
      </xdr:nvSpPr>
      <xdr:spPr bwMode="auto">
        <a:xfrm>
          <a:off x="66675"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cropland Footprint summary"/>
          <a:extLst>
            <a:ext uri="{FF2B5EF4-FFF2-40B4-BE49-F238E27FC236}">
              <a16:creationId xmlns:a16="http://schemas.microsoft.com/office/drawing/2014/main" xmlns="" id="{00000000-0008-0000-12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ef_crop</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12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cropland Footprint summary"/>
          <a:extLst>
            <a:ext uri="{FF2B5EF4-FFF2-40B4-BE49-F238E27FC236}">
              <a16:creationId xmlns:a16="http://schemas.microsoft.com/office/drawing/2014/main" xmlns="" id="{00000000-0008-0000-13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ef_crop</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13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1328737</xdr:colOff>
      <xdr:row>0</xdr:row>
      <xdr:rowOff>133351</xdr:rowOff>
    </xdr:from>
    <xdr:to>
      <xdr:col>0</xdr:col>
      <xdr:colOff>2209800</xdr:colOff>
      <xdr:row>3</xdr:row>
      <xdr:rowOff>14288</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400-000003000000}"/>
            </a:ext>
          </a:extLst>
        </xdr:cNvPr>
        <xdr:cNvSpPr>
          <a:spLocks noChangeArrowheads="1"/>
        </xdr:cNvSpPr>
      </xdr:nvSpPr>
      <xdr:spPr bwMode="auto">
        <a:xfrm>
          <a:off x="1328737" y="133351"/>
          <a:ext cx="881063"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361949</xdr:colOff>
      <xdr:row>0</xdr:row>
      <xdr:rowOff>142875</xdr:rowOff>
    </xdr:from>
    <xdr:to>
      <xdr:col>0</xdr:col>
      <xdr:colOff>1209674</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400-000004000000}"/>
            </a:ext>
          </a:extLst>
        </xdr:cNvPr>
        <xdr:cNvSpPr>
          <a:spLocks noChangeArrowheads="1"/>
        </xdr:cNvSpPr>
      </xdr:nvSpPr>
      <xdr:spPr bwMode="auto">
        <a:xfrm>
          <a:off x="361949" y="142875"/>
          <a:ext cx="847725"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1645452</xdr:colOff>
      <xdr:row>0</xdr:row>
      <xdr:rowOff>142876</xdr:rowOff>
    </xdr:from>
    <xdr:to>
      <xdr:col>0</xdr:col>
      <xdr:colOff>2724150</xdr:colOff>
      <xdr:row>3</xdr:row>
      <xdr:rowOff>23813</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500-000003000000}"/>
            </a:ext>
          </a:extLst>
        </xdr:cNvPr>
        <xdr:cNvSpPr>
          <a:spLocks noChangeArrowheads="1"/>
        </xdr:cNvSpPr>
      </xdr:nvSpPr>
      <xdr:spPr bwMode="auto">
        <a:xfrm>
          <a:off x="1645452" y="142876"/>
          <a:ext cx="1078698"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5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1852629</xdr:colOff>
      <xdr:row>0</xdr:row>
      <xdr:rowOff>142876</xdr:rowOff>
    </xdr:from>
    <xdr:to>
      <xdr:col>2</xdr:col>
      <xdr:colOff>314325</xdr:colOff>
      <xdr:row>3</xdr:row>
      <xdr:rowOff>23813</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600-000003000000}"/>
            </a:ext>
          </a:extLst>
        </xdr:cNvPr>
        <xdr:cNvSpPr>
          <a:spLocks noChangeArrowheads="1"/>
        </xdr:cNvSpPr>
      </xdr:nvSpPr>
      <xdr:spPr bwMode="auto">
        <a:xfrm>
          <a:off x="1852629" y="142876"/>
          <a:ext cx="995346"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6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1990725</xdr:colOff>
      <xdr:row>0</xdr:row>
      <xdr:rowOff>142876</xdr:rowOff>
    </xdr:from>
    <xdr:to>
      <xdr:col>1</xdr:col>
      <xdr:colOff>870758</xdr:colOff>
      <xdr:row>3</xdr:row>
      <xdr:rowOff>23813</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700-000003000000}"/>
            </a:ext>
          </a:extLst>
        </xdr:cNvPr>
        <xdr:cNvSpPr>
          <a:spLocks noChangeArrowheads="1"/>
        </xdr:cNvSpPr>
      </xdr:nvSpPr>
      <xdr:spPr bwMode="auto">
        <a:xfrm>
          <a:off x="1990725" y="142876"/>
          <a:ext cx="1042208"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7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8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8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9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9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A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A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1013226</xdr:colOff>
      <xdr:row>0</xdr:row>
      <xdr:rowOff>133351</xdr:rowOff>
    </xdr:from>
    <xdr:to>
      <xdr:col>1</xdr:col>
      <xdr:colOff>276225</xdr:colOff>
      <xdr:row>3</xdr:row>
      <xdr:rowOff>14288</xdr:rowOff>
    </xdr:to>
    <xdr:sp macro="" textlink="">
      <xdr:nvSpPr>
        <xdr:cNvPr id="3" name="AutoShape 9">
          <a:hlinkClick xmlns:r="http://schemas.openxmlformats.org/officeDocument/2006/relationships" r:id="rId1" tooltip="Go to grazing land Footprint summary"/>
          <a:extLst>
            <a:ext uri="{FF2B5EF4-FFF2-40B4-BE49-F238E27FC236}">
              <a16:creationId xmlns:a16="http://schemas.microsoft.com/office/drawing/2014/main" xmlns="" id="{00000000-0008-0000-1B00-000003000000}"/>
            </a:ext>
          </a:extLst>
        </xdr:cNvPr>
        <xdr:cNvSpPr>
          <a:spLocks noChangeArrowheads="1"/>
        </xdr:cNvSpPr>
      </xdr:nvSpPr>
      <xdr:spPr bwMode="auto">
        <a:xfrm>
          <a:off x="1013226" y="133351"/>
          <a:ext cx="94892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twoCellAnchor>
    <xdr:from>
      <xdr:col>0</xdr:col>
      <xdr:colOff>104775</xdr:colOff>
      <xdr:row>0</xdr:row>
      <xdr:rowOff>142875</xdr:rowOff>
    </xdr:from>
    <xdr:to>
      <xdr:col>0</xdr:col>
      <xdr:colOff>933450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1B00-000004000000}"/>
            </a:ext>
          </a:extLst>
        </xdr:cNvPr>
        <xdr:cNvSpPr>
          <a:spLocks noChangeArrowheads="1"/>
        </xdr:cNvSpPr>
      </xdr:nvSpPr>
      <xdr:spPr bwMode="auto">
        <a:xfrm>
          <a:off x="104775" y="142875"/>
          <a:ext cx="828675"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1" tooltip="Go to summary sheet"/>
          <a:extLst>
            <a:ext uri="{FF2B5EF4-FFF2-40B4-BE49-F238E27FC236}">
              <a16:creationId xmlns:a16="http://schemas.microsoft.com/office/drawing/2014/main" xmlns="" id="{00000000-0008-0000-1C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1792941</xdr:colOff>
      <xdr:row>0</xdr:row>
      <xdr:rowOff>152400</xdr:rowOff>
    </xdr:from>
    <xdr:to>
      <xdr:col>1</xdr:col>
      <xdr:colOff>649940</xdr:colOff>
      <xdr:row>3</xdr:row>
      <xdr:rowOff>33337</xdr:rowOff>
    </xdr:to>
    <xdr:sp macro="" textlink="">
      <xdr:nvSpPr>
        <xdr:cNvPr id="4"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1C00-000004000000}"/>
            </a:ext>
          </a:extLst>
        </xdr:cNvPr>
        <xdr:cNvSpPr>
          <a:spLocks noChangeArrowheads="1"/>
        </xdr:cNvSpPr>
      </xdr:nvSpPr>
      <xdr:spPr bwMode="auto">
        <a:xfrm>
          <a:off x="1792941" y="152400"/>
          <a:ext cx="963705" cy="351584"/>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342900</xdr:colOff>
      <xdr:row>0</xdr:row>
      <xdr:rowOff>133350</xdr:rowOff>
    </xdr:from>
    <xdr:to>
      <xdr:col>0</xdr:col>
      <xdr:colOff>1485900</xdr:colOff>
      <xdr:row>3</xdr:row>
      <xdr:rowOff>14288</xdr:rowOff>
    </xdr:to>
    <xdr:sp macro="" textlink="">
      <xdr:nvSpPr>
        <xdr:cNvPr id="3" name="AutoShape 12">
          <a:hlinkClick xmlns:r="http://schemas.openxmlformats.org/officeDocument/2006/relationships" r:id="rId1" tooltip="Go to summary sheet"/>
          <a:extLst>
            <a:ext uri="{FF2B5EF4-FFF2-40B4-BE49-F238E27FC236}">
              <a16:creationId xmlns:a16="http://schemas.microsoft.com/office/drawing/2014/main" xmlns="" id="{00000000-0008-0000-1D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1704975</xdr:colOff>
      <xdr:row>0</xdr:row>
      <xdr:rowOff>133350</xdr:rowOff>
    </xdr:from>
    <xdr:to>
      <xdr:col>0</xdr:col>
      <xdr:colOff>2847776</xdr:colOff>
      <xdr:row>3</xdr:row>
      <xdr:rowOff>14287</xdr:rowOff>
    </xdr:to>
    <xdr:sp macro="" textlink="">
      <xdr:nvSpPr>
        <xdr:cNvPr id="4"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1D00-000004000000}"/>
            </a:ext>
          </a:extLst>
        </xdr:cNvPr>
        <xdr:cNvSpPr>
          <a:spLocks noChangeArrowheads="1"/>
        </xdr:cNvSpPr>
      </xdr:nvSpPr>
      <xdr:spPr bwMode="auto">
        <a:xfrm>
          <a:off x="1704975" y="133350"/>
          <a:ext cx="1142801"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342900</xdr:colOff>
      <xdr:row>0</xdr:row>
      <xdr:rowOff>133350</xdr:rowOff>
    </xdr:from>
    <xdr:to>
      <xdr:col>0</xdr:col>
      <xdr:colOff>1485900</xdr:colOff>
      <xdr:row>3</xdr:row>
      <xdr:rowOff>14288</xdr:rowOff>
    </xdr:to>
    <xdr:sp macro="" textlink="">
      <xdr:nvSpPr>
        <xdr:cNvPr id="5" name="AutoShape 12">
          <a:hlinkClick xmlns:r="http://schemas.openxmlformats.org/officeDocument/2006/relationships" r:id="rId1" tooltip="Go to summary sheet"/>
          <a:extLst>
            <a:ext uri="{FF2B5EF4-FFF2-40B4-BE49-F238E27FC236}">
              <a16:creationId xmlns:a16="http://schemas.microsoft.com/office/drawing/2014/main" xmlns="" id="{00000000-0008-0000-1E00-000005000000}"/>
            </a:ext>
          </a:extLst>
        </xdr:cNvPr>
        <xdr:cNvSpPr>
          <a:spLocks noChangeArrowheads="1"/>
        </xdr:cNvSpPr>
      </xdr:nvSpPr>
      <xdr:spPr bwMode="auto">
        <a:xfrm>
          <a:off x="342900" y="133350"/>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1704975</xdr:colOff>
      <xdr:row>0</xdr:row>
      <xdr:rowOff>133350</xdr:rowOff>
    </xdr:from>
    <xdr:to>
      <xdr:col>0</xdr:col>
      <xdr:colOff>2847776</xdr:colOff>
      <xdr:row>3</xdr:row>
      <xdr:rowOff>14287</xdr:rowOff>
    </xdr:to>
    <xdr:sp macro="" textlink="">
      <xdr:nvSpPr>
        <xdr:cNvPr id="6"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1E00-000006000000}"/>
            </a:ext>
          </a:extLst>
        </xdr:cNvPr>
        <xdr:cNvSpPr>
          <a:spLocks noChangeArrowheads="1"/>
        </xdr:cNvSpPr>
      </xdr:nvSpPr>
      <xdr:spPr bwMode="auto">
        <a:xfrm>
          <a:off x="1704975" y="133350"/>
          <a:ext cx="1142801"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400050</xdr:colOff>
      <xdr:row>1</xdr:row>
      <xdr:rowOff>0</xdr:rowOff>
    </xdr:from>
    <xdr:to>
      <xdr:col>0</xdr:col>
      <xdr:colOff>1543050</xdr:colOff>
      <xdr:row>3</xdr:row>
      <xdr:rowOff>42863</xdr:rowOff>
    </xdr:to>
    <xdr:sp macro="" textlink="">
      <xdr:nvSpPr>
        <xdr:cNvPr id="3" name="AutoShape 12">
          <a:hlinkClick xmlns:r="http://schemas.openxmlformats.org/officeDocument/2006/relationships" r:id="rId1" tooltip="Go to summary sheet"/>
          <a:extLst>
            <a:ext uri="{FF2B5EF4-FFF2-40B4-BE49-F238E27FC236}">
              <a16:creationId xmlns:a16="http://schemas.microsoft.com/office/drawing/2014/main" xmlns="" id="{00000000-0008-0000-1F00-000003000000}"/>
            </a:ext>
          </a:extLst>
        </xdr:cNvPr>
        <xdr:cNvSpPr>
          <a:spLocks noChangeArrowheads="1"/>
        </xdr:cNvSpPr>
      </xdr:nvSpPr>
      <xdr:spPr bwMode="auto">
        <a:xfrm>
          <a:off x="400050" y="16192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1897855</xdr:colOff>
      <xdr:row>0</xdr:row>
      <xdr:rowOff>152400</xdr:rowOff>
    </xdr:from>
    <xdr:to>
      <xdr:col>0</xdr:col>
      <xdr:colOff>3040855</xdr:colOff>
      <xdr:row>3</xdr:row>
      <xdr:rowOff>33337</xdr:rowOff>
    </xdr:to>
    <xdr:sp macro="" textlink="">
      <xdr:nvSpPr>
        <xdr:cNvPr id="4"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1F00-000004000000}"/>
            </a:ext>
          </a:extLst>
        </xdr:cNvPr>
        <xdr:cNvSpPr>
          <a:spLocks noChangeArrowheads="1"/>
        </xdr:cNvSpPr>
      </xdr:nvSpPr>
      <xdr:spPr bwMode="auto">
        <a:xfrm>
          <a:off x="1897855" y="152400"/>
          <a:ext cx="1143000"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1" tooltip="Go to summary sheet"/>
          <a:extLst>
            <a:ext uri="{FF2B5EF4-FFF2-40B4-BE49-F238E27FC236}">
              <a16:creationId xmlns:a16="http://schemas.microsoft.com/office/drawing/2014/main" xmlns="" id="{00000000-0008-0000-20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1600200</xdr:colOff>
      <xdr:row>0</xdr:row>
      <xdr:rowOff>123825</xdr:rowOff>
    </xdr:from>
    <xdr:to>
      <xdr:col>0</xdr:col>
      <xdr:colOff>2743001</xdr:colOff>
      <xdr:row>3</xdr:row>
      <xdr:rowOff>4762</xdr:rowOff>
    </xdr:to>
    <xdr:sp macro="" textlink="">
      <xdr:nvSpPr>
        <xdr:cNvPr id="4"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2000-000004000000}"/>
            </a:ext>
          </a:extLst>
        </xdr:cNvPr>
        <xdr:cNvSpPr>
          <a:spLocks noChangeArrowheads="1"/>
        </xdr:cNvSpPr>
      </xdr:nvSpPr>
      <xdr:spPr bwMode="auto">
        <a:xfrm>
          <a:off x="1600200" y="123825"/>
          <a:ext cx="1142801"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581025</xdr:colOff>
      <xdr:row>0</xdr:row>
      <xdr:rowOff>142875</xdr:rowOff>
    </xdr:from>
    <xdr:to>
      <xdr:col>0</xdr:col>
      <xdr:colOff>1724025</xdr:colOff>
      <xdr:row>3</xdr:row>
      <xdr:rowOff>23813</xdr:rowOff>
    </xdr:to>
    <xdr:sp macro="" textlink="">
      <xdr:nvSpPr>
        <xdr:cNvPr id="2" name="AutoShape 12">
          <a:hlinkClick xmlns:r="http://schemas.openxmlformats.org/officeDocument/2006/relationships" r:id="rId1" tooltip="Go to summary sheet"/>
          <a:extLst>
            <a:ext uri="{FF2B5EF4-FFF2-40B4-BE49-F238E27FC236}">
              <a16:creationId xmlns:a16="http://schemas.microsoft.com/office/drawing/2014/main" xmlns="" id="{00000000-0008-0000-2100-000002000000}"/>
            </a:ext>
          </a:extLst>
        </xdr:cNvPr>
        <xdr:cNvSpPr>
          <a:spLocks noChangeArrowheads="1"/>
        </xdr:cNvSpPr>
      </xdr:nvSpPr>
      <xdr:spPr bwMode="auto">
        <a:xfrm>
          <a:off x="581025"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1933574</xdr:colOff>
      <xdr:row>0</xdr:row>
      <xdr:rowOff>142875</xdr:rowOff>
    </xdr:from>
    <xdr:to>
      <xdr:col>0</xdr:col>
      <xdr:colOff>3076574</xdr:colOff>
      <xdr:row>3</xdr:row>
      <xdr:rowOff>23812</xdr:rowOff>
    </xdr:to>
    <xdr:sp macro="" textlink="">
      <xdr:nvSpPr>
        <xdr:cNvPr id="3"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2100-000003000000}"/>
            </a:ext>
          </a:extLst>
        </xdr:cNvPr>
        <xdr:cNvSpPr>
          <a:spLocks noChangeArrowheads="1"/>
        </xdr:cNvSpPr>
      </xdr:nvSpPr>
      <xdr:spPr bwMode="auto">
        <a:xfrm>
          <a:off x="1933574" y="142875"/>
          <a:ext cx="1143000"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581025</xdr:colOff>
      <xdr:row>0</xdr:row>
      <xdr:rowOff>142875</xdr:rowOff>
    </xdr:from>
    <xdr:to>
      <xdr:col>0</xdr:col>
      <xdr:colOff>1724025</xdr:colOff>
      <xdr:row>3</xdr:row>
      <xdr:rowOff>23813</xdr:rowOff>
    </xdr:to>
    <xdr:sp macro="" textlink="">
      <xdr:nvSpPr>
        <xdr:cNvPr id="2" name="AutoShape 12">
          <a:hlinkClick xmlns:r="http://schemas.openxmlformats.org/officeDocument/2006/relationships" r:id="rId1" tooltip="Go to summary sheet"/>
          <a:extLst>
            <a:ext uri="{FF2B5EF4-FFF2-40B4-BE49-F238E27FC236}">
              <a16:creationId xmlns:a16="http://schemas.microsoft.com/office/drawing/2014/main" xmlns="" id="{00000000-0008-0000-2200-000002000000}"/>
            </a:ext>
          </a:extLst>
        </xdr:cNvPr>
        <xdr:cNvSpPr>
          <a:spLocks noChangeArrowheads="1"/>
        </xdr:cNvSpPr>
      </xdr:nvSpPr>
      <xdr:spPr bwMode="auto">
        <a:xfrm>
          <a:off x="581025"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1933574</xdr:colOff>
      <xdr:row>0</xdr:row>
      <xdr:rowOff>142875</xdr:rowOff>
    </xdr:from>
    <xdr:to>
      <xdr:col>0</xdr:col>
      <xdr:colOff>3076574</xdr:colOff>
      <xdr:row>3</xdr:row>
      <xdr:rowOff>23812</xdr:rowOff>
    </xdr:to>
    <xdr:sp macro="" textlink="">
      <xdr:nvSpPr>
        <xdr:cNvPr id="3"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2200-000003000000}"/>
            </a:ext>
          </a:extLst>
        </xdr:cNvPr>
        <xdr:cNvSpPr>
          <a:spLocks noChangeArrowheads="1"/>
        </xdr:cNvSpPr>
      </xdr:nvSpPr>
      <xdr:spPr bwMode="auto">
        <a:xfrm>
          <a:off x="1933574" y="142875"/>
          <a:ext cx="1143000"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352425</xdr:colOff>
      <xdr:row>1</xdr:row>
      <xdr:rowOff>0</xdr:rowOff>
    </xdr:from>
    <xdr:to>
      <xdr:col>1</xdr:col>
      <xdr:colOff>85725</xdr:colOff>
      <xdr:row>2</xdr:row>
      <xdr:rowOff>204788</xdr:rowOff>
    </xdr:to>
    <xdr:sp macro="" textlink="">
      <xdr:nvSpPr>
        <xdr:cNvPr id="4" name="AutoShape 12">
          <a:hlinkClick xmlns:r="http://schemas.openxmlformats.org/officeDocument/2006/relationships" r:id="rId1" tooltip="Go to summary sheet"/>
          <a:extLst>
            <a:ext uri="{FF2B5EF4-FFF2-40B4-BE49-F238E27FC236}">
              <a16:creationId xmlns:a16="http://schemas.microsoft.com/office/drawing/2014/main" xmlns="" id="{00000000-0008-0000-2300-000004000000}"/>
            </a:ext>
          </a:extLst>
        </xdr:cNvPr>
        <xdr:cNvSpPr>
          <a:spLocks noChangeArrowheads="1"/>
        </xdr:cNvSpPr>
      </xdr:nvSpPr>
      <xdr:spPr bwMode="auto">
        <a:xfrm>
          <a:off x="352425" y="16192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1</xdr:col>
      <xdr:colOff>314325</xdr:colOff>
      <xdr:row>1</xdr:row>
      <xdr:rowOff>0</xdr:rowOff>
    </xdr:from>
    <xdr:to>
      <xdr:col>1</xdr:col>
      <xdr:colOff>1457325</xdr:colOff>
      <xdr:row>2</xdr:row>
      <xdr:rowOff>204787</xdr:rowOff>
    </xdr:to>
    <xdr:sp macro="" textlink="">
      <xdr:nvSpPr>
        <xdr:cNvPr id="5"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2300-000005000000}"/>
            </a:ext>
          </a:extLst>
        </xdr:cNvPr>
        <xdr:cNvSpPr>
          <a:spLocks noChangeArrowheads="1"/>
        </xdr:cNvSpPr>
      </xdr:nvSpPr>
      <xdr:spPr bwMode="auto">
        <a:xfrm>
          <a:off x="1724025" y="161925"/>
          <a:ext cx="1143000"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352426</xdr:colOff>
      <xdr:row>0</xdr:row>
      <xdr:rowOff>161924</xdr:rowOff>
    </xdr:from>
    <xdr:to>
      <xdr:col>0</xdr:col>
      <xdr:colOff>1552576</xdr:colOff>
      <xdr:row>2</xdr:row>
      <xdr:rowOff>200025</xdr:rowOff>
    </xdr:to>
    <xdr:sp macro="" textlink="">
      <xdr:nvSpPr>
        <xdr:cNvPr id="2" name="AutoShape 12">
          <a:hlinkClick xmlns:r="http://schemas.openxmlformats.org/officeDocument/2006/relationships" r:id="rId1" tooltip="Go to summary sheet"/>
          <a:extLst>
            <a:ext uri="{FF2B5EF4-FFF2-40B4-BE49-F238E27FC236}">
              <a16:creationId xmlns:a16="http://schemas.microsoft.com/office/drawing/2014/main" xmlns="" id="{00000000-0008-0000-2400-000002000000}"/>
            </a:ext>
          </a:extLst>
        </xdr:cNvPr>
        <xdr:cNvSpPr>
          <a:spLocks noChangeArrowheads="1"/>
        </xdr:cNvSpPr>
      </xdr:nvSpPr>
      <xdr:spPr bwMode="auto">
        <a:xfrm>
          <a:off x="352426" y="161924"/>
          <a:ext cx="1200150" cy="361951"/>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1</xdr:col>
      <xdr:colOff>28576</xdr:colOff>
      <xdr:row>1</xdr:row>
      <xdr:rowOff>9525</xdr:rowOff>
    </xdr:from>
    <xdr:to>
      <xdr:col>2</xdr:col>
      <xdr:colOff>495301</xdr:colOff>
      <xdr:row>2</xdr:row>
      <xdr:rowOff>209550</xdr:rowOff>
    </xdr:to>
    <xdr:sp macro="" textlink="">
      <xdr:nvSpPr>
        <xdr:cNvPr id="3"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2400-000003000000}"/>
            </a:ext>
          </a:extLst>
        </xdr:cNvPr>
        <xdr:cNvSpPr>
          <a:spLocks noChangeArrowheads="1"/>
        </xdr:cNvSpPr>
      </xdr:nvSpPr>
      <xdr:spPr bwMode="auto">
        <a:xfrm>
          <a:off x="1685926" y="171450"/>
          <a:ext cx="1143000" cy="361950"/>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333375</xdr:colOff>
      <xdr:row>1</xdr:row>
      <xdr:rowOff>0</xdr:rowOff>
    </xdr:from>
    <xdr:to>
      <xdr:col>0</xdr:col>
      <xdr:colOff>1409701</xdr:colOff>
      <xdr:row>2</xdr:row>
      <xdr:rowOff>204788</xdr:rowOff>
    </xdr:to>
    <xdr:sp macro="" textlink="">
      <xdr:nvSpPr>
        <xdr:cNvPr id="2" name="AutoShape 12">
          <a:hlinkClick xmlns:r="http://schemas.openxmlformats.org/officeDocument/2006/relationships" r:id="rId1" tooltip="Go to summary sheet"/>
          <a:extLst>
            <a:ext uri="{FF2B5EF4-FFF2-40B4-BE49-F238E27FC236}">
              <a16:creationId xmlns:a16="http://schemas.microsoft.com/office/drawing/2014/main" xmlns="" id="{00000000-0008-0000-2500-000002000000}"/>
            </a:ext>
          </a:extLst>
        </xdr:cNvPr>
        <xdr:cNvSpPr>
          <a:spLocks noChangeArrowheads="1"/>
        </xdr:cNvSpPr>
      </xdr:nvSpPr>
      <xdr:spPr bwMode="auto">
        <a:xfrm>
          <a:off x="333375" y="161925"/>
          <a:ext cx="1076326"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1657350</xdr:colOff>
      <xdr:row>1</xdr:row>
      <xdr:rowOff>0</xdr:rowOff>
    </xdr:from>
    <xdr:to>
      <xdr:col>0</xdr:col>
      <xdr:colOff>2771775</xdr:colOff>
      <xdr:row>2</xdr:row>
      <xdr:rowOff>204787</xdr:rowOff>
    </xdr:to>
    <xdr:sp macro="" textlink="">
      <xdr:nvSpPr>
        <xdr:cNvPr id="3"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2500-000003000000}"/>
            </a:ext>
          </a:extLst>
        </xdr:cNvPr>
        <xdr:cNvSpPr>
          <a:spLocks noChangeArrowheads="1"/>
        </xdr:cNvSpPr>
      </xdr:nvSpPr>
      <xdr:spPr bwMode="auto">
        <a:xfrm>
          <a:off x="1657350" y="161925"/>
          <a:ext cx="1114425"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333375</xdr:colOff>
      <xdr:row>1</xdr:row>
      <xdr:rowOff>0</xdr:rowOff>
    </xdr:from>
    <xdr:to>
      <xdr:col>0</xdr:col>
      <xdr:colOff>1409701</xdr:colOff>
      <xdr:row>2</xdr:row>
      <xdr:rowOff>204788</xdr:rowOff>
    </xdr:to>
    <xdr:sp macro="" textlink="">
      <xdr:nvSpPr>
        <xdr:cNvPr id="2" name="AutoShape 12">
          <a:hlinkClick xmlns:r="http://schemas.openxmlformats.org/officeDocument/2006/relationships" r:id="rId1" tooltip="Go to summary sheet"/>
          <a:extLst>
            <a:ext uri="{FF2B5EF4-FFF2-40B4-BE49-F238E27FC236}">
              <a16:creationId xmlns:a16="http://schemas.microsoft.com/office/drawing/2014/main" xmlns="" id="{00000000-0008-0000-2600-000002000000}"/>
            </a:ext>
          </a:extLst>
        </xdr:cNvPr>
        <xdr:cNvSpPr>
          <a:spLocks noChangeArrowheads="1"/>
        </xdr:cNvSpPr>
      </xdr:nvSpPr>
      <xdr:spPr bwMode="auto">
        <a:xfrm>
          <a:off x="333375" y="161925"/>
          <a:ext cx="1076326"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0</xdr:col>
      <xdr:colOff>1657350</xdr:colOff>
      <xdr:row>1</xdr:row>
      <xdr:rowOff>0</xdr:rowOff>
    </xdr:from>
    <xdr:to>
      <xdr:col>0</xdr:col>
      <xdr:colOff>2771775</xdr:colOff>
      <xdr:row>2</xdr:row>
      <xdr:rowOff>204787</xdr:rowOff>
    </xdr:to>
    <xdr:sp macro="" textlink="">
      <xdr:nvSpPr>
        <xdr:cNvPr id="3" name="AutoShape 9">
          <a:hlinkClick xmlns:r="http://schemas.openxmlformats.org/officeDocument/2006/relationships" r:id="rId2" tooltip="Go to grazing land Footprint summary"/>
          <a:extLst>
            <a:ext uri="{FF2B5EF4-FFF2-40B4-BE49-F238E27FC236}">
              <a16:creationId xmlns:a16="http://schemas.microsoft.com/office/drawing/2014/main" xmlns="" id="{00000000-0008-0000-2600-000003000000}"/>
            </a:ext>
          </a:extLst>
        </xdr:cNvPr>
        <xdr:cNvSpPr>
          <a:spLocks noChangeArrowheads="1"/>
        </xdr:cNvSpPr>
      </xdr:nvSpPr>
      <xdr:spPr bwMode="auto">
        <a:xfrm>
          <a:off x="1657350" y="161925"/>
          <a:ext cx="1114425"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ef_grazing</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42879</xdr:colOff>
      <xdr:row>0</xdr:row>
      <xdr:rowOff>152401</xdr:rowOff>
    </xdr:from>
    <xdr:to>
      <xdr:col>1</xdr:col>
      <xdr:colOff>1185083</xdr:colOff>
      <xdr:row>3</xdr:row>
      <xdr:rowOff>33338</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2700-000002000000}"/>
            </a:ext>
          </a:extLst>
        </xdr:cNvPr>
        <xdr:cNvSpPr>
          <a:spLocks noChangeArrowheads="1"/>
        </xdr:cNvSpPr>
      </xdr:nvSpPr>
      <xdr:spPr bwMode="auto">
        <a:xfrm>
          <a:off x="3424254" y="152401"/>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27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28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28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29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29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1" tooltip="Go to summary sheet"/>
          <a:extLst>
            <a:ext uri="{FF2B5EF4-FFF2-40B4-BE49-F238E27FC236}">
              <a16:creationId xmlns:a16="http://schemas.microsoft.com/office/drawing/2014/main" xmlns="" id="{00000000-0008-0000-2A00-000003000000}"/>
            </a:ext>
          </a:extLst>
        </xdr:cNvPr>
        <xdr:cNvSpPr>
          <a:spLocks noChangeArrowheads="1"/>
        </xdr:cNvSpPr>
      </xdr:nvSpPr>
      <xdr:spPr bwMode="auto">
        <a:xfrm>
          <a:off x="361950" y="142875"/>
          <a:ext cx="24765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1</xdr:col>
      <xdr:colOff>114300</xdr:colOff>
      <xdr:row>0</xdr:row>
      <xdr:rowOff>133350</xdr:rowOff>
    </xdr:from>
    <xdr:to>
      <xdr:col>1</xdr:col>
      <xdr:colOff>1256504</xdr:colOff>
      <xdr:row>3</xdr:row>
      <xdr:rowOff>14287</xdr:rowOff>
    </xdr:to>
    <xdr:sp macro="" textlink="">
      <xdr:nvSpPr>
        <xdr:cNvPr id="4" name="AutoShape 9">
          <a:hlinkClick xmlns:r="http://schemas.openxmlformats.org/officeDocument/2006/relationships" r:id="rId2" tooltip="Go to fishing grounds Footprint summary"/>
          <a:extLst>
            <a:ext uri="{FF2B5EF4-FFF2-40B4-BE49-F238E27FC236}">
              <a16:creationId xmlns:a16="http://schemas.microsoft.com/office/drawing/2014/main" xmlns="" id="{00000000-0008-0000-2A00-000004000000}"/>
            </a:ext>
          </a:extLst>
        </xdr:cNvPr>
        <xdr:cNvSpPr>
          <a:spLocks noChangeArrowheads="1"/>
        </xdr:cNvSpPr>
      </xdr:nvSpPr>
      <xdr:spPr bwMode="auto">
        <a:xfrm>
          <a:off x="1714500" y="133350"/>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1" tooltip="Go to summary sheet"/>
          <a:extLst>
            <a:ext uri="{FF2B5EF4-FFF2-40B4-BE49-F238E27FC236}">
              <a16:creationId xmlns:a16="http://schemas.microsoft.com/office/drawing/2014/main" xmlns="" id="{00000000-0008-0000-2B00-000003000000}"/>
            </a:ext>
          </a:extLst>
        </xdr:cNvPr>
        <xdr:cNvSpPr>
          <a:spLocks noChangeArrowheads="1"/>
        </xdr:cNvSpPr>
      </xdr:nvSpPr>
      <xdr:spPr bwMode="auto">
        <a:xfrm>
          <a:off x="361950" y="142875"/>
          <a:ext cx="24765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1</xdr:col>
      <xdr:colOff>95250</xdr:colOff>
      <xdr:row>1</xdr:row>
      <xdr:rowOff>0</xdr:rowOff>
    </xdr:from>
    <xdr:to>
      <xdr:col>1</xdr:col>
      <xdr:colOff>1237454</xdr:colOff>
      <xdr:row>3</xdr:row>
      <xdr:rowOff>42862</xdr:rowOff>
    </xdr:to>
    <xdr:sp macro="" textlink="">
      <xdr:nvSpPr>
        <xdr:cNvPr id="4" name="AutoShape 9">
          <a:hlinkClick xmlns:r="http://schemas.openxmlformats.org/officeDocument/2006/relationships" r:id="rId2" tooltip="Go to fishing grounds Footprint summary"/>
          <a:extLst>
            <a:ext uri="{FF2B5EF4-FFF2-40B4-BE49-F238E27FC236}">
              <a16:creationId xmlns:a16="http://schemas.microsoft.com/office/drawing/2014/main" xmlns="" id="{00000000-0008-0000-2B00-000004000000}"/>
            </a:ext>
          </a:extLst>
        </xdr:cNvPr>
        <xdr:cNvSpPr>
          <a:spLocks noChangeArrowheads="1"/>
        </xdr:cNvSpPr>
      </xdr:nvSpPr>
      <xdr:spPr bwMode="auto">
        <a:xfrm>
          <a:off x="1695450" y="161925"/>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99233</xdr:colOff>
      <xdr:row>0</xdr:row>
      <xdr:rowOff>142876</xdr:rowOff>
    </xdr:from>
    <xdr:to>
      <xdr:col>1</xdr:col>
      <xdr:colOff>1057275</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2C00-000002000000}"/>
            </a:ext>
          </a:extLst>
        </xdr:cNvPr>
        <xdr:cNvSpPr>
          <a:spLocks noChangeArrowheads="1"/>
        </xdr:cNvSpPr>
      </xdr:nvSpPr>
      <xdr:spPr bwMode="auto">
        <a:xfrm flipH="1">
          <a:off x="1699433" y="142876"/>
          <a:ext cx="958042"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2C00-000003000000}"/>
            </a:ext>
          </a:extLst>
        </xdr:cNvPr>
        <xdr:cNvSpPr>
          <a:spLocks noChangeArrowheads="1"/>
        </xdr:cNvSpPr>
      </xdr:nvSpPr>
      <xdr:spPr bwMode="auto">
        <a:xfrm>
          <a:off x="361950" y="142875"/>
          <a:ext cx="24765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2D00-000002000000}"/>
            </a:ext>
          </a:extLst>
        </xdr:cNvPr>
        <xdr:cNvSpPr>
          <a:spLocks noChangeArrowheads="1"/>
        </xdr:cNvSpPr>
      </xdr:nvSpPr>
      <xdr:spPr bwMode="auto">
        <a:xfrm>
          <a:off x="604854" y="142876"/>
          <a:ext cx="8729"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2D00-000003000000}"/>
            </a:ext>
          </a:extLst>
        </xdr:cNvPr>
        <xdr:cNvSpPr>
          <a:spLocks noChangeArrowheads="1"/>
        </xdr:cNvSpPr>
      </xdr:nvSpPr>
      <xdr:spPr bwMode="auto">
        <a:xfrm>
          <a:off x="361950" y="142875"/>
          <a:ext cx="24765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2E00-000002000000}"/>
            </a:ext>
          </a:extLst>
        </xdr:cNvPr>
        <xdr:cNvSpPr>
          <a:spLocks noChangeArrowheads="1"/>
        </xdr:cNvSpPr>
      </xdr:nvSpPr>
      <xdr:spPr bwMode="auto">
        <a:xfrm>
          <a:off x="604854" y="142876"/>
          <a:ext cx="8729"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2E00-000003000000}"/>
            </a:ext>
          </a:extLst>
        </xdr:cNvPr>
        <xdr:cNvSpPr>
          <a:spLocks noChangeArrowheads="1"/>
        </xdr:cNvSpPr>
      </xdr:nvSpPr>
      <xdr:spPr bwMode="auto">
        <a:xfrm>
          <a:off x="361950" y="142875"/>
          <a:ext cx="24765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32558</xdr:colOff>
      <xdr:row>0</xdr:row>
      <xdr:rowOff>142876</xdr:rowOff>
    </xdr:from>
    <xdr:to>
      <xdr:col>1</xdr:col>
      <xdr:colOff>1009650</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2F00-000002000000}"/>
            </a:ext>
          </a:extLst>
        </xdr:cNvPr>
        <xdr:cNvSpPr>
          <a:spLocks noChangeArrowheads="1"/>
        </xdr:cNvSpPr>
      </xdr:nvSpPr>
      <xdr:spPr bwMode="auto">
        <a:xfrm flipH="1">
          <a:off x="1928033" y="142876"/>
          <a:ext cx="977092"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2F00-000003000000}"/>
            </a:ext>
          </a:extLst>
        </xdr:cNvPr>
        <xdr:cNvSpPr>
          <a:spLocks noChangeArrowheads="1"/>
        </xdr:cNvSpPr>
      </xdr:nvSpPr>
      <xdr:spPr bwMode="auto">
        <a:xfrm>
          <a:off x="361950" y="142875"/>
          <a:ext cx="24765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371474</xdr:colOff>
      <xdr:row>0</xdr:row>
      <xdr:rowOff>142876</xdr:rowOff>
    </xdr:from>
    <xdr:to>
      <xdr:col>1</xdr:col>
      <xdr:colOff>1232707</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3000-000002000000}"/>
            </a:ext>
          </a:extLst>
        </xdr:cNvPr>
        <xdr:cNvSpPr>
          <a:spLocks noChangeArrowheads="1"/>
        </xdr:cNvSpPr>
      </xdr:nvSpPr>
      <xdr:spPr bwMode="auto">
        <a:xfrm>
          <a:off x="1371599" y="142876"/>
          <a:ext cx="861233"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85726</xdr:colOff>
      <xdr:row>0</xdr:row>
      <xdr:rowOff>142875</xdr:rowOff>
    </xdr:from>
    <xdr:to>
      <xdr:col>1</xdr:col>
      <xdr:colOff>1</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000-000003000000}"/>
            </a:ext>
          </a:extLst>
        </xdr:cNvPr>
        <xdr:cNvSpPr>
          <a:spLocks noChangeArrowheads="1"/>
        </xdr:cNvSpPr>
      </xdr:nvSpPr>
      <xdr:spPr bwMode="auto">
        <a:xfrm>
          <a:off x="85726" y="142875"/>
          <a:ext cx="9144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466724</xdr:colOff>
      <xdr:row>0</xdr:row>
      <xdr:rowOff>133351</xdr:rowOff>
    </xdr:from>
    <xdr:to>
      <xdr:col>1</xdr:col>
      <xdr:colOff>1270807</xdr:colOff>
      <xdr:row>3</xdr:row>
      <xdr:rowOff>14288</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3100-000002000000}"/>
            </a:ext>
          </a:extLst>
        </xdr:cNvPr>
        <xdr:cNvSpPr>
          <a:spLocks noChangeArrowheads="1"/>
        </xdr:cNvSpPr>
      </xdr:nvSpPr>
      <xdr:spPr bwMode="auto">
        <a:xfrm>
          <a:off x="3848099" y="133351"/>
          <a:ext cx="804083"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161926</xdr:colOff>
      <xdr:row>0</xdr:row>
      <xdr:rowOff>142875</xdr:rowOff>
    </xdr:from>
    <xdr:to>
      <xdr:col>1</xdr:col>
      <xdr:colOff>1</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100-000003000000}"/>
            </a:ext>
          </a:extLst>
        </xdr:cNvPr>
        <xdr:cNvSpPr>
          <a:spLocks noChangeArrowheads="1"/>
        </xdr:cNvSpPr>
      </xdr:nvSpPr>
      <xdr:spPr bwMode="auto">
        <a:xfrm>
          <a:off x="161926" y="142875"/>
          <a:ext cx="8382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32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32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33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3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34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4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57151</xdr:colOff>
      <xdr:row>1</xdr:row>
      <xdr:rowOff>1</xdr:rowOff>
    </xdr:from>
    <xdr:to>
      <xdr:col>1</xdr:col>
      <xdr:colOff>857251</xdr:colOff>
      <xdr:row>3</xdr:row>
      <xdr:rowOff>42863</xdr:rowOff>
    </xdr:to>
    <xdr:sp macro="" textlink="">
      <xdr:nvSpPr>
        <xdr:cNvPr id="2" name="AutoShape 9">
          <a:hlinkClick xmlns:r="http://schemas.openxmlformats.org/officeDocument/2006/relationships" r:id="rId1" tooltip="Go to fishing grounds Footprint summary"/>
          <a:extLst>
            <a:ext uri="{FF2B5EF4-FFF2-40B4-BE49-F238E27FC236}">
              <a16:creationId xmlns:a16="http://schemas.microsoft.com/office/drawing/2014/main" xmlns="" id="{00000000-0008-0000-3500-000002000000}"/>
            </a:ext>
          </a:extLst>
        </xdr:cNvPr>
        <xdr:cNvSpPr>
          <a:spLocks noChangeArrowheads="1"/>
        </xdr:cNvSpPr>
      </xdr:nvSpPr>
      <xdr:spPr bwMode="auto">
        <a:xfrm>
          <a:off x="2066926" y="161926"/>
          <a:ext cx="800100"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ef_fish</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5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1300178</xdr:colOff>
      <xdr:row>0</xdr:row>
      <xdr:rowOff>133351</xdr:rowOff>
    </xdr:from>
    <xdr:to>
      <xdr:col>1</xdr:col>
      <xdr:colOff>447674</xdr:colOff>
      <xdr:row>3</xdr:row>
      <xdr:rowOff>14288</xdr:rowOff>
    </xdr:to>
    <xdr:sp macro="" textlink="">
      <xdr:nvSpPr>
        <xdr:cNvPr id="3" name="AutoShape 9">
          <a:hlinkClick xmlns:r="http://schemas.openxmlformats.org/officeDocument/2006/relationships" r:id="rId1" tooltip="Go to forest Footprint summary"/>
          <a:extLst>
            <a:ext uri="{FF2B5EF4-FFF2-40B4-BE49-F238E27FC236}">
              <a16:creationId xmlns:a16="http://schemas.microsoft.com/office/drawing/2014/main" xmlns="" id="{00000000-0008-0000-3600-000003000000}"/>
            </a:ext>
          </a:extLst>
        </xdr:cNvPr>
        <xdr:cNvSpPr>
          <a:spLocks noChangeArrowheads="1"/>
        </xdr:cNvSpPr>
      </xdr:nvSpPr>
      <xdr:spPr bwMode="auto">
        <a:xfrm>
          <a:off x="1300178" y="133351"/>
          <a:ext cx="1747821"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ef_forest_products</a:t>
          </a:r>
        </a:p>
      </xdr:txBody>
    </xdr:sp>
    <xdr:clientData/>
  </xdr:twoCellAnchor>
  <xdr:twoCellAnchor>
    <xdr:from>
      <xdr:col>0</xdr:col>
      <xdr:colOff>57150</xdr:colOff>
      <xdr:row>0</xdr:row>
      <xdr:rowOff>142875</xdr:rowOff>
    </xdr:from>
    <xdr:to>
      <xdr:col>0</xdr:col>
      <xdr:colOff>1200150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3600-000004000000}"/>
            </a:ext>
          </a:extLst>
        </xdr:cNvPr>
        <xdr:cNvSpPr>
          <a:spLocks noChangeArrowheads="1"/>
        </xdr:cNvSpPr>
      </xdr:nvSpPr>
      <xdr:spPr bwMode="auto">
        <a:xfrm>
          <a:off x="571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1243028</xdr:colOff>
      <xdr:row>0</xdr:row>
      <xdr:rowOff>104776</xdr:rowOff>
    </xdr:from>
    <xdr:to>
      <xdr:col>1</xdr:col>
      <xdr:colOff>438149</xdr:colOff>
      <xdr:row>2</xdr:row>
      <xdr:rowOff>147638</xdr:rowOff>
    </xdr:to>
    <xdr:sp macro="" textlink="">
      <xdr:nvSpPr>
        <xdr:cNvPr id="5" name="AutoShape 9">
          <a:hlinkClick xmlns:r="http://schemas.openxmlformats.org/officeDocument/2006/relationships" r:id="rId1" tooltip="Go to forest Footprint summary"/>
          <a:extLst>
            <a:ext uri="{FF2B5EF4-FFF2-40B4-BE49-F238E27FC236}">
              <a16:creationId xmlns:a16="http://schemas.microsoft.com/office/drawing/2014/main" xmlns="" id="{00000000-0008-0000-3700-000005000000}"/>
            </a:ext>
          </a:extLst>
        </xdr:cNvPr>
        <xdr:cNvSpPr>
          <a:spLocks noChangeArrowheads="1"/>
        </xdr:cNvSpPr>
      </xdr:nvSpPr>
      <xdr:spPr bwMode="auto">
        <a:xfrm>
          <a:off x="1243028" y="104776"/>
          <a:ext cx="1747821"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ef_forest_products</a:t>
          </a:r>
        </a:p>
      </xdr:txBody>
    </xdr:sp>
    <xdr:clientData/>
  </xdr:twoCellAnchor>
  <xdr:twoCellAnchor>
    <xdr:from>
      <xdr:col>0</xdr:col>
      <xdr:colOff>47625</xdr:colOff>
      <xdr:row>0</xdr:row>
      <xdr:rowOff>123825</xdr:rowOff>
    </xdr:from>
    <xdr:to>
      <xdr:col>0</xdr:col>
      <xdr:colOff>1190625</xdr:colOff>
      <xdr:row>3</xdr:row>
      <xdr:rowOff>4763</xdr:rowOff>
    </xdr:to>
    <xdr:sp macro="" textlink="">
      <xdr:nvSpPr>
        <xdr:cNvPr id="6" name="AutoShape 12">
          <a:hlinkClick xmlns:r="http://schemas.openxmlformats.org/officeDocument/2006/relationships" r:id="rId2" tooltip="Go to summary sheet"/>
          <a:extLst>
            <a:ext uri="{FF2B5EF4-FFF2-40B4-BE49-F238E27FC236}">
              <a16:creationId xmlns:a16="http://schemas.microsoft.com/office/drawing/2014/main" xmlns="" id="{00000000-0008-0000-3700-000006000000}"/>
            </a:ext>
          </a:extLst>
        </xdr:cNvPr>
        <xdr:cNvSpPr>
          <a:spLocks noChangeArrowheads="1"/>
        </xdr:cNvSpPr>
      </xdr:nvSpPr>
      <xdr:spPr bwMode="auto">
        <a:xfrm>
          <a:off x="47625" y="12382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forest Footprint summary"/>
          <a:extLst>
            <a:ext uri="{FF2B5EF4-FFF2-40B4-BE49-F238E27FC236}">
              <a16:creationId xmlns:a16="http://schemas.microsoft.com/office/drawing/2014/main" xmlns="" id="{00000000-0008-0000-38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ef_forest</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8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xdr:col>
      <xdr:colOff>271479</xdr:colOff>
      <xdr:row>0</xdr:row>
      <xdr:rowOff>123826</xdr:rowOff>
    </xdr:from>
    <xdr:to>
      <xdr:col>1</xdr:col>
      <xdr:colOff>1413683</xdr:colOff>
      <xdr:row>3</xdr:row>
      <xdr:rowOff>4763</xdr:rowOff>
    </xdr:to>
    <xdr:sp macro="" textlink="">
      <xdr:nvSpPr>
        <xdr:cNvPr id="2" name="AutoShape 9">
          <a:hlinkClick xmlns:r="http://schemas.openxmlformats.org/officeDocument/2006/relationships" r:id="rId1" tooltip="Go to forest Footprint summary"/>
          <a:extLst>
            <a:ext uri="{FF2B5EF4-FFF2-40B4-BE49-F238E27FC236}">
              <a16:creationId xmlns:a16="http://schemas.microsoft.com/office/drawing/2014/main" xmlns="" id="{00000000-0008-0000-3900-000002000000}"/>
            </a:ext>
          </a:extLst>
        </xdr:cNvPr>
        <xdr:cNvSpPr>
          <a:spLocks noChangeArrowheads="1"/>
        </xdr:cNvSpPr>
      </xdr:nvSpPr>
      <xdr:spPr bwMode="auto">
        <a:xfrm>
          <a:off x="1900254" y="12382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ef_forest</a:t>
          </a:r>
        </a:p>
      </xdr:txBody>
    </xdr:sp>
    <xdr:clientData/>
  </xdr:twoCellAnchor>
  <xdr:twoCellAnchor>
    <xdr:from>
      <xdr:col>0</xdr:col>
      <xdr:colOff>57150</xdr:colOff>
      <xdr:row>0</xdr:row>
      <xdr:rowOff>133350</xdr:rowOff>
    </xdr:from>
    <xdr:to>
      <xdr:col>0</xdr:col>
      <xdr:colOff>1200150</xdr:colOff>
      <xdr:row>3</xdr:row>
      <xdr:rowOff>14288</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900-000003000000}"/>
            </a:ext>
          </a:extLst>
        </xdr:cNvPr>
        <xdr:cNvSpPr>
          <a:spLocks noChangeArrowheads="1"/>
        </xdr:cNvSpPr>
      </xdr:nvSpPr>
      <xdr:spPr bwMode="auto">
        <a:xfrm>
          <a:off x="57150" y="133350"/>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built-up land Footprint summary"/>
          <a:extLst>
            <a:ext uri="{FF2B5EF4-FFF2-40B4-BE49-F238E27FC236}">
              <a16:creationId xmlns:a16="http://schemas.microsoft.com/office/drawing/2014/main" xmlns="" id="{00000000-0008-0000-3A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ef_built</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3A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biocapacity summary"/>
          <a:extLst>
            <a:ext uri="{FF2B5EF4-FFF2-40B4-BE49-F238E27FC236}">
              <a16:creationId xmlns:a16="http://schemas.microsoft.com/office/drawing/2014/main" xmlns="" id="{00000000-0008-0000-3B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biocap</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3B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biocapacity summary"/>
          <a:extLst>
            <a:ext uri="{FF2B5EF4-FFF2-40B4-BE49-F238E27FC236}">
              <a16:creationId xmlns:a16="http://schemas.microsoft.com/office/drawing/2014/main" xmlns="" id="{00000000-0008-0000-3C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biocap</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3C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2" name="AutoShape 9">
          <a:hlinkClick xmlns:r="http://schemas.openxmlformats.org/officeDocument/2006/relationships" r:id="rId1" tooltip="Go to biocapacity summary"/>
          <a:extLst>
            <a:ext uri="{FF2B5EF4-FFF2-40B4-BE49-F238E27FC236}">
              <a16:creationId xmlns:a16="http://schemas.microsoft.com/office/drawing/2014/main" xmlns="" id="{00000000-0008-0000-3D00-000002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biocap</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3" name="AutoShape 12">
          <a:hlinkClick xmlns:r="http://schemas.openxmlformats.org/officeDocument/2006/relationships" r:id="rId2" tooltip="Go to summary sheet"/>
          <a:extLst>
            <a:ext uri="{FF2B5EF4-FFF2-40B4-BE49-F238E27FC236}">
              <a16:creationId xmlns:a16="http://schemas.microsoft.com/office/drawing/2014/main" xmlns="" id="{00000000-0008-0000-3D00-000003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1881204</xdr:colOff>
      <xdr:row>0</xdr:row>
      <xdr:rowOff>142876</xdr:rowOff>
    </xdr:from>
    <xdr:to>
      <xdr:col>0</xdr:col>
      <xdr:colOff>3023408</xdr:colOff>
      <xdr:row>3</xdr:row>
      <xdr:rowOff>23813</xdr:rowOff>
    </xdr:to>
    <xdr:sp macro="" textlink="">
      <xdr:nvSpPr>
        <xdr:cNvPr id="3" name="AutoShape 9">
          <a:hlinkClick xmlns:r="http://schemas.openxmlformats.org/officeDocument/2006/relationships" r:id="rId1" tooltip="Go to biocapacity summary"/>
          <a:extLst>
            <a:ext uri="{FF2B5EF4-FFF2-40B4-BE49-F238E27FC236}">
              <a16:creationId xmlns:a16="http://schemas.microsoft.com/office/drawing/2014/main" xmlns="" id="{00000000-0008-0000-3E00-000003000000}"/>
            </a:ext>
          </a:extLst>
        </xdr:cNvPr>
        <xdr:cNvSpPr>
          <a:spLocks noChangeArrowheads="1"/>
        </xdr:cNvSpPr>
      </xdr:nvSpPr>
      <xdr:spPr bwMode="auto">
        <a:xfrm>
          <a:off x="1881204" y="142876"/>
          <a:ext cx="1142204"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biocap</a:t>
          </a:r>
        </a:p>
      </xdr:txBody>
    </xdr:sp>
    <xdr:clientData/>
  </xdr:twoCellAnchor>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2" tooltip="Go to summary sheet"/>
          <a:extLst>
            <a:ext uri="{FF2B5EF4-FFF2-40B4-BE49-F238E27FC236}">
              <a16:creationId xmlns:a16="http://schemas.microsoft.com/office/drawing/2014/main" xmlns="" id="{00000000-0008-0000-3E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325532</xdr:colOff>
      <xdr:row>0</xdr:row>
      <xdr:rowOff>145676</xdr:rowOff>
    </xdr:from>
    <xdr:to>
      <xdr:col>1</xdr:col>
      <xdr:colOff>472329</xdr:colOff>
      <xdr:row>3</xdr:row>
      <xdr:rowOff>31657</xdr:rowOff>
    </xdr:to>
    <xdr:sp macro="" textlink="">
      <xdr:nvSpPr>
        <xdr:cNvPr id="2" name="AutoShape 12">
          <a:hlinkClick xmlns:r="http://schemas.openxmlformats.org/officeDocument/2006/relationships" r:id="rId1" tooltip="Go to summary sheet"/>
          <a:extLst>
            <a:ext uri="{FF2B5EF4-FFF2-40B4-BE49-F238E27FC236}">
              <a16:creationId xmlns:a16="http://schemas.microsoft.com/office/drawing/2014/main" xmlns="" id="{00000000-0008-0000-3F00-000002000000}"/>
            </a:ext>
          </a:extLst>
        </xdr:cNvPr>
        <xdr:cNvSpPr>
          <a:spLocks noChangeArrowheads="1"/>
        </xdr:cNvSpPr>
      </xdr:nvSpPr>
      <xdr:spPr bwMode="auto">
        <a:xfrm>
          <a:off x="325532" y="145676"/>
          <a:ext cx="1042147" cy="371756"/>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twoCellAnchor>
    <xdr:from>
      <xdr:col>1</xdr:col>
      <xdr:colOff>662266</xdr:colOff>
      <xdr:row>0</xdr:row>
      <xdr:rowOff>142875</xdr:rowOff>
    </xdr:from>
    <xdr:to>
      <xdr:col>1</xdr:col>
      <xdr:colOff>1566345</xdr:colOff>
      <xdr:row>3</xdr:row>
      <xdr:rowOff>23812</xdr:rowOff>
    </xdr:to>
    <xdr:sp macro="" textlink="">
      <xdr:nvSpPr>
        <xdr:cNvPr id="3" name="AutoShape 9">
          <a:hlinkClick xmlns:r="http://schemas.openxmlformats.org/officeDocument/2006/relationships" r:id="rId2" tooltip="Go to biocapacity summary"/>
          <a:extLst>
            <a:ext uri="{FF2B5EF4-FFF2-40B4-BE49-F238E27FC236}">
              <a16:creationId xmlns:a16="http://schemas.microsoft.com/office/drawing/2014/main" xmlns="" id="{00000000-0008-0000-3F00-000003000000}"/>
            </a:ext>
          </a:extLst>
        </xdr:cNvPr>
        <xdr:cNvSpPr>
          <a:spLocks noChangeArrowheads="1"/>
        </xdr:cNvSpPr>
      </xdr:nvSpPr>
      <xdr:spPr bwMode="auto">
        <a:xfrm>
          <a:off x="1557616" y="142875"/>
          <a:ext cx="904079" cy="366712"/>
        </a:xfrm>
        <a:prstGeom prst="roundRect">
          <a:avLst>
            <a:gd name="adj" fmla="val 16667"/>
          </a:avLst>
        </a:prstGeom>
        <a:solidFill>
          <a:srgbClr val="0000FF"/>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solidFill>
                <a:schemeClr val="bg1"/>
              </a:solidFill>
            </a:rPr>
            <a:t>biocap</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361950</xdr:colOff>
      <xdr:row>0</xdr:row>
      <xdr:rowOff>142875</xdr:rowOff>
    </xdr:from>
    <xdr:to>
      <xdr:col>0</xdr:col>
      <xdr:colOff>1504950</xdr:colOff>
      <xdr:row>3</xdr:row>
      <xdr:rowOff>23813</xdr:rowOff>
    </xdr:to>
    <xdr:sp macro="" textlink="">
      <xdr:nvSpPr>
        <xdr:cNvPr id="4" name="AutoShape 12">
          <a:hlinkClick xmlns:r="http://schemas.openxmlformats.org/officeDocument/2006/relationships" r:id="rId1" tooltip="Go to summary sheet"/>
          <a:extLst>
            <a:ext uri="{FF2B5EF4-FFF2-40B4-BE49-F238E27FC236}">
              <a16:creationId xmlns:a16="http://schemas.microsoft.com/office/drawing/2014/main" xmlns="" id="{00000000-0008-0000-4000-000004000000}"/>
            </a:ext>
          </a:extLst>
        </xdr:cNvPr>
        <xdr:cNvSpPr>
          <a:spLocks noChangeArrowheads="1"/>
        </xdr:cNvSpPr>
      </xdr:nvSpPr>
      <xdr:spPr bwMode="auto">
        <a:xfrm>
          <a:off x="361950" y="142875"/>
          <a:ext cx="1143000" cy="366713"/>
        </a:xfrm>
        <a:prstGeom prst="roundRect">
          <a:avLst>
            <a:gd name="adj" fmla="val 16667"/>
          </a:avLst>
        </a:prstGeom>
        <a:solidFill>
          <a:srgbClr val="CCFFCC"/>
        </a:solidFill>
        <a:ln w="9525">
          <a:solidFill>
            <a:schemeClr val="tx1"/>
          </a:solidFill>
          <a:round/>
          <a:headEnd/>
          <a:tailEnd/>
        </a:ln>
        <a:effectLst/>
        <a:scene3d>
          <a:camera prst="orthographicFront"/>
          <a:lightRig rig="soft" dir="t"/>
        </a:scene3d>
        <a:sp3d>
          <a:bevelT/>
        </a:sp3d>
      </xdr:spPr>
      <xdr:txBody>
        <a:bodyPr wrap="square" anchor="ctr"/>
        <a:lstStyle>
          <a:defPPr>
            <a:defRPr lang="en-US"/>
          </a:defPPr>
          <a:lvl1pPr algn="ctr" rtl="0" fontAlgn="base">
            <a:spcBef>
              <a:spcPct val="0"/>
            </a:spcBef>
            <a:spcAft>
              <a:spcPct val="0"/>
            </a:spcAft>
            <a:defRPr kern="1200">
              <a:solidFill>
                <a:schemeClr val="tx1"/>
              </a:solidFill>
              <a:latin typeface="Arial" charset="0"/>
              <a:ea typeface="+mn-ea"/>
              <a:cs typeface="+mn-cs"/>
            </a:defRPr>
          </a:lvl1pPr>
          <a:lvl2pPr marL="457200" algn="ctr" rtl="0" fontAlgn="base">
            <a:spcBef>
              <a:spcPct val="0"/>
            </a:spcBef>
            <a:spcAft>
              <a:spcPct val="0"/>
            </a:spcAft>
            <a:defRPr kern="1200">
              <a:solidFill>
                <a:schemeClr val="tx1"/>
              </a:solidFill>
              <a:latin typeface="Arial" charset="0"/>
              <a:ea typeface="+mn-ea"/>
              <a:cs typeface="+mn-cs"/>
            </a:defRPr>
          </a:lvl2pPr>
          <a:lvl3pPr marL="914400" algn="ctr" rtl="0" fontAlgn="base">
            <a:spcBef>
              <a:spcPct val="0"/>
            </a:spcBef>
            <a:spcAft>
              <a:spcPct val="0"/>
            </a:spcAft>
            <a:defRPr kern="1200">
              <a:solidFill>
                <a:schemeClr val="tx1"/>
              </a:solidFill>
              <a:latin typeface="Arial" charset="0"/>
              <a:ea typeface="+mn-ea"/>
              <a:cs typeface="+mn-cs"/>
            </a:defRPr>
          </a:lvl3pPr>
          <a:lvl4pPr marL="1371600" algn="ctr" rtl="0" fontAlgn="base">
            <a:spcBef>
              <a:spcPct val="0"/>
            </a:spcBef>
            <a:spcAft>
              <a:spcPct val="0"/>
            </a:spcAft>
            <a:defRPr kern="1200">
              <a:solidFill>
                <a:schemeClr val="tx1"/>
              </a:solidFill>
              <a:latin typeface="Arial" charset="0"/>
              <a:ea typeface="+mn-ea"/>
              <a:cs typeface="+mn-cs"/>
            </a:defRPr>
          </a:lvl4pPr>
          <a:lvl5pPr marL="1828800" algn="ctr"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r>
            <a:rPr lang="en-US" sz="1000" b="1"/>
            <a:t>summary</a:t>
          </a:r>
        </a:p>
      </xdr:txBody>
    </xdr:sp>
    <xdr:clientData/>
  </xdr:twoCellAnchor>
</xdr:wsDr>
</file>

<file path=xl/theme/theme1.xml><?xml version="1.0" encoding="utf-8"?>
<a:theme xmlns:a="http://schemas.openxmlformats.org/drawingml/2006/main" name="Office Theme">
  <a:themeElements>
    <a:clrScheme name="G">
      <a:dk1>
        <a:sysClr val="windowText" lastClr="000000"/>
      </a:dk1>
      <a:lt1>
        <a:sysClr val="window" lastClr="FFFFFF"/>
      </a:lt1>
      <a:dk2>
        <a:srgbClr val="003366"/>
      </a:dk2>
      <a:lt2>
        <a:srgbClr val="EEECE1"/>
      </a:lt2>
      <a:accent1>
        <a:srgbClr val="005595"/>
      </a:accent1>
      <a:accent2>
        <a:srgbClr val="FFA25D"/>
      </a:accent2>
      <a:accent3>
        <a:srgbClr val="FFE49C"/>
      </a:accent3>
      <a:accent4>
        <a:srgbClr val="4C88C4"/>
      </a:accent4>
      <a:accent5>
        <a:srgbClr val="B0CA90"/>
      </a:accent5>
      <a:accent6>
        <a:srgbClr val="C60C13"/>
      </a:accent6>
      <a:hlink>
        <a:srgbClr val="0000FF"/>
      </a:hlink>
      <a:folHlink>
        <a:srgbClr val="0000F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footprintnetwork.org/content/documents/National_Footprint_Accounts_2016_Guidebook.pdf" TargetMode="External"/><Relationship Id="rId4" Type="http://schemas.openxmlformats.org/officeDocument/2006/relationships/hyperlink" Target="mailto:%20data@footprintnetwork.org" TargetMode="External"/><Relationship Id="rId5" Type="http://schemas.openxmlformats.org/officeDocument/2006/relationships/hyperlink" Target="http://data.footprintnetwork.org/" TargetMode="External"/><Relationship Id="rId6" Type="http://schemas.openxmlformats.org/officeDocument/2006/relationships/drawing" Target="../drawings/drawing1.xml"/><Relationship Id="rId1" Type="http://schemas.openxmlformats.org/officeDocument/2006/relationships/hyperlink" Target="http://www.footprintnetwork.org/en/index.php/GFN/page/ecological_footprint_atlas_2010" TargetMode="External"/><Relationship Id="rId2" Type="http://schemas.openxmlformats.org/officeDocument/2006/relationships/hyperlink" Target="http://www.footprintnetwork.org/images/NFA%20Method%20Paper%202011%20Submitted%20for%20Publication.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2.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3.xml"/><Relationship Id="rId2" Type="http://schemas.openxmlformats.org/officeDocument/2006/relationships/vmlDrawing" Target="../drawings/vmlDrawing6.vml"/><Relationship Id="rId3"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4.xml"/><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6.xml"/><Relationship Id="rId2" Type="http://schemas.openxmlformats.org/officeDocument/2006/relationships/vmlDrawing" Target="../drawings/vmlDrawing8.vml"/><Relationship Id="rId3"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7.xml"/><Relationship Id="rId2" Type="http://schemas.openxmlformats.org/officeDocument/2006/relationships/vmlDrawing" Target="../drawings/vmlDrawing9.vml"/><Relationship Id="rId3"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9.xml"/><Relationship Id="rId2" Type="http://schemas.openxmlformats.org/officeDocument/2006/relationships/vmlDrawing" Target="../drawings/vmlDrawing10.vml"/><Relationship Id="rId3"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0.xml"/><Relationship Id="rId2" Type="http://schemas.openxmlformats.org/officeDocument/2006/relationships/vmlDrawing" Target="../drawings/vmlDrawing11.vml"/><Relationship Id="rId3"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2.xml"/><Relationship Id="rId2" Type="http://schemas.openxmlformats.org/officeDocument/2006/relationships/vmlDrawing" Target="../drawings/vmlDrawing12.vml"/><Relationship Id="rId3" Type="http://schemas.openxmlformats.org/officeDocument/2006/relationships/comments" Target="../comments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3.xml"/><Relationship Id="rId2" Type="http://schemas.openxmlformats.org/officeDocument/2006/relationships/vmlDrawing" Target="../drawings/vmlDrawing13.vml"/><Relationship Id="rId3" Type="http://schemas.openxmlformats.org/officeDocument/2006/relationships/comments" Target="../comments1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4.xml"/><Relationship Id="rId2" Type="http://schemas.openxmlformats.org/officeDocument/2006/relationships/vmlDrawing" Target="../drawings/vmlDrawing14.vml"/><Relationship Id="rId3"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5.xml"/><Relationship Id="rId2" Type="http://schemas.openxmlformats.org/officeDocument/2006/relationships/vmlDrawing" Target="../drawings/vmlDrawing15.vml"/><Relationship Id="rId3" Type="http://schemas.openxmlformats.org/officeDocument/2006/relationships/comments" Target="../comments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7.xml"/><Relationship Id="rId2" Type="http://schemas.openxmlformats.org/officeDocument/2006/relationships/vmlDrawing" Target="../drawings/vmlDrawing16.vml"/><Relationship Id="rId3" Type="http://schemas.openxmlformats.org/officeDocument/2006/relationships/comments" Target="../comments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0.xml"/><Relationship Id="rId2" Type="http://schemas.openxmlformats.org/officeDocument/2006/relationships/vmlDrawing" Target="../drawings/vmlDrawing17.vml"/><Relationship Id="rId3" Type="http://schemas.openxmlformats.org/officeDocument/2006/relationships/comments" Target="../comments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2.xml"/><Relationship Id="rId2" Type="http://schemas.openxmlformats.org/officeDocument/2006/relationships/vmlDrawing" Target="../drawings/vmlDrawing18.vml"/><Relationship Id="rId3" Type="http://schemas.openxmlformats.org/officeDocument/2006/relationships/comments" Target="../comments1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3.xml"/><Relationship Id="rId2" Type="http://schemas.openxmlformats.org/officeDocument/2006/relationships/vmlDrawing" Target="../drawings/vmlDrawing19.vml"/><Relationship Id="rId3" Type="http://schemas.openxmlformats.org/officeDocument/2006/relationships/comments" Target="../comments1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4.xml"/><Relationship Id="rId2" Type="http://schemas.openxmlformats.org/officeDocument/2006/relationships/vmlDrawing" Target="../drawings/vmlDrawing20.vml"/><Relationship Id="rId3" Type="http://schemas.openxmlformats.org/officeDocument/2006/relationships/comments" Target="../comments2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5.xml"/><Relationship Id="rId2" Type="http://schemas.openxmlformats.org/officeDocument/2006/relationships/vmlDrawing" Target="../drawings/vmlDrawing21.vml"/><Relationship Id="rId3" Type="http://schemas.openxmlformats.org/officeDocument/2006/relationships/comments" Target="../comments2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6.xml"/><Relationship Id="rId2" Type="http://schemas.openxmlformats.org/officeDocument/2006/relationships/vmlDrawing" Target="../drawings/vmlDrawing22.vml"/><Relationship Id="rId3" Type="http://schemas.openxmlformats.org/officeDocument/2006/relationships/comments" Target="../comments2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7.xml"/><Relationship Id="rId2" Type="http://schemas.openxmlformats.org/officeDocument/2006/relationships/vmlDrawing" Target="../drawings/vmlDrawing23.vml"/><Relationship Id="rId3" Type="http://schemas.openxmlformats.org/officeDocument/2006/relationships/comments" Target="../comments2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8.xml"/><Relationship Id="rId2" Type="http://schemas.openxmlformats.org/officeDocument/2006/relationships/vmlDrawing" Target="../drawings/vmlDrawing24.vml"/><Relationship Id="rId3" Type="http://schemas.openxmlformats.org/officeDocument/2006/relationships/comments" Target="../comments2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9.xml"/><Relationship Id="rId2" Type="http://schemas.openxmlformats.org/officeDocument/2006/relationships/vmlDrawing" Target="../drawings/vmlDrawing25.vml"/><Relationship Id="rId3" Type="http://schemas.openxmlformats.org/officeDocument/2006/relationships/comments" Target="../comments25.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6.vml"/><Relationship Id="rId4" Type="http://schemas.openxmlformats.org/officeDocument/2006/relationships/comments" Target="../comments26.xml"/><Relationship Id="rId1" Type="http://schemas.openxmlformats.org/officeDocument/2006/relationships/hyperlink" Target="http://www.pnas.org/cgi/content/full/0704243104/DC1" TargetMode="External"/><Relationship Id="rId2" Type="http://schemas.openxmlformats.org/officeDocument/2006/relationships/drawing" Target="../drawings/drawing4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2.xml"/><Relationship Id="rId2" Type="http://schemas.openxmlformats.org/officeDocument/2006/relationships/vmlDrawing" Target="../drawings/vmlDrawing27.vml"/><Relationship Id="rId3" Type="http://schemas.openxmlformats.org/officeDocument/2006/relationships/comments" Target="../comments2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4.xml"/><Relationship Id="rId2" Type="http://schemas.openxmlformats.org/officeDocument/2006/relationships/vmlDrawing" Target="../drawings/vmlDrawing28.vml"/><Relationship Id="rId3" Type="http://schemas.openxmlformats.org/officeDocument/2006/relationships/comments" Target="../comments2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5.xml"/><Relationship Id="rId2" Type="http://schemas.openxmlformats.org/officeDocument/2006/relationships/vmlDrawing" Target="../drawings/vmlDrawing29.vml"/><Relationship Id="rId3" Type="http://schemas.openxmlformats.org/officeDocument/2006/relationships/comments" Target="../comments29.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7.xml"/><Relationship Id="rId2" Type="http://schemas.openxmlformats.org/officeDocument/2006/relationships/vmlDrawing" Target="../drawings/vmlDrawing30.vml"/><Relationship Id="rId3" Type="http://schemas.openxmlformats.org/officeDocument/2006/relationships/comments" Target="../comments30.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8.xml"/><Relationship Id="rId2" Type="http://schemas.openxmlformats.org/officeDocument/2006/relationships/vmlDrawing" Target="../drawings/vmlDrawing31.vml"/><Relationship Id="rId3" Type="http://schemas.openxmlformats.org/officeDocument/2006/relationships/comments" Target="../comments31.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9.xml"/><Relationship Id="rId2" Type="http://schemas.openxmlformats.org/officeDocument/2006/relationships/vmlDrawing" Target="../drawings/vmlDrawing32.vml"/><Relationship Id="rId3" Type="http://schemas.openxmlformats.org/officeDocument/2006/relationships/comments" Target="../comments32.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50.xml"/><Relationship Id="rId2" Type="http://schemas.openxmlformats.org/officeDocument/2006/relationships/vmlDrawing" Target="../drawings/vmlDrawing33.vml"/><Relationship Id="rId3" Type="http://schemas.openxmlformats.org/officeDocument/2006/relationships/comments" Target="../comments33.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3.xml"/><Relationship Id="rId2" Type="http://schemas.openxmlformats.org/officeDocument/2006/relationships/vmlDrawing" Target="../drawings/vmlDrawing34.vml"/><Relationship Id="rId3" Type="http://schemas.openxmlformats.org/officeDocument/2006/relationships/comments" Target="../comments34.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6.xml"/><Relationship Id="rId2" Type="http://schemas.openxmlformats.org/officeDocument/2006/relationships/vmlDrawing" Target="../drawings/vmlDrawing35.vml"/><Relationship Id="rId3" Type="http://schemas.openxmlformats.org/officeDocument/2006/relationships/comments" Target="../comments35.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7.xml"/><Relationship Id="rId2" Type="http://schemas.openxmlformats.org/officeDocument/2006/relationships/vmlDrawing" Target="../drawings/vmlDrawing36.vml"/><Relationship Id="rId3" Type="http://schemas.openxmlformats.org/officeDocument/2006/relationships/comments" Target="../comments36.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8.xml"/><Relationship Id="rId2" Type="http://schemas.openxmlformats.org/officeDocument/2006/relationships/vmlDrawing" Target="../drawings/vmlDrawing37.vml"/><Relationship Id="rId3" Type="http://schemas.openxmlformats.org/officeDocument/2006/relationships/comments" Target="../comments37.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2.xml"/><Relationship Id="rId2" Type="http://schemas.openxmlformats.org/officeDocument/2006/relationships/vmlDrawing" Target="../drawings/vmlDrawing38.vml"/><Relationship Id="rId3" Type="http://schemas.openxmlformats.org/officeDocument/2006/relationships/comments" Target="../comments3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3.xml"/><Relationship Id="rId2" Type="http://schemas.openxmlformats.org/officeDocument/2006/relationships/vmlDrawing" Target="../drawings/vmlDrawing39.vml"/><Relationship Id="rId3" Type="http://schemas.openxmlformats.org/officeDocument/2006/relationships/comments" Target="../comments3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4.xml"/><Relationship Id="rId2" Type="http://schemas.openxmlformats.org/officeDocument/2006/relationships/vmlDrawing" Target="../drawings/vmlDrawing40.vml"/><Relationship Id="rId3" Type="http://schemas.openxmlformats.org/officeDocument/2006/relationships/comments" Target="../comments40.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5.xml"/><Relationship Id="rId2" Type="http://schemas.openxmlformats.org/officeDocument/2006/relationships/vmlDrawing" Target="../drawings/vmlDrawing41.vml"/><Relationship Id="rId3" Type="http://schemas.openxmlformats.org/officeDocument/2006/relationships/comments" Target="../comments4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6.xml"/><Relationship Id="rId2" Type="http://schemas.openxmlformats.org/officeDocument/2006/relationships/vmlDrawing" Target="../drawings/vmlDrawing42.vml"/><Relationship Id="rId3" Type="http://schemas.openxmlformats.org/officeDocument/2006/relationships/comments" Target="../comments42.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enableFormatConditionsCalculation="0">
    <tabColor theme="0" tint="-0.249977111117893"/>
    <pageSetUpPr autoPageBreaks="0"/>
  </sheetPr>
  <dimension ref="A1:I29"/>
  <sheetViews>
    <sheetView workbookViewId="0">
      <selection activeCell="A65536" sqref="A65536"/>
    </sheetView>
  </sheetViews>
  <sheetFormatPr baseColWidth="10" defaultColWidth="9.1640625" defaultRowHeight="12" x14ac:dyDescent="0"/>
  <cols>
    <col min="1" max="1" width="3.6640625" style="251" customWidth="1"/>
    <col min="2" max="4" width="21.6640625" style="251" customWidth="1"/>
    <col min="5" max="5" width="5" style="251" customWidth="1"/>
    <col min="6" max="6" width="31.5" style="251" customWidth="1"/>
    <col min="7" max="7" width="29.6640625" style="251" customWidth="1"/>
    <col min="8" max="9" width="21.6640625" style="251" customWidth="1"/>
    <col min="10" max="16384" width="9.1640625" style="251"/>
  </cols>
  <sheetData>
    <row r="1" spans="1:9" s="4" customFormat="1">
      <c r="A1" s="1"/>
    </row>
    <row r="2" spans="1:9" s="4" customFormat="1"/>
    <row r="3" spans="1:9" s="4" customFormat="1"/>
    <row r="4" spans="1:9" s="4" customFormat="1"/>
    <row r="5" spans="1:9" s="4" customFormat="1"/>
    <row r="6" spans="1:9" s="4" customFormat="1" ht="21">
      <c r="A6" s="7"/>
      <c r="B6" s="1643" t="s">
        <v>3122</v>
      </c>
      <c r="C6" s="1644"/>
      <c r="D6" s="1644"/>
      <c r="E6" s="1644"/>
      <c r="F6" s="1644"/>
      <c r="G6" s="1644"/>
      <c r="H6" s="1644"/>
      <c r="I6" s="1645"/>
    </row>
    <row r="7" spans="1:9" s="4" customFormat="1">
      <c r="A7" s="7"/>
      <c r="B7" s="1646" t="str">
        <f>"2017 Edition"</f>
        <v>2017 Edition</v>
      </c>
      <c r="C7" s="1644"/>
      <c r="D7" s="1644"/>
      <c r="E7" s="1644"/>
      <c r="F7" s="1644"/>
      <c r="G7" s="1644"/>
      <c r="H7" s="1644"/>
      <c r="I7" s="1645"/>
    </row>
    <row r="8" spans="1:9" s="4" customFormat="1">
      <c r="B8" s="967"/>
      <c r="C8" s="968"/>
      <c r="D8" s="968"/>
      <c r="E8" s="5"/>
      <c r="F8" s="5"/>
      <c r="G8" s="5"/>
      <c r="H8" s="5"/>
      <c r="I8" s="5"/>
    </row>
    <row r="9" spans="1:9" s="4" customFormat="1">
      <c r="A9" s="7"/>
      <c r="B9" s="1545" t="s">
        <v>4929</v>
      </c>
      <c r="C9" s="1545" t="s">
        <v>5950</v>
      </c>
      <c r="D9" s="1545"/>
      <c r="E9" s="965"/>
    </row>
    <row r="10" spans="1:9" s="4" customFormat="1">
      <c r="A10" s="7"/>
      <c r="B10" s="1545" t="s">
        <v>7079</v>
      </c>
      <c r="C10" s="1545">
        <v>231</v>
      </c>
      <c r="D10" s="1545"/>
      <c r="E10" s="965"/>
    </row>
    <row r="11" spans="1:9">
      <c r="A11" s="964"/>
      <c r="B11" s="1545" t="s">
        <v>5427</v>
      </c>
      <c r="C11" s="1545">
        <v>2013</v>
      </c>
      <c r="D11" s="1545"/>
      <c r="E11" s="966"/>
    </row>
    <row r="12" spans="1:9">
      <c r="B12" s="961"/>
      <c r="C12" s="962"/>
      <c r="D12" s="963"/>
    </row>
    <row r="13" spans="1:9">
      <c r="B13" s="252" t="s">
        <v>1868</v>
      </c>
      <c r="C13" s="253"/>
    </row>
    <row r="14" spans="1:9" ht="12.75" customHeight="1">
      <c r="B14" s="252"/>
      <c r="C14" s="1647" t="str">
        <f>"The 2017 edition of the National Footprint Accounts contains detailed Ecological Footprint analyses for over 100 countries, from 1961 to 2013. This document provides all calculations for the Ecological Footprint of " &amp; COUNTRY &amp; " in " &amp; YEAR &amp; ". The summary sheet in this workbook lists each component of biocapacity (ecological supply) and Footprint (ecological demand) on both an aggregate and a per capita basis. Subsequent sheets provide detailed data and supporting calculations for each " &amp; "component of Footprint and biocapacity. In general, sheets with names ending in '_efp' calculate the Ecological Footprint of domestic production" &amp; ", while sheets with names ending in _trade account for the Ecological Footprints of imported and exported goods."</f>
        <v>The 2017 edition of the National Footprint Accounts contains detailed Ecological Footprint analyses for over 100 countries, from 1961 to 2013. This document provides all calculations for the Ecological Footprint of United States of America in 2013. The summary sheet in this workbook lists each component of biocapacity (ecological supply) and Footprint (ecological demand) on both an aggregate and a per capita basis. Subsequent sheets provide detailed data and supporting calculations for each component of Footprint and biocapacity. In general, sheets with names ending in '_efp' calculate the Ecological Footprint of domestic production, while sheets with names ending in _trade account for the Ecological Footprints of imported and exported goods.</v>
      </c>
      <c r="D14" s="1648"/>
      <c r="E14" s="1648"/>
      <c r="F14" s="1648"/>
      <c r="G14" s="1648"/>
      <c r="H14" s="1648"/>
      <c r="I14" s="280"/>
    </row>
    <row r="15" spans="1:9">
      <c r="B15" s="252"/>
      <c r="C15" s="1649"/>
      <c r="D15" s="1650"/>
      <c r="E15" s="1650"/>
      <c r="F15" s="1650"/>
      <c r="G15" s="1650"/>
      <c r="H15" s="1650"/>
      <c r="I15" s="281"/>
    </row>
    <row r="16" spans="1:9">
      <c r="B16" s="252"/>
      <c r="C16" s="1649"/>
      <c r="D16" s="1650"/>
      <c r="E16" s="1650"/>
      <c r="F16" s="1650"/>
      <c r="G16" s="1650"/>
      <c r="H16" s="1650"/>
      <c r="I16" s="281"/>
    </row>
    <row r="17" spans="2:9">
      <c r="B17" s="252"/>
      <c r="C17" s="1649"/>
      <c r="D17" s="1650"/>
      <c r="E17" s="1650"/>
      <c r="F17" s="1650"/>
      <c r="G17" s="1650"/>
      <c r="H17" s="1650"/>
      <c r="I17" s="281"/>
    </row>
    <row r="18" spans="2:9">
      <c r="B18" s="252"/>
      <c r="C18" s="1649"/>
      <c r="D18" s="1650"/>
      <c r="E18" s="1650"/>
      <c r="F18" s="1650"/>
      <c r="G18" s="1650"/>
      <c r="H18" s="1650"/>
      <c r="I18" s="281"/>
    </row>
    <row r="19" spans="2:9">
      <c r="B19" s="252"/>
    </row>
    <row r="20" spans="2:9">
      <c r="B20" s="252" t="s">
        <v>4072</v>
      </c>
    </row>
    <row r="21" spans="2:9">
      <c r="C21" s="1642" t="s">
        <v>8760</v>
      </c>
    </row>
    <row r="22" spans="2:9">
      <c r="B22" s="252"/>
      <c r="C22" s="254" t="s">
        <v>8761</v>
      </c>
    </row>
    <row r="23" spans="2:9">
      <c r="B23" s="252"/>
      <c r="C23" s="254" t="s">
        <v>468</v>
      </c>
    </row>
    <row r="24" spans="2:9">
      <c r="B24" s="252"/>
      <c r="C24" s="254"/>
    </row>
    <row r="25" spans="2:9">
      <c r="B25" s="252"/>
    </row>
    <row r="26" spans="2:9">
      <c r="B26" s="252" t="s">
        <v>1869</v>
      </c>
    </row>
    <row r="27" spans="2:9">
      <c r="C27" s="1376" t="s">
        <v>469</v>
      </c>
    </row>
    <row r="28" spans="2:9">
      <c r="C28" s="251" t="s">
        <v>8763</v>
      </c>
    </row>
    <row r="29" spans="2:9">
      <c r="C29" s="1642" t="s">
        <v>8764</v>
      </c>
    </row>
  </sheetData>
  <mergeCells count="3">
    <mergeCell ref="B6:I6"/>
    <mergeCell ref="B7:I7"/>
    <mergeCell ref="C14:H18"/>
  </mergeCells>
  <phoneticPr fontId="5" type="noConversion"/>
  <hyperlinks>
    <hyperlink ref="C23" r:id="rId1"/>
    <hyperlink ref="C22" r:id="rId2" display="Calculation Methodology for the National Footprint Accounts, 2012 Edition"/>
    <hyperlink ref="C21" r:id="rId3"/>
    <hyperlink ref="C27" r:id="rId4"/>
    <hyperlink ref="C29" r:id="rId5"/>
  </hyperlinks>
  <pageMargins left="0.75" right="0.75" top="1" bottom="1" header="0.5" footer="0.5"/>
  <pageSetup orientation="portrait"/>
  <headerFooter alignWithMargins="0"/>
  <drawing r:id="rId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0" tint="-0.249977111117893"/>
    <pageSetUpPr autoPageBreaks="0"/>
  </sheetPr>
  <dimension ref="A1:K67"/>
  <sheetViews>
    <sheetView tabSelected="1" topLeftCell="A65491" workbookViewId="0">
      <selection activeCell="A65536" sqref="A65536"/>
    </sheetView>
  </sheetViews>
  <sheetFormatPr baseColWidth="10" defaultColWidth="9.1640625" defaultRowHeight="12.75" customHeight="1" x14ac:dyDescent="0"/>
  <cols>
    <col min="1" max="1" width="45.5" style="11" customWidth="1"/>
    <col min="2" max="11" width="16.83203125" style="9" customWidth="1"/>
    <col min="12" max="16384" width="9.1640625" style="9"/>
  </cols>
  <sheetData>
    <row r="1" spans="1:11" s="90" customFormat="1" ht="17">
      <c r="A1" s="1681" t="str">
        <f>"National Footprint Accounts 2017 Edition - Data Year " &amp; YEAR</f>
        <v>National Footprint Accounts 2017 Edition - Data Year 2013</v>
      </c>
      <c r="B1" s="1682"/>
      <c r="C1" s="1682"/>
      <c r="D1" s="1682"/>
      <c r="E1" s="1682"/>
      <c r="F1" s="1682"/>
      <c r="G1" s="1682"/>
      <c r="H1" s="1682"/>
      <c r="I1" s="1682"/>
      <c r="J1" s="1682"/>
      <c r="K1" s="1683"/>
    </row>
    <row r="2" spans="1:11" s="55" customFormat="1" ht="28">
      <c r="A2" s="1697" t="str">
        <f>COUNTRY</f>
        <v>United States of America</v>
      </c>
      <c r="B2" s="1698"/>
      <c r="C2" s="1698"/>
      <c r="D2" s="1698"/>
      <c r="E2" s="1698"/>
      <c r="F2" s="1698"/>
      <c r="G2" s="1698"/>
      <c r="H2" s="1698"/>
      <c r="I2" s="1698"/>
      <c r="J2" s="1698"/>
      <c r="K2" s="1699"/>
    </row>
    <row r="3" spans="1:11" s="83" customFormat="1" ht="12.75" customHeight="1">
      <c r="A3" s="91"/>
      <c r="B3" s="84"/>
      <c r="C3" s="84"/>
      <c r="D3" s="84"/>
      <c r="I3" s="84"/>
      <c r="J3" s="84"/>
    </row>
    <row r="4" spans="1:11" s="83" customFormat="1" ht="12.75" customHeight="1">
      <c r="A4" s="15" t="s">
        <v>2923</v>
      </c>
      <c r="B4" s="10"/>
      <c r="C4" s="10"/>
      <c r="D4" s="10"/>
      <c r="E4" s="10"/>
      <c r="F4" s="10"/>
      <c r="G4" s="9"/>
      <c r="H4" s="9"/>
      <c r="I4" s="9"/>
      <c r="J4" s="9"/>
      <c r="K4" s="10"/>
    </row>
    <row r="5" spans="1:11" s="83" customFormat="1" ht="12">
      <c r="A5" s="365" t="s">
        <v>5586</v>
      </c>
      <c r="B5" s="1661" t="s">
        <v>3110</v>
      </c>
      <c r="C5" s="1659"/>
      <c r="D5" s="1659" t="s">
        <v>2514</v>
      </c>
      <c r="E5" s="1659"/>
      <c r="F5" s="1659" t="s">
        <v>2515</v>
      </c>
      <c r="G5" s="1660"/>
      <c r="H5" s="1659" t="s">
        <v>2516</v>
      </c>
      <c r="I5" s="1660"/>
      <c r="J5" s="1661" t="s">
        <v>1867</v>
      </c>
      <c r="K5" s="1695"/>
    </row>
    <row r="6" spans="1:11" s="83" customFormat="1" ht="12.75" customHeight="1">
      <c r="A6" s="366" t="s">
        <v>548</v>
      </c>
      <c r="B6" s="1684" t="s">
        <v>732</v>
      </c>
      <c r="C6" s="1658"/>
      <c r="D6" s="1658" t="s">
        <v>732</v>
      </c>
      <c r="E6" s="1658"/>
      <c r="F6" s="1658" t="s">
        <v>732</v>
      </c>
      <c r="G6" s="1685"/>
      <c r="H6" s="1658" t="s">
        <v>732</v>
      </c>
      <c r="I6" s="1685"/>
      <c r="J6" s="1684" t="s">
        <v>732</v>
      </c>
      <c r="K6" s="1696"/>
    </row>
    <row r="7" spans="1:11" s="83" customFormat="1" ht="12.75" customHeight="1">
      <c r="A7" s="115" t="s">
        <v>6378</v>
      </c>
      <c r="B7" s="1651">
        <f>ef_crop!B7</f>
        <v>477400551.76082325</v>
      </c>
      <c r="C7" s="1665"/>
      <c r="D7" s="1665">
        <f>ef_crop!C7</f>
        <v>57678636.692756668</v>
      </c>
      <c r="E7" s="1665"/>
      <c r="F7" s="1665">
        <f>ef_crop!D7</f>
        <v>161744054.57846355</v>
      </c>
      <c r="G7" s="1652"/>
      <c r="H7" s="1665">
        <f>IF(COUNTRY="World",ef_crop!B7,ef_crop!E7)</f>
        <v>373335133.87511635</v>
      </c>
      <c r="I7" s="1652"/>
      <c r="J7" s="1651">
        <f>biocap!F3</f>
        <v>477400551.76082331</v>
      </c>
      <c r="K7" s="1653"/>
    </row>
    <row r="8" spans="1:11" s="83" customFormat="1" ht="12.75" customHeight="1">
      <c r="A8" s="115" t="s">
        <v>6377</v>
      </c>
      <c r="B8" s="1691">
        <f>ef_grazing!B5</f>
        <v>88764550.368578911</v>
      </c>
      <c r="C8" s="1692"/>
      <c r="D8" s="1665">
        <f>ef_grazing!C5</f>
        <v>23604479.552012924</v>
      </c>
      <c r="E8" s="1665"/>
      <c r="F8" s="1665">
        <f>ef_grazing!D5</f>
        <v>16472031.087298067</v>
      </c>
      <c r="G8" s="1652"/>
      <c r="H8" s="1665">
        <f>IF(COUNTRY="World",ef_grazing!B5,ef_grazing!E5)</f>
        <v>95896998.833293766</v>
      </c>
      <c r="I8" s="1652"/>
      <c r="J8" s="1651">
        <f>biocap!F4</f>
        <v>88764550.368578911</v>
      </c>
      <c r="K8" s="1653"/>
    </row>
    <row r="9" spans="1:11" s="83" customFormat="1" ht="12.75" customHeight="1">
      <c r="A9" s="115" t="s">
        <v>6375</v>
      </c>
      <c r="B9" s="1651">
        <f>ef_forest_products!B$5</f>
        <v>268748879.9539085</v>
      </c>
      <c r="C9" s="1665"/>
      <c r="D9" s="1665">
        <f>ef_forest_products!C$5</f>
        <v>67865718.543895811</v>
      </c>
      <c r="E9" s="1665"/>
      <c r="F9" s="1665">
        <f>ef_forest_products!D$5</f>
        <v>75293073.971478745</v>
      </c>
      <c r="G9" s="1652"/>
      <c r="H9" s="1651">
        <f>IF(COUNTRY="World",ef_forest_products!B$5,ef_forest_products!E$5)</f>
        <v>261321524.52632552</v>
      </c>
      <c r="I9" s="1652"/>
      <c r="J9" s="1651">
        <f>biocap!F$7</f>
        <v>497442195.53388715</v>
      </c>
      <c r="K9" s="1653"/>
    </row>
    <row r="10" spans="1:11" s="83" customFormat="1" ht="12.75" customHeight="1">
      <c r="A10" s="115" t="s">
        <v>6376</v>
      </c>
      <c r="B10" s="1651">
        <f>ef_fish!B7</f>
        <v>37648962.09850847</v>
      </c>
      <c r="C10" s="1665"/>
      <c r="D10" s="1665">
        <f>ef_fish!C7</f>
        <v>17597665.964176226</v>
      </c>
      <c r="E10" s="1665"/>
      <c r="F10" s="1665">
        <f>ef_fish!D7</f>
        <v>12508677.402594218</v>
      </c>
      <c r="G10" s="1652"/>
      <c r="H10" s="1665">
        <f>IF(COUNTRY="World",ef_fish!B7,ef_fish!E7)</f>
        <v>42737950.660090484</v>
      </c>
      <c r="I10" s="1652"/>
      <c r="J10" s="1694">
        <f>biocap!F5+biocap!F6</f>
        <v>105474128.22323376</v>
      </c>
      <c r="K10" s="1657"/>
    </row>
    <row r="11" spans="1:11" s="8" customFormat="1" ht="12.75" customHeight="1">
      <c r="A11" s="115" t="s">
        <v>6379</v>
      </c>
      <c r="B11" s="1651">
        <f>ef_built!B4</f>
        <v>30007215.847554568</v>
      </c>
      <c r="C11" s="1665"/>
      <c r="D11" s="1656">
        <v>0</v>
      </c>
      <c r="E11" s="1656"/>
      <c r="F11" s="1656">
        <v>0</v>
      </c>
      <c r="G11" s="1657"/>
      <c r="H11" s="1656">
        <f>IF(COUNTRY="World",ef_built!B4,ef_built!E4)</f>
        <v>30007215.847554568</v>
      </c>
      <c r="I11" s="1657"/>
      <c r="J11" s="1651">
        <f>biocap!F8</f>
        <v>30007215.847554568</v>
      </c>
      <c r="K11" s="1653"/>
    </row>
    <row r="12" spans="1:11" s="8" customFormat="1" ht="12.75" customHeight="1">
      <c r="A12" s="116" t="s">
        <v>4210</v>
      </c>
      <c r="B12" s="1651">
        <f>ef_carbon!B7</f>
        <v>1814521092.8674045</v>
      </c>
      <c r="C12" s="1665"/>
      <c r="D12" s="1665">
        <f>ef_carbon!C7</f>
        <v>355063201.84286731</v>
      </c>
      <c r="E12" s="1665"/>
      <c r="F12" s="1665">
        <f>ef_carbon!D7</f>
        <v>248286674.50768372</v>
      </c>
      <c r="G12" s="1652"/>
      <c r="H12" s="1651">
        <f>IF(COUNTRY="World",ef_carbon!B7,ef_carbon!E7)</f>
        <v>1921297620.2025881</v>
      </c>
      <c r="I12" s="1652"/>
      <c r="J12" s="1656">
        <v>0</v>
      </c>
      <c r="K12" s="1657"/>
    </row>
    <row r="13" spans="1:11" ht="12.75" customHeight="1">
      <c r="A13" s="163" t="s">
        <v>3985</v>
      </c>
      <c r="B13" s="1689">
        <f>SUM(B7:B12)</f>
        <v>2717091252.8967781</v>
      </c>
      <c r="C13" s="1690"/>
      <c r="D13" s="1686">
        <f>SUM(D7:D12)</f>
        <v>521809702.59570897</v>
      </c>
      <c r="E13" s="1686"/>
      <c r="F13" s="1686">
        <f>SUM(F7:F12)</f>
        <v>514304511.54751825</v>
      </c>
      <c r="G13" s="1687"/>
      <c r="H13" s="1688">
        <f>SUM(H7:I12)</f>
        <v>2724596443.9449687</v>
      </c>
      <c r="I13" s="1687"/>
      <c r="J13" s="1688">
        <f>SUM(J7:K12)</f>
        <v>1199088641.7340777</v>
      </c>
      <c r="K13" s="1687"/>
    </row>
    <row r="14" spans="1:11" ht="12.75" customHeight="1">
      <c r="A14" s="12"/>
      <c r="B14" s="14"/>
      <c r="C14" s="14"/>
      <c r="D14" s="14"/>
      <c r="E14" s="14"/>
      <c r="F14" s="14"/>
      <c r="G14" s="14"/>
      <c r="H14" s="14"/>
      <c r="I14" s="14"/>
      <c r="J14" s="14"/>
      <c r="K14" s="14"/>
    </row>
    <row r="15" spans="1:11" ht="12.75" customHeight="1">
      <c r="A15" s="15" t="s">
        <v>4968</v>
      </c>
      <c r="B15" s="10"/>
      <c r="C15" s="10"/>
      <c r="D15" s="10"/>
      <c r="E15" s="10"/>
      <c r="F15" s="10"/>
      <c r="G15" s="10"/>
      <c r="H15" s="10"/>
      <c r="I15" s="10"/>
      <c r="J15" s="10"/>
      <c r="K15" s="10"/>
    </row>
    <row r="16" spans="1:11" ht="12.75" customHeight="1">
      <c r="A16" s="407" t="s">
        <v>5586</v>
      </c>
      <c r="B16" s="1661" t="s">
        <v>3110</v>
      </c>
      <c r="C16" s="1659"/>
      <c r="D16" s="1659" t="s">
        <v>2514</v>
      </c>
      <c r="E16" s="1659"/>
      <c r="F16" s="1659" t="s">
        <v>2515</v>
      </c>
      <c r="G16" s="1660"/>
      <c r="H16" s="1659" t="s">
        <v>2516</v>
      </c>
      <c r="I16" s="1660"/>
      <c r="J16" s="1661" t="s">
        <v>1867</v>
      </c>
      <c r="K16" s="1660"/>
    </row>
    <row r="17" spans="1:11" ht="12.75" customHeight="1">
      <c r="A17" s="408" t="s">
        <v>548</v>
      </c>
      <c r="B17" s="1666" t="s">
        <v>1083</v>
      </c>
      <c r="C17" s="1667"/>
      <c r="D17" s="1667" t="s">
        <v>1083</v>
      </c>
      <c r="E17" s="1667"/>
      <c r="F17" s="1667" t="s">
        <v>1083</v>
      </c>
      <c r="G17" s="1668"/>
      <c r="H17" s="1658" t="s">
        <v>1083</v>
      </c>
      <c r="I17" s="1658"/>
      <c r="J17" s="1684" t="s">
        <v>1083</v>
      </c>
      <c r="K17" s="1685"/>
    </row>
    <row r="18" spans="1:11" s="11" customFormat="1" ht="12.75" customHeight="1">
      <c r="A18" s="115" t="s">
        <v>6378</v>
      </c>
      <c r="B18" s="1662">
        <f t="shared" ref="B18:B23" si="0">B7/(population_n*1000)</f>
        <v>1.5053496032012237</v>
      </c>
      <c r="C18" s="1663"/>
      <c r="D18" s="1664">
        <f t="shared" ref="D18:D23" si="1">D7/(population_n*1000)</f>
        <v>0.18187350755750425</v>
      </c>
      <c r="E18" s="1664"/>
      <c r="F18" s="1664">
        <f t="shared" ref="F18:F23" si="2">F7/(population_n*1000)</f>
        <v>0.51001480304495095</v>
      </c>
      <c r="G18" s="1655"/>
      <c r="H18" s="1654">
        <f t="shared" ref="H18:H23" si="3">H7/(population_n*1000)</f>
        <v>1.1772083077137769</v>
      </c>
      <c r="I18" s="1655"/>
      <c r="J18" s="1654">
        <f t="shared" ref="J18:J23" si="4">J7/(population_n*1000)</f>
        <v>1.5053496032012237</v>
      </c>
      <c r="K18" s="1655"/>
    </row>
    <row r="19" spans="1:11" ht="12.75" customHeight="1">
      <c r="A19" s="115" t="s">
        <v>6377</v>
      </c>
      <c r="B19" s="1662">
        <f t="shared" si="0"/>
        <v>0.2798942736509854</v>
      </c>
      <c r="C19" s="1663"/>
      <c r="D19" s="1664">
        <f t="shared" si="1"/>
        <v>7.4430148428475243E-2</v>
      </c>
      <c r="E19" s="1664"/>
      <c r="F19" s="1664">
        <f t="shared" si="2"/>
        <v>5.1939959787908239E-2</v>
      </c>
      <c r="G19" s="1655"/>
      <c r="H19" s="1654">
        <f t="shared" si="3"/>
        <v>0.30238446229155241</v>
      </c>
      <c r="I19" s="1655"/>
      <c r="J19" s="1654">
        <f t="shared" si="4"/>
        <v>0.2798942736509854</v>
      </c>
      <c r="K19" s="1655"/>
    </row>
    <row r="20" spans="1:11" ht="12.75" customHeight="1">
      <c r="A20" s="115" t="s">
        <v>6375</v>
      </c>
      <c r="B20" s="1662">
        <f t="shared" si="0"/>
        <v>0.84742470092928113</v>
      </c>
      <c r="C20" s="1663"/>
      <c r="D20" s="1664">
        <f t="shared" si="1"/>
        <v>0.21399563135025923</v>
      </c>
      <c r="E20" s="1664"/>
      <c r="F20" s="1664">
        <f t="shared" si="2"/>
        <v>0.23741572691677623</v>
      </c>
      <c r="G20" s="1655"/>
      <c r="H20" s="1654">
        <f t="shared" si="3"/>
        <v>0.82400460536276399</v>
      </c>
      <c r="I20" s="1655"/>
      <c r="J20" s="1654">
        <f t="shared" si="4"/>
        <v>1.5685453418529816</v>
      </c>
      <c r="K20" s="1655"/>
    </row>
    <row r="21" spans="1:11" ht="12.75" customHeight="1">
      <c r="A21" s="115" t="s">
        <v>6376</v>
      </c>
      <c r="B21" s="1662">
        <f t="shared" si="0"/>
        <v>0.11871551037570149</v>
      </c>
      <c r="C21" s="1663"/>
      <c r="D21" s="1663">
        <f t="shared" si="1"/>
        <v>5.5489335692498573E-2</v>
      </c>
      <c r="E21" s="1663"/>
      <c r="F21" s="1663">
        <f t="shared" si="2"/>
        <v>3.9442628407352735E-2</v>
      </c>
      <c r="G21" s="1693"/>
      <c r="H21" s="1662">
        <f t="shared" si="3"/>
        <v>0.13476221766084734</v>
      </c>
      <c r="I21" s="1693"/>
      <c r="J21" s="1654">
        <f t="shared" si="4"/>
        <v>0.33258327097281215</v>
      </c>
      <c r="K21" s="1655"/>
    </row>
    <row r="22" spans="1:11" ht="12.75" customHeight="1">
      <c r="A22" s="115" t="s">
        <v>6379</v>
      </c>
      <c r="B22" s="1662">
        <f t="shared" si="0"/>
        <v>9.4619393091779455E-2</v>
      </c>
      <c r="C22" s="1663"/>
      <c r="D22" s="1664">
        <f t="shared" si="1"/>
        <v>0</v>
      </c>
      <c r="E22" s="1664"/>
      <c r="F22" s="1664">
        <f t="shared" si="2"/>
        <v>0</v>
      </c>
      <c r="G22" s="1655"/>
      <c r="H22" s="1654">
        <f t="shared" si="3"/>
        <v>9.4619393091779455E-2</v>
      </c>
      <c r="I22" s="1655"/>
      <c r="J22" s="1654">
        <f t="shared" si="4"/>
        <v>9.4619393091779455E-2</v>
      </c>
      <c r="K22" s="1655"/>
    </row>
    <row r="23" spans="1:11" ht="12.75" customHeight="1">
      <c r="A23" s="116" t="s">
        <v>4210</v>
      </c>
      <c r="B23" s="1662">
        <f t="shared" si="0"/>
        <v>5.7215866154186354</v>
      </c>
      <c r="C23" s="1663"/>
      <c r="D23" s="1664">
        <f t="shared" si="1"/>
        <v>1.1195928618727211</v>
      </c>
      <c r="E23" s="1664"/>
      <c r="F23" s="1664">
        <f t="shared" si="2"/>
        <v>0.7829028382387484</v>
      </c>
      <c r="G23" s="1655"/>
      <c r="H23" s="1654">
        <f t="shared" si="3"/>
        <v>6.0582766390526084</v>
      </c>
      <c r="I23" s="1655"/>
      <c r="J23" s="1654">
        <f t="shared" si="4"/>
        <v>0</v>
      </c>
      <c r="K23" s="1655"/>
    </row>
    <row r="24" spans="1:11" ht="12.75" customHeight="1">
      <c r="A24" s="163" t="s">
        <v>3985</v>
      </c>
      <c r="B24" s="1679">
        <f>SUM(B18:B23)</f>
        <v>8.5675900966676064</v>
      </c>
      <c r="C24" s="1680"/>
      <c r="D24" s="1678">
        <f>SUM(D18:E23)</f>
        <v>1.6453814849014585</v>
      </c>
      <c r="E24" s="1678"/>
      <c r="F24" s="1678">
        <f>SUM(F18:G23)</f>
        <v>1.6217159563957364</v>
      </c>
      <c r="G24" s="1674"/>
      <c r="H24" s="1673">
        <f>SUM(H18:I23)</f>
        <v>8.5912556251733285</v>
      </c>
      <c r="I24" s="1674"/>
      <c r="J24" s="1673">
        <f>SUM(J18:K23)</f>
        <v>3.7809918827697824</v>
      </c>
      <c r="K24" s="1674"/>
    </row>
    <row r="25" spans="1:11" ht="12.75" customHeight="1">
      <c r="A25" s="161"/>
      <c r="B25" s="162"/>
      <c r="C25" s="162"/>
      <c r="D25" s="103"/>
      <c r="E25" s="103"/>
      <c r="F25" s="103"/>
      <c r="G25" s="102"/>
      <c r="H25" s="83"/>
      <c r="I25" s="83"/>
      <c r="J25" s="83"/>
      <c r="K25" s="83"/>
    </row>
    <row r="26" spans="1:11" ht="12.75" customHeight="1">
      <c r="A26" s="402"/>
      <c r="B26" s="403"/>
      <c r="C26" s="1675" t="s">
        <v>4211</v>
      </c>
      <c r="D26" s="1676"/>
      <c r="E26" s="1677" t="s">
        <v>3093</v>
      </c>
      <c r="F26" s="1676"/>
      <c r="G26" s="19"/>
      <c r="H26" s="1669" t="str">
        <f>"Number of planets demanded if world's population lived like residents of "&amp;COUNTRY</f>
        <v>Number of planets demanded if world's population lived like residents of United States of America</v>
      </c>
      <c r="I26" s="1669"/>
      <c r="J26" s="1669"/>
      <c r="K26" s="1670">
        <f>E31/F28</f>
        <v>5.0435171547567528</v>
      </c>
    </row>
    <row r="27" spans="1:11" ht="12.75" customHeight="1">
      <c r="A27" s="367"/>
      <c r="B27" s="404"/>
      <c r="C27" s="405" t="str">
        <f>COUNTRY</f>
        <v>United States of America</v>
      </c>
      <c r="D27" s="368" t="s">
        <v>3094</v>
      </c>
      <c r="E27" s="406" t="str">
        <f>COUNTRY</f>
        <v>United States of America</v>
      </c>
      <c r="F27" s="368" t="s">
        <v>3094</v>
      </c>
      <c r="G27" s="83"/>
      <c r="H27" s="1669"/>
      <c r="I27" s="1669"/>
      <c r="J27" s="1669"/>
      <c r="K27" s="1671"/>
    </row>
    <row r="28" spans="1:11" ht="12.75" customHeight="1">
      <c r="A28" s="18" t="s">
        <v>3091</v>
      </c>
      <c r="B28" s="164" t="s">
        <v>732</v>
      </c>
      <c r="C28" s="401">
        <f>J13</f>
        <v>1199088641.7340777</v>
      </c>
      <c r="D28" s="577">
        <f>VLOOKUP(YEAR,world_results,3,FALSE)</f>
        <v>12233516313.8981</v>
      </c>
      <c r="E28" s="85">
        <f>J24</f>
        <v>3.7809918827697824</v>
      </c>
      <c r="F28" s="86">
        <f>D28/VLOOKUP(YEAR,world_results,4,FALSE)</f>
        <v>1.7034254789974401</v>
      </c>
      <c r="G28" s="83"/>
      <c r="H28" s="1669"/>
      <c r="I28" s="1669"/>
      <c r="J28" s="1669"/>
      <c r="K28" s="1672"/>
    </row>
    <row r="29" spans="1:11" ht="12.75" customHeight="1">
      <c r="A29" s="18" t="s">
        <v>3092</v>
      </c>
      <c r="B29" s="164" t="s">
        <v>732</v>
      </c>
      <c r="C29" s="97">
        <f>B13</f>
        <v>2717091252.8967781</v>
      </c>
      <c r="D29" s="577">
        <f>VLOOKUP(YEAR,world_results,2,FALSE)</f>
        <v>20602785165.685902</v>
      </c>
      <c r="E29" s="85">
        <f>B24</f>
        <v>8.5675900966676064</v>
      </c>
      <c r="F29" s="86">
        <f>D29/VLOOKUP(YEAR,world_results,4,FALSE)</f>
        <v>2.8687834543261466</v>
      </c>
      <c r="G29" s="83"/>
      <c r="H29" s="83"/>
      <c r="I29" s="83"/>
      <c r="J29" s="83"/>
      <c r="K29" s="83"/>
    </row>
    <row r="30" spans="1:11" ht="12.75" customHeight="1">
      <c r="A30" s="18" t="s">
        <v>2926</v>
      </c>
      <c r="B30" s="164" t="s">
        <v>732</v>
      </c>
      <c r="C30" s="97">
        <f>D13-F13</f>
        <v>7505191.0481907129</v>
      </c>
      <c r="D30" s="255"/>
      <c r="E30" s="85">
        <f>D24-F24</f>
        <v>2.3665528505722122E-2</v>
      </c>
      <c r="F30" s="257"/>
      <c r="G30" s="83"/>
      <c r="H30" s="8"/>
      <c r="I30" s="8"/>
      <c r="J30" s="8"/>
      <c r="K30" s="8"/>
    </row>
    <row r="31" spans="1:11" ht="12.75" customHeight="1">
      <c r="A31" s="18" t="s">
        <v>2927</v>
      </c>
      <c r="B31" s="164" t="s">
        <v>732</v>
      </c>
      <c r="C31" s="97">
        <f>H13</f>
        <v>2724596443.9449687</v>
      </c>
      <c r="D31" s="255"/>
      <c r="E31" s="85">
        <f>H24</f>
        <v>8.5912556251733285</v>
      </c>
      <c r="F31" s="257"/>
      <c r="G31" s="83"/>
    </row>
    <row r="32" spans="1:11" ht="12">
      <c r="A32" s="594" t="s">
        <v>6225</v>
      </c>
      <c r="B32" s="165" t="s">
        <v>732</v>
      </c>
      <c r="C32" s="98">
        <f>C28-C29</f>
        <v>-1518002611.1627004</v>
      </c>
      <c r="D32" s="99">
        <f>D28-D29</f>
        <v>-8369268851.7878017</v>
      </c>
      <c r="E32" s="87">
        <f>E28-E29</f>
        <v>-4.7865982138978236</v>
      </c>
      <c r="F32" s="88">
        <f>F28-F29</f>
        <v>-1.1653579753287064</v>
      </c>
      <c r="G32" s="83"/>
    </row>
    <row r="33" spans="1:11" ht="12">
      <c r="A33" s="595" t="s">
        <v>6226</v>
      </c>
      <c r="B33" s="166" t="s">
        <v>732</v>
      </c>
      <c r="C33" s="100">
        <f>C28-C31</f>
        <v>-1525507802.210891</v>
      </c>
      <c r="D33" s="256"/>
      <c r="E33" s="89">
        <f>E28-E31</f>
        <v>-4.8102637424035457</v>
      </c>
      <c r="F33" s="258"/>
      <c r="G33" s="83"/>
    </row>
    <row r="34" spans="1:11" ht="12.75" customHeight="1">
      <c r="A34" s="83"/>
      <c r="B34" s="83"/>
      <c r="C34" s="83"/>
      <c r="D34" s="84"/>
      <c r="E34" s="84"/>
      <c r="F34" s="8"/>
      <c r="G34" s="8"/>
    </row>
    <row r="35" spans="1:11" ht="12.75" customHeight="1">
      <c r="A35" s="8"/>
      <c r="B35" s="8"/>
      <c r="C35" s="8"/>
      <c r="D35" s="8"/>
      <c r="E35" s="8"/>
    </row>
    <row r="36" spans="1:11" ht="12.75" customHeight="1">
      <c r="A36" s="9"/>
      <c r="E36" s="592"/>
    </row>
    <row r="37" spans="1:11" ht="12.75" customHeight="1">
      <c r="A37" s="9" t="s">
        <v>6227</v>
      </c>
      <c r="B37" s="9" t="s">
        <v>1586</v>
      </c>
      <c r="C37" s="9" t="s">
        <v>1587</v>
      </c>
      <c r="D37" s="9" t="s">
        <v>1588</v>
      </c>
      <c r="E37" s="593" t="str">
        <f>IF(E40&lt;0,"Net Footprint of Exports",IF(E40=0,"","Net Footprint of Imports"))</f>
        <v>Net Footprint of Imports</v>
      </c>
    </row>
    <row r="38" spans="1:11" ht="12.75" customHeight="1">
      <c r="A38" s="13">
        <f>D38-C38</f>
        <v>1525507802.210891</v>
      </c>
      <c r="B38" s="13">
        <f>B13</f>
        <v>2717091252.8967781</v>
      </c>
      <c r="C38" s="13">
        <f>J13</f>
        <v>1199088641.7340777</v>
      </c>
      <c r="D38" s="13">
        <f>H13</f>
        <v>2724596443.9449687</v>
      </c>
      <c r="E38" s="593">
        <f>ABS(E40)</f>
        <v>7505191.0481905937</v>
      </c>
      <c r="F38" s="13">
        <f>E39</f>
        <v>2717091252.8967781</v>
      </c>
    </row>
    <row r="39" spans="1:11" ht="12.75" customHeight="1">
      <c r="A39" s="13">
        <f>MAX($B$38:$D$38)-A38</f>
        <v>1199088641.7340777</v>
      </c>
      <c r="B39" s="13">
        <f>MAX($B$38:$D$38)-B38</f>
        <v>7505191.0481905937</v>
      </c>
      <c r="C39" s="13">
        <f>MAX($B$38:$D$38)-C38</f>
        <v>1525507802.210891</v>
      </c>
      <c r="D39" s="13">
        <f>MAX($B$38:$D$38)-D38</f>
        <v>0</v>
      </c>
      <c r="E39" s="13">
        <f>MAX($B$38:$D$38)-E38</f>
        <v>2717091252.8967781</v>
      </c>
      <c r="F39" s="9">
        <f>E38</f>
        <v>7505191.0481905937</v>
      </c>
    </row>
    <row r="40" spans="1:11" ht="12.75" customHeight="1">
      <c r="A40" s="9"/>
      <c r="E40" s="596">
        <f>D38-B38</f>
        <v>7505191.0481905937</v>
      </c>
    </row>
    <row r="41" spans="1:11" ht="12.75" customHeight="1">
      <c r="E41" s="593"/>
    </row>
    <row r="42" spans="1:11" ht="12.75" customHeight="1">
      <c r="E42" s="592"/>
    </row>
    <row r="43" spans="1:11" ht="12.75" customHeight="1">
      <c r="D43" s="9" t="str">
        <f>"Footprint of Production"</f>
        <v>Footprint of Production</v>
      </c>
      <c r="E43" s="592"/>
    </row>
    <row r="44" spans="1:11" ht="12.75" customHeight="1">
      <c r="D44" s="9" t="str">
        <f>"Footprint of Consumption"</f>
        <v>Footprint of Consumption</v>
      </c>
      <c r="E44" s="592"/>
    </row>
    <row r="45" spans="1:11" ht="21" customHeight="1"/>
    <row r="46" spans="1:11" s="11" customFormat="1" ht="12">
      <c r="B46" s="9"/>
      <c r="C46" s="9"/>
      <c r="D46" s="9"/>
      <c r="E46" s="9"/>
      <c r="F46" s="9"/>
      <c r="G46" s="9"/>
      <c r="H46" s="9"/>
      <c r="I46" s="9"/>
      <c r="J46" s="9"/>
      <c r="K46" s="9"/>
    </row>
    <row r="47" spans="1:11" s="11" customFormat="1" ht="12">
      <c r="B47" s="9"/>
      <c r="C47" s="9"/>
      <c r="D47" s="9"/>
      <c r="E47" s="9"/>
      <c r="F47" s="9"/>
      <c r="G47" s="9"/>
      <c r="H47" s="9"/>
      <c r="I47" s="9"/>
      <c r="J47" s="9"/>
      <c r="K47" s="9"/>
    </row>
    <row r="48" spans="1:11" s="11" customFormat="1" ht="12">
      <c r="B48" s="9"/>
      <c r="C48" s="9"/>
      <c r="D48" s="9"/>
      <c r="E48" s="9"/>
      <c r="F48" s="9"/>
      <c r="G48" s="9"/>
      <c r="H48" s="9"/>
      <c r="I48" s="9"/>
      <c r="J48" s="9"/>
      <c r="K48" s="9"/>
    </row>
    <row r="49" spans="2:11" s="11" customFormat="1" ht="12">
      <c r="B49" s="9"/>
      <c r="C49" s="9"/>
      <c r="D49" s="9"/>
      <c r="E49" s="9"/>
      <c r="F49" s="9"/>
      <c r="G49" s="9"/>
      <c r="H49" s="9"/>
      <c r="I49" s="9"/>
      <c r="J49" s="9"/>
      <c r="K49" s="9"/>
    </row>
    <row r="50" spans="2:11" s="11" customFormat="1" ht="12">
      <c r="B50" s="9"/>
      <c r="C50" s="9"/>
      <c r="D50" s="9"/>
      <c r="E50" s="9"/>
      <c r="F50" s="9"/>
      <c r="G50" s="9"/>
      <c r="H50" s="9"/>
      <c r="I50" s="9"/>
      <c r="J50" s="9"/>
      <c r="K50" s="9"/>
    </row>
    <row r="51" spans="2:11" s="11" customFormat="1" ht="12">
      <c r="B51" s="9"/>
      <c r="C51" s="9"/>
      <c r="D51" s="9"/>
      <c r="E51" s="9"/>
      <c r="F51" s="9"/>
      <c r="G51" s="9"/>
      <c r="H51" s="9"/>
      <c r="I51" s="9"/>
      <c r="J51" s="9"/>
      <c r="K51" s="9"/>
    </row>
    <row r="52" spans="2:11" s="11" customFormat="1" ht="12">
      <c r="B52" s="9"/>
      <c r="C52" s="9"/>
      <c r="D52" s="9"/>
      <c r="E52" s="9"/>
      <c r="F52" s="9"/>
      <c r="G52" s="9"/>
      <c r="H52" s="9"/>
      <c r="I52" s="9"/>
      <c r="J52" s="9"/>
      <c r="K52" s="9"/>
    </row>
    <row r="53" spans="2:11" s="11" customFormat="1" ht="12">
      <c r="B53" s="9"/>
      <c r="C53" s="9"/>
      <c r="D53" s="9"/>
      <c r="E53" s="9"/>
      <c r="F53" s="9"/>
      <c r="G53" s="9"/>
      <c r="H53" s="9"/>
      <c r="I53" s="9"/>
      <c r="J53" s="9"/>
      <c r="K53" s="9"/>
    </row>
    <row r="54" spans="2:11" s="11" customFormat="1" ht="12">
      <c r="B54" s="9"/>
      <c r="C54" s="9"/>
      <c r="D54" s="9"/>
      <c r="E54" s="9"/>
      <c r="F54" s="9"/>
      <c r="G54" s="9"/>
      <c r="H54" s="9"/>
      <c r="I54" s="9"/>
      <c r="J54" s="9"/>
      <c r="K54" s="9"/>
    </row>
    <row r="55" spans="2:11" ht="4.5" customHeight="1"/>
    <row r="57" spans="2:11" s="11" customFormat="1" ht="12.75" customHeight="1">
      <c r="B57" s="9"/>
      <c r="C57" s="9"/>
      <c r="D57" s="9"/>
      <c r="E57" s="9"/>
      <c r="F57" s="9"/>
      <c r="G57" s="9"/>
      <c r="H57" s="9"/>
      <c r="I57" s="9"/>
      <c r="J57" s="9"/>
      <c r="K57" s="9"/>
    </row>
    <row r="58" spans="2:11" s="11" customFormat="1" ht="12.75" customHeight="1">
      <c r="B58" s="9"/>
      <c r="C58" s="9"/>
      <c r="D58" s="9"/>
      <c r="E58" s="9"/>
      <c r="F58" s="9"/>
      <c r="G58" s="9"/>
      <c r="H58" s="9"/>
      <c r="I58" s="9"/>
      <c r="J58" s="9"/>
      <c r="K58" s="9"/>
    </row>
    <row r="61" spans="2:11" s="11" customFormat="1" ht="12.75" customHeight="1">
      <c r="B61" s="9"/>
      <c r="C61" s="9"/>
      <c r="D61" s="9"/>
      <c r="E61" s="9"/>
      <c r="F61" s="9"/>
      <c r="G61" s="9"/>
      <c r="H61" s="10"/>
      <c r="I61" s="10"/>
      <c r="J61" s="10"/>
      <c r="K61" s="10"/>
    </row>
    <row r="62" spans="2:11" ht="12.75" customHeight="1">
      <c r="H62" s="83"/>
      <c r="I62" s="83"/>
      <c r="J62" s="83"/>
      <c r="K62" s="83"/>
    </row>
    <row r="63" spans="2:11" ht="12.75" customHeight="1">
      <c r="H63" s="83"/>
      <c r="I63" s="83"/>
      <c r="J63" s="83"/>
      <c r="K63" s="83"/>
    </row>
    <row r="64" spans="2:11" ht="12.75" customHeight="1">
      <c r="H64" s="192"/>
      <c r="I64" s="83"/>
      <c r="J64" s="83"/>
      <c r="K64" s="83"/>
    </row>
    <row r="65" spans="1:11" s="10" customFormat="1" ht="12.75" customHeight="1">
      <c r="A65" s="191"/>
      <c r="H65" s="192"/>
      <c r="I65" s="83"/>
      <c r="J65" s="83"/>
      <c r="K65" s="83"/>
    </row>
    <row r="66" spans="1:11" s="83" customFormat="1" ht="12.75" customHeight="1">
      <c r="H66" s="192"/>
    </row>
    <row r="67" spans="1:11" s="83" customFormat="1" ht="12.75" customHeight="1">
      <c r="H67" s="192"/>
    </row>
  </sheetData>
  <mergeCells count="96">
    <mergeCell ref="J5:K5"/>
    <mergeCell ref="J6:K6"/>
    <mergeCell ref="H6:I6"/>
    <mergeCell ref="D5:E5"/>
    <mergeCell ref="A2:K2"/>
    <mergeCell ref="H5:I5"/>
    <mergeCell ref="F5:G5"/>
    <mergeCell ref="F6:G6"/>
    <mergeCell ref="B5:C5"/>
    <mergeCell ref="D21:E21"/>
    <mergeCell ref="F21:G21"/>
    <mergeCell ref="H21:I21"/>
    <mergeCell ref="D13:E13"/>
    <mergeCell ref="J7:K7"/>
    <mergeCell ref="D8:E8"/>
    <mergeCell ref="F10:G10"/>
    <mergeCell ref="H12:I12"/>
    <mergeCell ref="J10:K10"/>
    <mergeCell ref="J8:K8"/>
    <mergeCell ref="F8:G8"/>
    <mergeCell ref="D7:E7"/>
    <mergeCell ref="H7:I7"/>
    <mergeCell ref="D10:E10"/>
    <mergeCell ref="D9:E9"/>
    <mergeCell ref="F9:G9"/>
    <mergeCell ref="H23:I23"/>
    <mergeCell ref="F19:G19"/>
    <mergeCell ref="H10:I10"/>
    <mergeCell ref="B8:C8"/>
    <mergeCell ref="H8:I8"/>
    <mergeCell ref="F11:G11"/>
    <mergeCell ref="B18:C18"/>
    <mergeCell ref="B19:C19"/>
    <mergeCell ref="D18:E18"/>
    <mergeCell ref="D19:E19"/>
    <mergeCell ref="D16:E16"/>
    <mergeCell ref="B22:C22"/>
    <mergeCell ref="F22:G22"/>
    <mergeCell ref="B23:C23"/>
    <mergeCell ref="D23:E23"/>
    <mergeCell ref="H13:I13"/>
    <mergeCell ref="A1:K1"/>
    <mergeCell ref="D17:E17"/>
    <mergeCell ref="J17:K17"/>
    <mergeCell ref="H11:I11"/>
    <mergeCell ref="F13:G13"/>
    <mergeCell ref="J13:K13"/>
    <mergeCell ref="D11:E11"/>
    <mergeCell ref="J11:K11"/>
    <mergeCell ref="B13:C13"/>
    <mergeCell ref="B9:C9"/>
    <mergeCell ref="B11:C11"/>
    <mergeCell ref="B7:C7"/>
    <mergeCell ref="B6:C6"/>
    <mergeCell ref="D6:E6"/>
    <mergeCell ref="B10:C10"/>
    <mergeCell ref="F7:G7"/>
    <mergeCell ref="B21:C21"/>
    <mergeCell ref="H26:J28"/>
    <mergeCell ref="K26:K28"/>
    <mergeCell ref="H24:I24"/>
    <mergeCell ref="J24:K24"/>
    <mergeCell ref="J22:K22"/>
    <mergeCell ref="H22:I22"/>
    <mergeCell ref="J21:K21"/>
    <mergeCell ref="J23:K23"/>
    <mergeCell ref="C26:D26"/>
    <mergeCell ref="E26:F26"/>
    <mergeCell ref="D24:E24"/>
    <mergeCell ref="D22:E22"/>
    <mergeCell ref="F24:G24"/>
    <mergeCell ref="B24:C24"/>
    <mergeCell ref="F23:G23"/>
    <mergeCell ref="B20:C20"/>
    <mergeCell ref="D20:E20"/>
    <mergeCell ref="B12:C12"/>
    <mergeCell ref="D12:E12"/>
    <mergeCell ref="F12:G12"/>
    <mergeCell ref="F20:G20"/>
    <mergeCell ref="B16:C16"/>
    <mergeCell ref="B17:C17"/>
    <mergeCell ref="F17:G17"/>
    <mergeCell ref="F16:G16"/>
    <mergeCell ref="F18:G18"/>
    <mergeCell ref="H9:I9"/>
    <mergeCell ref="J9:K9"/>
    <mergeCell ref="H20:I20"/>
    <mergeCell ref="J20:K20"/>
    <mergeCell ref="J12:K12"/>
    <mergeCell ref="H17:I17"/>
    <mergeCell ref="J19:K19"/>
    <mergeCell ref="H16:I16"/>
    <mergeCell ref="J16:K16"/>
    <mergeCell ref="H19:I19"/>
    <mergeCell ref="J18:K18"/>
    <mergeCell ref="H18:I18"/>
  </mergeCells>
  <phoneticPr fontId="5" type="noConversion"/>
  <conditionalFormatting sqref="K26:K28">
    <cfRule type="cellIs" dxfId="17" priority="1" stopIfTrue="1" operator="greaterThan">
      <formula>1</formula>
    </cfRule>
  </conditionalFormatting>
  <conditionalFormatting sqref="C32:F33">
    <cfRule type="cellIs" dxfId="16" priority="2" stopIfTrue="1" operator="lessThan">
      <formula>0</formula>
    </cfRule>
  </conditionalFormatting>
  <hyperlinks>
    <hyperlink ref="A7" location="ef_crop!A1" display="Cropland"/>
    <hyperlink ref="A8" location="ef_grazing!A1" display="Grazing Land"/>
    <hyperlink ref="A10" location="ef_fish!A1" display="Fishing Grounds"/>
    <hyperlink ref="A11" location="ef_built!A1" display="Built-up Land"/>
    <hyperlink ref="A12" location="ef_carbon!A1" display="Carbon Footprint"/>
    <hyperlink ref="A9" location="ef_forest!A1" display="Forest Land"/>
    <hyperlink ref="A18" location="ef_crop!A1" display="Cropland"/>
    <hyperlink ref="A19" location="ef_grazing!A1" display="Grazing Land"/>
    <hyperlink ref="A21" location="ef_fish!A1" display="Fishing Grounds"/>
    <hyperlink ref="A22" location="ef_built!A1" display="Built-up Land"/>
    <hyperlink ref="A23" location="ef_carbon!A1" display="Carbon Footprint"/>
    <hyperlink ref="A20" location="ef_forest!A1" display="Forest Land"/>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rgb="FF005595"/>
    <pageSetUpPr autoPageBreaks="0"/>
  </sheetPr>
  <dimension ref="A1:F41"/>
  <sheetViews>
    <sheetView workbookViewId="0">
      <selection activeCell="A65536" sqref="A65536"/>
    </sheetView>
  </sheetViews>
  <sheetFormatPr baseColWidth="10" defaultColWidth="9.1640625" defaultRowHeight="12.75" customHeight="1" x14ac:dyDescent="0"/>
  <cols>
    <col min="1" max="1" width="50.6640625" style="53" customWidth="1"/>
    <col min="2" max="6" width="21.6640625" style="53" customWidth="1"/>
    <col min="7" max="16384" width="9.1640625" style="53"/>
  </cols>
  <sheetData>
    <row r="1" spans="1:6" ht="12">
      <c r="A1" s="282" t="s">
        <v>2036</v>
      </c>
      <c r="B1" s="432" t="s">
        <v>1040</v>
      </c>
      <c r="C1" s="433" t="s">
        <v>1041</v>
      </c>
      <c r="D1" s="432" t="s">
        <v>1042</v>
      </c>
      <c r="E1" s="283" t="s">
        <v>1043</v>
      </c>
    </row>
    <row r="2" spans="1:6" ht="12">
      <c r="A2" s="284" t="s">
        <v>548</v>
      </c>
      <c r="B2" s="285" t="s">
        <v>732</v>
      </c>
      <c r="C2" s="285" t="s">
        <v>732</v>
      </c>
      <c r="D2" s="285" t="s">
        <v>732</v>
      </c>
      <c r="E2" s="286" t="s">
        <v>732</v>
      </c>
    </row>
    <row r="3" spans="1:6" ht="12">
      <c r="A3" s="6" t="s">
        <v>3117</v>
      </c>
      <c r="B3" s="42">
        <f>fossil_efp!F8</f>
        <v>1737974780.097095</v>
      </c>
      <c r="C3" s="42">
        <f>carbon_efi_efe!J632</f>
        <v>305060933.39762282</v>
      </c>
      <c r="D3" s="42">
        <f>carbon_efi_efe!K632</f>
        <v>246319207.80170718</v>
      </c>
      <c r="E3" s="44">
        <f>MAX(0,B3+C3-D3)</f>
        <v>1796716505.6930106</v>
      </c>
      <c r="F3" s="57"/>
    </row>
    <row r="4" spans="1:6" ht="12">
      <c r="A4" s="6" t="s">
        <v>608</v>
      </c>
      <c r="B4" s="42">
        <f>other_co2_efp!C9</f>
        <v>76546312.770309344</v>
      </c>
      <c r="C4" s="42">
        <v>0</v>
      </c>
      <c r="D4" s="42">
        <v>0</v>
      </c>
      <c r="E4" s="44">
        <f>MAX(0,B4+C4-D4)</f>
        <v>76546312.770309344</v>
      </c>
    </row>
    <row r="5" spans="1:6" ht="12">
      <c r="A5" s="6" t="s">
        <v>4247</v>
      </c>
      <c r="B5" s="42">
        <v>0</v>
      </c>
      <c r="C5" s="42">
        <f>electricity_trade!E7</f>
        <v>11073788.352414574</v>
      </c>
      <c r="D5" s="42">
        <f>electricity_trade!E8</f>
        <v>1967466.7059765349</v>
      </c>
      <c r="E5" s="44">
        <f>MAX(0,B5+C5-D5)</f>
        <v>9106321.6464380398</v>
      </c>
    </row>
    <row r="6" spans="1:6" ht="12">
      <c r="A6" s="6" t="s">
        <v>6380</v>
      </c>
      <c r="B6" s="42">
        <f>IF(COUNTRY="World",Int_transport!C7,0)</f>
        <v>0</v>
      </c>
      <c r="C6" s="42">
        <f>IF(COUNTRY="World",0,Int_transport!C7)</f>
        <v>38928480.092829958</v>
      </c>
      <c r="D6" s="42">
        <v>0</v>
      </c>
      <c r="E6" s="44">
        <f>MAX(0,B6+C6-D6)</f>
        <v>38928480.092829958</v>
      </c>
    </row>
    <row r="7" spans="1:6" ht="12">
      <c r="A7" s="61" t="s">
        <v>3985</v>
      </c>
      <c r="B7" s="65">
        <f>SUM(B3:B6)</f>
        <v>1814521092.8674045</v>
      </c>
      <c r="C7" s="65">
        <f>SUM(C3:C6)</f>
        <v>355063201.84286731</v>
      </c>
      <c r="D7" s="65">
        <f>SUM(D3:D6)</f>
        <v>248286674.50768372</v>
      </c>
      <c r="E7" s="66">
        <f>MAX(0,B7+C7-D7)</f>
        <v>1921297620.2025881</v>
      </c>
    </row>
    <row r="30" spans="1:3" ht="12.75" customHeight="1">
      <c r="A30" s="104"/>
      <c r="B30" s="104"/>
      <c r="C30" s="104"/>
    </row>
    <row r="31" spans="1:3" ht="12.75" customHeight="1">
      <c r="A31" s="104"/>
      <c r="B31" s="104"/>
      <c r="C31" s="104"/>
    </row>
    <row r="32" spans="1:3" ht="12.75" customHeight="1">
      <c r="A32" s="104"/>
      <c r="B32" s="104"/>
      <c r="C32" s="104"/>
    </row>
    <row r="33" spans="1:4" ht="12.75" customHeight="1">
      <c r="A33" s="104"/>
      <c r="B33" s="104"/>
      <c r="C33" s="104"/>
    </row>
    <row r="34" spans="1:4" ht="12.75" customHeight="1">
      <c r="A34" s="104"/>
      <c r="B34" s="104"/>
      <c r="C34" s="104"/>
    </row>
    <row r="35" spans="1:4" ht="12.75" customHeight="1">
      <c r="A35" s="104"/>
      <c r="B35" s="104"/>
      <c r="C35" s="104"/>
    </row>
    <row r="36" spans="1:4" ht="12.75" customHeight="1">
      <c r="A36" s="104"/>
      <c r="B36" s="104"/>
      <c r="C36" s="104"/>
    </row>
    <row r="37" spans="1:4" ht="12.75" customHeight="1">
      <c r="A37" s="318"/>
      <c r="B37" s="318"/>
      <c r="C37" s="318"/>
      <c r="D37" s="318"/>
    </row>
    <row r="38" spans="1:4" ht="12.75" customHeight="1">
      <c r="A38" s="319"/>
      <c r="B38" s="319"/>
      <c r="C38" s="319"/>
      <c r="D38" s="319"/>
    </row>
    <row r="39" spans="1:4" ht="12.75" customHeight="1">
      <c r="A39" s="320">
        <f>B7</f>
        <v>1814521092.8674045</v>
      </c>
      <c r="B39" s="321">
        <f>MIN(A39,C39)</f>
        <v>1814521092.8674045</v>
      </c>
      <c r="C39" s="320">
        <f>E7</f>
        <v>1921297620.2025881</v>
      </c>
      <c r="D39" s="319"/>
    </row>
    <row r="40" spans="1:4" ht="12.75" customHeight="1">
      <c r="A40" s="320">
        <f>C7</f>
        <v>355063201.84286731</v>
      </c>
      <c r="B40" s="321">
        <f>MAX(A39,C39)-B39</f>
        <v>106776527.33518362</v>
      </c>
      <c r="C40" s="320">
        <f>D7</f>
        <v>248286674.50768372</v>
      </c>
      <c r="D40" s="319"/>
    </row>
    <row r="41" spans="1:4" ht="12.75" customHeight="1">
      <c r="A41" s="319">
        <v>0</v>
      </c>
      <c r="B41" s="321">
        <f>A39+A40-(B40+B39)</f>
        <v>248286674.50768375</v>
      </c>
      <c r="C41" s="319">
        <v>0</v>
      </c>
      <c r="D41" s="319"/>
    </row>
  </sheetData>
  <phoneticPr fontId="5" type="noConversion"/>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FFA25D"/>
    <pageSetUpPr autoPageBreaks="0"/>
  </sheetPr>
  <dimension ref="A1:G50"/>
  <sheetViews>
    <sheetView workbookViewId="0">
      <selection activeCell="A65536" sqref="A65536"/>
    </sheetView>
  </sheetViews>
  <sheetFormatPr baseColWidth="10" defaultColWidth="9.1640625" defaultRowHeight="12.75" customHeight="1" x14ac:dyDescent="0"/>
  <cols>
    <col min="1" max="1" width="50.6640625" style="11" customWidth="1"/>
    <col min="2" max="7" width="21.6640625" style="9" customWidth="1"/>
    <col min="8" max="16384" width="9.1640625" style="9"/>
  </cols>
  <sheetData>
    <row r="1" spans="1:5" s="48" customFormat="1" ht="12">
      <c r="A1" s="322" t="s">
        <v>2036</v>
      </c>
      <c r="B1" s="167" t="s">
        <v>3983</v>
      </c>
      <c r="C1" s="167" t="s">
        <v>3982</v>
      </c>
      <c r="D1" s="167" t="s">
        <v>3984</v>
      </c>
      <c r="E1" s="168" t="s">
        <v>1694</v>
      </c>
    </row>
    <row r="2" spans="1:5" s="11" customFormat="1" ht="12">
      <c r="A2" s="323" t="s">
        <v>548</v>
      </c>
      <c r="B2" s="324" t="s">
        <v>732</v>
      </c>
      <c r="C2" s="324" t="s">
        <v>732</v>
      </c>
      <c r="D2" s="324" t="s">
        <v>732</v>
      </c>
      <c r="E2" s="325" t="s">
        <v>732</v>
      </c>
    </row>
    <row r="3" spans="1:5" s="11" customFormat="1" ht="12">
      <c r="A3" s="49" t="s">
        <v>3118</v>
      </c>
      <c r="B3" s="40">
        <f>SUM(crop_efp!$H$7:$H$185)-B4</f>
        <v>252601378.51401761</v>
      </c>
      <c r="C3" s="40">
        <f>SUM(crop_efi_efe!$I$7:$I$426)-C4</f>
        <v>44457463.806505017</v>
      </c>
      <c r="D3" s="40">
        <f>SUM(crop_efi_efe!$J$7:$J$426)-D4</f>
        <v>98730318.61173749</v>
      </c>
      <c r="E3" s="73">
        <f>B3+C3-D3</f>
        <v>198328523.70878512</v>
      </c>
    </row>
    <row r="4" spans="1:5" s="11" customFormat="1" ht="12">
      <c r="A4" s="50" t="s">
        <v>7743</v>
      </c>
      <c r="B4" s="37">
        <f>market_feed_supply_n!I103+grass_supply_n!K36</f>
        <v>224799173.24680564</v>
      </c>
      <c r="C4" s="903">
        <f>market_feed_supply_n!J103+grass_supply_n!L36</f>
        <v>2993915.4352014447</v>
      </c>
      <c r="D4" s="903">
        <f>market_feed_supply_n!K103+grass_supply_n!M36</f>
        <v>36002058.62615177</v>
      </c>
      <c r="E4" s="35">
        <f>B4+C4-D4</f>
        <v>191791030.0558553</v>
      </c>
    </row>
    <row r="5" spans="1:5" s="11" customFormat="1" ht="12">
      <c r="A5" s="50" t="s">
        <v>7742</v>
      </c>
      <c r="B5" s="903"/>
      <c r="C5" s="942">
        <f>SUM(livestock_efi_efe!$I$7:$I$172)</f>
        <v>10160428.552808011</v>
      </c>
      <c r="D5" s="942">
        <f>SUM(livestock_efi_efe!$J$7:$J$172)</f>
        <v>26997653.596603498</v>
      </c>
      <c r="E5" s="35">
        <f>B5+C5-D5</f>
        <v>-16837225.043795489</v>
      </c>
    </row>
    <row r="6" spans="1:5" s="11" customFormat="1" ht="12">
      <c r="A6" s="50" t="s">
        <v>6381</v>
      </c>
      <c r="B6" s="37">
        <v>0</v>
      </c>
      <c r="C6" s="42">
        <f>SUM(fish_efi_efe!K7:K137)</f>
        <v>66828.898242197451</v>
      </c>
      <c r="D6" s="42">
        <f>SUM(fish_efi_efe!L7:L137)</f>
        <v>14023.743970799107</v>
      </c>
      <c r="E6" s="35">
        <f>B6+C6-D6</f>
        <v>52805.154271398344</v>
      </c>
    </row>
    <row r="7" spans="1:5" s="11" customFormat="1" ht="12">
      <c r="A7" s="52" t="s">
        <v>3985</v>
      </c>
      <c r="B7" s="71">
        <f>SUM(B3:B6)</f>
        <v>477400551.76082325</v>
      </c>
      <c r="C7" s="71">
        <f>SUM(C3:C6)</f>
        <v>57678636.692756668</v>
      </c>
      <c r="D7" s="71">
        <f>SUM(D3:D6)</f>
        <v>161744054.57846355</v>
      </c>
      <c r="E7" s="72">
        <f>MAX(0,B7+C7-D7)</f>
        <v>373335133.87511635</v>
      </c>
    </row>
    <row r="8" spans="1:5" ht="12.75" customHeight="1">
      <c r="E8" s="96"/>
    </row>
    <row r="12" spans="1:5" ht="12.75" customHeight="1">
      <c r="A12" s="101">
        <f>B7</f>
        <v>477400551.76082325</v>
      </c>
      <c r="B12" s="96">
        <f>MIN(A12,C12)</f>
        <v>373335133.87511635</v>
      </c>
      <c r="C12" s="96">
        <f>E7</f>
        <v>373335133.87511635</v>
      </c>
    </row>
    <row r="13" spans="1:5" ht="12.75" customHeight="1">
      <c r="A13" s="101">
        <f>C7</f>
        <v>57678636.692756668</v>
      </c>
      <c r="B13" s="96">
        <f>MAX(A12,C12)-B12</f>
        <v>104065417.8857069</v>
      </c>
      <c r="C13" s="96">
        <f>D7</f>
        <v>161744054.57846355</v>
      </c>
    </row>
    <row r="14" spans="1:5" ht="12.75" customHeight="1">
      <c r="A14" s="11">
        <v>0</v>
      </c>
      <c r="B14" s="96">
        <f>A12+A13-(B13+B12)</f>
        <v>57678636.692756653</v>
      </c>
      <c r="C14" s="96">
        <v>0</v>
      </c>
      <c r="D14" s="96"/>
    </row>
    <row r="15" spans="1:5" ht="12.75" customHeight="1">
      <c r="C15" s="96"/>
    </row>
    <row r="37" spans="7:7" ht="12.75" customHeight="1">
      <c r="G37" s="553" t="s">
        <v>1055</v>
      </c>
    </row>
    <row r="38" spans="7:7" ht="12.75" customHeight="1">
      <c r="G38" s="553" t="s">
        <v>1056</v>
      </c>
    </row>
    <row r="39" spans="7:7" ht="12.75" customHeight="1">
      <c r="G39" s="553" t="s">
        <v>1055</v>
      </c>
    </row>
    <row r="40" spans="7:7" ht="12.75" customHeight="1">
      <c r="G40" s="553" t="s">
        <v>1056</v>
      </c>
    </row>
    <row r="41" spans="7:7" ht="12.75" customHeight="1">
      <c r="G41" s="553" t="s">
        <v>1055</v>
      </c>
    </row>
    <row r="42" spans="7:7" ht="12.75" customHeight="1">
      <c r="G42" s="553" t="s">
        <v>1056</v>
      </c>
    </row>
    <row r="43" spans="7:7" ht="12.75" customHeight="1">
      <c r="G43" s="553" t="s">
        <v>1055</v>
      </c>
    </row>
    <row r="44" spans="7:7" ht="12.75" customHeight="1">
      <c r="G44" s="553" t="s">
        <v>1056</v>
      </c>
    </row>
    <row r="45" spans="7:7" ht="12.75" customHeight="1">
      <c r="G45" s="553" t="s">
        <v>1055</v>
      </c>
    </row>
    <row r="46" spans="7:7" ht="12.75" customHeight="1">
      <c r="G46" s="553" t="s">
        <v>1056</v>
      </c>
    </row>
    <row r="47" spans="7:7" ht="12.75" customHeight="1">
      <c r="G47" s="55"/>
    </row>
    <row r="48" spans="7:7" ht="12.75" customHeight="1">
      <c r="G48" s="55"/>
    </row>
    <row r="49" spans="7:7" ht="12.75" customHeight="1">
      <c r="G49" s="55"/>
    </row>
    <row r="50" spans="7:7" ht="12.75" customHeight="1">
      <c r="G50" s="55"/>
    </row>
  </sheetData>
  <phoneticPr fontId="5" type="noConversion"/>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tabColor rgb="FFFFE49C"/>
    <pageSetUpPr autoPageBreaks="0"/>
  </sheetPr>
  <dimension ref="A1:L40"/>
  <sheetViews>
    <sheetView workbookViewId="0">
      <selection activeCell="A65536" sqref="A65536"/>
    </sheetView>
  </sheetViews>
  <sheetFormatPr baseColWidth="10" defaultColWidth="9.1640625" defaultRowHeight="12.75" customHeight="1" x14ac:dyDescent="0"/>
  <cols>
    <col min="1" max="1" width="50.6640625" style="11" customWidth="1"/>
    <col min="2" max="5" width="21.6640625" style="9" customWidth="1"/>
    <col min="6" max="12" width="21.6640625" style="55" customWidth="1"/>
    <col min="13" max="16384" width="9.1640625" style="55"/>
  </cols>
  <sheetData>
    <row r="1" spans="1:12" s="53" customFormat="1" ht="12">
      <c r="A1" s="326" t="s">
        <v>2036</v>
      </c>
      <c r="B1" s="327" t="s">
        <v>3983</v>
      </c>
      <c r="C1" s="327" t="s">
        <v>3982</v>
      </c>
      <c r="D1" s="327" t="s">
        <v>3984</v>
      </c>
      <c r="E1" s="328" t="s">
        <v>1694</v>
      </c>
      <c r="F1" s="83"/>
      <c r="G1" s="83"/>
      <c r="H1" s="83"/>
      <c r="I1" s="83"/>
      <c r="J1" s="83"/>
      <c r="K1" s="83"/>
      <c r="L1" s="83"/>
    </row>
    <row r="2" spans="1:12" s="53" customFormat="1" ht="12">
      <c r="A2" s="329" t="s">
        <v>548</v>
      </c>
      <c r="B2" s="330" t="s">
        <v>732</v>
      </c>
      <c r="C2" s="330" t="s">
        <v>732</v>
      </c>
      <c r="D2" s="330" t="s">
        <v>732</v>
      </c>
      <c r="E2" s="331" t="s">
        <v>732</v>
      </c>
      <c r="F2" s="83"/>
      <c r="G2" s="83"/>
      <c r="H2" s="83"/>
      <c r="I2" s="83"/>
      <c r="J2" s="83"/>
      <c r="K2" s="83"/>
      <c r="L2" s="83"/>
    </row>
    <row r="3" spans="1:12" s="53" customFormat="1" ht="12">
      <c r="A3" s="394" t="s">
        <v>6382</v>
      </c>
      <c r="B3" s="69">
        <f>grazing_efp!D12</f>
        <v>88764550.368578911</v>
      </c>
      <c r="C3" s="69">
        <v>0</v>
      </c>
      <c r="D3" s="40">
        <v>0</v>
      </c>
      <c r="E3" s="73">
        <f>B3+C3-D3</f>
        <v>88764550.368578911</v>
      </c>
      <c r="F3" s="83"/>
      <c r="G3" s="83"/>
      <c r="H3" s="83"/>
      <c r="I3" s="83"/>
      <c r="J3" s="83"/>
      <c r="K3" s="83"/>
      <c r="L3" s="83"/>
    </row>
    <row r="4" spans="1:12" s="53" customFormat="1" ht="12">
      <c r="A4" s="51" t="s">
        <v>6383</v>
      </c>
      <c r="B4" s="74">
        <f>grazing_efp!D7</f>
        <v>12354900.736699363</v>
      </c>
      <c r="C4" s="74">
        <f>SUM(livestock_efi_efe!O7:O172)</f>
        <v>23604479.552012924</v>
      </c>
      <c r="D4" s="74">
        <f>SUM(livestock_efi_efe!P7:P172)</f>
        <v>16472031.087298067</v>
      </c>
      <c r="E4" s="70">
        <f>B4+C4-D4</f>
        <v>19487349.20141422</v>
      </c>
      <c r="F4" s="83"/>
      <c r="G4" s="83"/>
      <c r="H4" s="83"/>
      <c r="I4" s="83"/>
      <c r="J4" s="83"/>
      <c r="K4" s="83"/>
      <c r="L4" s="83"/>
    </row>
    <row r="5" spans="1:12" s="54" customFormat="1" ht="12">
      <c r="A5" s="52" t="s">
        <v>3985</v>
      </c>
      <c r="B5" s="71">
        <f>B3</f>
        <v>88764550.368578911</v>
      </c>
      <c r="C5" s="71">
        <f>SUM(C3:C4)</f>
        <v>23604479.552012924</v>
      </c>
      <c r="D5" s="71">
        <f>SUM(D3:D4)</f>
        <v>16472031.087298067</v>
      </c>
      <c r="E5" s="75">
        <f>MAX(0,B5+C5-D5)</f>
        <v>95896998.833293766</v>
      </c>
      <c r="F5" s="83"/>
      <c r="G5" s="83"/>
      <c r="H5" s="83"/>
      <c r="I5" s="83"/>
      <c r="J5" s="83"/>
      <c r="K5" s="83"/>
      <c r="L5" s="83"/>
    </row>
    <row r="6" spans="1:12" ht="12.75" customHeight="1">
      <c r="A6" s="48"/>
      <c r="B6" s="8"/>
      <c r="C6" s="8"/>
      <c r="D6" s="8"/>
      <c r="E6" s="8"/>
      <c r="F6" s="53"/>
      <c r="G6" s="53"/>
      <c r="H6" s="53"/>
      <c r="I6" s="53"/>
      <c r="J6" s="53"/>
      <c r="K6" s="53"/>
      <c r="L6" s="53"/>
    </row>
    <row r="7" spans="1:12" ht="12.75" customHeight="1">
      <c r="F7" s="53"/>
      <c r="G7" s="53"/>
      <c r="H7" s="53"/>
      <c r="I7" s="53"/>
      <c r="J7" s="53"/>
      <c r="K7" s="53"/>
      <c r="L7" s="53"/>
    </row>
    <row r="8" spans="1:12" ht="12.75" customHeight="1">
      <c r="F8" s="53"/>
      <c r="G8" s="53"/>
      <c r="H8" s="53"/>
      <c r="I8" s="53"/>
      <c r="J8" s="53"/>
      <c r="K8" s="53"/>
      <c r="L8" s="53"/>
    </row>
    <row r="9" spans="1:12" ht="12.75" customHeight="1">
      <c r="F9" s="53"/>
      <c r="G9" s="53"/>
      <c r="H9" s="53"/>
      <c r="I9" s="53"/>
      <c r="J9" s="53"/>
      <c r="K9" s="53"/>
      <c r="L9" s="53"/>
    </row>
    <row r="10" spans="1:12" ht="12.75" customHeight="1">
      <c r="F10" s="54"/>
      <c r="G10" s="54"/>
      <c r="H10" s="54"/>
      <c r="I10" s="54"/>
      <c r="J10" s="54"/>
      <c r="K10" s="54"/>
      <c r="L10" s="54"/>
    </row>
    <row r="11" spans="1:12" ht="12.75" customHeight="1">
      <c r="A11" s="101">
        <f>B5</f>
        <v>88764550.368578911</v>
      </c>
      <c r="B11" s="96">
        <f>MIN(A11,C11)</f>
        <v>88764550.368578911</v>
      </c>
      <c r="C11" s="96">
        <f>E5</f>
        <v>95896998.833293766</v>
      </c>
    </row>
    <row r="12" spans="1:12" ht="12.75" customHeight="1">
      <c r="A12" s="101">
        <f>C5</f>
        <v>23604479.552012924</v>
      </c>
      <c r="B12" s="96">
        <f>MAX(A11,C11)-B11</f>
        <v>7132448.464714855</v>
      </c>
      <c r="C12" s="96">
        <f>D5</f>
        <v>16472031.087298067</v>
      </c>
    </row>
    <row r="13" spans="1:12" ht="12.75" customHeight="1">
      <c r="A13" s="11">
        <v>0</v>
      </c>
      <c r="B13" s="96">
        <f>A11+A12-(B12+B11)</f>
        <v>16472031.087298065</v>
      </c>
      <c r="C13" s="9">
        <v>0</v>
      </c>
    </row>
    <row r="30" spans="6:6" ht="12.75" customHeight="1">
      <c r="F30" s="295"/>
    </row>
    <row r="31" spans="6:6" ht="12.75" customHeight="1">
      <c r="F31" s="83"/>
    </row>
    <row r="32" spans="6:6" ht="12.75" customHeight="1">
      <c r="F32" s="83"/>
    </row>
    <row r="33" spans="6:12" ht="12.75" customHeight="1">
      <c r="F33" s="83"/>
    </row>
    <row r="34" spans="6:12" ht="12.75" customHeight="1">
      <c r="F34" s="83"/>
    </row>
    <row r="35" spans="6:12" ht="12.75" customHeight="1">
      <c r="F35" s="83"/>
      <c r="G35" s="83"/>
      <c r="H35" s="83"/>
      <c r="I35" s="83"/>
      <c r="J35" s="83"/>
      <c r="K35" s="83"/>
      <c r="L35" s="83"/>
    </row>
    <row r="36" spans="6:12" ht="12.75" customHeight="1">
      <c r="F36" s="83"/>
      <c r="G36" s="83"/>
      <c r="H36" s="83"/>
      <c r="I36" s="83"/>
      <c r="J36" s="83"/>
      <c r="K36" s="83"/>
      <c r="L36" s="83"/>
    </row>
    <row r="37" spans="6:12" ht="12.75" customHeight="1">
      <c r="F37" s="83"/>
      <c r="G37" s="83"/>
      <c r="H37" s="83"/>
      <c r="I37" s="83"/>
      <c r="J37" s="83"/>
      <c r="K37" s="83"/>
      <c r="L37" s="83"/>
    </row>
    <row r="38" spans="6:12" ht="12.75" customHeight="1">
      <c r="F38" s="83"/>
      <c r="G38" s="83"/>
      <c r="H38" s="83"/>
      <c r="I38" s="83"/>
      <c r="J38" s="83"/>
      <c r="K38" s="83"/>
      <c r="L38" s="83"/>
    </row>
    <row r="39" spans="6:12" ht="12.75" customHeight="1">
      <c r="F39" s="83"/>
      <c r="G39" s="83"/>
      <c r="H39" s="83"/>
      <c r="I39" s="83"/>
      <c r="J39" s="83"/>
      <c r="K39" s="83"/>
      <c r="L39" s="83"/>
    </row>
    <row r="40" spans="6:12" ht="12.75" customHeight="1">
      <c r="F40" s="83"/>
      <c r="G40" s="83"/>
      <c r="H40" s="83"/>
      <c r="I40" s="83"/>
      <c r="J40" s="83"/>
      <c r="K40" s="83"/>
      <c r="L40" s="83"/>
    </row>
  </sheetData>
  <phoneticPr fontId="5" type="noConversion"/>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rgb="FF0000FF"/>
    <pageSetUpPr autoPageBreaks="0"/>
  </sheetPr>
  <dimension ref="A1:E55"/>
  <sheetViews>
    <sheetView workbookViewId="0">
      <selection activeCell="A65536" sqref="A65536"/>
    </sheetView>
  </sheetViews>
  <sheetFormatPr baseColWidth="10" defaultColWidth="9.1640625" defaultRowHeight="12.75" customHeight="1" x14ac:dyDescent="0"/>
  <cols>
    <col min="1" max="1" width="50.6640625" style="53" customWidth="1"/>
    <col min="2" max="5" width="21.6640625" style="53" customWidth="1"/>
    <col min="6" max="6" width="19.6640625" style="53" customWidth="1"/>
    <col min="7" max="16384" width="9.1640625" style="53"/>
  </cols>
  <sheetData>
    <row r="1" spans="1:5" ht="12">
      <c r="A1" s="296" t="s">
        <v>2036</v>
      </c>
      <c r="B1" s="297" t="s">
        <v>3106</v>
      </c>
      <c r="C1" s="297" t="s">
        <v>4970</v>
      </c>
      <c r="D1" s="297" t="s">
        <v>4971</v>
      </c>
      <c r="E1" s="298" t="s">
        <v>4972</v>
      </c>
    </row>
    <row r="2" spans="1:5" ht="12">
      <c r="A2" s="299" t="s">
        <v>548</v>
      </c>
      <c r="B2" s="300" t="s">
        <v>732</v>
      </c>
      <c r="C2" s="300" t="s">
        <v>732</v>
      </c>
      <c r="D2" s="300" t="s">
        <v>732</v>
      </c>
      <c r="E2" s="301" t="s">
        <v>732</v>
      </c>
    </row>
    <row r="3" spans="1:5" ht="12">
      <c r="A3" s="108" t="s">
        <v>1084</v>
      </c>
      <c r="B3" s="1394">
        <f>SUM(fish_efp!$I$7:$I$1947)</f>
        <v>37579559.276238687</v>
      </c>
      <c r="C3" s="1394">
        <v>0</v>
      </c>
      <c r="D3" s="1394">
        <v>0</v>
      </c>
      <c r="E3" s="1395">
        <f>B3+C3-D3</f>
        <v>37579559.276238687</v>
      </c>
    </row>
    <row r="4" spans="1:5" ht="12">
      <c r="A4" s="6" t="s">
        <v>1085</v>
      </c>
      <c r="B4" s="1584">
        <f>SUM(fish_efp!$J$7:$J$1947)</f>
        <v>69402.822269783093</v>
      </c>
      <c r="C4" s="1584">
        <v>0</v>
      </c>
      <c r="D4" s="1584">
        <v>0</v>
      </c>
      <c r="E4" s="1392">
        <f>B4+C4-D4</f>
        <v>69402.822269783093</v>
      </c>
    </row>
    <row r="5" spans="1:5" ht="12">
      <c r="A5" s="6" t="s">
        <v>683</v>
      </c>
      <c r="B5" s="1584">
        <f>grazing_efp!E10</f>
        <v>1176914.1030653527</v>
      </c>
      <c r="C5" s="1584">
        <f>SUM(livestock_efi_efe!L7:L172)</f>
        <v>113274.30434585288</v>
      </c>
      <c r="D5" s="1584">
        <f>SUM(livestock_efi_efe!$M$7:$M$172)</f>
        <v>255101.20781833696</v>
      </c>
      <c r="E5" s="1392">
        <f>B5+C5-D5</f>
        <v>1035087.1995928686</v>
      </c>
    </row>
    <row r="6" spans="1:5" ht="12">
      <c r="A6" s="110" t="s">
        <v>3119</v>
      </c>
      <c r="B6" s="74">
        <v>0</v>
      </c>
      <c r="C6" s="111">
        <f>SUM(fish_efi_efe!C7:C234)/(SUM(fish_efp!Q7:Q1947)/SUM(fish_efp!T7:T1947))</f>
        <v>17484391.659830373</v>
      </c>
      <c r="D6" s="111">
        <f>IF(B7+C6=0,SUM(fish_efi_efe!$J$7:$J$234),SUM(fish_efi_efe!D7:D234)/((SUM(fish_efp!D7:D1947,fish_efp!E7:E1947)+SUM(fish_efi_efe!C7:C234))/(B7+C6)))</f>
        <v>12253576.194775881</v>
      </c>
      <c r="E6" s="64">
        <f>B6+C6-D6</f>
        <v>5230815.4650544915</v>
      </c>
    </row>
    <row r="7" spans="1:5" ht="12">
      <c r="A7" s="112" t="s">
        <v>3985</v>
      </c>
      <c r="B7" s="113">
        <f>SUM(B3:B6)-B5</f>
        <v>37648962.09850847</v>
      </c>
      <c r="C7" s="113">
        <f>SUM(C3:C6)</f>
        <v>17597665.964176226</v>
      </c>
      <c r="D7" s="113">
        <f>SUM(D3:D6)</f>
        <v>12508677.402594218</v>
      </c>
      <c r="E7" s="75">
        <f>MAX(0,B7+C7-D7)</f>
        <v>42737950.660090484</v>
      </c>
    </row>
    <row r="8" spans="1:5" ht="12">
      <c r="A8" s="318"/>
      <c r="B8" s="318"/>
      <c r="C8" s="318"/>
      <c r="D8" s="318"/>
      <c r="E8" s="795"/>
    </row>
    <row r="9" spans="1:5" ht="12.75" customHeight="1">
      <c r="A9" s="318"/>
      <c r="B9" s="318"/>
      <c r="C9" s="318"/>
      <c r="D9" s="318"/>
      <c r="E9" s="318"/>
    </row>
    <row r="10" spans="1:5" ht="12.75" customHeight="1">
      <c r="A10" s="318"/>
      <c r="B10" s="318"/>
      <c r="C10" s="318"/>
      <c r="D10" s="318"/>
      <c r="E10" s="318"/>
    </row>
    <row r="11" spans="1:5" ht="12.75" customHeight="1">
      <c r="A11" s="318"/>
      <c r="B11" s="318"/>
      <c r="C11" s="318"/>
      <c r="D11" s="318"/>
      <c r="E11" s="318"/>
    </row>
    <row r="12" spans="1:5" ht="12.75" customHeight="1">
      <c r="A12" s="318"/>
      <c r="B12" s="318"/>
      <c r="C12" s="318"/>
      <c r="D12" s="318"/>
      <c r="E12" s="318"/>
    </row>
    <row r="13" spans="1:5" ht="12.75" customHeight="1">
      <c r="A13" s="318"/>
      <c r="B13" s="318"/>
      <c r="C13" s="318"/>
      <c r="D13" s="318"/>
      <c r="E13" s="318"/>
    </row>
    <row r="14" spans="1:5" ht="12.75" customHeight="1">
      <c r="A14" s="318"/>
      <c r="B14" s="318"/>
      <c r="C14" s="318"/>
      <c r="D14" s="318"/>
      <c r="E14" s="318"/>
    </row>
    <row r="15" spans="1:5" ht="12.75" customHeight="1">
      <c r="A15" s="318"/>
      <c r="B15" s="318"/>
      <c r="C15" s="318"/>
      <c r="D15" s="318"/>
      <c r="E15" s="318"/>
    </row>
    <row r="30" spans="1:5" ht="12.75" customHeight="1">
      <c r="A30" s="104"/>
      <c r="B30" s="104"/>
      <c r="C30" s="104"/>
      <c r="D30" s="104"/>
      <c r="E30" s="104"/>
    </row>
    <row r="31" spans="1:5" ht="12.75" customHeight="1">
      <c r="A31" s="104"/>
      <c r="B31" s="104"/>
      <c r="C31" s="104"/>
      <c r="D31" s="104"/>
      <c r="E31" s="104"/>
    </row>
    <row r="32" spans="1:5" ht="12.75" customHeight="1">
      <c r="A32" s="104"/>
      <c r="B32" s="104"/>
      <c r="C32" s="104"/>
      <c r="D32" s="104"/>
      <c r="E32" s="104"/>
    </row>
    <row r="33" spans="1:5" ht="12.75" customHeight="1">
      <c r="A33" s="104"/>
      <c r="B33" s="104"/>
      <c r="C33" s="104"/>
      <c r="D33" s="104"/>
      <c r="E33" s="104"/>
    </row>
    <row r="34" spans="1:5" ht="12.75" customHeight="1">
      <c r="A34" s="104"/>
      <c r="B34" s="104"/>
      <c r="C34" s="104"/>
      <c r="D34" s="104"/>
      <c r="E34" s="104"/>
    </row>
    <row r="35" spans="1:5" ht="12.75" customHeight="1">
      <c r="A35" s="104"/>
      <c r="B35" s="104"/>
      <c r="C35" s="104"/>
      <c r="D35" s="104"/>
      <c r="E35" s="104"/>
    </row>
    <row r="36" spans="1:5" ht="12.75" customHeight="1">
      <c r="A36" s="105"/>
      <c r="B36" s="105"/>
      <c r="C36" s="105"/>
      <c r="D36" s="105"/>
      <c r="E36" s="104"/>
    </row>
    <row r="37" spans="1:5" ht="12.75" customHeight="1">
      <c r="A37" s="105"/>
      <c r="B37" s="105"/>
      <c r="C37" s="105"/>
      <c r="D37" s="105"/>
      <c r="E37" s="104"/>
    </row>
    <row r="38" spans="1:5" ht="12.75" customHeight="1">
      <c r="A38" s="106">
        <f>B7</f>
        <v>37648962.09850847</v>
      </c>
      <c r="B38" s="107">
        <f>MIN(A38,C38)</f>
        <v>37648962.09850847</v>
      </c>
      <c r="C38" s="106">
        <f>E7</f>
        <v>42737950.660090484</v>
      </c>
      <c r="D38" s="105"/>
      <c r="E38" s="104"/>
    </row>
    <row r="39" spans="1:5" ht="12.75" customHeight="1">
      <c r="A39" s="106">
        <f>C7</f>
        <v>17597665.964176226</v>
      </c>
      <c r="B39" s="107">
        <f>MAX(A38,C38)-B38</f>
        <v>5088988.561582014</v>
      </c>
      <c r="C39" s="106">
        <f>D7</f>
        <v>12508677.402594218</v>
      </c>
      <c r="D39" s="105"/>
      <c r="E39" s="104"/>
    </row>
    <row r="40" spans="1:5" ht="12.75" customHeight="1">
      <c r="A40" s="105">
        <v>0</v>
      </c>
      <c r="B40" s="107">
        <f>A38+A39-(B39+B38)</f>
        <v>12508677.402594216</v>
      </c>
      <c r="C40" s="105">
        <v>0</v>
      </c>
      <c r="D40" s="105"/>
      <c r="E40" s="104"/>
    </row>
    <row r="41" spans="1:5" ht="12.75" customHeight="1">
      <c r="A41" s="105"/>
      <c r="B41" s="105"/>
      <c r="C41" s="105"/>
      <c r="D41" s="105"/>
      <c r="E41" s="104"/>
    </row>
    <row r="42" spans="1:5" ht="12.75" customHeight="1">
      <c r="A42" s="105"/>
      <c r="B42" s="105"/>
      <c r="C42" s="105"/>
      <c r="D42" s="105"/>
      <c r="E42" s="104"/>
    </row>
    <row r="43" spans="1:5" ht="12.75" customHeight="1">
      <c r="A43" s="104"/>
      <c r="B43" s="104"/>
      <c r="C43" s="104"/>
      <c r="D43" s="104"/>
      <c r="E43" s="104"/>
    </row>
    <row r="44" spans="1:5" ht="12.75" customHeight="1">
      <c r="A44" s="104"/>
      <c r="B44" s="104"/>
      <c r="C44" s="104"/>
      <c r="D44" s="104"/>
      <c r="E44" s="104"/>
    </row>
    <row r="45" spans="1:5" ht="12.75" customHeight="1">
      <c r="A45" s="104"/>
      <c r="B45" s="104"/>
      <c r="C45" s="104"/>
      <c r="D45" s="104"/>
      <c r="E45" s="104"/>
    </row>
    <row r="46" spans="1:5" ht="12.75" customHeight="1">
      <c r="A46" s="104"/>
      <c r="B46" s="104"/>
      <c r="C46" s="104"/>
      <c r="D46" s="104"/>
      <c r="E46" s="104"/>
    </row>
    <row r="47" spans="1:5" ht="12.75" customHeight="1">
      <c r="A47" s="104"/>
      <c r="B47" s="104"/>
      <c r="C47" s="104"/>
      <c r="D47" s="104"/>
      <c r="E47" s="104"/>
    </row>
    <row r="48" spans="1:5" ht="12.75" customHeight="1">
      <c r="A48" s="104"/>
      <c r="B48" s="104"/>
      <c r="C48" s="104"/>
      <c r="D48" s="104"/>
      <c r="E48" s="104"/>
    </row>
    <row r="49" spans="1:5" ht="12.75" customHeight="1">
      <c r="A49" s="104"/>
      <c r="B49" s="104"/>
      <c r="C49" s="104"/>
      <c r="D49" s="104"/>
      <c r="E49" s="104"/>
    </row>
    <row r="50" spans="1:5" ht="12.75" customHeight="1">
      <c r="A50" s="104"/>
      <c r="B50" s="104"/>
      <c r="C50" s="104"/>
      <c r="D50" s="104"/>
      <c r="E50" s="104"/>
    </row>
    <row r="51" spans="1:5" ht="12.75" customHeight="1">
      <c r="A51" s="104"/>
      <c r="B51" s="104"/>
      <c r="C51" s="104"/>
      <c r="D51" s="104"/>
      <c r="E51" s="104"/>
    </row>
    <row r="52" spans="1:5" ht="12.75" customHeight="1">
      <c r="A52" s="104"/>
      <c r="B52" s="104"/>
      <c r="C52" s="104"/>
      <c r="D52" s="104"/>
      <c r="E52" s="104"/>
    </row>
    <row r="53" spans="1:5" ht="12.75" customHeight="1">
      <c r="A53" s="104"/>
      <c r="B53" s="104"/>
      <c r="C53" s="104"/>
      <c r="D53" s="104"/>
      <c r="E53" s="104"/>
    </row>
    <row r="54" spans="1:5" ht="12.75" customHeight="1">
      <c r="A54" s="104"/>
      <c r="B54" s="104"/>
      <c r="C54" s="104"/>
      <c r="D54" s="104"/>
      <c r="E54" s="104"/>
    </row>
    <row r="55" spans="1:5" ht="12.75" customHeight="1">
      <c r="A55" s="104"/>
      <c r="B55" s="104"/>
      <c r="C55" s="104"/>
      <c r="D55" s="104"/>
      <c r="E55" s="104"/>
    </row>
  </sheetData>
  <phoneticPr fontId="5" type="noConversion"/>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rgb="FFB0CA90"/>
    <pageSetUpPr autoPageBreaks="0"/>
  </sheetPr>
  <dimension ref="A1:E44"/>
  <sheetViews>
    <sheetView workbookViewId="0">
      <selection activeCell="A65536" sqref="A65536"/>
    </sheetView>
  </sheetViews>
  <sheetFormatPr baseColWidth="10" defaultColWidth="9.1640625" defaultRowHeight="12.75" customHeight="1" x14ac:dyDescent="0"/>
  <cols>
    <col min="1" max="1" width="50.6640625" style="53" customWidth="1"/>
    <col min="2" max="5" width="21.6640625" style="53" customWidth="1"/>
    <col min="6" max="6" width="19.6640625" style="53" customWidth="1"/>
    <col min="7" max="16384" width="9.1640625" style="53"/>
  </cols>
  <sheetData>
    <row r="1" spans="1:5" ht="12">
      <c r="A1" s="338" t="s">
        <v>2036</v>
      </c>
      <c r="B1" s="339" t="s">
        <v>3983</v>
      </c>
      <c r="C1" s="339" t="s">
        <v>3982</v>
      </c>
      <c r="D1" s="339" t="s">
        <v>3984</v>
      </c>
      <c r="E1" s="340" t="s">
        <v>1694</v>
      </c>
    </row>
    <row r="2" spans="1:5" ht="12">
      <c r="A2" s="341" t="s">
        <v>548</v>
      </c>
      <c r="B2" s="342" t="s">
        <v>732</v>
      </c>
      <c r="C2" s="342" t="s">
        <v>732</v>
      </c>
      <c r="D2" s="342" t="s">
        <v>732</v>
      </c>
      <c r="E2" s="343" t="s">
        <v>732</v>
      </c>
    </row>
    <row r="3" spans="1:5" ht="12">
      <c r="A3" s="50" t="s">
        <v>3120</v>
      </c>
      <c r="B3" s="37">
        <f>SUMIF(forest_efp!K$10:K$56,"Y",forest_efp!H$10:H$56)</f>
        <v>252553215.0305618</v>
      </c>
      <c r="C3" s="42">
        <f>SUMIF(forest_efi_efe!M$10:M$56,"Y",forest_efi_efe!I$10:I$56)</f>
        <v>67811414.990791261</v>
      </c>
      <c r="D3" s="888">
        <f>SUMIF(forest_efi_efe!M$10:M$56,"Y",forest_efi_efe!J$10:J$56)</f>
        <v>75127431.602717847</v>
      </c>
      <c r="E3" s="35">
        <f>B3+C3-D3</f>
        <v>245237198.41863522</v>
      </c>
    </row>
    <row r="4" spans="1:5" ht="12">
      <c r="A4" s="50" t="s">
        <v>3981</v>
      </c>
      <c r="B4" s="37">
        <f>SUMIF(forest_efp!K$7:K$9,"Y",forest_efp!H$7:H$9)</f>
        <v>16195664.92334668</v>
      </c>
      <c r="C4" s="37">
        <f>SUMIF(forest_efi_efe!M$7:M$9,"Y",forest_efi_efe!I$7:I$9)</f>
        <v>54303.553104548089</v>
      </c>
      <c r="D4" s="887">
        <f>SUMIF(forest_efi_efe!M$7:M$9,"Y",forest_efi_efe!J$7:J$9)</f>
        <v>165642.36876089743</v>
      </c>
      <c r="E4" s="35">
        <f>B4+C4-D4</f>
        <v>16084326.107690331</v>
      </c>
    </row>
    <row r="5" spans="1:5" ht="12">
      <c r="A5" s="60" t="s">
        <v>3985</v>
      </c>
      <c r="B5" s="67">
        <f>SUM(B3:B4)</f>
        <v>268748879.9539085</v>
      </c>
      <c r="C5" s="67">
        <f>SUM(C3:C4)</f>
        <v>67865718.543895811</v>
      </c>
      <c r="D5" s="67">
        <f>SUM(D3:D4)</f>
        <v>75293073.971478745</v>
      </c>
      <c r="E5" s="68">
        <f>MAX(0,B5+C5-D5)</f>
        <v>261321524.52632552</v>
      </c>
    </row>
    <row r="7" spans="1:5" ht="12.75" customHeight="1">
      <c r="B7" s="56"/>
      <c r="C7" s="56"/>
      <c r="D7" s="56"/>
      <c r="E7" s="56"/>
    </row>
    <row r="31" spans="1:3" ht="12.75" customHeight="1">
      <c r="A31" s="104"/>
      <c r="B31" s="104"/>
      <c r="C31" s="104"/>
    </row>
    <row r="32" spans="1:3" ht="12.75" customHeight="1">
      <c r="A32" s="104"/>
      <c r="B32" s="104"/>
      <c r="C32" s="104"/>
    </row>
    <row r="33" spans="1:4" ht="12.75" customHeight="1">
      <c r="A33" s="104"/>
      <c r="B33" s="104"/>
      <c r="C33" s="104"/>
    </row>
    <row r="34" spans="1:4" ht="12.75" customHeight="1">
      <c r="A34" s="104"/>
      <c r="B34" s="104"/>
      <c r="C34" s="104"/>
    </row>
    <row r="35" spans="1:4" ht="12.75" customHeight="1">
      <c r="A35" s="105"/>
      <c r="B35" s="105"/>
      <c r="C35" s="105"/>
      <c r="D35" s="105"/>
    </row>
    <row r="36" spans="1:4" ht="12.75" customHeight="1">
      <c r="A36" s="106">
        <f>B5</f>
        <v>268748879.9539085</v>
      </c>
      <c r="B36" s="107">
        <f>MIN(A36,C36)</f>
        <v>261321524.52632552</v>
      </c>
      <c r="C36" s="106">
        <f>E5</f>
        <v>261321524.52632552</v>
      </c>
      <c r="D36" s="105"/>
    </row>
    <row r="37" spans="1:4" ht="12.75" customHeight="1">
      <c r="A37" s="106">
        <f>C5</f>
        <v>67865718.543895811</v>
      </c>
      <c r="B37" s="107">
        <f>MAX(A36,C36)-B36</f>
        <v>7427355.4275829792</v>
      </c>
      <c r="C37" s="106">
        <f>D5</f>
        <v>75293073.971478745</v>
      </c>
      <c r="D37" s="105"/>
    </row>
    <row r="38" spans="1:4" ht="12.75" customHeight="1">
      <c r="A38" s="105"/>
      <c r="B38" s="107">
        <f>A36+A37-(B37+B36)</f>
        <v>67865718.543895781</v>
      </c>
      <c r="C38" s="105"/>
      <c r="D38" s="105"/>
    </row>
    <row r="39" spans="1:4" ht="12.75" customHeight="1">
      <c r="A39" s="105"/>
      <c r="B39" s="105"/>
      <c r="C39" s="105"/>
      <c r="D39" s="105"/>
    </row>
    <row r="40" spans="1:4" ht="12.75" customHeight="1">
      <c r="A40" s="105"/>
      <c r="B40" s="105"/>
      <c r="C40" s="105"/>
      <c r="D40" s="105"/>
    </row>
    <row r="41" spans="1:4" ht="12.75" customHeight="1">
      <c r="A41" s="104"/>
      <c r="B41" s="104"/>
      <c r="C41" s="104"/>
    </row>
    <row r="42" spans="1:4" ht="12.75" customHeight="1">
      <c r="A42" s="104"/>
      <c r="B42" s="104"/>
      <c r="C42" s="104"/>
    </row>
    <row r="43" spans="1:4" ht="12.75" customHeight="1">
      <c r="A43" s="104"/>
      <c r="B43" s="104"/>
      <c r="C43" s="104"/>
    </row>
    <row r="44" spans="1:4" ht="12.75" customHeight="1">
      <c r="A44" s="104"/>
      <c r="B44" s="104"/>
      <c r="C44" s="104"/>
    </row>
  </sheetData>
  <phoneticPr fontId="5" type="noConversion"/>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rgb="FFC60C13"/>
    <pageSetUpPr autoPageBreaks="0"/>
  </sheetPr>
  <dimension ref="A1:E4"/>
  <sheetViews>
    <sheetView workbookViewId="0">
      <selection activeCell="A65536" sqref="A65536"/>
    </sheetView>
  </sheetViews>
  <sheetFormatPr baseColWidth="10" defaultColWidth="9.1640625" defaultRowHeight="12.75" customHeight="1" x14ac:dyDescent="0"/>
  <cols>
    <col min="1" max="1" width="50.6640625" style="53" customWidth="1"/>
    <col min="2" max="5" width="21.6640625" style="53" customWidth="1"/>
    <col min="6" max="6" width="19.6640625" style="53" customWidth="1"/>
    <col min="7" max="16384" width="9.1640625" style="53"/>
  </cols>
  <sheetData>
    <row r="1" spans="1:5" ht="12">
      <c r="A1" s="332" t="s">
        <v>2036</v>
      </c>
      <c r="B1" s="333" t="s">
        <v>1040</v>
      </c>
      <c r="C1" s="333" t="s">
        <v>1041</v>
      </c>
      <c r="D1" s="333" t="s">
        <v>1042</v>
      </c>
      <c r="E1" s="334" t="s">
        <v>1043</v>
      </c>
    </row>
    <row r="2" spans="1:5" ht="12">
      <c r="A2" s="335" t="s">
        <v>548</v>
      </c>
      <c r="B2" s="336" t="s">
        <v>732</v>
      </c>
      <c r="C2" s="336" t="s">
        <v>732</v>
      </c>
      <c r="D2" s="336" t="s">
        <v>732</v>
      </c>
      <c r="E2" s="337" t="s">
        <v>732</v>
      </c>
    </row>
    <row r="3" spans="1:5" ht="12">
      <c r="A3" s="6" t="s">
        <v>3121</v>
      </c>
      <c r="B3" s="47">
        <f>infrastructure_efp!F7</f>
        <v>30007215.847554568</v>
      </c>
      <c r="C3" s="45">
        <v>0</v>
      </c>
      <c r="D3" s="45">
        <v>0</v>
      </c>
      <c r="E3" s="46">
        <f>B3+C3-D3</f>
        <v>30007215.847554568</v>
      </c>
    </row>
    <row r="4" spans="1:5" ht="12">
      <c r="A4" s="61" t="s">
        <v>3985</v>
      </c>
      <c r="B4" s="58">
        <f>SUM(B3:B3)</f>
        <v>30007215.847554568</v>
      </c>
      <c r="C4" s="76">
        <v>0</v>
      </c>
      <c r="D4" s="76">
        <v>0</v>
      </c>
      <c r="E4" s="59">
        <f>B4+C4-D4</f>
        <v>30007215.847554568</v>
      </c>
    </row>
  </sheetData>
  <phoneticPr fontId="5" type="noConversion"/>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tabColor rgb="FF4D7002"/>
    <pageSetUpPr autoPageBreaks="0"/>
  </sheetPr>
  <dimension ref="A1:F8"/>
  <sheetViews>
    <sheetView workbookViewId="0">
      <selection activeCell="A65536" sqref="A65536"/>
    </sheetView>
  </sheetViews>
  <sheetFormatPr baseColWidth="10" defaultColWidth="9.1640625" defaultRowHeight="12.75" customHeight="1" x14ac:dyDescent="0"/>
  <cols>
    <col min="1" max="1" width="50.6640625" style="53" customWidth="1"/>
    <col min="2" max="6" width="21.6640625" style="53" customWidth="1"/>
    <col min="7" max="16384" width="9.1640625" style="53"/>
  </cols>
  <sheetData>
    <row r="1" spans="1:6" ht="12">
      <c r="A1" s="344" t="s">
        <v>1044</v>
      </c>
      <c r="B1" s="345" t="s">
        <v>5426</v>
      </c>
      <c r="C1" s="345" t="s">
        <v>4212</v>
      </c>
      <c r="D1" s="345" t="s">
        <v>6223</v>
      </c>
      <c r="E1" s="345" t="s">
        <v>1855</v>
      </c>
      <c r="F1" s="346" t="s">
        <v>1867</v>
      </c>
    </row>
    <row r="2" spans="1:6" ht="12">
      <c r="A2" s="347" t="s">
        <v>548</v>
      </c>
      <c r="B2" s="348" t="s">
        <v>5148</v>
      </c>
      <c r="C2" s="348" t="s">
        <v>603</v>
      </c>
      <c r="D2" s="348" t="s">
        <v>548</v>
      </c>
      <c r="E2" s="349" t="s">
        <v>4969</v>
      </c>
      <c r="F2" s="350" t="s">
        <v>732</v>
      </c>
    </row>
    <row r="3" spans="1:6" ht="12">
      <c r="A3" s="663" t="s">
        <v>6387</v>
      </c>
      <c r="B3" s="1351">
        <f>IF(bioproductive_area!$D$7&gt;0,bioproductive_area!$D$7,(IF(bioproductive_area!$D$13&gt;0,bioproductive_area!$D$13)))*1000</f>
        <v>136759706.57325399</v>
      </c>
      <c r="C3" s="391">
        <f t="shared" ref="C3:C8" si="0">VLOOKUP(A3,yf,4,FALSE)</f>
        <v>1.382342939797971</v>
      </c>
      <c r="D3" s="391">
        <f t="shared" ref="D3:D8" si="1">VLOOKUP(A3,iyf,2,FALSE)</f>
        <v>1</v>
      </c>
      <c r="E3" s="391">
        <f t="shared" ref="E3:E8" si="2">VLOOKUP(A3,eqf,2,FALSE)</f>
        <v>2.5252766180478901</v>
      </c>
      <c r="F3" s="389">
        <f t="shared" ref="F3:F8" si="3">B3*C3*E3*D3</f>
        <v>477400551.76082331</v>
      </c>
    </row>
    <row r="4" spans="1:6" ht="12">
      <c r="A4" s="6" t="s">
        <v>908</v>
      </c>
      <c r="B4" s="1351">
        <f>IF(bioproductive_area!$D$10&gt;0,bioproductive_area!$D$10,(IF(bioproductive_area!$D$16+bioproductive_area!$D$17&gt;0,bioproductive_area!$D$16+bioproductive_area!$D$17)))*1000</f>
        <v>268677293.42674625</v>
      </c>
      <c r="C4" s="391">
        <f t="shared" si="0"/>
        <v>0.72374798061389345</v>
      </c>
      <c r="D4" s="391">
        <f t="shared" si="1"/>
        <v>1</v>
      </c>
      <c r="E4" s="391">
        <f t="shared" si="2"/>
        <v>0.45647944663940498</v>
      </c>
      <c r="F4" s="389">
        <f t="shared" si="3"/>
        <v>88764550.368578911</v>
      </c>
    </row>
    <row r="5" spans="1:6" ht="12">
      <c r="A5" s="6" t="s">
        <v>6384</v>
      </c>
      <c r="B5" s="1351">
        <f>(IF(ISERROR(1/bioproductive_area!D26),0,bioproductive_area!D26))*1000</f>
        <v>206794000</v>
      </c>
      <c r="C5" s="391">
        <f t="shared" si="0"/>
        <v>1.0582324295289451</v>
      </c>
      <c r="D5" s="391">
        <f t="shared" si="1"/>
        <v>1</v>
      </c>
      <c r="E5" s="391">
        <f t="shared" si="2"/>
        <v>0.367192066876738</v>
      </c>
      <c r="F5" s="389">
        <f t="shared" si="3"/>
        <v>80354886.120262995</v>
      </c>
    </row>
    <row r="6" spans="1:6" ht="12">
      <c r="A6" s="6" t="s">
        <v>6385</v>
      </c>
      <c r="B6" s="1351">
        <f>IF(bioproductive_area!$D$8&gt;0,bioproductive_area!$D$8,(IF(bioproductive_area!$D$14&gt;0,bioproductive_area!$D$14)))*1000</f>
        <v>68409000</v>
      </c>
      <c r="C6" s="392">
        <f t="shared" si="0"/>
        <v>1</v>
      </c>
      <c r="D6" s="392">
        <f t="shared" si="1"/>
        <v>1</v>
      </c>
      <c r="E6" s="391">
        <f t="shared" si="2"/>
        <v>0.367192066876738</v>
      </c>
      <c r="F6" s="389">
        <f t="shared" si="3"/>
        <v>25119242.102970771</v>
      </c>
    </row>
    <row r="7" spans="1:6" ht="12">
      <c r="A7" s="6" t="s">
        <v>2925</v>
      </c>
      <c r="B7" s="1351">
        <f>IF(bioproductive_area!D9&gt;0,bioproductive_area!D9,(IF(bioproductive_area!D15&gt;0,bioproductive_area!D15)))*1000</f>
        <v>309545000</v>
      </c>
      <c r="C7" s="391">
        <f t="shared" si="0"/>
        <v>1.2417559263817464</v>
      </c>
      <c r="D7" s="391">
        <f t="shared" si="1"/>
        <v>1</v>
      </c>
      <c r="E7" s="391">
        <f t="shared" si="2"/>
        <v>1.2941439511867201</v>
      </c>
      <c r="F7" s="389">
        <f t="shared" si="3"/>
        <v>497442195.53388715</v>
      </c>
    </row>
    <row r="8" spans="1:6" ht="12">
      <c r="A8" s="110" t="s">
        <v>3671</v>
      </c>
      <c r="B8" s="1546">
        <f>infrastructure_efp!B7</f>
        <v>8596089.84375</v>
      </c>
      <c r="C8" s="1547">
        <f t="shared" si="0"/>
        <v>1.382342939797971</v>
      </c>
      <c r="D8" s="1547">
        <f t="shared" si="1"/>
        <v>1</v>
      </c>
      <c r="E8" s="1547">
        <f t="shared" si="2"/>
        <v>2.5252766180478901</v>
      </c>
      <c r="F8" s="390">
        <f t="shared" si="3"/>
        <v>30007215.847554568</v>
      </c>
    </row>
  </sheetData>
  <phoneticPr fontId="5" type="noConversion"/>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enableFormatConditionsCalculation="0">
    <tabColor theme="4"/>
    <pageSetUpPr autoPageBreaks="0"/>
  </sheetPr>
  <dimension ref="A1:F62"/>
  <sheetViews>
    <sheetView workbookViewId="0">
      <selection activeCell="A65536" sqref="A65536"/>
    </sheetView>
  </sheetViews>
  <sheetFormatPr baseColWidth="10" defaultColWidth="9.1640625" defaultRowHeight="12.75" customHeight="1" x14ac:dyDescent="0"/>
  <cols>
    <col min="1" max="1" width="59.6640625" style="53" bestFit="1" customWidth="1"/>
    <col min="2" max="2" width="21.6640625" style="53" customWidth="1"/>
    <col min="3" max="3" width="18.6640625" style="736" customWidth="1"/>
    <col min="4" max="5" width="21.6640625" style="53" customWidth="1"/>
    <col min="6" max="6" width="19.33203125" style="53" customWidth="1"/>
    <col min="7" max="7" width="21.6640625" style="53" customWidth="1"/>
    <col min="8" max="16384" width="9.1640625" style="53"/>
  </cols>
  <sheetData>
    <row r="1" spans="1:6" ht="12.75" customHeight="1">
      <c r="B1" s="125"/>
      <c r="C1" s="737"/>
      <c r="E1" s="125"/>
      <c r="F1" s="125"/>
    </row>
    <row r="2" spans="1:6" ht="12.75" customHeight="1">
      <c r="B2" s="54" t="s">
        <v>1005</v>
      </c>
      <c r="C2" s="1064" t="s">
        <v>1008</v>
      </c>
      <c r="D2" s="1064" t="s">
        <v>6348</v>
      </c>
      <c r="E2" s="1064" t="s">
        <v>2117</v>
      </c>
    </row>
    <row r="3" spans="1:6" ht="12.75" customHeight="1">
      <c r="B3" s="54" t="s">
        <v>1006</v>
      </c>
      <c r="C3" s="1064" t="s">
        <v>1007</v>
      </c>
      <c r="D3" s="1064" t="s">
        <v>466</v>
      </c>
      <c r="E3" s="1064"/>
    </row>
    <row r="5" spans="1:6" s="736" customFormat="1" ht="12.75" customHeight="1"/>
    <row r="6" spans="1:6" ht="12">
      <c r="A6" s="468" t="s">
        <v>2036</v>
      </c>
      <c r="B6" s="531" t="s">
        <v>2038</v>
      </c>
      <c r="C6" s="531" t="s">
        <v>2039</v>
      </c>
      <c r="D6" s="531" t="s">
        <v>6223</v>
      </c>
      <c r="E6" s="531" t="s">
        <v>1855</v>
      </c>
      <c r="F6" s="532" t="s">
        <v>3106</v>
      </c>
    </row>
    <row r="7" spans="1:6" ht="12">
      <c r="A7" s="533" t="s">
        <v>548</v>
      </c>
      <c r="B7" s="534" t="s">
        <v>3107</v>
      </c>
      <c r="C7" s="534" t="s">
        <v>934</v>
      </c>
      <c r="D7" s="534" t="s">
        <v>548</v>
      </c>
      <c r="E7" s="534" t="s">
        <v>935</v>
      </c>
      <c r="F7" s="535" t="s">
        <v>732</v>
      </c>
    </row>
    <row r="8" spans="1:6" ht="12">
      <c r="A8" s="1018" t="s">
        <v>8465</v>
      </c>
      <c r="B8" s="1128">
        <v>5103.17</v>
      </c>
      <c r="C8" s="1019">
        <f>(cnst_carbon!$C$7/cnst_carbon!$C$6)</f>
        <v>2.7037037037037033</v>
      </c>
      <c r="D8" s="1019">
        <f t="shared" ref="D8:D57" si="0">VLOOKUP("Forest Land",iyf,2,FALSE)</f>
        <v>1</v>
      </c>
      <c r="E8" s="1019">
        <f>VLOOKUP("Forest Land",eqf,2,FALSE)</f>
        <v>1.2941439511867201</v>
      </c>
      <c r="F8" s="1020">
        <f>(IF(ISBLANK(B8),B62/1000,B8)*1000000*(1-cnst_carbon!$C$8))/C8*E8*D8</f>
        <v>1737974780.097095</v>
      </c>
    </row>
    <row r="9" spans="1:6" ht="12">
      <c r="A9" s="1014" t="s">
        <v>3799</v>
      </c>
      <c r="B9" s="1127">
        <v>2060.46</v>
      </c>
      <c r="C9" s="668">
        <f>$C$8</f>
        <v>2.7037037037037033</v>
      </c>
      <c r="D9" s="668">
        <f t="shared" si="0"/>
        <v>1</v>
      </c>
      <c r="E9" s="668">
        <f>$E$8</f>
        <v>1.2941439511867201</v>
      </c>
      <c r="F9" s="669">
        <f>(B9*1000000*(1-cnst_carbon!$C$8))/C9*E9*D9</f>
        <v>701726087.00060165</v>
      </c>
    </row>
    <row r="10" spans="1:6" ht="12">
      <c r="A10" s="1579" t="s">
        <v>3800</v>
      </c>
      <c r="B10" s="1124">
        <v>1966.44</v>
      </c>
      <c r="C10" s="668">
        <f t="shared" ref="C10:C57" si="1">$C$8</f>
        <v>2.7037037037037033</v>
      </c>
      <c r="D10" s="668">
        <f t="shared" si="0"/>
        <v>1</v>
      </c>
      <c r="E10" s="668">
        <f t="shared" ref="E10:E57" si="2">$E$8</f>
        <v>1.2941439511867201</v>
      </c>
      <c r="F10" s="669">
        <f>(B10*1000000*(1-cnst_carbon!$C$8))/C10*E10*D10</f>
        <v>669705913.49575484</v>
      </c>
    </row>
    <row r="11" spans="1:6" ht="12">
      <c r="A11" s="1579" t="s">
        <v>3801</v>
      </c>
      <c r="B11" s="1124">
        <v>94.01</v>
      </c>
      <c r="C11" s="668">
        <f t="shared" si="1"/>
        <v>2.7037037037037033</v>
      </c>
      <c r="D11" s="668">
        <f t="shared" si="0"/>
        <v>1</v>
      </c>
      <c r="E11" s="668">
        <f t="shared" si="2"/>
        <v>1.2941439511867201</v>
      </c>
      <c r="F11" s="669">
        <f>(B11*1000000*(1-cnst_carbon!$C$8))/C11*E11*D11</f>
        <v>32016767.828022167</v>
      </c>
    </row>
    <row r="12" spans="1:6" ht="12">
      <c r="A12" s="1579" t="s">
        <v>3802</v>
      </c>
      <c r="B12" s="1124">
        <v>0</v>
      </c>
      <c r="C12" s="668">
        <f t="shared" si="1"/>
        <v>2.7037037037037033</v>
      </c>
      <c r="D12" s="668">
        <f t="shared" si="0"/>
        <v>1</v>
      </c>
      <c r="E12" s="668">
        <f t="shared" si="2"/>
        <v>1.2941439511867201</v>
      </c>
      <c r="F12" s="669">
        <f>(B12*1000000*(1-cnst_carbon!$C$8))/C12*E12*D12</f>
        <v>0</v>
      </c>
    </row>
    <row r="13" spans="1:6" ht="12">
      <c r="A13" s="1579" t="s">
        <v>997</v>
      </c>
      <c r="B13" s="1124">
        <v>0</v>
      </c>
      <c r="C13" s="668">
        <f t="shared" si="1"/>
        <v>2.7037037037037033</v>
      </c>
      <c r="D13" s="668">
        <f t="shared" si="0"/>
        <v>1</v>
      </c>
      <c r="E13" s="668">
        <f t="shared" si="2"/>
        <v>1.2941439511867201</v>
      </c>
      <c r="F13" s="669">
        <f>(B13*1000000*(1-cnst_carbon!$C$8))/C13*E13*D13</f>
        <v>0</v>
      </c>
    </row>
    <row r="14" spans="1:6" ht="12">
      <c r="A14" s="1014" t="s">
        <v>998</v>
      </c>
      <c r="B14" s="1124">
        <v>67.77</v>
      </c>
      <c r="C14" s="668">
        <f t="shared" si="1"/>
        <v>2.7037037037037033</v>
      </c>
      <c r="D14" s="668">
        <f t="shared" si="0"/>
        <v>1</v>
      </c>
      <c r="E14" s="668">
        <f t="shared" si="2"/>
        <v>1.2941439511867201</v>
      </c>
      <c r="F14" s="669">
        <f>(B14*1000000*(1-cnst_carbon!$C$8))/C14*E14*D14</f>
        <v>23080271.84028361</v>
      </c>
    </row>
    <row r="15" spans="1:6" ht="12">
      <c r="A15" s="1579" t="s">
        <v>999</v>
      </c>
      <c r="B15" s="1124">
        <v>11.58</v>
      </c>
      <c r="C15" s="668">
        <f t="shared" si="1"/>
        <v>2.7037037037037033</v>
      </c>
      <c r="D15" s="668">
        <f t="shared" si="0"/>
        <v>1</v>
      </c>
      <c r="E15" s="668">
        <f t="shared" si="2"/>
        <v>1.2941439511867201</v>
      </c>
      <c r="F15" s="669">
        <f>(B15*1000000*(1-cnst_carbon!$C$8))/C15*E15*D15</f>
        <v>3943773.7628815733</v>
      </c>
    </row>
    <row r="16" spans="1:6" ht="12">
      <c r="A16" s="1579" t="s">
        <v>1000</v>
      </c>
      <c r="B16" s="1124">
        <v>56.19</v>
      </c>
      <c r="C16" s="668">
        <f t="shared" si="1"/>
        <v>2.7037037037037033</v>
      </c>
      <c r="D16" s="668">
        <f t="shared" si="0"/>
        <v>1</v>
      </c>
      <c r="E16" s="668">
        <f t="shared" si="2"/>
        <v>1.2941439511867201</v>
      </c>
      <c r="F16" s="669">
        <f>(B16*1000000*(1-cnst_carbon!$C$8))/C16*E16*D16</f>
        <v>19136498.07740204</v>
      </c>
    </row>
    <row r="17" spans="1:6" ht="12">
      <c r="A17" s="1579" t="s">
        <v>1001</v>
      </c>
      <c r="B17" s="1124">
        <v>0</v>
      </c>
      <c r="C17" s="668">
        <f t="shared" si="1"/>
        <v>2.7037037037037033</v>
      </c>
      <c r="D17" s="668">
        <f t="shared" si="0"/>
        <v>1</v>
      </c>
      <c r="E17" s="668">
        <f t="shared" si="2"/>
        <v>1.2941439511867201</v>
      </c>
      <c r="F17" s="669">
        <f>(B17*1000000*(1-cnst_carbon!$C$8))/C17*E17*D17</f>
        <v>0</v>
      </c>
    </row>
    <row r="18" spans="1:6" ht="12">
      <c r="A18" s="1014" t="s">
        <v>7791</v>
      </c>
      <c r="B18" s="1124">
        <v>251.42</v>
      </c>
      <c r="C18" s="668">
        <f t="shared" si="1"/>
        <v>2.7037037037037033</v>
      </c>
      <c r="D18" s="668">
        <f t="shared" si="0"/>
        <v>1</v>
      </c>
      <c r="E18" s="668">
        <f t="shared" si="2"/>
        <v>1.2941439511867201</v>
      </c>
      <c r="F18" s="669">
        <f>(B18*1000000*(1-cnst_carbon!$C$8))/C18*E18*D18</f>
        <v>85625526.723979726</v>
      </c>
    </row>
    <row r="19" spans="1:6" ht="12">
      <c r="A19" s="1014" t="s">
        <v>5092</v>
      </c>
      <c r="B19" s="1124">
        <v>440.66</v>
      </c>
      <c r="C19" s="668">
        <f t="shared" si="1"/>
        <v>2.7037037037037033</v>
      </c>
      <c r="D19" s="668">
        <f t="shared" si="0"/>
        <v>1</v>
      </c>
      <c r="E19" s="668">
        <f t="shared" si="2"/>
        <v>1.2941439511867201</v>
      </c>
      <c r="F19" s="669">
        <f>(B19*1000000*(1-cnst_carbon!$C$8))/C19*E19*D19</f>
        <v>150074554.95262471</v>
      </c>
    </row>
    <row r="20" spans="1:6" ht="12">
      <c r="A20" s="1579" t="s">
        <v>5093</v>
      </c>
      <c r="B20" s="1124">
        <v>48.74</v>
      </c>
      <c r="C20" s="668">
        <f t="shared" si="1"/>
        <v>2.7037037037037033</v>
      </c>
      <c r="D20" s="668">
        <f t="shared" si="0"/>
        <v>1</v>
      </c>
      <c r="E20" s="668">
        <f t="shared" si="2"/>
        <v>1.2941439511867201</v>
      </c>
      <c r="F20" s="669">
        <f>(B20*1000000*(1-cnst_carbon!$C$8))/C20*E20*D20</f>
        <v>16599268.843078401</v>
      </c>
    </row>
    <row r="21" spans="1:6" ht="12">
      <c r="A21" s="1579" t="s">
        <v>5094</v>
      </c>
      <c r="B21" s="1124">
        <v>116.13</v>
      </c>
      <c r="C21" s="668">
        <f t="shared" si="1"/>
        <v>2.7037037037037033</v>
      </c>
      <c r="D21" s="668">
        <f t="shared" si="0"/>
        <v>1</v>
      </c>
      <c r="E21" s="668">
        <f t="shared" si="2"/>
        <v>1.2941439511867201</v>
      </c>
      <c r="F21" s="669">
        <f>(B21*1000000*(1-cnst_carbon!$C$8))/C21*E21*D21</f>
        <v>39550124.96402739</v>
      </c>
    </row>
    <row r="22" spans="1:6" ht="12">
      <c r="A22" s="1579" t="s">
        <v>5095</v>
      </c>
      <c r="B22" s="1124">
        <v>8.7899999999999991</v>
      </c>
      <c r="C22" s="668">
        <f t="shared" si="1"/>
        <v>2.7037037037037033</v>
      </c>
      <c r="D22" s="668">
        <f t="shared" si="0"/>
        <v>1</v>
      </c>
      <c r="E22" s="668">
        <f t="shared" si="2"/>
        <v>1.2941439511867201</v>
      </c>
      <c r="F22" s="669">
        <f>(B22*1000000*(1-cnst_carbon!$C$8))/C22*E22*D22</f>
        <v>2993589.9288194324</v>
      </c>
    </row>
    <row r="23" spans="1:6" ht="12">
      <c r="A23" s="1579" t="s">
        <v>3524</v>
      </c>
      <c r="B23" s="1124">
        <v>46.13</v>
      </c>
      <c r="C23" s="668">
        <f t="shared" si="1"/>
        <v>2.7037037037037033</v>
      </c>
      <c r="D23" s="668">
        <f t="shared" si="0"/>
        <v>1</v>
      </c>
      <c r="E23" s="668">
        <f t="shared" si="2"/>
        <v>1.2941439511867201</v>
      </c>
      <c r="F23" s="669">
        <f>(B23*1000000*(1-cnst_carbon!$C$8))/C23*E23*D23</f>
        <v>15710387.191858979</v>
      </c>
    </row>
    <row r="24" spans="1:6" ht="12">
      <c r="A24" s="1579" t="s">
        <v>3525</v>
      </c>
      <c r="B24" s="1124">
        <v>9.65</v>
      </c>
      <c r="C24" s="668">
        <f t="shared" si="1"/>
        <v>2.7037037037037033</v>
      </c>
      <c r="D24" s="668">
        <f t="shared" si="0"/>
        <v>1</v>
      </c>
      <c r="E24" s="668">
        <f t="shared" si="2"/>
        <v>1.2941439511867201</v>
      </c>
      <c r="F24" s="669">
        <f>(B24*1000000*(1-cnst_carbon!$C$8))/C24*E24*D24</f>
        <v>3286478.1357346447</v>
      </c>
    </row>
    <row r="25" spans="1:6" ht="12">
      <c r="A25" s="1579" t="s">
        <v>2699</v>
      </c>
      <c r="B25" s="1124">
        <v>27.45</v>
      </c>
      <c r="C25" s="668">
        <f t="shared" si="1"/>
        <v>2.7037037037037033</v>
      </c>
      <c r="D25" s="668">
        <f t="shared" si="0"/>
        <v>1</v>
      </c>
      <c r="E25" s="668">
        <f t="shared" si="2"/>
        <v>1.2941439511867201</v>
      </c>
      <c r="F25" s="669">
        <f>(B25*1000000*(1-cnst_carbon!$C$8))/C25*E25*D25</f>
        <v>9348582.8835146111</v>
      </c>
    </row>
    <row r="26" spans="1:6" ht="12">
      <c r="A26" s="1579" t="s">
        <v>2700</v>
      </c>
      <c r="B26" s="1124">
        <v>13.97</v>
      </c>
      <c r="C26" s="668">
        <f t="shared" si="1"/>
        <v>2.7037037037037033</v>
      </c>
      <c r="D26" s="668">
        <f t="shared" si="0"/>
        <v>1</v>
      </c>
      <c r="E26" s="668">
        <f t="shared" si="2"/>
        <v>1.2941439511867201</v>
      </c>
      <c r="F26" s="669">
        <f>(B26*1000000*(1-cnst_carbon!$C$8))/C26*E26*D26</f>
        <v>4757730.5239598947</v>
      </c>
    </row>
    <row r="27" spans="1:6" ht="12">
      <c r="A27" s="1579" t="s">
        <v>2701</v>
      </c>
      <c r="B27" s="1124">
        <v>54.2</v>
      </c>
      <c r="C27" s="668">
        <f t="shared" si="1"/>
        <v>2.7037037037037033</v>
      </c>
      <c r="D27" s="668">
        <f t="shared" si="0"/>
        <v>1</v>
      </c>
      <c r="E27" s="668">
        <f t="shared" si="2"/>
        <v>1.2941439511867201</v>
      </c>
      <c r="F27" s="669">
        <f>(B27*1000000*(1-cnst_carbon!$C$8))/C27*E27*D27</f>
        <v>18458768.38930754</v>
      </c>
    </row>
    <row r="28" spans="1:6" ht="12">
      <c r="A28" s="1579" t="s">
        <v>2702</v>
      </c>
      <c r="B28" s="1124">
        <v>33.92</v>
      </c>
      <c r="C28" s="668">
        <f t="shared" si="1"/>
        <v>2.7037037037037033</v>
      </c>
      <c r="D28" s="668">
        <f t="shared" si="0"/>
        <v>1</v>
      </c>
      <c r="E28" s="668">
        <f t="shared" si="2"/>
        <v>1.2941439511867201</v>
      </c>
      <c r="F28" s="669">
        <f>(B28*1000000*(1-cnst_carbon!$C$8))/C28*E28*D28</f>
        <v>11552055.78902789</v>
      </c>
    </row>
    <row r="29" spans="1:6" ht="12">
      <c r="A29" s="1579" t="s">
        <v>2703</v>
      </c>
      <c r="B29" s="1124">
        <v>4.1900000000000004</v>
      </c>
      <c r="C29" s="668">
        <f t="shared" si="1"/>
        <v>2.7037037037037033</v>
      </c>
      <c r="D29" s="668">
        <f t="shared" si="0"/>
        <v>1</v>
      </c>
      <c r="E29" s="668">
        <f t="shared" si="2"/>
        <v>1.2941439511867201</v>
      </c>
      <c r="F29" s="669">
        <f>(B29*1000000*(1-cnst_carbon!$C$8))/C29*E29*D29</f>
        <v>1426978.5895055092</v>
      </c>
    </row>
    <row r="30" spans="1:6" ht="12">
      <c r="A30" s="1579" t="s">
        <v>2704</v>
      </c>
      <c r="B30" s="1124">
        <v>28.71</v>
      </c>
      <c r="C30" s="668">
        <f t="shared" si="1"/>
        <v>2.7037037037037033</v>
      </c>
      <c r="D30" s="668">
        <f t="shared" si="0"/>
        <v>1</v>
      </c>
      <c r="E30" s="668">
        <f t="shared" si="2"/>
        <v>1.2941439511867201</v>
      </c>
      <c r="F30" s="669">
        <f>(B30*1000000*(1-cnst_carbon!$C$8))/C30*E30*D30</f>
        <v>9777698.163413642</v>
      </c>
    </row>
    <row r="31" spans="1:6" ht="12">
      <c r="A31" s="1579" t="s">
        <v>2705</v>
      </c>
      <c r="B31" s="1124">
        <v>2.81</v>
      </c>
      <c r="C31" s="668">
        <f t="shared" si="1"/>
        <v>2.7037037037037033</v>
      </c>
      <c r="D31" s="668">
        <f t="shared" si="0"/>
        <v>1</v>
      </c>
      <c r="E31" s="668">
        <f t="shared" si="2"/>
        <v>1.2941439511867201</v>
      </c>
      <c r="F31" s="669">
        <f>(B31*1000000*(1-cnst_carbon!$C$8))/C31*E31*D31</f>
        <v>956995.18771133176</v>
      </c>
    </row>
    <row r="32" spans="1:6" ht="12">
      <c r="A32" s="1579" t="s">
        <v>2706</v>
      </c>
      <c r="B32" s="1124">
        <v>45.96</v>
      </c>
      <c r="C32" s="668">
        <f t="shared" si="1"/>
        <v>2.7037037037037033</v>
      </c>
      <c r="D32" s="668">
        <f t="shared" si="0"/>
        <v>1</v>
      </c>
      <c r="E32" s="668">
        <f t="shared" si="2"/>
        <v>1.2941439511867201</v>
      </c>
      <c r="F32" s="669">
        <f>(B32*1000000*(1-cnst_carbon!$C$8))/C32*E32*D32</f>
        <v>15652490.685840856</v>
      </c>
    </row>
    <row r="33" spans="1:6" ht="12">
      <c r="A33" s="1014" t="s">
        <v>4906</v>
      </c>
      <c r="B33" s="1124">
        <v>1688.28</v>
      </c>
      <c r="C33" s="668">
        <f t="shared" si="1"/>
        <v>2.7037037037037033</v>
      </c>
      <c r="D33" s="668">
        <f t="shared" si="0"/>
        <v>1</v>
      </c>
      <c r="E33" s="668">
        <f t="shared" si="2"/>
        <v>1.2941439511867201</v>
      </c>
      <c r="F33" s="669">
        <f>(B33*1000000*(1-cnst_carbon!$C$8))/C33*E33*D33</f>
        <v>574973606.94280672</v>
      </c>
    </row>
    <row r="34" spans="1:6" ht="12">
      <c r="A34" s="1579" t="s">
        <v>7792</v>
      </c>
      <c r="B34" s="1124">
        <v>146.54</v>
      </c>
      <c r="C34" s="668">
        <f t="shared" si="1"/>
        <v>2.7037037037037033</v>
      </c>
      <c r="D34" s="668">
        <f t="shared" si="0"/>
        <v>1</v>
      </c>
      <c r="E34" s="668">
        <f t="shared" si="2"/>
        <v>1.2941439511867201</v>
      </c>
      <c r="F34" s="669">
        <f>(B34*1000000*(1-cnst_carbon!$C$8))/C34*E34*D34</f>
        <v>49906788.187622264</v>
      </c>
    </row>
    <row r="35" spans="1:6" ht="12">
      <c r="A35" s="1579" t="s">
        <v>4907</v>
      </c>
      <c r="B35" s="1124">
        <v>1434.37</v>
      </c>
      <c r="C35" s="668">
        <f t="shared" si="1"/>
        <v>2.7037037037037033</v>
      </c>
      <c r="D35" s="668">
        <f t="shared" si="0"/>
        <v>1</v>
      </c>
      <c r="E35" s="668">
        <f t="shared" si="2"/>
        <v>1.2941439511867201</v>
      </c>
      <c r="F35" s="669">
        <f>(B35*1000000*(1-cnst_carbon!$C$8))/C35*E35*D35</f>
        <v>488500066.68950284</v>
      </c>
    </row>
    <row r="36" spans="1:6" ht="12">
      <c r="A36" s="1579" t="s">
        <v>4908</v>
      </c>
      <c r="B36" s="1124">
        <v>37</v>
      </c>
      <c r="C36" s="668">
        <f t="shared" si="1"/>
        <v>2.7037037037037033</v>
      </c>
      <c r="D36" s="668">
        <f t="shared" si="0"/>
        <v>1</v>
      </c>
      <c r="E36" s="668">
        <f t="shared" si="2"/>
        <v>1.2941439511867201</v>
      </c>
      <c r="F36" s="669">
        <f>(B36*1000000*(1-cnst_carbon!$C$8))/C36*E36*D36</f>
        <v>12601004.251003301</v>
      </c>
    </row>
    <row r="37" spans="1:6" ht="12">
      <c r="A37" s="1579" t="s">
        <v>4909</v>
      </c>
      <c r="B37" s="1124">
        <v>45.56</v>
      </c>
      <c r="C37" s="668">
        <f t="shared" si="1"/>
        <v>2.7037037037037033</v>
      </c>
      <c r="D37" s="668">
        <f t="shared" si="0"/>
        <v>1</v>
      </c>
      <c r="E37" s="668">
        <f t="shared" si="2"/>
        <v>1.2941439511867201</v>
      </c>
      <c r="F37" s="669">
        <f>(B37*1000000*(1-cnst_carbon!$C$8))/C37*E37*D37</f>
        <v>15516263.612857036</v>
      </c>
    </row>
    <row r="38" spans="1:6" ht="12">
      <c r="A38" s="1579" t="s">
        <v>7793</v>
      </c>
      <c r="B38" s="1124">
        <v>24.8</v>
      </c>
      <c r="C38" s="668">
        <f t="shared" si="1"/>
        <v>2.7037037037037033</v>
      </c>
      <c r="D38" s="668">
        <f t="shared" si="0"/>
        <v>1</v>
      </c>
      <c r="E38" s="668">
        <f t="shared" si="2"/>
        <v>1.2941439511867201</v>
      </c>
      <c r="F38" s="669">
        <f>(B38*1000000*(1-cnst_carbon!$C$8))/C38*E38*D38</f>
        <v>8446078.5249968059</v>
      </c>
    </row>
    <row r="39" spans="1:6" ht="12">
      <c r="A39" s="1579" t="s">
        <v>2113</v>
      </c>
      <c r="B39" s="1124">
        <v>0</v>
      </c>
      <c r="C39" s="668">
        <f t="shared" si="1"/>
        <v>2.7037037037037033</v>
      </c>
      <c r="D39" s="668">
        <f t="shared" si="0"/>
        <v>1</v>
      </c>
      <c r="E39" s="668">
        <f t="shared" si="2"/>
        <v>1.2941439511867201</v>
      </c>
      <c r="F39" s="669">
        <f>(B39*1000000*(1-cnst_carbon!$C$8))/C39*E39*D39</f>
        <v>0</v>
      </c>
    </row>
    <row r="40" spans="1:6" ht="12">
      <c r="A40" s="1014" t="s">
        <v>7794</v>
      </c>
      <c r="B40" s="1124">
        <v>594.58000000000004</v>
      </c>
      <c r="C40" s="668">
        <f t="shared" si="1"/>
        <v>2.7037037037037033</v>
      </c>
      <c r="D40" s="668">
        <f t="shared" si="0"/>
        <v>1</v>
      </c>
      <c r="E40" s="668">
        <f t="shared" si="2"/>
        <v>1.2941439511867201</v>
      </c>
      <c r="F40" s="669">
        <f>(B40*1000000*(1-cnst_carbon!$C$8))/C40*E40*D40</f>
        <v>202494732.63679844</v>
      </c>
    </row>
    <row r="41" spans="1:6" ht="12">
      <c r="A41" s="1579" t="s">
        <v>7795</v>
      </c>
      <c r="B41" s="1124">
        <v>49.59</v>
      </c>
      <c r="C41" s="668">
        <f t="shared" si="1"/>
        <v>2.7037037037037033</v>
      </c>
      <c r="D41" s="668">
        <f t="shared" si="0"/>
        <v>1</v>
      </c>
      <c r="E41" s="668">
        <f t="shared" si="2"/>
        <v>1.2941439511867201</v>
      </c>
      <c r="F41" s="669">
        <f>(B41*1000000*(1-cnst_carbon!$C$8))/C41*E41*D41</f>
        <v>16888751.373169016</v>
      </c>
    </row>
    <row r="42" spans="1:6" ht="12">
      <c r="A42" s="1579" t="s">
        <v>5349</v>
      </c>
      <c r="B42" s="1124">
        <v>216.75</v>
      </c>
      <c r="C42" s="668">
        <f t="shared" si="1"/>
        <v>2.7037037037037033</v>
      </c>
      <c r="D42" s="668">
        <f t="shared" si="0"/>
        <v>1</v>
      </c>
      <c r="E42" s="668">
        <f t="shared" si="2"/>
        <v>1.2941439511867201</v>
      </c>
      <c r="F42" s="669">
        <f>(B42*1000000*(1-cnst_carbon!$C$8))/C42*E42*D42</f>
        <v>73818045.173107162</v>
      </c>
    </row>
    <row r="43" spans="1:6" ht="12">
      <c r="A43" s="1579" t="s">
        <v>5350</v>
      </c>
      <c r="B43" s="1124">
        <v>328.24</v>
      </c>
      <c r="C43" s="668">
        <f t="shared" si="1"/>
        <v>2.7037037037037033</v>
      </c>
      <c r="D43" s="668">
        <f t="shared" si="0"/>
        <v>1</v>
      </c>
      <c r="E43" s="668">
        <f t="shared" si="2"/>
        <v>1.2941439511867201</v>
      </c>
      <c r="F43" s="669">
        <f>(B43*1000000*(1-cnst_carbon!$C$8))/C43*E43*D43</f>
        <v>111787936.09052226</v>
      </c>
    </row>
    <row r="44" spans="1:6" ht="12">
      <c r="A44" s="1579" t="s">
        <v>5351</v>
      </c>
      <c r="B44" s="1124">
        <v>0</v>
      </c>
      <c r="C44" s="668">
        <f t="shared" si="1"/>
        <v>2.7037037037037033</v>
      </c>
      <c r="D44" s="668">
        <f t="shared" si="0"/>
        <v>1</v>
      </c>
      <c r="E44" s="668">
        <f t="shared" si="2"/>
        <v>1.2941439511867201</v>
      </c>
      <c r="F44" s="669">
        <f>(B44*1000000*(1-cnst_carbon!$C$8))/C44*E44*D44</f>
        <v>0</v>
      </c>
    </row>
    <row r="45" spans="1:6" ht="12">
      <c r="A45" s="1579" t="s">
        <v>7797</v>
      </c>
      <c r="B45" s="1124">
        <v>0</v>
      </c>
      <c r="C45" s="668">
        <f t="shared" si="1"/>
        <v>2.7037037037037033</v>
      </c>
      <c r="D45" s="668">
        <f t="shared" si="0"/>
        <v>1</v>
      </c>
      <c r="E45" s="668">
        <f t="shared" si="2"/>
        <v>1.2941439511867201</v>
      </c>
      <c r="F45" s="669">
        <f>(B45*1000000*(1-cnst_carbon!$C$8))/C45*E45*D45</f>
        <v>0</v>
      </c>
    </row>
    <row r="46" spans="1:6" ht="12">
      <c r="A46" s="1582" t="s">
        <v>8466</v>
      </c>
      <c r="B46" s="1124">
        <v>5061.4799999999996</v>
      </c>
      <c r="C46" s="668">
        <f t="shared" si="1"/>
        <v>2.7037037037037033</v>
      </c>
      <c r="D46" s="668">
        <f t="shared" si="0"/>
        <v>1</v>
      </c>
      <c r="E46" s="668">
        <f t="shared" si="2"/>
        <v>1.2941439511867201</v>
      </c>
      <c r="F46" s="669">
        <f>(B46*1000000*(1-cnst_carbon!$C$8))/C46*E46*D46</f>
        <v>1723776513.4153564</v>
      </c>
    </row>
    <row r="47" spans="1:6" ht="12">
      <c r="A47" s="1582" t="s">
        <v>8467</v>
      </c>
      <c r="B47" s="1124">
        <v>41.68</v>
      </c>
      <c r="C47" s="668">
        <f t="shared" si="1"/>
        <v>2.7037037037037033</v>
      </c>
      <c r="D47" s="668">
        <f t="shared" si="0"/>
        <v>1</v>
      </c>
      <c r="E47" s="668">
        <f t="shared" si="2"/>
        <v>1.2941439511867201</v>
      </c>
      <c r="F47" s="669">
        <f>(B47*1000000*(1-cnst_carbon!$C$8))/C47*E47*D47</f>
        <v>14194861.004913988</v>
      </c>
    </row>
    <row r="48" spans="1:6" s="889" customFormat="1" ht="12">
      <c r="A48" s="1013" t="s">
        <v>8468</v>
      </c>
      <c r="B48" s="1124">
        <v>0</v>
      </c>
      <c r="C48" s="668">
        <f t="shared" si="1"/>
        <v>2.7037037037037033</v>
      </c>
      <c r="D48" s="668">
        <f t="shared" si="0"/>
        <v>1</v>
      </c>
      <c r="E48" s="668">
        <f t="shared" si="2"/>
        <v>1.2941439511867201</v>
      </c>
      <c r="F48" s="669">
        <f>(B48*1000000*(1-cnst_carbon!$C$8))/C48*E48*D48</f>
        <v>0</v>
      </c>
    </row>
    <row r="49" spans="1:6" ht="12">
      <c r="A49" s="1013" t="s">
        <v>8469</v>
      </c>
      <c r="B49" s="1124">
        <v>26.41</v>
      </c>
      <c r="C49" s="668">
        <f t="shared" si="1"/>
        <v>2.7037037037037033</v>
      </c>
      <c r="D49" s="668">
        <f t="shared" si="0"/>
        <v>1</v>
      </c>
      <c r="E49" s="668">
        <f t="shared" si="2"/>
        <v>1.2941439511867201</v>
      </c>
      <c r="F49" s="669">
        <f>(B49*1000000*(1-cnst_carbon!$C$8))/C49*E49*D49</f>
        <v>8994392.4937566798</v>
      </c>
    </row>
    <row r="50" spans="1:6" ht="12">
      <c r="A50" s="1013" t="s">
        <v>8470</v>
      </c>
      <c r="B50" s="1124">
        <v>0</v>
      </c>
      <c r="C50" s="668">
        <f t="shared" si="1"/>
        <v>2.7037037037037033</v>
      </c>
      <c r="D50" s="668">
        <f t="shared" si="0"/>
        <v>1</v>
      </c>
      <c r="E50" s="668">
        <f t="shared" si="2"/>
        <v>1.2941439511867201</v>
      </c>
      <c r="F50" s="669">
        <f>(B50*1000000*(1-cnst_carbon!$C$8))/C50*E50*D50</f>
        <v>0</v>
      </c>
    </row>
    <row r="51" spans="1:6" ht="12">
      <c r="A51" s="1013" t="s">
        <v>8471</v>
      </c>
      <c r="B51" s="1124">
        <v>7.66</v>
      </c>
      <c r="C51" s="668">
        <f t="shared" si="1"/>
        <v>2.7037037037037033</v>
      </c>
      <c r="D51" s="668">
        <f t="shared" si="0"/>
        <v>1</v>
      </c>
      <c r="E51" s="668">
        <f t="shared" si="2"/>
        <v>1.2941439511867201</v>
      </c>
      <c r="F51" s="669">
        <f>(B51*1000000*(1-cnst_carbon!$C$8))/C51*E51*D51</f>
        <v>2608748.4476401429</v>
      </c>
    </row>
    <row r="52" spans="1:6" ht="12">
      <c r="A52" s="1013" t="s">
        <v>8472</v>
      </c>
      <c r="B52" s="1124">
        <v>7.61</v>
      </c>
      <c r="C52" s="668">
        <f t="shared" si="1"/>
        <v>2.7037037037037033</v>
      </c>
      <c r="D52" s="668">
        <f t="shared" si="0"/>
        <v>1</v>
      </c>
      <c r="E52" s="668">
        <f t="shared" si="2"/>
        <v>1.2941439511867201</v>
      </c>
      <c r="F52" s="669">
        <f>(B52*1000000*(1-cnst_carbon!$C$8))/C52*E52*D52</f>
        <v>2591720.0635171654</v>
      </c>
    </row>
    <row r="53" spans="1:6" s="889" customFormat="1" ht="12">
      <c r="A53" s="1583" t="s">
        <v>8473</v>
      </c>
      <c r="B53" s="1580">
        <v>5094.7700000000004</v>
      </c>
      <c r="C53" s="668">
        <f t="shared" si="1"/>
        <v>2.7037037037037033</v>
      </c>
      <c r="D53" s="668">
        <f t="shared" si="0"/>
        <v>1</v>
      </c>
      <c r="E53" s="668">
        <f t="shared" si="2"/>
        <v>1.2941439511867201</v>
      </c>
      <c r="F53" s="1581">
        <f>(B53*1000000*(1-cnst_carbon!$C$8))/C53*E53*D53</f>
        <v>1735114011.5644348</v>
      </c>
    </row>
    <row r="54" spans="1:6" s="889" customFormat="1" ht="12">
      <c r="A54" s="1583" t="s">
        <v>8474</v>
      </c>
      <c r="B54" s="1580">
        <v>41.08</v>
      </c>
      <c r="C54" s="668">
        <f t="shared" si="1"/>
        <v>2.7037037037037033</v>
      </c>
      <c r="D54" s="668">
        <f t="shared" si="0"/>
        <v>1</v>
      </c>
      <c r="E54" s="668">
        <f t="shared" si="2"/>
        <v>1.2941439511867201</v>
      </c>
      <c r="F54" s="1581">
        <f>(B54*1000000*(1-cnst_carbon!$C$8))/C54*E54*D54</f>
        <v>13990520.395438259</v>
      </c>
    </row>
    <row r="55" spans="1:6" s="889" customFormat="1" ht="12">
      <c r="A55" s="1015" t="s">
        <v>8475</v>
      </c>
      <c r="B55" s="1580">
        <v>-7.8</v>
      </c>
      <c r="C55" s="668">
        <f t="shared" si="1"/>
        <v>2.7037037037037033</v>
      </c>
      <c r="D55" s="668">
        <f t="shared" si="0"/>
        <v>1</v>
      </c>
      <c r="E55" s="668">
        <f t="shared" si="2"/>
        <v>1.2941439511867201</v>
      </c>
      <c r="F55" s="1581">
        <f>(B55*1000000*(1-cnst_carbon!$C$8))/C55*E55*D55</f>
        <v>-2656427.9231844796</v>
      </c>
    </row>
    <row r="56" spans="1:6" s="889" customFormat="1" ht="12">
      <c r="A56" s="1015" t="s">
        <v>4209</v>
      </c>
      <c r="B56" s="1580">
        <v>51.35</v>
      </c>
      <c r="C56" s="668">
        <f t="shared" si="1"/>
        <v>2.7037037037037033</v>
      </c>
      <c r="D56" s="668">
        <f t="shared" si="0"/>
        <v>1</v>
      </c>
      <c r="E56" s="668">
        <f t="shared" si="2"/>
        <v>1.2941439511867201</v>
      </c>
      <c r="F56" s="1581">
        <f>(B56*1000000*(1-cnst_carbon!$C$8))/C56*E56*D56</f>
        <v>17488150.494297821</v>
      </c>
    </row>
    <row r="57" spans="1:6" ht="12">
      <c r="A57" s="1016" t="s">
        <v>7796</v>
      </c>
      <c r="B57" s="1125">
        <v>65.150000000000006</v>
      </c>
      <c r="C57" s="670">
        <f t="shared" si="1"/>
        <v>2.7037037037037033</v>
      </c>
      <c r="D57" s="670">
        <f t="shared" si="0"/>
        <v>1</v>
      </c>
      <c r="E57" s="670">
        <f t="shared" si="2"/>
        <v>1.2941439511867201</v>
      </c>
      <c r="F57" s="671">
        <f>(B57*1000000*(1-cnst_carbon!$C$8))/C57*E57*D57</f>
        <v>22187984.512239594</v>
      </c>
    </row>
    <row r="58" spans="1:6" ht="12.75" customHeight="1">
      <c r="C58" s="53"/>
    </row>
    <row r="59" spans="1:6" ht="12.75" customHeight="1">
      <c r="C59" s="53"/>
    </row>
    <row r="60" spans="1:6" ht="12.75" customHeight="1">
      <c r="A60" s="287" t="s">
        <v>2036</v>
      </c>
      <c r="B60" s="662" t="s">
        <v>2512</v>
      </c>
      <c r="C60" s="53"/>
    </row>
    <row r="61" spans="1:6" ht="12.75" customHeight="1">
      <c r="A61" s="292" t="s">
        <v>548</v>
      </c>
      <c r="B61" s="294" t="s">
        <v>6374</v>
      </c>
      <c r="C61" s="53"/>
    </row>
    <row r="62" spans="1:6" ht="12.75" customHeight="1">
      <c r="A62" s="134" t="s">
        <v>2513</v>
      </c>
      <c r="B62" s="1126">
        <v>5182007.5371742602</v>
      </c>
      <c r="C62" s="53"/>
    </row>
  </sheetData>
  <phoneticPr fontId="5" type="noConversion"/>
  <hyperlinks>
    <hyperlink ref="C3" location="ef_carbon!A1" tooltip="Go to ef_carbon" display="ef_carbon"/>
    <hyperlink ref="C2" location="cnst_carbon!A1" display="cnst_carbon"/>
    <hyperlink ref="E2" location="eqf" display="eqf"/>
    <hyperlink ref="D2" location="iyf" display="iyf"/>
    <hyperlink ref="D3" location="carbon_intensity_n!A1" display="carbon_intensity_n"/>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enableFormatConditionsCalculation="0">
    <tabColor theme="4"/>
  </sheetPr>
  <dimension ref="A1:C11"/>
  <sheetViews>
    <sheetView workbookViewId="0">
      <selection activeCell="A65536" sqref="A65536"/>
    </sheetView>
  </sheetViews>
  <sheetFormatPr baseColWidth="10" defaultColWidth="9.1640625" defaultRowHeight="12" x14ac:dyDescent="0"/>
  <cols>
    <col min="1" max="1" width="50.6640625" style="124" customWidth="1"/>
    <col min="2" max="3" width="21.6640625" style="124" customWidth="1"/>
    <col min="4" max="16384" width="9.1640625" style="124"/>
  </cols>
  <sheetData>
    <row r="1" spans="1:3" s="53" customFormat="1" ht="12.75" customHeight="1"/>
    <row r="2" spans="1:3" s="53" customFormat="1" ht="12.75" customHeight="1">
      <c r="B2" s="54" t="s">
        <v>1005</v>
      </c>
      <c r="C2" s="1064" t="s">
        <v>1008</v>
      </c>
    </row>
    <row r="3" spans="1:3" s="53" customFormat="1" ht="12.75" customHeight="1">
      <c r="B3" s="54" t="s">
        <v>1006</v>
      </c>
      <c r="C3" s="1064" t="s">
        <v>1007</v>
      </c>
    </row>
    <row r="4" spans="1:3" s="53" customFormat="1" ht="12.75" customHeight="1"/>
    <row r="5" spans="1:3">
      <c r="A5" s="290" t="s">
        <v>2036</v>
      </c>
      <c r="B5" s="289" t="s">
        <v>2655</v>
      </c>
      <c r="C5" s="396" t="s">
        <v>2656</v>
      </c>
    </row>
    <row r="6" spans="1:3">
      <c r="A6" s="1544" t="s">
        <v>8460</v>
      </c>
      <c r="B6" s="129" t="s">
        <v>4233</v>
      </c>
      <c r="C6" s="1573">
        <v>83.906367380149504</v>
      </c>
    </row>
    <row r="7" spans="1:3">
      <c r="A7" s="1544" t="s">
        <v>8461</v>
      </c>
      <c r="B7" s="129" t="s">
        <v>8462</v>
      </c>
      <c r="C7" s="1574">
        <v>140.85457358024601</v>
      </c>
    </row>
    <row r="8" spans="1:3">
      <c r="A8" s="27" t="s">
        <v>2792</v>
      </c>
      <c r="B8" s="130" t="s">
        <v>1009</v>
      </c>
      <c r="C8" s="114">
        <f>cnst_carbon!C13</f>
        <v>0.34056768245954866</v>
      </c>
    </row>
    <row r="9" spans="1:3">
      <c r="A9" s="119" t="s">
        <v>1758</v>
      </c>
      <c r="B9" s="131" t="s">
        <v>732</v>
      </c>
      <c r="C9" s="121">
        <f>(C6+C7)*C8*10^6</f>
        <v>76546312.770309344</v>
      </c>
    </row>
    <row r="11" spans="1:3">
      <c r="A11" s="1700" t="s">
        <v>2116</v>
      </c>
      <c r="B11" s="1700"/>
      <c r="C11" s="1700"/>
    </row>
  </sheetData>
  <mergeCells count="1">
    <mergeCell ref="A11:C11"/>
  </mergeCells>
  <phoneticPr fontId="5" type="noConversion"/>
  <hyperlinks>
    <hyperlink ref="C2" location="cnst_carbon!A1" display="cnst_carbon"/>
    <hyperlink ref="C3" location="ef_carbon!A1" display="ef_carbon"/>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enableFormatConditionsCalculation="0">
    <tabColor theme="4"/>
    <pageSetUpPr autoPageBreaks="0"/>
  </sheetPr>
  <dimension ref="A2:K632"/>
  <sheetViews>
    <sheetView workbookViewId="0">
      <selection activeCell="A65536" sqref="A65536"/>
    </sheetView>
  </sheetViews>
  <sheetFormatPr baseColWidth="10" defaultColWidth="9.1640625" defaultRowHeight="12.75" customHeight="1" x14ac:dyDescent="0"/>
  <cols>
    <col min="1" max="1" width="50.6640625" style="53" customWidth="1"/>
    <col min="2" max="2" width="17.33203125" style="53" bestFit="1" customWidth="1"/>
    <col min="3" max="4" width="16.6640625" style="736" customWidth="1"/>
    <col min="5" max="5" width="7.33203125" style="53" bestFit="1" customWidth="1"/>
    <col min="6" max="6" width="16.6640625" style="53" customWidth="1"/>
    <col min="7" max="7" width="16.6640625" style="736" customWidth="1"/>
    <col min="8" max="10" width="16.6640625" style="463" customWidth="1"/>
    <col min="11" max="11" width="16.6640625" style="53" customWidth="1"/>
    <col min="12" max="16384" width="9.1640625" style="53"/>
  </cols>
  <sheetData>
    <row r="2" spans="1:11" ht="12.75" customHeight="1">
      <c r="B2" s="54" t="s">
        <v>1005</v>
      </c>
      <c r="C2" s="1064" t="s">
        <v>1008</v>
      </c>
      <c r="D2" s="1064" t="s">
        <v>466</v>
      </c>
      <c r="G2" s="737"/>
    </row>
    <row r="3" spans="1:11" ht="12.75" customHeight="1">
      <c r="B3" s="54" t="s">
        <v>1006</v>
      </c>
      <c r="C3" s="1064" t="s">
        <v>1007</v>
      </c>
      <c r="D3" s="1064" t="s">
        <v>466</v>
      </c>
      <c r="E3" s="125"/>
      <c r="G3" s="737"/>
      <c r="H3" s="464"/>
      <c r="I3" s="464"/>
      <c r="J3" s="464"/>
      <c r="K3" s="125"/>
    </row>
    <row r="5" spans="1:11" ht="12">
      <c r="A5" s="287" t="s">
        <v>2036</v>
      </c>
      <c r="B5" s="288" t="s">
        <v>1402</v>
      </c>
      <c r="C5" s="531" t="s">
        <v>5570</v>
      </c>
      <c r="D5" s="531" t="s">
        <v>1025</v>
      </c>
      <c r="E5" s="288" t="s">
        <v>1744</v>
      </c>
      <c r="F5" s="288" t="s">
        <v>3887</v>
      </c>
      <c r="G5" s="531" t="s">
        <v>6369</v>
      </c>
      <c r="H5" s="465" t="s">
        <v>3886</v>
      </c>
      <c r="I5" s="800" t="s">
        <v>3888</v>
      </c>
      <c r="J5" s="800" t="s">
        <v>1041</v>
      </c>
      <c r="K5" s="662" t="s">
        <v>1042</v>
      </c>
    </row>
    <row r="6" spans="1:11" ht="12">
      <c r="A6" s="292" t="s">
        <v>548</v>
      </c>
      <c r="B6" s="293" t="s">
        <v>548</v>
      </c>
      <c r="C6" s="293" t="s">
        <v>7790</v>
      </c>
      <c r="D6" s="293" t="s">
        <v>7790</v>
      </c>
      <c r="E6" s="434" t="s">
        <v>4966</v>
      </c>
      <c r="F6" s="293" t="s">
        <v>4967</v>
      </c>
      <c r="G6" s="293" t="s">
        <v>4967</v>
      </c>
      <c r="H6" s="466" t="s">
        <v>3107</v>
      </c>
      <c r="I6" s="466" t="s">
        <v>3107</v>
      </c>
      <c r="J6" s="466" t="s">
        <v>732</v>
      </c>
      <c r="K6" s="294" t="s">
        <v>732</v>
      </c>
    </row>
    <row r="7" spans="1:11" ht="12">
      <c r="A7" s="27" t="s">
        <v>3178</v>
      </c>
      <c r="B7" s="1543" t="s">
        <v>7828</v>
      </c>
      <c r="C7" s="1134">
        <v>772489545</v>
      </c>
      <c r="D7" s="1137">
        <v>49190424.5</v>
      </c>
      <c r="E7" s="1190">
        <v>53</v>
      </c>
      <c r="F7" s="126">
        <f>C7*$E7/1000</f>
        <v>40941945.884999998</v>
      </c>
      <c r="G7" s="126">
        <f>D7*E7/1000</f>
        <v>2607092.4985000002</v>
      </c>
      <c r="H7" s="467">
        <f>F7*cnst_carbon!$C$11/10^6</f>
        <v>2.3188764473602719</v>
      </c>
      <c r="I7" s="467">
        <f>G7*carbon_intensity_n!$C$9</f>
        <v>0.14589894870194747</v>
      </c>
      <c r="J7" s="801">
        <f>H7*cnst_carbon!$C$13*1000000</f>
        <v>789734.37758751935</v>
      </c>
      <c r="K7" s="118">
        <f>I7*cnst_carbon!$C$13*1000000</f>
        <v>49688.466832706828</v>
      </c>
    </row>
    <row r="8" spans="1:11" ht="12">
      <c r="A8" s="27" t="s">
        <v>3179</v>
      </c>
      <c r="B8" s="1543" t="s">
        <v>7829</v>
      </c>
      <c r="C8" s="1135">
        <v>177252</v>
      </c>
      <c r="D8" s="1138">
        <v>4083670.3225899902</v>
      </c>
      <c r="E8" s="1191">
        <v>31.28</v>
      </c>
      <c r="F8" s="126">
        <f t="shared" ref="F8:F71" si="0">C8*$E8/1000</f>
        <v>5544.4425600000004</v>
      </c>
      <c r="G8" s="126">
        <f t="shared" ref="G8:G71" si="1">D8*E8/1000</f>
        <v>127737.20769061489</v>
      </c>
      <c r="H8" s="467">
        <f>F8*cnst_carbon!$C$11/10^6</f>
        <v>3.1402702016750751E-4</v>
      </c>
      <c r="I8" s="467">
        <f>G8*carbon_intensity_n!$C$9</f>
        <v>7.1484706902059415E-3</v>
      </c>
      <c r="J8" s="801">
        <f>H8*cnst_carbon!$C$13*1000000</f>
        <v>106.94745448812598</v>
      </c>
      <c r="K8" s="118">
        <f>I8*cnst_carbon!$C$13*1000000</f>
        <v>2434.5380960934481</v>
      </c>
    </row>
    <row r="9" spans="1:11" ht="12">
      <c r="A9" s="27" t="s">
        <v>3180</v>
      </c>
      <c r="B9" s="1543" t="s">
        <v>7830</v>
      </c>
      <c r="C9" s="1135">
        <v>181679938</v>
      </c>
      <c r="D9" s="1138">
        <v>4863967</v>
      </c>
      <c r="E9" s="1191">
        <v>36.4</v>
      </c>
      <c r="F9" s="126">
        <f t="shared" si="0"/>
        <v>6613149.7431999994</v>
      </c>
      <c r="G9" s="126">
        <f t="shared" si="1"/>
        <v>177048.3988</v>
      </c>
      <c r="H9" s="467">
        <f>F9*cnst_carbon!$C$11/10^6</f>
        <v>0.37455662770516879</v>
      </c>
      <c r="I9" s="467">
        <f>G9*carbon_intensity_n!$C$9</f>
        <v>9.9080394228993375E-3</v>
      </c>
      <c r="J9" s="801">
        <f>H9*cnst_carbon!$C$13*1000000</f>
        <v>127561.88264741331</v>
      </c>
      <c r="K9" s="118">
        <f>I9*cnst_carbon!$C$13*1000000</f>
        <v>3374.3580239746711</v>
      </c>
    </row>
    <row r="10" spans="1:11" ht="12">
      <c r="A10" s="27" t="s">
        <v>3181</v>
      </c>
      <c r="B10" s="1543" t="s">
        <v>7831</v>
      </c>
      <c r="C10" s="1135">
        <v>8224613.2380621396</v>
      </c>
      <c r="D10" s="1138">
        <v>13024106.9323464</v>
      </c>
      <c r="E10" s="1191">
        <v>28.2</v>
      </c>
      <c r="F10" s="126">
        <f t="shared" si="0"/>
        <v>231934.09331335232</v>
      </c>
      <c r="G10" s="126">
        <f t="shared" si="1"/>
        <v>367279.81549216848</v>
      </c>
      <c r="H10" s="467">
        <f>F10*cnst_carbon!$C$11/10^6</f>
        <v>1.3136320091743297E-2</v>
      </c>
      <c r="I10" s="467">
        <f>G10*carbon_intensity_n!$C$9</f>
        <v>2.0553831132030551E-2</v>
      </c>
      <c r="J10" s="801">
        <f>H10*cnst_carbon!$C$13*1000000</f>
        <v>4473.8060896918205</v>
      </c>
      <c r="K10" s="118">
        <f>I10*cnst_carbon!$C$13*1000000</f>
        <v>6999.9706343005664</v>
      </c>
    </row>
    <row r="11" spans="1:11" ht="12">
      <c r="A11" s="27" t="s">
        <v>3182</v>
      </c>
      <c r="B11" s="1543" t="s">
        <v>7832</v>
      </c>
      <c r="C11" s="1135">
        <v>44635020.137364902</v>
      </c>
      <c r="D11" s="1138">
        <v>41276338.112270698</v>
      </c>
      <c r="E11" s="1191">
        <v>61</v>
      </c>
      <c r="F11" s="126">
        <f t="shared" si="0"/>
        <v>2722736.2283792589</v>
      </c>
      <c r="G11" s="126">
        <f t="shared" si="1"/>
        <v>2517856.6248485125</v>
      </c>
      <c r="H11" s="467">
        <f>F11*cnst_carbon!$C$11/10^6</f>
        <v>0.15421076785401069</v>
      </c>
      <c r="I11" s="467">
        <f>G11*carbon_intensity_n!$C$9</f>
        <v>0.14090510204719983</v>
      </c>
      <c r="J11" s="801">
        <f>H11*cnst_carbon!$C$13*1000000</f>
        <v>52519.203818347887</v>
      </c>
      <c r="K11" s="118">
        <f>I11*cnst_carbon!$C$13*1000000</f>
        <v>47987.724050941055</v>
      </c>
    </row>
    <row r="12" spans="1:11" ht="12">
      <c r="A12" s="27" t="s">
        <v>1811</v>
      </c>
      <c r="B12" s="1543" t="s">
        <v>7833</v>
      </c>
      <c r="C12" s="1135">
        <v>527.080078125</v>
      </c>
      <c r="D12" s="1139">
        <v>2442456.0669156499</v>
      </c>
      <c r="E12" s="1191">
        <v>62.16</v>
      </c>
      <c r="F12" s="126">
        <f t="shared" si="0"/>
        <v>32.763297656249996</v>
      </c>
      <c r="G12" s="126">
        <f t="shared" si="1"/>
        <v>151823.0691194768</v>
      </c>
      <c r="H12" s="467">
        <f>F12*cnst_carbon!$C$11/10^6</f>
        <v>1.8556528672655716E-6</v>
      </c>
      <c r="I12" s="467">
        <f>G12*carbon_intensity_n!$C$9</f>
        <v>8.4963714122070176E-3</v>
      </c>
      <c r="J12" s="801">
        <f>H12*cnst_carbon!$C$13*1000000</f>
        <v>0.63197539645405221</v>
      </c>
      <c r="K12" s="118">
        <f>I12*cnst_carbon!$C$13*1000000</f>
        <v>2893.5895211709067</v>
      </c>
    </row>
    <row r="13" spans="1:11" ht="12">
      <c r="A13" s="27" t="s">
        <v>1812</v>
      </c>
      <c r="B13" s="1543" t="s">
        <v>7834</v>
      </c>
      <c r="C13" s="1135">
        <v>717250103</v>
      </c>
      <c r="D13" s="1138">
        <v>817857038</v>
      </c>
      <c r="E13" s="1191">
        <v>53</v>
      </c>
      <c r="F13" s="126">
        <f t="shared" si="0"/>
        <v>38014255.458999999</v>
      </c>
      <c r="G13" s="126">
        <f t="shared" si="1"/>
        <v>43346423.013999999</v>
      </c>
      <c r="H13" s="467">
        <f>F13*cnst_carbon!$C$11/10^6</f>
        <v>2.1530574510408802</v>
      </c>
      <c r="I13" s="467">
        <f>G13*carbon_intensity_n!$C$9</f>
        <v>2.425766462590472</v>
      </c>
      <c r="J13" s="801">
        <f>H13*cnst_carbon!$C$13*1000000</f>
        <v>733261.78630325571</v>
      </c>
      <c r="K13" s="118">
        <f>I13*cnst_carbon!$C$13*1000000</f>
        <v>826137.66235253448</v>
      </c>
    </row>
    <row r="14" spans="1:11" ht="12">
      <c r="A14" s="27" t="s">
        <v>2841</v>
      </c>
      <c r="B14" s="1543" t="s">
        <v>7835</v>
      </c>
      <c r="C14" s="1135">
        <v>85327376</v>
      </c>
      <c r="D14" s="1138">
        <v>3851234</v>
      </c>
      <c r="E14" s="1191">
        <v>31.28</v>
      </c>
      <c r="F14" s="126">
        <f t="shared" si="0"/>
        <v>2669040.3212800003</v>
      </c>
      <c r="G14" s="126">
        <f t="shared" si="1"/>
        <v>120466.59952000002</v>
      </c>
      <c r="H14" s="467">
        <f>F14*cnst_carbon!$C$11/10^6</f>
        <v>0.15116953052147505</v>
      </c>
      <c r="I14" s="467">
        <f>G14*carbon_intensity_n!$C$9</f>
        <v>6.741590577924993E-3</v>
      </c>
      <c r="J14" s="801">
        <f>H14*cnst_carbon!$C$13*1000000</f>
        <v>51483.456668196763</v>
      </c>
      <c r="K14" s="118">
        <f>I14*cnst_carbon!$C$13*1000000</f>
        <v>2295.9678792150439</v>
      </c>
    </row>
    <row r="15" spans="1:11" ht="12">
      <c r="A15" s="27" t="s">
        <v>1926</v>
      </c>
      <c r="B15" s="1543" t="s">
        <v>7836</v>
      </c>
      <c r="C15" s="1135">
        <v>334056340</v>
      </c>
      <c r="D15" s="1138">
        <v>1490177156</v>
      </c>
      <c r="E15" s="1191">
        <v>36.4</v>
      </c>
      <c r="F15" s="126">
        <f t="shared" si="0"/>
        <v>12159650.776000001</v>
      </c>
      <c r="G15" s="126">
        <f t="shared" si="1"/>
        <v>54242448.478399999</v>
      </c>
      <c r="H15" s="467">
        <f>F15*cnst_carbon!$C$11/10^6</f>
        <v>0.68870023598274954</v>
      </c>
      <c r="I15" s="467">
        <f>G15*carbon_intensity_n!$C$9</f>
        <v>3.0355333432056626</v>
      </c>
      <c r="J15" s="801">
        <f>H15*cnst_carbon!$C$13*1000000</f>
        <v>234549.04327798929</v>
      </c>
      <c r="K15" s="118">
        <f>I15*cnst_carbon!$C$13*1000000</f>
        <v>1033804.5557242382</v>
      </c>
    </row>
    <row r="16" spans="1:11" ht="12">
      <c r="A16" s="27" t="s">
        <v>1927</v>
      </c>
      <c r="B16" s="1543" t="s">
        <v>7837</v>
      </c>
      <c r="C16" s="1135">
        <v>67040184</v>
      </c>
      <c r="D16" s="1138">
        <v>3869054697</v>
      </c>
      <c r="E16" s="1191">
        <v>28.2</v>
      </c>
      <c r="F16" s="126">
        <f t="shared" si="0"/>
        <v>1890533.1887999999</v>
      </c>
      <c r="G16" s="126">
        <f t="shared" si="1"/>
        <v>109107342.45539999</v>
      </c>
      <c r="H16" s="467">
        <f>F16*cnst_carbon!$C$11/10^6</f>
        <v>0.10707631964477232</v>
      </c>
      <c r="I16" s="467">
        <f>G16*carbon_intensity_n!$C$9</f>
        <v>6.1059001815490115</v>
      </c>
      <c r="J16" s="801">
        <f>H16*cnst_carbon!$C$13*1000000</f>
        <v>36466.734027717954</v>
      </c>
      <c r="K16" s="118">
        <f>I16*cnst_carbon!$C$13*1000000</f>
        <v>2079472.2741594845</v>
      </c>
    </row>
    <row r="17" spans="1:11" ht="12">
      <c r="A17" s="27" t="s">
        <v>1928</v>
      </c>
      <c r="B17" s="1543" t="s">
        <v>7838</v>
      </c>
      <c r="C17" s="1135">
        <v>744984</v>
      </c>
      <c r="D17" s="1138">
        <v>18479</v>
      </c>
      <c r="E17" s="1191">
        <v>61</v>
      </c>
      <c r="F17" s="126">
        <f t="shared" si="0"/>
        <v>45444.023999999998</v>
      </c>
      <c r="G17" s="126">
        <f t="shared" si="1"/>
        <v>1127.2190000000001</v>
      </c>
      <c r="H17" s="467">
        <f>F17*cnst_carbon!$C$11/10^6</f>
        <v>2.5738658641890036E-3</v>
      </c>
      <c r="I17" s="467">
        <f>G17*carbon_intensity_n!$C$9</f>
        <v>6.308179213107444E-5</v>
      </c>
      <c r="J17" s="801">
        <f>H17*cnst_carbon!$C$13*1000000</f>
        <v>876.57553232859232</v>
      </c>
      <c r="K17" s="118">
        <f>I17*cnst_carbon!$C$13*1000000</f>
        <v>21.483619751475015</v>
      </c>
    </row>
    <row r="18" spans="1:11" ht="12">
      <c r="A18" s="27" t="s">
        <v>1884</v>
      </c>
      <c r="B18" s="1543" t="s">
        <v>7839</v>
      </c>
      <c r="C18" s="1135">
        <v>64368064</v>
      </c>
      <c r="D18" s="1138">
        <v>666693547</v>
      </c>
      <c r="E18" s="1191">
        <v>15</v>
      </c>
      <c r="F18" s="126">
        <f t="shared" si="0"/>
        <v>965520.96</v>
      </c>
      <c r="G18" s="126">
        <f t="shared" si="1"/>
        <v>10000403.205</v>
      </c>
      <c r="H18" s="467">
        <f>F18*cnst_carbon!$C$11/10^6</f>
        <v>5.4685329804926526E-2</v>
      </c>
      <c r="I18" s="467">
        <f>G18*carbon_intensity_n!$C$9</f>
        <v>0.55964577975064345</v>
      </c>
      <c r="J18" s="801">
        <f>H18*cnst_carbon!$C$13*1000000</f>
        <v>18624.056036199909</v>
      </c>
      <c r="K18" s="118">
        <f>I18*cnst_carbon!$C$13*1000000</f>
        <v>190597.26620794364</v>
      </c>
    </row>
    <row r="19" spans="1:11" ht="12">
      <c r="A19" s="27" t="s">
        <v>1885</v>
      </c>
      <c r="B19" s="1543" t="s">
        <v>7840</v>
      </c>
      <c r="C19" s="1135">
        <v>7540702</v>
      </c>
      <c r="D19" s="1138">
        <v>2689206</v>
      </c>
      <c r="E19" s="1191">
        <v>40.159999999999997</v>
      </c>
      <c r="F19" s="126">
        <f t="shared" si="0"/>
        <v>302834.59232</v>
      </c>
      <c r="G19" s="126">
        <f t="shared" si="1"/>
        <v>107998.51295999999</v>
      </c>
      <c r="H19" s="467">
        <f>F19*cnst_carbon!$C$11/10^6</f>
        <v>1.7151993839014817E-2</v>
      </c>
      <c r="I19" s="467">
        <f>G19*carbon_intensity_n!$C$9</f>
        <v>6.043847508787439E-3</v>
      </c>
      <c r="J19" s="801">
        <f>H19*cnst_carbon!$C$13*1000000</f>
        <v>5841.4147913137331</v>
      </c>
      <c r="K19" s="118">
        <f>I19*cnst_carbon!$C$13*1000000</f>
        <v>2058.3391392066546</v>
      </c>
    </row>
    <row r="20" spans="1:11" ht="12">
      <c r="A20" s="27" t="s">
        <v>1886</v>
      </c>
      <c r="B20" s="1543" t="s">
        <v>7841</v>
      </c>
      <c r="C20" s="1135">
        <v>20155690</v>
      </c>
      <c r="D20" s="1138">
        <v>80309614</v>
      </c>
      <c r="E20" s="1191">
        <v>36.4</v>
      </c>
      <c r="F20" s="126">
        <f t="shared" si="0"/>
        <v>733667.11600000004</v>
      </c>
      <c r="G20" s="126">
        <f t="shared" si="1"/>
        <v>2923269.9495999999</v>
      </c>
      <c r="H20" s="467">
        <f>F20*cnst_carbon!$C$11/10^6</f>
        <v>4.1553554886565376E-2</v>
      </c>
      <c r="I20" s="467">
        <f>G20*carbon_intensity_n!$C$9</f>
        <v>0.16359297288608837</v>
      </c>
      <c r="J20" s="801">
        <f>H20*cnst_carbon!$C$13*1000000</f>
        <v>14151.797885673222</v>
      </c>
      <c r="K20" s="118">
        <f>I20*cnst_carbon!$C$13*1000000</f>
        <v>55714.479642482896</v>
      </c>
    </row>
    <row r="21" spans="1:11" ht="12">
      <c r="A21" s="27" t="s">
        <v>1887</v>
      </c>
      <c r="B21" s="1543" t="s">
        <v>7842</v>
      </c>
      <c r="C21" s="1135">
        <v>145214</v>
      </c>
      <c r="D21" s="1138">
        <v>482032</v>
      </c>
      <c r="E21" s="1191">
        <v>30</v>
      </c>
      <c r="F21" s="126">
        <f t="shared" si="0"/>
        <v>4356.42</v>
      </c>
      <c r="G21" s="126">
        <f t="shared" si="1"/>
        <v>14460.96</v>
      </c>
      <c r="H21" s="467">
        <f>F21*cnst_carbon!$C$11/10^6</f>
        <v>2.4673960932839617E-4</v>
      </c>
      <c r="I21" s="467">
        <f>G21*carbon_intensity_n!$C$9</f>
        <v>8.0926889338787066E-4</v>
      </c>
      <c r="J21" s="801">
        <f>H21*cnst_carbon!$C$13*1000000</f>
        <v>84.031536919946305</v>
      </c>
      <c r="K21" s="118">
        <f>I21*cnst_carbon!$C$13*1000000</f>
        <v>275.61083150771071</v>
      </c>
    </row>
    <row r="22" spans="1:11" ht="12">
      <c r="A22" s="27" t="s">
        <v>1888</v>
      </c>
      <c r="B22" s="1543" t="s">
        <v>7843</v>
      </c>
      <c r="C22" s="1135">
        <v>1216305</v>
      </c>
      <c r="D22" s="1138">
        <v>4049775</v>
      </c>
      <c r="E22" s="1191">
        <v>30</v>
      </c>
      <c r="F22" s="126">
        <f t="shared" si="0"/>
        <v>36489.15</v>
      </c>
      <c r="G22" s="126">
        <f t="shared" si="1"/>
        <v>121493.25</v>
      </c>
      <c r="H22" s="467">
        <f>F22*cnst_carbon!$C$11/10^6</f>
        <v>2.0666782853180476E-3</v>
      </c>
      <c r="I22" s="467">
        <f>G22*carbon_intensity_n!$C$9</f>
        <v>6.799044322202393E-3</v>
      </c>
      <c r="J22" s="801">
        <f>H22*cnst_carbon!$C$13*1000000</f>
        <v>703.84383402024127</v>
      </c>
      <c r="K22" s="118">
        <f>I22*cnst_carbon!$C$13*1000000</f>
        <v>2315.5347677522218</v>
      </c>
    </row>
    <row r="23" spans="1:11" ht="12">
      <c r="A23" s="27" t="s">
        <v>1889</v>
      </c>
      <c r="B23" s="1543" t="s">
        <v>7844</v>
      </c>
      <c r="C23" s="1135">
        <v>10210717</v>
      </c>
      <c r="D23" s="1138">
        <v>160420008</v>
      </c>
      <c r="E23" s="1191">
        <v>44.7</v>
      </c>
      <c r="F23" s="126">
        <f t="shared" si="0"/>
        <v>456419.04990000004</v>
      </c>
      <c r="G23" s="126">
        <f t="shared" si="1"/>
        <v>7170774.3576000007</v>
      </c>
      <c r="H23" s="467">
        <f>F23*cnst_carbon!$C$11/10^6</f>
        <v>2.5850734791953892E-2</v>
      </c>
      <c r="I23" s="467">
        <f>G23*carbon_intensity_n!$C$9</f>
        <v>0.40129318033581945</v>
      </c>
      <c r="J23" s="801">
        <f>H23*cnst_carbon!$C$13*1000000</f>
        <v>8803.9248379721594</v>
      </c>
      <c r="K23" s="118">
        <f>I23*cnst_carbon!$C$13*1000000</f>
        <v>136667.48841379175</v>
      </c>
    </row>
    <row r="24" spans="1:11" ht="12">
      <c r="A24" s="27" t="s">
        <v>1890</v>
      </c>
      <c r="B24" s="1543" t="s">
        <v>7845</v>
      </c>
      <c r="C24" s="1135">
        <v>92086809</v>
      </c>
      <c r="D24" s="1138">
        <v>346519625</v>
      </c>
      <c r="E24" s="1191">
        <v>30</v>
      </c>
      <c r="F24" s="126">
        <f t="shared" si="0"/>
        <v>2762604.27</v>
      </c>
      <c r="G24" s="126">
        <f t="shared" si="1"/>
        <v>10395588.75</v>
      </c>
      <c r="H24" s="467">
        <f>F24*cnst_carbon!$C$11/10^6</f>
        <v>0.15646882034072912</v>
      </c>
      <c r="I24" s="467">
        <f>G24*carbon_intensity_n!$C$9</f>
        <v>0.58176128029037477</v>
      </c>
      <c r="J24" s="801">
        <f>H24*cnst_carbon!$C$13*1000000</f>
        <v>53288.223520621606</v>
      </c>
      <c r="K24" s="118">
        <f>I24*cnst_carbon!$C$13*1000000</f>
        <v>198129.09097319283</v>
      </c>
    </row>
    <row r="25" spans="1:11" ht="12">
      <c r="A25" s="27" t="s">
        <v>1891</v>
      </c>
      <c r="B25" s="1543" t="s">
        <v>7846</v>
      </c>
      <c r="C25" s="1135">
        <v>47999214</v>
      </c>
      <c r="D25" s="1138">
        <v>525345005</v>
      </c>
      <c r="E25" s="1191">
        <v>46.9</v>
      </c>
      <c r="F25" s="126">
        <f t="shared" si="0"/>
        <v>2251163.1365999999</v>
      </c>
      <c r="G25" s="126">
        <f t="shared" si="1"/>
        <v>24638680.734499998</v>
      </c>
      <c r="H25" s="467">
        <f>F25*cnst_carbon!$C$11/10^6</f>
        <v>0.12750173602617995</v>
      </c>
      <c r="I25" s="467">
        <f>G25*carbon_intensity_n!$C$9</f>
        <v>1.3788377737401849</v>
      </c>
      <c r="J25" s="801">
        <f>H25*cnst_carbon!$C$13*1000000</f>
        <v>43422.970748005246</v>
      </c>
      <c r="K25" s="118">
        <f>I25*cnst_carbon!$C$13*1000000</f>
        <v>469587.5850903783</v>
      </c>
    </row>
    <row r="26" spans="1:11" ht="12">
      <c r="A26" s="27" t="s">
        <v>1892</v>
      </c>
      <c r="B26" s="1543" t="s">
        <v>7847</v>
      </c>
      <c r="C26" s="1135">
        <v>9743316</v>
      </c>
      <c r="D26" s="1138">
        <v>594905616</v>
      </c>
      <c r="E26" s="1191">
        <v>46.9</v>
      </c>
      <c r="F26" s="126">
        <f t="shared" si="0"/>
        <v>456961.52039999998</v>
      </c>
      <c r="G26" s="126">
        <f t="shared" si="1"/>
        <v>27901073.390399996</v>
      </c>
      <c r="H26" s="467">
        <f>F26*cnst_carbon!$C$11/10^6</f>
        <v>2.5881459322472565E-2</v>
      </c>
      <c r="I26" s="467">
        <f>G26*carbon_intensity_n!$C$9</f>
        <v>1.5614088405598778</v>
      </c>
      <c r="J26" s="801">
        <f>H26*cnst_carbon!$C$13*1000000</f>
        <v>8814.3886201255609</v>
      </c>
      <c r="K26" s="118">
        <f>I26*cnst_carbon!$C$13*1000000</f>
        <v>531765.39020132856</v>
      </c>
    </row>
    <row r="27" spans="1:11" ht="12">
      <c r="A27" s="27" t="s">
        <v>1893</v>
      </c>
      <c r="B27" s="1543" t="s">
        <v>7848</v>
      </c>
      <c r="C27" s="1135">
        <v>74168411</v>
      </c>
      <c r="D27" s="1138">
        <v>174880957</v>
      </c>
      <c r="E27" s="1191">
        <v>4.6500000000000004</v>
      </c>
      <c r="F27" s="126">
        <f t="shared" si="0"/>
        <v>344883.11115000001</v>
      </c>
      <c r="G27" s="126">
        <f t="shared" si="1"/>
        <v>813196.4500500001</v>
      </c>
      <c r="H27" s="467">
        <f>F27*cnst_carbon!$C$11/10^6</f>
        <v>1.95335445409563E-2</v>
      </c>
      <c r="I27" s="467">
        <f>G27*carbon_intensity_n!$C$9</f>
        <v>4.5508361217990262E-2</v>
      </c>
      <c r="J27" s="801">
        <f>H27*cnst_carbon!$C$13*1000000</f>
        <v>6652.4939945338556</v>
      </c>
      <c r="K27" s="118">
        <f>I27*cnst_carbon!$C$13*1000000</f>
        <v>15498.677112542946</v>
      </c>
    </row>
    <row r="28" spans="1:11" ht="12">
      <c r="A28" s="27" t="s">
        <v>2522</v>
      </c>
      <c r="B28" s="1543" t="s">
        <v>7849</v>
      </c>
      <c r="C28" s="1135">
        <v>14800264</v>
      </c>
      <c r="D28" s="1138">
        <v>93686101</v>
      </c>
      <c r="E28" s="1191">
        <v>67.84</v>
      </c>
      <c r="F28" s="126">
        <f t="shared" si="0"/>
        <v>1004049.9097600001</v>
      </c>
      <c r="G28" s="126">
        <f t="shared" si="1"/>
        <v>6355665.0918399999</v>
      </c>
      <c r="H28" s="467">
        <f>F28*cnst_carbon!$C$11/10^6</f>
        <v>5.6867538593706267E-2</v>
      </c>
      <c r="I28" s="467">
        <f>G28*carbon_intensity_n!$C$9</f>
        <v>0.3556777735100074</v>
      </c>
      <c r="J28" s="801">
        <f>H28*cnst_carbon!$C$13*1000000</f>
        <v>19367.245826037484</v>
      </c>
      <c r="K28" s="118">
        <f>I28*cnst_carbon!$C$13*1000000</f>
        <v>121132.35502667546</v>
      </c>
    </row>
    <row r="29" spans="1:11" ht="12">
      <c r="A29" s="27" t="s">
        <v>2523</v>
      </c>
      <c r="B29" s="1543" t="s">
        <v>7850</v>
      </c>
      <c r="C29" s="1135">
        <v>147634833</v>
      </c>
      <c r="D29" s="1138">
        <v>318120316</v>
      </c>
      <c r="E29" s="1191">
        <v>33.340000000000003</v>
      </c>
      <c r="F29" s="126">
        <f t="shared" si="0"/>
        <v>4922145.3322200002</v>
      </c>
      <c r="G29" s="126">
        <f t="shared" si="1"/>
        <v>10606131.335440001</v>
      </c>
      <c r="H29" s="467">
        <f>F29*cnst_carbon!$C$11/10^6</f>
        <v>0.2787812507355929</v>
      </c>
      <c r="I29" s="467">
        <f>G29*carbon_intensity_n!$C$9</f>
        <v>0.59354373215595291</v>
      </c>
      <c r="J29" s="801">
        <f>H29*cnst_carbon!$C$13*1000000</f>
        <v>94943.88447619522</v>
      </c>
      <c r="K29" s="118">
        <f>I29*cnst_carbon!$C$13*1000000</f>
        <v>202141.81329874397</v>
      </c>
    </row>
    <row r="30" spans="1:11" ht="12">
      <c r="A30" s="27" t="s">
        <v>2524</v>
      </c>
      <c r="B30" s="1543" t="s">
        <v>7851</v>
      </c>
      <c r="C30" s="1135">
        <v>12665497</v>
      </c>
      <c r="D30" s="1138">
        <v>159168012</v>
      </c>
      <c r="E30" s="1191">
        <v>19.23</v>
      </c>
      <c r="F30" s="126">
        <f t="shared" si="0"/>
        <v>243557.50731000002</v>
      </c>
      <c r="G30" s="126">
        <f t="shared" si="1"/>
        <v>3060800.8707600003</v>
      </c>
      <c r="H30" s="467">
        <f>F30*cnst_carbon!$C$11/10^6</f>
        <v>1.3794648863669573E-2</v>
      </c>
      <c r="I30" s="467">
        <f>G30*carbon_intensity_n!$C$9</f>
        <v>0.17128952251860019</v>
      </c>
      <c r="J30" s="801">
        <f>H30*cnst_carbon!$C$13*1000000</f>
        <v>4698.0115938431927</v>
      </c>
      <c r="K30" s="118">
        <f>I30*cnst_carbon!$C$13*1000000</f>
        <v>58335.675713762335</v>
      </c>
    </row>
    <row r="31" spans="1:11" ht="12">
      <c r="A31" s="27" t="s">
        <v>2525</v>
      </c>
      <c r="B31" s="1543" t="s">
        <v>7852</v>
      </c>
      <c r="C31" s="1135">
        <v>1121268454</v>
      </c>
      <c r="D31" s="1138">
        <v>1193575997</v>
      </c>
      <c r="E31" s="1191">
        <v>59.69</v>
      </c>
      <c r="F31" s="126">
        <f t="shared" si="0"/>
        <v>66928514.019259997</v>
      </c>
      <c r="G31" s="126">
        <f t="shared" si="1"/>
        <v>71244551.260929987</v>
      </c>
      <c r="H31" s="467">
        <f>F31*cnst_carbon!$C$11/10^6</f>
        <v>3.7907078293741878</v>
      </c>
      <c r="I31" s="467">
        <f>G31*carbon_intensity_n!$C$9</f>
        <v>3.9870104860844813</v>
      </c>
      <c r="J31" s="801">
        <f>H31*cnst_carbon!$C$13*1000000</f>
        <v>1290992.5803312333</v>
      </c>
      <c r="K31" s="118">
        <f>I31*cnst_carbon!$C$13*1000000</f>
        <v>1357846.9211877105</v>
      </c>
    </row>
    <row r="32" spans="1:11" ht="12">
      <c r="A32" s="27" t="s">
        <v>650</v>
      </c>
      <c r="B32" s="1543" t="s">
        <v>7853</v>
      </c>
      <c r="C32" s="1135">
        <v>35112198</v>
      </c>
      <c r="D32" s="1138">
        <v>8914200</v>
      </c>
      <c r="E32" s="1191">
        <v>59.69</v>
      </c>
      <c r="F32" s="126">
        <f t="shared" si="0"/>
        <v>2095847.0986199998</v>
      </c>
      <c r="G32" s="126">
        <f t="shared" si="1"/>
        <v>532088.598</v>
      </c>
      <c r="H32" s="467">
        <f>F32*cnst_carbon!$C$11/10^6</f>
        <v>0.11870492154694712</v>
      </c>
      <c r="I32" s="467">
        <f>G32*carbon_intensity_n!$C$9</f>
        <v>2.9776913212384487E-2</v>
      </c>
      <c r="J32" s="801">
        <f>H32*cnst_carbon!$C$13*1000000</f>
        <v>40427.06002778632</v>
      </c>
      <c r="K32" s="118">
        <f>I32*cnst_carbon!$C$13*1000000</f>
        <v>10141.054323540899</v>
      </c>
    </row>
    <row r="33" spans="1:11" ht="12">
      <c r="A33" s="27" t="s">
        <v>1753</v>
      </c>
      <c r="B33" s="1543" t="s">
        <v>7854</v>
      </c>
      <c r="C33" s="1135">
        <v>678512076</v>
      </c>
      <c r="D33" s="1138">
        <v>216284125</v>
      </c>
      <c r="E33" s="1191">
        <v>57.52</v>
      </c>
      <c r="F33" s="126">
        <f t="shared" si="0"/>
        <v>39028014.611520007</v>
      </c>
      <c r="G33" s="126">
        <f t="shared" si="1"/>
        <v>12440662.869999999</v>
      </c>
      <c r="H33" s="467">
        <f>F33*cnst_carbon!$C$11/10^6</f>
        <v>2.2104749032713524</v>
      </c>
      <c r="I33" s="467">
        <f>G33*carbon_intensity_n!$C$9</f>
        <v>0.69620837577978711</v>
      </c>
      <c r="J33" s="801">
        <f>H33*cnst_carbon!$C$13*1000000</f>
        <v>752816.31494211953</v>
      </c>
      <c r="K33" s="118">
        <f>I33*cnst_carbon!$C$13*1000000</f>
        <v>237106.07304824865</v>
      </c>
    </row>
    <row r="34" spans="1:11" ht="12">
      <c r="A34" s="27" t="s">
        <v>2424</v>
      </c>
      <c r="B34" s="1543" t="s">
        <v>7855</v>
      </c>
      <c r="C34" s="1135">
        <v>554255720</v>
      </c>
      <c r="D34" s="1138">
        <v>92829835</v>
      </c>
      <c r="E34" s="1191">
        <v>59.69</v>
      </c>
      <c r="F34" s="126">
        <f t="shared" si="0"/>
        <v>33083523.926799998</v>
      </c>
      <c r="G34" s="126">
        <f t="shared" si="1"/>
        <v>5541012.8511499995</v>
      </c>
      <c r="H34" s="467">
        <f>F34*cnst_carbon!$C$11/10^6</f>
        <v>1.8737898937442394</v>
      </c>
      <c r="I34" s="467">
        <f>G34*carbon_intensity_n!$C$9</f>
        <v>0.31008794286811736</v>
      </c>
      <c r="J34" s="801">
        <f>H34*cnst_carbon!$C$13*1000000</f>
        <v>638152.28152859956</v>
      </c>
      <c r="K34" s="118">
        <f>I34*cnst_carbon!$C$13*1000000</f>
        <v>105605.93206124366</v>
      </c>
    </row>
    <row r="35" spans="1:11" ht="12">
      <c r="A35" s="27" t="s">
        <v>2425</v>
      </c>
      <c r="B35" s="1543" t="s">
        <v>7856</v>
      </c>
      <c r="C35" s="1135">
        <v>3399853976</v>
      </c>
      <c r="D35" s="1138">
        <v>33118415982</v>
      </c>
      <c r="E35" s="1191">
        <v>3.7</v>
      </c>
      <c r="F35" s="126">
        <f t="shared" si="0"/>
        <v>12579459.711200001</v>
      </c>
      <c r="G35" s="126">
        <f t="shared" si="1"/>
        <v>122538139.13340001</v>
      </c>
      <c r="H35" s="467">
        <f>F35*cnst_carbon!$C$11/10^6</f>
        <v>0.71247744127145396</v>
      </c>
      <c r="I35" s="467">
        <f>G35*carbon_intensity_n!$C$9</f>
        <v>6.8575187438659366</v>
      </c>
      <c r="J35" s="801">
        <f>H35*cnst_carbon!$C$13*1000000</f>
        <v>242646.79097852827</v>
      </c>
      <c r="K35" s="118">
        <f>I35*cnst_carbon!$C$13*1000000</f>
        <v>2335449.2660213374</v>
      </c>
    </row>
    <row r="36" spans="1:11" ht="12">
      <c r="A36" s="27" t="s">
        <v>1411</v>
      </c>
      <c r="B36" s="1543" t="s">
        <v>7857</v>
      </c>
      <c r="C36" s="1135">
        <v>52873696</v>
      </c>
      <c r="D36" s="1138">
        <v>1770696882</v>
      </c>
      <c r="E36" s="1191">
        <v>7.4</v>
      </c>
      <c r="F36" s="126">
        <f t="shared" si="0"/>
        <v>391265.35040000005</v>
      </c>
      <c r="G36" s="126">
        <f t="shared" si="1"/>
        <v>13103156.926800001</v>
      </c>
      <c r="H36" s="467">
        <f>F36*cnst_carbon!$C$11/10^6</f>
        <v>2.216054918980127E-2</v>
      </c>
      <c r="I36" s="467">
        <f>G36*carbon_intensity_n!$C$9</f>
        <v>0.73328308120892738</v>
      </c>
      <c r="J36" s="801">
        <f>H36*cnst_carbon!$C$13*1000000</f>
        <v>7547.1668796014474</v>
      </c>
      <c r="K36" s="118">
        <f>I36*cnst_carbon!$C$13*1000000</f>
        <v>249732.51955412139</v>
      </c>
    </row>
    <row r="37" spans="1:11" ht="12">
      <c r="A37" s="27" t="s">
        <v>1412</v>
      </c>
      <c r="B37" s="1543" t="s">
        <v>7858</v>
      </c>
      <c r="C37" s="1135">
        <v>606403907</v>
      </c>
      <c r="D37" s="1138">
        <v>1991703421</v>
      </c>
      <c r="E37" s="1191">
        <v>7.4</v>
      </c>
      <c r="F37" s="126">
        <f t="shared" si="0"/>
        <v>4487388.9117999999</v>
      </c>
      <c r="G37" s="126">
        <f t="shared" si="1"/>
        <v>14738605.315400001</v>
      </c>
      <c r="H37" s="467">
        <f>F37*cnst_carbon!$C$11/10^6</f>
        <v>0.25415744739995427</v>
      </c>
      <c r="I37" s="467">
        <f>G37*carbon_intensity_n!$C$9</f>
        <v>0.82480656980410338</v>
      </c>
      <c r="J37" s="801">
        <f>H37*cnst_carbon!$C$13*1000000</f>
        <v>86557.812840837069</v>
      </c>
      <c r="K37" s="118">
        <f>I37*cnst_carbon!$C$13*1000000</f>
        <v>280902.46195559343</v>
      </c>
    </row>
    <row r="38" spans="1:11" ht="12">
      <c r="A38" s="27" t="s">
        <v>1413</v>
      </c>
      <c r="B38" s="1543" t="s">
        <v>7859</v>
      </c>
      <c r="C38" s="1135">
        <v>390325986</v>
      </c>
      <c r="D38" s="1138">
        <v>187238150</v>
      </c>
      <c r="E38" s="1191">
        <v>4.2</v>
      </c>
      <c r="F38" s="126">
        <f t="shared" si="0"/>
        <v>1639369.1412</v>
      </c>
      <c r="G38" s="126">
        <f t="shared" si="1"/>
        <v>786400.23</v>
      </c>
      <c r="H38" s="467">
        <f>F38*cnst_carbon!$C$11/10^6</f>
        <v>9.2850850341499758E-2</v>
      </c>
      <c r="I38" s="467">
        <f>G38*carbon_intensity_n!$C$9</f>
        <v>4.400878253532732E-2</v>
      </c>
      <c r="J38" s="801">
        <f>H38*cnst_carbon!$C$13*1000000</f>
        <v>31621.998915202967</v>
      </c>
      <c r="K38" s="118">
        <f>I38*cnst_carbon!$C$13*1000000</f>
        <v>14987.969075922685</v>
      </c>
    </row>
    <row r="39" spans="1:11" ht="12">
      <c r="A39" s="27" t="s">
        <v>381</v>
      </c>
      <c r="B39" s="1543" t="s">
        <v>7860</v>
      </c>
      <c r="C39" s="1135">
        <v>3247529135</v>
      </c>
      <c r="D39" s="1138">
        <v>24079856607</v>
      </c>
      <c r="E39" s="1191">
        <v>4</v>
      </c>
      <c r="F39" s="126">
        <f t="shared" si="0"/>
        <v>12990116.539999999</v>
      </c>
      <c r="G39" s="126">
        <f t="shared" si="1"/>
        <v>96319426.428000003</v>
      </c>
      <c r="H39" s="467">
        <f>F39*cnst_carbon!$C$11/10^6</f>
        <v>0.73573628810122471</v>
      </c>
      <c r="I39" s="467">
        <f>G39*carbon_intensity_n!$C$9</f>
        <v>5.3902587129168458</v>
      </c>
      <c r="J39" s="801">
        <f>H39*cnst_carbon!$C$13*1000000</f>
        <v>250568.00254002493</v>
      </c>
      <c r="K39" s="118">
        <f>I39*cnst_carbon!$C$13*1000000</f>
        <v>1835747.9177154799</v>
      </c>
    </row>
    <row r="40" spans="1:11" ht="12">
      <c r="A40" s="27" t="s">
        <v>382</v>
      </c>
      <c r="B40" s="1543" t="s">
        <v>7861</v>
      </c>
      <c r="C40" s="1135">
        <v>235000699</v>
      </c>
      <c r="D40" s="1138">
        <v>6577314</v>
      </c>
      <c r="E40" s="1191">
        <v>3.7</v>
      </c>
      <c r="F40" s="126">
        <f t="shared" si="0"/>
        <v>869502.58630000008</v>
      </c>
      <c r="G40" s="126">
        <f t="shared" si="1"/>
        <v>24336.061799999999</v>
      </c>
      <c r="H40" s="467">
        <f>F40*cnst_carbon!$C$11/10^6</f>
        <v>4.9247025873008589E-2</v>
      </c>
      <c r="I40" s="467">
        <f>G40*carbon_intensity_n!$C$9</f>
        <v>1.3619025156217037E-3</v>
      </c>
      <c r="J40" s="801">
        <f>H40*cnst_carbon!$C$13*1000000</f>
        <v>16771.945469595965</v>
      </c>
      <c r="K40" s="118">
        <f>I40*cnst_carbon!$C$13*1000000</f>
        <v>463.8199834811129</v>
      </c>
    </row>
    <row r="41" spans="1:11" ht="12">
      <c r="A41" s="27" t="s">
        <v>779</v>
      </c>
      <c r="B41" s="1543" t="s">
        <v>7862</v>
      </c>
      <c r="C41" s="1135">
        <v>1472752634</v>
      </c>
      <c r="D41" s="1138">
        <v>22893660</v>
      </c>
      <c r="E41" s="1191">
        <v>3.7</v>
      </c>
      <c r="F41" s="126">
        <f t="shared" si="0"/>
        <v>5449184.7458000006</v>
      </c>
      <c r="G41" s="126">
        <f t="shared" si="1"/>
        <v>84706.542000000001</v>
      </c>
      <c r="H41" s="467">
        <f>F41*cnst_carbon!$C$11/10^6</f>
        <v>0.30863179292560128</v>
      </c>
      <c r="I41" s="467">
        <f>G41*carbon_intensity_n!$C$9</f>
        <v>4.7403747404773395E-3</v>
      </c>
      <c r="J41" s="801">
        <f>H41*cnst_carbon!$C$13*1000000</f>
        <v>105110.01445000735</v>
      </c>
      <c r="K41" s="118">
        <f>I41*cnst_carbon!$C$13*1000000</f>
        <v>1614.4184393541518</v>
      </c>
    </row>
    <row r="42" spans="1:11" ht="12">
      <c r="A42" s="27" t="s">
        <v>780</v>
      </c>
      <c r="B42" s="1543" t="s">
        <v>7863</v>
      </c>
      <c r="C42" s="1135">
        <v>289715570</v>
      </c>
      <c r="D42" s="1138">
        <v>2176328043</v>
      </c>
      <c r="E42" s="1191">
        <v>3.7</v>
      </c>
      <c r="F42" s="126">
        <f t="shared" si="0"/>
        <v>1071947.6089999999</v>
      </c>
      <c r="G42" s="126">
        <f t="shared" si="1"/>
        <v>8052413.7591000004</v>
      </c>
      <c r="H42" s="467">
        <f>F42*cnst_carbon!$C$11/10^6</f>
        <v>6.0713139289868372E-2</v>
      </c>
      <c r="I42" s="467">
        <f>G42*carbon_intensity_n!$C$9</f>
        <v>0.45063176801043092</v>
      </c>
      <c r="J42" s="801">
        <f>H42*cnst_carbon!$C$13*1000000</f>
        <v>20676.933142794238</v>
      </c>
      <c r="K42" s="118">
        <f>I42*cnst_carbon!$C$13*1000000</f>
        <v>153470.61687396144</v>
      </c>
    </row>
    <row r="43" spans="1:11" ht="12">
      <c r="A43" s="27" t="s">
        <v>3761</v>
      </c>
      <c r="B43" s="1543" t="s">
        <v>7864</v>
      </c>
      <c r="C43" s="1135">
        <v>208840123</v>
      </c>
      <c r="D43" s="1138">
        <v>269757246</v>
      </c>
      <c r="E43" s="1191">
        <v>4.9000000000000004</v>
      </c>
      <c r="F43" s="126">
        <f t="shared" si="0"/>
        <v>1023316.6027</v>
      </c>
      <c r="G43" s="126">
        <f t="shared" si="1"/>
        <v>1321810.5054000001</v>
      </c>
      <c r="H43" s="467">
        <f>F43*cnst_carbon!$C$11/10^6</f>
        <v>5.795876861493144E-2</v>
      </c>
      <c r="I43" s="467">
        <f>G43*carbon_intensity_n!$C$9</f>
        <v>7.3971584526443632E-2</v>
      </c>
      <c r="J43" s="801">
        <f>H43*cnst_carbon!$C$13*1000000</f>
        <v>19738.883505396425</v>
      </c>
      <c r="K43" s="118">
        <f>I43*cnst_carbon!$C$13*1000000</f>
        <v>25192.331110031519</v>
      </c>
    </row>
    <row r="44" spans="1:11" ht="12">
      <c r="A44" s="27" t="s">
        <v>1646</v>
      </c>
      <c r="B44" s="1543" t="s">
        <v>7865</v>
      </c>
      <c r="C44" s="1135">
        <v>320483708</v>
      </c>
      <c r="D44" s="1138">
        <v>263997962</v>
      </c>
      <c r="E44" s="1191">
        <v>4.9000000000000004</v>
      </c>
      <c r="F44" s="126">
        <f t="shared" si="0"/>
        <v>1570370.1692000001</v>
      </c>
      <c r="G44" s="126">
        <f t="shared" si="1"/>
        <v>1293590.0138000003</v>
      </c>
      <c r="H44" s="467">
        <f>F44*cnst_carbon!$C$11/10^6</f>
        <v>8.8942875583478048E-2</v>
      </c>
      <c r="I44" s="467">
        <f>G44*carbon_intensity_n!$C$9</f>
        <v>7.2392300301330384E-2</v>
      </c>
      <c r="J44" s="801">
        <f>H44*cnst_carbon!$C$13*1000000</f>
        <v>30291.069008753097</v>
      </c>
      <c r="K44" s="118">
        <f>I44*cnst_carbon!$C$13*1000000</f>
        <v>24654.477941539775</v>
      </c>
    </row>
    <row r="45" spans="1:11" ht="12">
      <c r="A45" s="27" t="s">
        <v>4293</v>
      </c>
      <c r="B45" s="1543" t="s">
        <v>7866</v>
      </c>
      <c r="C45" s="1135">
        <v>397375959</v>
      </c>
      <c r="D45" s="1138">
        <v>409932798</v>
      </c>
      <c r="E45" s="1191">
        <v>3.7</v>
      </c>
      <c r="F45" s="126">
        <f t="shared" si="0"/>
        <v>1470291.0482999999</v>
      </c>
      <c r="G45" s="126">
        <f t="shared" si="1"/>
        <v>1516751.3526000001</v>
      </c>
      <c r="H45" s="467">
        <f>F45*cnst_carbon!$C$11/10^6</f>
        <v>8.3274578405337418E-2</v>
      </c>
      <c r="I45" s="467">
        <f>G45*carbon_intensity_n!$C$9</f>
        <v>8.4880926899953954E-2</v>
      </c>
      <c r="J45" s="801">
        <f>H45*cnst_carbon!$C$13*1000000</f>
        <v>28360.630175301743</v>
      </c>
      <c r="K45" s="118">
        <f>I45*cnst_carbon!$C$13*1000000</f>
        <v>28907.700559335681</v>
      </c>
    </row>
    <row r="46" spans="1:11" ht="12">
      <c r="A46" s="27" t="s">
        <v>4294</v>
      </c>
      <c r="B46" s="1543" t="s">
        <v>7867</v>
      </c>
      <c r="C46" s="1135">
        <v>325802679</v>
      </c>
      <c r="D46" s="1138">
        <v>353672398</v>
      </c>
      <c r="E46" s="1191">
        <v>6.4</v>
      </c>
      <c r="F46" s="126">
        <f t="shared" si="0"/>
        <v>2085137.1456000002</v>
      </c>
      <c r="G46" s="126">
        <f t="shared" si="1"/>
        <v>2263503.3472000002</v>
      </c>
      <c r="H46" s="467">
        <f>F46*cnst_carbon!$C$11/10^6</f>
        <v>0.1180983295232028</v>
      </c>
      <c r="I46" s="467">
        <f>G46*carbon_intensity_n!$C$9</f>
        <v>0.12667090213708396</v>
      </c>
      <c r="J46" s="801">
        <f>H46*cnst_carbon!$C$13*1000000</f>
        <v>40220.474388061273</v>
      </c>
      <c r="K46" s="118">
        <f>I46*cnst_carbon!$C$13*1000000</f>
        <v>43140.015575886973</v>
      </c>
    </row>
    <row r="47" spans="1:11" ht="12">
      <c r="A47" s="27" t="s">
        <v>4295</v>
      </c>
      <c r="B47" s="1543" t="s">
        <v>7868</v>
      </c>
      <c r="C47" s="1135">
        <v>352282570</v>
      </c>
      <c r="D47" s="1138">
        <v>116867694</v>
      </c>
      <c r="E47" s="1191">
        <v>13</v>
      </c>
      <c r="F47" s="126">
        <f t="shared" si="0"/>
        <v>4579673.41</v>
      </c>
      <c r="G47" s="126">
        <f t="shared" si="1"/>
        <v>1519280.0220000001</v>
      </c>
      <c r="H47" s="467">
        <f>F47*cnst_carbon!$C$11/10^6</f>
        <v>0.25938427149701909</v>
      </c>
      <c r="I47" s="467">
        <f>G47*carbon_intensity_n!$C$9</f>
        <v>8.5022437110000987E-2</v>
      </c>
      <c r="J47" s="801">
        <f>H47*cnst_carbon!$C$13*1000000</f>
        <v>88337.90021019816</v>
      </c>
      <c r="K47" s="118">
        <f>I47*cnst_carbon!$C$13*1000000</f>
        <v>28955.89436361576</v>
      </c>
    </row>
    <row r="48" spans="1:11" ht="12">
      <c r="A48" s="27" t="s">
        <v>4070</v>
      </c>
      <c r="B48" s="1543" t="s">
        <v>7869</v>
      </c>
      <c r="C48" s="1135">
        <v>1018955310</v>
      </c>
      <c r="D48" s="1138">
        <v>645425769</v>
      </c>
      <c r="E48" s="1191">
        <v>30</v>
      </c>
      <c r="F48" s="126">
        <f t="shared" si="0"/>
        <v>30568659.300000001</v>
      </c>
      <c r="G48" s="126">
        <f t="shared" si="1"/>
        <v>19362773.07</v>
      </c>
      <c r="H48" s="467">
        <f>F48*cnst_carbon!$C$11/10^6</f>
        <v>1.7313525907453471</v>
      </c>
      <c r="I48" s="467">
        <f>G48*carbon_intensity_n!$C$9</f>
        <v>1.083585732570961</v>
      </c>
      <c r="J48" s="801">
        <f>H48*cnst_carbon!$C$13*1000000</f>
        <v>589642.73935047828</v>
      </c>
      <c r="K48" s="118">
        <f>I48*cnst_carbon!$C$13*1000000</f>
        <v>369034.28168792446</v>
      </c>
    </row>
    <row r="49" spans="1:11" ht="12">
      <c r="A49" s="27" t="s">
        <v>3587</v>
      </c>
      <c r="B49" s="1543" t="s">
        <v>7870</v>
      </c>
      <c r="C49" s="1135">
        <v>274660267</v>
      </c>
      <c r="D49" s="1138">
        <v>579752638</v>
      </c>
      <c r="E49" s="1191">
        <v>4</v>
      </c>
      <c r="F49" s="126">
        <f t="shared" si="0"/>
        <v>1098641.068</v>
      </c>
      <c r="G49" s="126">
        <f t="shared" si="1"/>
        <v>2319010.5520000001</v>
      </c>
      <c r="H49" s="467">
        <f>F49*cnst_carbon!$C$11/10^6</f>
        <v>6.2225007669244915E-2</v>
      </c>
      <c r="I49" s="467">
        <f>G49*carbon_intensity_n!$C$9</f>
        <v>0.12977721418023666</v>
      </c>
      <c r="J49" s="801">
        <f>H49*cnst_carbon!$C$13*1000000</f>
        <v>21191.826652942382</v>
      </c>
      <c r="K49" s="118">
        <f>I49*cnst_carbon!$C$13*1000000</f>
        <v>44197.925069419674</v>
      </c>
    </row>
    <row r="50" spans="1:11" ht="12">
      <c r="A50" s="27" t="s">
        <v>3588</v>
      </c>
      <c r="B50" s="1543" t="s">
        <v>7871</v>
      </c>
      <c r="C50" s="1135">
        <v>294752468</v>
      </c>
      <c r="D50" s="1138">
        <v>736758102</v>
      </c>
      <c r="E50" s="1191">
        <v>7.62</v>
      </c>
      <c r="F50" s="126">
        <f t="shared" si="0"/>
        <v>2246013.8061599997</v>
      </c>
      <c r="G50" s="126">
        <f t="shared" si="1"/>
        <v>5614096.7372399997</v>
      </c>
      <c r="H50" s="467">
        <f>F50*cnst_carbon!$C$11/10^6</f>
        <v>0.1272100874291511</v>
      </c>
      <c r="I50" s="467">
        <f>G50*carbon_intensity_n!$C$9</f>
        <v>0.31417788680133751</v>
      </c>
      <c r="J50" s="801">
        <f>H50*cnst_carbon!$C$13*1000000</f>
        <v>43323.644661222555</v>
      </c>
      <c r="K50" s="118">
        <f>I50*cnst_carbon!$C$13*1000000</f>
        <v>106998.83478796994</v>
      </c>
    </row>
    <row r="51" spans="1:11" ht="12">
      <c r="A51" s="27" t="s">
        <v>6</v>
      </c>
      <c r="B51" s="1543" t="s">
        <v>7872</v>
      </c>
      <c r="C51" s="1135">
        <v>504521009</v>
      </c>
      <c r="D51" s="1138">
        <v>312570607</v>
      </c>
      <c r="E51" s="1191">
        <v>7.62</v>
      </c>
      <c r="F51" s="126">
        <f t="shared" si="0"/>
        <v>3844450.0885799997</v>
      </c>
      <c r="G51" s="126">
        <f t="shared" si="1"/>
        <v>2381788.0253400002</v>
      </c>
      <c r="H51" s="467">
        <f>F51*cnst_carbon!$C$11/10^6</f>
        <v>0.21774257600018987</v>
      </c>
      <c r="I51" s="467">
        <f>G51*carbon_intensity_n!$C$9</f>
        <v>0.13329038732915269</v>
      </c>
      <c r="J51" s="801">
        <f>H51*cnst_carbon!$C$13*1000000</f>
        <v>74156.084481156809</v>
      </c>
      <c r="K51" s="118">
        <f>I51*cnst_carbon!$C$13*1000000</f>
        <v>45394.398306825125</v>
      </c>
    </row>
    <row r="52" spans="1:11" ht="12">
      <c r="A52" s="27" t="s">
        <v>7</v>
      </c>
      <c r="B52" s="1543" t="s">
        <v>7873</v>
      </c>
      <c r="C52" s="1135">
        <v>4868126880</v>
      </c>
      <c r="D52" s="1138">
        <v>563036953</v>
      </c>
      <c r="E52" s="1191">
        <v>2</v>
      </c>
      <c r="F52" s="126">
        <f t="shared" si="0"/>
        <v>9736253.7599999998</v>
      </c>
      <c r="G52" s="126">
        <f t="shared" si="1"/>
        <v>1126073.906</v>
      </c>
      <c r="H52" s="467">
        <f>F52*cnst_carbon!$C$11/10^6</f>
        <v>0.55144349008234472</v>
      </c>
      <c r="I52" s="467">
        <f>G52*carbon_intensity_n!$C$9</f>
        <v>6.301771001244573E-2</v>
      </c>
      <c r="J52" s="801">
        <f>H52*cnst_carbon!$C$13*1000000</f>
        <v>187803.83142474925</v>
      </c>
      <c r="K52" s="118">
        <f>I52*cnst_carbon!$C$13*1000000</f>
        <v>21461.795452846538</v>
      </c>
    </row>
    <row r="53" spans="1:11" ht="12">
      <c r="A53" s="27" t="s">
        <v>8</v>
      </c>
      <c r="B53" s="1543" t="s">
        <v>7874</v>
      </c>
      <c r="C53" s="1135">
        <v>198746171</v>
      </c>
      <c r="D53" s="1138">
        <v>891228676</v>
      </c>
      <c r="E53" s="1191">
        <v>6.8</v>
      </c>
      <c r="F53" s="126">
        <f t="shared" si="0"/>
        <v>1351473.9627999999</v>
      </c>
      <c r="G53" s="126">
        <f t="shared" si="1"/>
        <v>6060354.9967999998</v>
      </c>
      <c r="H53" s="467">
        <f>F53*cnst_carbon!$C$11/10^6</f>
        <v>7.6544997405845028E-2</v>
      </c>
      <c r="I53" s="467">
        <f>G53*carbon_intensity_n!$C$9</f>
        <v>0.33915153501551687</v>
      </c>
      <c r="J53" s="801">
        <f>H53*cnst_carbon!$C$13*1000000</f>
        <v>26068.752370380807</v>
      </c>
      <c r="K53" s="118">
        <f>I53*cnst_carbon!$C$13*1000000</f>
        <v>115504.05228283304</v>
      </c>
    </row>
    <row r="54" spans="1:11" ht="12">
      <c r="A54" s="27" t="s">
        <v>9</v>
      </c>
      <c r="B54" s="1543" t="s">
        <v>7875</v>
      </c>
      <c r="C54" s="1135">
        <v>562815020</v>
      </c>
      <c r="D54" s="1138">
        <v>473666327</v>
      </c>
      <c r="E54" s="1191">
        <v>7.2</v>
      </c>
      <c r="F54" s="126">
        <f t="shared" si="0"/>
        <v>4052268.1439999999</v>
      </c>
      <c r="G54" s="126">
        <f t="shared" si="1"/>
        <v>3410397.5544000003</v>
      </c>
      <c r="H54" s="467">
        <f>F54*cnst_carbon!$C$11/10^6</f>
        <v>0.22951300809941763</v>
      </c>
      <c r="I54" s="467">
        <f>G54*carbon_intensity_n!$C$9</f>
        <v>0.19085376453997444</v>
      </c>
      <c r="J54" s="801">
        <f>H54*cnst_carbon!$C$13*1000000</f>
        <v>78164.713262738282</v>
      </c>
      <c r="K54" s="118">
        <f>I54*cnst_carbon!$C$13*1000000</f>
        <v>64998.624278059484</v>
      </c>
    </row>
    <row r="55" spans="1:11" ht="12">
      <c r="A55" s="27" t="s">
        <v>1315</v>
      </c>
      <c r="B55" s="1543" t="s">
        <v>7876</v>
      </c>
      <c r="C55" s="1135">
        <v>320286029</v>
      </c>
      <c r="D55" s="1138">
        <v>1140822401</v>
      </c>
      <c r="E55" s="1191">
        <v>16.3</v>
      </c>
      <c r="F55" s="126">
        <f t="shared" si="0"/>
        <v>5220662.2726999996</v>
      </c>
      <c r="G55" s="126">
        <f t="shared" si="1"/>
        <v>18595405.136299998</v>
      </c>
      <c r="H55" s="467">
        <f>F55*cnst_carbon!$C$11/10^6</f>
        <v>0.29568870072249576</v>
      </c>
      <c r="I55" s="467">
        <f>G55*carbon_intensity_n!$C$9</f>
        <v>1.0406420415209381</v>
      </c>
      <c r="J55" s="801">
        <f>H55*cnst_carbon!$C$13*1000000</f>
        <v>100702.01553453544</v>
      </c>
      <c r="K55" s="118">
        <f>I55*cnst_carbon!$C$13*1000000</f>
        <v>354409.04835075932</v>
      </c>
    </row>
    <row r="56" spans="1:11" ht="12">
      <c r="A56" s="27" t="s">
        <v>1316</v>
      </c>
      <c r="B56" s="1543" t="s">
        <v>7877</v>
      </c>
      <c r="C56" s="1135">
        <v>4133332505</v>
      </c>
      <c r="D56" s="1138">
        <v>1368401258</v>
      </c>
      <c r="E56" s="1191">
        <v>7.62</v>
      </c>
      <c r="F56" s="126">
        <f t="shared" si="0"/>
        <v>31495993.688100003</v>
      </c>
      <c r="G56" s="126">
        <f t="shared" si="1"/>
        <v>10427217.585960001</v>
      </c>
      <c r="H56" s="467">
        <f>F56*cnst_carbon!$C$11/10^6</f>
        <v>1.7838751034132214</v>
      </c>
      <c r="I56" s="467">
        <f>G56*carbon_intensity_n!$C$9</f>
        <v>0.58353130337850279</v>
      </c>
      <c r="J56" s="801">
        <f>H56*cnst_carbon!$C$13*1000000</f>
        <v>607530.20976672857</v>
      </c>
      <c r="K56" s="118">
        <f>I56*cnst_carbon!$C$13*1000000</f>
        <v>198731.90363421649</v>
      </c>
    </row>
    <row r="57" spans="1:11" ht="12">
      <c r="A57" s="27" t="s">
        <v>2863</v>
      </c>
      <c r="B57" s="1543" t="s">
        <v>7878</v>
      </c>
      <c r="C57" s="1135">
        <v>87793238</v>
      </c>
      <c r="D57" s="1138">
        <v>251997657</v>
      </c>
      <c r="E57" s="1191">
        <v>1.55</v>
      </c>
      <c r="F57" s="126">
        <f t="shared" si="0"/>
        <v>136079.5189</v>
      </c>
      <c r="G57" s="126">
        <f t="shared" si="1"/>
        <v>390596.36835</v>
      </c>
      <c r="H57" s="467">
        <f>F57*cnst_carbon!$C$11/10^6</f>
        <v>7.7072934498928249E-3</v>
      </c>
      <c r="I57" s="467">
        <f>G57*carbon_intensity_n!$C$9</f>
        <v>2.1858679560411317E-2</v>
      </c>
      <c r="J57" s="801">
        <f>H57*cnst_carbon!$C$13*1000000</f>
        <v>2624.8550682656587</v>
      </c>
      <c r="K57" s="118">
        <f>I57*cnst_carbon!$C$13*1000000</f>
        <v>7444.3598395151885</v>
      </c>
    </row>
    <row r="58" spans="1:11" ht="12">
      <c r="A58" s="27" t="s">
        <v>2864</v>
      </c>
      <c r="B58" s="1543" t="s">
        <v>7879</v>
      </c>
      <c r="C58" s="1135">
        <v>9022128</v>
      </c>
      <c r="D58" s="1138">
        <v>6446175</v>
      </c>
      <c r="E58" s="1191">
        <v>7.62</v>
      </c>
      <c r="F58" s="126">
        <f t="shared" si="0"/>
        <v>68748.615359999996</v>
      </c>
      <c r="G58" s="126">
        <f t="shared" si="1"/>
        <v>49119.853499999997</v>
      </c>
      <c r="H58" s="467">
        <f>F58*cnst_carbon!$C$11/10^6</f>
        <v>3.8937950187985953E-3</v>
      </c>
      <c r="I58" s="467">
        <f>G58*carbon_intensity_n!$C$9</f>
        <v>2.7488610358730905E-3</v>
      </c>
      <c r="J58" s="801">
        <f>H58*cnst_carbon!$C$13*1000000</f>
        <v>1326.1007455247723</v>
      </c>
      <c r="K58" s="118">
        <f>I58*cnst_carbon!$C$13*1000000</f>
        <v>936.17323239065274</v>
      </c>
    </row>
    <row r="59" spans="1:11" ht="12">
      <c r="A59" s="27" t="s">
        <v>2865</v>
      </c>
      <c r="B59" s="1543" t="s">
        <v>7880</v>
      </c>
      <c r="C59" s="1135">
        <v>115660072</v>
      </c>
      <c r="D59" s="1138">
        <v>46711052</v>
      </c>
      <c r="E59" s="1191">
        <v>2.68</v>
      </c>
      <c r="F59" s="126">
        <f t="shared" si="0"/>
        <v>309968.99296000006</v>
      </c>
      <c r="G59" s="126">
        <f t="shared" si="1"/>
        <v>125185.61936000001</v>
      </c>
      <c r="H59" s="467">
        <f>F59*cnst_carbon!$C$11/10^6</f>
        <v>1.7556073157975308E-2</v>
      </c>
      <c r="I59" s="467">
        <f>G59*carbon_intensity_n!$C$9</f>
        <v>7.0056778835943401E-3</v>
      </c>
      <c r="J59" s="801">
        <f>H59*cnst_carbon!$C$13*1000000</f>
        <v>5979.0311485019411</v>
      </c>
      <c r="K59" s="118">
        <f>I59*cnst_carbon!$C$13*1000000</f>
        <v>2385.9074808738401</v>
      </c>
    </row>
    <row r="60" spans="1:11" ht="12">
      <c r="A60" s="27" t="s">
        <v>2866</v>
      </c>
      <c r="B60" s="1543" t="s">
        <v>7881</v>
      </c>
      <c r="C60" s="1135">
        <v>2092948100</v>
      </c>
      <c r="D60" s="1138">
        <v>1041876533</v>
      </c>
      <c r="E60" s="1191">
        <v>16.73</v>
      </c>
      <c r="F60" s="126">
        <f t="shared" si="0"/>
        <v>35015021.713</v>
      </c>
      <c r="G60" s="126">
        <f t="shared" si="1"/>
        <v>17430594.397089999</v>
      </c>
      <c r="H60" s="467">
        <f>F60*cnst_carbon!$C$11/10^6</f>
        <v>1.9831863727764836</v>
      </c>
      <c r="I60" s="467">
        <f>G60*carbon_intensity_n!$C$9</f>
        <v>0.97545652839270991</v>
      </c>
      <c r="J60" s="801">
        <f>H60*cnst_carbon!$C$13*1000000</f>
        <v>675409.18686184555</v>
      </c>
      <c r="K60" s="118">
        <f>I60*cnst_carbon!$C$13*1000000</f>
        <v>332208.96921474213</v>
      </c>
    </row>
    <row r="61" spans="1:11" ht="12">
      <c r="A61" s="27" t="s">
        <v>1756</v>
      </c>
      <c r="B61" s="1543" t="s">
        <v>7882</v>
      </c>
      <c r="C61" s="1135">
        <v>338463579</v>
      </c>
      <c r="D61" s="1138">
        <v>125237326</v>
      </c>
      <c r="E61" s="1191">
        <v>7.62</v>
      </c>
      <c r="F61" s="126">
        <f t="shared" si="0"/>
        <v>2579092.4719799999</v>
      </c>
      <c r="G61" s="126">
        <f t="shared" si="1"/>
        <v>954308.42411999998</v>
      </c>
      <c r="H61" s="467">
        <f>F61*cnst_carbon!$C$11/10^6</f>
        <v>0.14607504991670978</v>
      </c>
      <c r="I61" s="467">
        <f>G61*carbon_intensity_n!$C$9</f>
        <v>5.3405314884925704E-2</v>
      </c>
      <c r="J61" s="801">
        <f>H61*cnst_carbon!$C$13*1000000</f>
        <v>49748.441215296734</v>
      </c>
      <c r="K61" s="118">
        <f>I61*cnst_carbon!$C$13*1000000</f>
        <v>18188.124321381583</v>
      </c>
    </row>
    <row r="62" spans="1:11" ht="12">
      <c r="A62" s="27" t="s">
        <v>1757</v>
      </c>
      <c r="B62" s="1543" t="s">
        <v>7883</v>
      </c>
      <c r="C62" s="1135">
        <v>1393361624</v>
      </c>
      <c r="D62" s="1138">
        <v>543693190</v>
      </c>
      <c r="E62" s="1191">
        <v>11.96</v>
      </c>
      <c r="F62" s="126">
        <f t="shared" si="0"/>
        <v>16664605.02304</v>
      </c>
      <c r="G62" s="126">
        <f t="shared" si="1"/>
        <v>6502570.5524000004</v>
      </c>
      <c r="H62" s="467">
        <f>F62*cnst_carbon!$C$11/10^6</f>
        <v>0.94385255163572801</v>
      </c>
      <c r="I62" s="467">
        <f>G62*carbon_intensity_n!$C$9</f>
        <v>0.36389894413077023</v>
      </c>
      <c r="J62" s="801">
        <f>H62*cnst_carbon!$C$13*1000000</f>
        <v>321445.6760941114</v>
      </c>
      <c r="K62" s="118">
        <f>I62*cnst_carbon!$C$13*1000000</f>
        <v>123932.22005209319</v>
      </c>
    </row>
    <row r="63" spans="1:11" ht="12">
      <c r="A63" s="27" t="s">
        <v>225</v>
      </c>
      <c r="B63" s="1543" t="s">
        <v>7884</v>
      </c>
      <c r="C63" s="1135">
        <v>390745653</v>
      </c>
      <c r="D63" s="1138">
        <v>479173852</v>
      </c>
      <c r="E63" s="1191">
        <v>25.84</v>
      </c>
      <c r="F63" s="126">
        <f t="shared" si="0"/>
        <v>10096867.673520001</v>
      </c>
      <c r="G63" s="126">
        <f t="shared" si="1"/>
        <v>12381852.33568</v>
      </c>
      <c r="H63" s="467">
        <f>F63*cnst_carbon!$C$11/10^6</f>
        <v>0.57186799831164981</v>
      </c>
      <c r="I63" s="467">
        <f>G63*carbon_intensity_n!$C$9</f>
        <v>0.69291720174786298</v>
      </c>
      <c r="J63" s="801">
        <f>H63*cnst_carbon!$C$13*1000000</f>
        <v>194759.75885777967</v>
      </c>
      <c r="K63" s="118">
        <f>I63*cnst_carbon!$C$13*1000000</f>
        <v>235985.20553562522</v>
      </c>
    </row>
    <row r="64" spans="1:11" ht="12">
      <c r="A64" s="27" t="s">
        <v>226</v>
      </c>
      <c r="B64" s="1543" t="s">
        <v>7885</v>
      </c>
      <c r="C64" s="1135">
        <v>361331361</v>
      </c>
      <c r="D64" s="1138">
        <v>1199028849</v>
      </c>
      <c r="E64" s="1191">
        <v>7.6</v>
      </c>
      <c r="F64" s="126">
        <f t="shared" si="0"/>
        <v>2746118.3435999998</v>
      </c>
      <c r="G64" s="126">
        <f t="shared" si="1"/>
        <v>9112619.2523999996</v>
      </c>
      <c r="H64" s="467">
        <f>F64*cnst_carbon!$C$11/10^6</f>
        <v>0.15553508781738362</v>
      </c>
      <c r="I64" s="467">
        <f>G64*carbon_intensity_n!$C$9</f>
        <v>0.50996332873161621</v>
      </c>
      <c r="J64" s="801">
        <f>H64*cnst_carbon!$C$13*1000000</f>
        <v>52970.224399108723</v>
      </c>
      <c r="K64" s="118">
        <f>I64*cnst_carbon!$C$13*1000000</f>
        <v>173677.02900548349</v>
      </c>
    </row>
    <row r="65" spans="1:11" ht="12">
      <c r="A65" s="27" t="s">
        <v>227</v>
      </c>
      <c r="B65" s="1543" t="s">
        <v>7886</v>
      </c>
      <c r="C65" s="1135">
        <v>1537471639</v>
      </c>
      <c r="D65" s="1138">
        <v>211587650</v>
      </c>
      <c r="E65" s="1191">
        <v>7.62</v>
      </c>
      <c r="F65" s="126">
        <f t="shared" si="0"/>
        <v>11715533.889180001</v>
      </c>
      <c r="G65" s="126">
        <f t="shared" si="1"/>
        <v>1612297.8929999999</v>
      </c>
      <c r="H65" s="467">
        <f>F65*cnst_carbon!$C$11/10^6</f>
        <v>0.66354627306133462</v>
      </c>
      <c r="I65" s="467">
        <f>G65*carbon_intensity_n!$C$9</f>
        <v>9.0227933116453232E-2</v>
      </c>
      <c r="J65" s="801">
        <f>H65*cnst_carbon!$C$13*1000000</f>
        <v>225982.41642116959</v>
      </c>
      <c r="K65" s="118">
        <f>I65*cnst_carbon!$C$13*1000000</f>
        <v>30728.718074585639</v>
      </c>
    </row>
    <row r="66" spans="1:11" ht="12">
      <c r="A66" s="27" t="s">
        <v>3212</v>
      </c>
      <c r="B66" s="1543" t="s">
        <v>7887</v>
      </c>
      <c r="C66" s="1135">
        <v>4010571424</v>
      </c>
      <c r="D66" s="1138">
        <v>1869681956</v>
      </c>
      <c r="E66" s="1191">
        <v>25.84</v>
      </c>
      <c r="F66" s="126">
        <f t="shared" si="0"/>
        <v>103633165.59616001</v>
      </c>
      <c r="G66" s="126">
        <f t="shared" si="1"/>
        <v>48312581.743040003</v>
      </c>
      <c r="H66" s="467">
        <f>F66*cnst_carbon!$C$11/10^6</f>
        <v>5.8695917273039573</v>
      </c>
      <c r="I66" s="467">
        <f>G66*carbon_intensity_n!$C$9</f>
        <v>2.7036842342348661</v>
      </c>
      <c r="J66" s="801">
        <f>H66*cnst_carbon!$C$13*1000000</f>
        <v>1998993.2515516477</v>
      </c>
      <c r="K66" s="118">
        <f>I66*cnst_carbon!$C$13*1000000</f>
        <v>920787.47375578783</v>
      </c>
    </row>
    <row r="67" spans="1:11" ht="12">
      <c r="A67" s="27" t="s">
        <v>3431</v>
      </c>
      <c r="B67" s="1543" t="s">
        <v>7888</v>
      </c>
      <c r="C67" s="1135">
        <v>1511652789</v>
      </c>
      <c r="D67" s="1138">
        <v>1124014572</v>
      </c>
      <c r="E67" s="1191">
        <v>25.84</v>
      </c>
      <c r="F67" s="126">
        <f t="shared" si="0"/>
        <v>39061108.067760006</v>
      </c>
      <c r="G67" s="126">
        <f t="shared" si="1"/>
        <v>29044536.540479999</v>
      </c>
      <c r="H67" s="467">
        <f>F67*cnst_carbon!$C$11/10^6</f>
        <v>2.2123492557130322</v>
      </c>
      <c r="I67" s="467">
        <f>G67*carbon_intensity_n!$C$9</f>
        <v>1.6253996930409753</v>
      </c>
      <c r="J67" s="801">
        <f>H67*cnst_carbon!$C$13*1000000</f>
        <v>753454.65880929469</v>
      </c>
      <c r="K67" s="118">
        <f>I67*cnst_carbon!$C$13*1000000</f>
        <v>553558.60652942676</v>
      </c>
    </row>
    <row r="68" spans="1:11" ht="12">
      <c r="A68" s="27" t="s">
        <v>1779</v>
      </c>
      <c r="B68" s="1543" t="s">
        <v>7889</v>
      </c>
      <c r="C68" s="1135">
        <v>301519536</v>
      </c>
      <c r="D68" s="1138">
        <v>158960057</v>
      </c>
      <c r="E68" s="1191">
        <v>25.84</v>
      </c>
      <c r="F68" s="126">
        <f t="shared" si="0"/>
        <v>7791264.8102399996</v>
      </c>
      <c r="G68" s="126">
        <f t="shared" si="1"/>
        <v>4107527.8728800002</v>
      </c>
      <c r="H68" s="467">
        <f>F68*cnst_carbon!$C$11/10^6</f>
        <v>0.44128289638113366</v>
      </c>
      <c r="I68" s="467">
        <f>G68*carbon_intensity_n!$C$9</f>
        <v>0.22986679558241169</v>
      </c>
      <c r="J68" s="801">
        <f>H68*cnst_carbon!$C$13*1000000</f>
        <v>150286.69332955984</v>
      </c>
      <c r="K68" s="118">
        <f>I68*cnst_carbon!$C$13*1000000</f>
        <v>78285.201845904769</v>
      </c>
    </row>
    <row r="69" spans="1:11" ht="12">
      <c r="A69" s="27" t="s">
        <v>4090</v>
      </c>
      <c r="B69" s="1543" t="s">
        <v>7890</v>
      </c>
      <c r="C69" s="1135">
        <v>86424353</v>
      </c>
      <c r="D69" s="1138">
        <v>61142694</v>
      </c>
      <c r="E69" s="1191">
        <v>25.84</v>
      </c>
      <c r="F69" s="126">
        <f t="shared" si="0"/>
        <v>2233205.2815200002</v>
      </c>
      <c r="G69" s="126">
        <f t="shared" si="1"/>
        <v>1579927.2129600001</v>
      </c>
      <c r="H69" s="467">
        <f>F69*cnst_carbon!$C$11/10^6</f>
        <v>0.1264846361719843</v>
      </c>
      <c r="I69" s="467">
        <f>G69*carbon_intensity_n!$C$9</f>
        <v>8.8416394711383059E-2</v>
      </c>
      <c r="J69" s="801">
        <f>H69*cnst_carbon!$C$13*1000000</f>
        <v>43076.579407831887</v>
      </c>
      <c r="K69" s="118">
        <f>I69*cnst_carbon!$C$13*1000000</f>
        <v>30111.766638284422</v>
      </c>
    </row>
    <row r="70" spans="1:11" ht="12">
      <c r="A70" s="27" t="s">
        <v>1781</v>
      </c>
      <c r="B70" s="1543" t="s">
        <v>7891</v>
      </c>
      <c r="C70" s="1135">
        <v>115723292</v>
      </c>
      <c r="D70" s="1138">
        <v>91978915</v>
      </c>
      <c r="E70" s="1191">
        <v>6.4</v>
      </c>
      <c r="F70" s="126">
        <f t="shared" si="0"/>
        <v>740629.06880000012</v>
      </c>
      <c r="G70" s="126">
        <f t="shared" si="1"/>
        <v>588665.05599999998</v>
      </c>
      <c r="H70" s="467">
        <f>F70*cnst_carbon!$C$11/10^6</f>
        <v>4.1947867077317125E-2</v>
      </c>
      <c r="I70" s="467">
        <f>G70*carbon_intensity_n!$C$9</f>
        <v>3.2943063146930004E-2</v>
      </c>
      <c r="J70" s="801">
        <f>H70*cnst_carbon!$C$13*1000000</f>
        <v>14286.087874643094</v>
      </c>
      <c r="K70" s="118">
        <f>I70*cnst_carbon!$C$13*1000000</f>
        <v>11219.342669068517</v>
      </c>
    </row>
    <row r="71" spans="1:11" ht="12">
      <c r="A71" s="27" t="s">
        <v>1782</v>
      </c>
      <c r="B71" s="1543" t="s">
        <v>7892</v>
      </c>
      <c r="C71" s="1135">
        <v>799186524</v>
      </c>
      <c r="D71" s="1138">
        <v>844738712</v>
      </c>
      <c r="E71" s="1191">
        <v>25.84</v>
      </c>
      <c r="F71" s="126">
        <f t="shared" si="0"/>
        <v>20650979.780159999</v>
      </c>
      <c r="G71" s="126">
        <f t="shared" si="1"/>
        <v>21828048.318079997</v>
      </c>
      <c r="H71" s="467">
        <f>F71*cnst_carbon!$C$11/10^6</f>
        <v>1.1696334796014358</v>
      </c>
      <c r="I71" s="467">
        <f>G71*carbon_intensity_n!$C$9</f>
        <v>1.2215482587040951</v>
      </c>
      <c r="J71" s="801">
        <f>H71*cnst_carbon!$C$13*1000000</f>
        <v>398339.36347495881</v>
      </c>
      <c r="K71" s="118">
        <f>I71*cnst_carbon!$C$13*1000000</f>
        <v>416019.85947935091</v>
      </c>
    </row>
    <row r="72" spans="1:11" ht="12">
      <c r="A72" s="27" t="s">
        <v>781</v>
      </c>
      <c r="B72" s="1543" t="s">
        <v>7893</v>
      </c>
      <c r="C72" s="1135">
        <v>1527193633</v>
      </c>
      <c r="D72" s="1138">
        <v>40079162</v>
      </c>
      <c r="E72" s="1191">
        <v>0.55000000000000004</v>
      </c>
      <c r="F72" s="126">
        <f t="shared" ref="F72:F135" si="2">C72*$E72/1000</f>
        <v>839956.49815000012</v>
      </c>
      <c r="G72" s="126">
        <f t="shared" ref="G72:G135" si="3">D72*E72/1000</f>
        <v>22043.539100000002</v>
      </c>
      <c r="H72" s="467">
        <f>F72*cnst_carbon!$C$11/10^6</f>
        <v>4.7573589829809512E-2</v>
      </c>
      <c r="I72" s="467">
        <f>G72*carbon_intensity_n!$C$9</f>
        <v>1.2336076231321614E-3</v>
      </c>
      <c r="J72" s="801">
        <f>H72*cnst_carbon!$C$13*1000000</f>
        <v>16202.02723461938</v>
      </c>
      <c r="K72" s="118">
        <f>I72*cnst_carbon!$C$13*1000000</f>
        <v>420.12688927455252</v>
      </c>
    </row>
    <row r="73" spans="1:11" ht="12">
      <c r="A73" s="27" t="s">
        <v>782</v>
      </c>
      <c r="B73" s="1543" t="s">
        <v>7894</v>
      </c>
      <c r="C73" s="1135">
        <v>1398078424</v>
      </c>
      <c r="D73" s="1138">
        <v>212868914</v>
      </c>
      <c r="E73" s="1191">
        <v>14.92</v>
      </c>
      <c r="F73" s="126">
        <f t="shared" si="2"/>
        <v>20859330.08608</v>
      </c>
      <c r="G73" s="126">
        <f t="shared" si="3"/>
        <v>3176004.1968800002</v>
      </c>
      <c r="H73" s="467">
        <f>F73*cnst_carbon!$C$11/10^6</f>
        <v>1.1814340573891955</v>
      </c>
      <c r="I73" s="467">
        <f>G73*carbon_intensity_n!$C$9</f>
        <v>0.17773656809812841</v>
      </c>
      <c r="J73" s="801">
        <f>H73*cnst_carbon!$C$13*1000000</f>
        <v>402358.25890381972</v>
      </c>
      <c r="K73" s="118">
        <f>I73*cnst_carbon!$C$13*1000000</f>
        <v>60531.331085493344</v>
      </c>
    </row>
    <row r="74" spans="1:11" ht="12">
      <c r="A74" s="27" t="s">
        <v>783</v>
      </c>
      <c r="B74" s="1543" t="s">
        <v>7895</v>
      </c>
      <c r="C74" s="1135">
        <v>495695600</v>
      </c>
      <c r="D74" s="1138">
        <v>147977228</v>
      </c>
      <c r="E74" s="1191">
        <v>3.64</v>
      </c>
      <c r="F74" s="126">
        <f t="shared" si="2"/>
        <v>1804331.9839999999</v>
      </c>
      <c r="G74" s="126">
        <f t="shared" si="3"/>
        <v>538637.10992000008</v>
      </c>
      <c r="H74" s="467">
        <f>F74*cnst_carbon!$C$11/10^6</f>
        <v>0.10219404208751451</v>
      </c>
      <c r="I74" s="467">
        <f>G74*carbon_intensity_n!$C$9</f>
        <v>3.014338314210117E-2</v>
      </c>
      <c r="J74" s="801">
        <f>H74*cnst_carbon!$C$13*1000000</f>
        <v>34803.988074918394</v>
      </c>
      <c r="K74" s="118">
        <f>I74*cnst_carbon!$C$13*1000000</f>
        <v>10265.862138195624</v>
      </c>
    </row>
    <row r="75" spans="1:11" ht="12">
      <c r="A75" s="27" t="s">
        <v>784</v>
      </c>
      <c r="B75" s="1543" t="s">
        <v>7896</v>
      </c>
      <c r="C75" s="1135">
        <v>153064804</v>
      </c>
      <c r="D75" s="1138">
        <v>6209902</v>
      </c>
      <c r="E75" s="1191">
        <v>15</v>
      </c>
      <c r="F75" s="126">
        <f t="shared" si="2"/>
        <v>2295972.06</v>
      </c>
      <c r="G75" s="126">
        <f t="shared" si="3"/>
        <v>93148.53</v>
      </c>
      <c r="H75" s="467">
        <f>F75*cnst_carbon!$C$11/10^6</f>
        <v>0.13003963096150348</v>
      </c>
      <c r="I75" s="467">
        <f>G75*carbon_intensity_n!$C$9</f>
        <v>5.2128079874231639E-3</v>
      </c>
      <c r="J75" s="801">
        <f>H75*cnst_carbon!$C$13*1000000</f>
        <v>44287.295744454212</v>
      </c>
      <c r="K75" s="118">
        <f>I75*cnst_carbon!$C$13*1000000</f>
        <v>1775.313935383331</v>
      </c>
    </row>
    <row r="76" spans="1:11" ht="12">
      <c r="A76" s="27" t="s">
        <v>1584</v>
      </c>
      <c r="B76" s="1543" t="s">
        <v>7897</v>
      </c>
      <c r="C76" s="1135">
        <v>434810714</v>
      </c>
      <c r="D76" s="1138">
        <v>2454109686</v>
      </c>
      <c r="E76" s="1191">
        <v>14.92</v>
      </c>
      <c r="F76" s="126">
        <f t="shared" si="2"/>
        <v>6487375.8528800001</v>
      </c>
      <c r="G76" s="126">
        <f t="shared" si="3"/>
        <v>36615316.51512</v>
      </c>
      <c r="H76" s="467">
        <f>F76*cnst_carbon!$C$11/10^6</f>
        <v>0.36743302608703526</v>
      </c>
      <c r="I76" s="467">
        <f>G76*carbon_intensity_n!$C$9</f>
        <v>2.0490781163379048</v>
      </c>
      <c r="J76" s="801">
        <f>H76*cnst_carbon!$C$13*1000000</f>
        <v>125135.81415356048</v>
      </c>
      <c r="K76" s="118">
        <f>I76*cnst_carbon!$C$13*1000000</f>
        <v>697849.78525977768</v>
      </c>
    </row>
    <row r="77" spans="1:11" ht="12">
      <c r="A77" s="27" t="s">
        <v>1585</v>
      </c>
      <c r="B77" s="1543" t="s">
        <v>7898</v>
      </c>
      <c r="C77" s="1135">
        <v>556694570</v>
      </c>
      <c r="D77" s="1138">
        <v>149873690</v>
      </c>
      <c r="E77" s="1191">
        <v>14.92</v>
      </c>
      <c r="F77" s="126">
        <f t="shared" si="2"/>
        <v>8305882.9843999995</v>
      </c>
      <c r="G77" s="126">
        <f t="shared" si="3"/>
        <v>2236115.4548000004</v>
      </c>
      <c r="H77" s="467">
        <f>F77*cnst_carbon!$C$11/10^6</f>
        <v>0.47042992243590592</v>
      </c>
      <c r="I77" s="467">
        <f>G77*carbon_intensity_n!$C$9</f>
        <v>0.12513821209612028</v>
      </c>
      <c r="J77" s="801">
        <f>H77*cnst_carbon!$C$13*1000000</f>
        <v>160213.22844362172</v>
      </c>
      <c r="K77" s="118">
        <f>I77*cnst_carbon!$C$13*1000000</f>
        <v>42618.030880707141</v>
      </c>
    </row>
    <row r="78" spans="1:11" ht="12">
      <c r="A78" s="27" t="s">
        <v>613</v>
      </c>
      <c r="B78" s="1543" t="s">
        <v>7899</v>
      </c>
      <c r="C78" s="1135">
        <v>1493360921</v>
      </c>
      <c r="D78" s="1138">
        <v>138019490</v>
      </c>
      <c r="E78" s="1191">
        <v>15</v>
      </c>
      <c r="F78" s="126">
        <f t="shared" si="2"/>
        <v>22400413.815000001</v>
      </c>
      <c r="G78" s="126">
        <f t="shared" si="3"/>
        <v>2070292.35</v>
      </c>
      <c r="H78" s="467">
        <f>F78*cnst_carbon!$C$11/10^6</f>
        <v>1.2687182029068613</v>
      </c>
      <c r="I78" s="467">
        <f>G78*carbon_intensity_n!$C$9</f>
        <v>0.11585836618550044</v>
      </c>
      <c r="J78" s="801">
        <f>H78*cnst_carbon!$C$13*1000000</f>
        <v>432084.41805823316</v>
      </c>
      <c r="K78" s="118">
        <f>I78*cnst_carbon!$C$13*1000000</f>
        <v>39457.615265345623</v>
      </c>
    </row>
    <row r="79" spans="1:11" ht="12">
      <c r="A79" s="27" t="s">
        <v>1326</v>
      </c>
      <c r="B79" s="1543" t="s">
        <v>7900</v>
      </c>
      <c r="C79" s="1135">
        <v>48961460</v>
      </c>
      <c r="D79" s="1138">
        <v>43818522</v>
      </c>
      <c r="E79" s="1191">
        <v>30</v>
      </c>
      <c r="F79" s="126">
        <f t="shared" si="2"/>
        <v>1468843.8</v>
      </c>
      <c r="G79" s="126">
        <f t="shared" si="3"/>
        <v>1314555.6599999999</v>
      </c>
      <c r="H79" s="467">
        <f>F79*cnst_carbon!$C$11/10^6</f>
        <v>8.3192608925777789E-2</v>
      </c>
      <c r="I79" s="467">
        <f>G79*carbon_intensity_n!$C$9</f>
        <v>7.3565586535400268E-2</v>
      </c>
      <c r="J79" s="801">
        <f>H79*cnst_carbon!$C$13*1000000</f>
        <v>28332.714019615702</v>
      </c>
      <c r="K79" s="118">
        <f>I79*cnst_carbon!$C$13*1000000</f>
        <v>25054.061315138646</v>
      </c>
    </row>
    <row r="80" spans="1:11" ht="12">
      <c r="A80" s="27" t="s">
        <v>1327</v>
      </c>
      <c r="B80" s="1543" t="s">
        <v>7901</v>
      </c>
      <c r="C80" s="1135">
        <v>449256286</v>
      </c>
      <c r="D80" s="1138">
        <v>17249381</v>
      </c>
      <c r="E80" s="1191">
        <v>3.42</v>
      </c>
      <c r="F80" s="126">
        <f t="shared" si="2"/>
        <v>1536456.4981199999</v>
      </c>
      <c r="G80" s="126">
        <f t="shared" si="3"/>
        <v>58992.883019999994</v>
      </c>
      <c r="H80" s="467">
        <f>F80*cnst_carbon!$C$11/10^6</f>
        <v>8.7022067683144522E-2</v>
      </c>
      <c r="I80" s="467">
        <f>G80*carbon_intensity_n!$C$9</f>
        <v>3.3013786885072293E-3</v>
      </c>
      <c r="J80" s="801">
        <f>H80*cnst_carbon!$C$13*1000000</f>
        <v>29636.903913686514</v>
      </c>
      <c r="K80" s="118">
        <f>I80*cnst_carbon!$C$13*1000000</f>
        <v>1124.3428888662511</v>
      </c>
    </row>
    <row r="81" spans="1:11" ht="12">
      <c r="A81" s="27" t="s">
        <v>1328</v>
      </c>
      <c r="B81" s="1543" t="s">
        <v>7902</v>
      </c>
      <c r="C81" s="1135">
        <v>97412788</v>
      </c>
      <c r="D81" s="1138">
        <v>19937719</v>
      </c>
      <c r="E81" s="1191">
        <v>4.78</v>
      </c>
      <c r="F81" s="126">
        <f t="shared" si="2"/>
        <v>465633.12664000003</v>
      </c>
      <c r="G81" s="126">
        <f t="shared" si="3"/>
        <v>95302.296820000003</v>
      </c>
      <c r="H81" s="467">
        <f>F81*cnst_carbon!$C$11/10^6</f>
        <v>2.637260313686771E-2</v>
      </c>
      <c r="I81" s="467">
        <f>G81*carbon_intensity_n!$C$9</f>
        <v>5.3333377787397095E-3</v>
      </c>
      <c r="J81" s="801">
        <f>H81*cnst_carbon!$C$13*1000000</f>
        <v>8981.6563307484594</v>
      </c>
      <c r="K81" s="118">
        <f>I81*cnst_carbon!$C$13*1000000</f>
        <v>1816.3624870793399</v>
      </c>
    </row>
    <row r="82" spans="1:11" ht="12">
      <c r="A82" s="27" t="s">
        <v>1329</v>
      </c>
      <c r="B82" s="1543" t="s">
        <v>7903</v>
      </c>
      <c r="C82" s="1135">
        <v>151939668</v>
      </c>
      <c r="D82" s="1138">
        <v>49388786</v>
      </c>
      <c r="E82" s="1191">
        <v>12.8</v>
      </c>
      <c r="F82" s="126">
        <f t="shared" si="2"/>
        <v>1944827.7504</v>
      </c>
      <c r="G82" s="126">
        <f t="shared" si="3"/>
        <v>632176.46080000012</v>
      </c>
      <c r="H82" s="467">
        <f>F82*cnst_carbon!$C$11/10^6</f>
        <v>0.11015146366620289</v>
      </c>
      <c r="I82" s="467">
        <f>G82*carbon_intensity_n!$C$9</f>
        <v>3.5378062373277896E-2</v>
      </c>
      <c r="J82" s="801">
        <f>H82*cnst_carbon!$C$13*1000000</f>
        <v>37514.0287003259</v>
      </c>
      <c r="K82" s="118">
        <f>I82*cnst_carbon!$C$13*1000000</f>
        <v>12048.624712376613</v>
      </c>
    </row>
    <row r="83" spans="1:11" ht="12">
      <c r="A83" s="27" t="s">
        <v>1330</v>
      </c>
      <c r="B83" s="1543" t="s">
        <v>7904</v>
      </c>
      <c r="C83" s="1135">
        <v>605108237</v>
      </c>
      <c r="D83" s="1138">
        <v>339759978</v>
      </c>
      <c r="E83" s="1191">
        <v>30</v>
      </c>
      <c r="F83" s="126">
        <f t="shared" si="2"/>
        <v>18153247.109999999</v>
      </c>
      <c r="G83" s="126">
        <f t="shared" si="3"/>
        <v>10192799.34</v>
      </c>
      <c r="H83" s="467">
        <f>F83*cnst_carbon!$C$11/10^6</f>
        <v>1.0281664990894444</v>
      </c>
      <c r="I83" s="467">
        <f>G83*carbon_intensity_n!$C$9</f>
        <v>0.57041271412177463</v>
      </c>
      <c r="J83" s="801">
        <f>H83*cnst_carbon!$C$13*1000000</f>
        <v>350160.2817774397</v>
      </c>
      <c r="K83" s="118">
        <f>I83*cnst_carbon!$C$13*1000000</f>
        <v>194264.13609391384</v>
      </c>
    </row>
    <row r="84" spans="1:11" ht="12">
      <c r="A84" s="27" t="s">
        <v>4578</v>
      </c>
      <c r="B84" s="1543" t="s">
        <v>7905</v>
      </c>
      <c r="C84" s="1135">
        <v>130161519</v>
      </c>
      <c r="D84" s="1138">
        <v>13888924</v>
      </c>
      <c r="E84" s="1191">
        <v>16</v>
      </c>
      <c r="F84" s="126">
        <f t="shared" si="2"/>
        <v>2082584.304</v>
      </c>
      <c r="G84" s="126">
        <f t="shared" si="3"/>
        <v>222222.78400000001</v>
      </c>
      <c r="H84" s="467">
        <f>F84*cnst_carbon!$C$11/10^6</f>
        <v>0.11795374127435139</v>
      </c>
      <c r="I84" s="467">
        <f>G84*carbon_intensity_n!$C$9</f>
        <v>1.2436102893117182E-2</v>
      </c>
      <c r="J84" s="801">
        <f>H84*cnst_carbon!$C$13*1000000</f>
        <v>40171.232303239063</v>
      </c>
      <c r="K84" s="118">
        <f>I84*cnst_carbon!$C$13*1000000</f>
        <v>4235.334741137407</v>
      </c>
    </row>
    <row r="85" spans="1:11" ht="12">
      <c r="A85" s="27" t="s">
        <v>1331</v>
      </c>
      <c r="B85" s="1543" t="s">
        <v>7906</v>
      </c>
      <c r="C85" s="1135">
        <v>1650381</v>
      </c>
      <c r="D85" s="1138">
        <v>132532</v>
      </c>
      <c r="E85" s="1191">
        <v>10</v>
      </c>
      <c r="F85" s="126">
        <f t="shared" si="2"/>
        <v>16503.810000000001</v>
      </c>
      <c r="G85" s="126">
        <f t="shared" si="3"/>
        <v>1325.32</v>
      </c>
      <c r="H85" s="467">
        <f>F85*cnst_carbon!$C$11/10^6</f>
        <v>9.3474541752863087E-4</v>
      </c>
      <c r="I85" s="467">
        <f>G85*carbon_intensity_n!$C$9</f>
        <v>7.4167983991713736E-5</v>
      </c>
      <c r="J85" s="801">
        <f>H85*cnst_carbon!$C$13*1000000</f>
        <v>318.34408053740896</v>
      </c>
      <c r="K85" s="118">
        <f>I85*cnst_carbon!$C$13*1000000</f>
        <v>25.259218420754852</v>
      </c>
    </row>
    <row r="86" spans="1:11" ht="12">
      <c r="A86" s="27" t="s">
        <v>1332</v>
      </c>
      <c r="B86" s="1543" t="s">
        <v>7907</v>
      </c>
      <c r="C86" s="1135">
        <v>187071846</v>
      </c>
      <c r="D86" s="1138">
        <v>15073834</v>
      </c>
      <c r="E86" s="1191">
        <v>7.62</v>
      </c>
      <c r="F86" s="126">
        <f t="shared" si="2"/>
        <v>1425487.46652</v>
      </c>
      <c r="G86" s="126">
        <f t="shared" si="3"/>
        <v>114862.61508</v>
      </c>
      <c r="H86" s="467">
        <f>F86*cnst_carbon!$C$11/10^6</f>
        <v>8.0736986009537645E-2</v>
      </c>
      <c r="I86" s="467">
        <f>G86*carbon_intensity_n!$C$9</f>
        <v>6.4279785987533715E-3</v>
      </c>
      <c r="J86" s="801">
        <f>H86*cnst_carbon!$C$13*1000000</f>
        <v>27496.408214037237</v>
      </c>
      <c r="K86" s="118">
        <f>I86*cnst_carbon!$C$13*1000000</f>
        <v>2189.1617742770131</v>
      </c>
    </row>
    <row r="87" spans="1:11" ht="12">
      <c r="A87" s="27" t="s">
        <v>1333</v>
      </c>
      <c r="B87" s="1543" t="s">
        <v>7908</v>
      </c>
      <c r="C87" s="1135">
        <v>150867160</v>
      </c>
      <c r="D87" s="1138">
        <v>17971443</v>
      </c>
      <c r="E87" s="1191">
        <v>30</v>
      </c>
      <c r="F87" s="126">
        <f t="shared" si="2"/>
        <v>4526014.8</v>
      </c>
      <c r="G87" s="126">
        <f t="shared" si="3"/>
        <v>539143.29</v>
      </c>
      <c r="H87" s="467">
        <f>F87*cnst_carbon!$C$11/10^6</f>
        <v>0.25634514660352747</v>
      </c>
      <c r="I87" s="467">
        <f>G87*carbon_intensity_n!$C$9</f>
        <v>3.017171015449845E-2</v>
      </c>
      <c r="J87" s="801">
        <f>H87*cnst_carbon!$C$13*1000000</f>
        <v>87302.872488516587</v>
      </c>
      <c r="K87" s="118">
        <f>I87*cnst_carbon!$C$13*1000000</f>
        <v>10275.509403158767</v>
      </c>
    </row>
    <row r="88" spans="1:11" ht="12">
      <c r="A88" s="27" t="s">
        <v>1393</v>
      </c>
      <c r="B88" s="1543" t="s">
        <v>7909</v>
      </c>
      <c r="C88" s="1135">
        <v>397955034</v>
      </c>
      <c r="D88" s="1138">
        <v>5145037117</v>
      </c>
      <c r="E88" s="1191">
        <v>4</v>
      </c>
      <c r="F88" s="126">
        <f t="shared" si="2"/>
        <v>1591820.1359999999</v>
      </c>
      <c r="G88" s="126">
        <f t="shared" si="3"/>
        <v>20580148.467999998</v>
      </c>
      <c r="H88" s="467">
        <f>F88*cnst_carbon!$C$11/10^6</f>
        <v>9.0157762217076054E-2</v>
      </c>
      <c r="I88" s="467">
        <f>G88*carbon_intensity_n!$C$9</f>
        <v>1.1517128860363657</v>
      </c>
      <c r="J88" s="801">
        <f>H88*cnst_carbon!$C$13*1000000</f>
        <v>30704.820134008653</v>
      </c>
      <c r="K88" s="118">
        <f>I88*cnst_carbon!$C$13*1000000</f>
        <v>392236.18845620332</v>
      </c>
    </row>
    <row r="89" spans="1:11" ht="12">
      <c r="A89" s="27" t="s">
        <v>1394</v>
      </c>
      <c r="B89" s="1543" t="s">
        <v>7910</v>
      </c>
      <c r="C89" s="1135">
        <v>199068000</v>
      </c>
      <c r="D89" s="1138">
        <v>1215054000</v>
      </c>
      <c r="E89" s="1191">
        <v>4</v>
      </c>
      <c r="F89" s="126">
        <f t="shared" si="2"/>
        <v>796272</v>
      </c>
      <c r="G89" s="126">
        <f t="shared" si="3"/>
        <v>4860216</v>
      </c>
      <c r="H89" s="467">
        <f>F89*cnst_carbon!$C$11/10^6</f>
        <v>4.5099380270759173E-2</v>
      </c>
      <c r="I89" s="467">
        <f>G89*carbon_intensity_n!$C$9</f>
        <v>0.27198897057636723</v>
      </c>
      <c r="J89" s="801">
        <f>H89*cnst_carbon!$C$13*1000000</f>
        <v>15359.391419174344</v>
      </c>
      <c r="K89" s="118">
        <f>I89*cnst_carbon!$C$13*1000000</f>
        <v>92630.653363751757</v>
      </c>
    </row>
    <row r="90" spans="1:11" ht="12">
      <c r="A90" s="27" t="s">
        <v>481</v>
      </c>
      <c r="B90" s="1543" t="s">
        <v>7911</v>
      </c>
      <c r="C90" s="1135">
        <v>3301032974</v>
      </c>
      <c r="D90" s="1138">
        <v>7797348689</v>
      </c>
      <c r="E90" s="1191">
        <v>21.45</v>
      </c>
      <c r="F90" s="126">
        <f t="shared" si="2"/>
        <v>70807157.292300001</v>
      </c>
      <c r="G90" s="126">
        <f t="shared" si="3"/>
        <v>167253129.37904999</v>
      </c>
      <c r="H90" s="467">
        <f>F90*cnst_carbon!$C$11/10^6</f>
        <v>4.0103870443980147</v>
      </c>
      <c r="I90" s="467">
        <f>G90*carbon_intensity_n!$C$9</f>
        <v>9.3598734059317046</v>
      </c>
      <c r="J90" s="801">
        <f>H90*cnst_carbon!$C$13*1000000</f>
        <v>1365808.2214764308</v>
      </c>
      <c r="K90" s="118">
        <f>I90*cnst_carbon!$C$13*1000000</f>
        <v>3187670.393972923</v>
      </c>
    </row>
    <row r="91" spans="1:11" ht="12">
      <c r="A91" s="27" t="s">
        <v>4484</v>
      </c>
      <c r="B91" s="1543" t="s">
        <v>7912</v>
      </c>
      <c r="C91" s="1135">
        <v>121399000</v>
      </c>
      <c r="D91" s="1138">
        <v>408578000</v>
      </c>
      <c r="E91" s="1191">
        <v>59.69</v>
      </c>
      <c r="F91" s="126">
        <f t="shared" si="2"/>
        <v>7246306.3099999996</v>
      </c>
      <c r="G91" s="126">
        <f t="shared" si="3"/>
        <v>24388020.82</v>
      </c>
      <c r="H91" s="467">
        <f>F91*cnst_carbon!$C$11/10^6</f>
        <v>0.41041745010887198</v>
      </c>
      <c r="I91" s="467">
        <f>G91*carbon_intensity_n!$C$9</f>
        <v>1.3648102630061734</v>
      </c>
      <c r="J91" s="801">
        <f>H91*cnst_carbon!$C$13*1000000</f>
        <v>139774.91982453596</v>
      </c>
      <c r="K91" s="118">
        <f>I91*cnst_carbon!$C$13*1000000</f>
        <v>464810.26826901955</v>
      </c>
    </row>
    <row r="92" spans="1:11" ht="12">
      <c r="A92" s="27" t="s">
        <v>4485</v>
      </c>
      <c r="B92" s="1543" t="s">
        <v>7913</v>
      </c>
      <c r="C92" s="1135">
        <v>1143687993</v>
      </c>
      <c r="D92" s="1138">
        <v>14148009198</v>
      </c>
      <c r="E92" s="1191">
        <v>7.4533333333333331</v>
      </c>
      <c r="F92" s="126">
        <f t="shared" si="2"/>
        <v>8524287.8411599994</v>
      </c>
      <c r="G92" s="126">
        <f t="shared" si="3"/>
        <v>105449828.55576</v>
      </c>
      <c r="H92" s="467">
        <f>F92*cnst_carbon!$C$11/10^6</f>
        <v>0.48279997147442527</v>
      </c>
      <c r="I92" s="467">
        <f>G92*carbon_intensity_n!$C$9</f>
        <v>5.9012172126373752</v>
      </c>
      <c r="J92" s="801">
        <f>H92*cnst_carbon!$C$13*1000000</f>
        <v>164426.06737658122</v>
      </c>
      <c r="K92" s="118">
        <f>I92*cnst_carbon!$C$13*1000000</f>
        <v>2009763.8697983085</v>
      </c>
    </row>
    <row r="93" spans="1:11" ht="12">
      <c r="A93" s="27" t="s">
        <v>4486</v>
      </c>
      <c r="B93" s="1543" t="s">
        <v>7914</v>
      </c>
      <c r="C93" s="1135">
        <v>22247572</v>
      </c>
      <c r="D93" s="1138">
        <v>136228213</v>
      </c>
      <c r="E93" s="1191">
        <v>4.42</v>
      </c>
      <c r="F93" s="126">
        <f t="shared" si="2"/>
        <v>98334.26823999999</v>
      </c>
      <c r="G93" s="126">
        <f t="shared" si="3"/>
        <v>602128.70146000001</v>
      </c>
      <c r="H93" s="467">
        <f>F93*cnst_carbon!$C$11/10^6</f>
        <v>5.569471935472547E-3</v>
      </c>
      <c r="I93" s="467">
        <f>G93*carbon_intensity_n!$C$9</f>
        <v>3.3696520003347621E-2</v>
      </c>
      <c r="J93" s="801">
        <f>H93*cnst_carbon!$C$13*1000000</f>
        <v>1896.7821495873823</v>
      </c>
      <c r="K93" s="118">
        <f>I93*cnst_carbon!$C$13*1000000</f>
        <v>11475.945724491923</v>
      </c>
    </row>
    <row r="94" spans="1:11" ht="12">
      <c r="A94" s="27" t="s">
        <v>1925</v>
      </c>
      <c r="B94" s="1543" t="s">
        <v>7915</v>
      </c>
      <c r="C94" s="1135">
        <v>123493070</v>
      </c>
      <c r="D94" s="1138">
        <v>204648268</v>
      </c>
      <c r="E94" s="1191">
        <v>30</v>
      </c>
      <c r="F94" s="126">
        <f t="shared" si="2"/>
        <v>3704792.1</v>
      </c>
      <c r="G94" s="126">
        <f t="shared" si="3"/>
        <v>6139448.04</v>
      </c>
      <c r="H94" s="467">
        <f>F94*cnst_carbon!$C$11/10^6</f>
        <v>0.20983260461501152</v>
      </c>
      <c r="I94" s="467">
        <f>G94*carbon_intensity_n!$C$9</f>
        <v>0.34357776533114898</v>
      </c>
      <c r="J94" s="801">
        <f>H94*cnst_carbon!$C$13*1000000</f>
        <v>71462.203858185268</v>
      </c>
      <c r="K94" s="118">
        <f>I94*cnst_carbon!$C$13*1000000</f>
        <v>117011.48328346007</v>
      </c>
    </row>
    <row r="95" spans="1:11" ht="12">
      <c r="A95" s="27" t="s">
        <v>790</v>
      </c>
      <c r="B95" s="1543" t="s">
        <v>7916</v>
      </c>
      <c r="C95" s="1135">
        <v>1514647549</v>
      </c>
      <c r="D95" s="1138">
        <v>2276531616</v>
      </c>
      <c r="E95" s="1191">
        <v>30</v>
      </c>
      <c r="F95" s="126">
        <f t="shared" si="2"/>
        <v>45439426.469999999</v>
      </c>
      <c r="G95" s="126">
        <f t="shared" si="3"/>
        <v>68295948.480000004</v>
      </c>
      <c r="H95" s="467">
        <f>F95*cnst_carbon!$C$11/10^6</f>
        <v>2.5736054685531204</v>
      </c>
      <c r="I95" s="467">
        <f>G95*carbon_intensity_n!$C$9</f>
        <v>3.8219998291458266</v>
      </c>
      <c r="J95" s="801">
        <f>H95*cnst_carbon!$C$13*1000000</f>
        <v>876486.84999035706</v>
      </c>
      <c r="K95" s="118">
        <f>I95*cnst_carbon!$C$13*1000000</f>
        <v>1301649.6241729851</v>
      </c>
    </row>
    <row r="96" spans="1:11" ht="12">
      <c r="A96" s="27" t="s">
        <v>791</v>
      </c>
      <c r="B96" s="1543" t="s">
        <v>7917</v>
      </c>
      <c r="C96" s="1135">
        <v>2251585264</v>
      </c>
      <c r="D96" s="1138">
        <v>1389248241</v>
      </c>
      <c r="E96" s="1191">
        <v>10</v>
      </c>
      <c r="F96" s="126">
        <f t="shared" si="2"/>
        <v>22515852.640000001</v>
      </c>
      <c r="G96" s="126">
        <f t="shared" si="3"/>
        <v>13892482.41</v>
      </c>
      <c r="H96" s="467">
        <f>F96*cnst_carbon!$C$11/10^6</f>
        <v>1.2752564454504702</v>
      </c>
      <c r="I96" s="467">
        <f>G96*carbon_intensity_n!$C$9</f>
        <v>0.77745556770443724</v>
      </c>
      <c r="J96" s="801">
        <f>H96*cnst_carbon!$C$13*1000000</f>
        <v>434311.13216866844</v>
      </c>
      <c r="K96" s="118">
        <f>I96*cnst_carbon!$C$13*1000000</f>
        <v>264776.24090837291</v>
      </c>
    </row>
    <row r="97" spans="1:11" ht="12">
      <c r="A97" s="27" t="s">
        <v>792</v>
      </c>
      <c r="B97" s="1543" t="s">
        <v>7918</v>
      </c>
      <c r="C97" s="1135">
        <v>1109885209</v>
      </c>
      <c r="D97" s="1138">
        <v>417558538</v>
      </c>
      <c r="E97" s="1191">
        <v>7.2</v>
      </c>
      <c r="F97" s="126">
        <f t="shared" si="2"/>
        <v>7991173.5048000002</v>
      </c>
      <c r="G97" s="126">
        <f t="shared" si="3"/>
        <v>3006421.4735999997</v>
      </c>
      <c r="H97" s="467">
        <f>F97*cnst_carbon!$C$11/10^6</f>
        <v>0.45260535684111786</v>
      </c>
      <c r="I97" s="467">
        <f>G97*carbon_intensity_n!$C$9</f>
        <v>0.16824632520923946</v>
      </c>
      <c r="J97" s="801">
        <f>H97*cnst_carbon!$C$13*1000000</f>
        <v>154142.75744815654</v>
      </c>
      <c r="K97" s="118">
        <f>I97*cnst_carbon!$C$13*1000000</f>
        <v>57299.261058846227</v>
      </c>
    </row>
    <row r="98" spans="1:11" ht="12">
      <c r="A98" s="27" t="s">
        <v>793</v>
      </c>
      <c r="B98" s="1543" t="s">
        <v>7919</v>
      </c>
      <c r="C98" s="1135">
        <v>50023267</v>
      </c>
      <c r="D98" s="1138">
        <v>26710813</v>
      </c>
      <c r="E98" s="1191">
        <v>7.62</v>
      </c>
      <c r="F98" s="126">
        <f t="shared" si="2"/>
        <v>381177.29454000003</v>
      </c>
      <c r="G98" s="126">
        <f t="shared" si="3"/>
        <v>203536.39506000001</v>
      </c>
      <c r="H98" s="467">
        <f>F98*cnst_carbon!$C$11/10^6</f>
        <v>2.1589180276386254E-2</v>
      </c>
      <c r="I98" s="467">
        <f>G98*carbon_intensity_n!$C$9</f>
        <v>1.1390369186718079E-2</v>
      </c>
      <c r="J98" s="801">
        <f>H98*cnst_carbon!$C$13*1000000</f>
        <v>7352.5770929302653</v>
      </c>
      <c r="K98" s="118">
        <f>I98*cnst_carbon!$C$13*1000000</f>
        <v>3879.1916362792304</v>
      </c>
    </row>
    <row r="99" spans="1:11" ht="12">
      <c r="A99" s="27" t="s">
        <v>2143</v>
      </c>
      <c r="B99" s="1543" t="s">
        <v>7920</v>
      </c>
      <c r="C99" s="1135">
        <v>3231222345</v>
      </c>
      <c r="D99" s="1138">
        <v>497572089</v>
      </c>
      <c r="E99" s="1191">
        <v>23.94</v>
      </c>
      <c r="F99" s="126">
        <f t="shared" si="2"/>
        <v>77355462.939300001</v>
      </c>
      <c r="G99" s="126">
        <f t="shared" si="3"/>
        <v>11911875.810659999</v>
      </c>
      <c r="H99" s="467">
        <f>F99*cnst_carbon!$C$11/10^6</f>
        <v>4.3812710218620134</v>
      </c>
      <c r="I99" s="467">
        <f>G99*carbon_intensity_n!$C$9</f>
        <v>0.66661622433549106</v>
      </c>
      <c r="J99" s="801">
        <f>H99*cnst_carbon!$C$13*1000000</f>
        <v>1492119.3181427245</v>
      </c>
      <c r="K99" s="118">
        <f>I99*cnst_carbon!$C$13*1000000</f>
        <v>227027.94261187277</v>
      </c>
    </row>
    <row r="100" spans="1:11" ht="12">
      <c r="A100" s="27" t="s">
        <v>2144</v>
      </c>
      <c r="B100" s="1543" t="s">
        <v>7921</v>
      </c>
      <c r="C100" s="1135">
        <v>645728763</v>
      </c>
      <c r="D100" s="1138">
        <v>610670027</v>
      </c>
      <c r="E100" s="1191">
        <v>23.94</v>
      </c>
      <c r="F100" s="126">
        <f t="shared" si="2"/>
        <v>15458746.586220002</v>
      </c>
      <c r="G100" s="126">
        <f t="shared" si="3"/>
        <v>14619440.446380001</v>
      </c>
      <c r="H100" s="467">
        <f>F100*cnst_carbon!$C$11/10^6</f>
        <v>0.87555494956652502</v>
      </c>
      <c r="I100" s="467">
        <f>G100*carbon_intensity_n!$C$9</f>
        <v>0.81813782708698601</v>
      </c>
      <c r="J100" s="801">
        <f>H100*cnst_carbon!$C$13*1000000</f>
        <v>298185.72003985842</v>
      </c>
      <c r="K100" s="118">
        <f>I100*cnst_carbon!$C$13*1000000</f>
        <v>278631.30370350578</v>
      </c>
    </row>
    <row r="101" spans="1:11" ht="12">
      <c r="A101" s="27" t="s">
        <v>4479</v>
      </c>
      <c r="B101" s="1543" t="s">
        <v>7922</v>
      </c>
      <c r="C101" s="1135">
        <v>199861524</v>
      </c>
      <c r="D101" s="1138">
        <v>173470605</v>
      </c>
      <c r="E101" s="1191">
        <v>25.84</v>
      </c>
      <c r="F101" s="126">
        <f t="shared" si="2"/>
        <v>5164421.7801599996</v>
      </c>
      <c r="G101" s="126">
        <f t="shared" si="3"/>
        <v>4482480.4331999999</v>
      </c>
      <c r="H101" s="467">
        <f>F101*cnst_carbon!$C$11/10^6</f>
        <v>0.2925033427547708</v>
      </c>
      <c r="I101" s="467">
        <f>G101*carbon_intensity_n!$C$9</f>
        <v>0.2508500113276399</v>
      </c>
      <c r="J101" s="801">
        <f>H101*cnst_carbon!$C$13*1000000</f>
        <v>99617.185553663308</v>
      </c>
      <c r="K101" s="118">
        <f>I101*cnst_carbon!$C$13*1000000</f>
        <v>85431.407002805849</v>
      </c>
    </row>
    <row r="102" spans="1:11" ht="12">
      <c r="A102" s="27" t="s">
        <v>4480</v>
      </c>
      <c r="B102" s="1543" t="s">
        <v>7923</v>
      </c>
      <c r="C102" s="1135">
        <v>23141831</v>
      </c>
      <c r="D102" s="1138">
        <v>491149</v>
      </c>
      <c r="E102" s="1191">
        <v>100</v>
      </c>
      <c r="F102" s="126">
        <f t="shared" si="2"/>
        <v>2314183.1</v>
      </c>
      <c r="G102" s="126">
        <f t="shared" si="3"/>
        <v>49114.9</v>
      </c>
      <c r="H102" s="467">
        <f>F102*cnst_carbon!$C$11/10^6</f>
        <v>0.13107107074349508</v>
      </c>
      <c r="I102" s="467">
        <f>G102*carbon_intensity_n!$C$9</f>
        <v>2.7485838265133111E-3</v>
      </c>
      <c r="J102" s="801">
        <f>H102*cnst_carbon!$C$13*1000000</f>
        <v>44638.570800603666</v>
      </c>
      <c r="K102" s="118">
        <f>I102*cnst_carbon!$C$13*1000000</f>
        <v>936.07882384143647</v>
      </c>
    </row>
    <row r="103" spans="1:11" ht="12">
      <c r="A103" s="27" t="s">
        <v>4481</v>
      </c>
      <c r="B103" s="1543" t="s">
        <v>7924</v>
      </c>
      <c r="C103" s="1135">
        <v>37331686</v>
      </c>
      <c r="D103" s="1138">
        <v>34410168</v>
      </c>
      <c r="E103" s="1191">
        <v>100</v>
      </c>
      <c r="F103" s="126">
        <f t="shared" si="2"/>
        <v>3733168.6</v>
      </c>
      <c r="G103" s="126">
        <f t="shared" si="3"/>
        <v>3441016.8</v>
      </c>
      <c r="H103" s="467">
        <f>F103*cnst_carbon!$C$11/10^6</f>
        <v>0.21143979733841911</v>
      </c>
      <c r="I103" s="467">
        <f>G103*carbon_intensity_n!$C$9</f>
        <v>0.19256728860774608</v>
      </c>
      <c r="J103" s="801">
        <f>H103*cnst_carbon!$C$13*1000000</f>
        <v>72009.56175926204</v>
      </c>
      <c r="K103" s="118">
        <f>I103*cnst_carbon!$C$13*1000000</f>
        <v>65582.19519865913</v>
      </c>
    </row>
    <row r="104" spans="1:11" ht="12">
      <c r="A104" s="27" t="s">
        <v>5213</v>
      </c>
      <c r="B104" s="1543" t="s">
        <v>7925</v>
      </c>
      <c r="C104" s="1135">
        <v>6428726</v>
      </c>
      <c r="D104" s="1138">
        <v>22469774</v>
      </c>
      <c r="E104" s="1191">
        <v>16</v>
      </c>
      <c r="F104" s="126">
        <f t="shared" si="2"/>
        <v>102859.61599999999</v>
      </c>
      <c r="G104" s="126">
        <f t="shared" si="3"/>
        <v>359516.38400000002</v>
      </c>
      <c r="H104" s="467">
        <f>F104*cnst_carbon!$C$11/10^6</f>
        <v>5.8257793021583883E-3</v>
      </c>
      <c r="I104" s="467">
        <f>G104*carbon_intensity_n!$C$9</f>
        <v>2.0119371482563316E-2</v>
      </c>
      <c r="J104" s="801">
        <f>H104*cnst_carbon!$C$13*1000000</f>
        <v>1984.072155456889</v>
      </c>
      <c r="K104" s="118">
        <f>I104*cnst_carbon!$C$13*1000000</f>
        <v>6852.0077183593221</v>
      </c>
    </row>
    <row r="105" spans="1:11" ht="12">
      <c r="A105" s="27" t="s">
        <v>5214</v>
      </c>
      <c r="B105" s="1543" t="s">
        <v>7926</v>
      </c>
      <c r="C105" s="1135">
        <v>20170503</v>
      </c>
      <c r="D105" s="1138">
        <v>803388738</v>
      </c>
      <c r="E105" s="1191">
        <v>35</v>
      </c>
      <c r="F105" s="126">
        <f t="shared" si="2"/>
        <v>705967.60499999998</v>
      </c>
      <c r="G105" s="126">
        <f t="shared" si="3"/>
        <v>28118605.829999998</v>
      </c>
      <c r="H105" s="467">
        <f>F105*cnst_carbon!$C$11/10^6</f>
        <v>3.9984705573889459E-2</v>
      </c>
      <c r="I105" s="467">
        <f>G105*carbon_intensity_n!$C$9</f>
        <v>1.5735824608915194</v>
      </c>
      <c r="J105" s="801">
        <f>H105*cnst_carbon!$C$13*1000000</f>
        <v>13617.498511126931</v>
      </c>
      <c r="K105" s="118">
        <f>I105*cnst_carbon!$C$13*1000000</f>
        <v>535911.33186481812</v>
      </c>
    </row>
    <row r="106" spans="1:11" ht="12">
      <c r="A106" s="27" t="s">
        <v>5215</v>
      </c>
      <c r="B106" s="1543" t="s">
        <v>7927</v>
      </c>
      <c r="C106" s="1135">
        <v>1120026</v>
      </c>
      <c r="D106" s="1138">
        <v>270050258</v>
      </c>
      <c r="E106" s="1191">
        <v>35</v>
      </c>
      <c r="F106" s="126">
        <f t="shared" si="2"/>
        <v>39200.910000000003</v>
      </c>
      <c r="G106" s="126">
        <f t="shared" si="3"/>
        <v>9451759.0299999993</v>
      </c>
      <c r="H106" s="467">
        <f>F106*cnst_carbon!$C$11/10^6</f>
        <v>2.2202673798021356E-3</v>
      </c>
      <c r="I106" s="467">
        <f>G106*carbon_intensity_n!$C$9</f>
        <v>0.52894237801480082</v>
      </c>
      <c r="J106" s="801">
        <f>H106*cnst_carbon!$C$13*1000000</f>
        <v>756.15131597974789</v>
      </c>
      <c r="K106" s="118">
        <f>I106*cnst_carbon!$C$13*1000000</f>
        <v>180140.67983514324</v>
      </c>
    </row>
    <row r="107" spans="1:11" ht="12">
      <c r="A107" s="27" t="s">
        <v>5216</v>
      </c>
      <c r="B107" s="1543" t="s">
        <v>7928</v>
      </c>
      <c r="C107" s="1135">
        <v>21297.0496526352</v>
      </c>
      <c r="D107" s="1138">
        <v>35933.471545690802</v>
      </c>
      <c r="E107" s="1191">
        <v>35</v>
      </c>
      <c r="F107" s="126">
        <f t="shared" si="2"/>
        <v>745.39673784223203</v>
      </c>
      <c r="G107" s="126">
        <f t="shared" si="3"/>
        <v>1257.671504099178</v>
      </c>
      <c r="H107" s="467">
        <f>F107*cnst_carbon!$C$11/10^6</f>
        <v>4.2217899075353906E-5</v>
      </c>
      <c r="I107" s="467">
        <f>G107*carbon_intensity_n!$C$9</f>
        <v>7.038221711198985E-5</v>
      </c>
      <c r="J107" s="801">
        <f>H107*cnst_carbon!$C$13*1000000</f>
        <v>14.378052046404402</v>
      </c>
      <c r="K107" s="118">
        <f>I107*cnst_carbon!$C$13*1000000</f>
        <v>23.969908568195169</v>
      </c>
    </row>
    <row r="108" spans="1:11" ht="12">
      <c r="A108" s="27" t="s">
        <v>2738</v>
      </c>
      <c r="B108" s="1543" t="s">
        <v>7929</v>
      </c>
      <c r="C108" s="1135">
        <v>744251</v>
      </c>
      <c r="D108" s="1138">
        <v>9097637</v>
      </c>
      <c r="E108" s="1191">
        <v>10</v>
      </c>
      <c r="F108" s="126">
        <f t="shared" si="2"/>
        <v>7442.51</v>
      </c>
      <c r="G108" s="126">
        <f t="shared" si="3"/>
        <v>90976.37</v>
      </c>
      <c r="H108" s="467">
        <f>F108*cnst_carbon!$C$11/10^6</f>
        <v>4.2153006593089782E-4</v>
      </c>
      <c r="I108" s="467">
        <f>G108*carbon_intensity_n!$C$9</f>
        <v>5.0912488710531997E-3</v>
      </c>
      <c r="J108" s="801">
        <f>H108*cnst_carbon!$C$13*1000000</f>
        <v>143.55951764110662</v>
      </c>
      <c r="K108" s="118">
        <f>I108*cnst_carbon!$C$13*1000000</f>
        <v>1733.9148288393817</v>
      </c>
    </row>
    <row r="109" spans="1:11" ht="12">
      <c r="A109" s="27" t="s">
        <v>2739</v>
      </c>
      <c r="B109" s="1543" t="s">
        <v>7930</v>
      </c>
      <c r="C109" s="1135">
        <v>65559</v>
      </c>
      <c r="D109" s="1138">
        <v>257734</v>
      </c>
      <c r="E109" s="1191">
        <v>35</v>
      </c>
      <c r="F109" s="126">
        <f t="shared" si="2"/>
        <v>2294.5650000000001</v>
      </c>
      <c r="G109" s="126">
        <f t="shared" si="3"/>
        <v>9020.69</v>
      </c>
      <c r="H109" s="467">
        <f>F109*cnst_carbon!$C$11/10^6</f>
        <v>1.2995993767327561E-4</v>
      </c>
      <c r="I109" s="467">
        <f>G109*carbon_intensity_n!$C$9</f>
        <v>5.048187543492985E-4</v>
      </c>
      <c r="J109" s="801">
        <f>H109*cnst_carbon!$C$13*1000000</f>
        <v>44.260154785974862</v>
      </c>
      <c r="K109" s="118">
        <f>I109*cnst_carbon!$C$13*1000000</f>
        <v>171.9249532308568</v>
      </c>
    </row>
    <row r="110" spans="1:11" ht="12">
      <c r="A110" s="27" t="s">
        <v>2670</v>
      </c>
      <c r="B110" s="1543" t="s">
        <v>7931</v>
      </c>
      <c r="C110" s="1135">
        <v>1555175</v>
      </c>
      <c r="D110" s="1138">
        <v>2211286</v>
      </c>
      <c r="E110" s="1191">
        <v>35</v>
      </c>
      <c r="F110" s="126">
        <f t="shared" si="2"/>
        <v>54431.125</v>
      </c>
      <c r="G110" s="126">
        <f t="shared" si="3"/>
        <v>77395.009999999995</v>
      </c>
      <c r="H110" s="467">
        <f>F110*cnst_carbon!$C$11/10^6</f>
        <v>3.0828787210152139E-3</v>
      </c>
      <c r="I110" s="467">
        <f>G110*carbon_intensity_n!$C$9</f>
        <v>4.3312044356974356E-3</v>
      </c>
      <c r="J110" s="801">
        <f>H110*cnst_carbon!$C$13*1000000</f>
        <v>1049.928861320009</v>
      </c>
      <c r="K110" s="118">
        <f>I110*cnst_carbon!$C$13*1000000</f>
        <v>1475.068256923993</v>
      </c>
    </row>
    <row r="111" spans="1:11" ht="12">
      <c r="A111" s="27" t="s">
        <v>2671</v>
      </c>
      <c r="B111" s="1543" t="s">
        <v>7932</v>
      </c>
      <c r="C111" s="1135">
        <v>683763</v>
      </c>
      <c r="D111" s="1138">
        <v>118512731</v>
      </c>
      <c r="E111" s="1191">
        <v>35</v>
      </c>
      <c r="F111" s="126">
        <f t="shared" si="2"/>
        <v>23931.705000000002</v>
      </c>
      <c r="G111" s="126">
        <f t="shared" si="3"/>
        <v>4147945.585</v>
      </c>
      <c r="H111" s="467">
        <f>F111*cnst_carbon!$C$11/10^6</f>
        <v>1.3554477167634035E-3</v>
      </c>
      <c r="I111" s="467">
        <f>G111*carbon_intensity_n!$C$9</f>
        <v>0.23212866458423603</v>
      </c>
      <c r="J111" s="801">
        <f>H111*cnst_carbon!$C$13*1000000</f>
        <v>461.62168759319906</v>
      </c>
      <c r="K111" s="118">
        <f>I111*cnst_carbon!$C$13*1000000</f>
        <v>79055.52132988318</v>
      </c>
    </row>
    <row r="112" spans="1:11" ht="12">
      <c r="A112" s="27" t="s">
        <v>4816</v>
      </c>
      <c r="B112" s="1543" t="s">
        <v>7933</v>
      </c>
      <c r="C112" s="1135">
        <v>549671</v>
      </c>
      <c r="D112" s="1138">
        <v>1582175</v>
      </c>
      <c r="E112" s="1191">
        <v>35</v>
      </c>
      <c r="F112" s="126">
        <f t="shared" si="2"/>
        <v>19238.485000000001</v>
      </c>
      <c r="G112" s="126">
        <f t="shared" si="3"/>
        <v>55376.125</v>
      </c>
      <c r="H112" s="467">
        <f>F112*cnst_carbon!$C$11/10^6</f>
        <v>1.0896323754298737E-3</v>
      </c>
      <c r="I112" s="467">
        <f>G112*carbon_intensity_n!$C$9</f>
        <v>3.0989765132369085E-3</v>
      </c>
      <c r="J112" s="801">
        <f>H112*cnst_carbon!$C$13*1000000</f>
        <v>371.09357283304496</v>
      </c>
      <c r="K112" s="118">
        <f>I112*cnst_carbon!$C$13*1000000</f>
        <v>1055.4112491096666</v>
      </c>
    </row>
    <row r="113" spans="1:11" ht="12">
      <c r="A113" s="27" t="s">
        <v>4817</v>
      </c>
      <c r="B113" s="1543" t="s">
        <v>7934</v>
      </c>
      <c r="C113" s="1135">
        <v>7848489</v>
      </c>
      <c r="D113" s="1138">
        <v>400566682</v>
      </c>
      <c r="E113" s="1191">
        <v>16.670000000000002</v>
      </c>
      <c r="F113" s="126">
        <f t="shared" si="2"/>
        <v>130834.31163000001</v>
      </c>
      <c r="G113" s="126">
        <f t="shared" si="3"/>
        <v>6677446.5889400002</v>
      </c>
      <c r="H113" s="467">
        <f>F113*cnst_carbon!$C$11/10^6</f>
        <v>7.4102145657066682E-3</v>
      </c>
      <c r="I113" s="467">
        <f>G113*carbon_intensity_n!$C$9</f>
        <v>0.37368541311836045</v>
      </c>
      <c r="J113" s="801">
        <f>H113*cnst_carbon!$C$13*1000000</f>
        <v>2523.6796011707111</v>
      </c>
      <c r="K113" s="118">
        <f>I113*cnst_carbon!$C$13*1000000</f>
        <v>127265.17511465904</v>
      </c>
    </row>
    <row r="114" spans="1:11" ht="12">
      <c r="A114" s="27" t="s">
        <v>4818</v>
      </c>
      <c r="B114" s="1543" t="s">
        <v>7935</v>
      </c>
      <c r="C114" s="1135">
        <v>16050</v>
      </c>
      <c r="D114" s="1138">
        <v>41284</v>
      </c>
      <c r="E114" s="1191">
        <v>4</v>
      </c>
      <c r="F114" s="126">
        <f t="shared" si="2"/>
        <v>64.2</v>
      </c>
      <c r="G114" s="126">
        <f t="shared" si="3"/>
        <v>165.136</v>
      </c>
      <c r="H114" s="467">
        <f>F114*cnst_carbon!$C$11/10^6</f>
        <v>3.6361698180806799E-6</v>
      </c>
      <c r="I114" s="467">
        <f>G114*carbon_intensity_n!$C$9</f>
        <v>9.241393930866236E-6</v>
      </c>
      <c r="J114" s="801">
        <f>H114*cnst_carbon!$C$13*1000000</f>
        <v>1.2383619279730957</v>
      </c>
      <c r="K114" s="118">
        <f>I114*cnst_carbon!$C$13*1000000</f>
        <v>3.1473201137308524</v>
      </c>
    </row>
    <row r="115" spans="1:11" ht="12">
      <c r="A115" s="27" t="s">
        <v>4819</v>
      </c>
      <c r="B115" s="1543" t="s">
        <v>7936</v>
      </c>
      <c r="C115" s="1135">
        <v>17631.046697649999</v>
      </c>
      <c r="D115" s="1138">
        <v>41479.398108306203</v>
      </c>
      <c r="E115" s="1191">
        <v>20</v>
      </c>
      <c r="F115" s="126">
        <f t="shared" si="2"/>
        <v>352.62093395300002</v>
      </c>
      <c r="G115" s="126">
        <f t="shared" si="3"/>
        <v>829.58796216612404</v>
      </c>
      <c r="H115" s="467">
        <f>F115*cnst_carbon!$C$11/10^6</f>
        <v>1.9971800580425537E-5</v>
      </c>
      <c r="I115" s="467">
        <f>G115*carbon_intensity_n!$C$9</f>
        <v>4.6425668289662511E-5</v>
      </c>
      <c r="J115" s="801">
        <f>H115*cnst_carbon!$C$13*1000000</f>
        <v>6.8017498382197932</v>
      </c>
      <c r="K115" s="118">
        <f>I115*cnst_carbon!$C$13*1000000</f>
        <v>15.81108225604612</v>
      </c>
    </row>
    <row r="116" spans="1:11" ht="12">
      <c r="A116" s="27" t="s">
        <v>4820</v>
      </c>
      <c r="B116" s="1543" t="s">
        <v>7937</v>
      </c>
      <c r="C116" s="1135">
        <v>1247988344</v>
      </c>
      <c r="D116" s="1138">
        <v>39401117964</v>
      </c>
      <c r="E116" s="1191">
        <v>7.6</v>
      </c>
      <c r="F116" s="126">
        <f t="shared" si="2"/>
        <v>9484711.4144000001</v>
      </c>
      <c r="G116" s="126">
        <f t="shared" si="3"/>
        <v>299448496.52639997</v>
      </c>
      <c r="H116" s="467">
        <f>F116*cnst_carbon!$C$11/10^6</f>
        <v>0.5371965946767383</v>
      </c>
      <c r="I116" s="467">
        <f>G116*carbon_intensity_n!$C$9</f>
        <v>16.757833049160038</v>
      </c>
      <c r="J116" s="801">
        <f>H116*cnst_carbon!$C$13*1000000</f>
        <v>182951.7992742183</v>
      </c>
      <c r="K116" s="118">
        <f>I116*cnst_carbon!$C$13*1000000</f>
        <v>5707176.3645964656</v>
      </c>
    </row>
    <row r="117" spans="1:11" ht="12">
      <c r="A117" s="27" t="s">
        <v>261</v>
      </c>
      <c r="B117" s="1543" t="s">
        <v>7938</v>
      </c>
      <c r="C117" s="1135">
        <v>164853748</v>
      </c>
      <c r="D117" s="1138">
        <v>17942955</v>
      </c>
      <c r="E117" s="1191">
        <v>7</v>
      </c>
      <c r="F117" s="126">
        <f t="shared" si="2"/>
        <v>1153976.236</v>
      </c>
      <c r="G117" s="126">
        <f t="shared" si="3"/>
        <v>125600.685</v>
      </c>
      <c r="H117" s="467">
        <f>F117*cnst_carbon!$C$11/10^6</f>
        <v>6.5359089721581734E-2</v>
      </c>
      <c r="I117" s="467">
        <f>G117*carbon_intensity_n!$C$9</f>
        <v>7.0289059204028314E-3</v>
      </c>
      <c r="J117" s="801">
        <f>H117*cnst_carbon!$C$13*1000000</f>
        <v>22259.1937141448</v>
      </c>
      <c r="K117" s="118">
        <f>I117*cnst_carbon!$C$13*1000000</f>
        <v>2393.8181995377931</v>
      </c>
    </row>
    <row r="118" spans="1:11" ht="12">
      <c r="A118" s="27" t="s">
        <v>4821</v>
      </c>
      <c r="B118" s="1543" t="s">
        <v>7939</v>
      </c>
      <c r="C118" s="1135">
        <v>181097895</v>
      </c>
      <c r="D118" s="1138">
        <v>211235396</v>
      </c>
      <c r="E118" s="1191">
        <v>7.85</v>
      </c>
      <c r="F118" s="126">
        <f t="shared" si="2"/>
        <v>1421618.47575</v>
      </c>
      <c r="G118" s="126">
        <f t="shared" si="3"/>
        <v>1658197.8585999999</v>
      </c>
      <c r="H118" s="467">
        <f>F118*cnst_carbon!$C$11/10^6</f>
        <v>8.0517853494517302E-2</v>
      </c>
      <c r="I118" s="467">
        <f>G118*carbon_intensity_n!$C$9</f>
        <v>9.2796601750323546E-2</v>
      </c>
      <c r="J118" s="801">
        <f>H118*cnst_carbon!$C$13*1000000</f>
        <v>27421.778761245227</v>
      </c>
      <c r="K118" s="118">
        <f>I118*cnst_carbon!$C$13*1000000</f>
        <v>31603.523598229385</v>
      </c>
    </row>
    <row r="119" spans="1:11" ht="12">
      <c r="A119" s="27" t="s">
        <v>3879</v>
      </c>
      <c r="B119" s="1543" t="s">
        <v>7940</v>
      </c>
      <c r="C119" s="1135">
        <v>18034.931382696701</v>
      </c>
      <c r="D119" s="1138">
        <v>1137743.1403968099</v>
      </c>
      <c r="E119" s="1191">
        <v>7.85</v>
      </c>
      <c r="F119" s="126">
        <f t="shared" si="2"/>
        <v>141.57421135416908</v>
      </c>
      <c r="G119" s="126">
        <f t="shared" si="3"/>
        <v>8931.2836521149584</v>
      </c>
      <c r="H119" s="467">
        <f>F119*cnst_carbon!$C$11/10^6</f>
        <v>8.0185027156480473E-6</v>
      </c>
      <c r="I119" s="467">
        <f>G119*carbon_intensity_n!$C$9</f>
        <v>4.9981536756067734E-4</v>
      </c>
      <c r="J119" s="801">
        <f>H119*cnst_carbon!$C$13*1000000</f>
        <v>2.730842886663853</v>
      </c>
      <c r="K119" s="118">
        <f>I119*cnst_carbon!$C$13*1000000</f>
        <v>170.22096138780736</v>
      </c>
    </row>
    <row r="120" spans="1:11" ht="12">
      <c r="A120" s="27" t="s">
        <v>1251</v>
      </c>
      <c r="B120" s="1543" t="s">
        <v>7941</v>
      </c>
      <c r="C120" s="1135">
        <v>797394043</v>
      </c>
      <c r="D120" s="1138">
        <v>298502606</v>
      </c>
      <c r="E120" s="1191">
        <v>7.2</v>
      </c>
      <c r="F120" s="126">
        <f t="shared" si="2"/>
        <v>5741237.1096000001</v>
      </c>
      <c r="G120" s="126">
        <f t="shared" si="3"/>
        <v>2149218.7632000004</v>
      </c>
      <c r="H120" s="467">
        <f>F120*cnst_carbon!$C$11/10^6</f>
        <v>0.32517310118959936</v>
      </c>
      <c r="I120" s="467">
        <f>G120*carbon_intensity_n!$C$9</f>
        <v>0.12027527149949328</v>
      </c>
      <c r="J120" s="801">
        <f>H120*cnst_carbon!$C$13*1000000</f>
        <v>110743.44947032616</v>
      </c>
      <c r="K120" s="118">
        <f>I120*cnst_carbon!$C$13*1000000</f>
        <v>40961.87047177543</v>
      </c>
    </row>
    <row r="121" spans="1:11" ht="12">
      <c r="A121" s="27" t="s">
        <v>1252</v>
      </c>
      <c r="B121" s="1543" t="s">
        <v>7942</v>
      </c>
      <c r="C121" s="1135">
        <v>23370235</v>
      </c>
      <c r="D121" s="1138">
        <v>2659266935</v>
      </c>
      <c r="E121" s="1191">
        <v>6.4</v>
      </c>
      <c r="F121" s="126">
        <f t="shared" si="2"/>
        <v>149569.50399999999</v>
      </c>
      <c r="G121" s="126">
        <f t="shared" si="3"/>
        <v>17019308.384</v>
      </c>
      <c r="H121" s="467">
        <f>F121*cnst_carbon!$C$11/10^6</f>
        <v>8.4713413730544782E-3</v>
      </c>
      <c r="I121" s="467">
        <f>G121*carbon_intensity_n!$C$9</f>
        <v>0.95244000828068054</v>
      </c>
      <c r="J121" s="801">
        <f>H121*cnst_carbon!$C$13*1000000</f>
        <v>2885.0650987448544</v>
      </c>
      <c r="K121" s="118">
        <f>I121*cnst_carbon!$C$13*1000000</f>
        <v>324370.28630190471</v>
      </c>
    </row>
    <row r="122" spans="1:11" ht="12">
      <c r="A122" s="27" t="s">
        <v>86</v>
      </c>
      <c r="B122" s="1543" t="s">
        <v>7943</v>
      </c>
      <c r="C122" s="1135">
        <v>928521918</v>
      </c>
      <c r="D122" s="1138">
        <v>34749876</v>
      </c>
      <c r="E122" s="1191">
        <v>91</v>
      </c>
      <c r="F122" s="126">
        <f t="shared" si="2"/>
        <v>84495494.538000003</v>
      </c>
      <c r="G122" s="126">
        <f t="shared" si="3"/>
        <v>3162238.716</v>
      </c>
      <c r="H122" s="467">
        <f>F122*cnst_carbon!$C$11/10^6</f>
        <v>4.7856692679575783</v>
      </c>
      <c r="I122" s="467">
        <f>G122*carbon_intensity_n!$C$9</f>
        <v>0.17696621983088268</v>
      </c>
      <c r="J122" s="801">
        <f>H122*cnst_carbon!$C$13*1000000</f>
        <v>1629844.2916061974</v>
      </c>
      <c r="K122" s="118">
        <f>I122*cnst_carbon!$C$13*1000000</f>
        <v>60268.975361430734</v>
      </c>
    </row>
    <row r="123" spans="1:11" ht="12">
      <c r="A123" s="27" t="s">
        <v>1878</v>
      </c>
      <c r="B123" s="1543" t="s">
        <v>7944</v>
      </c>
      <c r="C123" s="1135">
        <v>533561987</v>
      </c>
      <c r="D123" s="1138">
        <v>1150757903</v>
      </c>
      <c r="E123" s="1191">
        <v>91</v>
      </c>
      <c r="F123" s="126">
        <f t="shared" si="2"/>
        <v>48554140.817000002</v>
      </c>
      <c r="G123" s="126">
        <f t="shared" si="3"/>
        <v>104718969.17299999</v>
      </c>
      <c r="H123" s="467">
        <f>F123*cnst_carbon!$C$11/10^6</f>
        <v>2.7500171554768631</v>
      </c>
      <c r="I123" s="467">
        <f>G123*carbon_intensity_n!$C$9</f>
        <v>5.8603166248542458</v>
      </c>
      <c r="J123" s="801">
        <f>H123*cnst_carbon!$C$13*1000000</f>
        <v>936566.96936475555</v>
      </c>
      <c r="K123" s="118">
        <f>I123*cnst_carbon!$C$13*1000000</f>
        <v>1995834.4514057746</v>
      </c>
    </row>
    <row r="124" spans="1:11" ht="12">
      <c r="A124" s="27" t="s">
        <v>1879</v>
      </c>
      <c r="B124" s="1543" t="s">
        <v>7945</v>
      </c>
      <c r="C124" s="1135">
        <v>57713842</v>
      </c>
      <c r="D124" s="1138">
        <v>5581689</v>
      </c>
      <c r="E124" s="1191">
        <v>91</v>
      </c>
      <c r="F124" s="126">
        <f t="shared" si="2"/>
        <v>5251959.6220000004</v>
      </c>
      <c r="G124" s="126">
        <f t="shared" si="3"/>
        <v>507933.69900000002</v>
      </c>
      <c r="H124" s="467">
        <f>F124*cnst_carbon!$C$11/10^6</f>
        <v>0.29746132497343952</v>
      </c>
      <c r="I124" s="467">
        <f>G124*carbon_intensity_n!$C$9</f>
        <v>2.8425148987628612E-2</v>
      </c>
      <c r="J124" s="801">
        <f>H124*cnst_carbon!$C$13*1000000</f>
        <v>101305.71406755097</v>
      </c>
      <c r="K124" s="118">
        <f>I124*cnst_carbon!$C$13*1000000</f>
        <v>9680.687114284061</v>
      </c>
    </row>
    <row r="125" spans="1:11" ht="12">
      <c r="A125" s="27" t="s">
        <v>1880</v>
      </c>
      <c r="B125" s="1543" t="s">
        <v>7946</v>
      </c>
      <c r="C125" s="1135">
        <v>83065210</v>
      </c>
      <c r="D125" s="1138">
        <v>87978136</v>
      </c>
      <c r="E125" s="1191">
        <v>91</v>
      </c>
      <c r="F125" s="126">
        <f t="shared" si="2"/>
        <v>7558934.1100000003</v>
      </c>
      <c r="G125" s="126">
        <f t="shared" si="3"/>
        <v>8006010.3760000002</v>
      </c>
      <c r="H125" s="467">
        <f>F125*cnst_carbon!$C$11/10^6</f>
        <v>0.42812411320315491</v>
      </c>
      <c r="I125" s="467">
        <f>G125*carbon_intensity_n!$C$9</f>
        <v>0.4480349269645536</v>
      </c>
      <c r="J125" s="801">
        <f>H125*cnst_carbon!$C$13*1000000</f>
        <v>145805.23703864793</v>
      </c>
      <c r="K125" s="118">
        <f>I125*cnst_carbon!$C$13*1000000</f>
        <v>152586.21673725118</v>
      </c>
    </row>
    <row r="126" spans="1:11" ht="12">
      <c r="A126" s="27" t="s">
        <v>1881</v>
      </c>
      <c r="B126" s="1543" t="s">
        <v>7947</v>
      </c>
      <c r="C126" s="1135">
        <v>420209408</v>
      </c>
      <c r="D126" s="1138">
        <v>3189055589</v>
      </c>
      <c r="E126" s="1191">
        <v>1</v>
      </c>
      <c r="F126" s="126">
        <f t="shared" si="2"/>
        <v>420209.408</v>
      </c>
      <c r="G126" s="126">
        <f t="shared" si="3"/>
        <v>3189055.5890000002</v>
      </c>
      <c r="H126" s="467">
        <f>F126*cnst_carbon!$C$11/10^6</f>
        <v>2.3799887330890189E-2</v>
      </c>
      <c r="I126" s="467">
        <f>G126*carbon_intensity_n!$C$9</f>
        <v>0.17846695430057441</v>
      </c>
      <c r="J126" s="801">
        <f>H126*cnst_carbon!$C$13*1000000</f>
        <v>8105.4724710796445</v>
      </c>
      <c r="K126" s="118">
        <f>I126*cnst_carbon!$C$13*1000000</f>
        <v>60780.077021760808</v>
      </c>
    </row>
    <row r="127" spans="1:11" ht="12">
      <c r="A127" s="27" t="s">
        <v>1882</v>
      </c>
      <c r="B127" s="1543" t="s">
        <v>7948</v>
      </c>
      <c r="C127" s="1135">
        <v>83948000</v>
      </c>
      <c r="D127" s="1138">
        <v>24564000</v>
      </c>
      <c r="E127" s="1191">
        <v>1</v>
      </c>
      <c r="F127" s="126">
        <f t="shared" si="2"/>
        <v>83948</v>
      </c>
      <c r="G127" s="126">
        <f t="shared" si="3"/>
        <v>24564</v>
      </c>
      <c r="H127" s="467">
        <f>F127*cnst_carbon!$C$11/10^6</f>
        <v>4.7546601851750289E-3</v>
      </c>
      <c r="I127" s="467">
        <f>G127*carbon_intensity_n!$C$9</f>
        <v>1.3746584664627837E-3</v>
      </c>
      <c r="J127" s="801">
        <f>H127*cnst_carbon!$C$13*1000000</f>
        <v>1619.2836001477481</v>
      </c>
      <c r="K127" s="118">
        <f>I127*cnst_carbon!$C$13*1000000</f>
        <v>468.16424809662749</v>
      </c>
    </row>
    <row r="128" spans="1:11" ht="12">
      <c r="A128" s="27" t="s">
        <v>1883</v>
      </c>
      <c r="B128" s="1543" t="s">
        <v>7949</v>
      </c>
      <c r="C128" s="1135">
        <v>1406163.9336566599</v>
      </c>
      <c r="D128" s="1138">
        <v>548489.08268434403</v>
      </c>
      <c r="E128" s="1191">
        <v>9.5</v>
      </c>
      <c r="F128" s="126">
        <f t="shared" si="2"/>
        <v>13358.55736973827</v>
      </c>
      <c r="G128" s="126">
        <f t="shared" si="3"/>
        <v>5210.6462855012687</v>
      </c>
      <c r="H128" s="467">
        <f>F128*cnst_carbon!$C$11/10^6</f>
        <v>7.5660409845703313E-4</v>
      </c>
      <c r="I128" s="467">
        <f>G128*carbon_intensity_n!$C$9</f>
        <v>2.9159986289314336E-4</v>
      </c>
      <c r="J128" s="801">
        <f>H128*cnst_carbon!$C$13*1000000</f>
        <v>257.67490435090798</v>
      </c>
      <c r="K128" s="118">
        <f>I128*cnst_carbon!$C$13*1000000</f>
        <v>99.30948951103997</v>
      </c>
    </row>
    <row r="129" spans="1:11" ht="12">
      <c r="A129" s="27" t="s">
        <v>98</v>
      </c>
      <c r="B129" s="1543" t="s">
        <v>7950</v>
      </c>
      <c r="C129" s="1135">
        <v>410828197</v>
      </c>
      <c r="D129" s="1138">
        <v>17981209406</v>
      </c>
      <c r="E129" s="1191">
        <v>7.4</v>
      </c>
      <c r="F129" s="126">
        <f t="shared" si="2"/>
        <v>3040128.6578000002</v>
      </c>
      <c r="G129" s="126">
        <f t="shared" si="3"/>
        <v>133060949.60440001</v>
      </c>
      <c r="H129" s="467">
        <f>F129*cnst_carbon!$C$11/10^6</f>
        <v>0.1721872907877646</v>
      </c>
      <c r="I129" s="467">
        <f>G129*carbon_intensity_n!$C$9</f>
        <v>7.4463996470145846</v>
      </c>
      <c r="J129" s="801">
        <f>H129*cnst_carbon!$C$13*1000000</f>
        <v>58641.42657257738</v>
      </c>
      <c r="K129" s="118">
        <f>I129*cnst_carbon!$C$13*1000000</f>
        <v>2536003.0704513579</v>
      </c>
    </row>
    <row r="130" spans="1:11" ht="12">
      <c r="A130" s="27" t="s">
        <v>3143</v>
      </c>
      <c r="B130" s="1543" t="s">
        <v>7951</v>
      </c>
      <c r="C130" s="1135">
        <v>172258126.64499199</v>
      </c>
      <c r="D130" s="1138">
        <v>846753233.09853005</v>
      </c>
      <c r="E130" s="1191">
        <v>10.5</v>
      </c>
      <c r="F130" s="126">
        <f t="shared" si="2"/>
        <v>1808710.3297724158</v>
      </c>
      <c r="G130" s="126">
        <f t="shared" si="3"/>
        <v>8890908.9475345649</v>
      </c>
      <c r="H130" s="467">
        <f>F130*cnst_carbon!$C$11/10^6</f>
        <v>0.10244202353223071</v>
      </c>
      <c r="I130" s="467">
        <f>G130*carbon_intensity_n!$C$9</f>
        <v>0.49755590536061339</v>
      </c>
      <c r="J130" s="801">
        <f>H130*cnst_carbon!$C$13*1000000</f>
        <v>34888.442540838361</v>
      </c>
      <c r="K130" s="118">
        <f>I130*cnst_carbon!$C$13*1000000</f>
        <v>169451.46158272662</v>
      </c>
    </row>
    <row r="131" spans="1:11" ht="12">
      <c r="A131" s="27" t="s">
        <v>3144</v>
      </c>
      <c r="B131" s="1543" t="s">
        <v>7952</v>
      </c>
      <c r="C131" s="1135"/>
      <c r="D131" s="1138"/>
      <c r="E131" s="1191">
        <v>5</v>
      </c>
      <c r="F131" s="126">
        <f t="shared" si="2"/>
        <v>0</v>
      </c>
      <c r="G131" s="126">
        <f t="shared" si="3"/>
        <v>0</v>
      </c>
      <c r="H131" s="467">
        <f>F131*cnst_carbon!$C$11/10^6</f>
        <v>0</v>
      </c>
      <c r="I131" s="467">
        <f>G131*carbon_intensity_n!$C$9</f>
        <v>0</v>
      </c>
      <c r="J131" s="801">
        <f>H131*cnst_carbon!$C$13*1000000</f>
        <v>0</v>
      </c>
      <c r="K131" s="118">
        <f>I131*cnst_carbon!$C$13*1000000</f>
        <v>0</v>
      </c>
    </row>
    <row r="132" spans="1:11" ht="12">
      <c r="A132" s="27" t="s">
        <v>5321</v>
      </c>
      <c r="B132" s="1543" t="s">
        <v>7953</v>
      </c>
      <c r="C132" s="1135">
        <v>127349894</v>
      </c>
      <c r="D132" s="1138">
        <v>96151208</v>
      </c>
      <c r="E132" s="1191">
        <v>9.5</v>
      </c>
      <c r="F132" s="126">
        <f t="shared" si="2"/>
        <v>1209823.993</v>
      </c>
      <c r="G132" s="126">
        <f t="shared" si="3"/>
        <v>913436.47600000002</v>
      </c>
      <c r="H132" s="467">
        <f>F132*cnst_carbon!$C$11/10^6</f>
        <v>6.8522203871284285E-2</v>
      </c>
      <c r="I132" s="467">
        <f>G132*carbon_intensity_n!$C$9</f>
        <v>5.1118025782011453E-2</v>
      </c>
      <c r="J132" s="801">
        <f>H132*cnst_carbon!$C$13*1000000</f>
        <v>23336.448169464002</v>
      </c>
      <c r="K132" s="118">
        <f>I132*cnst_carbon!$C$13*1000000</f>
        <v>17409.147572487098</v>
      </c>
    </row>
    <row r="133" spans="1:11" ht="12">
      <c r="A133" s="27" t="s">
        <v>2378</v>
      </c>
      <c r="B133" s="1543" t="s">
        <v>7954</v>
      </c>
      <c r="C133" s="1135">
        <v>6014866</v>
      </c>
      <c r="D133" s="1138">
        <v>236418142</v>
      </c>
      <c r="E133" s="1191">
        <v>5</v>
      </c>
      <c r="F133" s="126">
        <f t="shared" si="2"/>
        <v>30074.33</v>
      </c>
      <c r="G133" s="126">
        <f t="shared" si="3"/>
        <v>1182090.71</v>
      </c>
      <c r="H133" s="467">
        <f>F133*cnst_carbon!$C$11/10^6</f>
        <v>1.7033546891744289E-3</v>
      </c>
      <c r="I133" s="467">
        <f>G133*carbon_intensity_n!$C$9</f>
        <v>6.6152540409888577E-2</v>
      </c>
      <c r="J133" s="801">
        <f>H133*cnst_carbon!$C$13*1000000</f>
        <v>580.10755889874008</v>
      </c>
      <c r="K133" s="118">
        <f>I133*cnst_carbon!$C$13*1000000</f>
        <v>22529.417376207395</v>
      </c>
    </row>
    <row r="134" spans="1:11" ht="12">
      <c r="A134" s="27" t="s">
        <v>2379</v>
      </c>
      <c r="B134" s="1543" t="s">
        <v>7955</v>
      </c>
      <c r="C134" s="1135">
        <v>9281586050</v>
      </c>
      <c r="D134" s="1138">
        <v>2947435821</v>
      </c>
      <c r="E134" s="1191">
        <v>7.4</v>
      </c>
      <c r="F134" s="126">
        <f t="shared" si="2"/>
        <v>68683736.769999996</v>
      </c>
      <c r="G134" s="126">
        <f t="shared" si="3"/>
        <v>21811025.075400002</v>
      </c>
      <c r="H134" s="467">
        <f>F134*cnst_carbon!$C$11/10^6</f>
        <v>3.89012041489209</v>
      </c>
      <c r="I134" s="467">
        <f>G134*carbon_intensity_n!$C$9</f>
        <v>1.2205955985234769</v>
      </c>
      <c r="J134" s="801">
        <f>H134*cnst_carbon!$C$13*1000000</f>
        <v>1324849.294188377</v>
      </c>
      <c r="K134" s="118">
        <f>I134*cnst_carbon!$C$13*1000000</f>
        <v>415695.41420946619</v>
      </c>
    </row>
    <row r="135" spans="1:11" ht="12">
      <c r="A135" s="27" t="s">
        <v>3877</v>
      </c>
      <c r="B135" s="1543" t="s">
        <v>7956</v>
      </c>
      <c r="C135" s="1135">
        <v>705928020.62733305</v>
      </c>
      <c r="D135" s="1138">
        <v>2483631766</v>
      </c>
      <c r="E135" s="1191">
        <v>10.5</v>
      </c>
      <c r="F135" s="126">
        <f t="shared" si="2"/>
        <v>7412244.2165869968</v>
      </c>
      <c r="G135" s="126">
        <f t="shared" si="3"/>
        <v>26078133.543000001</v>
      </c>
      <c r="H135" s="467">
        <f>F135*cnst_carbon!$C$11/10^6</f>
        <v>0.41981586767284595</v>
      </c>
      <c r="I135" s="467">
        <f>G135*carbon_intensity_n!$C$9</f>
        <v>1.4593928946601555</v>
      </c>
      <c r="J135" s="801">
        <f>H135*cnst_carbon!$C$13*1000000</f>
        <v>142975.7171130857</v>
      </c>
      <c r="K135" s="118">
        <f>I135*cnst_carbon!$C$13*1000000</f>
        <v>497022.05593234138</v>
      </c>
    </row>
    <row r="136" spans="1:11" ht="12">
      <c r="A136" s="27" t="s">
        <v>3878</v>
      </c>
      <c r="B136" s="1543" t="s">
        <v>7957</v>
      </c>
      <c r="C136" s="1135">
        <v>1124341</v>
      </c>
      <c r="D136" s="1138">
        <v>517686</v>
      </c>
      <c r="E136" s="1191">
        <v>10</v>
      </c>
      <c r="F136" s="126">
        <f t="shared" ref="F136:F199" si="4">C136*$E136/1000</f>
        <v>11243.41</v>
      </c>
      <c r="G136" s="126">
        <f t="shared" ref="G136:G199" si="5">D136*E136/1000</f>
        <v>5176.8599999999997</v>
      </c>
      <c r="H136" s="467">
        <f>F136*cnst_carbon!$C$11/10^6</f>
        <v>6.3680604508265567E-4</v>
      </c>
      <c r="I136" s="467">
        <f>G136*carbon_intensity_n!$C$9</f>
        <v>2.8970910392006702E-4</v>
      </c>
      <c r="J136" s="801">
        <f>H136*cnst_carbon!$C$13*1000000</f>
        <v>216.87555895003089</v>
      </c>
      <c r="K136" s="118">
        <f>I136*cnst_carbon!$C$13*1000000</f>
        <v>98.665558109489766</v>
      </c>
    </row>
    <row r="137" spans="1:11" ht="12">
      <c r="A137" s="27" t="s">
        <v>787</v>
      </c>
      <c r="B137" s="1543" t="s">
        <v>7958</v>
      </c>
      <c r="C137" s="1135">
        <v>817738000</v>
      </c>
      <c r="D137" s="1138">
        <v>18982679000</v>
      </c>
      <c r="E137" s="1191">
        <v>28.2</v>
      </c>
      <c r="F137" s="126">
        <f t="shared" si="4"/>
        <v>23060211.600000001</v>
      </c>
      <c r="G137" s="126">
        <f t="shared" si="5"/>
        <v>535311547.80000001</v>
      </c>
      <c r="H137" s="467">
        <f>F137*cnst_carbon!$C$11/10^6</f>
        <v>1.3060879348671961</v>
      </c>
      <c r="I137" s="467">
        <f>G137*carbon_intensity_n!$C$9</f>
        <v>29.957276965419602</v>
      </c>
      <c r="J137" s="801">
        <f>H137*cnst_carbon!$C$13*1000000</f>
        <v>444811.34106609895</v>
      </c>
      <c r="K137" s="118">
        <f>I137*cnst_carbon!$C$13*1000000</f>
        <v>10202480.388911774</v>
      </c>
    </row>
    <row r="138" spans="1:11" ht="12">
      <c r="A138" s="27" t="s">
        <v>349</v>
      </c>
      <c r="B138" s="1543" t="s">
        <v>7959</v>
      </c>
      <c r="C138" s="1135">
        <v>38566000</v>
      </c>
      <c r="D138" s="1138">
        <v>29101000</v>
      </c>
      <c r="E138" s="1191">
        <v>32.840000000000003</v>
      </c>
      <c r="F138" s="126">
        <f t="shared" si="4"/>
        <v>1266507.4400000002</v>
      </c>
      <c r="G138" s="126">
        <f t="shared" si="5"/>
        <v>955676.84000000008</v>
      </c>
      <c r="H138" s="467">
        <f>F138*cnst_carbon!$C$11/10^6</f>
        <v>7.1732649964215398E-2</v>
      </c>
      <c r="I138" s="467">
        <f>G138*carbon_intensity_n!$C$9</f>
        <v>5.3481894614411302E-2</v>
      </c>
      <c r="J138" s="801">
        <f>H138*cnst_carbon!$C$13*1000000</f>
        <v>24429.822354994863</v>
      </c>
      <c r="K138" s="118">
        <f>I138*cnst_carbon!$C$13*1000000</f>
        <v>18214.204902375874</v>
      </c>
    </row>
    <row r="139" spans="1:11" ht="12">
      <c r="A139" s="27" t="s">
        <v>350</v>
      </c>
      <c r="B139" s="1543" t="s">
        <v>7960</v>
      </c>
      <c r="C139" s="1135">
        <v>20729000</v>
      </c>
      <c r="D139" s="1138">
        <v>217416000</v>
      </c>
      <c r="E139" s="1191">
        <v>32.840000000000003</v>
      </c>
      <c r="F139" s="126">
        <f t="shared" si="4"/>
        <v>680740.3600000001</v>
      </c>
      <c r="G139" s="126">
        <f t="shared" si="5"/>
        <v>7139941.4400000013</v>
      </c>
      <c r="H139" s="467">
        <f>F139*cnst_carbon!$C$11/10^6</f>
        <v>3.8555880856407744E-2</v>
      </c>
      <c r="I139" s="467">
        <f>G139*carbon_intensity_n!$C$9</f>
        <v>0.39956769868687841</v>
      </c>
      <c r="J139" s="801">
        <f>H139*cnst_carbon!$C$13*1000000</f>
        <v>13130.886988453263</v>
      </c>
      <c r="K139" s="118">
        <f>I139*cnst_carbon!$C$13*1000000</f>
        <v>136079.8451274854</v>
      </c>
    </row>
    <row r="140" spans="1:11" ht="12">
      <c r="A140" s="27" t="s">
        <v>388</v>
      </c>
      <c r="B140" s="1543" t="s">
        <v>7961</v>
      </c>
      <c r="C140" s="1135">
        <v>221337143</v>
      </c>
      <c r="D140" s="1138">
        <v>778611000</v>
      </c>
      <c r="E140" s="1191">
        <v>50</v>
      </c>
      <c r="F140" s="126">
        <f t="shared" si="4"/>
        <v>11066857.15</v>
      </c>
      <c r="G140" s="126">
        <f t="shared" si="5"/>
        <v>38930550</v>
      </c>
      <c r="H140" s="467">
        <f>F140*cnst_carbon!$C$11/10^6</f>
        <v>0.62680641666418024</v>
      </c>
      <c r="I140" s="467">
        <f>G140*carbon_intensity_n!$C$9</f>
        <v>2.1786439570734704</v>
      </c>
      <c r="J140" s="801">
        <f>H140*cnst_carbon!$C$13*1000000</f>
        <v>213470.00867409408</v>
      </c>
      <c r="K140" s="118">
        <f>I140*cnst_carbon!$C$13*1000000</f>
        <v>741975.72336501221</v>
      </c>
    </row>
    <row r="141" spans="1:11" ht="12">
      <c r="A141" s="27" t="s">
        <v>389</v>
      </c>
      <c r="B141" s="1543" t="s">
        <v>7962</v>
      </c>
      <c r="C141" s="1135">
        <v>4848156000</v>
      </c>
      <c r="D141" s="1138">
        <v>6707773016</v>
      </c>
      <c r="E141" s="1191">
        <v>30</v>
      </c>
      <c r="F141" s="126">
        <f t="shared" si="4"/>
        <v>145444680</v>
      </c>
      <c r="G141" s="126">
        <f t="shared" si="5"/>
        <v>201233190.47999999</v>
      </c>
      <c r="H141" s="467">
        <f>F141*cnst_carbon!$C$11/10^6</f>
        <v>8.2377189348349322</v>
      </c>
      <c r="I141" s="467">
        <f>G141*carbon_intensity_n!$C$9</f>
        <v>11.261476511425258</v>
      </c>
      <c r="J141" s="801">
        <f>H141*cnst_carbon!$C$13*1000000</f>
        <v>2805500.8463898744</v>
      </c>
      <c r="K141" s="118">
        <f>I141*cnst_carbon!$C$13*1000000</f>
        <v>3835294.9565687431</v>
      </c>
    </row>
    <row r="142" spans="1:11" ht="12">
      <c r="A142" s="27" t="s">
        <v>390</v>
      </c>
      <c r="B142" s="1543" t="s">
        <v>7963</v>
      </c>
      <c r="C142" s="1135">
        <v>216139000</v>
      </c>
      <c r="D142" s="1138">
        <v>60988000</v>
      </c>
      <c r="E142" s="1191">
        <v>30</v>
      </c>
      <c r="F142" s="126">
        <f t="shared" si="4"/>
        <v>6484170</v>
      </c>
      <c r="G142" s="126">
        <f t="shared" si="5"/>
        <v>1829640</v>
      </c>
      <c r="H142" s="467">
        <f>F142*cnst_carbon!$C$11/10^6</f>
        <v>0.36725145248137386</v>
      </c>
      <c r="I142" s="467">
        <f>G142*carbon_intensity_n!$C$9</f>
        <v>0.10239090199393289</v>
      </c>
      <c r="J142" s="801">
        <f>H142*cnst_carbon!$C$13*1000000</f>
        <v>125073.97605148457</v>
      </c>
      <c r="K142" s="118">
        <f>I142*cnst_carbon!$C$13*1000000</f>
        <v>34871.032197016502</v>
      </c>
    </row>
    <row r="143" spans="1:11" ht="12">
      <c r="A143" s="27" t="s">
        <v>2851</v>
      </c>
      <c r="B143" s="1543" t="s">
        <v>7964</v>
      </c>
      <c r="C143" s="1135">
        <v>239088000</v>
      </c>
      <c r="D143" s="1138">
        <v>278375000</v>
      </c>
      <c r="E143" s="1191">
        <v>30</v>
      </c>
      <c r="F143" s="126">
        <f t="shared" si="4"/>
        <v>7172640</v>
      </c>
      <c r="G143" s="126">
        <f t="shared" si="5"/>
        <v>8351250</v>
      </c>
      <c r="H143" s="467">
        <f>F143*cnst_carbon!$C$11/10^6</f>
        <v>0.4062451259183521</v>
      </c>
      <c r="I143" s="467">
        <f>G143*carbon_intensity_n!$C$9</f>
        <v>0.46735533781335786</v>
      </c>
      <c r="J143" s="801">
        <f>H143*cnst_carbon!$C$13*1000000</f>
        <v>138353.9610445007</v>
      </c>
      <c r="K143" s="118">
        <f>I143*cnst_carbon!$C$13*1000000</f>
        <v>159166.12428419475</v>
      </c>
    </row>
    <row r="144" spans="1:11" ht="12">
      <c r="A144" s="27" t="s">
        <v>2698</v>
      </c>
      <c r="B144" s="1543" t="s">
        <v>7965</v>
      </c>
      <c r="C144" s="1135">
        <v>190</v>
      </c>
      <c r="D144" s="1138">
        <v>199594</v>
      </c>
      <c r="E144" s="1191">
        <v>70</v>
      </c>
      <c r="F144" s="126">
        <f t="shared" si="4"/>
        <v>13.3</v>
      </c>
      <c r="G144" s="126">
        <f t="shared" si="5"/>
        <v>13971.58</v>
      </c>
      <c r="H144" s="467">
        <f>F144*cnst_carbon!$C$11/10^6</f>
        <v>7.5328751682979814E-7</v>
      </c>
      <c r="I144" s="467">
        <f>G144*carbon_intensity_n!$C$9</f>
        <v>7.8188205246955292E-4</v>
      </c>
      <c r="J144" s="801">
        <f>H144*cnst_carbon!$C$13*1000000</f>
        <v>0.25654538383243264</v>
      </c>
      <c r="K144" s="118">
        <f>I144*cnst_carbon!$C$13*1000000</f>
        <v>266.28375856627088</v>
      </c>
    </row>
    <row r="145" spans="1:11" ht="12">
      <c r="A145" s="27" t="s">
        <v>2920</v>
      </c>
      <c r="B145" s="1543" t="s">
        <v>7966</v>
      </c>
      <c r="C145" s="1135">
        <v>18323</v>
      </c>
      <c r="D145" s="1138">
        <v>296285</v>
      </c>
      <c r="E145" s="1191">
        <v>70</v>
      </c>
      <c r="F145" s="126">
        <f t="shared" si="4"/>
        <v>1282.6099999999999</v>
      </c>
      <c r="G145" s="126">
        <f t="shared" si="5"/>
        <v>20739.95</v>
      </c>
      <c r="H145" s="467">
        <f>F145*cnst_carbon!$C$11/10^6</f>
        <v>7.2644669320380998E-5</v>
      </c>
      <c r="I145" s="467">
        <f>G145*carbon_intensity_n!$C$9</f>
        <v>1.1606557507537376E-3</v>
      </c>
      <c r="J145" s="801">
        <f>H145*cnst_carbon!$C$13*1000000</f>
        <v>24.740426673482432</v>
      </c>
      <c r="K145" s="118">
        <f>I145*cnst_carbon!$C$13*1000000</f>
        <v>395.28183916754801</v>
      </c>
    </row>
    <row r="146" spans="1:11" ht="12">
      <c r="A146" s="27" t="s">
        <v>1203</v>
      </c>
      <c r="B146" s="1543" t="s">
        <v>7967</v>
      </c>
      <c r="C146" s="1135">
        <v>5075</v>
      </c>
      <c r="D146" s="1138">
        <v>858393</v>
      </c>
      <c r="E146" s="1191">
        <v>70</v>
      </c>
      <c r="F146" s="126">
        <f t="shared" si="4"/>
        <v>355.25</v>
      </c>
      <c r="G146" s="126">
        <f t="shared" si="5"/>
        <v>60087.51</v>
      </c>
      <c r="H146" s="467">
        <f>F146*cnst_carbon!$C$11/10^6</f>
        <v>2.0120706041638031E-5</v>
      </c>
      <c r="I146" s="467">
        <f>G146*carbon_intensity_n!$C$9</f>
        <v>3.3626365555352216E-3</v>
      </c>
      <c r="J146" s="801">
        <f>H146*cnst_carbon!$C$13*1000000</f>
        <v>6.8524622260505028</v>
      </c>
      <c r="K146" s="118">
        <f>I146*cnst_carbon!$C$13*1000000</f>
        <v>1145.2053386723899</v>
      </c>
    </row>
    <row r="147" spans="1:11" ht="12">
      <c r="A147" s="27" t="s">
        <v>87</v>
      </c>
      <c r="B147" s="1543" t="s">
        <v>7968</v>
      </c>
      <c r="C147" s="1135">
        <v>1549797</v>
      </c>
      <c r="D147" s="1138">
        <v>6095963</v>
      </c>
      <c r="E147" s="1191">
        <v>20</v>
      </c>
      <c r="F147" s="126">
        <f t="shared" si="4"/>
        <v>30995.94</v>
      </c>
      <c r="G147" s="126">
        <f t="shared" si="5"/>
        <v>121919.26</v>
      </c>
      <c r="H147" s="467">
        <f>F147*cnst_carbon!$C$11/10^6</f>
        <v>1.7555529830380009E-3</v>
      </c>
      <c r="I147" s="467">
        <f>G147*carbon_intensity_n!$C$9</f>
        <v>6.8228848308043233E-3</v>
      </c>
      <c r="J147" s="801">
        <f>H147*cnst_carbon!$C$13*1000000</f>
        <v>597.88461086819927</v>
      </c>
      <c r="K147" s="118">
        <f>I147*cnst_carbon!$C$13*1000000</f>
        <v>2323.654074515438</v>
      </c>
    </row>
    <row r="148" spans="1:11" ht="12">
      <c r="A148" s="27" t="s">
        <v>88</v>
      </c>
      <c r="B148" s="1543" t="s">
        <v>7969</v>
      </c>
      <c r="C148" s="1135">
        <v>2479322</v>
      </c>
      <c r="D148" s="1138">
        <v>469506</v>
      </c>
      <c r="E148" s="1191">
        <v>20</v>
      </c>
      <c r="F148" s="126">
        <f t="shared" si="4"/>
        <v>49586.44</v>
      </c>
      <c r="G148" s="126">
        <f t="shared" si="5"/>
        <v>9390.1200000000008</v>
      </c>
      <c r="H148" s="467">
        <f>F148*cnst_carbon!$C$11/10^6</f>
        <v>2.8084846809044942E-3</v>
      </c>
      <c r="I148" s="467">
        <f>G148*carbon_intensity_n!$C$9</f>
        <v>5.2549291479814014E-4</v>
      </c>
      <c r="J148" s="801">
        <f>H148*cnst_carbon!$C$13*1000000</f>
        <v>956.47911899878864</v>
      </c>
      <c r="K148" s="118">
        <f>I148*cnst_carbon!$C$13*1000000</f>
        <v>178.96590414171567</v>
      </c>
    </row>
    <row r="149" spans="1:11" ht="12">
      <c r="A149" s="27" t="s">
        <v>89</v>
      </c>
      <c r="B149" s="1543" t="s">
        <v>7970</v>
      </c>
      <c r="C149" s="1135">
        <v>56398</v>
      </c>
      <c r="D149" s="1138">
        <v>490192</v>
      </c>
      <c r="E149" s="1191">
        <v>20</v>
      </c>
      <c r="F149" s="126">
        <f t="shared" si="4"/>
        <v>1127.96</v>
      </c>
      <c r="G149" s="126">
        <f t="shared" si="5"/>
        <v>9803.84</v>
      </c>
      <c r="H149" s="467">
        <f>F149*cnst_carbon!$C$11/10^6</f>
        <v>6.3885578006266103E-5</v>
      </c>
      <c r="I149" s="467">
        <f>G149*carbon_intensity_n!$C$9</f>
        <v>5.4864564646826645E-4</v>
      </c>
      <c r="J149" s="801">
        <f>H149*cnst_carbon!$C$13*1000000</f>
        <v>21.757363244182763</v>
      </c>
      <c r="K149" s="118">
        <f>I149*cnst_carbon!$C$13*1000000</f>
        <v>186.85097630921837</v>
      </c>
    </row>
    <row r="150" spans="1:11" ht="12">
      <c r="A150" s="27" t="s">
        <v>5310</v>
      </c>
      <c r="B150" s="1543" t="s">
        <v>7971</v>
      </c>
      <c r="C150" s="1135">
        <v>14903</v>
      </c>
      <c r="D150" s="1138">
        <v>13795</v>
      </c>
      <c r="E150" s="1191">
        <v>20</v>
      </c>
      <c r="F150" s="126">
        <f t="shared" si="4"/>
        <v>298.06</v>
      </c>
      <c r="G150" s="126">
        <f t="shared" si="5"/>
        <v>275.89999999999998</v>
      </c>
      <c r="H150" s="467">
        <f>F150*cnst_carbon!$C$11/10^6</f>
        <v>1.6881569719269899E-5</v>
      </c>
      <c r="I150" s="467">
        <f>G150*carbon_intensity_n!$C$9</f>
        <v>1.544000451461822E-5</v>
      </c>
      <c r="J150" s="801">
        <f>H150*cnst_carbon!$C$13*1000000</f>
        <v>5.7493170755710432</v>
      </c>
      <c r="K150" s="118">
        <f>I150*cnst_carbon!$C$13*1000000</f>
        <v>5.2583665547084957</v>
      </c>
    </row>
    <row r="151" spans="1:11" ht="12">
      <c r="A151" s="27" t="s">
        <v>3112</v>
      </c>
      <c r="B151" s="1543" t="s">
        <v>7972</v>
      </c>
      <c r="C151" s="1135">
        <v>85414</v>
      </c>
      <c r="D151" s="1138">
        <v>2611</v>
      </c>
      <c r="E151" s="1191">
        <v>106</v>
      </c>
      <c r="F151" s="126">
        <f t="shared" si="4"/>
        <v>9053.884</v>
      </c>
      <c r="G151" s="126">
        <f t="shared" si="5"/>
        <v>276.76600000000002</v>
      </c>
      <c r="H151" s="467">
        <f>F151*cnst_carbon!$C$11/10^6</f>
        <v>5.1279532300940148E-4</v>
      </c>
      <c r="I151" s="467">
        <f>G151*carbon_intensity_n!$C$9</f>
        <v>1.5488467885077299E-5</v>
      </c>
      <c r="J151" s="801">
        <f>H151*cnst_carbon!$C$13*1000000</f>
        <v>174.64151473340752</v>
      </c>
      <c r="K151" s="118">
        <f>I151*cnst_carbon!$C$13*1000000</f>
        <v>5.2748716124699229</v>
      </c>
    </row>
    <row r="152" spans="1:11" ht="12">
      <c r="A152" s="27" t="s">
        <v>3113</v>
      </c>
      <c r="B152" s="1543" t="s">
        <v>7973</v>
      </c>
      <c r="C152" s="1135">
        <v>82302</v>
      </c>
      <c r="D152" s="1138">
        <v>481751</v>
      </c>
      <c r="E152" s="1191">
        <v>106</v>
      </c>
      <c r="F152" s="126">
        <f t="shared" si="4"/>
        <v>8724.0120000000006</v>
      </c>
      <c r="G152" s="126">
        <f t="shared" si="5"/>
        <v>51065.606</v>
      </c>
      <c r="H152" s="467">
        <f>F152*cnst_carbon!$C$11/10^6</f>
        <v>4.9411198017092943E-4</v>
      </c>
      <c r="I152" s="467">
        <f>G152*carbon_intensity_n!$C$9</f>
        <v>2.8577498629275655E-3</v>
      </c>
      <c r="J152" s="801">
        <f>H152*cnst_carbon!$C$13*1000000</f>
        <v>168.2785719623119</v>
      </c>
      <c r="K152" s="118">
        <f>I152*cnst_carbon!$C$13*1000000</f>
        <v>973.25724786633384</v>
      </c>
    </row>
    <row r="153" spans="1:11" ht="12">
      <c r="A153" s="27" t="s">
        <v>3114</v>
      </c>
      <c r="B153" s="1543" t="s">
        <v>7974</v>
      </c>
      <c r="C153" s="1135">
        <v>2064233</v>
      </c>
      <c r="D153" s="1138">
        <v>1144867</v>
      </c>
      <c r="E153" s="1191">
        <v>106</v>
      </c>
      <c r="F153" s="126">
        <f t="shared" si="4"/>
        <v>218808.698</v>
      </c>
      <c r="G153" s="126">
        <f t="shared" si="5"/>
        <v>121355.902</v>
      </c>
      <c r="H153" s="467">
        <f>F153*cnst_carbon!$C$11/10^6</f>
        <v>1.2392921862945955E-2</v>
      </c>
      <c r="I153" s="467">
        <f>G153*carbon_intensity_n!$C$9</f>
        <v>6.7913580092626548E-3</v>
      </c>
      <c r="J153" s="801">
        <f>H153*cnst_carbon!$C$13*1000000</f>
        <v>4220.628677765776</v>
      </c>
      <c r="K153" s="118">
        <f>I153*cnst_carbon!$C$13*1000000</f>
        <v>2312.9170579676766</v>
      </c>
    </row>
    <row r="154" spans="1:11" ht="12">
      <c r="A154" s="27" t="s">
        <v>1599</v>
      </c>
      <c r="B154" s="1543" t="s">
        <v>7975</v>
      </c>
      <c r="C154" s="1135">
        <v>522270</v>
      </c>
      <c r="D154" s="1138">
        <v>366805</v>
      </c>
      <c r="E154" s="1191">
        <v>20</v>
      </c>
      <c r="F154" s="126">
        <f t="shared" si="4"/>
        <v>10445.4</v>
      </c>
      <c r="G154" s="126">
        <f t="shared" si="5"/>
        <v>7336.1</v>
      </c>
      <c r="H154" s="467">
        <f>F154*cnst_carbon!$C$11/10^6</f>
        <v>5.9160822769127618E-4</v>
      </c>
      <c r="I154" s="467">
        <f>G154*carbon_intensity_n!$C$9</f>
        <v>4.1054518709565332E-4</v>
      </c>
      <c r="J154" s="801">
        <f>H154*cnst_carbon!$C$13*1000000</f>
        <v>201.48264302881893</v>
      </c>
      <c r="K154" s="118">
        <f>I154*cnst_carbon!$C$13*1000000</f>
        <v>139.81842291408844</v>
      </c>
    </row>
    <row r="155" spans="1:11" ht="12">
      <c r="A155" s="27" t="s">
        <v>866</v>
      </c>
      <c r="B155" s="1543" t="s">
        <v>7976</v>
      </c>
      <c r="C155" s="1135">
        <v>2247969</v>
      </c>
      <c r="D155" s="1138">
        <v>2790984949</v>
      </c>
      <c r="E155" s="1191">
        <v>27.1</v>
      </c>
      <c r="F155" s="126">
        <f t="shared" si="4"/>
        <v>60919.959900000009</v>
      </c>
      <c r="G155" s="126">
        <f t="shared" si="5"/>
        <v>75635692.117900014</v>
      </c>
      <c r="H155" s="467">
        <f>F155*cnst_carbon!$C$11/10^6</f>
        <v>3.4503943848452545E-3</v>
      </c>
      <c r="I155" s="467">
        <f>G155*carbon_intensity_n!$C$9</f>
        <v>4.2327489226772386</v>
      </c>
      <c r="J155" s="801">
        <f>H155*cnst_carbon!$C$13*1000000</f>
        <v>1175.0928192181882</v>
      </c>
      <c r="K155" s="118">
        <f>I155*cnst_carbon!$C$13*1000000</f>
        <v>1441537.4910293384</v>
      </c>
    </row>
    <row r="156" spans="1:11" ht="12">
      <c r="A156" s="27" t="s">
        <v>4222</v>
      </c>
      <c r="B156" s="1543" t="s">
        <v>7977</v>
      </c>
      <c r="C156" s="1135">
        <v>2889573</v>
      </c>
      <c r="D156" s="1138">
        <v>53820633</v>
      </c>
      <c r="E156" s="1191">
        <v>143</v>
      </c>
      <c r="F156" s="126">
        <f t="shared" si="4"/>
        <v>413208.93900000001</v>
      </c>
      <c r="G156" s="126">
        <f t="shared" si="5"/>
        <v>7696350.5190000003</v>
      </c>
      <c r="H156" s="467">
        <f>F156*cnst_carbon!$C$11/10^6</f>
        <v>2.3403393653472597E-2</v>
      </c>
      <c r="I156" s="467">
        <f>G156*carbon_intensity_n!$C$9</f>
        <v>0.43070564247714499</v>
      </c>
      <c r="J156" s="801">
        <f>H156*cnst_carbon!$C$13*1000000</f>
        <v>7970.4395382516714</v>
      </c>
      <c r="K156" s="118">
        <f>I156*cnst_carbon!$C$13*1000000</f>
        <v>146684.42248069221</v>
      </c>
    </row>
    <row r="157" spans="1:11" ht="12">
      <c r="A157" s="27" t="s">
        <v>4223</v>
      </c>
      <c r="B157" s="1543" t="s">
        <v>7978</v>
      </c>
      <c r="C157" s="1135">
        <v>12163480</v>
      </c>
      <c r="D157" s="1138">
        <v>28110337</v>
      </c>
      <c r="E157" s="1191">
        <v>5</v>
      </c>
      <c r="F157" s="126">
        <f t="shared" si="4"/>
        <v>60817.4</v>
      </c>
      <c r="G157" s="126">
        <f t="shared" si="5"/>
        <v>140551.685</v>
      </c>
      <c r="H157" s="467">
        <f>F157*cnst_carbon!$C$11/10^6</f>
        <v>3.4445855809056066E-3</v>
      </c>
      <c r="I157" s="467">
        <f>G157*carbon_intensity_n!$C$9</f>
        <v>7.8655985898412398E-3</v>
      </c>
      <c r="J157" s="801">
        <f>H157*cnst_carbon!$C$13*1000000</f>
        <v>1173.1145283226006</v>
      </c>
      <c r="K157" s="118">
        <f>I157*cnst_carbon!$C$13*1000000</f>
        <v>2678.7686828993251</v>
      </c>
    </row>
    <row r="158" spans="1:11" ht="12">
      <c r="A158" s="27" t="s">
        <v>4224</v>
      </c>
      <c r="B158" s="1543" t="s">
        <v>7979</v>
      </c>
      <c r="C158" s="1135">
        <v>298627</v>
      </c>
      <c r="D158" s="1138">
        <v>19467035</v>
      </c>
      <c r="E158" s="1191">
        <v>143</v>
      </c>
      <c r="F158" s="126">
        <f t="shared" si="4"/>
        <v>42703.661</v>
      </c>
      <c r="G158" s="126">
        <f t="shared" si="5"/>
        <v>2783786.0049999999</v>
      </c>
      <c r="H158" s="467">
        <f>F158*cnst_carbon!$C$11/10^6</f>
        <v>2.4186567484384583E-3</v>
      </c>
      <c r="I158" s="467">
        <f>G158*carbon_intensity_n!$C$9</f>
        <v>0.15578712752783988</v>
      </c>
      <c r="J158" s="801">
        <f>H158*cnst_carbon!$C$13*1000000</f>
        <v>823.71632348083335</v>
      </c>
      <c r="K158" s="118">
        <f>I158*cnst_carbon!$C$13*1000000</f>
        <v>53056.060979186579</v>
      </c>
    </row>
    <row r="159" spans="1:11" ht="12">
      <c r="A159" s="27" t="s">
        <v>365</v>
      </c>
      <c r="B159" s="1543" t="s">
        <v>7980</v>
      </c>
      <c r="C159" s="1135">
        <v>2442709</v>
      </c>
      <c r="D159" s="1138">
        <v>965616</v>
      </c>
      <c r="E159" s="1191">
        <v>20</v>
      </c>
      <c r="F159" s="126">
        <f t="shared" si="4"/>
        <v>48854.18</v>
      </c>
      <c r="G159" s="126">
        <f t="shared" si="5"/>
        <v>19312.32</v>
      </c>
      <c r="H159" s="467">
        <f>F159*cnst_carbon!$C$11/10^6</f>
        <v>2.7670108224778938E-3</v>
      </c>
      <c r="I159" s="467">
        <f>G159*carbon_intensity_n!$C$9</f>
        <v>1.080762261644624E-3</v>
      </c>
      <c r="J159" s="801">
        <f>H159*cnst_carbon!$C$13*1000000</f>
        <v>942.35446315178592</v>
      </c>
      <c r="K159" s="118">
        <f>I159*cnst_carbon!$C$13*1000000</f>
        <v>368.07269873804995</v>
      </c>
    </row>
    <row r="160" spans="1:11" ht="12">
      <c r="A160" s="27" t="s">
        <v>2563</v>
      </c>
      <c r="B160" s="1543" t="s">
        <v>7981</v>
      </c>
      <c r="C160" s="1135">
        <v>16190610</v>
      </c>
      <c r="D160" s="1138">
        <v>623018</v>
      </c>
      <c r="E160" s="1191">
        <v>33.5</v>
      </c>
      <c r="F160" s="126">
        <f t="shared" si="4"/>
        <v>542385.43500000006</v>
      </c>
      <c r="G160" s="126">
        <f t="shared" si="5"/>
        <v>20871.102999999999</v>
      </c>
      <c r="H160" s="467">
        <f>F160*cnst_carbon!$C$11/10^6</f>
        <v>3.0719712593669166E-2</v>
      </c>
      <c r="I160" s="467">
        <f>G160*carbon_intensity_n!$C$9</f>
        <v>1.1679953771114966E-3</v>
      </c>
      <c r="J160" s="801">
        <f>H160*cnst_carbon!$C$13*1000000</f>
        <v>10462.141323849319</v>
      </c>
      <c r="K160" s="118">
        <f>I160*cnst_carbon!$C$13*1000000</f>
        <v>397.78147870632898</v>
      </c>
    </row>
    <row r="161" spans="1:11" ht="12">
      <c r="A161" s="27" t="s">
        <v>2564</v>
      </c>
      <c r="B161" s="1543" t="s">
        <v>7982</v>
      </c>
      <c r="C161" s="1135">
        <v>71995</v>
      </c>
      <c r="D161" s="1138">
        <v>74478</v>
      </c>
      <c r="E161" s="1191">
        <v>20</v>
      </c>
      <c r="F161" s="126">
        <f t="shared" si="4"/>
        <v>1439.9</v>
      </c>
      <c r="G161" s="126">
        <f t="shared" si="5"/>
        <v>1489.56</v>
      </c>
      <c r="H161" s="467">
        <f>F161*cnst_carbon!$C$11/10^6</f>
        <v>8.1553285374678678E-5</v>
      </c>
      <c r="I161" s="467">
        <f>G161*carbon_intensity_n!$C$9</f>
        <v>8.3359235682474512E-5</v>
      </c>
      <c r="J161" s="801">
        <f>H161*cnst_carbon!$C$13*1000000</f>
        <v>27.77441339701652</v>
      </c>
      <c r="K161" s="118">
        <f>I161*cnst_carbon!$C$13*1000000</f>
        <v>28.38946170797966</v>
      </c>
    </row>
    <row r="162" spans="1:11" ht="12">
      <c r="A162" s="27" t="s">
        <v>2565</v>
      </c>
      <c r="B162" s="1543" t="s">
        <v>7983</v>
      </c>
      <c r="C162" s="1135">
        <v>4927.9293113103704</v>
      </c>
      <c r="D162" s="1138">
        <v>40491.828584397699</v>
      </c>
      <c r="E162" s="1191">
        <v>20</v>
      </c>
      <c r="F162" s="126">
        <f t="shared" si="4"/>
        <v>98.55858622620741</v>
      </c>
      <c r="G162" s="126">
        <f t="shared" si="5"/>
        <v>809.83657168795401</v>
      </c>
      <c r="H162" s="467">
        <f>F162*cnst_carbon!$C$11/10^6</f>
        <v>5.5821768932778442E-6</v>
      </c>
      <c r="I162" s="467">
        <f>G162*carbon_intensity_n!$C$9</f>
        <v>4.5320334624737058E-5</v>
      </c>
      <c r="J162" s="801">
        <f>H162*cnst_carbon!$C$13*1000000</f>
        <v>1.9011090476228787</v>
      </c>
      <c r="K162" s="118">
        <f>I162*cnst_carbon!$C$13*1000000</f>
        <v>15.434641331437939</v>
      </c>
    </row>
    <row r="163" spans="1:11" ht="12">
      <c r="A163" s="27" t="s">
        <v>2201</v>
      </c>
      <c r="B163" s="1543" t="s">
        <v>7984</v>
      </c>
      <c r="C163" s="1135">
        <v>24815.510611393001</v>
      </c>
      <c r="D163" s="1138">
        <v>197106.75</v>
      </c>
      <c r="E163" s="1191">
        <v>20</v>
      </c>
      <c r="F163" s="126">
        <f t="shared" si="4"/>
        <v>496.31021222786001</v>
      </c>
      <c r="G163" s="126">
        <f t="shared" si="5"/>
        <v>3942.1350000000002</v>
      </c>
      <c r="H163" s="467">
        <f>F163*cnst_carbon!$C$11/10^6</f>
        <v>2.8110096792962016E-5</v>
      </c>
      <c r="I163" s="467">
        <f>G163*carbon_intensity_n!$C$9</f>
        <v>2.2061102644883838E-4</v>
      </c>
      <c r="J163" s="801">
        <f>H163*cnst_carbon!$C$13*1000000</f>
        <v>9.5733905184926655</v>
      </c>
      <c r="K163" s="118">
        <f>I163*cnst_carbon!$C$13*1000000</f>
        <v>75.132986002703078</v>
      </c>
    </row>
    <row r="164" spans="1:11" ht="12">
      <c r="A164" s="27" t="s">
        <v>2202</v>
      </c>
      <c r="B164" s="1543" t="s">
        <v>7985</v>
      </c>
      <c r="C164" s="1135">
        <v>20976.071067036901</v>
      </c>
      <c r="D164" s="1138">
        <v>10966.7158275767</v>
      </c>
      <c r="E164" s="1191">
        <v>20</v>
      </c>
      <c r="F164" s="126">
        <f t="shared" si="4"/>
        <v>419.52142134073802</v>
      </c>
      <c r="G164" s="126">
        <f t="shared" si="5"/>
        <v>219.33431655153399</v>
      </c>
      <c r="H164" s="467">
        <f>F164*cnst_carbon!$C$11/10^6</f>
        <v>2.3760921032982855E-5</v>
      </c>
      <c r="I164" s="467">
        <f>G164*carbon_intensity_n!$C$9</f>
        <v>1.2274457548990168E-5</v>
      </c>
      <c r="J164" s="801">
        <f>H164*cnst_carbon!$C$13*1000000</f>
        <v>8.0922018093073156</v>
      </c>
      <c r="K164" s="118">
        <f>I164*cnst_carbon!$C$13*1000000</f>
        <v>4.1802835609076929</v>
      </c>
    </row>
    <row r="165" spans="1:11" ht="12">
      <c r="A165" s="27" t="s">
        <v>90</v>
      </c>
      <c r="B165" s="1543" t="s">
        <v>7986</v>
      </c>
      <c r="C165" s="1135">
        <v>3671605.1564553101</v>
      </c>
      <c r="D165" s="1138">
        <v>303632.33639332303</v>
      </c>
      <c r="E165" s="1191">
        <v>25.84</v>
      </c>
      <c r="F165" s="126">
        <f t="shared" si="4"/>
        <v>94874.277242805212</v>
      </c>
      <c r="G165" s="126">
        <f t="shared" si="5"/>
        <v>7845.8595724034676</v>
      </c>
      <c r="H165" s="467">
        <f>F165*cnst_carbon!$C$11/10^6</f>
        <v>5.3735044146807943E-3</v>
      </c>
      <c r="I165" s="467">
        <f>G165*carbon_intensity_n!$C$9</f>
        <v>4.3907251619778952E-4</v>
      </c>
      <c r="J165" s="801">
        <f>H165*cnst_carbon!$C$13*1000000</f>
        <v>1830.0419451939915</v>
      </c>
      <c r="K165" s="118">
        <f>I165*cnst_carbon!$C$13*1000000</f>
        <v>149.53390927316383</v>
      </c>
    </row>
    <row r="166" spans="1:11" ht="12">
      <c r="A166" s="27" t="s">
        <v>4687</v>
      </c>
      <c r="B166" s="1543" t="s">
        <v>7987</v>
      </c>
      <c r="C166" s="1135">
        <v>453524484</v>
      </c>
      <c r="D166" s="1138">
        <v>141823688</v>
      </c>
      <c r="E166" s="1191">
        <v>70</v>
      </c>
      <c r="F166" s="126">
        <f t="shared" si="4"/>
        <v>31746713.879999999</v>
      </c>
      <c r="G166" s="126">
        <f t="shared" si="5"/>
        <v>9927658.1600000001</v>
      </c>
      <c r="H166" s="467">
        <f>F166*cnst_carbon!$C$11/10^6</f>
        <v>1.7980754335467131</v>
      </c>
      <c r="I166" s="467">
        <f>G166*carbon_intensity_n!$C$9</f>
        <v>0.55557479815145505</v>
      </c>
      <c r="J166" s="801">
        <f>H166*cnst_carbon!$C$13*1000000</f>
        <v>612366.38329045218</v>
      </c>
      <c r="K166" s="118">
        <f>I166*cnst_carbon!$C$13*1000000</f>
        <v>189210.82143937261</v>
      </c>
    </row>
    <row r="167" spans="1:11" ht="12">
      <c r="A167" s="27" t="s">
        <v>1469</v>
      </c>
      <c r="B167" s="1543" t="s">
        <v>7988</v>
      </c>
      <c r="C167" s="1135">
        <v>67076052</v>
      </c>
      <c r="D167" s="1138">
        <v>230049299</v>
      </c>
      <c r="E167" s="1191">
        <v>20</v>
      </c>
      <c r="F167" s="126">
        <f t="shared" si="4"/>
        <v>1341521.04</v>
      </c>
      <c r="G167" s="126">
        <f t="shared" si="5"/>
        <v>4600985.9800000004</v>
      </c>
      <c r="H167" s="467">
        <f>F167*cnst_carbon!$C$11/10^6</f>
        <v>7.5981282180190096E-2</v>
      </c>
      <c r="I167" s="467">
        <f>G167*carbon_intensity_n!$C$9</f>
        <v>0.25748185684267905</v>
      </c>
      <c r="J167" s="801">
        <f>H167*cnst_carbon!$C$13*1000000</f>
        <v>25876.769182412343</v>
      </c>
      <c r="K167" s="118">
        <f>I167*cnst_carbon!$C$13*1000000</f>
        <v>87689.99926029249</v>
      </c>
    </row>
    <row r="168" spans="1:11" ht="12">
      <c r="A168" s="27" t="s">
        <v>2517</v>
      </c>
      <c r="B168" s="1543" t="s">
        <v>7989</v>
      </c>
      <c r="C168" s="1135">
        <v>8905393</v>
      </c>
      <c r="D168" s="1138">
        <v>28679112</v>
      </c>
      <c r="E168" s="1191">
        <v>70</v>
      </c>
      <c r="F168" s="126">
        <f t="shared" si="4"/>
        <v>623377.51</v>
      </c>
      <c r="G168" s="126">
        <f t="shared" si="5"/>
        <v>2007537.84</v>
      </c>
      <c r="H168" s="467">
        <f>F168*cnst_carbon!$C$11/10^6</f>
        <v>3.5306954628228769E-2</v>
      </c>
      <c r="I168" s="467">
        <f>G168*carbon_intensity_n!$C$9</f>
        <v>0.11234647811840129</v>
      </c>
      <c r="J168" s="801">
        <f>H168*cnst_carbon!$C$13*1000000</f>
        <v>12024.407712440307</v>
      </c>
      <c r="K168" s="118">
        <f>I168*cnst_carbon!$C$13*1000000</f>
        <v>38261.579685276316</v>
      </c>
    </row>
    <row r="169" spans="1:11" ht="12">
      <c r="A169" s="27" t="s">
        <v>2414</v>
      </c>
      <c r="B169" s="1543" t="s">
        <v>7990</v>
      </c>
      <c r="C169" s="1135">
        <v>117061985</v>
      </c>
      <c r="D169" s="1138">
        <v>876358119</v>
      </c>
      <c r="E169" s="1191">
        <v>143</v>
      </c>
      <c r="F169" s="126">
        <f t="shared" si="4"/>
        <v>16739863.855</v>
      </c>
      <c r="G169" s="126">
        <f t="shared" si="5"/>
        <v>125319211.017</v>
      </c>
      <c r="H169" s="467">
        <f>F169*cnst_carbon!$C$11/10^6</f>
        <v>0.94811507333848444</v>
      </c>
      <c r="I169" s="467">
        <f>G169*carbon_intensity_n!$C$9</f>
        <v>7.0131539828592739</v>
      </c>
      <c r="J169" s="801">
        <f>H169*cnst_carbon!$C$13*1000000</f>
        <v>322897.35323185264</v>
      </c>
      <c r="K169" s="118">
        <f>I169*cnst_carbon!$C$13*1000000</f>
        <v>2388453.598674336</v>
      </c>
    </row>
    <row r="170" spans="1:11" ht="12">
      <c r="A170" s="27" t="s">
        <v>2415</v>
      </c>
      <c r="B170" s="1543" t="s">
        <v>7991</v>
      </c>
      <c r="C170" s="1135">
        <v>65196000</v>
      </c>
      <c r="D170" s="1138">
        <v>245478000</v>
      </c>
      <c r="E170" s="1191">
        <v>20</v>
      </c>
      <c r="F170" s="126">
        <f t="shared" si="4"/>
        <v>1303920</v>
      </c>
      <c r="G170" s="126">
        <f t="shared" si="5"/>
        <v>4909560</v>
      </c>
      <c r="H170" s="467">
        <f>F170*cnst_carbon!$C$11/10^6</f>
        <v>7.3851628492083488E-2</v>
      </c>
      <c r="I170" s="467">
        <f>G170*carbon_intensity_n!$C$9</f>
        <v>0.27475037537074681</v>
      </c>
      <c r="J170" s="801">
        <f>H170*cnst_carbon!$C$13*1000000</f>
        <v>25151.477961412445</v>
      </c>
      <c r="K170" s="118">
        <f>I170*cnst_carbon!$C$13*1000000</f>
        <v>93571.098594906303</v>
      </c>
    </row>
    <row r="171" spans="1:11" ht="12">
      <c r="A171" s="27" t="s">
        <v>2416</v>
      </c>
      <c r="B171" s="1543" t="s">
        <v>7992</v>
      </c>
      <c r="C171" s="1135">
        <v>58983000</v>
      </c>
      <c r="D171" s="1138">
        <v>7107000</v>
      </c>
      <c r="E171" s="1191">
        <v>15</v>
      </c>
      <c r="F171" s="126">
        <f t="shared" si="4"/>
        <v>884745</v>
      </c>
      <c r="G171" s="126">
        <f t="shared" si="5"/>
        <v>106605</v>
      </c>
      <c r="H171" s="467">
        <f>F171*cnst_carbon!$C$11/10^6</f>
        <v>5.0110328126133814E-2</v>
      </c>
      <c r="I171" s="467">
        <f>G171*carbon_intensity_n!$C$9</f>
        <v>5.9658632884410133E-3</v>
      </c>
      <c r="J171" s="801">
        <f>H171*cnst_carbon!$C$13*1000000</f>
        <v>17065.958317204932</v>
      </c>
      <c r="K171" s="118">
        <f>I171*cnst_carbon!$C$13*1000000</f>
        <v>2031.7802340148578</v>
      </c>
    </row>
    <row r="172" spans="1:11" ht="12">
      <c r="A172" s="27" t="s">
        <v>2349</v>
      </c>
      <c r="B172" s="1543" t="s">
        <v>7993</v>
      </c>
      <c r="C172" s="1135">
        <v>2197472000</v>
      </c>
      <c r="D172" s="1138">
        <v>349441000</v>
      </c>
      <c r="E172" s="1191">
        <v>15</v>
      </c>
      <c r="F172" s="126">
        <f t="shared" si="4"/>
        <v>32962080</v>
      </c>
      <c r="G172" s="126">
        <f t="shared" si="5"/>
        <v>5241615</v>
      </c>
      <c r="H172" s="467">
        <f>F172*cnst_carbon!$C$11/10^6</f>
        <v>1.8669115332891091</v>
      </c>
      <c r="I172" s="467">
        <f>G172*carbon_intensity_n!$C$9</f>
        <v>0.29333294405179627</v>
      </c>
      <c r="J172" s="801">
        <f>H172*cnst_carbon!$C$13*1000000</f>
        <v>635809.73424927448</v>
      </c>
      <c r="K172" s="118">
        <f>I172*cnst_carbon!$C$13*1000000</f>
        <v>99899.7209447567</v>
      </c>
    </row>
    <row r="173" spans="1:11" ht="12">
      <c r="A173" s="27" t="s">
        <v>2350</v>
      </c>
      <c r="B173" s="1543" t="s">
        <v>7994</v>
      </c>
      <c r="C173" s="1135">
        <v>5343.75</v>
      </c>
      <c r="D173" s="1138">
        <v>50110.235608281</v>
      </c>
      <c r="E173" s="1191">
        <v>15</v>
      </c>
      <c r="F173" s="126">
        <f t="shared" si="4"/>
        <v>80.15625</v>
      </c>
      <c r="G173" s="126">
        <f t="shared" si="5"/>
        <v>751.65353412421507</v>
      </c>
      <c r="H173" s="467">
        <f>F173*cnst_carbon!$C$11/10^6</f>
        <v>4.5399024451795869E-6</v>
      </c>
      <c r="I173" s="467">
        <f>G173*carbon_intensity_n!$C$9</f>
        <v>4.2064276768055898E-5</v>
      </c>
      <c r="J173" s="801">
        <f>H173*cnst_carbon!$C$13*1000000</f>
        <v>1.54614405434725</v>
      </c>
      <c r="K173" s="118">
        <f>I173*cnst_carbon!$C$13*1000000</f>
        <v>14.325733253233832</v>
      </c>
    </row>
    <row r="174" spans="1:11" ht="12">
      <c r="A174" s="27" t="s">
        <v>2351</v>
      </c>
      <c r="B174" s="1543" t="s">
        <v>7995</v>
      </c>
      <c r="C174" s="1135">
        <v>86773000</v>
      </c>
      <c r="D174" s="1138">
        <v>147786000</v>
      </c>
      <c r="E174" s="1191">
        <v>1.26</v>
      </c>
      <c r="F174" s="126">
        <f t="shared" si="4"/>
        <v>109333.98</v>
      </c>
      <c r="G174" s="126">
        <f t="shared" si="5"/>
        <v>186210.36</v>
      </c>
      <c r="H174" s="467">
        <f>F174*cnst_carbon!$C$11/10^6</f>
        <v>6.1924753608510385E-3</v>
      </c>
      <c r="I174" s="467">
        <f>G174*carbon_intensity_n!$C$9</f>
        <v>1.0420764041568265E-2</v>
      </c>
      <c r="J174" s="801">
        <f>H174*cnst_carbon!$C$13*1000000</f>
        <v>2108.9569823328957</v>
      </c>
      <c r="K174" s="118">
        <f>I174*cnst_carbon!$C$13*1000000</f>
        <v>3548.9754590947041</v>
      </c>
    </row>
    <row r="175" spans="1:11" ht="12">
      <c r="A175" s="27" t="s">
        <v>1447</v>
      </c>
      <c r="B175" s="1543" t="s">
        <v>7996</v>
      </c>
      <c r="C175" s="1135">
        <v>4491861000</v>
      </c>
      <c r="D175" s="1138">
        <v>327330000</v>
      </c>
      <c r="E175" s="1191">
        <v>1.8</v>
      </c>
      <c r="F175" s="126">
        <f t="shared" si="4"/>
        <v>8085349.7999999998</v>
      </c>
      <c r="G175" s="126">
        <f t="shared" si="5"/>
        <v>589194</v>
      </c>
      <c r="H175" s="467">
        <f>F175*cnst_carbon!$C$11/10^6</f>
        <v>0.45793932883776728</v>
      </c>
      <c r="I175" s="467">
        <f>G175*carbon_intensity_n!$C$9</f>
        <v>3.2972664081137984E-2</v>
      </c>
      <c r="J175" s="801">
        <f>H175*cnst_carbon!$C$13*1000000</f>
        <v>155959.33592935957</v>
      </c>
      <c r="K175" s="118">
        <f>I175*cnst_carbon!$C$13*1000000</f>
        <v>11229.423790630368</v>
      </c>
    </row>
    <row r="176" spans="1:11" ht="12">
      <c r="A176" s="27" t="s">
        <v>1448</v>
      </c>
      <c r="B176" s="1543" t="s">
        <v>7997</v>
      </c>
      <c r="C176" s="1135">
        <v>2273421000</v>
      </c>
      <c r="D176" s="1138">
        <v>2968062000</v>
      </c>
      <c r="E176" s="1191">
        <v>8.3000000000000004E-2</v>
      </c>
      <c r="F176" s="126">
        <f t="shared" si="4"/>
        <v>188693.943</v>
      </c>
      <c r="G176" s="126">
        <f t="shared" si="5"/>
        <v>246349.14600000001</v>
      </c>
      <c r="H176" s="467">
        <f>F176*cnst_carbon!$C$11/10^6</f>
        <v>1.0687277576187478E-2</v>
      </c>
      <c r="I176" s="467">
        <f>G176*carbon_intensity_n!$C$9</f>
        <v>1.3786270121103094E-2</v>
      </c>
      <c r="J176" s="801">
        <f>H176*cnst_carbon!$C$13*1000000</f>
        <v>3639.7413559240722</v>
      </c>
      <c r="K176" s="118">
        <f>I176*cnst_carbon!$C$13*1000000</f>
        <v>4695.1580649054022</v>
      </c>
    </row>
    <row r="177" spans="1:11" ht="12">
      <c r="A177" s="27" t="s">
        <v>1449</v>
      </c>
      <c r="B177" s="1543" t="s">
        <v>7998</v>
      </c>
      <c r="C177" s="1135">
        <v>16473576000</v>
      </c>
      <c r="D177" s="1138">
        <v>353257000</v>
      </c>
      <c r="E177" s="1191">
        <v>1.26</v>
      </c>
      <c r="F177" s="126">
        <f t="shared" si="4"/>
        <v>20756705.760000002</v>
      </c>
      <c r="G177" s="126">
        <f t="shared" si="5"/>
        <v>445103.82</v>
      </c>
      <c r="H177" s="467">
        <f>F177*cnst_carbon!$C$11/10^6</f>
        <v>1.175621604474975</v>
      </c>
      <c r="I177" s="467">
        <f>G177*carbon_intensity_n!$C$9</f>
        <v>2.4909043096316842E-2</v>
      </c>
      <c r="J177" s="801">
        <f>H177*cnst_carbon!$C$13*1000000</f>
        <v>400378.72528541839</v>
      </c>
      <c r="K177" s="118">
        <f>I177*cnst_carbon!$C$13*1000000</f>
        <v>8483.2150795976468</v>
      </c>
    </row>
    <row r="178" spans="1:11" ht="12">
      <c r="A178" s="27" t="s">
        <v>3432</v>
      </c>
      <c r="B178" s="1543" t="s">
        <v>7999</v>
      </c>
      <c r="C178" s="1135">
        <v>2147460000</v>
      </c>
      <c r="D178" s="1138">
        <v>1752768000</v>
      </c>
      <c r="E178" s="1191">
        <v>1</v>
      </c>
      <c r="F178" s="126">
        <f t="shared" si="4"/>
        <v>2147460</v>
      </c>
      <c r="G178" s="126">
        <f t="shared" si="5"/>
        <v>1752768</v>
      </c>
      <c r="H178" s="467">
        <f>F178*cnst_carbon!$C$11/10^6</f>
        <v>0.12162818127002392</v>
      </c>
      <c r="I178" s="467">
        <f>G178*carbon_intensity_n!$C$9</f>
        <v>9.808896641202737E-2</v>
      </c>
      <c r="J178" s="801">
        <f>H178*cnst_carbon!$C$13*1000000</f>
        <v>41422.627816901935</v>
      </c>
      <c r="K178" s="118">
        <f>I178*cnst_carbon!$C$13*1000000</f>
        <v>33405.93196579667</v>
      </c>
    </row>
    <row r="179" spans="1:11" ht="12">
      <c r="A179" s="27" t="s">
        <v>1087</v>
      </c>
      <c r="B179" s="1543" t="s">
        <v>8000</v>
      </c>
      <c r="C179" s="1135">
        <v>14324000</v>
      </c>
      <c r="D179" s="1138">
        <v>12347000</v>
      </c>
      <c r="E179" s="1191">
        <v>2</v>
      </c>
      <c r="F179" s="126">
        <f t="shared" si="4"/>
        <v>28648</v>
      </c>
      <c r="G179" s="126">
        <f t="shared" si="5"/>
        <v>24694</v>
      </c>
      <c r="H179" s="467">
        <f>F179*cnst_carbon!$C$11/10^6</f>
        <v>1.6225699836195531E-3</v>
      </c>
      <c r="I179" s="467">
        <f>G179*carbon_intensity_n!$C$9</f>
        <v>1.3819335682637999E-3</v>
      </c>
      <c r="J179" s="801">
        <f>H179*cnst_carbon!$C$13*1000000</f>
        <v>552.5948989497391</v>
      </c>
      <c r="K179" s="118">
        <f>I179*cnst_carbon!$C$13*1000000</f>
        <v>470.64191265665681</v>
      </c>
    </row>
    <row r="180" spans="1:11" ht="12">
      <c r="A180" s="27" t="s">
        <v>1088</v>
      </c>
      <c r="B180" s="1543" t="s">
        <v>8001</v>
      </c>
      <c r="C180" s="1135"/>
      <c r="D180" s="1138">
        <v>1592</v>
      </c>
      <c r="E180" s="1191">
        <v>50</v>
      </c>
      <c r="F180" s="126">
        <f t="shared" si="4"/>
        <v>0</v>
      </c>
      <c r="G180" s="126">
        <f t="shared" si="5"/>
        <v>79.599999999999994</v>
      </c>
      <c r="H180" s="467">
        <f>F180*cnst_carbon!$C$11/10^6</f>
        <v>0</v>
      </c>
      <c r="I180" s="467">
        <f>G180*carbon_intensity_n!$C$9</f>
        <v>4.4546007950837641E-6</v>
      </c>
      <c r="J180" s="801">
        <f>H180*cnst_carbon!$C$13*1000000</f>
        <v>0</v>
      </c>
      <c r="K180" s="118">
        <f>I180*cnst_carbon!$C$13*1000000</f>
        <v>1.5170930690641402</v>
      </c>
    </row>
    <row r="181" spans="1:11" ht="12">
      <c r="A181" s="27" t="s">
        <v>1089</v>
      </c>
      <c r="B181" s="1543" t="s">
        <v>8002</v>
      </c>
      <c r="C181" s="1135">
        <v>270521892</v>
      </c>
      <c r="D181" s="1138">
        <v>125750051</v>
      </c>
      <c r="E181" s="1191">
        <v>2</v>
      </c>
      <c r="F181" s="126">
        <f t="shared" si="4"/>
        <v>541043.78399999999</v>
      </c>
      <c r="G181" s="126">
        <f t="shared" si="5"/>
        <v>251500.10200000001</v>
      </c>
      <c r="H181" s="467">
        <f>F181*cnst_carbon!$C$11/10^6</f>
        <v>3.0643723950793806E-2</v>
      </c>
      <c r="I181" s="467">
        <f>G181*carbon_intensity_n!$C$9</f>
        <v>1.4074529577045827E-2</v>
      </c>
      <c r="J181" s="801">
        <f>H181*cnst_carbon!$C$13*1000000</f>
        <v>10436.262047852011</v>
      </c>
      <c r="K181" s="118">
        <f>I181*cnst_carbon!$C$13*1000000</f>
        <v>4793.3299197628694</v>
      </c>
    </row>
    <row r="182" spans="1:11" ht="12">
      <c r="A182" s="27" t="s">
        <v>4690</v>
      </c>
      <c r="B182" s="1543" t="s">
        <v>8003</v>
      </c>
      <c r="C182" s="1135">
        <v>252586000</v>
      </c>
      <c r="D182" s="1138">
        <v>249688000</v>
      </c>
      <c r="E182" s="1191">
        <v>51</v>
      </c>
      <c r="F182" s="126">
        <f t="shared" si="4"/>
        <v>12881886</v>
      </c>
      <c r="G182" s="126">
        <f t="shared" si="5"/>
        <v>12734088</v>
      </c>
      <c r="H182" s="467">
        <f>F182*cnst_carbon!$C$11/10^6</f>
        <v>0.72960630955071737</v>
      </c>
      <c r="I182" s="467">
        <f>G182*carbon_intensity_n!$C$9</f>
        <v>0.71262912725460581</v>
      </c>
      <c r="J182" s="801">
        <f>H182*cnst_carbon!$C$13*1000000</f>
        <v>248480.32995155186</v>
      </c>
      <c r="K182" s="118">
        <f>I182*cnst_carbon!$C$13*1000000</f>
        <v>242698.45032227188</v>
      </c>
    </row>
    <row r="183" spans="1:11" ht="12">
      <c r="A183" s="27" t="s">
        <v>4691</v>
      </c>
      <c r="B183" s="1543" t="s">
        <v>8004</v>
      </c>
      <c r="C183" s="1135">
        <v>1948433599</v>
      </c>
      <c r="D183" s="1138">
        <v>4407052389</v>
      </c>
      <c r="E183" s="1191">
        <v>3</v>
      </c>
      <c r="F183" s="126">
        <f t="shared" si="4"/>
        <v>5845300.7970000003</v>
      </c>
      <c r="G183" s="126">
        <f t="shared" si="5"/>
        <v>13221157.166999999</v>
      </c>
      <c r="H183" s="467">
        <f>F183*cnst_carbon!$C$11/10^6</f>
        <v>0.33106707687935111</v>
      </c>
      <c r="I183" s="467">
        <f>G183*carbon_intensity_n!$C$9</f>
        <v>0.7398866485935377</v>
      </c>
      <c r="J183" s="801">
        <f>H183*cnst_carbon!$C$13*1000000</f>
        <v>112750.74711145782</v>
      </c>
      <c r="K183" s="118">
        <f>I183*cnst_carbon!$C$13*1000000</f>
        <v>251981.48119426362</v>
      </c>
    </row>
    <row r="184" spans="1:11" ht="12">
      <c r="A184" s="27" t="s">
        <v>4692</v>
      </c>
      <c r="B184" s="1543" t="s">
        <v>8005</v>
      </c>
      <c r="C184" s="1135">
        <v>11896684000</v>
      </c>
      <c r="D184" s="1138">
        <v>591761000</v>
      </c>
      <c r="E184" s="1191">
        <v>1</v>
      </c>
      <c r="F184" s="126">
        <f t="shared" si="4"/>
        <v>11896684</v>
      </c>
      <c r="G184" s="126">
        <f t="shared" si="5"/>
        <v>591761</v>
      </c>
      <c r="H184" s="467">
        <f>F184*cnst_carbon!$C$11/10^6</f>
        <v>0.67380628186983382</v>
      </c>
      <c r="I184" s="467">
        <f>G184*carbon_intensity_n!$C$9</f>
        <v>3.3116319360547278E-2</v>
      </c>
      <c r="J184" s="801">
        <f>H184*cnst_carbon!$C$13*1000000</f>
        <v>229476.6438430947</v>
      </c>
      <c r="K184" s="118">
        <f>I184*cnst_carbon!$C$13*1000000</f>
        <v>11278.348136211869</v>
      </c>
    </row>
    <row r="185" spans="1:11" ht="12">
      <c r="A185" s="27" t="s">
        <v>4693</v>
      </c>
      <c r="B185" s="1543" t="s">
        <v>8006</v>
      </c>
      <c r="C185" s="1135">
        <v>772000</v>
      </c>
      <c r="D185" s="1138">
        <v>37000</v>
      </c>
      <c r="E185" s="1191">
        <v>7.4</v>
      </c>
      <c r="F185" s="126">
        <f t="shared" si="4"/>
        <v>5712.8</v>
      </c>
      <c r="G185" s="126">
        <f t="shared" si="5"/>
        <v>273.8</v>
      </c>
      <c r="H185" s="467">
        <f>F185*cnst_carbon!$C$11/10^6</f>
        <v>3.2356247565002035E-4</v>
      </c>
      <c r="I185" s="467">
        <f>G185*carbon_intensity_n!$C$9</f>
        <v>1.5322483639371038E-5</v>
      </c>
      <c r="J185" s="801">
        <f>H185*cnst_carbon!$C$13*1000000</f>
        <v>110.19492246300157</v>
      </c>
      <c r="K185" s="118">
        <f>I185*cnst_carbon!$C$13*1000000</f>
        <v>5.2183427425849445</v>
      </c>
    </row>
    <row r="186" spans="1:11" ht="12">
      <c r="A186" s="27" t="s">
        <v>4694</v>
      </c>
      <c r="B186" s="1543" t="s">
        <v>8007</v>
      </c>
      <c r="C186" s="1135">
        <v>1268368094</v>
      </c>
      <c r="D186" s="1138">
        <v>121154367</v>
      </c>
      <c r="E186" s="1191">
        <v>2</v>
      </c>
      <c r="F186" s="126">
        <f t="shared" si="4"/>
        <v>2536736.1880000001</v>
      </c>
      <c r="G186" s="126">
        <f t="shared" si="5"/>
        <v>242308.734</v>
      </c>
      <c r="H186" s="467">
        <f>F186*cnst_carbon!$C$11/10^6</f>
        <v>0.14367606796321863</v>
      </c>
      <c r="I186" s="467">
        <f>G186*carbon_intensity_n!$C$9</f>
        <v>1.3560159285579652E-2</v>
      </c>
      <c r="J186" s="801">
        <f>H186*cnst_carbon!$C$13*1000000</f>
        <v>48931.425491133974</v>
      </c>
      <c r="K186" s="118">
        <f>I186*cnst_carbon!$C$13*1000000</f>
        <v>4618.152021672191</v>
      </c>
    </row>
    <row r="187" spans="1:11" ht="12">
      <c r="A187" s="27" t="s">
        <v>4695</v>
      </c>
      <c r="B187" s="1543" t="s">
        <v>8008</v>
      </c>
      <c r="C187" s="1135">
        <v>2206185970</v>
      </c>
      <c r="D187" s="1138">
        <v>168665014</v>
      </c>
      <c r="E187" s="1191">
        <v>10</v>
      </c>
      <c r="F187" s="126">
        <f t="shared" si="4"/>
        <v>22061859.699999999</v>
      </c>
      <c r="G187" s="126">
        <f t="shared" si="5"/>
        <v>1686650.14</v>
      </c>
      <c r="H187" s="467">
        <f>F187*cnst_carbon!$C$11/10^6</f>
        <v>1.2495431210571726</v>
      </c>
      <c r="I187" s="467">
        <f>G187*carbon_intensity_n!$C$9</f>
        <v>9.4388857470755552E-2</v>
      </c>
      <c r="J187" s="801">
        <f>H187*cnst_carbon!$C$13*1000000</f>
        <v>425554.00487171253</v>
      </c>
      <c r="K187" s="118">
        <f>I187*cnst_carbon!$C$13*1000000</f>
        <v>32145.794438819874</v>
      </c>
    </row>
    <row r="188" spans="1:11" ht="12">
      <c r="A188" s="27" t="s">
        <v>4696</v>
      </c>
      <c r="B188" s="1543" t="s">
        <v>8009</v>
      </c>
      <c r="C188" s="1135">
        <v>2809051102</v>
      </c>
      <c r="D188" s="1138">
        <v>595619234</v>
      </c>
      <c r="E188" s="1191">
        <v>2</v>
      </c>
      <c r="F188" s="126">
        <f t="shared" si="4"/>
        <v>5618102.2039999999</v>
      </c>
      <c r="G188" s="126">
        <f t="shared" si="5"/>
        <v>1191238.4680000001</v>
      </c>
      <c r="H188" s="467">
        <f>F188*cnst_carbon!$C$11/10^6</f>
        <v>0.31819896680805831</v>
      </c>
      <c r="I188" s="467">
        <f>G188*carbon_intensity_n!$C$9</f>
        <v>6.6664470184512131E-2</v>
      </c>
      <c r="J188" s="801">
        <f>H188*cnst_carbon!$C$13*1000000</f>
        <v>108368.28468684327</v>
      </c>
      <c r="K188" s="118">
        <f>I188*cnst_carbon!$C$13*1000000</f>
        <v>22703.764113132976</v>
      </c>
    </row>
    <row r="189" spans="1:11" ht="12">
      <c r="A189" s="27" t="s">
        <v>4697</v>
      </c>
      <c r="B189" s="1543" t="s">
        <v>8010</v>
      </c>
      <c r="C189" s="1135">
        <v>3246863000</v>
      </c>
      <c r="D189" s="1138">
        <v>11041572000</v>
      </c>
      <c r="E189" s="1191">
        <v>0.33579583124206203</v>
      </c>
      <c r="F189" s="126">
        <f t="shared" si="4"/>
        <v>1090283.0600140954</v>
      </c>
      <c r="G189" s="126">
        <f t="shared" si="5"/>
        <v>3707713.8479590775</v>
      </c>
      <c r="H189" s="467">
        <f>F189*cnst_carbon!$C$11/10^6</f>
        <v>6.1751625482677569E-2</v>
      </c>
      <c r="I189" s="467">
        <f>G189*carbon_intensity_n!$C$9</f>
        <v>0.20749227456107525</v>
      </c>
      <c r="J189" s="801">
        <f>H189*cnst_carbon!$C$13*1000000</f>
        <v>21030.607978745509</v>
      </c>
      <c r="K189" s="118">
        <f>I189*cnst_carbon!$C$13*1000000</f>
        <v>70665.16307552575</v>
      </c>
    </row>
    <row r="190" spans="1:11" ht="12">
      <c r="A190" s="27" t="s">
        <v>3237</v>
      </c>
      <c r="B190" s="1543" t="s">
        <v>8011</v>
      </c>
      <c r="C190" s="1135">
        <v>18000</v>
      </c>
      <c r="D190" s="1138">
        <v>923000</v>
      </c>
      <c r="E190" s="1191">
        <v>2</v>
      </c>
      <c r="F190" s="126">
        <f t="shared" si="4"/>
        <v>36</v>
      </c>
      <c r="G190" s="126">
        <f t="shared" si="5"/>
        <v>1846</v>
      </c>
      <c r="H190" s="467">
        <f>F190*cnst_carbon!$C$11/10^6</f>
        <v>2.0389737297648671E-6</v>
      </c>
      <c r="I190" s="467">
        <f>G190*carbon_intensity_n!$C$9</f>
        <v>1.0330644557443E-4</v>
      </c>
      <c r="J190" s="801">
        <f>H190*cnst_carbon!$C$13*1000000</f>
        <v>0.69440855774192278</v>
      </c>
      <c r="K190" s="118">
        <f>I190*cnst_carbon!$C$13*1000000</f>
        <v>35.182836752417117</v>
      </c>
    </row>
    <row r="191" spans="1:11" ht="12">
      <c r="A191" s="27" t="s">
        <v>1453</v>
      </c>
      <c r="B191" s="1543" t="s">
        <v>8012</v>
      </c>
      <c r="C191" s="1135">
        <v>3882162000</v>
      </c>
      <c r="D191" s="1138">
        <v>18454039000</v>
      </c>
      <c r="E191" s="1191">
        <v>25.3</v>
      </c>
      <c r="F191" s="126">
        <f t="shared" si="4"/>
        <v>98218698.599999994</v>
      </c>
      <c r="G191" s="126">
        <f t="shared" si="5"/>
        <v>466887186.69999999</v>
      </c>
      <c r="H191" s="467">
        <f>F191*cnst_carbon!$C$11/10^6</f>
        <v>5.5629262838081477</v>
      </c>
      <c r="I191" s="467">
        <f>G191*carbon_intensity_n!$C$9</f>
        <v>26.128090867942735</v>
      </c>
      <c r="J191" s="801">
        <f>H191*cnst_carbon!$C$13*1000000</f>
        <v>1894552.9121698504</v>
      </c>
      <c r="K191" s="118">
        <f>I191*cnst_carbon!$C$13*1000000</f>
        <v>8898383.3539877534</v>
      </c>
    </row>
    <row r="192" spans="1:11" ht="12">
      <c r="A192" s="27" t="s">
        <v>1454</v>
      </c>
      <c r="B192" s="1543" t="s">
        <v>8013</v>
      </c>
      <c r="C192" s="1135">
        <v>23028938</v>
      </c>
      <c r="D192" s="1138">
        <v>407793043</v>
      </c>
      <c r="E192" s="1191">
        <v>10.043893876551085</v>
      </c>
      <c r="F192" s="126">
        <f t="shared" si="4"/>
        <v>231300.20936167458</v>
      </c>
      <c r="G192" s="126">
        <f t="shared" si="5"/>
        <v>4095830.0474878331</v>
      </c>
      <c r="H192" s="467">
        <f>F192*cnst_carbon!$C$11/10^6</f>
        <v>1.3100418071599118E-2</v>
      </c>
      <c r="I192" s="467">
        <f>G192*carbon_intensity_n!$C$9</f>
        <v>0.22921215811642301</v>
      </c>
      <c r="J192" s="801">
        <f>H192*cnst_carbon!$C$13*1000000</f>
        <v>4461.5790218957018</v>
      </c>
      <c r="K192" s="118">
        <f>I192*cnst_carbon!$C$13*1000000</f>
        <v>78062.253481261811</v>
      </c>
    </row>
    <row r="193" spans="1:11" ht="12">
      <c r="A193" s="27" t="s">
        <v>1455</v>
      </c>
      <c r="B193" s="1543" t="s">
        <v>8014</v>
      </c>
      <c r="C193" s="1135">
        <v>777418</v>
      </c>
      <c r="D193" s="1138">
        <v>5534496</v>
      </c>
      <c r="E193" s="1191">
        <v>16.100000000000001</v>
      </c>
      <c r="F193" s="126">
        <f t="shared" si="4"/>
        <v>12516.4298</v>
      </c>
      <c r="G193" s="126">
        <f t="shared" si="5"/>
        <v>89105.385600000009</v>
      </c>
      <c r="H193" s="467">
        <f>F193*cnst_carbon!$C$11/10^6</f>
        <v>7.0890754312905914E-4</v>
      </c>
      <c r="I193" s="467">
        <f>G193*carbon_intensity_n!$C$9</f>
        <v>4.9865442404523289E-3</v>
      </c>
      <c r="J193" s="801">
        <f>H193*cnst_carbon!$C$13*1000000</f>
        <v>241.43099904155622</v>
      </c>
      <c r="K193" s="118">
        <f>I193*cnst_carbon!$C$13*1000000</f>
        <v>1698.2558154528601</v>
      </c>
    </row>
    <row r="194" spans="1:11" ht="12">
      <c r="A194" s="27" t="s">
        <v>4531</v>
      </c>
      <c r="B194" s="1543" t="s">
        <v>8015</v>
      </c>
      <c r="C194" s="1135">
        <v>11892224000</v>
      </c>
      <c r="D194" s="1138">
        <v>15508000</v>
      </c>
      <c r="E194" s="1191">
        <v>0.12748680662294265</v>
      </c>
      <c r="F194" s="126">
        <f t="shared" si="4"/>
        <v>1516101.6614047175</v>
      </c>
      <c r="G194" s="126">
        <f t="shared" si="5"/>
        <v>1977.0653971085947</v>
      </c>
      <c r="H194" s="467">
        <f>F194*cnst_carbon!$C$11/10^6</f>
        <v>8.5869207201585779E-2</v>
      </c>
      <c r="I194" s="467">
        <f>G194*carbon_intensity_n!$C$9</f>
        <v>1.1064116947101185E-4</v>
      </c>
      <c r="J194" s="801">
        <f>H194*cnst_carbon!$C$13*1000000</f>
        <v>29244.276891282858</v>
      </c>
      <c r="K194" s="118">
        <f>I194*cnst_carbon!$C$13*1000000</f>
        <v>37.68080667135667</v>
      </c>
    </row>
    <row r="195" spans="1:11" ht="12">
      <c r="A195" s="27" t="s">
        <v>4532</v>
      </c>
      <c r="B195" s="1543" t="s">
        <v>8016</v>
      </c>
      <c r="C195" s="1135">
        <v>8311426.2841904499</v>
      </c>
      <c r="D195" s="1138">
        <v>222792426</v>
      </c>
      <c r="E195" s="1191">
        <v>3.5069385886364035</v>
      </c>
      <c r="F195" s="126">
        <f t="shared" si="4"/>
        <v>29147.661562634363</v>
      </c>
      <c r="G195" s="126">
        <f t="shared" si="5"/>
        <v>781319.35599532037</v>
      </c>
      <c r="H195" s="467">
        <f>F195*cnst_carbon!$C$11/10^6</f>
        <v>1.6508698947302401E-3</v>
      </c>
      <c r="I195" s="467">
        <f>G195*carbon_intensity_n!$C$9</f>
        <v>4.3724445030541313E-2</v>
      </c>
      <c r="J195" s="801">
        <f>H195*cnst_carbon!$C$13*1000000</f>
        <v>562.23293409051689</v>
      </c>
      <c r="K195" s="118">
        <f>I195*cnst_carbon!$C$13*1000000</f>
        <v>14891.132910881384</v>
      </c>
    </row>
    <row r="196" spans="1:11" ht="12">
      <c r="A196" s="27" t="s">
        <v>4533</v>
      </c>
      <c r="B196" s="1543" t="s">
        <v>8017</v>
      </c>
      <c r="C196" s="1135">
        <v>2376126</v>
      </c>
      <c r="D196" s="1138">
        <v>680044146</v>
      </c>
      <c r="E196" s="1191">
        <v>5.371669317672886</v>
      </c>
      <c r="F196" s="126">
        <f t="shared" si="4"/>
        <v>12763.763129124804</v>
      </c>
      <c r="G196" s="126">
        <f t="shared" si="5"/>
        <v>3652972.2737312601</v>
      </c>
      <c r="H196" s="467">
        <f>F196*cnst_carbon!$C$11/10^6</f>
        <v>7.2291604758963589E-4</v>
      </c>
      <c r="I196" s="467">
        <f>G196*carbon_intensity_n!$C$9</f>
        <v>0.20442880898218865</v>
      </c>
      <c r="J196" s="801">
        <f>H196*cnst_carbon!$C$13*1000000</f>
        <v>246.20184294041911</v>
      </c>
      <c r="K196" s="118">
        <f>I196*cnst_carbon!$C$13*1000000</f>
        <v>69621.845703029758</v>
      </c>
    </row>
    <row r="197" spans="1:11" ht="12">
      <c r="A197" s="27" t="s">
        <v>4534</v>
      </c>
      <c r="B197" s="1543" t="s">
        <v>8018</v>
      </c>
      <c r="C197" s="1135">
        <v>22500</v>
      </c>
      <c r="D197" s="1138">
        <v>739000</v>
      </c>
      <c r="E197" s="1191">
        <v>2</v>
      </c>
      <c r="F197" s="126">
        <f t="shared" si="4"/>
        <v>45</v>
      </c>
      <c r="G197" s="126">
        <f t="shared" si="5"/>
        <v>1478</v>
      </c>
      <c r="H197" s="467">
        <f>F197*cnst_carbon!$C$11/10^6</f>
        <v>2.548717162206084E-6</v>
      </c>
      <c r="I197" s="467">
        <f>G197*carbon_intensity_n!$C$9</f>
        <v>8.2712311245399534E-5</v>
      </c>
      <c r="J197" s="801">
        <f>H197*cnst_carbon!$C$13*1000000</f>
        <v>0.86801069717740353</v>
      </c>
      <c r="K197" s="118">
        <f>I197*cnst_carbon!$C$13*1000000</f>
        <v>28.169140151718583</v>
      </c>
    </row>
    <row r="198" spans="1:11" ht="12">
      <c r="A198" s="27" t="s">
        <v>3350</v>
      </c>
      <c r="B198" s="1543" t="s">
        <v>8019</v>
      </c>
      <c r="C198" s="1135">
        <v>558098882</v>
      </c>
      <c r="D198" s="1138">
        <v>1103983</v>
      </c>
      <c r="E198" s="1191">
        <v>0.25375768419496836</v>
      </c>
      <c r="F198" s="126">
        <f t="shared" si="4"/>
        <v>141621.87984812091</v>
      </c>
      <c r="G198" s="126">
        <f t="shared" si="5"/>
        <v>280.14416947061375</v>
      </c>
      <c r="H198" s="467">
        <f>F198*cnst_carbon!$C$11/10^6</f>
        <v>8.0212025713954152E-3</v>
      </c>
      <c r="I198" s="467">
        <f>G198*carbon_intensity_n!$C$9</f>
        <v>1.5677518091229609E-5</v>
      </c>
      <c r="J198" s="801">
        <f>H198*cnst_carbon!$C$13*1000000</f>
        <v>2731.7623702787091</v>
      </c>
      <c r="K198" s="118">
        <f>I198*cnst_carbon!$C$13*1000000</f>
        <v>5.3392560030477147</v>
      </c>
    </row>
    <row r="199" spans="1:11" ht="12">
      <c r="A199" s="27" t="s">
        <v>3351</v>
      </c>
      <c r="B199" s="1543" t="s">
        <v>8020</v>
      </c>
      <c r="C199" s="1135">
        <v>1102020146</v>
      </c>
      <c r="D199" s="1138">
        <v>115693101</v>
      </c>
      <c r="E199" s="1191">
        <v>2</v>
      </c>
      <c r="F199" s="126">
        <f t="shared" si="4"/>
        <v>2204040.2919999999</v>
      </c>
      <c r="G199" s="126">
        <f t="shared" si="5"/>
        <v>231386.20199999999</v>
      </c>
      <c r="H199" s="467">
        <f>F199*cnst_carbon!$C$11/10^6</f>
        <v>0.12483278485364685</v>
      </c>
      <c r="I199" s="467">
        <f>G199*carbon_intensity_n!$C$9</f>
        <v>1.2948909037696136E-2</v>
      </c>
      <c r="J199" s="801">
        <f>H199*cnst_carbon!$C$13*1000000</f>
        <v>42514.012232577952</v>
      </c>
      <c r="K199" s="118">
        <f>I199*cnst_carbon!$C$13*1000000</f>
        <v>4409.9799413476776</v>
      </c>
    </row>
    <row r="200" spans="1:11" ht="12">
      <c r="A200" s="27" t="s">
        <v>3352</v>
      </c>
      <c r="B200" s="1543" t="s">
        <v>8021</v>
      </c>
      <c r="C200" s="1135">
        <v>1545587616</v>
      </c>
      <c r="D200" s="1138">
        <v>3245207920</v>
      </c>
      <c r="E200" s="1191">
        <v>10</v>
      </c>
      <c r="F200" s="126">
        <f t="shared" ref="F200:F263" si="6">C200*$E200/1000</f>
        <v>15455876.16</v>
      </c>
      <c r="G200" s="126">
        <f t="shared" ref="G200:G263" si="7">D200*E200/1000</f>
        <v>32452079.199999999</v>
      </c>
      <c r="H200" s="467">
        <f>F200*cnst_carbon!$C$11/10^6</f>
        <v>0.87539237390941915</v>
      </c>
      <c r="I200" s="467">
        <f>G200*carbon_intensity_n!$C$9</f>
        <v>1.8160936910356944</v>
      </c>
      <c r="J200" s="801">
        <f>H200*cnst_carbon!$C$13*1000000</f>
        <v>298130.35202509351</v>
      </c>
      <c r="K200" s="118">
        <f>I200*cnst_carbon!$C$13*1000000</f>
        <v>618502.8194854341</v>
      </c>
    </row>
    <row r="201" spans="1:11" ht="12">
      <c r="A201" s="27" t="s">
        <v>3353</v>
      </c>
      <c r="B201" s="1543" t="s">
        <v>8022</v>
      </c>
      <c r="C201" s="1135">
        <v>15698454</v>
      </c>
      <c r="D201" s="1138">
        <v>20426034</v>
      </c>
      <c r="E201" s="1191">
        <v>128.19999999999999</v>
      </c>
      <c r="F201" s="126">
        <f t="shared" si="6"/>
        <v>2012541.8027999997</v>
      </c>
      <c r="G201" s="126">
        <f t="shared" si="7"/>
        <v>2618617.5587999998</v>
      </c>
      <c r="H201" s="467">
        <f>F201*cnst_carbon!$C$11/10^6</f>
        <v>0.11398666294341181</v>
      </c>
      <c r="I201" s="467">
        <f>G201*carbon_intensity_n!$C$9</f>
        <v>0.14654391783229628</v>
      </c>
      <c r="J201" s="801">
        <f>H201*cnst_carbon!$C$13*1000000</f>
        <v>38820.173629935482</v>
      </c>
      <c r="K201" s="118">
        <f>I201*cnst_carbon!$C$13*1000000</f>
        <v>49908.122474687669</v>
      </c>
    </row>
    <row r="202" spans="1:11" ht="12">
      <c r="A202" s="27" t="s">
        <v>3354</v>
      </c>
      <c r="B202" s="1543" t="s">
        <v>8023</v>
      </c>
      <c r="C202" s="1135">
        <v>5158667</v>
      </c>
      <c r="D202" s="1138">
        <v>155</v>
      </c>
      <c r="E202" s="1191">
        <v>2</v>
      </c>
      <c r="F202" s="126">
        <f t="shared" si="6"/>
        <v>10317.334000000001</v>
      </c>
      <c r="G202" s="126">
        <f t="shared" si="7"/>
        <v>0.31</v>
      </c>
      <c r="H202" s="467">
        <f>F202*cnst_carbon!$C$11/10^6</f>
        <v>5.8435480520027433E-4</v>
      </c>
      <c r="I202" s="467">
        <f>G202*carbon_intensity_n!$C$9</f>
        <v>1.7348319679346318E-8</v>
      </c>
      <c r="J202" s="801">
        <f>H202*cnst_carbon!$C$13*1000000</f>
        <v>199.01236174115843</v>
      </c>
      <c r="K202" s="118">
        <f>I202*cnst_carbon!$C$13*1000000</f>
        <v>5.9082770277623558E-3</v>
      </c>
    </row>
    <row r="203" spans="1:11" ht="12">
      <c r="A203" s="27" t="s">
        <v>3183</v>
      </c>
      <c r="B203" s="1543" t="s">
        <v>8024</v>
      </c>
      <c r="C203" s="1135">
        <v>17941578</v>
      </c>
      <c r="D203" s="1138">
        <v>54465385</v>
      </c>
      <c r="E203" s="1191">
        <v>1</v>
      </c>
      <c r="F203" s="126">
        <f t="shared" si="6"/>
        <v>17941.578000000001</v>
      </c>
      <c r="G203" s="126">
        <f t="shared" si="7"/>
        <v>54465.385000000002</v>
      </c>
      <c r="H203" s="467">
        <f>F203*cnst_carbon!$C$11/10^6</f>
        <v>1.0161779503479803E-3</v>
      </c>
      <c r="I203" s="467">
        <f>G203*carbon_intensity_n!$C$9</f>
        <v>3.0480093885118507E-3</v>
      </c>
      <c r="J203" s="801">
        <f>H203*cnst_carbon!$C$13*1000000</f>
        <v>346.07736951650594</v>
      </c>
      <c r="K203" s="118">
        <f>I203*cnst_carbon!$C$13*1000000</f>
        <v>1038.0534935604271</v>
      </c>
    </row>
    <row r="204" spans="1:11" ht="12">
      <c r="A204" s="27" t="s">
        <v>3634</v>
      </c>
      <c r="B204" s="1543" t="s">
        <v>8025</v>
      </c>
      <c r="C204" s="1135">
        <v>243162681</v>
      </c>
      <c r="D204" s="1138">
        <v>541977403</v>
      </c>
      <c r="E204" s="1191">
        <v>5</v>
      </c>
      <c r="F204" s="126">
        <f t="shared" si="6"/>
        <v>1215813.405</v>
      </c>
      <c r="G204" s="126">
        <f t="shared" si="7"/>
        <v>2709887.0150000001</v>
      </c>
      <c r="H204" s="467">
        <f>F204*cnst_carbon!$C$11/10^6</f>
        <v>6.8861433141415906E-2</v>
      </c>
      <c r="I204" s="467">
        <f>G204*carbon_intensity_n!$C$9</f>
        <v>0.15165156848751468</v>
      </c>
      <c r="J204" s="801">
        <f>H204*cnst_carbon!$C$13*1000000</f>
        <v>23451.978695815171</v>
      </c>
      <c r="K204" s="118">
        <f>I204*cnst_carbon!$C$13*1000000</f>
        <v>51647.623221148395</v>
      </c>
    </row>
    <row r="205" spans="1:11" ht="12">
      <c r="A205" s="27" t="s">
        <v>773</v>
      </c>
      <c r="B205" s="1543" t="s">
        <v>8026</v>
      </c>
      <c r="C205" s="1135">
        <v>280853.07922244997</v>
      </c>
      <c r="D205" s="1138"/>
      <c r="E205" s="1191">
        <v>5</v>
      </c>
      <c r="F205" s="126">
        <f t="shared" si="6"/>
        <v>1404.2653961122498</v>
      </c>
      <c r="G205" s="126">
        <f t="shared" si="7"/>
        <v>0</v>
      </c>
      <c r="H205" s="467">
        <f>F205*cnst_carbon!$C$11/10^6</f>
        <v>7.9535007008075913E-5</v>
      </c>
      <c r="I205" s="467">
        <f>G205*carbon_intensity_n!$C$9</f>
        <v>0</v>
      </c>
      <c r="J205" s="801">
        <f>H205*cnst_carbon!$C$13*1000000</f>
        <v>27.087053011144373</v>
      </c>
      <c r="K205" s="118">
        <f>I205*cnst_carbon!$C$13*1000000</f>
        <v>0</v>
      </c>
    </row>
    <row r="206" spans="1:11" ht="12">
      <c r="A206" s="27" t="s">
        <v>774</v>
      </c>
      <c r="B206" s="1543" t="s">
        <v>8027</v>
      </c>
      <c r="C206" s="1135">
        <v>25490258</v>
      </c>
      <c r="D206" s="1138">
        <v>8118294</v>
      </c>
      <c r="E206" s="1191">
        <v>5</v>
      </c>
      <c r="F206" s="126">
        <f t="shared" si="6"/>
        <v>127451.29</v>
      </c>
      <c r="G206" s="126">
        <f t="shared" si="7"/>
        <v>40591.47</v>
      </c>
      <c r="H206" s="467">
        <f>F206*cnst_carbon!$C$11/10^6</f>
        <v>7.2186064481845466E-3</v>
      </c>
      <c r="I206" s="467">
        <f>G206*carbon_intensity_n!$C$9</f>
        <v>2.2715928961761149E-3</v>
      </c>
      <c r="J206" s="801">
        <f>H206*cnst_carbon!$C$13*1000000</f>
        <v>2458.4240686457651</v>
      </c>
      <c r="K206" s="118">
        <f>I206*cnst_carbon!$C$13*1000000</f>
        <v>773.63112814227361</v>
      </c>
    </row>
    <row r="207" spans="1:11" ht="12">
      <c r="A207" s="27" t="s">
        <v>775</v>
      </c>
      <c r="B207" s="1543" t="s">
        <v>8028</v>
      </c>
      <c r="C207" s="1135">
        <v>20188432</v>
      </c>
      <c r="D207" s="1138">
        <v>1007999</v>
      </c>
      <c r="E207" s="1191">
        <v>25.84</v>
      </c>
      <c r="F207" s="126">
        <f t="shared" si="6"/>
        <v>521669.08288</v>
      </c>
      <c r="G207" s="126">
        <f t="shared" si="7"/>
        <v>26046.694159999999</v>
      </c>
      <c r="H207" s="467">
        <f>F207*cnst_carbon!$C$11/10^6</f>
        <v>2.9546376545079196E-2</v>
      </c>
      <c r="I207" s="467">
        <f>G207*carbon_intensity_n!$C$9</f>
        <v>1.4576334737994928E-3</v>
      </c>
      <c r="J207" s="801">
        <f>H207*cnst_carbon!$C$13*1000000</f>
        <v>10062.540985034788</v>
      </c>
      <c r="K207" s="118">
        <f>I207*cnst_carbon!$C$13*1000000</f>
        <v>496.42285404735446</v>
      </c>
    </row>
    <row r="208" spans="1:11" ht="12">
      <c r="A208" s="27" t="s">
        <v>1134</v>
      </c>
      <c r="B208" s="1543" t="s">
        <v>8029</v>
      </c>
      <c r="C208" s="1135">
        <v>72808707</v>
      </c>
      <c r="D208" s="1138">
        <v>13892095</v>
      </c>
      <c r="E208" s="1191">
        <v>1</v>
      </c>
      <c r="F208" s="126">
        <f t="shared" si="6"/>
        <v>72808.706999999995</v>
      </c>
      <c r="G208" s="126">
        <f t="shared" si="7"/>
        <v>13892.094999999999</v>
      </c>
      <c r="H208" s="467">
        <f>F208*cnst_carbon!$C$11/10^6</f>
        <v>4.1237511353096499E-3</v>
      </c>
      <c r="I208" s="467">
        <f>G208*carbon_intensity_n!$C$9</f>
        <v>7.7743388734144697E-4</v>
      </c>
      <c r="J208" s="801">
        <f>H208*cnst_carbon!$C$13*1000000</f>
        <v>1404.41636719234</v>
      </c>
      <c r="K208" s="118">
        <f>I208*cnst_carbon!$C$13*1000000</f>
        <v>264.76885727739443</v>
      </c>
    </row>
    <row r="209" spans="1:11" ht="12">
      <c r="A209" s="27" t="s">
        <v>990</v>
      </c>
      <c r="B209" s="1543" t="s">
        <v>8030</v>
      </c>
      <c r="C209" s="1135">
        <v>57343057</v>
      </c>
      <c r="D209" s="1138">
        <v>228861197</v>
      </c>
      <c r="E209" s="1191">
        <v>1</v>
      </c>
      <c r="F209" s="126">
        <f t="shared" si="6"/>
        <v>57343.057000000001</v>
      </c>
      <c r="G209" s="126">
        <f t="shared" si="7"/>
        <v>228861.19699999999</v>
      </c>
      <c r="H209" s="467">
        <f>F209*cnst_carbon!$C$11/10^6</f>
        <v>3.247805189094705E-3</v>
      </c>
      <c r="I209" s="467">
        <f>G209*carbon_intensity_n!$C$9</f>
        <v>1.2807603895980174E-2</v>
      </c>
      <c r="J209" s="801">
        <f>H209*cnst_carbon!$C$13*1000000</f>
        <v>1106.0974863300798</v>
      </c>
      <c r="K209" s="118">
        <f>I209*cnst_carbon!$C$13*1000000</f>
        <v>4361.855976713854</v>
      </c>
    </row>
    <row r="210" spans="1:11" ht="12">
      <c r="A210" s="27" t="s">
        <v>991</v>
      </c>
      <c r="B210" s="1543" t="s">
        <v>8031</v>
      </c>
      <c r="C210" s="1135">
        <v>91144376</v>
      </c>
      <c r="D210" s="1138">
        <v>47519635</v>
      </c>
      <c r="E210" s="1191">
        <v>25.84</v>
      </c>
      <c r="F210" s="126">
        <f t="shared" si="6"/>
        <v>2355170.6758400002</v>
      </c>
      <c r="G210" s="126">
        <f t="shared" si="7"/>
        <v>1227907.3684</v>
      </c>
      <c r="H210" s="467">
        <f>F210*cnst_carbon!$C$11/10^6</f>
        <v>0.13339253158750911</v>
      </c>
      <c r="I210" s="467">
        <f>G210*carbon_intensity_n!$C$9</f>
        <v>6.8716546979445389E-2</v>
      </c>
      <c r="J210" s="801">
        <f>H210*cnst_carbon!$C$13*1000000</f>
        <v>45429.185340170116</v>
      </c>
      <c r="K210" s="118">
        <f>I210*cnst_carbon!$C$13*1000000</f>
        <v>23402.635151412414</v>
      </c>
    </row>
    <row r="211" spans="1:11" ht="12">
      <c r="A211" s="27" t="s">
        <v>992</v>
      </c>
      <c r="B211" s="1543" t="s">
        <v>8032</v>
      </c>
      <c r="C211" s="1135">
        <v>169945849</v>
      </c>
      <c r="D211" s="1138">
        <v>47607328</v>
      </c>
      <c r="E211" s="1191">
        <v>1</v>
      </c>
      <c r="F211" s="126">
        <f t="shared" si="6"/>
        <v>169945.84899999999</v>
      </c>
      <c r="G211" s="126">
        <f t="shared" si="7"/>
        <v>47607.328000000001</v>
      </c>
      <c r="H211" s="467">
        <f>F211*cnst_carbon!$C$11/10^6</f>
        <v>9.6254200442663015E-3</v>
      </c>
      <c r="I211" s="467">
        <f>G211*carbon_intensity_n!$C$9</f>
        <v>2.664216597495145E-3</v>
      </c>
      <c r="J211" s="801">
        <f>H211*cnst_carbon!$C$13*1000000</f>
        <v>3278.1069971754605</v>
      </c>
      <c r="K211" s="118">
        <f>I211*cnst_carbon!$C$13*1000000</f>
        <v>907.34607217918574</v>
      </c>
    </row>
    <row r="212" spans="1:11" ht="12">
      <c r="A212" s="27" t="s">
        <v>1404</v>
      </c>
      <c r="B212" s="1543" t="s">
        <v>8033</v>
      </c>
      <c r="C212" s="1135">
        <v>147517867</v>
      </c>
      <c r="D212" s="1138">
        <v>65812048</v>
      </c>
      <c r="E212" s="1191">
        <v>25.84</v>
      </c>
      <c r="F212" s="126">
        <f t="shared" si="6"/>
        <v>3811861.68328</v>
      </c>
      <c r="G212" s="126">
        <f t="shared" si="7"/>
        <v>1700583.3203199999</v>
      </c>
      <c r="H212" s="467">
        <f>F212*cnst_carbon!$C$11/10^6</f>
        <v>0.21589682871403351</v>
      </c>
      <c r="I212" s="467">
        <f>G212*carbon_intensity_n!$C$9</f>
        <v>9.5168590587985671E-2</v>
      </c>
      <c r="J212" s="801">
        <f>H212*cnst_carbon!$C$13*1000000</f>
        <v>73527.482605504527</v>
      </c>
      <c r="K212" s="118">
        <f>I212*cnst_carbon!$C$13*1000000</f>
        <v>32411.346339491894</v>
      </c>
    </row>
    <row r="213" spans="1:11" ht="12">
      <c r="A213" s="27" t="s">
        <v>1405</v>
      </c>
      <c r="B213" s="1543" t="s">
        <v>8034</v>
      </c>
      <c r="C213" s="1135">
        <v>7967174000</v>
      </c>
      <c r="D213" s="1138">
        <v>125551600712</v>
      </c>
      <c r="E213" s="1191">
        <v>0.75</v>
      </c>
      <c r="F213" s="126">
        <f t="shared" si="6"/>
        <v>5975380.5</v>
      </c>
      <c r="G213" s="126">
        <f t="shared" si="7"/>
        <v>94163700.533999994</v>
      </c>
      <c r="H213" s="467">
        <f>F213*cnst_carbon!$C$11/10^6</f>
        <v>0.33843455180136822</v>
      </c>
      <c r="I213" s="467">
        <f>G213*carbon_intensity_n!$C$9</f>
        <v>5.2696192872711789</v>
      </c>
      <c r="J213" s="801">
        <f>H213*cnst_carbon!$C$13*1000000</f>
        <v>115259.87097122804</v>
      </c>
      <c r="K213" s="118">
        <f>I213*cnst_carbon!$C$13*1000000</f>
        <v>1794662.0281100841</v>
      </c>
    </row>
    <row r="214" spans="1:11" ht="12">
      <c r="A214" s="27" t="s">
        <v>1406</v>
      </c>
      <c r="B214" s="1543" t="s">
        <v>8035</v>
      </c>
      <c r="C214" s="1135">
        <v>1939000</v>
      </c>
      <c r="D214" s="1138">
        <v>5344000</v>
      </c>
      <c r="E214" s="1191">
        <v>0.75</v>
      </c>
      <c r="F214" s="126">
        <f t="shared" si="6"/>
        <v>1454.25</v>
      </c>
      <c r="G214" s="126">
        <f t="shared" si="7"/>
        <v>4008</v>
      </c>
      <c r="H214" s="467">
        <f>F214*cnst_carbon!$C$11/10^6</f>
        <v>8.2366042958626609E-5</v>
      </c>
      <c r="I214" s="467">
        <f>G214*carbon_intensity_n!$C$9</f>
        <v>2.2429698475748399E-4</v>
      </c>
      <c r="J214" s="801">
        <f>H214*cnst_carbon!$C$13*1000000</f>
        <v>28.05121236378309</v>
      </c>
      <c r="K214" s="118">
        <f>I214*cnst_carbon!$C$13*1000000</f>
        <v>76.38830428152103</v>
      </c>
    </row>
    <row r="215" spans="1:11" ht="12">
      <c r="A215" s="27" t="s">
        <v>367</v>
      </c>
      <c r="B215" s="1543" t="s">
        <v>8036</v>
      </c>
      <c r="C215" s="1135">
        <v>112772000</v>
      </c>
      <c r="D215" s="1138">
        <v>34896000</v>
      </c>
      <c r="E215" s="1191">
        <v>0.75</v>
      </c>
      <c r="F215" s="126">
        <f t="shared" si="6"/>
        <v>84579</v>
      </c>
      <c r="G215" s="126">
        <f t="shared" si="7"/>
        <v>26172</v>
      </c>
      <c r="H215" s="467">
        <f>F215*cnst_carbon!$C$11/10^6</f>
        <v>4.7903988636050741E-3</v>
      </c>
      <c r="I215" s="467">
        <f>G215*carbon_intensity_n!$C$9</f>
        <v>1.4646458795091993E-3</v>
      </c>
      <c r="J215" s="801">
        <f>H215*cnst_carbon!$C$13*1000000</f>
        <v>1631.4550390348356</v>
      </c>
      <c r="K215" s="118">
        <f>I215*cnst_carbon!$C$13*1000000</f>
        <v>498.81105280837534</v>
      </c>
    </row>
    <row r="216" spans="1:11" ht="12">
      <c r="A216" s="27" t="s">
        <v>368</v>
      </c>
      <c r="B216" s="1543" t="s">
        <v>8037</v>
      </c>
      <c r="C216" s="1135">
        <v>914760000</v>
      </c>
      <c r="D216" s="1138">
        <v>54876000</v>
      </c>
      <c r="E216" s="1191">
        <v>0</v>
      </c>
      <c r="F216" s="126">
        <f t="shared" si="6"/>
        <v>0</v>
      </c>
      <c r="G216" s="126">
        <f t="shared" si="7"/>
        <v>0</v>
      </c>
      <c r="H216" s="467">
        <f>F216*cnst_carbon!$C$11/10^6</f>
        <v>0</v>
      </c>
      <c r="I216" s="467">
        <f>G216*carbon_intensity_n!$C$9</f>
        <v>0</v>
      </c>
      <c r="J216" s="801">
        <f>H216*cnst_carbon!$C$13*1000000</f>
        <v>0</v>
      </c>
      <c r="K216" s="118">
        <f>I216*cnst_carbon!$C$13*1000000</f>
        <v>0</v>
      </c>
    </row>
    <row r="217" spans="1:11" ht="12">
      <c r="A217" s="27" t="s">
        <v>1591</v>
      </c>
      <c r="B217" s="1543" t="s">
        <v>8038</v>
      </c>
      <c r="C217" s="1135">
        <v>124768000</v>
      </c>
      <c r="D217" s="1138">
        <v>761310000</v>
      </c>
      <c r="E217" s="1191">
        <v>0</v>
      </c>
      <c r="F217" s="126">
        <f t="shared" si="6"/>
        <v>0</v>
      </c>
      <c r="G217" s="126">
        <f t="shared" si="7"/>
        <v>0</v>
      </c>
      <c r="H217" s="467">
        <f>F217*cnst_carbon!$C$11/10^6</f>
        <v>0</v>
      </c>
      <c r="I217" s="467">
        <f>G217*carbon_intensity_n!$C$9</f>
        <v>0</v>
      </c>
      <c r="J217" s="801">
        <f>H217*cnst_carbon!$C$13*1000000</f>
        <v>0</v>
      </c>
      <c r="K217" s="118">
        <f>I217*cnst_carbon!$C$13*1000000</f>
        <v>0</v>
      </c>
    </row>
    <row r="218" spans="1:11" ht="12">
      <c r="A218" s="27" t="s">
        <v>1592</v>
      </c>
      <c r="B218" s="1543" t="s">
        <v>8039</v>
      </c>
      <c r="C218" s="1135">
        <v>386147972625</v>
      </c>
      <c r="D218" s="1138">
        <v>6750184902</v>
      </c>
      <c r="E218" s="1191">
        <v>3.5</v>
      </c>
      <c r="F218" s="126">
        <f t="shared" si="6"/>
        <v>1351517904.1875</v>
      </c>
      <c r="G218" s="126">
        <f t="shared" si="7"/>
        <v>23625647.157000002</v>
      </c>
      <c r="H218" s="467">
        <f>F218*cnst_carbon!$C$11/10^6</f>
        <v>76.54748616514398</v>
      </c>
      <c r="I218" s="467">
        <f>G218*carbon_intensity_n!$C$9</f>
        <v>1.3221460629389532</v>
      </c>
      <c r="J218" s="801">
        <f>H218*cnst_carbon!$C$13*1000000</f>
        <v>26069599.961367447</v>
      </c>
      <c r="K218" s="118">
        <f>I218*cnst_carbon!$C$13*1000000</f>
        <v>450280.22052813589</v>
      </c>
    </row>
    <row r="219" spans="1:11" ht="12">
      <c r="A219" s="27" t="s">
        <v>2163</v>
      </c>
      <c r="B219" s="1543" t="s">
        <v>8040</v>
      </c>
      <c r="C219" s="1135">
        <v>6751126932.5563202</v>
      </c>
      <c r="D219" s="1138">
        <v>4633059451.4945202</v>
      </c>
      <c r="E219" s="1191">
        <v>48.84</v>
      </c>
      <c r="F219" s="126">
        <f t="shared" si="6"/>
        <v>329725039.3860507</v>
      </c>
      <c r="G219" s="126">
        <f t="shared" si="7"/>
        <v>226278623.61099237</v>
      </c>
      <c r="H219" s="467">
        <f>F219*cnst_carbon!$C$11/10^6</f>
        <v>18.675019259828986</v>
      </c>
      <c r="I219" s="467">
        <f>G219*carbon_intensity_n!$C$9</f>
        <v>12.663077093567669</v>
      </c>
      <c r="J219" s="801">
        <f>H219*cnst_carbon!$C$13*1000000</f>
        <v>6360108.0292073935</v>
      </c>
      <c r="K219" s="118">
        <f>I219*cnst_carbon!$C$13*1000000</f>
        <v>4312634.8185629388</v>
      </c>
    </row>
    <row r="220" spans="1:11" ht="12">
      <c r="A220" s="27" t="s">
        <v>913</v>
      </c>
      <c r="B220" s="1543" t="s">
        <v>8041</v>
      </c>
      <c r="C220" s="1135">
        <v>280045746.27946502</v>
      </c>
      <c r="D220" s="1138">
        <v>123087143.6037</v>
      </c>
      <c r="E220" s="1191">
        <v>21.45</v>
      </c>
      <c r="F220" s="126">
        <f t="shared" si="6"/>
        <v>6006981.2576945247</v>
      </c>
      <c r="G220" s="126">
        <f t="shared" si="7"/>
        <v>2640219.2302993652</v>
      </c>
      <c r="H220" s="467">
        <f>F220*cnst_carbon!$C$11/10^6</f>
        <v>0.34022436054525157</v>
      </c>
      <c r="I220" s="467">
        <f>G220*carbon_intensity_n!$C$9</f>
        <v>0.14775279751868084</v>
      </c>
      <c r="J220" s="801">
        <f>H220*cnst_carbon!$C$13*1000000</f>
        <v>115869.42198717823</v>
      </c>
      <c r="K220" s="118">
        <f>I220*cnst_carbon!$C$13*1000000</f>
        <v>50319.827827852081</v>
      </c>
    </row>
    <row r="221" spans="1:11" ht="12">
      <c r="A221" s="27" t="s">
        <v>96</v>
      </c>
      <c r="B221" s="1543" t="s">
        <v>8042</v>
      </c>
      <c r="C221" s="1135">
        <v>747622048.06777894</v>
      </c>
      <c r="D221" s="1138">
        <v>184252473.393895</v>
      </c>
      <c r="E221" s="1191">
        <v>0</v>
      </c>
      <c r="F221" s="126">
        <f t="shared" si="6"/>
        <v>0</v>
      </c>
      <c r="G221" s="126">
        <f t="shared" si="7"/>
        <v>0</v>
      </c>
      <c r="H221" s="467">
        <f>F221*cnst_carbon!$C$11/10^6</f>
        <v>0</v>
      </c>
      <c r="I221" s="467">
        <f>G221*carbon_intensity_n!$C$9</f>
        <v>0</v>
      </c>
      <c r="J221" s="801">
        <f>H221*cnst_carbon!$C$13*1000000</f>
        <v>0</v>
      </c>
      <c r="K221" s="118">
        <f>I221*cnst_carbon!$C$13*1000000</f>
        <v>0</v>
      </c>
    </row>
    <row r="222" spans="1:11" ht="12">
      <c r="A222" s="27" t="s">
        <v>97</v>
      </c>
      <c r="B222" s="1543" t="s">
        <v>8043</v>
      </c>
      <c r="C222" s="1135">
        <v>614693169.09498203</v>
      </c>
      <c r="D222" s="1138">
        <v>459092332.35013098</v>
      </c>
      <c r="E222" s="1191">
        <v>0</v>
      </c>
      <c r="F222" s="126">
        <f t="shared" si="6"/>
        <v>0</v>
      </c>
      <c r="G222" s="126">
        <f t="shared" si="7"/>
        <v>0</v>
      </c>
      <c r="H222" s="467">
        <f>F222*cnst_carbon!$C$11/10^6</f>
        <v>0</v>
      </c>
      <c r="I222" s="467">
        <f>G222*carbon_intensity_n!$C$9</f>
        <v>0</v>
      </c>
      <c r="J222" s="801">
        <f>H222*cnst_carbon!$C$13*1000000</f>
        <v>0</v>
      </c>
      <c r="K222" s="118">
        <f>I222*cnst_carbon!$C$13*1000000</f>
        <v>0</v>
      </c>
    </row>
    <row r="223" spans="1:11" ht="12">
      <c r="A223" s="27" t="s">
        <v>2911</v>
      </c>
      <c r="B223" s="1543" t="s">
        <v>8044</v>
      </c>
      <c r="C223" s="1135">
        <v>45998503</v>
      </c>
      <c r="D223" s="1138">
        <v>341876107</v>
      </c>
      <c r="E223" s="1191">
        <v>21.45</v>
      </c>
      <c r="F223" s="126">
        <f t="shared" si="6"/>
        <v>986667.88935000007</v>
      </c>
      <c r="G223" s="126">
        <f t="shared" si="7"/>
        <v>7333242.4951499999</v>
      </c>
      <c r="H223" s="467">
        <f>F223*cnst_carbon!$C$11/10^6</f>
        <v>5.5883052955199963E-2</v>
      </c>
      <c r="I223" s="467">
        <f>G223*carbon_intensity_n!$C$9</f>
        <v>0.41038527449041751</v>
      </c>
      <c r="J223" s="801">
        <f>H223*cnst_carbon!$C$13*1000000</f>
        <v>19031.961833716683</v>
      </c>
      <c r="K223" s="118">
        <f>I223*cnst_carbon!$C$13*1000000</f>
        <v>139763.96184872722</v>
      </c>
    </row>
    <row r="224" spans="1:11" ht="12">
      <c r="A224" s="27" t="s">
        <v>4684</v>
      </c>
      <c r="B224" s="1543" t="s">
        <v>8045</v>
      </c>
      <c r="C224" s="1135">
        <v>299221517</v>
      </c>
      <c r="D224" s="1138">
        <v>283125241</v>
      </c>
      <c r="E224" s="1191">
        <v>0</v>
      </c>
      <c r="F224" s="126">
        <f t="shared" si="6"/>
        <v>0</v>
      </c>
      <c r="G224" s="126">
        <f t="shared" si="7"/>
        <v>0</v>
      </c>
      <c r="H224" s="467">
        <f>F224*cnst_carbon!$C$11/10^6</f>
        <v>0</v>
      </c>
      <c r="I224" s="467">
        <f>G224*carbon_intensity_n!$C$9</f>
        <v>0</v>
      </c>
      <c r="J224" s="801">
        <f>H224*cnst_carbon!$C$13*1000000</f>
        <v>0</v>
      </c>
      <c r="K224" s="118">
        <f>I224*cnst_carbon!$C$13*1000000</f>
        <v>0</v>
      </c>
    </row>
    <row r="225" spans="1:11" ht="12">
      <c r="A225" s="27" t="s">
        <v>4685</v>
      </c>
      <c r="B225" s="1543" t="s">
        <v>8046</v>
      </c>
      <c r="C225" s="1135">
        <v>3557141579</v>
      </c>
      <c r="D225" s="1138">
        <v>36256653469</v>
      </c>
      <c r="E225" s="1191">
        <v>0</v>
      </c>
      <c r="F225" s="126">
        <f t="shared" si="6"/>
        <v>0</v>
      </c>
      <c r="G225" s="126">
        <f t="shared" si="7"/>
        <v>0</v>
      </c>
      <c r="H225" s="467">
        <f>F225*cnst_carbon!$C$11/10^6</f>
        <v>0</v>
      </c>
      <c r="I225" s="467">
        <f>G225*carbon_intensity_n!$C$9</f>
        <v>0</v>
      </c>
      <c r="J225" s="801">
        <f>H225*cnst_carbon!$C$13*1000000</f>
        <v>0</v>
      </c>
      <c r="K225" s="118">
        <f>I225*cnst_carbon!$C$13*1000000</f>
        <v>0</v>
      </c>
    </row>
    <row r="226" spans="1:11" ht="12">
      <c r="A226" s="27" t="s">
        <v>4686</v>
      </c>
      <c r="B226" s="1543" t="s">
        <v>8047</v>
      </c>
      <c r="C226" s="1135">
        <v>26067367838</v>
      </c>
      <c r="D226" s="1138">
        <v>29894016648</v>
      </c>
      <c r="E226" s="1191">
        <v>1.25</v>
      </c>
      <c r="F226" s="126">
        <f t="shared" si="6"/>
        <v>32584209.797499999</v>
      </c>
      <c r="G226" s="126">
        <f t="shared" si="7"/>
        <v>37367520.810000002</v>
      </c>
      <c r="H226" s="467">
        <f>F226*cnst_carbon!$C$11/10^6</f>
        <v>1.8455096606180417</v>
      </c>
      <c r="I226" s="467">
        <f>G226*carbon_intensity_n!$C$9</f>
        <v>2.0911732149564712</v>
      </c>
      <c r="J226" s="801">
        <f>H226*cnst_carbon!$C$13*1000000</f>
        <v>628520.9480733946</v>
      </c>
      <c r="K226" s="118">
        <f>I226*cnst_carbon!$C$13*1000000</f>
        <v>712186.01543920906</v>
      </c>
    </row>
    <row r="227" spans="1:11" ht="12">
      <c r="A227" s="27" t="s">
        <v>3167</v>
      </c>
      <c r="B227" s="1543" t="s">
        <v>8048</v>
      </c>
      <c r="C227" s="1135">
        <v>58563</v>
      </c>
      <c r="D227" s="1138"/>
      <c r="E227" s="1191">
        <v>0</v>
      </c>
      <c r="F227" s="126">
        <f t="shared" si="6"/>
        <v>0</v>
      </c>
      <c r="G227" s="126">
        <f t="shared" si="7"/>
        <v>0</v>
      </c>
      <c r="H227" s="467">
        <f>F227*cnst_carbon!$C$11/10^6</f>
        <v>0</v>
      </c>
      <c r="I227" s="467">
        <f>G227*carbon_intensity_n!$C$9</f>
        <v>0</v>
      </c>
      <c r="J227" s="801">
        <f>H227*cnst_carbon!$C$13*1000000</f>
        <v>0</v>
      </c>
      <c r="K227" s="118">
        <f>I227*cnst_carbon!$C$13*1000000</f>
        <v>0</v>
      </c>
    </row>
    <row r="228" spans="1:11" ht="12">
      <c r="A228" s="27" t="s">
        <v>3168</v>
      </c>
      <c r="B228" s="1543" t="s">
        <v>8049</v>
      </c>
      <c r="C228" s="1135"/>
      <c r="D228" s="1138"/>
      <c r="E228" s="1191">
        <v>0</v>
      </c>
      <c r="F228" s="126">
        <f t="shared" si="6"/>
        <v>0</v>
      </c>
      <c r="G228" s="126">
        <f t="shared" si="7"/>
        <v>0</v>
      </c>
      <c r="H228" s="467">
        <f>F228*cnst_carbon!$C$11/10^6</f>
        <v>0</v>
      </c>
      <c r="I228" s="467">
        <f>G228*carbon_intensity_n!$C$9</f>
        <v>0</v>
      </c>
      <c r="J228" s="801">
        <f>H228*cnst_carbon!$C$13*1000000</f>
        <v>0</v>
      </c>
      <c r="K228" s="118">
        <f>I228*cnst_carbon!$C$13*1000000</f>
        <v>0</v>
      </c>
    </row>
    <row r="229" spans="1:11" ht="12">
      <c r="A229" s="27" t="s">
        <v>4827</v>
      </c>
      <c r="B229" s="1543" t="s">
        <v>8050</v>
      </c>
      <c r="C229" s="1135">
        <v>24058750</v>
      </c>
      <c r="D229" s="1138">
        <v>68831763</v>
      </c>
      <c r="E229" s="1191">
        <v>57.52</v>
      </c>
      <c r="F229" s="126">
        <f t="shared" si="6"/>
        <v>1383859.3</v>
      </c>
      <c r="G229" s="126">
        <f t="shared" si="7"/>
        <v>3959203.0077600004</v>
      </c>
      <c r="H229" s="467">
        <f>F229*cnst_carbon!$C$11/10^6</f>
        <v>7.8379243288633285E-2</v>
      </c>
      <c r="I229" s="467">
        <f>G229*carbon_intensity_n!$C$9</f>
        <v>0.22156619178725789</v>
      </c>
      <c r="J229" s="801">
        <f>H229*cnst_carbon!$C$13*1000000</f>
        <v>26693.437239742972</v>
      </c>
      <c r="K229" s="118">
        <f>I229*cnst_carbon!$C$13*1000000</f>
        <v>75458.28444837431</v>
      </c>
    </row>
    <row r="230" spans="1:11" ht="12">
      <c r="A230" s="27" t="s">
        <v>3239</v>
      </c>
      <c r="B230" s="1543" t="s">
        <v>8051</v>
      </c>
      <c r="C230" s="1135">
        <v>66942839</v>
      </c>
      <c r="D230" s="1138">
        <v>547534725</v>
      </c>
      <c r="E230" s="1191">
        <v>4.42</v>
      </c>
      <c r="F230" s="126">
        <f t="shared" si="6"/>
        <v>295887.34837999998</v>
      </c>
      <c r="G230" s="126">
        <f t="shared" si="7"/>
        <v>2420103.4844999998</v>
      </c>
      <c r="H230" s="467">
        <f>F230*cnst_carbon!$C$11/10^6</f>
        <v>1.6758514731016812E-2</v>
      </c>
      <c r="I230" s="467">
        <f>G230*carbon_intensity_n!$C$9</f>
        <v>0.13543460937485788</v>
      </c>
      <c r="J230" s="801">
        <f>H230*cnst_carbon!$C$13*1000000</f>
        <v>5707.4085234066015</v>
      </c>
      <c r="K230" s="118">
        <f>I230*cnst_carbon!$C$13*1000000</f>
        <v>46124.651039609613</v>
      </c>
    </row>
    <row r="231" spans="1:11" ht="12">
      <c r="A231" s="27" t="s">
        <v>3240</v>
      </c>
      <c r="B231" s="1543" t="s">
        <v>8052</v>
      </c>
      <c r="C231" s="1135">
        <v>84569452</v>
      </c>
      <c r="D231" s="1138">
        <v>815753993</v>
      </c>
      <c r="E231" s="1191">
        <v>21.45</v>
      </c>
      <c r="F231" s="126">
        <f t="shared" si="6"/>
        <v>1814014.7453999999</v>
      </c>
      <c r="G231" s="126">
        <f t="shared" si="7"/>
        <v>17497923.14985</v>
      </c>
      <c r="H231" s="467">
        <f>F231*cnst_carbon!$C$11/10^6</f>
        <v>0.10274245586879732</v>
      </c>
      <c r="I231" s="467">
        <f>G231*carbon_intensity_n!$C$9</f>
        <v>0.97922440170397496</v>
      </c>
      <c r="J231" s="801">
        <f>H231*cnst_carbon!$C$13*1000000</f>
        <v>34990.760085438757</v>
      </c>
      <c r="K231" s="118">
        <f>I231*cnst_carbon!$C$13*1000000</f>
        <v>333492.18509616086</v>
      </c>
    </row>
    <row r="232" spans="1:11" ht="12">
      <c r="A232" s="27" t="s">
        <v>497</v>
      </c>
      <c r="B232" s="1543" t="s">
        <v>8053</v>
      </c>
      <c r="C232" s="1135">
        <v>11653122</v>
      </c>
      <c r="D232" s="1138">
        <v>92610404</v>
      </c>
      <c r="E232" s="1191">
        <v>21.45</v>
      </c>
      <c r="F232" s="126">
        <f t="shared" si="6"/>
        <v>249959.4669</v>
      </c>
      <c r="G232" s="126">
        <f t="shared" si="7"/>
        <v>1986493.1657999998</v>
      </c>
      <c r="H232" s="467">
        <f>F232*cnst_carbon!$C$11/10^6</f>
        <v>1.4157244069864745E-2</v>
      </c>
      <c r="I232" s="467">
        <f>G232*carbon_intensity_n!$C$9</f>
        <v>0.1111687692939842</v>
      </c>
      <c r="J232" s="801">
        <f>H232*cnst_carbon!$C$13*1000000</f>
        <v>4821.4998028880254</v>
      </c>
      <c r="K232" s="118">
        <f>I232*cnst_carbon!$C$13*1000000</f>
        <v>37860.490120332433</v>
      </c>
    </row>
    <row r="233" spans="1:11" ht="12">
      <c r="A233" s="27" t="s">
        <v>498</v>
      </c>
      <c r="B233" s="1543" t="s">
        <v>8054</v>
      </c>
      <c r="C233" s="1135">
        <v>19235658</v>
      </c>
      <c r="D233" s="1138">
        <v>4593732</v>
      </c>
      <c r="E233" s="1191">
        <v>21.45</v>
      </c>
      <c r="F233" s="126">
        <f t="shared" si="6"/>
        <v>412604.86409999995</v>
      </c>
      <c r="G233" s="126">
        <f t="shared" si="7"/>
        <v>98535.551399999997</v>
      </c>
      <c r="H233" s="467">
        <f>F233*cnst_carbon!$C$11/10^6</f>
        <v>2.3369179963141747E-2</v>
      </c>
      <c r="I233" s="467">
        <f>G233*carbon_intensity_n!$C$9</f>
        <v>5.5142782111866464E-3</v>
      </c>
      <c r="J233" s="801">
        <f>H233*cnst_carbon!$C$13*1000000</f>
        <v>7958.7874610273047</v>
      </c>
      <c r="K233" s="118">
        <f>I233*cnst_carbon!$C$13*1000000</f>
        <v>1877.9849508210218</v>
      </c>
    </row>
    <row r="234" spans="1:11" ht="12">
      <c r="A234" s="27" t="s">
        <v>499</v>
      </c>
      <c r="B234" s="1543" t="s">
        <v>8055</v>
      </c>
      <c r="C234" s="1135">
        <v>289890388</v>
      </c>
      <c r="D234" s="1138">
        <v>13134422</v>
      </c>
      <c r="E234" s="1191">
        <v>21.45</v>
      </c>
      <c r="F234" s="126">
        <f t="shared" si="6"/>
        <v>6218148.8225999996</v>
      </c>
      <c r="G234" s="126">
        <f t="shared" si="7"/>
        <v>281733.35189999995</v>
      </c>
      <c r="H234" s="467">
        <f>F234*cnst_carbon!$C$11/10^6</f>
        <v>0.35218450269582607</v>
      </c>
      <c r="I234" s="467">
        <f>G234*carbon_intensity_n!$C$9</f>
        <v>1.5766452429338614E-2</v>
      </c>
      <c r="J234" s="801">
        <f>H234*cnst_carbon!$C$13*1000000</f>
        <v>119942.65988128615</v>
      </c>
      <c r="K234" s="118">
        <f>I234*cnst_carbon!$C$13*1000000</f>
        <v>5369.5441644685725</v>
      </c>
    </row>
    <row r="235" spans="1:11" ht="12">
      <c r="A235" s="27" t="s">
        <v>500</v>
      </c>
      <c r="B235" s="1543" t="s">
        <v>8056</v>
      </c>
      <c r="C235" s="1135">
        <v>58855329</v>
      </c>
      <c r="D235" s="1138">
        <v>49295147</v>
      </c>
      <c r="E235" s="1191">
        <v>20.149999999999999</v>
      </c>
      <c r="F235" s="126">
        <f t="shared" si="6"/>
        <v>1185934.8793499998</v>
      </c>
      <c r="G235" s="126">
        <f t="shared" si="7"/>
        <v>993297.21204999997</v>
      </c>
      <c r="H235" s="467">
        <f>F235*cnst_carbon!$C$11/10^6</f>
        <v>6.7169168450181019E-2</v>
      </c>
      <c r="I235" s="467">
        <f>G235*carbon_intensity_n!$C$9</f>
        <v>5.5587217971764018E-2</v>
      </c>
      <c r="J235" s="801">
        <f>H235*cnst_carbon!$C$13*1000000</f>
        <v>22875.648031813183</v>
      </c>
      <c r="K235" s="118">
        <f>I235*cnst_carbon!$C$13*1000000</f>
        <v>18931.209999017447</v>
      </c>
    </row>
    <row r="236" spans="1:11" ht="12">
      <c r="A236" s="27" t="s">
        <v>501</v>
      </c>
      <c r="B236" s="1543" t="s">
        <v>8057</v>
      </c>
      <c r="C236" s="1135">
        <v>1271682002</v>
      </c>
      <c r="D236" s="1138">
        <v>138499594</v>
      </c>
      <c r="E236" s="1191">
        <v>21.45</v>
      </c>
      <c r="F236" s="126">
        <f t="shared" si="6"/>
        <v>27277578.942899998</v>
      </c>
      <c r="G236" s="126">
        <f t="shared" si="7"/>
        <v>2970816.2912999997</v>
      </c>
      <c r="H236" s="467">
        <f>F236*cnst_carbon!$C$11/10^6</f>
        <v>1.5449518576711225</v>
      </c>
      <c r="I236" s="467">
        <f>G236*carbon_intensity_n!$C$9</f>
        <v>0.16625377654865298</v>
      </c>
      <c r="J236" s="801">
        <f>H236*cnst_carbon!$C$13*1000000</f>
        <v>526160.67367862863</v>
      </c>
      <c r="K236" s="118">
        <f>I236*cnst_carbon!$C$13*1000000</f>
        <v>56620.663379322403</v>
      </c>
    </row>
    <row r="237" spans="1:11" ht="12">
      <c r="A237" s="27" t="s">
        <v>262</v>
      </c>
      <c r="B237" s="1543" t="s">
        <v>8058</v>
      </c>
      <c r="C237" s="1135">
        <v>2495768</v>
      </c>
      <c r="D237" s="1138">
        <v>30454141</v>
      </c>
      <c r="E237" s="1191">
        <v>7.2</v>
      </c>
      <c r="F237" s="126">
        <f t="shared" si="6"/>
        <v>17969.529600000002</v>
      </c>
      <c r="G237" s="126">
        <f t="shared" si="7"/>
        <v>219269.81520000001</v>
      </c>
      <c r="H237" s="467">
        <f>F237*cnst_carbon!$C$11/10^6</f>
        <v>1.0177610775175608E-3</v>
      </c>
      <c r="I237" s="467">
        <f>G237*carbon_intensity_n!$C$9</f>
        <v>1.2270847903615453E-2</v>
      </c>
      <c r="J237" s="801">
        <f>H237*cnst_carbon!$C$13*1000000</f>
        <v>346.61653146768873</v>
      </c>
      <c r="K237" s="118">
        <f>I237*cnst_carbon!$C$13*1000000</f>
        <v>4179.0542323479258</v>
      </c>
    </row>
    <row r="238" spans="1:11" ht="12">
      <c r="A238" s="27" t="s">
        <v>300</v>
      </c>
      <c r="B238" s="1543" t="s">
        <v>8059</v>
      </c>
      <c r="C238" s="1135">
        <v>1373179026</v>
      </c>
      <c r="D238" s="1138">
        <v>97446747</v>
      </c>
      <c r="E238" s="1191">
        <v>21.45</v>
      </c>
      <c r="F238" s="126">
        <f t="shared" si="6"/>
        <v>29454690.107700001</v>
      </c>
      <c r="G238" s="126">
        <f t="shared" si="7"/>
        <v>2090232.7231499997</v>
      </c>
      <c r="H238" s="467">
        <f>F238*cnst_carbon!$C$11/10^6</f>
        <v>1.6682594263323725</v>
      </c>
      <c r="I238" s="467">
        <f>G238*carbon_intensity_n!$C$9</f>
        <v>0.11697427575947349</v>
      </c>
      <c r="J238" s="801">
        <f>H238*cnst_carbon!$C$13*1000000</f>
        <v>568155.24656731216</v>
      </c>
      <c r="K238" s="118">
        <f>I238*cnst_carbon!$C$13*1000000</f>
        <v>39837.658002788048</v>
      </c>
    </row>
    <row r="239" spans="1:11" ht="12">
      <c r="A239" s="27" t="s">
        <v>502</v>
      </c>
      <c r="B239" s="1543" t="s">
        <v>8060</v>
      </c>
      <c r="C239" s="1135">
        <v>561512021</v>
      </c>
      <c r="D239" s="1138">
        <v>25121655</v>
      </c>
      <c r="E239" s="1191">
        <v>21.45</v>
      </c>
      <c r="F239" s="126">
        <f t="shared" si="6"/>
        <v>12044432.850449998</v>
      </c>
      <c r="G239" s="126">
        <f t="shared" si="7"/>
        <v>538859.49974999996</v>
      </c>
      <c r="H239" s="467">
        <f>F239*cnst_carbon!$C$11/10^6</f>
        <v>0.68217450477734776</v>
      </c>
      <c r="I239" s="467">
        <f>G239*carbon_intensity_n!$C$9</f>
        <v>3.0155828593276247E-2</v>
      </c>
      <c r="J239" s="801">
        <f>H239*cnst_carbon!$C$13*1000000</f>
        <v>232326.59012501163</v>
      </c>
      <c r="K239" s="118">
        <f>I239*cnst_carbon!$C$13*1000000</f>
        <v>10270.100656659482</v>
      </c>
    </row>
    <row r="240" spans="1:11" ht="12">
      <c r="A240" s="27" t="s">
        <v>3229</v>
      </c>
      <c r="B240" s="1543" t="s">
        <v>8061</v>
      </c>
      <c r="C240" s="1135">
        <v>292122608</v>
      </c>
      <c r="D240" s="1138">
        <v>5774622</v>
      </c>
      <c r="E240" s="1191">
        <v>21.45</v>
      </c>
      <c r="F240" s="126">
        <f t="shared" si="6"/>
        <v>6266029.9415999996</v>
      </c>
      <c r="G240" s="126">
        <f t="shared" si="7"/>
        <v>123865.64189999999</v>
      </c>
      <c r="H240" s="467">
        <f>F240*cnst_carbon!$C$11/10^6</f>
        <v>0.35489640113451343</v>
      </c>
      <c r="I240" s="467">
        <f>G240*carbon_intensity_n!$C$9</f>
        <v>6.9318088805439791E-3</v>
      </c>
      <c r="J240" s="801">
        <f>H240*cnst_carbon!$C$13*1000000</f>
        <v>120866.24484761557</v>
      </c>
      <c r="K240" s="118">
        <f>I240*cnst_carbon!$C$13*1000000</f>
        <v>2360.7500856993811</v>
      </c>
    </row>
    <row r="241" spans="1:11" ht="12">
      <c r="A241" s="27" t="s">
        <v>503</v>
      </c>
      <c r="B241" s="1543" t="s">
        <v>8062</v>
      </c>
      <c r="C241" s="1135">
        <v>53291957</v>
      </c>
      <c r="D241" s="1138">
        <v>9840136</v>
      </c>
      <c r="E241" s="1191">
        <v>21.45</v>
      </c>
      <c r="F241" s="126">
        <f t="shared" si="6"/>
        <v>1143112.4776499998</v>
      </c>
      <c r="G241" s="126">
        <f t="shared" si="7"/>
        <v>211070.9172</v>
      </c>
      <c r="H241" s="467">
        <f>F241*cnst_carbon!$C$11/10^6</f>
        <v>6.4743786447077178E-2</v>
      </c>
      <c r="I241" s="467">
        <f>G241*carbon_intensity_n!$C$9</f>
        <v>1.1812018537414313E-2</v>
      </c>
      <c r="J241" s="801">
        <f>H241*cnst_carbon!$C$13*1000000</f>
        <v>22049.641303937009</v>
      </c>
      <c r="K241" s="118">
        <f>I241*cnst_carbon!$C$13*1000000</f>
        <v>4022.7917784564202</v>
      </c>
    </row>
    <row r="242" spans="1:11" ht="12">
      <c r="A242" s="27" t="s">
        <v>2842</v>
      </c>
      <c r="B242" s="1543" t="s">
        <v>8063</v>
      </c>
      <c r="C242" s="1135">
        <v>77506183</v>
      </c>
      <c r="D242" s="1138">
        <v>560573603</v>
      </c>
      <c r="E242" s="1191">
        <v>21.45</v>
      </c>
      <c r="F242" s="126">
        <f t="shared" si="6"/>
        <v>1662507.6253499999</v>
      </c>
      <c r="G242" s="126">
        <f t="shared" si="7"/>
        <v>12024303.78435</v>
      </c>
      <c r="H242" s="467">
        <f>F242*cnst_carbon!$C$11/10^6</f>
        <v>9.4161371489511717E-2</v>
      </c>
      <c r="I242" s="467">
        <f>G242*carbon_intensity_n!$C$9</f>
        <v>0.67290795474992748</v>
      </c>
      <c r="J242" s="801">
        <f>H242*cnst_carbon!$C$13*1000000</f>
        <v>32068.320065395623</v>
      </c>
      <c r="K242" s="118">
        <f>I242*cnst_carbon!$C$13*1000000</f>
        <v>229170.70265777764</v>
      </c>
    </row>
    <row r="243" spans="1:11" ht="12">
      <c r="A243" s="27" t="s">
        <v>2843</v>
      </c>
      <c r="B243" s="1543" t="s">
        <v>8064</v>
      </c>
      <c r="C243" s="1135">
        <v>20644693</v>
      </c>
      <c r="D243" s="1138">
        <v>273753054</v>
      </c>
      <c r="E243" s="1191">
        <v>21.45</v>
      </c>
      <c r="F243" s="126">
        <f t="shared" si="6"/>
        <v>442828.66484999994</v>
      </c>
      <c r="G243" s="126">
        <f t="shared" si="7"/>
        <v>5872003.0082999999</v>
      </c>
      <c r="H243" s="467">
        <f>F243*cnst_carbon!$C$11/10^6</f>
        <v>2.5081000400444465E-2</v>
      </c>
      <c r="I243" s="467">
        <f>G243*carbon_intensity_n!$C$9</f>
        <v>0.32861092047119894</v>
      </c>
      <c r="J243" s="801">
        <f>H243*cnst_carbon!$C$13*1000000</f>
        <v>8541.7781801463843</v>
      </c>
      <c r="K243" s="118">
        <f>I243*cnst_carbon!$C$13*1000000</f>
        <v>111914.25961577529</v>
      </c>
    </row>
    <row r="244" spans="1:11" ht="12">
      <c r="A244" s="27" t="s">
        <v>2844</v>
      </c>
      <c r="B244" s="1543" t="s">
        <v>8065</v>
      </c>
      <c r="C244" s="1135">
        <v>16739622</v>
      </c>
      <c r="D244" s="1138">
        <v>86448241</v>
      </c>
      <c r="E244" s="1191">
        <v>30</v>
      </c>
      <c r="F244" s="126">
        <f t="shared" si="6"/>
        <v>502188.66</v>
      </c>
      <c r="G244" s="126">
        <f t="shared" si="7"/>
        <v>2593447.23</v>
      </c>
      <c r="H244" s="467">
        <f>F244*cnst_carbon!$C$11/10^6</f>
        <v>2.8443041253495019E-2</v>
      </c>
      <c r="I244" s="467">
        <f>G244*carbon_intensity_n!$C$9</f>
        <v>0.14513532779856514</v>
      </c>
      <c r="J244" s="801">
        <f>H244*cnst_carbon!$C$13*1000000</f>
        <v>9686.7806418041346</v>
      </c>
      <c r="K244" s="118">
        <f>I244*cnst_carbon!$C$13*1000000</f>
        <v>49428.402231364234</v>
      </c>
    </row>
    <row r="245" spans="1:11" ht="12">
      <c r="A245" s="27" t="s">
        <v>2845</v>
      </c>
      <c r="B245" s="1543" t="s">
        <v>8066</v>
      </c>
      <c r="C245" s="1135">
        <v>265906392</v>
      </c>
      <c r="D245" s="1138">
        <v>145820572</v>
      </c>
      <c r="E245" s="1191">
        <v>21.45</v>
      </c>
      <c r="F245" s="126">
        <f t="shared" si="6"/>
        <v>5703692.1083999993</v>
      </c>
      <c r="G245" s="126">
        <f t="shared" si="7"/>
        <v>3127851.2694000001</v>
      </c>
      <c r="H245" s="467">
        <f>F245*cnst_carbon!$C$11/10^6</f>
        <v>0.3230466214359663</v>
      </c>
      <c r="I245" s="467">
        <f>G245*carbon_intensity_n!$C$9</f>
        <v>0.17504181848709802</v>
      </c>
      <c r="J245" s="801">
        <f>H245*cnst_carbon!$C$13*1000000</f>
        <v>110019.2391888342</v>
      </c>
      <c r="K245" s="118">
        <f>I245*cnst_carbon!$C$13*1000000</f>
        <v>59613.586455655954</v>
      </c>
    </row>
    <row r="246" spans="1:11" ht="12">
      <c r="A246" s="27" t="s">
        <v>2547</v>
      </c>
      <c r="B246" s="1543" t="s">
        <v>8067</v>
      </c>
      <c r="C246" s="1135">
        <v>13560813</v>
      </c>
      <c r="D246" s="1138">
        <v>4945257</v>
      </c>
      <c r="E246" s="1191">
        <v>21</v>
      </c>
      <c r="F246" s="126">
        <f t="shared" si="6"/>
        <v>284777.07299999997</v>
      </c>
      <c r="G246" s="126">
        <f t="shared" si="7"/>
        <v>103850.397</v>
      </c>
      <c r="H246" s="467">
        <f>F246*cnst_carbon!$C$11/10^6</f>
        <v>1.6129249185731439E-2</v>
      </c>
      <c r="I246" s="467">
        <f>G246*carbon_intensity_n!$C$9</f>
        <v>5.8117093096226704E-3</v>
      </c>
      <c r="J246" s="801">
        <f>H246*cnst_carbon!$C$13*1000000</f>
        <v>5493.101014997118</v>
      </c>
      <c r="K246" s="118">
        <f>I246*cnst_carbon!$C$13*1000000</f>
        <v>1979.2803707067765</v>
      </c>
    </row>
    <row r="247" spans="1:11" ht="12">
      <c r="A247" s="27" t="s">
        <v>2957</v>
      </c>
      <c r="B247" s="1543" t="s">
        <v>8068</v>
      </c>
      <c r="C247" s="1135">
        <v>4915713539</v>
      </c>
      <c r="D247" s="1138">
        <v>8430291207</v>
      </c>
      <c r="E247" s="1191">
        <v>40</v>
      </c>
      <c r="F247" s="126">
        <f t="shared" si="6"/>
        <v>196628541.56</v>
      </c>
      <c r="G247" s="126">
        <f t="shared" si="7"/>
        <v>337211648.27999997</v>
      </c>
      <c r="H247" s="467">
        <f>F247*cnst_carbon!$C$11/10^6</f>
        <v>11.136678632300539</v>
      </c>
      <c r="I247" s="467">
        <f>G247*carbon_intensity_n!$C$9</f>
        <v>18.871146690195911</v>
      </c>
      <c r="J247" s="801">
        <f>H247*cnst_carbon!$C$13*1000000</f>
        <v>3792792.8320993707</v>
      </c>
      <c r="K247" s="118">
        <f>I247*cnst_carbon!$C$13*1000000</f>
        <v>6426902.6936342036</v>
      </c>
    </row>
    <row r="248" spans="1:11" ht="12">
      <c r="A248" s="27" t="s">
        <v>154</v>
      </c>
      <c r="B248" s="1543" t="s">
        <v>8069</v>
      </c>
      <c r="C248" s="1135">
        <v>8009028592</v>
      </c>
      <c r="D248" s="1138">
        <v>3769512816</v>
      </c>
      <c r="E248" s="1191">
        <v>88</v>
      </c>
      <c r="F248" s="126">
        <f t="shared" si="6"/>
        <v>704794516.09599996</v>
      </c>
      <c r="G248" s="126">
        <f t="shared" si="7"/>
        <v>331717127.80800003</v>
      </c>
      <c r="H248" s="467">
        <f>F248*cnst_carbon!$C$11/10^6</f>
        <v>39.918263977835714</v>
      </c>
      <c r="I248" s="467">
        <f>G248*carbon_intensity_n!$C$9</f>
        <v>18.563660568799239</v>
      </c>
      <c r="J248" s="801">
        <f>H248*cnst_carbon!$C$13*1000000</f>
        <v>13594870.650739994</v>
      </c>
      <c r="K248" s="118">
        <f>I248*cnst_carbon!$C$13*1000000</f>
        <v>6322182.8578816643</v>
      </c>
    </row>
    <row r="249" spans="1:11" ht="12">
      <c r="A249" s="27" t="s">
        <v>956</v>
      </c>
      <c r="B249" s="1543" t="s">
        <v>8070</v>
      </c>
      <c r="C249" s="1135">
        <v>368422751</v>
      </c>
      <c r="D249" s="1138">
        <v>3379569394</v>
      </c>
      <c r="E249" s="1191">
        <v>137</v>
      </c>
      <c r="F249" s="126">
        <f t="shared" si="6"/>
        <v>50473916.887000002</v>
      </c>
      <c r="G249" s="126">
        <f t="shared" si="7"/>
        <v>463001006.97799999</v>
      </c>
      <c r="H249" s="467">
        <f>F249*cnst_carbon!$C$11/10^6</f>
        <v>2.8587497380813418</v>
      </c>
      <c r="I249" s="467">
        <f>G249*carbon_intensity_n!$C$9</f>
        <v>25.910611228753545</v>
      </c>
      <c r="J249" s="801">
        <f>H249*cnst_carbon!$C$13*1000000</f>
        <v>973597.77303020435</v>
      </c>
      <c r="K249" s="118">
        <f>I249*cnst_carbon!$C$13*1000000</f>
        <v>8824316.8172869533</v>
      </c>
    </row>
    <row r="250" spans="1:11" ht="12">
      <c r="A250" s="27" t="s">
        <v>2745</v>
      </c>
      <c r="B250" s="1543" t="s">
        <v>8071</v>
      </c>
      <c r="C250" s="1135">
        <v>310421669</v>
      </c>
      <c r="D250" s="1138">
        <v>312019047</v>
      </c>
      <c r="E250" s="1191">
        <v>40</v>
      </c>
      <c r="F250" s="126">
        <f t="shared" si="6"/>
        <v>12416866.76</v>
      </c>
      <c r="G250" s="126">
        <f t="shared" si="7"/>
        <v>12480761.880000001</v>
      </c>
      <c r="H250" s="467">
        <f>F250*cnst_carbon!$C$11/10^6</f>
        <v>0.70326847582307228</v>
      </c>
      <c r="I250" s="467">
        <f>G250*carbon_intensity_n!$C$9</f>
        <v>0.69845240947109466</v>
      </c>
      <c r="J250" s="801">
        <f>H250*cnst_carbon!$C$13*1000000</f>
        <v>239510.51495792286</v>
      </c>
      <c r="K250" s="118">
        <f>I250*cnst_carbon!$C$13*1000000</f>
        <v>237870.31840185844</v>
      </c>
    </row>
    <row r="251" spans="1:11" ht="12">
      <c r="A251" s="27" t="s">
        <v>2587</v>
      </c>
      <c r="B251" s="1543" t="s">
        <v>8072</v>
      </c>
      <c r="C251" s="1135">
        <v>1570973436</v>
      </c>
      <c r="D251" s="1138">
        <v>3469885664</v>
      </c>
      <c r="E251" s="1191">
        <v>21.45</v>
      </c>
      <c r="F251" s="126">
        <f t="shared" si="6"/>
        <v>33697380.202200003</v>
      </c>
      <c r="G251" s="126">
        <f t="shared" si="7"/>
        <v>74429047.492799997</v>
      </c>
      <c r="H251" s="467">
        <f>F251*cnst_carbon!$C$11/10^6</f>
        <v>1.9085575831717925</v>
      </c>
      <c r="I251" s="467">
        <f>G251*carbon_intensity_n!$C$9</f>
        <v>4.1652222881753032</v>
      </c>
      <c r="J251" s="801">
        <f>H251*cnst_carbon!$C$13*1000000</f>
        <v>649993.03294141463</v>
      </c>
      <c r="K251" s="118">
        <f>I251*cnst_carbon!$C$13*1000000</f>
        <v>1418540.1016127213</v>
      </c>
    </row>
    <row r="252" spans="1:11" ht="12">
      <c r="A252" s="27" t="s">
        <v>3646</v>
      </c>
      <c r="B252" s="1543" t="s">
        <v>8073</v>
      </c>
      <c r="C252" s="1135">
        <v>118681323</v>
      </c>
      <c r="D252" s="1138">
        <v>91592415</v>
      </c>
      <c r="E252" s="1191">
        <v>40</v>
      </c>
      <c r="F252" s="126">
        <f t="shared" si="6"/>
        <v>4747252.92</v>
      </c>
      <c r="G252" s="126">
        <f t="shared" si="7"/>
        <v>3663696.6</v>
      </c>
      <c r="H252" s="467">
        <f>F252*cnst_carbon!$C$11/10^6</f>
        <v>0.26887566645637656</v>
      </c>
      <c r="I252" s="467">
        <f>G252*carbon_intensity_n!$C$9</f>
        <v>0.20502896717720709</v>
      </c>
      <c r="J252" s="801">
        <f>H252*cnst_carbon!$C$13*1000000</f>
        <v>91570.362594814767</v>
      </c>
      <c r="K252" s="118">
        <f>I252*cnst_carbon!$C$13*1000000</f>
        <v>69826.240188616284</v>
      </c>
    </row>
    <row r="253" spans="1:11" ht="12">
      <c r="A253" s="27" t="s">
        <v>1856</v>
      </c>
      <c r="B253" s="1543" t="s">
        <v>8074</v>
      </c>
      <c r="C253" s="1135">
        <v>709984526</v>
      </c>
      <c r="D253" s="1138">
        <v>2045582695</v>
      </c>
      <c r="E253" s="1191">
        <v>40</v>
      </c>
      <c r="F253" s="126">
        <f t="shared" si="6"/>
        <v>28399381.039999999</v>
      </c>
      <c r="G253" s="126">
        <f t="shared" si="7"/>
        <v>81823307.799999997</v>
      </c>
      <c r="H253" s="467">
        <f>F253*cnst_carbon!$C$11/10^6</f>
        <v>1.6084886633928457</v>
      </c>
      <c r="I253" s="467">
        <f>G253*carbon_intensity_n!$C$9</f>
        <v>4.579022261083713</v>
      </c>
      <c r="J253" s="801">
        <f>H253*cnst_carbon!$C$13*1000000</f>
        <v>547799.25635415851</v>
      </c>
      <c r="K253" s="118">
        <f>I253*cnst_carbon!$C$13*1000000</f>
        <v>1559466.9993879625</v>
      </c>
    </row>
    <row r="254" spans="1:11" ht="12">
      <c r="A254" s="27" t="s">
        <v>5529</v>
      </c>
      <c r="B254" s="1543" t="s">
        <v>8075</v>
      </c>
      <c r="C254" s="1135">
        <v>652732623</v>
      </c>
      <c r="D254" s="1138">
        <v>1053230941</v>
      </c>
      <c r="E254" s="1191">
        <v>40</v>
      </c>
      <c r="F254" s="126">
        <f t="shared" si="6"/>
        <v>26109304.920000002</v>
      </c>
      <c r="G254" s="126">
        <f t="shared" si="7"/>
        <v>42129237.640000001</v>
      </c>
      <c r="H254" s="467">
        <f>F254*cnst_carbon!$C$11/10^6</f>
        <v>1.478782967619461</v>
      </c>
      <c r="I254" s="467">
        <f>G254*carbon_intensity_n!$C$9</f>
        <v>2.3576499433092568</v>
      </c>
      <c r="J254" s="801">
        <f>H254*cnst_carbon!$C$13*1000000</f>
        <v>503625.68814281363</v>
      </c>
      <c r="K254" s="118">
        <f>I254*cnst_carbon!$C$13*1000000</f>
        <v>802939.37724371988</v>
      </c>
    </row>
    <row r="255" spans="1:11" ht="12">
      <c r="A255" s="27" t="s">
        <v>5530</v>
      </c>
      <c r="B255" s="1543" t="s">
        <v>8076</v>
      </c>
      <c r="C255" s="1135">
        <v>109080202</v>
      </c>
      <c r="D255" s="1138">
        <v>153583934</v>
      </c>
      <c r="E255" s="1191">
        <v>40</v>
      </c>
      <c r="F255" s="126">
        <f t="shared" si="6"/>
        <v>4363208.08</v>
      </c>
      <c r="G255" s="126">
        <f t="shared" si="7"/>
        <v>6143357.3600000003</v>
      </c>
      <c r="H255" s="467">
        <f>F255*cnst_carbon!$C$11/10^6</f>
        <v>0.24712407368382791</v>
      </c>
      <c r="I255" s="467">
        <f>G255*carbon_intensity_n!$C$9</f>
        <v>0.34379653995401627</v>
      </c>
      <c r="J255" s="801">
        <f>H255*cnst_carbon!$C$13*1000000</f>
        <v>84162.473054464004</v>
      </c>
      <c r="K255" s="118">
        <f>I255*cnst_carbon!$C$13*1000000</f>
        <v>117085.99084975095</v>
      </c>
    </row>
    <row r="256" spans="1:11" ht="12">
      <c r="A256" s="27" t="s">
        <v>1280</v>
      </c>
      <c r="B256" s="1543" t="s">
        <v>8077</v>
      </c>
      <c r="C256" s="1135"/>
      <c r="D256" s="1138">
        <v>149135175.993999</v>
      </c>
      <c r="E256" s="1191">
        <v>40</v>
      </c>
      <c r="F256" s="126">
        <f t="shared" si="6"/>
        <v>0</v>
      </c>
      <c r="G256" s="126">
        <f t="shared" si="7"/>
        <v>5965407.03975996</v>
      </c>
      <c r="H256" s="467">
        <f>F256*cnst_carbon!$C$11/10^6</f>
        <v>0</v>
      </c>
      <c r="I256" s="467">
        <f>G256*carbon_intensity_n!$C$9</f>
        <v>0.33383802691347991</v>
      </c>
      <c r="J256" s="801">
        <f>H256*cnst_carbon!$C$13*1000000</f>
        <v>0</v>
      </c>
      <c r="K256" s="118">
        <f>I256*cnst_carbon!$C$13*1000000</f>
        <v>113694.44314279228</v>
      </c>
    </row>
    <row r="257" spans="1:11" ht="12">
      <c r="A257" s="27" t="s">
        <v>1281</v>
      </c>
      <c r="B257" s="1543" t="s">
        <v>8078</v>
      </c>
      <c r="C257" s="1135">
        <v>744920632</v>
      </c>
      <c r="D257" s="1138">
        <v>261049570</v>
      </c>
      <c r="E257" s="1191">
        <v>40</v>
      </c>
      <c r="F257" s="126">
        <f t="shared" si="6"/>
        <v>29796825.280000001</v>
      </c>
      <c r="G257" s="126">
        <f t="shared" si="7"/>
        <v>10441982.800000001</v>
      </c>
      <c r="H257" s="467">
        <f>F257*cnst_carbon!$C$11/10^6</f>
        <v>1.6876373326753802</v>
      </c>
      <c r="I257" s="467">
        <f>G257*carbon_intensity_n!$C$9</f>
        <v>0.58435759903430895</v>
      </c>
      <c r="J257" s="801">
        <f>H257*cnst_carbon!$C$13*1000000</f>
        <v>574754.73522146861</v>
      </c>
      <c r="K257" s="118">
        <f>I257*cnst_carbon!$C$13*1000000</f>
        <v>199013.31323074078</v>
      </c>
    </row>
    <row r="258" spans="1:11" ht="12">
      <c r="A258" s="27" t="s">
        <v>1282</v>
      </c>
      <c r="B258" s="1543" t="s">
        <v>8079</v>
      </c>
      <c r="C258" s="1135">
        <v>3931164479</v>
      </c>
      <c r="D258" s="1138">
        <v>1962162002</v>
      </c>
      <c r="E258" s="1191">
        <v>40</v>
      </c>
      <c r="F258" s="126">
        <f t="shared" si="6"/>
        <v>157246579.16</v>
      </c>
      <c r="G258" s="126">
        <f t="shared" si="7"/>
        <v>78486480.079999998</v>
      </c>
      <c r="H258" s="467">
        <f>F258*cnst_carbon!$C$11/10^6</f>
        <v>8.9061567778508781</v>
      </c>
      <c r="I258" s="467">
        <f>G258*carbon_intensity_n!$C$9</f>
        <v>4.3922856352725379</v>
      </c>
      <c r="J258" s="801">
        <f>H258*cnst_carbon!$C$13*1000000</f>
        <v>3033149.1734540751</v>
      </c>
      <c r="K258" s="118">
        <f>I258*cnst_carbon!$C$13*1000000</f>
        <v>1495870.5395051346</v>
      </c>
    </row>
    <row r="259" spans="1:11" ht="12">
      <c r="A259" s="27" t="s">
        <v>3806</v>
      </c>
      <c r="B259" s="1543" t="s">
        <v>8080</v>
      </c>
      <c r="C259" s="1135">
        <v>13711766</v>
      </c>
      <c r="D259" s="1138">
        <v>23966184</v>
      </c>
      <c r="E259" s="1191">
        <v>40</v>
      </c>
      <c r="F259" s="126">
        <f t="shared" si="6"/>
        <v>548470.64</v>
      </c>
      <c r="G259" s="126">
        <f t="shared" si="7"/>
        <v>958647.36</v>
      </c>
      <c r="H259" s="467">
        <f>F259*cnst_carbon!$C$11/10^6</f>
        <v>3.1064367402981213E-2</v>
      </c>
      <c r="I259" s="467">
        <f>G259*carbon_intensity_n!$C$9</f>
        <v>5.3648131809810949E-2</v>
      </c>
      <c r="J259" s="801">
        <f>H259*cnst_carbon!$C$13*1000000</f>
        <v>10579.519613505259</v>
      </c>
      <c r="K259" s="118">
        <f>I259*cnst_carbon!$C$13*1000000</f>
        <v>18270.819918751706</v>
      </c>
    </row>
    <row r="260" spans="1:11" ht="12">
      <c r="A260" s="27" t="s">
        <v>3807</v>
      </c>
      <c r="B260" s="1543" t="s">
        <v>8081</v>
      </c>
      <c r="C260" s="1135">
        <v>331598133</v>
      </c>
      <c r="D260" s="1138">
        <v>128619733</v>
      </c>
      <c r="E260" s="1191">
        <v>40</v>
      </c>
      <c r="F260" s="126">
        <f t="shared" si="6"/>
        <v>13263925.32</v>
      </c>
      <c r="G260" s="126">
        <f t="shared" si="7"/>
        <v>5144789.32</v>
      </c>
      <c r="H260" s="467">
        <f>F260*cnst_carbon!$C$11/10^6</f>
        <v>0.75124431336230713</v>
      </c>
      <c r="I260" s="467">
        <f>G260*carbon_intensity_n!$C$9</f>
        <v>0.28791435421369921</v>
      </c>
      <c r="J260" s="801">
        <f>H260*cnst_carbon!$C$13*1000000</f>
        <v>255849.53476271589</v>
      </c>
      <c r="K260" s="118">
        <f>I260*cnst_carbon!$C$13*1000000</f>
        <v>98054.324361397128</v>
      </c>
    </row>
    <row r="261" spans="1:11" ht="12">
      <c r="A261" s="27" t="s">
        <v>3808</v>
      </c>
      <c r="B261" s="1543" t="s">
        <v>8082</v>
      </c>
      <c r="C261" s="1135">
        <v>9891308326</v>
      </c>
      <c r="D261" s="1138">
        <v>7597019980</v>
      </c>
      <c r="E261" s="1191">
        <v>40</v>
      </c>
      <c r="F261" s="126">
        <f t="shared" si="6"/>
        <v>395652333.04000002</v>
      </c>
      <c r="G261" s="126">
        <f t="shared" si="7"/>
        <v>303880799.19999999</v>
      </c>
      <c r="H261" s="467">
        <f>F261*cnst_carbon!$C$11/10^6</f>
        <v>22.409019810798341</v>
      </c>
      <c r="I261" s="467">
        <f>G261*carbon_intensity_n!$C$9</f>
        <v>17.005874996570473</v>
      </c>
      <c r="J261" s="801">
        <f>H261*cnst_carbon!$C$13*1000000</f>
        <v>7631787.9431537045</v>
      </c>
      <c r="K261" s="118">
        <f>I261*cnst_carbon!$C$13*1000000</f>
        <v>5791651.4357787911</v>
      </c>
    </row>
    <row r="262" spans="1:11" ht="12">
      <c r="A262" s="27" t="s">
        <v>3809</v>
      </c>
      <c r="B262" s="1543" t="s">
        <v>8083</v>
      </c>
      <c r="C262" s="1135">
        <v>874880462</v>
      </c>
      <c r="D262" s="1138">
        <v>378533252</v>
      </c>
      <c r="E262" s="1191">
        <v>40</v>
      </c>
      <c r="F262" s="126">
        <f t="shared" si="6"/>
        <v>34995218.479999997</v>
      </c>
      <c r="G262" s="126">
        <f t="shared" si="7"/>
        <v>15141330.08</v>
      </c>
      <c r="H262" s="467">
        <f>F262*cnst_carbon!$C$11/10^6</f>
        <v>1.9820647541139442</v>
      </c>
      <c r="I262" s="467">
        <f>G262*carbon_intensity_n!$C$9</f>
        <v>0.84734398257529786</v>
      </c>
      <c r="J262" s="801">
        <f>H262*cnst_carbon!$C$13*1000000</f>
        <v>675027.1997933411</v>
      </c>
      <c r="K262" s="118">
        <f>I262*cnst_carbon!$C$13*1000000</f>
        <v>288577.97639171343</v>
      </c>
    </row>
    <row r="263" spans="1:11" ht="12">
      <c r="A263" s="27" t="s">
        <v>3810</v>
      </c>
      <c r="B263" s="1543" t="s">
        <v>8084</v>
      </c>
      <c r="C263" s="1135">
        <v>1076559622</v>
      </c>
      <c r="D263" s="1138">
        <v>7740221834</v>
      </c>
      <c r="E263" s="1191">
        <v>40</v>
      </c>
      <c r="F263" s="126">
        <f t="shared" si="6"/>
        <v>43062384.880000003</v>
      </c>
      <c r="G263" s="126">
        <f t="shared" si="7"/>
        <v>309608873.36000001</v>
      </c>
      <c r="H263" s="467">
        <f>F263*cnst_carbon!$C$11/10^6</f>
        <v>2.4389742086484394</v>
      </c>
      <c r="I263" s="467">
        <f>G263*carbon_intensity_n!$C$9</f>
        <v>17.326431324553322</v>
      </c>
      <c r="J263" s="801">
        <f>H263*cnst_carbon!$C$13*1000000</f>
        <v>830635.79381801072</v>
      </c>
      <c r="K263" s="118">
        <f>I263*cnst_carbon!$C$13*1000000</f>
        <v>5900822.5614976529</v>
      </c>
    </row>
    <row r="264" spans="1:11" ht="12">
      <c r="A264" s="27" t="s">
        <v>3810</v>
      </c>
      <c r="B264" s="1543" t="s">
        <v>8085</v>
      </c>
      <c r="C264" s="1135">
        <v>229104046</v>
      </c>
      <c r="D264" s="1138">
        <v>872927413</v>
      </c>
      <c r="E264" s="1191">
        <v>40</v>
      </c>
      <c r="F264" s="126">
        <f t="shared" ref="F264:F327" si="8">C264*$E264/1000</f>
        <v>9164161.8399999999</v>
      </c>
      <c r="G264" s="126">
        <f t="shared" ref="G264:G327" si="9">D264*E264/1000</f>
        <v>34917096.520000003</v>
      </c>
      <c r="H264" s="467">
        <f>F264*cnst_carbon!$C$11/10^6</f>
        <v>0.51904125686315739</v>
      </c>
      <c r="I264" s="467">
        <f>G264*carbon_intensity_n!$C$9</f>
        <v>1.9540417829146801</v>
      </c>
      <c r="J264" s="801">
        <f>H264*cnst_carbon!$C$13*1000000</f>
        <v>176768.67795077679</v>
      </c>
      <c r="K264" s="118">
        <f>I264*cnst_carbon!$C$13*1000000</f>
        <v>665483.48143637716</v>
      </c>
    </row>
    <row r="265" spans="1:11" ht="12">
      <c r="A265" s="27" t="s">
        <v>1997</v>
      </c>
      <c r="B265" s="1543" t="s">
        <v>8086</v>
      </c>
      <c r="C265" s="1135">
        <v>838066108</v>
      </c>
      <c r="D265" s="1138">
        <v>139506864</v>
      </c>
      <c r="E265" s="1191">
        <v>40</v>
      </c>
      <c r="F265" s="126">
        <f t="shared" si="8"/>
        <v>33522644.32</v>
      </c>
      <c r="G265" s="126">
        <f t="shared" si="9"/>
        <v>5580274.5599999996</v>
      </c>
      <c r="H265" s="467">
        <f>F265*cnst_carbon!$C$11/10^6</f>
        <v>1.8986608644647622</v>
      </c>
      <c r="I265" s="467">
        <f>G265*carbon_intensity_n!$C$9</f>
        <v>0.31228511924323743</v>
      </c>
      <c r="J265" s="801">
        <f>H265*cnst_carbon!$C$13*1000000</f>
        <v>646622.53038740729</v>
      </c>
      <c r="K265" s="118">
        <f>I265*cnst_carbon!$C$13*1000000</f>
        <v>106354.21932727318</v>
      </c>
    </row>
    <row r="266" spans="1:11" ht="12">
      <c r="A266" s="27" t="s">
        <v>1998</v>
      </c>
      <c r="B266" s="1543" t="s">
        <v>8087</v>
      </c>
      <c r="C266" s="1135">
        <v>9316280</v>
      </c>
      <c r="D266" s="1138">
        <v>5932531</v>
      </c>
      <c r="E266" s="1191">
        <v>40</v>
      </c>
      <c r="F266" s="126">
        <f t="shared" si="8"/>
        <v>372651.2</v>
      </c>
      <c r="G266" s="126">
        <f t="shared" si="9"/>
        <v>237301.24</v>
      </c>
      <c r="H266" s="467">
        <f>F266*cnst_carbon!$C$11/10^6</f>
        <v>2.1106277976815375E-2</v>
      </c>
      <c r="I266" s="467">
        <f>G266*carbon_intensity_n!$C$9</f>
        <v>1.3279928296210591E-2</v>
      </c>
      <c r="J266" s="801">
        <f>H266*cnst_carbon!$C$13*1000000</f>
        <v>7188.1161759110237</v>
      </c>
      <c r="K266" s="118">
        <f>I266*cnst_carbon!$C$13*1000000</f>
        <v>4522.7144030694235</v>
      </c>
    </row>
    <row r="267" spans="1:11" ht="12">
      <c r="A267" s="27" t="s">
        <v>4297</v>
      </c>
      <c r="B267" s="1543" t="s">
        <v>8088</v>
      </c>
      <c r="C267" s="1135">
        <v>68172</v>
      </c>
      <c r="D267" s="1138">
        <v>304226</v>
      </c>
      <c r="E267" s="1191">
        <v>40</v>
      </c>
      <c r="F267" s="126">
        <f t="shared" si="8"/>
        <v>2726.88</v>
      </c>
      <c r="G267" s="126">
        <f t="shared" si="9"/>
        <v>12169.04</v>
      </c>
      <c r="H267" s="467">
        <f>F267*cnst_carbon!$C$11/10^6</f>
        <v>1.5444546345058947E-4</v>
      </c>
      <c r="I267" s="467">
        <f>G267*carbon_intensity_n!$C$9</f>
        <v>6.8100772938952422E-4</v>
      </c>
      <c r="J267" s="801">
        <f>H267*cnst_carbon!$C$13*1000000</f>
        <v>52.599133553758186</v>
      </c>
      <c r="K267" s="118">
        <f>I267*cnst_carbon!$C$13*1000000</f>
        <v>231.92922413522973</v>
      </c>
    </row>
    <row r="268" spans="1:11" ht="12">
      <c r="A268" s="27" t="s">
        <v>4298</v>
      </c>
      <c r="B268" s="1543" t="s">
        <v>8089</v>
      </c>
      <c r="C268" s="1135">
        <v>13949422</v>
      </c>
      <c r="D268" s="1138">
        <v>6384224</v>
      </c>
      <c r="E268" s="1191">
        <v>40</v>
      </c>
      <c r="F268" s="126">
        <f t="shared" si="8"/>
        <v>557976.88</v>
      </c>
      <c r="G268" s="126">
        <f t="shared" si="9"/>
        <v>255368.95999999999</v>
      </c>
      <c r="H268" s="467">
        <f>F268*cnst_carbon!$C$11/10^6</f>
        <v>3.1602783337115657E-2</v>
      </c>
      <c r="I268" s="467">
        <f>G268*carbon_intensity_n!$C$9</f>
        <v>1.4291039852458717E-2</v>
      </c>
      <c r="J268" s="801">
        <f>H268*cnst_carbon!$C$13*1000000</f>
        <v>10762.886680392721</v>
      </c>
      <c r="K268" s="118">
        <f>I268*cnst_carbon!$C$13*1000000</f>
        <v>4867.0663224889158</v>
      </c>
    </row>
    <row r="269" spans="1:11" ht="12">
      <c r="A269" s="27" t="s">
        <v>4299</v>
      </c>
      <c r="B269" s="1543" t="s">
        <v>8090</v>
      </c>
      <c r="C269" s="1135">
        <v>44604755</v>
      </c>
      <c r="D269" s="1138">
        <v>40363010</v>
      </c>
      <c r="E269" s="1191">
        <v>40</v>
      </c>
      <c r="F269" s="126">
        <f t="shared" si="8"/>
        <v>1784190.2</v>
      </c>
      <c r="G269" s="126">
        <f t="shared" si="9"/>
        <v>1614520.4</v>
      </c>
      <c r="H269" s="467">
        <f>F269*cnst_carbon!$C$11/10^6</f>
        <v>0.10105324851955345</v>
      </c>
      <c r="I269" s="467">
        <f>G269*carbon_intensity_n!$C$9</f>
        <v>9.0352309767826086E-2</v>
      </c>
      <c r="J269" s="801">
        <f>H269*cnst_carbon!$C$13*1000000</f>
        <v>34415.470653313139</v>
      </c>
      <c r="K269" s="118">
        <f>I269*cnst_carbon!$C$13*1000000</f>
        <v>30771.07674249577</v>
      </c>
    </row>
    <row r="270" spans="1:11" ht="12">
      <c r="A270" s="27" t="s">
        <v>492</v>
      </c>
      <c r="B270" s="1543" t="s">
        <v>8091</v>
      </c>
      <c r="C270" s="1135"/>
      <c r="D270" s="1138">
        <v>5343.625</v>
      </c>
      <c r="E270" s="1191">
        <v>40</v>
      </c>
      <c r="F270" s="126">
        <f t="shared" si="8"/>
        <v>0</v>
      </c>
      <c r="G270" s="126">
        <f t="shared" si="9"/>
        <v>213.745</v>
      </c>
      <c r="H270" s="467">
        <f>F270*cnst_carbon!$C$11/10^6</f>
        <v>0</v>
      </c>
      <c r="I270" s="467">
        <f>G270*carbon_intensity_n!$C$9</f>
        <v>1.1961666418909287E-5</v>
      </c>
      <c r="J270" s="801">
        <f>H270*cnst_carbon!$C$13*1000000</f>
        <v>0</v>
      </c>
      <c r="K270" s="118">
        <f>I270*cnst_carbon!$C$13*1000000</f>
        <v>4.0737570106421446</v>
      </c>
    </row>
    <row r="271" spans="1:11" ht="12">
      <c r="A271" s="27" t="s">
        <v>493</v>
      </c>
      <c r="B271" s="1543" t="s">
        <v>8092</v>
      </c>
      <c r="C271" s="1135">
        <v>633422066</v>
      </c>
      <c r="D271" s="1138">
        <v>2359292455</v>
      </c>
      <c r="E271" s="1191">
        <v>40</v>
      </c>
      <c r="F271" s="126">
        <f t="shared" si="8"/>
        <v>25336882.640000001</v>
      </c>
      <c r="G271" s="126">
        <f t="shared" si="9"/>
        <v>94371698.200000003</v>
      </c>
      <c r="H271" s="467">
        <f>F271*cnst_carbon!$C$11/10^6</f>
        <v>1.4350343915859867</v>
      </c>
      <c r="I271" s="467">
        <f>G271*carbon_intensity_n!$C$9</f>
        <v>5.2812593195367468</v>
      </c>
      <c r="J271" s="801">
        <f>H271*cnst_carbon!$C$13*1000000</f>
        <v>488726.33699218795</v>
      </c>
      <c r="K271" s="118">
        <f>I271*cnst_carbon!$C$13*1000000</f>
        <v>1798626.2469225228</v>
      </c>
    </row>
    <row r="272" spans="1:11" ht="12">
      <c r="A272" s="27" t="s">
        <v>494</v>
      </c>
      <c r="B272" s="1543" t="s">
        <v>8093</v>
      </c>
      <c r="C272" s="1135">
        <v>103471672</v>
      </c>
      <c r="D272" s="1138">
        <v>72086861</v>
      </c>
      <c r="E272" s="1191">
        <v>40</v>
      </c>
      <c r="F272" s="126">
        <f t="shared" si="8"/>
        <v>4138866.88</v>
      </c>
      <c r="G272" s="126">
        <f t="shared" si="9"/>
        <v>2883474.44</v>
      </c>
      <c r="H272" s="467">
        <f>F272*cnst_carbon!$C$11/10^6</f>
        <v>0.23441780109205218</v>
      </c>
      <c r="I272" s="467">
        <f>G272*carbon_intensity_n!$C$9</f>
        <v>0.16136592378175516</v>
      </c>
      <c r="J272" s="801">
        <f>H272*cnst_carbon!$C$13*1000000</f>
        <v>79835.12724518367</v>
      </c>
      <c r="K272" s="118">
        <f>I272*cnst_carbon!$C$13*1000000</f>
        <v>54956.018690296522</v>
      </c>
    </row>
    <row r="273" spans="1:11" ht="12">
      <c r="A273" s="27" t="s">
        <v>3500</v>
      </c>
      <c r="B273" s="1543" t="s">
        <v>8094</v>
      </c>
      <c r="C273" s="1135">
        <v>7987277</v>
      </c>
      <c r="D273" s="1138">
        <v>3134431</v>
      </c>
      <c r="E273" s="1191">
        <v>40</v>
      </c>
      <c r="F273" s="126">
        <f t="shared" si="8"/>
        <v>319491.08</v>
      </c>
      <c r="G273" s="126">
        <f t="shared" si="9"/>
        <v>125377.24</v>
      </c>
      <c r="H273" s="467">
        <f>F273*cnst_carbon!$C$11/10^6</f>
        <v>1.8095386639283489E-2</v>
      </c>
      <c r="I273" s="467">
        <f>G273*carbon_intensity_n!$C$9</f>
        <v>7.016401419464924E-3</v>
      </c>
      <c r="J273" s="801">
        <f>H273*cnst_carbon!$C$13*1000000</f>
        <v>6162.703890950258</v>
      </c>
      <c r="K273" s="118">
        <f>I273*cnst_carbon!$C$13*1000000</f>
        <v>2389.5595706330569</v>
      </c>
    </row>
    <row r="274" spans="1:11" ht="12">
      <c r="A274" s="27" t="s">
        <v>3501</v>
      </c>
      <c r="B274" s="1543" t="s">
        <v>8095</v>
      </c>
      <c r="C274" s="1135">
        <v>7458851</v>
      </c>
      <c r="D274" s="1138">
        <v>9038574</v>
      </c>
      <c r="E274" s="1191">
        <v>40</v>
      </c>
      <c r="F274" s="126">
        <f t="shared" si="8"/>
        <v>298354.03999999998</v>
      </c>
      <c r="G274" s="126">
        <f t="shared" si="9"/>
        <v>361542.96</v>
      </c>
      <c r="H274" s="467">
        <f>F274*cnst_carbon!$C$11/10^6</f>
        <v>1.6898223603589339E-2</v>
      </c>
      <c r="I274" s="467">
        <f>G274*carbon_intensity_n!$C$9</f>
        <v>2.0232783380313285E-2</v>
      </c>
      <c r="J274" s="801">
        <f>H274*cnst_carbon!$C$13*1000000</f>
        <v>5754.988850357664</v>
      </c>
      <c r="K274" s="118">
        <f>I274*cnst_carbon!$C$13*1000000</f>
        <v>6890.6321455393681</v>
      </c>
    </row>
    <row r="275" spans="1:11" ht="12">
      <c r="A275" s="27" t="s">
        <v>3851</v>
      </c>
      <c r="B275" s="1543" t="s">
        <v>8096</v>
      </c>
      <c r="C275" s="1135">
        <v>6577717</v>
      </c>
      <c r="D275" s="1138">
        <v>5663791</v>
      </c>
      <c r="E275" s="1191">
        <v>21.45</v>
      </c>
      <c r="F275" s="126">
        <f t="shared" si="8"/>
        <v>141092.02965000001</v>
      </c>
      <c r="G275" s="126">
        <f t="shared" si="9"/>
        <v>121488.31695000001</v>
      </c>
      <c r="H275" s="467">
        <f>F275*cnst_carbon!$C$11/10^6</f>
        <v>7.9911928315432156E-3</v>
      </c>
      <c r="I275" s="467">
        <f>G275*carbon_intensity_n!$C$9</f>
        <v>6.7987682572720901E-3</v>
      </c>
      <c r="J275" s="801">
        <f>H275*cnst_carbon!$C$13*1000000</f>
        <v>2721.5420227260315</v>
      </c>
      <c r="K275" s="118">
        <f>I275*cnst_carbon!$C$13*1000000</f>
        <v>2315.4407489587002</v>
      </c>
    </row>
    <row r="276" spans="1:11" ht="12">
      <c r="A276" s="27" t="s">
        <v>3852</v>
      </c>
      <c r="B276" s="1543" t="s">
        <v>8097</v>
      </c>
      <c r="C276" s="1135"/>
      <c r="D276" s="1138"/>
      <c r="E276" s="1191">
        <v>40</v>
      </c>
      <c r="F276" s="126">
        <f t="shared" si="8"/>
        <v>0</v>
      </c>
      <c r="G276" s="126">
        <f t="shared" si="9"/>
        <v>0</v>
      </c>
      <c r="H276" s="467">
        <f>F276*cnst_carbon!$C$11/10^6</f>
        <v>0</v>
      </c>
      <c r="I276" s="467">
        <f>G276*carbon_intensity_n!$C$9</f>
        <v>0</v>
      </c>
      <c r="J276" s="801">
        <f>H276*cnst_carbon!$C$13*1000000</f>
        <v>0</v>
      </c>
      <c r="K276" s="118">
        <f>I276*cnst_carbon!$C$13*1000000</f>
        <v>0</v>
      </c>
    </row>
    <row r="277" spans="1:11" ht="12">
      <c r="A277" s="27" t="s">
        <v>3853</v>
      </c>
      <c r="B277" s="1543" t="s">
        <v>8098</v>
      </c>
      <c r="C277" s="1135">
        <v>254860594</v>
      </c>
      <c r="D277" s="1138">
        <v>735515493</v>
      </c>
      <c r="E277" s="1191">
        <v>40</v>
      </c>
      <c r="F277" s="126">
        <f t="shared" si="8"/>
        <v>10194423.76</v>
      </c>
      <c r="G277" s="126">
        <f t="shared" si="9"/>
        <v>29420619.719999999</v>
      </c>
      <c r="H277" s="467">
        <f>F277*cnst_carbon!$C$11/10^6</f>
        <v>0.57739339546474389</v>
      </c>
      <c r="I277" s="467">
        <f>G277*carbon_intensity_n!$C$9</f>
        <v>1.6464461808614204</v>
      </c>
      <c r="J277" s="801">
        <f>H277*cnst_carbon!$C$13*1000000</f>
        <v>196641.53056087749</v>
      </c>
      <c r="K277" s="118">
        <f>I277*cnst_carbon!$C$13*1000000</f>
        <v>560726.36011034879</v>
      </c>
    </row>
    <row r="278" spans="1:11" ht="12">
      <c r="A278" s="27" t="s">
        <v>3854</v>
      </c>
      <c r="B278" s="1543" t="s">
        <v>8099</v>
      </c>
      <c r="C278" s="1135">
        <v>38687110</v>
      </c>
      <c r="D278" s="1138">
        <v>112793565</v>
      </c>
      <c r="E278" s="1191">
        <v>200</v>
      </c>
      <c r="F278" s="126">
        <f t="shared" si="8"/>
        <v>7737422</v>
      </c>
      <c r="G278" s="126">
        <f t="shared" si="9"/>
        <v>22558713</v>
      </c>
      <c r="H278" s="467">
        <f>F278*cnst_carbon!$C$11/10^6</f>
        <v>0.43823333872513159</v>
      </c>
      <c r="I278" s="467">
        <f>G278*carbon_intensity_n!$C$9</f>
        <v>1.2624379505762116</v>
      </c>
      <c r="J278" s="801">
        <f>H278*cnst_carbon!$C$13*1000000</f>
        <v>149248.11254612842</v>
      </c>
      <c r="K278" s="118">
        <f>I278*cnst_carbon!$C$13*1000000</f>
        <v>429945.56707672263</v>
      </c>
    </row>
    <row r="279" spans="1:11" ht="12">
      <c r="A279" s="27" t="s">
        <v>4242</v>
      </c>
      <c r="B279" s="1543" t="s">
        <v>8100</v>
      </c>
      <c r="C279" s="1135">
        <v>284748775</v>
      </c>
      <c r="D279" s="1138">
        <v>715846609</v>
      </c>
      <c r="E279" s="1191">
        <v>70</v>
      </c>
      <c r="F279" s="126">
        <f t="shared" si="8"/>
        <v>19932414.25</v>
      </c>
      <c r="G279" s="126">
        <f t="shared" si="9"/>
        <v>50109262.630000003</v>
      </c>
      <c r="H279" s="467">
        <f>F279*cnst_carbon!$C$11/10^6</f>
        <v>1.1289352507372468</v>
      </c>
      <c r="I279" s="467">
        <f>G279*carbon_intensity_n!$C$9</f>
        <v>2.8042306677469742</v>
      </c>
      <c r="J279" s="801">
        <f>H279*cnst_carbon!$C$13*1000000</f>
        <v>384478.86199047358</v>
      </c>
      <c r="K279" s="118">
        <f>I279*cnst_carbon!$C$13*1000000</f>
        <v>955030.33959657955</v>
      </c>
    </row>
    <row r="280" spans="1:11" ht="12">
      <c r="A280" s="27" t="s">
        <v>2965</v>
      </c>
      <c r="B280" s="1543" t="s">
        <v>8101</v>
      </c>
      <c r="C280" s="1135">
        <v>82283984</v>
      </c>
      <c r="D280" s="1138">
        <v>39166190</v>
      </c>
      <c r="E280" s="1191">
        <v>200</v>
      </c>
      <c r="F280" s="126">
        <f t="shared" si="8"/>
        <v>16456796.800000001</v>
      </c>
      <c r="G280" s="126">
        <f t="shared" si="9"/>
        <v>7833238</v>
      </c>
      <c r="H280" s="467">
        <f>F280*cnst_carbon!$C$11/10^6</f>
        <v>0.93208267642440368</v>
      </c>
      <c r="I280" s="467">
        <f>G280*carbon_intensity_n!$C$9</f>
        <v>0.43836618370452707</v>
      </c>
      <c r="J280" s="801">
        <f>H280*cnst_carbon!$C$13*1000000</f>
        <v>317437.23697055253</v>
      </c>
      <c r="K280" s="118">
        <f>I280*cnst_carbon!$C$13*1000000</f>
        <v>149293.35525288756</v>
      </c>
    </row>
    <row r="281" spans="1:11" ht="12">
      <c r="A281" s="27" t="s">
        <v>2966</v>
      </c>
      <c r="B281" s="1543" t="s">
        <v>8102</v>
      </c>
      <c r="C281" s="1135">
        <v>8249001</v>
      </c>
      <c r="D281" s="1138">
        <v>5259227</v>
      </c>
      <c r="E281" s="1191">
        <v>200</v>
      </c>
      <c r="F281" s="126">
        <f t="shared" si="8"/>
        <v>1649800.2</v>
      </c>
      <c r="G281" s="126">
        <f t="shared" si="9"/>
        <v>1051845.3999999999</v>
      </c>
      <c r="H281" s="467">
        <f>F281*cnst_carbon!$C$11/10^6</f>
        <v>9.3441646310022872E-2</v>
      </c>
      <c r="I281" s="467">
        <f>G281*carbon_intensity_n!$C$9</f>
        <v>5.8863710491773864E-2</v>
      </c>
      <c r="J281" s="801">
        <f>H281*cnst_carbon!$C$13*1000000</f>
        <v>31823.204929009327</v>
      </c>
      <c r="K281" s="118">
        <f>I281*cnst_carbon!$C$13*1000000</f>
        <v>20047.077463153244</v>
      </c>
    </row>
    <row r="282" spans="1:11" ht="12">
      <c r="A282" s="27" t="s">
        <v>2967</v>
      </c>
      <c r="B282" s="1543" t="s">
        <v>8103</v>
      </c>
      <c r="C282" s="1135">
        <v>6963660</v>
      </c>
      <c r="D282" s="1138">
        <v>777196</v>
      </c>
      <c r="E282" s="1191">
        <v>200</v>
      </c>
      <c r="F282" s="126">
        <f t="shared" si="8"/>
        <v>1392732</v>
      </c>
      <c r="G282" s="126">
        <f t="shared" si="9"/>
        <v>155439.20000000001</v>
      </c>
      <c r="H282" s="467">
        <f>F282*cnst_carbon!$C$11/10^6</f>
        <v>7.888177668341341E-2</v>
      </c>
      <c r="I282" s="467">
        <f>G282*carbon_intensity_n!$C$9</f>
        <v>8.6987384912962842E-3</v>
      </c>
      <c r="J282" s="801">
        <f>H282*cnst_carbon!$C$13*1000000</f>
        <v>26864.583873361767</v>
      </c>
      <c r="K282" s="118">
        <f>I282*cnst_carbon!$C$13*1000000</f>
        <v>2962.5092083024465</v>
      </c>
    </row>
    <row r="283" spans="1:11" ht="12">
      <c r="A283" s="27" t="s">
        <v>2968</v>
      </c>
      <c r="B283" s="1543" t="s">
        <v>8104</v>
      </c>
      <c r="C283" s="1135">
        <v>666809</v>
      </c>
      <c r="D283" s="1138">
        <v>471616</v>
      </c>
      <c r="E283" s="1191">
        <v>200</v>
      </c>
      <c r="F283" s="126">
        <f t="shared" si="8"/>
        <v>133361.79999999999</v>
      </c>
      <c r="G283" s="126">
        <f t="shared" si="9"/>
        <v>94323.199999999997</v>
      </c>
      <c r="H283" s="467">
        <f>F283*cnst_carbon!$C$11/10^6</f>
        <v>7.5533668542821179E-3</v>
      </c>
      <c r="I283" s="467">
        <f>G283*carbon_intensity_n!$C$9</f>
        <v>5.2785452476739308E-3</v>
      </c>
      <c r="J283" s="801">
        <f>H283*cnst_carbon!$C$13*1000000</f>
        <v>2572.4326443296322</v>
      </c>
      <c r="K283" s="118">
        <f>I283*cnst_carbon!$C$13*1000000</f>
        <v>1797.7019217581749</v>
      </c>
    </row>
    <row r="284" spans="1:11" ht="12">
      <c r="A284" s="27" t="s">
        <v>4035</v>
      </c>
      <c r="B284" s="1543" t="s">
        <v>8105</v>
      </c>
      <c r="C284" s="1135">
        <v>20151485</v>
      </c>
      <c r="D284" s="1138">
        <v>66296395</v>
      </c>
      <c r="E284" s="1191">
        <v>200</v>
      </c>
      <c r="F284" s="126">
        <f t="shared" si="8"/>
        <v>4030297</v>
      </c>
      <c r="G284" s="126">
        <f t="shared" si="9"/>
        <v>13259279</v>
      </c>
      <c r="H284" s="467">
        <f>F284*cnst_carbon!$C$11/10^6</f>
        <v>0.22826860294861542</v>
      </c>
      <c r="I284" s="467">
        <f>G284*carbon_intensity_n!$C$9</f>
        <v>0.74202003486981727</v>
      </c>
      <c r="J284" s="801">
        <f>H284*cnst_carbon!$C$13*1000000</f>
        <v>77740.909084488856</v>
      </c>
      <c r="K284" s="118">
        <f>I284*cnst_carbon!$C$13*1000000</f>
        <v>252708.04361416717</v>
      </c>
    </row>
    <row r="285" spans="1:11" ht="12">
      <c r="A285" s="27" t="s">
        <v>4036</v>
      </c>
      <c r="B285" s="1543" t="s">
        <v>8106</v>
      </c>
      <c r="C285" s="1135">
        <v>259838816</v>
      </c>
      <c r="D285" s="1138">
        <v>164854556</v>
      </c>
      <c r="E285" s="1191">
        <v>200</v>
      </c>
      <c r="F285" s="126">
        <f t="shared" si="8"/>
        <v>51967763.200000003</v>
      </c>
      <c r="G285" s="126">
        <f t="shared" si="9"/>
        <v>32970911.199999999</v>
      </c>
      <c r="H285" s="467">
        <f>F285*cnst_carbon!$C$11/10^6</f>
        <v>2.943358443317817</v>
      </c>
      <c r="I285" s="467">
        <f>G285*carbon_intensity_n!$C$9</f>
        <v>1.8451287342481932</v>
      </c>
      <c r="J285" s="801">
        <f>H285*cnst_carbon!$C$13*1000000</f>
        <v>1002412.7636884939</v>
      </c>
      <c r="K285" s="118">
        <f>I285*cnst_carbon!$C$13*1000000</f>
        <v>628391.21686242765</v>
      </c>
    </row>
    <row r="286" spans="1:11" ht="12">
      <c r="A286" s="27" t="s">
        <v>4037</v>
      </c>
      <c r="B286" s="1543" t="s">
        <v>8107</v>
      </c>
      <c r="C286" s="1135">
        <v>75123133</v>
      </c>
      <c r="D286" s="1138">
        <v>39454313</v>
      </c>
      <c r="E286" s="1191">
        <v>200</v>
      </c>
      <c r="F286" s="126">
        <f t="shared" si="8"/>
        <v>15024626.6</v>
      </c>
      <c r="G286" s="126">
        <f t="shared" si="9"/>
        <v>7890862.5999999996</v>
      </c>
      <c r="H286" s="467">
        <f>F286*cnst_carbon!$C$11/10^6</f>
        <v>0.85096719269240084</v>
      </c>
      <c r="I286" s="467">
        <f>G286*carbon_intensity_n!$C$9</f>
        <v>0.44159099009870273</v>
      </c>
      <c r="J286" s="801">
        <f>H286*cnst_carbon!$C$13*1000000</f>
        <v>289811.92466435913</v>
      </c>
      <c r="K286" s="118">
        <f>I286*cnst_carbon!$C$13*1000000</f>
        <v>150391.62009293269</v>
      </c>
    </row>
    <row r="287" spans="1:11" ht="12">
      <c r="A287" s="27" t="s">
        <v>4038</v>
      </c>
      <c r="B287" s="1543" t="s">
        <v>8108</v>
      </c>
      <c r="C287" s="1135">
        <v>45963946</v>
      </c>
      <c r="D287" s="1138">
        <v>36069937</v>
      </c>
      <c r="E287" s="1191">
        <v>100</v>
      </c>
      <c r="F287" s="126">
        <f t="shared" si="8"/>
        <v>4596394.5999999996</v>
      </c>
      <c r="G287" s="126">
        <f t="shared" si="9"/>
        <v>3606993.7</v>
      </c>
      <c r="H287" s="467">
        <f>F287*cnst_carbon!$C$11/10^6</f>
        <v>0.26033132891758592</v>
      </c>
      <c r="I287" s="467">
        <f>G287*carbon_intensity_n!$C$9</f>
        <v>0.2018557412548006</v>
      </c>
      <c r="J287" s="801">
        <f>H287*cnst_carbon!$C$13*1000000</f>
        <v>88660.437361076722</v>
      </c>
      <c r="K287" s="118">
        <f>I287*cnst_carbon!$C$13*1000000</f>
        <v>68745.541990301746</v>
      </c>
    </row>
    <row r="288" spans="1:11" ht="12">
      <c r="A288" s="27" t="s">
        <v>3150</v>
      </c>
      <c r="B288" s="1543" t="s">
        <v>8109</v>
      </c>
      <c r="C288" s="1135">
        <v>49204929</v>
      </c>
      <c r="D288" s="1138">
        <v>113216033</v>
      </c>
      <c r="E288" s="1191">
        <v>100</v>
      </c>
      <c r="F288" s="126">
        <f t="shared" si="8"/>
        <v>4920492.9000000004</v>
      </c>
      <c r="G288" s="126">
        <f t="shared" si="9"/>
        <v>11321603.300000001</v>
      </c>
      <c r="H288" s="467">
        <f>F288*cnst_carbon!$C$11/10^6</f>
        <v>0.27868766001651524</v>
      </c>
      <c r="I288" s="467">
        <f>G288*carbon_intensity_n!$C$9</f>
        <v>0.63358320429400716</v>
      </c>
      <c r="J288" s="801">
        <f>H288*cnst_carbon!$C$13*1000000</f>
        <v>94912.010501899218</v>
      </c>
      <c r="K288" s="118">
        <f>I288*cnst_carbon!$C$13*1000000</f>
        <v>215777.96353170479</v>
      </c>
    </row>
    <row r="289" spans="1:11" ht="12">
      <c r="A289" s="27" t="s">
        <v>3293</v>
      </c>
      <c r="B289" s="1543" t="s">
        <v>8110</v>
      </c>
      <c r="C289" s="1135">
        <v>644552113</v>
      </c>
      <c r="D289" s="1138">
        <v>839987806</v>
      </c>
      <c r="E289" s="1191">
        <v>100</v>
      </c>
      <c r="F289" s="126">
        <f t="shared" si="8"/>
        <v>64455211.299999997</v>
      </c>
      <c r="G289" s="126">
        <f t="shared" si="9"/>
        <v>83998780.599999994</v>
      </c>
      <c r="H289" s="467">
        <f>F289*cnst_carbon!$C$11/10^6</f>
        <v>3.6506245163095445</v>
      </c>
      <c r="I289" s="467">
        <f>G289*carbon_intensity_n!$C$9</f>
        <v>4.7007667694324953</v>
      </c>
      <c r="J289" s="801">
        <f>H289*cnst_carbon!$C$13*1000000</f>
        <v>1243284.7310495523</v>
      </c>
      <c r="K289" s="118">
        <f>I289*cnst_carbon!$C$13*1000000</f>
        <v>1600929.2444484844</v>
      </c>
    </row>
    <row r="290" spans="1:11" ht="12">
      <c r="A290" s="27" t="s">
        <v>3294</v>
      </c>
      <c r="B290" s="1543" t="s">
        <v>8111</v>
      </c>
      <c r="C290" s="1135">
        <v>161156036</v>
      </c>
      <c r="D290" s="1138">
        <v>199077300</v>
      </c>
      <c r="E290" s="1191">
        <v>40</v>
      </c>
      <c r="F290" s="126">
        <f t="shared" si="8"/>
        <v>6446241.4400000004</v>
      </c>
      <c r="G290" s="126">
        <f t="shared" si="9"/>
        <v>7963092</v>
      </c>
      <c r="H290" s="467">
        <f>F290*cnst_carbon!$C$11/10^6</f>
        <v>0.36510324866337912</v>
      </c>
      <c r="I290" s="467">
        <f>G290*carbon_intensity_n!$C$9</f>
        <v>0.44563311500659747</v>
      </c>
      <c r="J290" s="801">
        <f>H290*cnst_carbon!$C$13*1000000</f>
        <v>124342.36725573933</v>
      </c>
      <c r="K290" s="118">
        <f>I290*cnst_carbon!$C$13*1000000</f>
        <v>151768.23720502641</v>
      </c>
    </row>
    <row r="291" spans="1:11" ht="12">
      <c r="A291" s="27" t="s">
        <v>3295</v>
      </c>
      <c r="B291" s="1543" t="s">
        <v>8112</v>
      </c>
      <c r="C291" s="1135">
        <v>747861241</v>
      </c>
      <c r="D291" s="1138">
        <v>1538869032</v>
      </c>
      <c r="E291" s="1191">
        <v>40</v>
      </c>
      <c r="F291" s="126">
        <f t="shared" si="8"/>
        <v>29914449.640000001</v>
      </c>
      <c r="G291" s="126">
        <f t="shared" si="9"/>
        <v>61554761.280000001</v>
      </c>
      <c r="H291" s="467">
        <f>F291*cnst_carbon!$C$11/10^6</f>
        <v>1.694299359898169</v>
      </c>
      <c r="I291" s="467">
        <f>G291*carbon_intensity_n!$C$9</f>
        <v>3.4447473434557701</v>
      </c>
      <c r="J291" s="801">
        <f>H291*cnst_carbon!$C$13*1000000</f>
        <v>577023.60639321618</v>
      </c>
      <c r="K291" s="118">
        <f>I291*cnst_carbon!$C$13*1000000</f>
        <v>1173169.6194194185</v>
      </c>
    </row>
    <row r="292" spans="1:11" ht="12">
      <c r="A292" s="27" t="s">
        <v>2042</v>
      </c>
      <c r="B292" s="1543" t="s">
        <v>8113</v>
      </c>
      <c r="C292" s="1135">
        <v>16191991</v>
      </c>
      <c r="D292" s="1138">
        <v>71447976</v>
      </c>
      <c r="E292" s="1191">
        <v>100</v>
      </c>
      <c r="F292" s="126">
        <f t="shared" si="8"/>
        <v>1619199.1</v>
      </c>
      <c r="G292" s="126">
        <f t="shared" si="9"/>
        <v>7144797.5999999996</v>
      </c>
      <c r="H292" s="467">
        <f>F292*cnst_carbon!$C$11/10^6</f>
        <v>9.1708456337747671E-2</v>
      </c>
      <c r="I292" s="467">
        <f>G292*carbon_intensity_n!$C$9</f>
        <v>0.3998394606742785</v>
      </c>
      <c r="J292" s="801">
        <f>H292*cnst_carbon!$C$13*1000000</f>
        <v>31232.936436889431</v>
      </c>
      <c r="K292" s="118">
        <f>I292*cnst_carbon!$C$13*1000000</f>
        <v>136172.39847771486</v>
      </c>
    </row>
    <row r="293" spans="1:11" ht="12">
      <c r="A293" s="27" t="s">
        <v>2043</v>
      </c>
      <c r="B293" s="1543" t="s">
        <v>8114</v>
      </c>
      <c r="C293" s="1135">
        <v>11193360000</v>
      </c>
      <c r="D293" s="1138">
        <v>2484756000</v>
      </c>
      <c r="E293" s="1191">
        <v>38.9</v>
      </c>
      <c r="F293" s="126">
        <f t="shared" si="8"/>
        <v>435421704</v>
      </c>
      <c r="G293" s="126">
        <f t="shared" si="9"/>
        <v>96657008.400000006</v>
      </c>
      <c r="H293" s="467">
        <f>F293*cnst_carbon!$C$11/10^6</f>
        <v>24.661483772929277</v>
      </c>
      <c r="I293" s="467">
        <f>G293*carbon_intensity_n!$C$9</f>
        <v>5.4091505837821368</v>
      </c>
      <c r="J293" s="801">
        <f>H293*cnst_carbon!$C$13*1000000</f>
        <v>8398904.3745602909</v>
      </c>
      <c r="K293" s="118">
        <f>I293*cnst_carbon!$C$13*1000000</f>
        <v>1842181.878393397</v>
      </c>
    </row>
    <row r="294" spans="1:11" ht="12">
      <c r="A294" s="27" t="s">
        <v>5219</v>
      </c>
      <c r="B294" s="1543" t="s">
        <v>8115</v>
      </c>
      <c r="C294" s="1135">
        <v>210711000</v>
      </c>
      <c r="D294" s="1138">
        <v>19572000</v>
      </c>
      <c r="E294" s="1191">
        <v>10.7</v>
      </c>
      <c r="F294" s="126">
        <f t="shared" si="8"/>
        <v>2254607.7000000002</v>
      </c>
      <c r="G294" s="126">
        <f t="shared" si="9"/>
        <v>209420.4</v>
      </c>
      <c r="H294" s="467">
        <f>F294*cnst_carbon!$C$11/10^6</f>
        <v>0.12769682975626637</v>
      </c>
      <c r="I294" s="467">
        <f>G294*carbon_intensity_n!$C$9</f>
        <v>1.1719651763150249E-2</v>
      </c>
      <c r="J294" s="801">
        <f>H294*cnst_carbon!$C$13*1000000</f>
        <v>43489.413367523171</v>
      </c>
      <c r="K294" s="118">
        <f>I294*cnst_carbon!$C$13*1000000</f>
        <v>3991.3346402090438</v>
      </c>
    </row>
    <row r="295" spans="1:11" ht="12">
      <c r="A295" s="27" t="s">
        <v>5220</v>
      </c>
      <c r="B295" s="1543" t="s">
        <v>8116</v>
      </c>
      <c r="C295" s="1135">
        <v>9739200000</v>
      </c>
      <c r="D295" s="1138">
        <v>2813409000</v>
      </c>
      <c r="E295" s="1191">
        <v>20</v>
      </c>
      <c r="F295" s="126">
        <f t="shared" si="8"/>
        <v>194784000</v>
      </c>
      <c r="G295" s="126">
        <f t="shared" si="9"/>
        <v>56268180</v>
      </c>
      <c r="H295" s="467">
        <f>F295*cnst_carbon!$C$11/10^6</f>
        <v>11.032207193847773</v>
      </c>
      <c r="I295" s="467">
        <f>G295*carbon_intensity_n!$C$9</f>
        <v>3.1488979819838736</v>
      </c>
      <c r="J295" s="801">
        <f>H295*cnst_carbon!$C$13*1000000</f>
        <v>3757213.2364222966</v>
      </c>
      <c r="K295" s="118">
        <f>I295*cnst_carbon!$C$13*1000000</f>
        <v>1072412.8880257974</v>
      </c>
    </row>
    <row r="296" spans="1:11" ht="12">
      <c r="A296" s="27" t="s">
        <v>5221</v>
      </c>
      <c r="B296" s="1543" t="s">
        <v>8117</v>
      </c>
      <c r="C296" s="1135">
        <v>1157706831</v>
      </c>
      <c r="D296" s="1138">
        <v>6743342214</v>
      </c>
      <c r="E296" s="1191">
        <v>20</v>
      </c>
      <c r="F296" s="126">
        <f t="shared" si="8"/>
        <v>23154136.620000001</v>
      </c>
      <c r="G296" s="126">
        <f t="shared" si="9"/>
        <v>134866844.28</v>
      </c>
      <c r="H296" s="467">
        <f>F296*cnst_carbon!$C$11/10^6</f>
        <v>1.3114076750990749</v>
      </c>
      <c r="I296" s="467">
        <f>G296*carbon_intensity_n!$C$9</f>
        <v>7.5474617055292237</v>
      </c>
      <c r="J296" s="801">
        <f>H296*cnst_carbon!$C$13*1000000</f>
        <v>446623.0726681567</v>
      </c>
      <c r="K296" s="118">
        <f>I296*cnst_carbon!$C$13*1000000</f>
        <v>2570421.5415042802</v>
      </c>
    </row>
    <row r="297" spans="1:11" ht="12">
      <c r="A297" s="27" t="s">
        <v>2444</v>
      </c>
      <c r="B297" s="1543" t="s">
        <v>8118</v>
      </c>
      <c r="C297" s="1135">
        <v>12153475</v>
      </c>
      <c r="D297" s="1138">
        <v>59692094</v>
      </c>
      <c r="E297" s="1191">
        <v>50</v>
      </c>
      <c r="F297" s="126">
        <f t="shared" si="8"/>
        <v>607673.75</v>
      </c>
      <c r="G297" s="126">
        <f t="shared" si="9"/>
        <v>2984604.7</v>
      </c>
      <c r="H297" s="467">
        <f>F297*cnst_carbon!$C$11/10^6</f>
        <v>3.4417522569936208E-2</v>
      </c>
      <c r="I297" s="467">
        <f>G297*carbon_intensity_n!$C$9</f>
        <v>0.16702540790993392</v>
      </c>
      <c r="J297" s="801">
        <f>H297*cnst_carbon!$C$13*1000000</f>
        <v>11721.495897642384</v>
      </c>
      <c r="K297" s="118">
        <f>I297*cnst_carbon!$C$13*1000000</f>
        <v>56883.456083746962</v>
      </c>
    </row>
    <row r="298" spans="1:11" ht="12">
      <c r="A298" s="27" t="s">
        <v>953</v>
      </c>
      <c r="B298" s="1543" t="s">
        <v>8119</v>
      </c>
      <c r="C298" s="1135">
        <v>5593767.06976745</v>
      </c>
      <c r="D298" s="1138">
        <v>11917917</v>
      </c>
      <c r="E298" s="1191">
        <v>50</v>
      </c>
      <c r="F298" s="126">
        <f t="shared" si="8"/>
        <v>279688.35348837252</v>
      </c>
      <c r="G298" s="126">
        <f t="shared" si="9"/>
        <v>595895.85</v>
      </c>
      <c r="H298" s="467">
        <f>F298*cnst_carbon!$C$11/10^6</f>
        <v>1.5841033480110598E-2</v>
      </c>
      <c r="I298" s="467">
        <f>G298*carbon_intensity_n!$C$9</f>
        <v>3.3347715165792907E-2</v>
      </c>
      <c r="J298" s="801">
        <f>H298*cnst_carbon!$C$13*1000000</f>
        <v>5394.944060085385</v>
      </c>
      <c r="K298" s="118">
        <f>I298*cnst_carbon!$C$13*1000000</f>
        <v>11357.154069335233</v>
      </c>
    </row>
    <row r="299" spans="1:11" ht="12">
      <c r="A299" s="27" t="s">
        <v>954</v>
      </c>
      <c r="B299" s="1543" t="s">
        <v>8120</v>
      </c>
      <c r="C299" s="1135">
        <v>83721382</v>
      </c>
      <c r="D299" s="1138">
        <v>1237300</v>
      </c>
      <c r="E299" s="1191">
        <v>50</v>
      </c>
      <c r="F299" s="126">
        <f t="shared" si="8"/>
        <v>4186069.1</v>
      </c>
      <c r="G299" s="126">
        <f t="shared" si="9"/>
        <v>61865</v>
      </c>
      <c r="H299" s="467">
        <f>F299*cnst_carbon!$C$11/10^6</f>
        <v>0.23709124794112391</v>
      </c>
      <c r="I299" s="467">
        <f>G299*carbon_intensity_n!$C$9</f>
        <v>3.4621090224605158E-3</v>
      </c>
      <c r="J299" s="801">
        <f>H299*cnst_carbon!$C$13*1000000</f>
        <v>80745.616842750809</v>
      </c>
      <c r="K299" s="118">
        <f>I299*cnst_carbon!$C$13*1000000</f>
        <v>1179.0824462016715</v>
      </c>
    </row>
    <row r="300" spans="1:11" ht="12">
      <c r="A300" s="27" t="s">
        <v>1866</v>
      </c>
      <c r="B300" s="1543" t="s">
        <v>8121</v>
      </c>
      <c r="C300" s="1135">
        <v>24217743</v>
      </c>
      <c r="D300" s="1138">
        <v>6923149</v>
      </c>
      <c r="E300" s="1191">
        <v>100</v>
      </c>
      <c r="F300" s="126">
        <f t="shared" si="8"/>
        <v>2421774.2999999998</v>
      </c>
      <c r="G300" s="126">
        <f t="shared" si="9"/>
        <v>692314.9</v>
      </c>
      <c r="H300" s="467">
        <f>F300*cnst_carbon!$C$11/10^6</f>
        <v>0.13716483825332498</v>
      </c>
      <c r="I300" s="467">
        <f>G300*carbon_intensity_n!$C$9</f>
        <v>3.8743549045079609E-2</v>
      </c>
      <c r="J300" s="801">
        <f>H300*cnst_carbon!$C$13*1000000</f>
        <v>46713.911078873738</v>
      </c>
      <c r="K300" s="118">
        <f>I300*cnst_carbon!$C$13*1000000</f>
        <v>13194.800708540621</v>
      </c>
    </row>
    <row r="301" spans="1:11" ht="12">
      <c r="A301" s="27" t="s">
        <v>859</v>
      </c>
      <c r="B301" s="1543" t="s">
        <v>8122</v>
      </c>
      <c r="C301" s="1135">
        <v>2118335631</v>
      </c>
      <c r="D301" s="1138">
        <v>3773696273</v>
      </c>
      <c r="E301" s="1191">
        <v>80</v>
      </c>
      <c r="F301" s="126">
        <f t="shared" si="8"/>
        <v>169466850.47999999</v>
      </c>
      <c r="G301" s="126">
        <f t="shared" si="9"/>
        <v>301895701.83999997</v>
      </c>
      <c r="H301" s="467">
        <f>F301*cnst_carbon!$C$11/10^6</f>
        <v>9.5982904498530743</v>
      </c>
      <c r="I301" s="467">
        <f>G301*carbon_intensity_n!$C$9</f>
        <v>16.894784339809483</v>
      </c>
      <c r="J301" s="801">
        <f>H301*cnst_carbon!$C$13*1000000</f>
        <v>3268867.5340800802</v>
      </c>
      <c r="K301" s="118">
        <f>I301*cnst_carbon!$C$13*1000000</f>
        <v>5753817.5482627917</v>
      </c>
    </row>
    <row r="302" spans="1:11" ht="12">
      <c r="A302" s="27" t="s">
        <v>860</v>
      </c>
      <c r="B302" s="1543" t="s">
        <v>8123</v>
      </c>
      <c r="C302" s="1135">
        <v>6437414605</v>
      </c>
      <c r="D302" s="1138">
        <v>14925430983</v>
      </c>
      <c r="E302" s="1191">
        <v>80</v>
      </c>
      <c r="F302" s="126">
        <f t="shared" si="8"/>
        <v>514993168.39999998</v>
      </c>
      <c r="G302" s="126">
        <f t="shared" si="9"/>
        <v>1194034478.6400001</v>
      </c>
      <c r="H302" s="467">
        <f>F302*cnst_carbon!$C$11/10^6</f>
        <v>29.168265038221509</v>
      </c>
      <c r="I302" s="467">
        <f>G302*carbon_intensity_n!$C$9</f>
        <v>66.820941430994623</v>
      </c>
      <c r="J302" s="801">
        <f>H302*cnst_carbon!$C$13*1000000</f>
        <v>9933768.4254329782</v>
      </c>
      <c r="K302" s="118">
        <f>I302*cnst_carbon!$C$13*1000000</f>
        <v>22757053.162919074</v>
      </c>
    </row>
    <row r="303" spans="1:11" ht="12">
      <c r="A303" s="27" t="s">
        <v>861</v>
      </c>
      <c r="B303" s="1543" t="s">
        <v>8124</v>
      </c>
      <c r="C303" s="1135">
        <v>120601408</v>
      </c>
      <c r="D303" s="1138">
        <v>256063238</v>
      </c>
      <c r="E303" s="1191">
        <v>80</v>
      </c>
      <c r="F303" s="126">
        <f t="shared" si="8"/>
        <v>9648112.6400000006</v>
      </c>
      <c r="G303" s="126">
        <f t="shared" si="9"/>
        <v>20485059.039999999</v>
      </c>
      <c r="H303" s="467">
        <f>F303*cnst_carbon!$C$11/10^6</f>
        <v>0.54645133929923229</v>
      </c>
      <c r="I303" s="467">
        <f>G303*carbon_intensity_n!$C$9</f>
        <v>1.146391460890978</v>
      </c>
      <c r="J303" s="801">
        <f>H303*cnst_carbon!$C$13*1000000</f>
        <v>186103.66620205602</v>
      </c>
      <c r="K303" s="118">
        <f>I303*cnst_carbon!$C$13*1000000</f>
        <v>390423.88302705664</v>
      </c>
    </row>
    <row r="304" spans="1:11" ht="12">
      <c r="A304" s="27" t="s">
        <v>3724</v>
      </c>
      <c r="B304" s="1543" t="s">
        <v>8125</v>
      </c>
      <c r="C304" s="1135">
        <v>321324409</v>
      </c>
      <c r="D304" s="1138">
        <v>123602343</v>
      </c>
      <c r="E304" s="1191">
        <v>80.5</v>
      </c>
      <c r="F304" s="126">
        <f t="shared" si="8"/>
        <v>25866614.9245</v>
      </c>
      <c r="G304" s="126">
        <f t="shared" si="9"/>
        <v>9949988.6115000006</v>
      </c>
      <c r="H304" s="467">
        <f>F304*cnst_carbon!$C$11/10^6</f>
        <v>1.4650374530277595</v>
      </c>
      <c r="I304" s="467">
        <f>G304*carbon_intensity_n!$C$9</f>
        <v>0.55682446205857161</v>
      </c>
      <c r="J304" s="801">
        <f>H304*cnst_carbon!$C$13*1000000</f>
        <v>498944.41009410389</v>
      </c>
      <c r="K304" s="118">
        <f>I304*cnst_carbon!$C$13*1000000</f>
        <v>189636.41658007263</v>
      </c>
    </row>
    <row r="305" spans="1:11" ht="12">
      <c r="A305" s="27" t="s">
        <v>2807</v>
      </c>
      <c r="B305" s="1543" t="s">
        <v>8126</v>
      </c>
      <c r="C305" s="1135">
        <v>151889176</v>
      </c>
      <c r="D305" s="1138">
        <v>430251419</v>
      </c>
      <c r="E305" s="1191">
        <v>50</v>
      </c>
      <c r="F305" s="126">
        <f t="shared" si="8"/>
        <v>7594458.7999999998</v>
      </c>
      <c r="G305" s="126">
        <f t="shared" si="9"/>
        <v>21512570.949999999</v>
      </c>
      <c r="H305" s="467">
        <f>F305*cnst_carbon!$C$11/10^6</f>
        <v>0.43013616624948936</v>
      </c>
      <c r="I305" s="467">
        <f>G305*carbon_intensity_n!$C$9</f>
        <v>1.2038934127910286</v>
      </c>
      <c r="J305" s="801">
        <f>H305*cnst_carbon!$C$13*1000000</f>
        <v>146490.47728162372</v>
      </c>
      <c r="K305" s="118">
        <f>I305*cnst_carbon!$C$13*1000000</f>
        <v>410007.18952255737</v>
      </c>
    </row>
    <row r="306" spans="1:11" ht="12">
      <c r="A306" s="27" t="s">
        <v>4483</v>
      </c>
      <c r="B306" s="1543" t="s">
        <v>8127</v>
      </c>
      <c r="C306" s="1135">
        <v>835849724</v>
      </c>
      <c r="D306" s="1138">
        <v>963180242</v>
      </c>
      <c r="E306" s="1191">
        <v>20</v>
      </c>
      <c r="F306" s="126">
        <f t="shared" si="8"/>
        <v>16716994.48</v>
      </c>
      <c r="G306" s="126">
        <f t="shared" si="9"/>
        <v>19263604.84</v>
      </c>
      <c r="H306" s="467">
        <f>F306*cnst_carbon!$C$11/10^6</f>
        <v>0.94681979403734162</v>
      </c>
      <c r="I306" s="467">
        <f>G306*carbon_intensity_n!$C$9</f>
        <v>1.0780360481965257</v>
      </c>
      <c r="J306" s="801">
        <f>H306*cnst_carbon!$C$13*1000000</f>
        <v>322456.22296212462</v>
      </c>
      <c r="K306" s="118">
        <f>I306*cnst_carbon!$C$13*1000000</f>
        <v>367144.23854214104</v>
      </c>
    </row>
    <row r="307" spans="1:11" ht="12">
      <c r="A307" s="27" t="s">
        <v>3050</v>
      </c>
      <c r="B307" s="1543" t="s">
        <v>8128</v>
      </c>
      <c r="C307" s="1135">
        <v>134527684</v>
      </c>
      <c r="D307" s="1138">
        <v>414398915</v>
      </c>
      <c r="E307" s="1191">
        <v>40</v>
      </c>
      <c r="F307" s="126">
        <f t="shared" si="8"/>
        <v>5381107.3600000003</v>
      </c>
      <c r="G307" s="126">
        <f t="shared" si="9"/>
        <v>16575956.6</v>
      </c>
      <c r="H307" s="467">
        <f>F307*cnst_carbon!$C$11/10^6</f>
        <v>0.30477601511345498</v>
      </c>
      <c r="I307" s="467">
        <f>G307*carbon_intensity_n!$C$9</f>
        <v>0.92762901318635638</v>
      </c>
      <c r="J307" s="801">
        <f>H307*cnst_carbon!$C$13*1000000</f>
        <v>103796.86113644573</v>
      </c>
      <c r="K307" s="118">
        <f>I307*cnst_carbon!$C$13*1000000</f>
        <v>315920.46320311551</v>
      </c>
    </row>
    <row r="308" spans="1:11" ht="12">
      <c r="A308" s="27" t="s">
        <v>3051</v>
      </c>
      <c r="B308" s="1543" t="s">
        <v>8129</v>
      </c>
      <c r="C308" s="1135">
        <v>466665415</v>
      </c>
      <c r="D308" s="1138">
        <v>1290020947</v>
      </c>
      <c r="E308" s="1191">
        <v>40</v>
      </c>
      <c r="F308" s="126">
        <f t="shared" si="8"/>
        <v>18666616.600000001</v>
      </c>
      <c r="G308" s="126">
        <f t="shared" si="9"/>
        <v>51600837.880000003</v>
      </c>
      <c r="H308" s="467">
        <f>F308*cnst_carbon!$C$11/10^6</f>
        <v>1.0572428019720219</v>
      </c>
      <c r="I308" s="467">
        <f>G308*carbon_intensity_n!$C$9</f>
        <v>2.8877026814979452</v>
      </c>
      <c r="J308" s="801">
        <f>H308*cnst_carbon!$C$13*1000000</f>
        <v>360062.73086465109</v>
      </c>
      <c r="K308" s="118">
        <f>I308*cnst_carbon!$C$13*1000000</f>
        <v>983458.2098699793</v>
      </c>
    </row>
    <row r="309" spans="1:11" ht="12">
      <c r="A309" s="27" t="s">
        <v>362</v>
      </c>
      <c r="B309" s="1543" t="s">
        <v>8130</v>
      </c>
      <c r="C309" s="1135">
        <v>2348562255</v>
      </c>
      <c r="D309" s="1138">
        <v>3196852122</v>
      </c>
      <c r="E309" s="1191">
        <v>50</v>
      </c>
      <c r="F309" s="126">
        <f t="shared" si="8"/>
        <v>117428112.75</v>
      </c>
      <c r="G309" s="126">
        <f t="shared" si="9"/>
        <v>159842606.09999999</v>
      </c>
      <c r="H309" s="467">
        <f>F309*cnst_carbon!$C$11/10^6</f>
        <v>6.6509121398088009</v>
      </c>
      <c r="I309" s="467">
        <f>G309*carbon_intensity_n!$C$9</f>
        <v>8.9451633193633278</v>
      </c>
      <c r="J309" s="801">
        <f>H309*cnst_carbon!$C$13*1000000</f>
        <v>2265085.7336967611</v>
      </c>
      <c r="K309" s="118">
        <f>I309*cnst_carbon!$C$13*1000000</f>
        <v>3046433.5408977317</v>
      </c>
    </row>
    <row r="310" spans="1:11" ht="12">
      <c r="A310" s="27" t="s">
        <v>363</v>
      </c>
      <c r="B310" s="1543" t="s">
        <v>8131</v>
      </c>
      <c r="C310" s="1135">
        <v>1517420</v>
      </c>
      <c r="D310" s="1138">
        <v>3276279</v>
      </c>
      <c r="E310" s="1191">
        <v>35</v>
      </c>
      <c r="F310" s="126">
        <f t="shared" si="8"/>
        <v>53109.7</v>
      </c>
      <c r="G310" s="126">
        <f t="shared" si="9"/>
        <v>114669.765</v>
      </c>
      <c r="H310" s="467">
        <f>F310*cnst_carbon!$C$11/10^6</f>
        <v>3.0080356415470317E-3</v>
      </c>
      <c r="I310" s="467">
        <f>G310*carbon_intensity_n!$C$9</f>
        <v>6.4171862605661859E-3</v>
      </c>
      <c r="J310" s="801">
        <f>H310*cnst_carbon!$C$13*1000000</f>
        <v>1024.4397271973942</v>
      </c>
      <c r="K310" s="118">
        <f>I310*cnst_carbon!$C$13*1000000</f>
        <v>2185.4862526722832</v>
      </c>
    </row>
    <row r="311" spans="1:11" ht="12">
      <c r="A311" s="27" t="s">
        <v>364</v>
      </c>
      <c r="B311" s="1543" t="s">
        <v>8132</v>
      </c>
      <c r="C311" s="1135">
        <v>379378.86831440299</v>
      </c>
      <c r="D311" s="1138">
        <v>128944.679964469</v>
      </c>
      <c r="E311" s="1191">
        <v>35</v>
      </c>
      <c r="F311" s="126">
        <f t="shared" si="8"/>
        <v>13278.260391004103</v>
      </c>
      <c r="G311" s="126">
        <f t="shared" si="9"/>
        <v>4513.0637987564151</v>
      </c>
      <c r="H311" s="467">
        <f>F311*cnst_carbon!$C$11/10^6</f>
        <v>7.5205622539540945E-4</v>
      </c>
      <c r="I311" s="467">
        <f>G311*carbon_intensity_n!$C$9</f>
        <v>2.5256152746487538E-4</v>
      </c>
      <c r="J311" s="801">
        <f>H311*cnst_carbon!$C$13*1000000</f>
        <v>256.12604576219053</v>
      </c>
      <c r="K311" s="118">
        <f>I311*cnst_carbon!$C$13*1000000</f>
        <v>86.014294087156259</v>
      </c>
    </row>
    <row r="312" spans="1:11" ht="12">
      <c r="A312" s="27" t="s">
        <v>513</v>
      </c>
      <c r="B312" s="1543" t="s">
        <v>8133</v>
      </c>
      <c r="C312" s="1135">
        <v>23808744</v>
      </c>
      <c r="D312" s="1138">
        <v>273661403</v>
      </c>
      <c r="E312" s="1191">
        <v>35</v>
      </c>
      <c r="F312" s="126">
        <f t="shared" si="8"/>
        <v>833306.04</v>
      </c>
      <c r="G312" s="126">
        <f t="shared" si="9"/>
        <v>9578149.1050000004</v>
      </c>
      <c r="H312" s="467">
        <f>F312*cnst_carbon!$C$11/10^6</f>
        <v>4.7196920122621985E-2</v>
      </c>
      <c r="I312" s="467">
        <f>G312*carbon_intensity_n!$C$9</f>
        <v>0.53601546003220912</v>
      </c>
      <c r="J312" s="801">
        <f>H312*cnst_carbon!$C$13*1000000</f>
        <v>16073.745705389805</v>
      </c>
      <c r="K312" s="118">
        <f>I312*cnst_carbon!$C$13*1000000</f>
        <v>182549.54298565828</v>
      </c>
    </row>
    <row r="313" spans="1:11" ht="12">
      <c r="A313" s="27" t="s">
        <v>5503</v>
      </c>
      <c r="B313" s="1543" t="s">
        <v>8134</v>
      </c>
      <c r="C313" s="1135">
        <v>2490476</v>
      </c>
      <c r="D313" s="1138">
        <v>5284314</v>
      </c>
      <c r="E313" s="1191">
        <v>35</v>
      </c>
      <c r="F313" s="126">
        <f t="shared" si="8"/>
        <v>87166.66</v>
      </c>
      <c r="G313" s="126">
        <f t="shared" si="9"/>
        <v>184950.99</v>
      </c>
      <c r="H313" s="467">
        <f>F313*cnst_carbon!$C$11/10^6</f>
        <v>4.9369591625373901E-3</v>
      </c>
      <c r="I313" s="467">
        <f>G313*carbon_intensity_n!$C$9</f>
        <v>1.0350286772682528E-2</v>
      </c>
      <c r="J313" s="801">
        <f>H313*cnst_carbon!$C$13*1000000</f>
        <v>1681.3687403827932</v>
      </c>
      <c r="K313" s="118">
        <f>I313*cnst_carbon!$C$13*1000000</f>
        <v>3524.9731789642096</v>
      </c>
    </row>
    <row r="314" spans="1:11" ht="12">
      <c r="A314" s="27" t="s">
        <v>830</v>
      </c>
      <c r="B314" s="1543" t="s">
        <v>8135</v>
      </c>
      <c r="C314" s="1135">
        <v>18106.206950835</v>
      </c>
      <c r="D314" s="1138">
        <v>41812.453125</v>
      </c>
      <c r="E314" s="1191">
        <v>35</v>
      </c>
      <c r="F314" s="126">
        <f t="shared" si="8"/>
        <v>633.71724327922493</v>
      </c>
      <c r="G314" s="126">
        <f t="shared" si="9"/>
        <v>1463.4358593750001</v>
      </c>
      <c r="H314" s="467">
        <f>F314*cnst_carbon!$C$11/10^6</f>
        <v>3.5892578087370855E-5</v>
      </c>
      <c r="I314" s="467">
        <f>G314*carbon_intensity_n!$C$9</f>
        <v>8.1897268124698082E-5</v>
      </c>
      <c r="J314" s="801">
        <f>H314*cnst_carbon!$C$13*1000000</f>
        <v>12.223852136714273</v>
      </c>
      <c r="K314" s="118">
        <f>I314*cnst_carbon!$C$13*1000000</f>
        <v>27.891562804996692</v>
      </c>
    </row>
    <row r="315" spans="1:11" ht="12">
      <c r="A315" s="27" t="s">
        <v>831</v>
      </c>
      <c r="B315" s="1543" t="s">
        <v>8136</v>
      </c>
      <c r="C315" s="1135">
        <v>16349076</v>
      </c>
      <c r="D315" s="1138">
        <v>1926487</v>
      </c>
      <c r="E315" s="1191">
        <v>50</v>
      </c>
      <c r="F315" s="126">
        <f t="shared" si="8"/>
        <v>817453.8</v>
      </c>
      <c r="G315" s="126">
        <f t="shared" si="9"/>
        <v>96324.35</v>
      </c>
      <c r="H315" s="467">
        <f>F315*cnst_carbon!$C$11/10^6</f>
        <v>4.629907843045733E-2</v>
      </c>
      <c r="I315" s="467">
        <f>G315*carbon_intensity_n!$C$9</f>
        <v>5.3905342474362666E-3</v>
      </c>
      <c r="J315" s="801">
        <f>H315*cnst_carbon!$C$13*1000000</f>
        <v>15767.969841073731</v>
      </c>
      <c r="K315" s="118">
        <f>I315*cnst_carbon!$C$13*1000000</f>
        <v>1835.8417558681965</v>
      </c>
    </row>
    <row r="316" spans="1:11" ht="12">
      <c r="A316" s="27" t="s">
        <v>832</v>
      </c>
      <c r="B316" s="1543" t="s">
        <v>8137</v>
      </c>
      <c r="C316" s="1135">
        <v>27490172</v>
      </c>
      <c r="D316" s="1138">
        <v>13398298</v>
      </c>
      <c r="E316" s="1191">
        <v>50</v>
      </c>
      <c r="F316" s="126">
        <f t="shared" si="8"/>
        <v>1374508.6</v>
      </c>
      <c r="G316" s="126">
        <f t="shared" si="9"/>
        <v>669914.9</v>
      </c>
      <c r="H316" s="467">
        <f>F316*cnst_carbon!$C$11/10^6</f>
        <v>7.784963685377462E-2</v>
      </c>
      <c r="I316" s="467">
        <f>G316*carbon_intensity_n!$C$9</f>
        <v>3.7489993042442972E-2</v>
      </c>
      <c r="J316" s="801">
        <f>H316*cnst_carbon!$C$13*1000000</f>
        <v>26513.070403607489</v>
      </c>
      <c r="K316" s="118">
        <f>I316*cnst_carbon!$C$13*1000000</f>
        <v>12767.880045889407</v>
      </c>
    </row>
    <row r="317" spans="1:11" ht="12">
      <c r="A317" s="27" t="s">
        <v>3100</v>
      </c>
      <c r="B317" s="1543" t="s">
        <v>8138</v>
      </c>
      <c r="C317" s="1135">
        <v>3686598</v>
      </c>
      <c r="D317" s="1138">
        <v>4659279</v>
      </c>
      <c r="E317" s="1191">
        <v>35</v>
      </c>
      <c r="F317" s="126">
        <f t="shared" si="8"/>
        <v>129030.93</v>
      </c>
      <c r="G317" s="126">
        <f t="shared" si="9"/>
        <v>163074.76500000001</v>
      </c>
      <c r="H317" s="467">
        <f>F317*cnst_carbon!$C$11/10^6</f>
        <v>7.3080743499202624E-3</v>
      </c>
      <c r="I317" s="467">
        <f>G317*carbon_intensity_n!$C$9</f>
        <v>9.126042435013795E-3</v>
      </c>
      <c r="J317" s="801">
        <f>H317*cnst_carbon!$C$13*1000000</f>
        <v>2488.8939445944166</v>
      </c>
      <c r="K317" s="118">
        <f>I317*cnst_carbon!$C$13*1000000</f>
        <v>3108.035122120144</v>
      </c>
    </row>
    <row r="318" spans="1:11" ht="12">
      <c r="A318" s="27" t="s">
        <v>3313</v>
      </c>
      <c r="B318" s="1543" t="s">
        <v>8139</v>
      </c>
      <c r="C318" s="1135">
        <v>446624</v>
      </c>
      <c r="D318" s="1138">
        <v>739061</v>
      </c>
      <c r="E318" s="1191">
        <v>35</v>
      </c>
      <c r="F318" s="126">
        <f t="shared" si="8"/>
        <v>15631.84</v>
      </c>
      <c r="G318" s="126">
        <f t="shared" si="9"/>
        <v>25867.134999999998</v>
      </c>
      <c r="H318" s="467">
        <f>F318*cnst_carbon!$C$11/10^6</f>
        <v>8.8535864188576789E-4</v>
      </c>
      <c r="I318" s="467">
        <f>G318*carbon_intensity_n!$C$9</f>
        <v>1.4475849263509931E-3</v>
      </c>
      <c r="J318" s="801">
        <f>H318*cnst_carbon!$C$13*1000000</f>
        <v>301.52454081256946</v>
      </c>
      <c r="K318" s="118">
        <f>I318*cnst_carbon!$C$13*1000000</f>
        <v>493.00064353073418</v>
      </c>
    </row>
    <row r="319" spans="1:11" ht="12">
      <c r="A319" s="27" t="s">
        <v>3314</v>
      </c>
      <c r="B319" s="1543" t="s">
        <v>8140</v>
      </c>
      <c r="C319" s="1135">
        <v>392733321</v>
      </c>
      <c r="D319" s="1138">
        <v>393524628</v>
      </c>
      <c r="E319" s="1191">
        <v>91</v>
      </c>
      <c r="F319" s="126">
        <f t="shared" si="8"/>
        <v>35738732.211000003</v>
      </c>
      <c r="G319" s="126">
        <f t="shared" si="9"/>
        <v>35810741.148000002</v>
      </c>
      <c r="H319" s="467">
        <f>F319*cnst_carbon!$C$11/10^6</f>
        <v>2.0241760031480687</v>
      </c>
      <c r="I319" s="467">
        <f>G319*carbon_intensity_n!$C$9</f>
        <v>2.0040522109349204</v>
      </c>
      <c r="J319" s="801">
        <f>H319*cnst_carbon!$C$13*1000000</f>
        <v>689368.93028236984</v>
      </c>
      <c r="K319" s="118">
        <f>I319*cnst_carbon!$C$13*1000000</f>
        <v>682515.41700604034</v>
      </c>
    </row>
    <row r="320" spans="1:11" ht="12">
      <c r="A320" s="27" t="s">
        <v>3315</v>
      </c>
      <c r="B320" s="1543" t="s">
        <v>8141</v>
      </c>
      <c r="C320" s="1135">
        <v>2728793555</v>
      </c>
      <c r="D320" s="1138">
        <v>1108091830</v>
      </c>
      <c r="E320" s="1191">
        <v>91</v>
      </c>
      <c r="F320" s="126">
        <f t="shared" si="8"/>
        <v>248320213.505</v>
      </c>
      <c r="G320" s="126">
        <f t="shared" si="9"/>
        <v>100836356.53</v>
      </c>
      <c r="H320" s="467">
        <f>F320*cnst_carbon!$C$11/10^6</f>
        <v>14.064399775174945</v>
      </c>
      <c r="I320" s="467">
        <f>G320*carbon_intensity_n!$C$9</f>
        <v>5.6430366076870344</v>
      </c>
      <c r="J320" s="801">
        <f>H320*cnst_carbon!$C$13*1000000</f>
        <v>4789880.0366159286</v>
      </c>
      <c r="K320" s="118">
        <f>I320*cnst_carbon!$C$13*1000000</f>
        <v>1921835.8995143664</v>
      </c>
    </row>
    <row r="321" spans="1:11" ht="12">
      <c r="A321" s="27" t="s">
        <v>3316</v>
      </c>
      <c r="B321" s="1543" t="s">
        <v>8142</v>
      </c>
      <c r="C321" s="1135">
        <v>2514005</v>
      </c>
      <c r="D321" s="1138">
        <v>4846022</v>
      </c>
      <c r="E321" s="1191">
        <v>91</v>
      </c>
      <c r="F321" s="126">
        <f t="shared" si="8"/>
        <v>228774.45499999999</v>
      </c>
      <c r="G321" s="126">
        <f t="shared" si="9"/>
        <v>440988.00199999998</v>
      </c>
      <c r="H321" s="467">
        <f>F321*cnst_carbon!$C$11/10^6</f>
        <v>1.2957363994063187E-2</v>
      </c>
      <c r="I321" s="467">
        <f>G321*carbon_intensity_n!$C$9</f>
        <v>2.4678712365974881E-2</v>
      </c>
      <c r="J321" s="801">
        <f>H321*cnst_carbon!$C$13*1000000</f>
        <v>4412.8594262429015</v>
      </c>
      <c r="K321" s="118">
        <f>I321*cnst_carbon!$C$13*1000000</f>
        <v>8404.7718765658701</v>
      </c>
    </row>
    <row r="322" spans="1:11" ht="12">
      <c r="A322" s="27" t="s">
        <v>4588</v>
      </c>
      <c r="B322" s="1543" t="s">
        <v>8143</v>
      </c>
      <c r="C322" s="1135">
        <v>80125381</v>
      </c>
      <c r="D322" s="1138">
        <v>79146147</v>
      </c>
      <c r="E322" s="1191">
        <v>90</v>
      </c>
      <c r="F322" s="126">
        <f t="shared" si="8"/>
        <v>7211284.29</v>
      </c>
      <c r="G322" s="126">
        <f t="shared" si="9"/>
        <v>7123153.2300000004</v>
      </c>
      <c r="H322" s="467">
        <f>F322*cnst_carbon!$C$11/10^6</f>
        <v>0.40843386736600251</v>
      </c>
      <c r="I322" s="467">
        <f>G322*carbon_intensity_n!$C$9</f>
        <v>0.39862819148067191</v>
      </c>
      <c r="J322" s="801">
        <f>H322*cnst_carbon!$C$13*1000000</f>
        <v>139099.37564683016</v>
      </c>
      <c r="K322" s="118">
        <f>I322*cnst_carbon!$C$13*1000000</f>
        <v>135759.87933561363</v>
      </c>
    </row>
    <row r="323" spans="1:11" ht="12">
      <c r="A323" s="27" t="s">
        <v>4589</v>
      </c>
      <c r="B323" s="1543" t="s">
        <v>8144</v>
      </c>
      <c r="C323" s="1135">
        <v>530192248.3125</v>
      </c>
      <c r="D323" s="1138">
        <v>282525706</v>
      </c>
      <c r="E323" s="1191">
        <v>91</v>
      </c>
      <c r="F323" s="126">
        <f t="shared" si="8"/>
        <v>48247494.596437499</v>
      </c>
      <c r="G323" s="126">
        <f t="shared" si="9"/>
        <v>25709839.245999999</v>
      </c>
      <c r="H323" s="467">
        <f>F323*cnst_carbon!$C$11/10^6</f>
        <v>2.7326492780307898</v>
      </c>
      <c r="I323" s="467">
        <f>G323*carbon_intensity_n!$C$9</f>
        <v>1.438782290787781</v>
      </c>
      <c r="J323" s="801">
        <f>H323*cnst_carbon!$C$13*1000000</f>
        <v>930652.03159370495</v>
      </c>
      <c r="K323" s="118">
        <f>I323*cnst_carbon!$C$13*1000000</f>
        <v>490002.75033743499</v>
      </c>
    </row>
    <row r="324" spans="1:11" ht="12">
      <c r="A324" s="27" t="s">
        <v>4590</v>
      </c>
      <c r="B324" s="1543" t="s">
        <v>8145</v>
      </c>
      <c r="C324" s="1135">
        <v>131546534</v>
      </c>
      <c r="D324" s="1138">
        <v>96358912</v>
      </c>
      <c r="E324" s="1191">
        <v>9.5</v>
      </c>
      <c r="F324" s="126">
        <f t="shared" si="8"/>
        <v>1249692.0730000001</v>
      </c>
      <c r="G324" s="126">
        <f t="shared" si="9"/>
        <v>915409.66399999999</v>
      </c>
      <c r="H324" s="467">
        <f>F324*cnst_carbon!$C$11/10^6</f>
        <v>7.0780258531733295E-2</v>
      </c>
      <c r="I324" s="467">
        <f>G324*carbon_intensity_n!$C$9</f>
        <v>5.122844996333871E-2</v>
      </c>
      <c r="J324" s="801">
        <f>H324*cnst_carbon!$C$13*1000000</f>
        <v>24105.468612040106</v>
      </c>
      <c r="K324" s="118">
        <f>I324*cnst_carbon!$C$13*1000000</f>
        <v>17446.754480009215</v>
      </c>
    </row>
    <row r="325" spans="1:11" ht="12">
      <c r="A325" s="27" t="s">
        <v>2247</v>
      </c>
      <c r="B325" s="1543" t="s">
        <v>8146</v>
      </c>
      <c r="C325" s="1135">
        <v>1589159301</v>
      </c>
      <c r="D325" s="1138">
        <v>353637234</v>
      </c>
      <c r="E325" s="1191">
        <v>15</v>
      </c>
      <c r="F325" s="126">
        <f t="shared" si="8"/>
        <v>23837389.515000001</v>
      </c>
      <c r="G325" s="126">
        <f t="shared" si="9"/>
        <v>5304558.51</v>
      </c>
      <c r="H325" s="467">
        <f>F325*cnst_carbon!$C$11/10^6</f>
        <v>1.3501058613127079</v>
      </c>
      <c r="I325" s="467">
        <f>G325*carbon_intensity_n!$C$9</f>
        <v>0.29685540899766766</v>
      </c>
      <c r="J325" s="801">
        <f>H325*cnst_carbon!$C$13*1000000</f>
        <v>459802.42426232179</v>
      </c>
      <c r="K325" s="118">
        <f>I325*cnst_carbon!$C$13*1000000</f>
        <v>101099.35866791713</v>
      </c>
    </row>
    <row r="326" spans="1:11" ht="12">
      <c r="A326" s="27" t="s">
        <v>4751</v>
      </c>
      <c r="B326" s="1543" t="s">
        <v>8147</v>
      </c>
      <c r="C326" s="1135">
        <v>2649970864</v>
      </c>
      <c r="D326" s="1138">
        <v>258188349</v>
      </c>
      <c r="E326" s="1191">
        <v>9.5</v>
      </c>
      <c r="F326" s="126">
        <f t="shared" si="8"/>
        <v>25174723.208000001</v>
      </c>
      <c r="G326" s="126">
        <f t="shared" si="9"/>
        <v>2452789.3155</v>
      </c>
      <c r="H326" s="467">
        <f>F326*cnst_carbon!$C$11/10^6</f>
        <v>1.4258499798670534</v>
      </c>
      <c r="I326" s="467">
        <f>G326*carbon_intensity_n!$C$9</f>
        <v>0.13726378435928721</v>
      </c>
      <c r="J326" s="801">
        <f>H326*cnst_carbon!$C$13*1000000</f>
        <v>485598.4231783165</v>
      </c>
      <c r="K326" s="118">
        <f>I326*cnst_carbon!$C$13*1000000</f>
        <v>46747.608924869688</v>
      </c>
    </row>
    <row r="327" spans="1:11" ht="12">
      <c r="A327" s="27" t="s">
        <v>4752</v>
      </c>
      <c r="B327" s="1543" t="s">
        <v>8148</v>
      </c>
      <c r="C327" s="1135">
        <v>69797200</v>
      </c>
      <c r="D327" s="1138">
        <v>3549879202</v>
      </c>
      <c r="E327" s="1191">
        <v>9.5</v>
      </c>
      <c r="F327" s="126">
        <f t="shared" si="8"/>
        <v>663073.4</v>
      </c>
      <c r="G327" s="126">
        <f t="shared" si="9"/>
        <v>33723852.419</v>
      </c>
      <c r="H327" s="467">
        <f>F327*cnst_carbon!$C$11/10^6</f>
        <v>3.755525676405199E-2</v>
      </c>
      <c r="I327" s="467">
        <f>G327*carbon_intensity_n!$C$9</f>
        <v>1.8872650728513181</v>
      </c>
      <c r="J327" s="801">
        <f>H327*cnst_carbon!$C$13*1000000</f>
        <v>12790.106760306475</v>
      </c>
      <c r="K327" s="118">
        <f>I327*cnst_carbon!$C$13*1000000</f>
        <v>642741.49204782455</v>
      </c>
    </row>
    <row r="328" spans="1:11" ht="12">
      <c r="A328" s="27" t="s">
        <v>4753</v>
      </c>
      <c r="B328" s="1543" t="s">
        <v>8149</v>
      </c>
      <c r="C328" s="1135">
        <v>29819043</v>
      </c>
      <c r="D328" s="1138">
        <v>41764595</v>
      </c>
      <c r="E328" s="1191">
        <v>24.8</v>
      </c>
      <c r="F328" s="126">
        <f t="shared" ref="F328:F391" si="10">C328*$E328/1000</f>
        <v>739512.26639999996</v>
      </c>
      <c r="G328" s="126">
        <f t="shared" ref="G328:G391" si="11">D328*E328/1000</f>
        <v>1035761.956</v>
      </c>
      <c r="H328" s="467">
        <f>F328*cnst_carbon!$C$11/10^6</f>
        <v>4.1884613445235495E-2</v>
      </c>
      <c r="I328" s="467">
        <f>G328*carbon_intensity_n!$C$9</f>
        <v>5.7963643627074304E-2</v>
      </c>
      <c r="J328" s="801">
        <f>H328*cnst_carbon!$C$13*1000000</f>
        <v>14264.545731757904</v>
      </c>
      <c r="K328" s="118">
        <f>I328*cnst_carbon!$C$13*1000000</f>
        <v>19740.543776983883</v>
      </c>
    </row>
    <row r="329" spans="1:11" ht="12">
      <c r="A329" s="27" t="s">
        <v>4754</v>
      </c>
      <c r="B329" s="1543" t="s">
        <v>8150</v>
      </c>
      <c r="C329" s="1135">
        <v>34519691</v>
      </c>
      <c r="D329" s="1138">
        <v>16838671</v>
      </c>
      <c r="E329" s="1191">
        <v>30</v>
      </c>
      <c r="F329" s="126">
        <f t="shared" si="10"/>
        <v>1035590.73</v>
      </c>
      <c r="G329" s="126">
        <f t="shared" si="11"/>
        <v>505160.13</v>
      </c>
      <c r="H329" s="467">
        <f>F329*cnst_carbon!$C$11/10^6</f>
        <v>5.8653952590500595E-2</v>
      </c>
      <c r="I329" s="467">
        <f>G329*carbon_intensity_n!$C$9</f>
        <v>2.8269933627419818E-2</v>
      </c>
      <c r="J329" s="801">
        <f>H329*cnst_carbon!$C$13*1000000</f>
        <v>19975.640700839027</v>
      </c>
      <c r="K329" s="118">
        <f>I329*cnst_carbon!$C$13*1000000</f>
        <v>9627.8257787756284</v>
      </c>
    </row>
    <row r="330" spans="1:11" ht="12">
      <c r="A330" s="27" t="s">
        <v>1731</v>
      </c>
      <c r="B330" s="1543" t="s">
        <v>8151</v>
      </c>
      <c r="C330" s="1135">
        <v>749621531</v>
      </c>
      <c r="D330" s="1138">
        <v>511790836</v>
      </c>
      <c r="E330" s="1191">
        <v>30</v>
      </c>
      <c r="F330" s="126">
        <f t="shared" si="10"/>
        <v>22488645.93</v>
      </c>
      <c r="G330" s="126">
        <f t="shared" si="11"/>
        <v>15353725.08</v>
      </c>
      <c r="H330" s="467">
        <f>F330*cnst_carbon!$C$11/10^6</f>
        <v>1.2737155074792665</v>
      </c>
      <c r="I330" s="467">
        <f>G330*carbon_intensity_n!$C$9</f>
        <v>0.85923009986011967</v>
      </c>
      <c r="J330" s="801">
        <f>H330*cnst_carbon!$C$13*1000000</f>
        <v>433786.33849500172</v>
      </c>
      <c r="K330" s="118">
        <f>I330*cnst_carbon!$C$13*1000000</f>
        <v>292626.00380884751</v>
      </c>
    </row>
    <row r="331" spans="1:11" ht="12">
      <c r="A331" s="27" t="s">
        <v>1732</v>
      </c>
      <c r="B331" s="1543" t="s">
        <v>8152</v>
      </c>
      <c r="C331" s="1135">
        <v>206204126</v>
      </c>
      <c r="D331" s="1138">
        <v>20415800.5953376</v>
      </c>
      <c r="E331" s="1191">
        <v>9.5</v>
      </c>
      <c r="F331" s="126">
        <f t="shared" si="10"/>
        <v>1958939.1969999999</v>
      </c>
      <c r="G331" s="126">
        <f t="shared" si="11"/>
        <v>193950.10565570719</v>
      </c>
      <c r="H331" s="467">
        <f>F331*cnst_carbon!$C$11/10^6</f>
        <v>0.11095071002471343</v>
      </c>
      <c r="I331" s="467">
        <f>G331*carbon_intensity_n!$C$9</f>
        <v>1.0853898176639362E-2</v>
      </c>
      <c r="J331" s="801">
        <f>H331*cnst_carbon!$C$13*1000000</f>
        <v>37786.22618035807</v>
      </c>
      <c r="K331" s="118">
        <f>I331*cnst_carbon!$C$13*1000000</f>
        <v>3696.4869476699882</v>
      </c>
    </row>
    <row r="332" spans="1:11" ht="12">
      <c r="A332" s="27" t="s">
        <v>1733</v>
      </c>
      <c r="B332" s="1543" t="s">
        <v>8153</v>
      </c>
      <c r="C332" s="1135">
        <v>614484260</v>
      </c>
      <c r="D332" s="1138">
        <v>130865643.64317399</v>
      </c>
      <c r="E332" s="1191">
        <v>9.5</v>
      </c>
      <c r="F332" s="126">
        <f t="shared" si="10"/>
        <v>5837600.4699999997</v>
      </c>
      <c r="G332" s="126">
        <f t="shared" si="11"/>
        <v>1243223.614610153</v>
      </c>
      <c r="H332" s="467">
        <f>F332*cnst_carbon!$C$11/10^6</f>
        <v>0.33063094453314001</v>
      </c>
      <c r="I332" s="467">
        <f>G332*carbon_intensity_n!$C$9</f>
        <v>6.957367967473993E-2</v>
      </c>
      <c r="J332" s="801">
        <f>H332*cnst_carbon!$C$13*1000000</f>
        <v>112602.21452906307</v>
      </c>
      <c r="K332" s="118">
        <f>I332*cnst_carbon!$C$13*1000000</f>
        <v>23694.546847009184</v>
      </c>
    </row>
    <row r="333" spans="1:11" ht="12">
      <c r="A333" s="27" t="s">
        <v>1734</v>
      </c>
      <c r="B333" s="1543" t="s">
        <v>8154</v>
      </c>
      <c r="C333" s="1135">
        <v>30050239</v>
      </c>
      <c r="D333" s="1138">
        <v>2809246</v>
      </c>
      <c r="E333" s="1191">
        <v>15</v>
      </c>
      <c r="F333" s="126">
        <f t="shared" si="10"/>
        <v>450753.58500000002</v>
      </c>
      <c r="G333" s="126">
        <f t="shared" si="11"/>
        <v>42138.69</v>
      </c>
      <c r="H333" s="467">
        <f>F333*cnst_carbon!$C$11/10^6</f>
        <v>2.5529853289231529E-2</v>
      </c>
      <c r="I333" s="467">
        <f>G333*carbon_intensity_n!$C$9</f>
        <v>2.3581789193189481E-3</v>
      </c>
      <c r="J333" s="801">
        <f>H333*cnst_carbon!$C$13*1000000</f>
        <v>8694.6429682458675</v>
      </c>
      <c r="K333" s="118">
        <f>I333*cnst_carbon!$C$13*1000000</f>
        <v>803.11952937741717</v>
      </c>
    </row>
    <row r="334" spans="1:11" ht="12">
      <c r="A334" s="27" t="s">
        <v>1735</v>
      </c>
      <c r="B334" s="1543" t="s">
        <v>8155</v>
      </c>
      <c r="C334" s="1135">
        <v>2115739000</v>
      </c>
      <c r="D334" s="1138">
        <v>798026000</v>
      </c>
      <c r="E334" s="1191">
        <v>29.2</v>
      </c>
      <c r="F334" s="126">
        <f t="shared" si="10"/>
        <v>61779578.799999997</v>
      </c>
      <c r="G334" s="126">
        <f t="shared" si="11"/>
        <v>23302359.199999999</v>
      </c>
      <c r="H334" s="467">
        <f>F334*cnst_carbon!$C$11/10^6</f>
        <v>3.4990816169205141</v>
      </c>
      <c r="I334" s="467">
        <f>G334*carbon_intensity_n!$C$9</f>
        <v>1.3040541183372796</v>
      </c>
      <c r="J334" s="801">
        <f>H334*cnst_carbon!$C$13*1000000</f>
        <v>1191674.1170114297</v>
      </c>
      <c r="K334" s="118">
        <f>I334*cnst_carbon!$C$13*1000000</f>
        <v>444118.68888395734</v>
      </c>
    </row>
    <row r="335" spans="1:11" ht="12">
      <c r="A335" s="27" t="s">
        <v>1736</v>
      </c>
      <c r="B335" s="1543" t="s">
        <v>8156</v>
      </c>
      <c r="C335" s="1135">
        <v>879081788</v>
      </c>
      <c r="D335" s="1138">
        <v>352140913</v>
      </c>
      <c r="E335" s="1191">
        <v>28.2</v>
      </c>
      <c r="F335" s="126">
        <f t="shared" si="10"/>
        <v>24790106.421599999</v>
      </c>
      <c r="G335" s="126">
        <f t="shared" si="11"/>
        <v>9930373.7466000002</v>
      </c>
      <c r="H335" s="467">
        <f>F335*cnst_carbon!$C$11/10^6</f>
        <v>1.4040659931032704</v>
      </c>
      <c r="I335" s="467">
        <f>G335*carbon_intensity_n!$C$9</f>
        <v>0.55572676868195092</v>
      </c>
      <c r="J335" s="801">
        <f>H335*cnst_carbon!$C$13*1000000</f>
        <v>478179.50129144546</v>
      </c>
      <c r="K335" s="118">
        <f>I335*cnst_carbon!$C$13*1000000</f>
        <v>189262.57769074573</v>
      </c>
    </row>
    <row r="336" spans="1:11" ht="12">
      <c r="A336" s="27" t="s">
        <v>1737</v>
      </c>
      <c r="B336" s="1543" t="s">
        <v>8157</v>
      </c>
      <c r="C336" s="1135">
        <v>692334743</v>
      </c>
      <c r="D336" s="1138">
        <v>5155975300</v>
      </c>
      <c r="E336" s="1191">
        <v>24.8</v>
      </c>
      <c r="F336" s="126">
        <f t="shared" si="10"/>
        <v>17169901.626400001</v>
      </c>
      <c r="G336" s="126">
        <f t="shared" si="11"/>
        <v>127868187.44</v>
      </c>
      <c r="H336" s="467">
        <f>F336*cnst_carbon!$C$11/10^6</f>
        <v>0.97247162107990737</v>
      </c>
      <c r="I336" s="467">
        <f>G336*carbon_intensity_n!$C$9</f>
        <v>7.1558006210570824</v>
      </c>
      <c r="J336" s="801">
        <f>H336*cnst_carbon!$C$13*1000000</f>
        <v>331192.40624886443</v>
      </c>
      <c r="K336" s="118">
        <f>I336*cnst_carbon!$C$13*1000000</f>
        <v>2437034.4336560094</v>
      </c>
    </row>
    <row r="337" spans="1:11" ht="12">
      <c r="A337" s="27" t="s">
        <v>1738</v>
      </c>
      <c r="B337" s="1543" t="s">
        <v>8158</v>
      </c>
      <c r="C337" s="1135">
        <v>20964.747757957699</v>
      </c>
      <c r="D337" s="1138">
        <v>86853.146522896801</v>
      </c>
      <c r="E337" s="1191">
        <v>28.2</v>
      </c>
      <c r="F337" s="126">
        <f t="shared" si="10"/>
        <v>591.20588677440708</v>
      </c>
      <c r="G337" s="126">
        <f t="shared" si="11"/>
        <v>2449.2587319456898</v>
      </c>
      <c r="H337" s="467">
        <f>F337*cnst_carbon!$C$11/10^6</f>
        <v>3.3484813111537743E-5</v>
      </c>
      <c r="I337" s="467">
        <f>G337*carbon_intensity_n!$C$9</f>
        <v>1.3706620470717488E-4</v>
      </c>
      <c r="J337" s="801">
        <f>H337*cnst_carbon!$C$13*1000000</f>
        <v>11.403845198987518</v>
      </c>
      <c r="K337" s="118">
        <f>I337*cnst_carbon!$C$13*1000000</f>
        <v>46.68031968064863</v>
      </c>
    </row>
    <row r="338" spans="1:11" ht="12">
      <c r="A338" s="27" t="s">
        <v>1739</v>
      </c>
      <c r="B338" s="1543" t="s">
        <v>8159</v>
      </c>
      <c r="C338" s="1135">
        <v>1751823096</v>
      </c>
      <c r="D338" s="1138">
        <v>1951218029</v>
      </c>
      <c r="E338" s="1191">
        <v>24.8</v>
      </c>
      <c r="F338" s="126">
        <f t="shared" si="10"/>
        <v>43445212.7808</v>
      </c>
      <c r="G338" s="126">
        <f t="shared" si="11"/>
        <v>48390207.119200006</v>
      </c>
      <c r="H338" s="467">
        <f>F338*cnst_carbon!$C$11/10^6</f>
        <v>2.4606568762248902</v>
      </c>
      <c r="I338" s="467">
        <f>G338*carbon_intensity_n!$C$9</f>
        <v>2.7080283304956829</v>
      </c>
      <c r="J338" s="801">
        <f>H338*cnst_carbon!$C$13*1000000</f>
        <v>838020.2096640633</v>
      </c>
      <c r="K338" s="118">
        <f>I338*cnst_carbon!$C$13*1000000</f>
        <v>922266.93255171541</v>
      </c>
    </row>
    <row r="339" spans="1:11" ht="12">
      <c r="A339" s="27" t="s">
        <v>1740</v>
      </c>
      <c r="B339" s="1543" t="s">
        <v>8160</v>
      </c>
      <c r="C339" s="1135">
        <v>1099303741</v>
      </c>
      <c r="D339" s="1138">
        <v>449705751</v>
      </c>
      <c r="E339" s="1191">
        <v>24.78</v>
      </c>
      <c r="F339" s="126">
        <f t="shared" si="10"/>
        <v>27240746.701979998</v>
      </c>
      <c r="G339" s="126">
        <f t="shared" si="11"/>
        <v>11143708.509780001</v>
      </c>
      <c r="H339" s="467">
        <f>F339*cnst_carbon!$C$11/10^6</f>
        <v>1.542865747347671</v>
      </c>
      <c r="I339" s="467">
        <f>G339*carbon_intensity_n!$C$9</f>
        <v>0.62362779884230779</v>
      </c>
      <c r="J339" s="801">
        <f>H339*cnst_carbon!$C$13*1000000</f>
        <v>525450.21192041587</v>
      </c>
      <c r="K339" s="118">
        <f>I339*cnst_carbon!$C$13*1000000</f>
        <v>212387.47416907435</v>
      </c>
    </row>
    <row r="340" spans="1:11" ht="12">
      <c r="A340" s="27" t="s">
        <v>1741</v>
      </c>
      <c r="B340" s="1543" t="s">
        <v>8161</v>
      </c>
      <c r="C340" s="1135">
        <v>186597.046787876</v>
      </c>
      <c r="D340" s="1138">
        <v>737283.29809570301</v>
      </c>
      <c r="E340" s="1191">
        <v>28.2</v>
      </c>
      <c r="F340" s="126">
        <f t="shared" si="10"/>
        <v>5262.0367194181026</v>
      </c>
      <c r="G340" s="126">
        <f t="shared" si="11"/>
        <v>20791.389006298825</v>
      </c>
      <c r="H340" s="467">
        <f>F340*cnst_carbon!$C$11/10^6</f>
        <v>2.9803207322087814E-4</v>
      </c>
      <c r="I340" s="467">
        <f>G340*carbon_intensity_n!$C$9</f>
        <v>1.1635343969642535E-3</v>
      </c>
      <c r="J340" s="801">
        <f>H340*cnst_carbon!$C$13*1000000</f>
        <v>101.50009247544898</v>
      </c>
      <c r="K340" s="118">
        <f>I340*cnst_carbon!$C$13*1000000</f>
        <v>396.26221303608429</v>
      </c>
    </row>
    <row r="341" spans="1:11" ht="12">
      <c r="A341" s="27" t="s">
        <v>1742</v>
      </c>
      <c r="B341" s="1543" t="s">
        <v>8162</v>
      </c>
      <c r="C341" s="1135">
        <v>1635080266</v>
      </c>
      <c r="D341" s="1138">
        <v>3291323679</v>
      </c>
      <c r="E341" s="1191">
        <v>24.8</v>
      </c>
      <c r="F341" s="126">
        <f t="shared" si="10"/>
        <v>40549990.596799999</v>
      </c>
      <c r="G341" s="126">
        <f t="shared" si="11"/>
        <v>81624827.239199996</v>
      </c>
      <c r="H341" s="467">
        <f>F341*cnst_carbon!$C$11/10^6</f>
        <v>2.296676821363544</v>
      </c>
      <c r="I341" s="467">
        <f>G341*carbon_intensity_n!$C$9</f>
        <v>4.5679148281195374</v>
      </c>
      <c r="J341" s="801">
        <f>H341*cnst_carbon!$C$13*1000000</f>
        <v>782173.90241034504</v>
      </c>
      <c r="K341" s="118">
        <f>I341*cnst_carbon!$C$13*1000000</f>
        <v>1555684.1666852783</v>
      </c>
    </row>
    <row r="342" spans="1:11" ht="12">
      <c r="A342" s="27" t="s">
        <v>3474</v>
      </c>
      <c r="B342" s="1543" t="s">
        <v>8163</v>
      </c>
      <c r="C342" s="1135">
        <v>710584966</v>
      </c>
      <c r="D342" s="1138">
        <v>977198609</v>
      </c>
      <c r="E342" s="1191">
        <v>19.100000000000001</v>
      </c>
      <c r="F342" s="126">
        <f t="shared" si="10"/>
        <v>13572172.8506</v>
      </c>
      <c r="G342" s="126">
        <f t="shared" si="11"/>
        <v>18664493.431900002</v>
      </c>
      <c r="H342" s="467">
        <f>F342*cnst_carbon!$C$11/10^6</f>
        <v>0.76870288606114856</v>
      </c>
      <c r="I342" s="467">
        <f>G342*carbon_intensity_n!$C$9</f>
        <v>1.04450838293439</v>
      </c>
      <c r="J342" s="801">
        <f>H342*cnst_carbon!$C$13*1000000</f>
        <v>261795.36040581187</v>
      </c>
      <c r="K342" s="118">
        <f>I342*cnst_carbon!$C$13*1000000</f>
        <v>355725.79928553599</v>
      </c>
    </row>
    <row r="343" spans="1:11" ht="12">
      <c r="A343" s="27" t="s">
        <v>5352</v>
      </c>
      <c r="B343" s="1543" t="s">
        <v>8164</v>
      </c>
      <c r="C343" s="1135">
        <v>49596892</v>
      </c>
      <c r="D343" s="1138">
        <v>36746468</v>
      </c>
      <c r="E343" s="1191">
        <v>28.2</v>
      </c>
      <c r="F343" s="126">
        <f t="shared" si="10"/>
        <v>1398632.3543999998</v>
      </c>
      <c r="G343" s="126">
        <f t="shared" si="11"/>
        <v>1036250.3976</v>
      </c>
      <c r="H343" s="467">
        <f>F343*cnst_carbon!$C$11/10^6</f>
        <v>7.9215961895021808E-2</v>
      </c>
      <c r="I343" s="467">
        <f>G343*carbon_intensity_n!$C$9</f>
        <v>5.7990977952950086E-2</v>
      </c>
      <c r="J343" s="801">
        <f>H343*cnst_carbon!$C$13*1000000</f>
        <v>26978.396556391494</v>
      </c>
      <c r="K343" s="118">
        <f>I343*cnst_carbon!$C$13*1000000</f>
        <v>19749.852964998991</v>
      </c>
    </row>
    <row r="344" spans="1:11" ht="12">
      <c r="A344" s="27" t="s">
        <v>5353</v>
      </c>
      <c r="B344" s="1543" t="s">
        <v>8165</v>
      </c>
      <c r="C344" s="1135">
        <v>204299712</v>
      </c>
      <c r="D344" s="1138">
        <v>42063883</v>
      </c>
      <c r="E344" s="1191">
        <v>70.5</v>
      </c>
      <c r="F344" s="126">
        <f t="shared" si="10"/>
        <v>14403129.696</v>
      </c>
      <c r="G344" s="126">
        <f t="shared" si="11"/>
        <v>2965503.7514999998</v>
      </c>
      <c r="H344" s="467">
        <f>F344*cnst_carbon!$C$11/10^6</f>
        <v>0.81576675212611771</v>
      </c>
      <c r="I344" s="467">
        <f>G344*carbon_intensity_n!$C$9</f>
        <v>0.16595647448813799</v>
      </c>
      <c r="J344" s="801">
        <f>H344*cnst_carbon!$C$13*1000000</f>
        <v>277823.79219914501</v>
      </c>
      <c r="K344" s="118">
        <f>I344*cnst_carbon!$C$13*1000000</f>
        <v>56519.411905582368</v>
      </c>
    </row>
    <row r="345" spans="1:11" ht="12">
      <c r="A345" s="27" t="s">
        <v>5354</v>
      </c>
      <c r="B345" s="1543" t="s">
        <v>8166</v>
      </c>
      <c r="C345" s="1135">
        <v>988479378</v>
      </c>
      <c r="D345" s="1138">
        <v>965138737</v>
      </c>
      <c r="E345" s="1191">
        <v>40.85</v>
      </c>
      <c r="F345" s="126">
        <f t="shared" si="10"/>
        <v>40379382.591300003</v>
      </c>
      <c r="G345" s="126">
        <f t="shared" si="11"/>
        <v>39425917.406450003</v>
      </c>
      <c r="H345" s="467">
        <f>F345*cnst_carbon!$C$11/10^6</f>
        <v>2.2870138979940418</v>
      </c>
      <c r="I345" s="467">
        <f>G345*carbon_intensity_n!$C$9</f>
        <v>2.2063658671567712</v>
      </c>
      <c r="J345" s="801">
        <f>H345*cnst_carbon!$C$13*1000000</f>
        <v>778883.02299260942</v>
      </c>
      <c r="K345" s="118">
        <f>I345*cnst_carbon!$C$13*1000000</f>
        <v>751416.91003543395</v>
      </c>
    </row>
    <row r="346" spans="1:11" ht="12">
      <c r="A346" s="27" t="s">
        <v>5355</v>
      </c>
      <c r="B346" s="1543" t="s">
        <v>8167</v>
      </c>
      <c r="C346" s="1135">
        <v>130474</v>
      </c>
      <c r="D346" s="1138">
        <v>138154</v>
      </c>
      <c r="E346" s="1191">
        <v>70</v>
      </c>
      <c r="F346" s="126">
        <f t="shared" si="10"/>
        <v>9133.18</v>
      </c>
      <c r="G346" s="126">
        <f t="shared" si="11"/>
        <v>9670.7800000000007</v>
      </c>
      <c r="H346" s="467">
        <f>F346*cnst_carbon!$C$11/10^6</f>
        <v>5.1728650247816362E-4</v>
      </c>
      <c r="I346" s="467">
        <f>G346*carbon_intensity_n!$C$9</f>
        <v>5.4119929996331864E-4</v>
      </c>
      <c r="J346" s="801">
        <f>H346*cnst_carbon!$C$13*1000000</f>
        <v>176.17106531659374</v>
      </c>
      <c r="K346" s="118">
        <f>I346*cnst_carbon!$C$13*1000000</f>
        <v>184.31499133723753</v>
      </c>
    </row>
    <row r="347" spans="1:11" ht="12">
      <c r="A347" s="27" t="s">
        <v>3725</v>
      </c>
      <c r="B347" s="1543" t="s">
        <v>8168</v>
      </c>
      <c r="C347" s="1135">
        <v>6342458</v>
      </c>
      <c r="D347" s="1138">
        <v>1240078</v>
      </c>
      <c r="E347" s="1191">
        <v>106</v>
      </c>
      <c r="F347" s="126">
        <f t="shared" si="10"/>
        <v>672300.54799999995</v>
      </c>
      <c r="G347" s="126">
        <f t="shared" si="11"/>
        <v>131448.26800000001</v>
      </c>
      <c r="H347" s="467">
        <f>F347*cnst_carbon!$C$11/10^6</f>
        <v>3.8077865441070113E-2</v>
      </c>
      <c r="I347" s="467">
        <f>G347*carbon_intensity_n!$C$9</f>
        <v>7.3561502405173835E-3</v>
      </c>
      <c r="J347" s="801">
        <f>H347*cnst_carbon!$C$13*1000000</f>
        <v>12968.090386271788</v>
      </c>
      <c r="K347" s="118">
        <f>I347*cnst_carbon!$C$13*1000000</f>
        <v>2505.267039237257</v>
      </c>
    </row>
    <row r="348" spans="1:11" ht="12">
      <c r="A348" s="27" t="s">
        <v>2044</v>
      </c>
      <c r="B348" s="1543" t="s">
        <v>8169</v>
      </c>
      <c r="C348" s="1135">
        <v>33183629</v>
      </c>
      <c r="D348" s="1138">
        <v>449338093</v>
      </c>
      <c r="E348" s="1191">
        <v>143</v>
      </c>
      <c r="F348" s="126">
        <f t="shared" si="10"/>
        <v>4745258.9469999997</v>
      </c>
      <c r="G348" s="126">
        <f t="shared" si="11"/>
        <v>64255347.299000002</v>
      </c>
      <c r="H348" s="467">
        <f>F348*cnst_carbon!$C$11/10^6</f>
        <v>0.26876273149624152</v>
      </c>
      <c r="I348" s="467">
        <f>G348*carbon_intensity_n!$C$9</f>
        <v>3.5958784066144323</v>
      </c>
      <c r="J348" s="801">
        <f>H348*cnst_carbon!$C$13*1000000</f>
        <v>91531.90059717292</v>
      </c>
      <c r="K348" s="118">
        <f>I348*cnst_carbon!$C$13*1000000</f>
        <v>1224639.9753470118</v>
      </c>
    </row>
    <row r="349" spans="1:11" ht="12">
      <c r="A349" s="27" t="s">
        <v>401</v>
      </c>
      <c r="B349" s="1543" t="s">
        <v>8170</v>
      </c>
      <c r="C349" s="1135">
        <v>2260317</v>
      </c>
      <c r="D349" s="1138">
        <v>891777</v>
      </c>
      <c r="E349" s="1191">
        <v>143</v>
      </c>
      <c r="F349" s="126">
        <f t="shared" si="10"/>
        <v>323225.33100000001</v>
      </c>
      <c r="G349" s="126">
        <f t="shared" si="11"/>
        <v>127524.111</v>
      </c>
      <c r="H349" s="467">
        <f>F349*cnst_carbon!$C$11/10^6</f>
        <v>1.8306887741765383E-2</v>
      </c>
      <c r="I349" s="467">
        <f>G349*carbon_intensity_n!$C$9</f>
        <v>7.1365453046853041E-3</v>
      </c>
      <c r="J349" s="801">
        <f>H349*cnst_carbon!$C$13*1000000</f>
        <v>6234.734331260157</v>
      </c>
      <c r="K349" s="118">
        <f>I349*cnst_carbon!$C$13*1000000</f>
        <v>2430.4766951842475</v>
      </c>
    </row>
    <row r="350" spans="1:11" ht="12">
      <c r="A350" s="27" t="s">
        <v>402</v>
      </c>
      <c r="B350" s="1543" t="s">
        <v>8171</v>
      </c>
      <c r="C350" s="1135">
        <v>144746</v>
      </c>
      <c r="D350" s="1138">
        <v>32725</v>
      </c>
      <c r="E350" s="1191">
        <v>70</v>
      </c>
      <c r="F350" s="126">
        <f t="shared" si="10"/>
        <v>10132.219999999999</v>
      </c>
      <c r="G350" s="126">
        <f t="shared" si="11"/>
        <v>2290.75</v>
      </c>
      <c r="H350" s="467">
        <f>F350*cnst_carbon!$C$11/10^6</f>
        <v>5.7387028900550505E-4</v>
      </c>
      <c r="I350" s="467">
        <f>G350*carbon_intensity_n!$C$9</f>
        <v>1.2819568808213733E-4</v>
      </c>
      <c r="J350" s="801">
        <f>H350*cnst_carbon!$C$13*1000000</f>
        <v>195.44167435899627</v>
      </c>
      <c r="K350" s="118">
        <f>I350*cnst_carbon!$C$13*1000000</f>
        <v>43.659308391440689</v>
      </c>
    </row>
    <row r="351" spans="1:11" ht="12">
      <c r="A351" s="27" t="s">
        <v>2347</v>
      </c>
      <c r="B351" s="1543" t="s">
        <v>8172</v>
      </c>
      <c r="C351" s="1135">
        <v>382418128</v>
      </c>
      <c r="D351" s="1138">
        <v>329800030</v>
      </c>
      <c r="E351" s="1191">
        <v>70</v>
      </c>
      <c r="F351" s="126">
        <f t="shared" si="10"/>
        <v>26769268.960000001</v>
      </c>
      <c r="G351" s="126">
        <f t="shared" si="11"/>
        <v>23086002.100000001</v>
      </c>
      <c r="H351" s="467">
        <f>F351*cnst_carbon!$C$11/10^6</f>
        <v>1.5161621159569467</v>
      </c>
      <c r="I351" s="467">
        <f>G351*carbon_intensity_n!$C$9</f>
        <v>1.2919462727382593</v>
      </c>
      <c r="J351" s="801">
        <f>H351*cnst_carbon!$C$13*1000000</f>
        <v>516355.81806442287</v>
      </c>
      <c r="K351" s="118">
        <f>I351*cnst_carbon!$C$13*1000000</f>
        <v>439995.14796872099</v>
      </c>
    </row>
    <row r="352" spans="1:11" ht="12">
      <c r="A352" s="27" t="s">
        <v>2348</v>
      </c>
      <c r="B352" s="1543" t="s">
        <v>8173</v>
      </c>
      <c r="C352" s="1135">
        <v>25023040</v>
      </c>
      <c r="D352" s="1138">
        <v>20611235</v>
      </c>
      <c r="E352" s="1191">
        <v>70</v>
      </c>
      <c r="F352" s="126">
        <f t="shared" si="10"/>
        <v>1751612.8</v>
      </c>
      <c r="G352" s="126">
        <f t="shared" si="11"/>
        <v>1442786.45</v>
      </c>
      <c r="H352" s="467">
        <f>F352*cnst_carbon!$C$11/10^6</f>
        <v>9.9208124553330071E-2</v>
      </c>
      <c r="I352" s="467">
        <f>G352*carbon_intensity_n!$C$9</f>
        <v>8.0741679237513589E-2</v>
      </c>
      <c r="J352" s="801">
        <f>H352*cnst_carbon!$C$13*1000000</f>
        <v>33787.081060285869</v>
      </c>
      <c r="K352" s="118">
        <f>I352*cnst_carbon!$C$13*1000000</f>
        <v>27498.006575812262</v>
      </c>
    </row>
    <row r="353" spans="1:11" ht="12">
      <c r="A353" s="27" t="s">
        <v>4887</v>
      </c>
      <c r="B353" s="1543" t="s">
        <v>8174</v>
      </c>
      <c r="C353" s="1135">
        <v>304913348</v>
      </c>
      <c r="D353" s="1138">
        <v>109917015</v>
      </c>
      <c r="E353" s="1191">
        <v>70</v>
      </c>
      <c r="F353" s="126">
        <f t="shared" si="10"/>
        <v>21343934.359999999</v>
      </c>
      <c r="G353" s="126">
        <f t="shared" si="11"/>
        <v>7694191.0499999998</v>
      </c>
      <c r="H353" s="467">
        <f>F353*cnst_carbon!$C$11/10^6</f>
        <v>1.2088811513851583</v>
      </c>
      <c r="I353" s="467">
        <f>G353*carbon_intensity_n!$C$9</f>
        <v>0.43058479357859775</v>
      </c>
      <c r="J353" s="801">
        <f>H353*cnst_carbon!$C$13*1000000</f>
        <v>411705.85209627415</v>
      </c>
      <c r="K353" s="118">
        <f>I353*cnst_carbon!$C$13*1000000</f>
        <v>146643.26525138618</v>
      </c>
    </row>
    <row r="354" spans="1:11" ht="12">
      <c r="A354" s="27" t="s">
        <v>5534</v>
      </c>
      <c r="B354" s="1543" t="s">
        <v>8175</v>
      </c>
      <c r="C354" s="1135">
        <v>10284357</v>
      </c>
      <c r="D354" s="1138">
        <v>520498</v>
      </c>
      <c r="E354" s="1191">
        <v>70</v>
      </c>
      <c r="F354" s="126">
        <f t="shared" si="10"/>
        <v>719904.99</v>
      </c>
      <c r="G354" s="126">
        <f t="shared" si="11"/>
        <v>36434.86</v>
      </c>
      <c r="H354" s="467">
        <f>F354*cnst_carbon!$C$11/10^6</f>
        <v>4.0774093403795536E-2</v>
      </c>
      <c r="I354" s="467">
        <f>G354*carbon_intensity_n!$C$9</f>
        <v>2.0389793508136388E-3</v>
      </c>
      <c r="J354" s="801">
        <f>H354*cnst_carbon!$C$13*1000000</f>
        <v>13886.338494919815</v>
      </c>
      <c r="K354" s="118">
        <f>I354*cnst_carbon!$C$13*1000000</f>
        <v>694.410472089476</v>
      </c>
    </row>
    <row r="355" spans="1:11" ht="12">
      <c r="A355" s="27" t="s">
        <v>327</v>
      </c>
      <c r="B355" s="1543" t="s">
        <v>8176</v>
      </c>
      <c r="C355" s="1135">
        <v>38584121</v>
      </c>
      <c r="D355" s="1138">
        <v>3565271</v>
      </c>
      <c r="E355" s="1191">
        <v>143</v>
      </c>
      <c r="F355" s="126">
        <f t="shared" si="10"/>
        <v>5517529.3030000003</v>
      </c>
      <c r="G355" s="126">
        <f t="shared" si="11"/>
        <v>509833.75300000003</v>
      </c>
      <c r="H355" s="467">
        <f>F355*cnst_carbon!$C$11/10^6</f>
        <v>0.31250270283402387</v>
      </c>
      <c r="I355" s="467">
        <f>G355*carbon_intensity_n!$C$9</f>
        <v>2.8531480420531902E-2</v>
      </c>
      <c r="J355" s="801">
        <f>H355*cnst_carbon!$C$13*1000000</f>
        <v>106428.32126652854</v>
      </c>
      <c r="K355" s="118">
        <f>I355*cnst_carbon!$C$13*1000000</f>
        <v>9716.9001639605376</v>
      </c>
    </row>
    <row r="356" spans="1:11" ht="12">
      <c r="A356" s="27" t="s">
        <v>328</v>
      </c>
      <c r="B356" s="1543" t="s">
        <v>8177</v>
      </c>
      <c r="C356" s="1135">
        <v>72803054</v>
      </c>
      <c r="D356" s="1138">
        <v>65177289</v>
      </c>
      <c r="E356" s="1191">
        <v>143</v>
      </c>
      <c r="F356" s="126">
        <f t="shared" si="10"/>
        <v>10410836.721999999</v>
      </c>
      <c r="G356" s="126">
        <f t="shared" si="11"/>
        <v>9320352.3269999996</v>
      </c>
      <c r="H356" s="467">
        <f>F356*cnst_carbon!$C$11/10^6</f>
        <v>0.58965062725081607</v>
      </c>
      <c r="I356" s="467">
        <f>G356*carbon_intensity_n!$C$9</f>
        <v>0.52158855384817848</v>
      </c>
      <c r="J356" s="801">
        <f>H356*cnst_carbon!$C$13*1000000</f>
        <v>200815.9475836296</v>
      </c>
      <c r="K356" s="118">
        <f>I356*cnst_carbon!$C$13*1000000</f>
        <v>177636.20498150165</v>
      </c>
    </row>
    <row r="357" spans="1:11" ht="12">
      <c r="A357" s="27" t="s">
        <v>329</v>
      </c>
      <c r="B357" s="1543" t="s">
        <v>8178</v>
      </c>
      <c r="C357" s="1135">
        <v>1129519</v>
      </c>
      <c r="D357" s="1138">
        <v>182605</v>
      </c>
      <c r="E357" s="1191">
        <v>70</v>
      </c>
      <c r="F357" s="126">
        <f t="shared" si="10"/>
        <v>79066.33</v>
      </c>
      <c r="G357" s="126">
        <f t="shared" si="11"/>
        <v>12782.35</v>
      </c>
      <c r="H357" s="467">
        <f>F357*cnst_carbon!$C$11/10^6</f>
        <v>4.4781713827477723E-3</v>
      </c>
      <c r="I357" s="467">
        <f>G357*carbon_intensity_n!$C$9</f>
        <v>7.1532998081707232E-4</v>
      </c>
      <c r="J357" s="801">
        <f>H357*cnst_carbon!$C$13*1000000</f>
        <v>1525.1204494790811</v>
      </c>
      <c r="K357" s="118">
        <f>I357*cnst_carbon!$C$13*1000000</f>
        <v>243.61827376070372</v>
      </c>
    </row>
    <row r="358" spans="1:11" ht="12">
      <c r="A358" s="27" t="s">
        <v>2817</v>
      </c>
      <c r="B358" s="1543" t="s">
        <v>8179</v>
      </c>
      <c r="C358" s="1135">
        <v>3329123</v>
      </c>
      <c r="D358" s="1138">
        <v>1537237</v>
      </c>
      <c r="E358" s="1191">
        <v>106</v>
      </c>
      <c r="F358" s="126">
        <f t="shared" si="10"/>
        <v>352887.038</v>
      </c>
      <c r="G358" s="126">
        <f t="shared" si="11"/>
        <v>162947.122</v>
      </c>
      <c r="H358" s="467">
        <f>F358*cnst_carbon!$C$11/10^6</f>
        <v>1.9986872223792678E-2</v>
      </c>
      <c r="I358" s="467">
        <f>G358*carbon_intensity_n!$C$9</f>
        <v>9.118899236404663E-3</v>
      </c>
      <c r="J358" s="801">
        <f>H358*cnst_carbon!$C$13*1000000</f>
        <v>6806.8827528721977</v>
      </c>
      <c r="K358" s="118">
        <f>I358*cnst_carbon!$C$13*1000000</f>
        <v>3105.6023795244841</v>
      </c>
    </row>
    <row r="359" spans="1:11" ht="12">
      <c r="A359" s="27" t="s">
        <v>2818</v>
      </c>
      <c r="B359" s="1543" t="s">
        <v>8180</v>
      </c>
      <c r="C359" s="1135">
        <v>6636830</v>
      </c>
      <c r="D359" s="1138">
        <v>502258</v>
      </c>
      <c r="E359" s="1191">
        <v>143</v>
      </c>
      <c r="F359" s="126">
        <f t="shared" si="10"/>
        <v>949066.69</v>
      </c>
      <c r="G359" s="126">
        <f t="shared" si="11"/>
        <v>71822.894</v>
      </c>
      <c r="H359" s="467">
        <f>F359*cnst_carbon!$C$11/10^6</f>
        <v>5.3753390241802694E-2</v>
      </c>
      <c r="I359" s="467">
        <f>G359*carbon_intensity_n!$C$9</f>
        <v>4.0193758884122729E-3</v>
      </c>
      <c r="J359" s="801">
        <f>H359*cnst_carbon!$C$13*1000000</f>
        <v>18306.667538994461</v>
      </c>
      <c r="K359" s="118">
        <f>I359*cnst_carbon!$C$13*1000000</f>
        <v>1368.8695312503573</v>
      </c>
    </row>
    <row r="360" spans="1:11" ht="12">
      <c r="A360" s="27" t="s">
        <v>2819</v>
      </c>
      <c r="B360" s="1543" t="s">
        <v>8181</v>
      </c>
      <c r="C360" s="1135">
        <v>20258221</v>
      </c>
      <c r="D360" s="1138">
        <v>518306</v>
      </c>
      <c r="E360" s="1191">
        <v>143</v>
      </c>
      <c r="F360" s="126">
        <f t="shared" si="10"/>
        <v>2896925.6030000001</v>
      </c>
      <c r="G360" s="126">
        <f t="shared" si="11"/>
        <v>74117.758000000002</v>
      </c>
      <c r="H360" s="467">
        <f>F360*cnst_carbon!$C$11/10^6</f>
        <v>0.16407653337778463</v>
      </c>
      <c r="I360" s="467">
        <f>G360*carbon_intensity_n!$C$9</f>
        <v>4.1478018054852519E-3</v>
      </c>
      <c r="J360" s="801">
        <f>H360*cnst_carbon!$C$13*1000000</f>
        <v>55879.164718468892</v>
      </c>
      <c r="K360" s="118">
        <f>I360*cnst_carbon!$C$13*1000000</f>
        <v>1412.6072481956439</v>
      </c>
    </row>
    <row r="361" spans="1:11" ht="12">
      <c r="A361" s="27" t="s">
        <v>3162</v>
      </c>
      <c r="B361" s="1543" t="s">
        <v>8182</v>
      </c>
      <c r="C361" s="1135">
        <v>306809157</v>
      </c>
      <c r="D361" s="1138">
        <v>120961099</v>
      </c>
      <c r="E361" s="1191">
        <v>70</v>
      </c>
      <c r="F361" s="126">
        <f t="shared" si="10"/>
        <v>21476640.989999998</v>
      </c>
      <c r="G361" s="126">
        <f t="shared" si="11"/>
        <v>8467276.9299999997</v>
      </c>
      <c r="H361" s="467">
        <f>F361*cnst_carbon!$C$11/10^6</f>
        <v>1.2163974106167035</v>
      </c>
      <c r="I361" s="467">
        <f>G361*carbon_intensity_n!$C$9</f>
        <v>0.47384847417804538</v>
      </c>
      <c r="J361" s="801">
        <f>H361*cnst_carbon!$C$13*1000000</f>
        <v>414265.64708352671</v>
      </c>
      <c r="K361" s="118">
        <f>I361*cnst_carbon!$C$13*1000000</f>
        <v>161377.47668781018</v>
      </c>
    </row>
    <row r="362" spans="1:11" ht="12">
      <c r="A362" s="27" t="s">
        <v>3163</v>
      </c>
      <c r="B362" s="1543" t="s">
        <v>8183</v>
      </c>
      <c r="C362" s="1135">
        <v>8285273</v>
      </c>
      <c r="D362" s="1138">
        <v>3604093</v>
      </c>
      <c r="E362" s="1191">
        <v>143</v>
      </c>
      <c r="F362" s="126">
        <f t="shared" si="10"/>
        <v>1184794.0390000001</v>
      </c>
      <c r="G362" s="126">
        <f t="shared" si="11"/>
        <v>515385.299</v>
      </c>
      <c r="H362" s="467">
        <f>F362*cnst_carbon!$C$11/10^6</f>
        <v>6.7104553352861432E-2</v>
      </c>
      <c r="I362" s="467">
        <f>G362*carbon_intensity_n!$C$9</f>
        <v>2.8842157822862858E-2</v>
      </c>
      <c r="J362" s="801">
        <f>H362*cnst_carbon!$C$13*1000000</f>
        <v>22853.642217867153</v>
      </c>
      <c r="K362" s="118">
        <f>I362*cnst_carbon!$C$13*1000000</f>
        <v>9822.706846864945</v>
      </c>
    </row>
    <row r="363" spans="1:11" ht="12">
      <c r="A363" s="27" t="s">
        <v>2465</v>
      </c>
      <c r="B363" s="1543" t="s">
        <v>8184</v>
      </c>
      <c r="C363" s="1135">
        <v>222244641</v>
      </c>
      <c r="D363" s="1138">
        <v>120619549</v>
      </c>
      <c r="E363" s="1191">
        <v>106</v>
      </c>
      <c r="F363" s="126">
        <f t="shared" si="10"/>
        <v>23557931.945999999</v>
      </c>
      <c r="G363" s="126">
        <f t="shared" si="11"/>
        <v>12785672.194</v>
      </c>
      <c r="H363" s="467">
        <f>F363*cnst_carbon!$C$11/10^6</f>
        <v>1.3342778990411814</v>
      </c>
      <c r="I363" s="467">
        <f>G363*carbon_intensity_n!$C$9</f>
        <v>0.71551589850593933</v>
      </c>
      <c r="J363" s="801">
        <f>H363*cnst_carbon!$C$13*1000000</f>
        <v>454411.9318334508</v>
      </c>
      <c r="K363" s="118">
        <f>I363*cnst_carbon!$C$13*1000000</f>
        <v>243681.59131712938</v>
      </c>
    </row>
    <row r="364" spans="1:11" ht="12">
      <c r="A364" s="27" t="s">
        <v>2466</v>
      </c>
      <c r="B364" s="1543" t="s">
        <v>8185</v>
      </c>
      <c r="C364" s="1135">
        <v>23819396</v>
      </c>
      <c r="D364" s="1138">
        <v>19908274</v>
      </c>
      <c r="E364" s="1191">
        <v>28</v>
      </c>
      <c r="F364" s="126">
        <f t="shared" si="10"/>
        <v>666943.08799999999</v>
      </c>
      <c r="G364" s="126">
        <f t="shared" si="11"/>
        <v>557431.67200000002</v>
      </c>
      <c r="H364" s="467">
        <f>F364*cnst_carbon!$C$11/10^6</f>
        <v>3.7774428768896057E-2</v>
      </c>
      <c r="I364" s="467">
        <f>G364*carbon_intensity_n!$C$9</f>
        <v>3.1195170468543618E-2</v>
      </c>
      <c r="J364" s="801">
        <f>H364*cnst_carbon!$C$13*1000000</f>
        <v>12864.749662056231</v>
      </c>
      <c r="K364" s="118">
        <f>I364*cnst_carbon!$C$13*1000000</f>
        <v>10624.066910402453</v>
      </c>
    </row>
    <row r="365" spans="1:11" ht="12">
      <c r="A365" s="27" t="s">
        <v>1257</v>
      </c>
      <c r="B365" s="1543" t="s">
        <v>8186</v>
      </c>
      <c r="C365" s="1135">
        <v>934664</v>
      </c>
      <c r="D365" s="1138">
        <v>869430</v>
      </c>
      <c r="E365" s="1191">
        <v>20</v>
      </c>
      <c r="F365" s="126">
        <f t="shared" si="10"/>
        <v>18693.28</v>
      </c>
      <c r="G365" s="126">
        <f t="shared" si="11"/>
        <v>17388.599999999999</v>
      </c>
      <c r="H365" s="467">
        <f>F365*cnst_carbon!$C$11/10^6</f>
        <v>1.058752967864972E-3</v>
      </c>
      <c r="I365" s="467">
        <f>G365*carbon_intensity_n!$C$9</f>
        <v>9.7310642443961719E-4</v>
      </c>
      <c r="J365" s="801">
        <f>H365*cnst_carbon!$C$13*1000000</f>
        <v>360.57704456294255</v>
      </c>
      <c r="K365" s="118">
        <f>I365*cnst_carbon!$C$13*1000000</f>
        <v>331.40859975789834</v>
      </c>
    </row>
    <row r="366" spans="1:11" ht="12">
      <c r="A366" s="27" t="s">
        <v>46</v>
      </c>
      <c r="B366" s="1543" t="s">
        <v>8187</v>
      </c>
      <c r="C366" s="1135">
        <v>41456923</v>
      </c>
      <c r="D366" s="1138">
        <v>38425760</v>
      </c>
      <c r="E366" s="1191">
        <v>70</v>
      </c>
      <c r="F366" s="126">
        <f t="shared" si="10"/>
        <v>2901984.61</v>
      </c>
      <c r="G366" s="126">
        <f t="shared" si="11"/>
        <v>2689803.2</v>
      </c>
      <c r="H366" s="467">
        <f>F366*cnst_carbon!$C$11/10^6</f>
        <v>0.16436306622144287</v>
      </c>
      <c r="I366" s="467">
        <f>G366*carbon_intensity_n!$C$9</f>
        <v>0.15052763157460872</v>
      </c>
      <c r="J366" s="801">
        <f>H366*cnst_carbon!$C$13*1000000</f>
        <v>55976.748544982125</v>
      </c>
      <c r="K366" s="118">
        <f>I366*cnst_carbon!$C$13*1000000</f>
        <v>51264.846631489272</v>
      </c>
    </row>
    <row r="367" spans="1:11" ht="12">
      <c r="A367" s="27" t="s">
        <v>4766</v>
      </c>
      <c r="B367" s="1543" t="s">
        <v>8188</v>
      </c>
      <c r="C367" s="1135">
        <v>32062389</v>
      </c>
      <c r="D367" s="1138">
        <v>39925282</v>
      </c>
      <c r="E367" s="1191">
        <v>36</v>
      </c>
      <c r="F367" s="126">
        <f t="shared" si="10"/>
        <v>1154246.004</v>
      </c>
      <c r="G367" s="126">
        <f t="shared" si="11"/>
        <v>1437310.152</v>
      </c>
      <c r="H367" s="467">
        <f>F367*cnst_carbon!$C$11/10^6</f>
        <v>6.5374368884502043E-2</v>
      </c>
      <c r="I367" s="467">
        <f>G367*carbon_intensity_n!$C$9</f>
        <v>8.0435212887954341E-2</v>
      </c>
      <c r="J367" s="801">
        <f>H367*cnst_carbon!$C$13*1000000</f>
        <v>22264.397303250487</v>
      </c>
      <c r="K367" s="118">
        <f>I367*cnst_carbon!$C$13*1000000</f>
        <v>27393.634041391029</v>
      </c>
    </row>
    <row r="368" spans="1:11" ht="12">
      <c r="A368" s="27" t="s">
        <v>794</v>
      </c>
      <c r="B368" s="1543" t="s">
        <v>8189</v>
      </c>
      <c r="C368" s="1135">
        <v>370766645</v>
      </c>
      <c r="D368" s="1138">
        <v>424751617</v>
      </c>
      <c r="E368" s="1191">
        <v>70</v>
      </c>
      <c r="F368" s="126">
        <f t="shared" si="10"/>
        <v>25953665.149999999</v>
      </c>
      <c r="G368" s="126">
        <f t="shared" si="11"/>
        <v>29732613.190000001</v>
      </c>
      <c r="H368" s="467">
        <f>F368*cnst_carbon!$C$11/10^6</f>
        <v>1.4699678175545541</v>
      </c>
      <c r="I368" s="467">
        <f>G368*carbon_intensity_n!$C$9</f>
        <v>1.6639060597498996</v>
      </c>
      <c r="J368" s="801">
        <f>H368*cnst_carbon!$C$13*1000000</f>
        <v>500623.53291467507</v>
      </c>
      <c r="K368" s="118">
        <f>I368*cnst_carbon!$C$13*1000000</f>
        <v>566672.63059942261</v>
      </c>
    </row>
    <row r="369" spans="1:11" ht="12">
      <c r="A369" s="27" t="s">
        <v>1103</v>
      </c>
      <c r="B369" s="1543" t="s">
        <v>8190</v>
      </c>
      <c r="C369" s="1135">
        <v>1740896</v>
      </c>
      <c r="D369" s="1138">
        <v>9335876</v>
      </c>
      <c r="E369" s="1191">
        <v>20</v>
      </c>
      <c r="F369" s="126">
        <f t="shared" si="10"/>
        <v>34817.919999999998</v>
      </c>
      <c r="G369" s="126">
        <f t="shared" si="11"/>
        <v>186717.52</v>
      </c>
      <c r="H369" s="467">
        <f>F369*cnst_carbon!$C$11/10^6</f>
        <v>1.9720228945848545E-3</v>
      </c>
      <c r="I369" s="467">
        <f>G369*carbon_intensity_n!$C$9</f>
        <v>1.0449145892563676E-2</v>
      </c>
      <c r="J369" s="801">
        <f>H369*cnst_carbon!$C$13*1000000</f>
        <v>671.60726696593463</v>
      </c>
      <c r="K369" s="118">
        <f>I369*cnst_carbon!$C$13*1000000</f>
        <v>3558.6414003121231</v>
      </c>
    </row>
    <row r="370" spans="1:11" ht="12">
      <c r="A370" s="27" t="s">
        <v>1648</v>
      </c>
      <c r="B370" s="1543" t="s">
        <v>8191</v>
      </c>
      <c r="C370" s="1135">
        <v>119265993</v>
      </c>
      <c r="D370" s="1138">
        <v>28863906</v>
      </c>
      <c r="E370" s="1191">
        <v>20</v>
      </c>
      <c r="F370" s="126">
        <f t="shared" si="10"/>
        <v>2385319.86</v>
      </c>
      <c r="G370" s="126">
        <f t="shared" si="11"/>
        <v>577278.12</v>
      </c>
      <c r="H370" s="467">
        <f>F370*cnst_carbon!$C$11/10^6</f>
        <v>0.13510012587851142</v>
      </c>
      <c r="I370" s="467">
        <f>G370*carbon_intensity_n!$C$9</f>
        <v>3.2305823773071111E-2</v>
      </c>
      <c r="J370" s="801">
        <f>H370*cnst_carbon!$C$13*1000000</f>
        <v>46010.736770437936</v>
      </c>
      <c r="K370" s="118">
        <f>I370*cnst_carbon!$C$13*1000000</f>
        <v>11002.31953234142</v>
      </c>
    </row>
    <row r="371" spans="1:11" ht="12">
      <c r="A371" s="27" t="s">
        <v>1649</v>
      </c>
      <c r="B371" s="1543" t="s">
        <v>8192</v>
      </c>
      <c r="C371" s="1135">
        <v>351460</v>
      </c>
      <c r="D371" s="1138">
        <v>162926</v>
      </c>
      <c r="E371" s="1191">
        <v>20</v>
      </c>
      <c r="F371" s="126">
        <f t="shared" si="10"/>
        <v>7029.2</v>
      </c>
      <c r="G371" s="126">
        <f t="shared" si="11"/>
        <v>3258.52</v>
      </c>
      <c r="H371" s="467">
        <f>F371*cnst_carbon!$C$11/10^6</f>
        <v>3.9812094836842233E-4</v>
      </c>
      <c r="I371" s="467">
        <f>G371*carbon_intensity_n!$C$9</f>
        <v>1.8235434400497923E-4</v>
      </c>
      <c r="J371" s="801">
        <f>H371*cnst_carbon!$C$13*1000000</f>
        <v>135.58712872443124</v>
      </c>
      <c r="K371" s="118">
        <f>I371*cnst_carbon!$C$13*1000000</f>
        <v>62.103996324207067</v>
      </c>
    </row>
    <row r="372" spans="1:11" ht="12">
      <c r="A372" s="27" t="s">
        <v>5615</v>
      </c>
      <c r="B372" s="1543" t="s">
        <v>8193</v>
      </c>
      <c r="C372" s="1135">
        <v>69834585</v>
      </c>
      <c r="D372" s="1138">
        <v>50836239</v>
      </c>
      <c r="E372" s="1191">
        <v>20</v>
      </c>
      <c r="F372" s="126">
        <f t="shared" si="10"/>
        <v>1396691.7</v>
      </c>
      <c r="G372" s="126">
        <f t="shared" si="11"/>
        <v>1016724.78</v>
      </c>
      <c r="H372" s="467">
        <f>F372*cnst_carbon!$C$11/10^6</f>
        <v>7.9106046802239802E-2</v>
      </c>
      <c r="I372" s="467">
        <f>G372*carbon_intensity_n!$C$9</f>
        <v>5.6898279062429211E-2</v>
      </c>
      <c r="J372" s="801">
        <f>H372*cnst_carbon!$C$13*1000000</f>
        <v>26940.963027975398</v>
      </c>
      <c r="K372" s="118">
        <f>I372*cnst_carbon!$C$13*1000000</f>
        <v>19377.715036228175</v>
      </c>
    </row>
    <row r="373" spans="1:11" ht="12">
      <c r="A373" s="27" t="s">
        <v>5410</v>
      </c>
      <c r="B373" s="1543" t="s">
        <v>8194</v>
      </c>
      <c r="C373" s="1135">
        <v>9934967</v>
      </c>
      <c r="D373" s="1138">
        <v>8792509</v>
      </c>
      <c r="E373" s="1191">
        <v>20</v>
      </c>
      <c r="F373" s="126">
        <f t="shared" si="10"/>
        <v>198699.34</v>
      </c>
      <c r="G373" s="126">
        <f t="shared" si="11"/>
        <v>175850.18</v>
      </c>
      <c r="H373" s="467">
        <f>F373*cnst_carbon!$C$11/10^6</f>
        <v>1.1253964843933819E-2</v>
      </c>
      <c r="I373" s="467">
        <f>G373*carbon_intensity_n!$C$9</f>
        <v>9.8409843171309418E-3</v>
      </c>
      <c r="J373" s="801">
        <f>H373*cnst_carbon!$C$13*1000000</f>
        <v>3832.736725379777</v>
      </c>
      <c r="K373" s="118">
        <f>I373*cnst_carbon!$C$13*1000000</f>
        <v>3351.5212220060489</v>
      </c>
    </row>
    <row r="374" spans="1:11" ht="12">
      <c r="A374" s="27" t="s">
        <v>5411</v>
      </c>
      <c r="B374" s="1543" t="s">
        <v>8195</v>
      </c>
      <c r="C374" s="1135">
        <v>163527706</v>
      </c>
      <c r="D374" s="1138">
        <v>15485012</v>
      </c>
      <c r="E374" s="1191">
        <v>70</v>
      </c>
      <c r="F374" s="126">
        <f t="shared" si="10"/>
        <v>11446939.42</v>
      </c>
      <c r="G374" s="126">
        <f t="shared" si="11"/>
        <v>1083950.8400000001</v>
      </c>
      <c r="H374" s="467">
        <f>F374*cnst_carbon!$C$11/10^6</f>
        <v>0.6483335767663857</v>
      </c>
      <c r="I374" s="467">
        <f>G374*carbon_intensity_n!$C$9</f>
        <v>6.066040544843862E-2</v>
      </c>
      <c r="J374" s="801">
        <f>H374*cnst_carbon!$C$13*1000000</f>
        <v>220801.46370003786</v>
      </c>
      <c r="K374" s="118">
        <f>I374*cnst_carbon!$C$13*1000000</f>
        <v>20658.973700631323</v>
      </c>
    </row>
    <row r="375" spans="1:11" ht="12">
      <c r="A375" s="27" t="s">
        <v>5412</v>
      </c>
      <c r="B375" s="1543" t="s">
        <v>8196</v>
      </c>
      <c r="C375" s="1135">
        <v>106337157</v>
      </c>
      <c r="D375" s="1138">
        <v>9921807</v>
      </c>
      <c r="E375" s="1191">
        <v>20</v>
      </c>
      <c r="F375" s="126">
        <f t="shared" si="10"/>
        <v>2126743.14</v>
      </c>
      <c r="G375" s="126">
        <f t="shared" si="11"/>
        <v>198436.14</v>
      </c>
      <c r="H375" s="467">
        <f>F375*cnst_carbon!$C$11/10^6</f>
        <v>0.12045481645604569</v>
      </c>
      <c r="I375" s="467">
        <f>G375*carbon_intensity_n!$C$9</f>
        <v>1.1104947073082327E-2</v>
      </c>
      <c r="J375" s="801">
        <f>H375*cnst_carbon!$C$13*1000000</f>
        <v>41023.017681525787</v>
      </c>
      <c r="K375" s="118">
        <f>I375*cnst_carbon!$C$13*1000000</f>
        <v>3781.9860885155963</v>
      </c>
    </row>
    <row r="376" spans="1:11" ht="12">
      <c r="A376" s="27" t="s">
        <v>5413</v>
      </c>
      <c r="B376" s="1543" t="s">
        <v>8197</v>
      </c>
      <c r="C376" s="1135">
        <v>148276674</v>
      </c>
      <c r="D376" s="1138">
        <v>4043915</v>
      </c>
      <c r="E376" s="1191">
        <v>143</v>
      </c>
      <c r="F376" s="126">
        <f t="shared" si="10"/>
        <v>21203564.381999999</v>
      </c>
      <c r="G376" s="126">
        <f t="shared" si="11"/>
        <v>578279.84499999997</v>
      </c>
      <c r="H376" s="467">
        <f>F376*cnst_carbon!$C$11/10^6</f>
        <v>1.2009308542298895</v>
      </c>
      <c r="I376" s="467">
        <f>G376*carbon_intensity_n!$C$9</f>
        <v>3.2361882629622057E-2</v>
      </c>
      <c r="J376" s="801">
        <f>H376*cnst_carbon!$C$13*1000000</f>
        <v>408998.23781923956</v>
      </c>
      <c r="K376" s="118">
        <f>I376*cnst_carbon!$C$13*1000000</f>
        <v>11021.411367198309</v>
      </c>
    </row>
    <row r="377" spans="1:11" ht="12">
      <c r="A377" s="27" t="s">
        <v>5414</v>
      </c>
      <c r="B377" s="1543" t="s">
        <v>8198</v>
      </c>
      <c r="C377" s="1135">
        <v>1304163201</v>
      </c>
      <c r="D377" s="1138">
        <v>95483102</v>
      </c>
      <c r="E377" s="1191">
        <v>20</v>
      </c>
      <c r="F377" s="126">
        <f t="shared" si="10"/>
        <v>26083264.02</v>
      </c>
      <c r="G377" s="126">
        <f t="shared" si="11"/>
        <v>1909662.04</v>
      </c>
      <c r="H377" s="467">
        <f>F377*cnst_carbon!$C$11/10^6</f>
        <v>1.4773080589805878</v>
      </c>
      <c r="I377" s="467">
        <f>G377*carbon_intensity_n!$C$9</f>
        <v>0.10686912112720205</v>
      </c>
      <c r="J377" s="801">
        <f>H377*cnst_carbon!$C$13*1000000</f>
        <v>503123.38192583306</v>
      </c>
      <c r="K377" s="118">
        <f>I377*cnst_carbon!$C$13*1000000</f>
        <v>36396.16890877999</v>
      </c>
    </row>
    <row r="378" spans="1:11" ht="12">
      <c r="A378" s="27" t="s">
        <v>2774</v>
      </c>
      <c r="B378" s="1543" t="s">
        <v>8199</v>
      </c>
      <c r="C378" s="1135">
        <v>10705294</v>
      </c>
      <c r="D378" s="1138">
        <v>718994</v>
      </c>
      <c r="E378" s="1191">
        <v>25</v>
      </c>
      <c r="F378" s="126">
        <f t="shared" si="10"/>
        <v>267632.34999999998</v>
      </c>
      <c r="G378" s="126">
        <f t="shared" si="11"/>
        <v>17974.849999999999</v>
      </c>
      <c r="H378" s="467">
        <f>F378*cnst_carbon!$C$11/10^6</f>
        <v>1.5158203635701008E-2</v>
      </c>
      <c r="I378" s="467">
        <f>G378*carbon_intensity_n!$C$9</f>
        <v>1.005914335446123E-3</v>
      </c>
      <c r="J378" s="801">
        <f>H378*cnst_carbon!$C$13*1000000</f>
        <v>5162.3942824605965</v>
      </c>
      <c r="K378" s="118">
        <f>I378*cnst_carbon!$C$13*1000000</f>
        <v>342.58191397572313</v>
      </c>
    </row>
    <row r="379" spans="1:11" ht="12">
      <c r="A379" s="27" t="s">
        <v>2775</v>
      </c>
      <c r="B379" s="1543" t="s">
        <v>8200</v>
      </c>
      <c r="C379" s="1135">
        <v>16669172</v>
      </c>
      <c r="D379" s="1138">
        <v>4087354</v>
      </c>
      <c r="E379" s="1191">
        <v>74</v>
      </c>
      <c r="F379" s="126">
        <f t="shared" si="10"/>
        <v>1233518.7279999999</v>
      </c>
      <c r="G379" s="126">
        <f t="shared" si="11"/>
        <v>302464.196</v>
      </c>
      <c r="H379" s="467">
        <f>F379*cnst_carbon!$C$11/10^6</f>
        <v>6.9864230043471517E-2</v>
      </c>
      <c r="I379" s="467">
        <f>G379*carbon_intensity_n!$C$9</f>
        <v>1.6926598592788587E-2</v>
      </c>
      <c r="J379" s="801">
        <f>H379*cnst_carbon!$C$13*1000000</f>
        <v>23793.498912725867</v>
      </c>
      <c r="K379" s="118">
        <f>I379*cnst_carbon!$C$13*1000000</f>
        <v>5764.6524546690662</v>
      </c>
    </row>
    <row r="380" spans="1:11" ht="12">
      <c r="A380" s="27" t="s">
        <v>4804</v>
      </c>
      <c r="B380" s="1543" t="s">
        <v>8201</v>
      </c>
      <c r="C380" s="1135">
        <v>357017375</v>
      </c>
      <c r="D380" s="1138">
        <v>186656827</v>
      </c>
      <c r="E380" s="1191">
        <v>74</v>
      </c>
      <c r="F380" s="126">
        <f t="shared" si="10"/>
        <v>26419285.75</v>
      </c>
      <c r="G380" s="126">
        <f t="shared" si="11"/>
        <v>13812605.198000001</v>
      </c>
      <c r="H380" s="467">
        <f>F380*cnst_carbon!$C$11/10^6</f>
        <v>1.4963397112055916</v>
      </c>
      <c r="I380" s="467">
        <f>G380*carbon_intensity_n!$C$9</f>
        <v>0.7729854534822731</v>
      </c>
      <c r="J380" s="801">
        <f>H380*cnst_carbon!$C$13*1000000</f>
        <v>509604.94761747867</v>
      </c>
      <c r="K380" s="118">
        <f>I380*cnst_carbon!$C$13*1000000</f>
        <v>263253.864467401</v>
      </c>
    </row>
    <row r="381" spans="1:11" ht="12">
      <c r="A381" s="27" t="s">
        <v>5205</v>
      </c>
      <c r="B381" s="1543" t="s">
        <v>8202</v>
      </c>
      <c r="C381" s="1135">
        <v>39498</v>
      </c>
      <c r="D381" s="1138">
        <v>461221</v>
      </c>
      <c r="E381" s="1191">
        <v>70</v>
      </c>
      <c r="F381" s="126">
        <f t="shared" si="10"/>
        <v>2764.86</v>
      </c>
      <c r="G381" s="126">
        <f t="shared" si="11"/>
        <v>32285.47</v>
      </c>
      <c r="H381" s="467">
        <f>F381*cnst_carbon!$C$11/10^6</f>
        <v>1.5659658073549141E-4</v>
      </c>
      <c r="I381" s="467">
        <f>G381*carbon_intensity_n!$C$9</f>
        <v>1.8067698534127263E-3</v>
      </c>
      <c r="J381" s="801">
        <f>H381*cnst_carbon!$C$13*1000000</f>
        <v>53.331734582175912</v>
      </c>
      <c r="K381" s="118">
        <f>I381*cnst_carbon!$C$13*1000000</f>
        <v>615.32742171455072</v>
      </c>
    </row>
    <row r="382" spans="1:11" ht="12">
      <c r="A382" s="27" t="s">
        <v>5206</v>
      </c>
      <c r="B382" s="1543" t="s">
        <v>8203</v>
      </c>
      <c r="C382" s="1135">
        <v>17500857</v>
      </c>
      <c r="D382" s="1138">
        <v>1947320</v>
      </c>
      <c r="E382" s="1191">
        <v>20</v>
      </c>
      <c r="F382" s="126">
        <f t="shared" si="10"/>
        <v>350017.14</v>
      </c>
      <c r="G382" s="126">
        <f t="shared" si="11"/>
        <v>38946.400000000001</v>
      </c>
      <c r="H382" s="467">
        <f>F382*cnst_carbon!$C$11/10^6</f>
        <v>1.9824326484095323E-2</v>
      </c>
      <c r="I382" s="467">
        <f>G382*carbon_intensity_n!$C$9</f>
        <v>2.1795309598699789E-3</v>
      </c>
      <c r="J382" s="801">
        <f>H382*cnst_carbon!$C$13*1000000</f>
        <v>6751.5249270097966</v>
      </c>
      <c r="K382" s="118">
        <f>I382*cnst_carbon!$C$13*1000000</f>
        <v>742.27780785175435</v>
      </c>
    </row>
    <row r="383" spans="1:11" ht="12">
      <c r="A383" s="27" t="s">
        <v>5207</v>
      </c>
      <c r="B383" s="1543" t="s">
        <v>8204</v>
      </c>
      <c r="C383" s="1135">
        <v>372235292</v>
      </c>
      <c r="D383" s="1138">
        <v>207073627</v>
      </c>
      <c r="E383" s="1191">
        <v>5.3</v>
      </c>
      <c r="F383" s="126">
        <f t="shared" si="10"/>
        <v>1972847.0475999999</v>
      </c>
      <c r="G383" s="126">
        <f t="shared" si="11"/>
        <v>1097490.2230999998</v>
      </c>
      <c r="H383" s="467">
        <f>F383*cnst_carbon!$C$11/10^6</f>
        <v>0.11173842508057162</v>
      </c>
      <c r="I383" s="467">
        <f>G383*carbon_intensity_n!$C$9</f>
        <v>6.1418100759019052E-2</v>
      </c>
      <c r="J383" s="801">
        <f>H383*cnst_carbon!$C$13*1000000</f>
        <v>38054.496471370185</v>
      </c>
      <c r="K383" s="118">
        <f>I383*cnst_carbon!$C$13*1000000</f>
        <v>20917.020236566164</v>
      </c>
    </row>
    <row r="384" spans="1:11" ht="12">
      <c r="A384" s="27" t="s">
        <v>5208</v>
      </c>
      <c r="B384" s="1543" t="s">
        <v>8205</v>
      </c>
      <c r="C384" s="1135">
        <v>7320254000</v>
      </c>
      <c r="D384" s="1138">
        <v>1938669000</v>
      </c>
      <c r="E384" s="1191">
        <v>9.1620000000000008</v>
      </c>
      <c r="F384" s="126">
        <f t="shared" si="10"/>
        <v>67068167.148000009</v>
      </c>
      <c r="G384" s="126">
        <f t="shared" si="11"/>
        <v>17762085.377999999</v>
      </c>
      <c r="H384" s="467">
        <f>F384*cnst_carbon!$C$11/10^6</f>
        <v>3.798617525506975</v>
      </c>
      <c r="I384" s="467">
        <f>G384*carbon_intensity_n!$C$9</f>
        <v>0.9940075332560866</v>
      </c>
      <c r="J384" s="801">
        <f>H384*cnst_carbon!$C$13*1000000</f>
        <v>1293686.3672121358</v>
      </c>
      <c r="K384" s="118">
        <f>I384*cnst_carbon!$C$13*1000000</f>
        <v>338526.84194835811</v>
      </c>
    </row>
    <row r="385" spans="1:11" ht="12">
      <c r="A385" s="27" t="s">
        <v>519</v>
      </c>
      <c r="B385" s="1543" t="s">
        <v>8206</v>
      </c>
      <c r="C385" s="1135">
        <v>3448588571</v>
      </c>
      <c r="D385" s="1138">
        <v>324454189</v>
      </c>
      <c r="E385" s="1191">
        <v>1.26</v>
      </c>
      <c r="F385" s="126">
        <f t="shared" si="10"/>
        <v>4345221.5994600002</v>
      </c>
      <c r="G385" s="126">
        <f t="shared" si="11"/>
        <v>408812.27814000001</v>
      </c>
      <c r="H385" s="467">
        <f>F385*cnst_carbon!$C$11/10^6</f>
        <v>0.24610535253627272</v>
      </c>
      <c r="I385" s="467">
        <f>G385*carbon_intensity_n!$C$9</f>
        <v>2.2878084161337298E-2</v>
      </c>
      <c r="J385" s="801">
        <f>H385*cnst_carbon!$C$13*1000000</f>
        <v>83815.529554168606</v>
      </c>
      <c r="K385" s="118">
        <f>I385*cnst_carbon!$C$13*1000000</f>
        <v>7791.5361019411512</v>
      </c>
    </row>
    <row r="386" spans="1:11" ht="12">
      <c r="A386" s="27" t="s">
        <v>900</v>
      </c>
      <c r="B386" s="1543" t="s">
        <v>8207</v>
      </c>
      <c r="C386" s="1135">
        <v>587260273</v>
      </c>
      <c r="D386" s="1138">
        <v>862631013</v>
      </c>
      <c r="E386" s="1191">
        <v>5</v>
      </c>
      <c r="F386" s="126">
        <f t="shared" si="10"/>
        <v>2936301.3650000002</v>
      </c>
      <c r="G386" s="126">
        <f t="shared" si="11"/>
        <v>4313155.0650000004</v>
      </c>
      <c r="H386" s="467">
        <f>F386*cnst_carbon!$C$11/10^6</f>
        <v>0.16630670405299225</v>
      </c>
      <c r="I386" s="467">
        <f>G386*carbon_intensity_n!$C$9</f>
        <v>0.24137417062648953</v>
      </c>
      <c r="J386" s="801">
        <f>H386*cnst_carbon!$C$13*1000000</f>
        <v>56638.6887768136</v>
      </c>
      <c r="K386" s="118">
        <f>I386*cnst_carbon!$C$13*1000000</f>
        <v>82204.241895859202</v>
      </c>
    </row>
    <row r="387" spans="1:11" ht="12">
      <c r="A387" s="27" t="s">
        <v>901</v>
      </c>
      <c r="B387" s="1543" t="s">
        <v>8208</v>
      </c>
      <c r="C387" s="1135">
        <v>214762392</v>
      </c>
      <c r="D387" s="1138">
        <v>311263236</v>
      </c>
      <c r="E387" s="1191">
        <v>3</v>
      </c>
      <c r="F387" s="126">
        <f t="shared" si="10"/>
        <v>644287.17599999998</v>
      </c>
      <c r="G387" s="126">
        <f t="shared" si="11"/>
        <v>933789.70799999998</v>
      </c>
      <c r="H387" s="467">
        <f>F387*cnst_carbon!$C$11/10^6</f>
        <v>3.649123961912204E-2</v>
      </c>
      <c r="I387" s="467">
        <f>G387*carbon_intensity_n!$C$9</f>
        <v>5.2257039895701456E-2</v>
      </c>
      <c r="J387" s="801">
        <f>H387*cnst_carbon!$C$13*1000000</f>
        <v>12427.736907160455</v>
      </c>
      <c r="K387" s="118">
        <f>I387*cnst_carbon!$C$13*1000000</f>
        <v>17797.05896947522</v>
      </c>
    </row>
    <row r="388" spans="1:11" ht="12">
      <c r="A388" s="27" t="s">
        <v>2193</v>
      </c>
      <c r="B388" s="1543" t="s">
        <v>8209</v>
      </c>
      <c r="C388" s="1135">
        <v>3711469577</v>
      </c>
      <c r="D388" s="1138">
        <v>392979951</v>
      </c>
      <c r="E388" s="1191">
        <v>3</v>
      </c>
      <c r="F388" s="126">
        <f t="shared" si="10"/>
        <v>11134408.731000001</v>
      </c>
      <c r="G388" s="126">
        <f t="shared" si="11"/>
        <v>1178939.8529999999</v>
      </c>
      <c r="H388" s="467">
        <f>F388*cnst_carbon!$C$11/10^6</f>
        <v>0.63063241386037705</v>
      </c>
      <c r="I388" s="467">
        <f>G388*carbon_intensity_n!$C$9</f>
        <v>6.5976211137308227E-2</v>
      </c>
      <c r="J388" s="801">
        <f>H388*cnst_carbon!$C$13*1000000</f>
        <v>214773.01967229956</v>
      </c>
      <c r="K388" s="118">
        <f>I388*cnst_carbon!$C$13*1000000</f>
        <v>22469.365324494927</v>
      </c>
    </row>
    <row r="389" spans="1:11" ht="12">
      <c r="A389" s="27" t="s">
        <v>2194</v>
      </c>
      <c r="B389" s="1543" t="s">
        <v>8210</v>
      </c>
      <c r="C389" s="1135">
        <v>58608212</v>
      </c>
      <c r="D389" s="1138">
        <v>32846629</v>
      </c>
      <c r="E389" s="1191">
        <v>10</v>
      </c>
      <c r="F389" s="126">
        <f t="shared" si="10"/>
        <v>586082.12</v>
      </c>
      <c r="G389" s="126">
        <f t="shared" si="11"/>
        <v>328466.28999999998</v>
      </c>
      <c r="H389" s="467">
        <f>F389*cnst_carbon!$C$11/10^6</f>
        <v>3.3194612393469457E-2</v>
      </c>
      <c r="I389" s="467">
        <f>G389*carbon_intensity_n!$C$9</f>
        <v>1.8381736138093144E-2</v>
      </c>
      <c r="J389" s="801">
        <f>H389*cnst_carbon!$C$13*1000000</f>
        <v>11305.012212986903</v>
      </c>
      <c r="K389" s="118">
        <f>I389*cnst_carbon!$C$13*1000000</f>
        <v>6260.2252761333166</v>
      </c>
    </row>
    <row r="390" spans="1:11" ht="12">
      <c r="A390" s="27" t="s">
        <v>2195</v>
      </c>
      <c r="B390" s="1543" t="s">
        <v>8211</v>
      </c>
      <c r="C390" s="1135">
        <v>52612379</v>
      </c>
      <c r="D390" s="1138">
        <v>35279886</v>
      </c>
      <c r="E390" s="1191">
        <v>28.2</v>
      </c>
      <c r="F390" s="126">
        <f t="shared" si="10"/>
        <v>1483669.0877999999</v>
      </c>
      <c r="G390" s="126">
        <f t="shared" si="11"/>
        <v>994892.78519999993</v>
      </c>
      <c r="H390" s="467">
        <f>F390*cnst_carbon!$C$11/10^6</f>
        <v>8.4032285935789E-2</v>
      </c>
      <c r="I390" s="467">
        <f>G390*carbon_intensity_n!$C$9</f>
        <v>5.5676509949434926E-2</v>
      </c>
      <c r="J390" s="801">
        <f>H390*cnst_carbon!$C$13*1000000</f>
        <v>28618.680872929785</v>
      </c>
      <c r="K390" s="118">
        <f>I390*cnst_carbon!$C$13*1000000</f>
        <v>18961.619960915054</v>
      </c>
    </row>
    <row r="391" spans="1:11" ht="12">
      <c r="A391" s="27" t="s">
        <v>2196</v>
      </c>
      <c r="B391" s="1543" t="s">
        <v>8212</v>
      </c>
      <c r="C391" s="1135">
        <v>1854518</v>
      </c>
      <c r="D391" s="1138">
        <v>1660792</v>
      </c>
      <c r="E391" s="1191">
        <v>5</v>
      </c>
      <c r="F391" s="126">
        <f t="shared" si="10"/>
        <v>9272.59</v>
      </c>
      <c r="G391" s="126">
        <f t="shared" si="11"/>
        <v>8303.9599999999991</v>
      </c>
      <c r="H391" s="467">
        <f>F391*cnst_carbon!$C$11/10^6</f>
        <v>5.2518242824667804E-4</v>
      </c>
      <c r="I391" s="467">
        <f>G391*carbon_intensity_n!$C$9</f>
        <v>4.647088796274343E-4</v>
      </c>
      <c r="J391" s="801">
        <f>H391*cnst_carbon!$C$13*1000000</f>
        <v>178.86016245644933</v>
      </c>
      <c r="K391" s="118">
        <f>I391*cnst_carbon!$C$13*1000000</f>
        <v>158.26482615308868</v>
      </c>
    </row>
    <row r="392" spans="1:11" ht="12">
      <c r="A392" s="27" t="s">
        <v>2197</v>
      </c>
      <c r="B392" s="1543" t="s">
        <v>8213</v>
      </c>
      <c r="C392" s="1135">
        <v>166032942</v>
      </c>
      <c r="D392" s="1138">
        <v>258988472</v>
      </c>
      <c r="E392" s="1191">
        <v>10</v>
      </c>
      <c r="F392" s="126">
        <f t="shared" ref="F392:F455" si="12">C392*$E392/1000</f>
        <v>1660329.42</v>
      </c>
      <c r="G392" s="126">
        <f t="shared" ref="G392:G455" si="13">D392*E392/1000</f>
        <v>2589884.7200000002</v>
      </c>
      <c r="H392" s="467">
        <f>F392*cnst_carbon!$C$11/10^6</f>
        <v>9.4038001948214947E-2</v>
      </c>
      <c r="I392" s="467">
        <f>G392*carbon_intensity_n!$C$9</f>
        <v>0.14493596146843332</v>
      </c>
      <c r="J392" s="801">
        <f>H392*cnst_carbon!$C$13*1000000</f>
        <v>32026.304386630087</v>
      </c>
      <c r="K392" s="118">
        <f>I392*cnst_carbon!$C$13*1000000</f>
        <v>49360.504502350777</v>
      </c>
    </row>
    <row r="393" spans="1:11" ht="12">
      <c r="A393" s="27" t="s">
        <v>4120</v>
      </c>
      <c r="B393" s="1543" t="s">
        <v>8214</v>
      </c>
      <c r="C393" s="1135">
        <v>1533963769</v>
      </c>
      <c r="D393" s="1138">
        <v>1318188046</v>
      </c>
      <c r="E393" s="1191">
        <v>3.21</v>
      </c>
      <c r="F393" s="126">
        <f t="shared" si="12"/>
        <v>4924023.6984899994</v>
      </c>
      <c r="G393" s="126">
        <f t="shared" si="13"/>
        <v>4231383.6276599998</v>
      </c>
      <c r="H393" s="467">
        <f>F393*cnst_carbon!$C$11/10^6</f>
        <v>0.27888763794335414</v>
      </c>
      <c r="I393" s="467">
        <f>G393*carbon_intensity_n!$C$9</f>
        <v>0.23679805115676705</v>
      </c>
      <c r="J393" s="801">
        <f>H393*cnst_carbon!$C$13*1000000</f>
        <v>94980.116520985815</v>
      </c>
      <c r="K393" s="118">
        <f>I393*cnst_carbon!$C$13*1000000</f>
        <v>80645.763493397797</v>
      </c>
    </row>
    <row r="394" spans="1:11" ht="12">
      <c r="A394" s="27" t="s">
        <v>4121</v>
      </c>
      <c r="B394" s="1543" t="s">
        <v>8215</v>
      </c>
      <c r="C394" s="1135">
        <v>81419851</v>
      </c>
      <c r="D394" s="1138">
        <v>26109848</v>
      </c>
      <c r="E394" s="1191">
        <v>10</v>
      </c>
      <c r="F394" s="126">
        <f t="shared" si="12"/>
        <v>814198.51</v>
      </c>
      <c r="G394" s="126">
        <f t="shared" si="13"/>
        <v>261098.48</v>
      </c>
      <c r="H394" s="467">
        <f>F394*cnst_carbon!$C$11/10^6</f>
        <v>4.6114704797324928E-2</v>
      </c>
      <c r="I394" s="467">
        <f>G394*carbon_intensity_n!$C$9</f>
        <v>1.4611677093004552E-2</v>
      </c>
      <c r="J394" s="801">
        <f>H394*cnst_carbon!$C$13*1000000</f>
        <v>15705.178140131182</v>
      </c>
      <c r="K394" s="118">
        <f>I394*cnst_carbon!$C$13*1000000</f>
        <v>4976.2650044118354</v>
      </c>
    </row>
    <row r="395" spans="1:11" ht="12">
      <c r="A395" s="27" t="s">
        <v>4122</v>
      </c>
      <c r="B395" s="1543" t="s">
        <v>8216</v>
      </c>
      <c r="C395" s="1135">
        <v>25466973</v>
      </c>
      <c r="D395" s="1138">
        <v>17696287</v>
      </c>
      <c r="E395" s="1191">
        <v>10</v>
      </c>
      <c r="F395" s="126">
        <f t="shared" si="12"/>
        <v>254669.73</v>
      </c>
      <c r="G395" s="126">
        <f t="shared" si="13"/>
        <v>176962.87</v>
      </c>
      <c r="H395" s="467">
        <f>F395*cnst_carbon!$C$11/10^6</f>
        <v>1.4424024701008658E-2</v>
      </c>
      <c r="I395" s="467">
        <f>G395*carbon_intensity_n!$C$9</f>
        <v>9.9032530326922715E-3</v>
      </c>
      <c r="J395" s="801">
        <f>H395*cnst_carbon!$C$13*1000000</f>
        <v>4912.3566641618036</v>
      </c>
      <c r="K395" s="118">
        <f>I395*cnst_carbon!$C$13*1000000</f>
        <v>3372.7279341545036</v>
      </c>
    </row>
    <row r="396" spans="1:11" ht="12">
      <c r="A396" s="27" t="s">
        <v>2343</v>
      </c>
      <c r="B396" s="1543" t="s">
        <v>8217</v>
      </c>
      <c r="C396" s="1135">
        <v>101183781.00988901</v>
      </c>
      <c r="D396" s="1138">
        <v>47436251.565349899</v>
      </c>
      <c r="E396" s="1191">
        <v>3.21</v>
      </c>
      <c r="F396" s="126">
        <f t="shared" si="12"/>
        <v>324799.93704174372</v>
      </c>
      <c r="G396" s="126">
        <f t="shared" si="13"/>
        <v>152270.36752477317</v>
      </c>
      <c r="H396" s="467">
        <f>F396*cnst_carbon!$C$11/10^6</f>
        <v>1.8396070529372172E-2</v>
      </c>
      <c r="I396" s="467">
        <f>G396*carbon_intensity_n!$C$9</f>
        <v>8.5214032693913516E-3</v>
      </c>
      <c r="J396" s="801">
        <f>H396*cnst_carbon!$C$13*1000000</f>
        <v>6265.1071065506831</v>
      </c>
      <c r="K396" s="118">
        <f>I396*cnst_carbon!$C$13*1000000</f>
        <v>2902.1145627598335</v>
      </c>
    </row>
    <row r="397" spans="1:11" ht="12">
      <c r="A397" s="27" t="s">
        <v>2344</v>
      </c>
      <c r="B397" s="1543" t="s">
        <v>8218</v>
      </c>
      <c r="C397" s="1135">
        <v>174611175</v>
      </c>
      <c r="D397" s="1138">
        <v>49968104</v>
      </c>
      <c r="E397" s="1191">
        <v>23.5</v>
      </c>
      <c r="F397" s="126">
        <f t="shared" si="12"/>
        <v>4103362.6124999998</v>
      </c>
      <c r="G397" s="126">
        <f t="shared" si="13"/>
        <v>1174250.4439999999</v>
      </c>
      <c r="H397" s="467">
        <f>F397*cnst_carbon!$C$11/10^6</f>
        <v>0.23240690473852316</v>
      </c>
      <c r="I397" s="467">
        <f>G397*carbon_intensity_n!$C$9</f>
        <v>6.5713780922988227E-2</v>
      </c>
      <c r="J397" s="801">
        <f>H397*cnst_carbon!$C$13*1000000</f>
        <v>79150.280934395923</v>
      </c>
      <c r="K397" s="118">
        <f>I397*cnst_carbon!$C$13*1000000</f>
        <v>22379.990074596601</v>
      </c>
    </row>
    <row r="398" spans="1:11" ht="12">
      <c r="A398" s="27" t="s">
        <v>318</v>
      </c>
      <c r="B398" s="1543" t="s">
        <v>8219</v>
      </c>
      <c r="C398" s="1135">
        <v>17022</v>
      </c>
      <c r="D398" s="1138">
        <v>304433.78087769198</v>
      </c>
      <c r="E398" s="1191">
        <v>50</v>
      </c>
      <c r="F398" s="126">
        <f t="shared" si="12"/>
        <v>851.1</v>
      </c>
      <c r="G398" s="126">
        <f t="shared" si="13"/>
        <v>15221.6890438846</v>
      </c>
      <c r="H398" s="467">
        <f>F398*cnst_carbon!$C$11/10^6</f>
        <v>4.820473726119107E-5</v>
      </c>
      <c r="I398" s="467">
        <f>G398*carbon_intensity_n!$C$9</f>
        <v>8.5184105675133366E-4</v>
      </c>
      <c r="J398" s="801">
        <f>H398*cnst_carbon!$C$13*1000000</f>
        <v>16.416975652615296</v>
      </c>
      <c r="K398" s="118">
        <f>I398*cnst_carbon!$C$13*1000000</f>
        <v>290.10953452169457</v>
      </c>
    </row>
    <row r="399" spans="1:11" ht="12">
      <c r="A399" s="27" t="s">
        <v>319</v>
      </c>
      <c r="B399" s="1543" t="s">
        <v>8220</v>
      </c>
      <c r="C399" s="1135">
        <v>5318169</v>
      </c>
      <c r="D399" s="1138">
        <v>12086655.197911</v>
      </c>
      <c r="E399" s="1191">
        <v>18.600000000000001</v>
      </c>
      <c r="F399" s="126">
        <f t="shared" si="12"/>
        <v>98917.943400000004</v>
      </c>
      <c r="G399" s="126">
        <f t="shared" si="13"/>
        <v>224811.78668114461</v>
      </c>
      <c r="H399" s="467">
        <f>F399*cnst_carbon!$C$11/10^6</f>
        <v>5.602530222082445E-3</v>
      </c>
      <c r="I399" s="467">
        <f>G399*carbon_intensity_n!$C$9</f>
        <v>1.2580989493643573E-2</v>
      </c>
      <c r="J399" s="801">
        <f>H399*cnst_carbon!$C$13*1000000</f>
        <v>1908.0407336441988</v>
      </c>
      <c r="K399" s="118">
        <f>I399*cnst_carbon!$C$13*1000000</f>
        <v>4284.6784348981218</v>
      </c>
    </row>
    <row r="400" spans="1:11" ht="12">
      <c r="A400" s="27" t="s">
        <v>320</v>
      </c>
      <c r="B400" s="1543" t="s">
        <v>8221</v>
      </c>
      <c r="C400" s="1135">
        <v>73576123.512924507</v>
      </c>
      <c r="D400" s="1138">
        <v>1833506698.7548499</v>
      </c>
      <c r="E400" s="1191">
        <v>15</v>
      </c>
      <c r="F400" s="126">
        <f t="shared" si="12"/>
        <v>1103641.8526938676</v>
      </c>
      <c r="G400" s="126">
        <f t="shared" si="13"/>
        <v>27502600.48132275</v>
      </c>
      <c r="H400" s="467">
        <f>F400*cnst_carbon!$C$11/10^6</f>
        <v>6.2508242908661762E-2</v>
      </c>
      <c r="I400" s="467">
        <f>G400*carbon_intensity_n!$C$9</f>
        <v>1.539109371494616</v>
      </c>
      <c r="J400" s="801">
        <f>H400*cnst_carbon!$C$13*1000000</f>
        <v>21288.287422021451</v>
      </c>
      <c r="K400" s="118">
        <f>I400*cnst_carbon!$C$13*1000000</f>
        <v>524170.91170169396</v>
      </c>
    </row>
    <row r="401" spans="1:11" ht="12">
      <c r="A401" s="27" t="s">
        <v>1666</v>
      </c>
      <c r="B401" s="1543" t="s">
        <v>8222</v>
      </c>
      <c r="C401" s="1135">
        <v>146254557.06646901</v>
      </c>
      <c r="D401" s="1138">
        <v>790584924.632375</v>
      </c>
      <c r="E401" s="1191">
        <v>15</v>
      </c>
      <c r="F401" s="126">
        <f t="shared" si="12"/>
        <v>2193818.3559970348</v>
      </c>
      <c r="G401" s="126">
        <f t="shared" si="13"/>
        <v>11858773.869485624</v>
      </c>
      <c r="H401" s="467">
        <f>F401*cnst_carbon!$C$11/10^6</f>
        <v>0.1242538332153862</v>
      </c>
      <c r="I401" s="467">
        <f>G401*carbon_intensity_n!$C$9</f>
        <v>0.6636445164287591</v>
      </c>
      <c r="J401" s="801">
        <f>H401*cnst_carbon!$C$13*1000000</f>
        <v>42316.840014879373</v>
      </c>
      <c r="K401" s="118">
        <f>I401*cnst_carbon!$C$13*1000000</f>
        <v>226015.87493713034</v>
      </c>
    </row>
    <row r="402" spans="1:11" ht="12">
      <c r="A402" s="27" t="s">
        <v>1780</v>
      </c>
      <c r="B402" s="1543" t="s">
        <v>8223</v>
      </c>
      <c r="C402" s="1135">
        <v>23070557</v>
      </c>
      <c r="D402" s="1138">
        <v>21784598.390091401</v>
      </c>
      <c r="E402" s="1191">
        <v>3</v>
      </c>
      <c r="F402" s="126">
        <f t="shared" si="12"/>
        <v>69211.671000000002</v>
      </c>
      <c r="G402" s="126">
        <f t="shared" si="13"/>
        <v>65353.795170274199</v>
      </c>
      <c r="H402" s="467">
        <f>F402*cnst_carbon!$C$11/10^6</f>
        <v>3.9200216378369136E-3</v>
      </c>
      <c r="I402" s="467">
        <f>G402*carbon_intensity_n!$C$9</f>
        <v>3.6573500995885039E-3</v>
      </c>
      <c r="J402" s="801">
        <f>H402*cnst_carbon!$C$13*1000000</f>
        <v>1335.0326843894018</v>
      </c>
      <c r="K402" s="118">
        <f>I402*cnst_carbon!$C$13*1000000</f>
        <v>1245.5752473600564</v>
      </c>
    </row>
    <row r="403" spans="1:11" ht="12">
      <c r="A403" s="27" t="s">
        <v>2822</v>
      </c>
      <c r="B403" s="1543" t="s">
        <v>8224</v>
      </c>
      <c r="C403" s="1135">
        <v>188382627</v>
      </c>
      <c r="D403" s="1138">
        <v>104026750</v>
      </c>
      <c r="E403" s="1191">
        <v>15</v>
      </c>
      <c r="F403" s="126">
        <f t="shared" si="12"/>
        <v>2825739.4049999998</v>
      </c>
      <c r="G403" s="126">
        <f t="shared" si="13"/>
        <v>1560401.25</v>
      </c>
      <c r="H403" s="467">
        <f>F403*cnst_carbon!$C$11/10^6</f>
        <v>0.16004467816545573</v>
      </c>
      <c r="I403" s="467">
        <f>G403*carbon_intensity_n!$C$9</f>
        <v>8.7323676493714808E-2</v>
      </c>
      <c r="J403" s="801">
        <f>H403*cnst_carbon!$C$13*1000000</f>
        <v>54506.045132793588</v>
      </c>
      <c r="K403" s="118">
        <f>I403*cnst_carbon!$C$13*1000000</f>
        <v>29739.622127311817</v>
      </c>
    </row>
    <row r="404" spans="1:11" ht="12">
      <c r="A404" s="27" t="s">
        <v>1132</v>
      </c>
      <c r="B404" s="1543" t="s">
        <v>8225</v>
      </c>
      <c r="C404" s="1135">
        <v>91745018</v>
      </c>
      <c r="D404" s="1138">
        <v>65748882</v>
      </c>
      <c r="E404" s="1191">
        <v>16.3</v>
      </c>
      <c r="F404" s="126">
        <f t="shared" si="12"/>
        <v>1495443.7934000001</v>
      </c>
      <c r="G404" s="126">
        <f t="shared" si="13"/>
        <v>1071706.7766</v>
      </c>
      <c r="H404" s="467">
        <f>F404*cnst_carbon!$C$11/10^6</f>
        <v>8.4699183585625532E-2</v>
      </c>
      <c r="I404" s="467">
        <f>G404*carbon_intensity_n!$C$9</f>
        <v>5.9975199235414799E-2</v>
      </c>
      <c r="J404" s="801">
        <f>H404*cnst_carbon!$C$13*1000000</f>
        <v>28845.804659972331</v>
      </c>
      <c r="K404" s="118">
        <f>I404*cnst_carbon!$C$13*1000000</f>
        <v>20425.614608654912</v>
      </c>
    </row>
    <row r="405" spans="1:11" ht="12">
      <c r="A405" s="27" t="s">
        <v>1133</v>
      </c>
      <c r="B405" s="1543" t="s">
        <v>8226</v>
      </c>
      <c r="C405" s="1135">
        <v>323601559.692119</v>
      </c>
      <c r="D405" s="1138">
        <v>174913326.04216799</v>
      </c>
      <c r="E405" s="1191">
        <v>15</v>
      </c>
      <c r="F405" s="126">
        <f t="shared" si="12"/>
        <v>4854023.395381785</v>
      </c>
      <c r="G405" s="126">
        <f t="shared" si="13"/>
        <v>2623699.8906325195</v>
      </c>
      <c r="H405" s="467">
        <f>F405*cnst_carbon!$C$11/10^6</f>
        <v>0.27492294963465341</v>
      </c>
      <c r="I405" s="467">
        <f>G405*carbon_intensity_n!$C$9</f>
        <v>0.14682833692051264</v>
      </c>
      <c r="J405" s="801">
        <f>H405*cnst_carbon!$C$13*1000000</f>
        <v>93629.87181201714</v>
      </c>
      <c r="K405" s="118">
        <f>I405*cnst_carbon!$C$13*1000000</f>
        <v>50004.986424408773</v>
      </c>
    </row>
    <row r="406" spans="1:11" ht="12">
      <c r="A406" s="27" t="s">
        <v>5340</v>
      </c>
      <c r="B406" s="1543" t="s">
        <v>8227</v>
      </c>
      <c r="C406" s="1135">
        <v>1294132293</v>
      </c>
      <c r="D406" s="1138">
        <v>370739702</v>
      </c>
      <c r="E406" s="1191">
        <v>15</v>
      </c>
      <c r="F406" s="126">
        <f t="shared" si="12"/>
        <v>19411984.395</v>
      </c>
      <c r="G406" s="126">
        <f t="shared" si="13"/>
        <v>5561095.5300000003</v>
      </c>
      <c r="H406" s="467">
        <f>F406*cnst_carbon!$C$11/10^6</f>
        <v>1.0994590617780706</v>
      </c>
      <c r="I406" s="467">
        <f>G406*carbon_intensity_n!$C$9</f>
        <v>0.31121181619943172</v>
      </c>
      <c r="J406" s="801">
        <f>H406*cnst_carbon!$C$13*1000000</f>
        <v>374440.22462890722</v>
      </c>
      <c r="K406" s="118">
        <f>I406*cnst_carbon!$C$13*1000000</f>
        <v>105988.68699706749</v>
      </c>
    </row>
    <row r="407" spans="1:11" ht="12">
      <c r="A407" s="27" t="s">
        <v>5341</v>
      </c>
      <c r="B407" s="1543" t="s">
        <v>8228</v>
      </c>
      <c r="C407" s="1135">
        <v>317661903</v>
      </c>
      <c r="D407" s="1138">
        <v>88017180</v>
      </c>
      <c r="E407" s="1191">
        <v>15</v>
      </c>
      <c r="F407" s="126">
        <f t="shared" si="12"/>
        <v>4764928.5449999999</v>
      </c>
      <c r="G407" s="126">
        <f t="shared" si="13"/>
        <v>1320257.7</v>
      </c>
      <c r="H407" s="467">
        <f>F407*cnst_carbon!$C$11/10^6</f>
        <v>0.26987678131838144</v>
      </c>
      <c r="I407" s="467">
        <f>G407*carbon_intensity_n!$C$9</f>
        <v>7.3884685931350016E-2</v>
      </c>
      <c r="J407" s="801">
        <f>H407*cnst_carbon!$C$13*1000000</f>
        <v>91911.309963243577</v>
      </c>
      <c r="K407" s="118">
        <f>I407*cnst_carbon!$C$13*1000000</f>
        <v>25162.736256891494</v>
      </c>
    </row>
    <row r="408" spans="1:11" ht="12">
      <c r="A408" s="27" t="s">
        <v>5342</v>
      </c>
      <c r="B408" s="1543" t="s">
        <v>8229</v>
      </c>
      <c r="C408" s="1135">
        <v>70995597.504081801</v>
      </c>
      <c r="D408" s="1138">
        <v>61231923.3739933</v>
      </c>
      <c r="E408" s="1191">
        <v>15</v>
      </c>
      <c r="F408" s="126">
        <f t="shared" si="12"/>
        <v>1064933.9625612269</v>
      </c>
      <c r="G408" s="126">
        <f t="shared" si="13"/>
        <v>918478.8506098995</v>
      </c>
      <c r="H408" s="467">
        <f>F408*cnst_carbon!$C$11/10^6</f>
        <v>6.0315899266576226E-2</v>
      </c>
      <c r="I408" s="467">
        <f>G408*carbon_intensity_n!$C$9</f>
        <v>5.1400208771287439E-2</v>
      </c>
      <c r="J408" s="801">
        <f>H408*cnst_carbon!$C$13*1000000</f>
        <v>20541.646028681458</v>
      </c>
      <c r="K408" s="118">
        <f>I408*cnst_carbon!$C$13*1000000</f>
        <v>17505.249979174328</v>
      </c>
    </row>
    <row r="409" spans="1:11" ht="12">
      <c r="A409" s="27" t="s">
        <v>1565</v>
      </c>
      <c r="B409" s="1543" t="s">
        <v>8230</v>
      </c>
      <c r="C409" s="1135">
        <v>92794745</v>
      </c>
      <c r="D409" s="1138">
        <v>11270969</v>
      </c>
      <c r="E409" s="1191">
        <v>10</v>
      </c>
      <c r="F409" s="126">
        <f t="shared" si="12"/>
        <v>927947.45</v>
      </c>
      <c r="G409" s="126">
        <f t="shared" si="13"/>
        <v>112709.69</v>
      </c>
      <c r="H409" s="467">
        <f>F409*cnst_carbon!$C$11/10^6</f>
        <v>5.2557235365341591E-2</v>
      </c>
      <c r="I409" s="467">
        <f>G409*carbon_intensity_n!$C$9</f>
        <v>6.307495913161364E-3</v>
      </c>
      <c r="J409" s="801">
        <f>H409*cnst_carbon!$C$13*1000000</f>
        <v>17899.295844855416</v>
      </c>
      <c r="K409" s="118">
        <f>I409*cnst_carbon!$C$13*1000000</f>
        <v>2148.1292652684406</v>
      </c>
    </row>
    <row r="410" spans="1:11" ht="12">
      <c r="A410" s="27" t="s">
        <v>1566</v>
      </c>
      <c r="B410" s="1543" t="s">
        <v>8231</v>
      </c>
      <c r="C410" s="1135">
        <v>278532224</v>
      </c>
      <c r="D410" s="1138">
        <v>14270153</v>
      </c>
      <c r="E410" s="1191">
        <v>3.21</v>
      </c>
      <c r="F410" s="126">
        <f t="shared" si="12"/>
        <v>894088.43903999997</v>
      </c>
      <c r="G410" s="126">
        <f t="shared" si="13"/>
        <v>45807.191129999999</v>
      </c>
      <c r="H410" s="467">
        <f>F410*cnst_carbon!$C$11/10^6</f>
        <v>5.0639523313584352E-2</v>
      </c>
      <c r="I410" s="467">
        <f>G410*carbon_intensity_n!$C$9</f>
        <v>2.5634767591488938E-3</v>
      </c>
      <c r="J410" s="801">
        <f>H410*cnst_carbon!$C$13*1000000</f>
        <v>17246.185095763707</v>
      </c>
      <c r="K410" s="118">
        <f>I410*cnst_carbon!$C$13*1000000</f>
        <v>873.0373389022534</v>
      </c>
    </row>
    <row r="411" spans="1:11" ht="12">
      <c r="A411" s="27" t="s">
        <v>2324</v>
      </c>
      <c r="B411" s="1543" t="s">
        <v>8232</v>
      </c>
      <c r="C411" s="1135">
        <v>141854405</v>
      </c>
      <c r="D411" s="1138">
        <v>5013643.7837429401</v>
      </c>
      <c r="E411" s="1191">
        <v>10</v>
      </c>
      <c r="F411" s="126">
        <f t="shared" si="12"/>
        <v>1418544.05</v>
      </c>
      <c r="G411" s="126">
        <f t="shared" si="13"/>
        <v>50136.437837429403</v>
      </c>
      <c r="H411" s="467">
        <f>F411*cnst_carbon!$C$11/10^6</f>
        <v>8.0343723679562787E-2</v>
      </c>
      <c r="I411" s="467">
        <f>G411*carbon_intensity_n!$C$9</f>
        <v>2.8057514554432252E-3</v>
      </c>
      <c r="J411" s="801">
        <f>H411*cnst_carbon!$C$13*1000000</f>
        <v>27362.475773719059</v>
      </c>
      <c r="K411" s="118">
        <f>I411*cnst_carbon!$C$13*1000000</f>
        <v>955.54827073780484</v>
      </c>
    </row>
    <row r="412" spans="1:11" ht="12">
      <c r="A412" s="27" t="s">
        <v>2325</v>
      </c>
      <c r="B412" s="1543" t="s">
        <v>8233</v>
      </c>
      <c r="C412" s="1135"/>
      <c r="D412" s="1138">
        <v>2702</v>
      </c>
      <c r="E412" s="1191">
        <v>20</v>
      </c>
      <c r="F412" s="126">
        <f t="shared" si="12"/>
        <v>0</v>
      </c>
      <c r="G412" s="126">
        <f t="shared" si="13"/>
        <v>54.04</v>
      </c>
      <c r="H412" s="467">
        <f>F412*cnst_carbon!$C$11/10^6</f>
        <v>0</v>
      </c>
      <c r="I412" s="467">
        <f>G412*carbon_intensity_n!$C$9</f>
        <v>3.0242038563608871E-6</v>
      </c>
      <c r="J412" s="801">
        <f>H412*cnst_carbon!$C$13*1000000</f>
        <v>0</v>
      </c>
      <c r="K412" s="118">
        <f>I412*cnst_carbon!$C$13*1000000</f>
        <v>1.0299460986460571</v>
      </c>
    </row>
    <row r="413" spans="1:11" ht="12">
      <c r="A413" s="27" t="s">
        <v>2326</v>
      </c>
      <c r="B413" s="1543" t="s">
        <v>8234</v>
      </c>
      <c r="C413" s="1135"/>
      <c r="D413" s="1138"/>
      <c r="E413" s="1191">
        <v>300</v>
      </c>
      <c r="F413" s="126">
        <f t="shared" si="12"/>
        <v>0</v>
      </c>
      <c r="G413" s="126">
        <f t="shared" si="13"/>
        <v>0</v>
      </c>
      <c r="H413" s="467">
        <f>F413*cnst_carbon!$C$11/10^6</f>
        <v>0</v>
      </c>
      <c r="I413" s="467">
        <f>G413*carbon_intensity_n!$C$9</f>
        <v>0</v>
      </c>
      <c r="J413" s="801">
        <f>H413*cnst_carbon!$C$13*1000000</f>
        <v>0</v>
      </c>
      <c r="K413" s="118">
        <f>I413*cnst_carbon!$C$13*1000000</f>
        <v>0</v>
      </c>
    </row>
    <row r="414" spans="1:11" ht="12">
      <c r="A414" s="27" t="s">
        <v>2958</v>
      </c>
      <c r="B414" s="1543" t="s">
        <v>8235</v>
      </c>
      <c r="C414" s="1135"/>
      <c r="D414" s="1138"/>
      <c r="E414" s="1191">
        <v>300</v>
      </c>
      <c r="F414" s="126">
        <f t="shared" si="12"/>
        <v>0</v>
      </c>
      <c r="G414" s="126">
        <f t="shared" si="13"/>
        <v>0</v>
      </c>
      <c r="H414" s="467">
        <f>F414*cnst_carbon!$C$11/10^6</f>
        <v>0</v>
      </c>
      <c r="I414" s="467">
        <f>G414*carbon_intensity_n!$C$9</f>
        <v>0</v>
      </c>
      <c r="J414" s="801">
        <f>H414*cnst_carbon!$C$13*1000000</f>
        <v>0</v>
      </c>
      <c r="K414" s="118">
        <f>I414*cnst_carbon!$C$13*1000000</f>
        <v>0</v>
      </c>
    </row>
    <row r="415" spans="1:11" ht="12">
      <c r="A415" s="27" t="s">
        <v>3097</v>
      </c>
      <c r="B415" s="1543" t="s">
        <v>8236</v>
      </c>
      <c r="C415" s="1135"/>
      <c r="D415" s="1138">
        <v>103828</v>
      </c>
      <c r="E415" s="1191">
        <v>50</v>
      </c>
      <c r="F415" s="126">
        <f t="shared" si="12"/>
        <v>0</v>
      </c>
      <c r="G415" s="126">
        <f t="shared" si="13"/>
        <v>5191.3999999999996</v>
      </c>
      <c r="H415" s="467">
        <f>F415*cnst_carbon!$C$11/10^6</f>
        <v>0</v>
      </c>
      <c r="I415" s="467">
        <f>G415*carbon_intensity_n!$C$9</f>
        <v>2.9052279607534988E-4</v>
      </c>
      <c r="J415" s="801">
        <f>H415*cnst_carbon!$C$13*1000000</f>
        <v>0</v>
      </c>
      <c r="K415" s="118">
        <f>I415*cnst_carbon!$C$13*1000000</f>
        <v>98.942675361049965</v>
      </c>
    </row>
    <row r="416" spans="1:11" ht="12">
      <c r="A416" s="27" t="s">
        <v>5046</v>
      </c>
      <c r="B416" s="1543" t="s">
        <v>8237</v>
      </c>
      <c r="C416" s="1135"/>
      <c r="D416" s="1138">
        <v>4242.7890774401903</v>
      </c>
      <c r="E416" s="1191">
        <v>23</v>
      </c>
      <c r="F416" s="126">
        <f t="shared" si="12"/>
        <v>0</v>
      </c>
      <c r="G416" s="126">
        <f t="shared" si="13"/>
        <v>97.58414878112437</v>
      </c>
      <c r="H416" s="467">
        <f>F416*cnst_carbon!$C$11/10^6</f>
        <v>0</v>
      </c>
      <c r="I416" s="467">
        <f>G416*carbon_intensity_n!$C$9</f>
        <v>5.4610355119091574E-6</v>
      </c>
      <c r="J416" s="801">
        <f>H416*cnst_carbon!$C$13*1000000</f>
        <v>0</v>
      </c>
      <c r="K416" s="118">
        <f>I416*cnst_carbon!$C$13*1000000</f>
        <v>1.8598522081201967</v>
      </c>
    </row>
    <row r="417" spans="1:11" ht="12">
      <c r="A417" s="27" t="s">
        <v>470</v>
      </c>
      <c r="B417" s="1543" t="s">
        <v>8238</v>
      </c>
      <c r="C417" s="1135">
        <v>4117856000</v>
      </c>
      <c r="D417" s="1138">
        <v>44177000</v>
      </c>
      <c r="E417" s="1191">
        <v>24.025528629745565</v>
      </c>
      <c r="F417" s="126">
        <f t="shared" si="12"/>
        <v>98933667.221169561</v>
      </c>
      <c r="G417" s="126">
        <f t="shared" si="13"/>
        <v>1061375.7782762698</v>
      </c>
      <c r="H417" s="467">
        <f>F417*cnst_carbon!$C$11/10^6</f>
        <v>5.6034207903684514</v>
      </c>
      <c r="I417" s="467">
        <f>G417*carbon_intensity_n!$C$9</f>
        <v>5.9397052585328146E-2</v>
      </c>
      <c r="J417" s="801">
        <f>H417*cnst_carbon!$C$13*1000000</f>
        <v>1908344.0324214359</v>
      </c>
      <c r="K417" s="118">
        <f>I417*cnst_carbon!$C$13*1000000</f>
        <v>20228.716543913153</v>
      </c>
    </row>
    <row r="418" spans="1:11" ht="12">
      <c r="A418" s="27" t="s">
        <v>471</v>
      </c>
      <c r="B418" s="1543" t="s">
        <v>8239</v>
      </c>
      <c r="C418" s="1135">
        <v>2492132502</v>
      </c>
      <c r="D418" s="1138">
        <v>167136974</v>
      </c>
      <c r="E418" s="1191">
        <v>25.3</v>
      </c>
      <c r="F418" s="126">
        <f t="shared" si="12"/>
        <v>63050952.3006</v>
      </c>
      <c r="G418" s="126">
        <f t="shared" si="13"/>
        <v>4228565.4422000004</v>
      </c>
      <c r="H418" s="467">
        <f>F418*cnst_carbon!$C$11/10^6</f>
        <v>3.5710898715994754</v>
      </c>
      <c r="I418" s="467">
        <f>G418*carbon_intensity_n!$C$9</f>
        <v>0.23664033895587752</v>
      </c>
      <c r="J418" s="801">
        <f>H418*cnst_carbon!$C$13*1000000</f>
        <v>1216197.8014254004</v>
      </c>
      <c r="K418" s="118">
        <f>I418*cnst_carbon!$C$13*1000000</f>
        <v>80592.051814645252</v>
      </c>
    </row>
    <row r="419" spans="1:11" ht="12">
      <c r="A419" s="27" t="s">
        <v>472</v>
      </c>
      <c r="B419" s="1543" t="s">
        <v>8240</v>
      </c>
      <c r="C419" s="1135">
        <v>334649013</v>
      </c>
      <c r="D419" s="1138">
        <v>26927371</v>
      </c>
      <c r="E419" s="1191">
        <v>23.43969819754502</v>
      </c>
      <c r="F419" s="126">
        <f t="shared" si="12"/>
        <v>7844071.8668263201</v>
      </c>
      <c r="G419" s="126">
        <f t="shared" si="13"/>
        <v>631169.44949332601</v>
      </c>
      <c r="H419" s="467">
        <f>F419*cnst_carbon!$C$11/10^6</f>
        <v>0.44427379085684793</v>
      </c>
      <c r="I419" s="467">
        <f>G419*carbon_intensity_n!$C$9</f>
        <v>3.5321707682733058E-2</v>
      </c>
      <c r="J419" s="801">
        <f>H419*cnst_carbon!$C$13*1000000</f>
        <v>151305.29532963492</v>
      </c>
      <c r="K419" s="118">
        <f>I419*cnst_carbon!$C$13*1000000</f>
        <v>12029.432126022033</v>
      </c>
    </row>
    <row r="420" spans="1:11" ht="12">
      <c r="A420" s="27" t="s">
        <v>473</v>
      </c>
      <c r="B420" s="1543" t="s">
        <v>8241</v>
      </c>
      <c r="C420" s="1135">
        <v>1216748704</v>
      </c>
      <c r="D420" s="1138">
        <v>90388107</v>
      </c>
      <c r="E420" s="1191">
        <v>50</v>
      </c>
      <c r="F420" s="126">
        <f t="shared" si="12"/>
        <v>60837435.200000003</v>
      </c>
      <c r="G420" s="126">
        <f t="shared" si="13"/>
        <v>4519405.3499999996</v>
      </c>
      <c r="H420" s="467">
        <f>F420*cnst_carbon!$C$11/10^6</f>
        <v>3.4457203377520118</v>
      </c>
      <c r="I420" s="467">
        <f>G420*carbon_intensity_n!$C$9</f>
        <v>0.25291641539467102</v>
      </c>
      <c r="J420" s="801">
        <f>H420*cnst_carbon!$C$13*1000000</f>
        <v>1173500.9898319358</v>
      </c>
      <c r="K420" s="118">
        <f>I420*cnst_carbon!$C$13*1000000</f>
        <v>86135.157446939629</v>
      </c>
    </row>
    <row r="421" spans="1:11" ht="12">
      <c r="A421" s="27" t="s">
        <v>474</v>
      </c>
      <c r="B421" s="1543" t="s">
        <v>8242</v>
      </c>
      <c r="C421" s="1135">
        <v>1054189</v>
      </c>
      <c r="D421" s="1138">
        <v>47201582</v>
      </c>
      <c r="E421" s="1191">
        <v>50</v>
      </c>
      <c r="F421" s="126">
        <f t="shared" si="12"/>
        <v>52709.45</v>
      </c>
      <c r="G421" s="126">
        <f t="shared" si="13"/>
        <v>2360079.1</v>
      </c>
      <c r="H421" s="467">
        <f>F421*cnst_carbon!$C$11/10^6</f>
        <v>2.9853662183431879E-3</v>
      </c>
      <c r="I421" s="467">
        <f>G421*carbon_intensity_n!$C$9</f>
        <v>0.13207550546885144</v>
      </c>
      <c r="J421" s="801">
        <f>H421*cnst_carbon!$C$13*1000000</f>
        <v>1016.7192542741665</v>
      </c>
      <c r="K421" s="118">
        <f>I421*cnst_carbon!$C$13*1000000</f>
        <v>44980.648807200181</v>
      </c>
    </row>
    <row r="422" spans="1:11" ht="12">
      <c r="A422" s="27" t="s">
        <v>475</v>
      </c>
      <c r="B422" s="1543" t="s">
        <v>8243</v>
      </c>
      <c r="C422" s="1135">
        <v>32690061</v>
      </c>
      <c r="D422" s="1138">
        <v>156720562</v>
      </c>
      <c r="E422" s="1191">
        <v>25.3</v>
      </c>
      <c r="F422" s="126">
        <f t="shared" si="12"/>
        <v>827058.54330000002</v>
      </c>
      <c r="G422" s="126">
        <f t="shared" si="13"/>
        <v>3965030.2185999998</v>
      </c>
      <c r="H422" s="467">
        <f>F422*cnst_carbon!$C$11/10^6</f>
        <v>4.6843073410174969E-2</v>
      </c>
      <c r="I422" s="467">
        <f>G422*carbon_intensity_n!$C$9</f>
        <v>0.2218922960340039</v>
      </c>
      <c r="J422" s="801">
        <f>H422*cnst_carbon!$C$13*1000000</f>
        <v>15953.236950585797</v>
      </c>
      <c r="K422" s="118">
        <f>I422*cnst_carbon!$C$13*1000000</f>
        <v>75569.345015928804</v>
      </c>
    </row>
    <row r="423" spans="1:11" ht="12">
      <c r="A423" s="27" t="s">
        <v>476</v>
      </c>
      <c r="B423" s="1543" t="s">
        <v>8244</v>
      </c>
      <c r="C423" s="1135">
        <v>6603332718</v>
      </c>
      <c r="D423" s="1138">
        <v>262181582</v>
      </c>
      <c r="E423" s="1191">
        <v>25.3</v>
      </c>
      <c r="F423" s="126">
        <f t="shared" si="12"/>
        <v>167064317.76539999</v>
      </c>
      <c r="G423" s="126">
        <f t="shared" si="13"/>
        <v>6633194.0246000001</v>
      </c>
      <c r="H423" s="467">
        <f>F423*cnst_carbon!$C$11/10^6</f>
        <v>9.4622154195761272</v>
      </c>
      <c r="I423" s="467">
        <f>G423*carbon_intensity_n!$C$9</f>
        <v>0.37120893688351803</v>
      </c>
      <c r="J423" s="801">
        <f>H423*cnst_carbon!$C$13*1000000</f>
        <v>3222524.7763780477</v>
      </c>
      <c r="K423" s="118">
        <f>I423*cnst_carbon!$C$13*1000000</f>
        <v>126421.76734269262</v>
      </c>
    </row>
    <row r="424" spans="1:11" ht="12">
      <c r="A424" s="27" t="s">
        <v>477</v>
      </c>
      <c r="B424" s="1543" t="s">
        <v>8245</v>
      </c>
      <c r="C424" s="1135">
        <v>3332097428</v>
      </c>
      <c r="D424" s="1138">
        <v>1451077767</v>
      </c>
      <c r="E424" s="1191">
        <v>23.5</v>
      </c>
      <c r="F424" s="126">
        <f t="shared" si="12"/>
        <v>78304289.557999998</v>
      </c>
      <c r="G424" s="126">
        <f t="shared" si="13"/>
        <v>34100327.524499997</v>
      </c>
      <c r="H424" s="467">
        <f>F424*cnst_carbon!$C$11/10^6</f>
        <v>4.435010814907316</v>
      </c>
      <c r="I424" s="467">
        <f>G424*carbon_intensity_n!$C$9</f>
        <v>1.908333493759478</v>
      </c>
      <c r="J424" s="801">
        <f>H424*cnst_carbon!$C$13*1000000</f>
        <v>1510421.3549160189</v>
      </c>
      <c r="K424" s="118">
        <f>I424*cnst_carbon!$C$13*1000000</f>
        <v>649916.7153295991</v>
      </c>
    </row>
    <row r="425" spans="1:11" ht="12">
      <c r="A425" s="27" t="s">
        <v>144</v>
      </c>
      <c r="B425" s="1543" t="s">
        <v>8246</v>
      </c>
      <c r="C425" s="1135"/>
      <c r="D425" s="1138">
        <v>84038.2631837519</v>
      </c>
      <c r="E425" s="1191">
        <v>25</v>
      </c>
      <c r="F425" s="126">
        <f t="shared" si="12"/>
        <v>0</v>
      </c>
      <c r="G425" s="126">
        <f t="shared" si="13"/>
        <v>2100.9565795937979</v>
      </c>
      <c r="H425" s="467">
        <f>F425*cnst_carbon!$C$11/10^6</f>
        <v>0</v>
      </c>
      <c r="I425" s="467">
        <f>G425*carbon_intensity_n!$C$9</f>
        <v>1.1757440766199746E-4</v>
      </c>
      <c r="J425" s="801">
        <f>H425*cnst_carbon!$C$13*1000000</f>
        <v>0</v>
      </c>
      <c r="K425" s="118">
        <f>I425*cnst_carbon!$C$13*1000000</f>
        <v>40.042043534000676</v>
      </c>
    </row>
    <row r="426" spans="1:11" ht="12">
      <c r="A426" s="27" t="s">
        <v>145</v>
      </c>
      <c r="B426" s="1543" t="s">
        <v>8247</v>
      </c>
      <c r="C426" s="1135">
        <v>1626654153</v>
      </c>
      <c r="D426" s="1138">
        <v>208688439</v>
      </c>
      <c r="E426" s="1191">
        <v>25.3</v>
      </c>
      <c r="F426" s="126">
        <f t="shared" si="12"/>
        <v>41154350.070900001</v>
      </c>
      <c r="G426" s="126">
        <f t="shared" si="13"/>
        <v>5279817.5066999998</v>
      </c>
      <c r="H426" s="467">
        <f>F426*cnst_carbon!$C$11/10^6</f>
        <v>2.3309066294475556</v>
      </c>
      <c r="I426" s="467">
        <f>G426*carbon_intensity_n!$C$9</f>
        <v>0.29547084501561555</v>
      </c>
      <c r="J426" s="801">
        <f>H426*cnst_carbon!$C$13*1000000</f>
        <v>793831.46882055199</v>
      </c>
      <c r="K426" s="118">
        <f>I426*cnst_carbon!$C$13*1000000</f>
        <v>100627.82092133266</v>
      </c>
    </row>
    <row r="427" spans="1:11" ht="12">
      <c r="A427" s="27" t="s">
        <v>146</v>
      </c>
      <c r="B427" s="1543" t="s">
        <v>8248</v>
      </c>
      <c r="C427" s="1135">
        <v>2279395247</v>
      </c>
      <c r="D427" s="1138">
        <v>1271393294</v>
      </c>
      <c r="E427" s="1191">
        <v>21.6</v>
      </c>
      <c r="F427" s="126">
        <f t="shared" si="12"/>
        <v>49234937.335200004</v>
      </c>
      <c r="G427" s="126">
        <f t="shared" si="13"/>
        <v>27462095.150400002</v>
      </c>
      <c r="H427" s="467">
        <f>F427*cnst_carbon!$C$11/10^6</f>
        <v>2.7885762170303403</v>
      </c>
      <c r="I427" s="467">
        <f>G427*carbon_intensity_n!$C$9</f>
        <v>1.5368425991411787</v>
      </c>
      <c r="J427" s="801">
        <f>H427*cnst_carbon!$C$13*1000000</f>
        <v>949698.93959583843</v>
      </c>
      <c r="K427" s="118">
        <f>I427*cnst_carbon!$C$13*1000000</f>
        <v>523398.92229462037</v>
      </c>
    </row>
    <row r="428" spans="1:11" ht="12">
      <c r="A428" s="27" t="s">
        <v>5296</v>
      </c>
      <c r="B428" s="1543" t="s">
        <v>8249</v>
      </c>
      <c r="C428" s="1135">
        <v>829991481</v>
      </c>
      <c r="D428" s="1138">
        <v>1147081802</v>
      </c>
      <c r="E428" s="1191">
        <v>25.3</v>
      </c>
      <c r="F428" s="126">
        <f t="shared" si="12"/>
        <v>20998784.469299998</v>
      </c>
      <c r="G428" s="126">
        <f t="shared" si="13"/>
        <v>29021169.590600003</v>
      </c>
      <c r="H428" s="467">
        <f>F428*cnst_carbon!$C$11/10^6</f>
        <v>1.1893324969415884</v>
      </c>
      <c r="I428" s="467">
        <f>G428*carbon_intensity_n!$C$9</f>
        <v>1.6240920242782353</v>
      </c>
      <c r="J428" s="801">
        <f>H428*cnst_carbon!$C$13*1000000</f>
        <v>405048.21215722495</v>
      </c>
      <c r="K428" s="118">
        <f>I428*cnst_carbon!$C$13*1000000</f>
        <v>553113.2568094756</v>
      </c>
    </row>
    <row r="429" spans="1:11" ht="12">
      <c r="A429" s="27" t="s">
        <v>152</v>
      </c>
      <c r="B429" s="1543" t="s">
        <v>8250</v>
      </c>
      <c r="C429" s="1135">
        <v>29830725</v>
      </c>
      <c r="D429" s="1138">
        <v>22485398</v>
      </c>
      <c r="E429" s="1191">
        <v>25.3</v>
      </c>
      <c r="F429" s="126">
        <f t="shared" si="12"/>
        <v>754717.34250000003</v>
      </c>
      <c r="G429" s="126">
        <f t="shared" si="13"/>
        <v>568880.56939999992</v>
      </c>
      <c r="H429" s="467">
        <f>F429*cnst_carbon!$C$11/10^6</f>
        <v>4.2745800965429272E-2</v>
      </c>
      <c r="I429" s="467">
        <f>G429*carbon_intensity_n!$C$9</f>
        <v>3.1835877346192767E-2</v>
      </c>
      <c r="J429" s="801">
        <f>H429*cnst_carbon!$C$13*1000000</f>
        <v>14557.838369673384</v>
      </c>
      <c r="K429" s="118">
        <f>I429*cnst_carbon!$C$13*1000000</f>
        <v>10842.270966859318</v>
      </c>
    </row>
    <row r="430" spans="1:11" ht="12">
      <c r="A430" s="27" t="s">
        <v>153</v>
      </c>
      <c r="B430" s="1543" t="s">
        <v>8251</v>
      </c>
      <c r="C430" s="1135">
        <v>769094709</v>
      </c>
      <c r="D430" s="1138">
        <v>920816167</v>
      </c>
      <c r="E430" s="1191">
        <v>25.3</v>
      </c>
      <c r="F430" s="126">
        <f t="shared" si="12"/>
        <v>19458096.137699999</v>
      </c>
      <c r="G430" s="126">
        <f t="shared" si="13"/>
        <v>23296649.025100004</v>
      </c>
      <c r="H430" s="467">
        <f>F430*cnst_carbon!$C$11/10^6</f>
        <v>1.1020707460002646</v>
      </c>
      <c r="I430" s="467">
        <f>G430*carbon_intensity_n!$C$9</f>
        <v>1.3037345636934405</v>
      </c>
      <c r="J430" s="801">
        <f>H430*cnst_carbon!$C$13*1000000</f>
        <v>375329.67987177602</v>
      </c>
      <c r="K430" s="118">
        <f>I430*cnst_carbon!$C$13*1000000</f>
        <v>444009.85889948584</v>
      </c>
    </row>
    <row r="431" spans="1:11" ht="12">
      <c r="A431" s="27" t="s">
        <v>3762</v>
      </c>
      <c r="B431" s="1543" t="s">
        <v>8252</v>
      </c>
      <c r="C431" s="1135">
        <v>181568039</v>
      </c>
      <c r="D431" s="1138">
        <v>286621521</v>
      </c>
      <c r="E431" s="1191">
        <v>32</v>
      </c>
      <c r="F431" s="126">
        <f t="shared" si="12"/>
        <v>5810177.2479999997</v>
      </c>
      <c r="G431" s="126">
        <f t="shared" si="13"/>
        <v>9171888.6720000003</v>
      </c>
      <c r="H431" s="467">
        <f>F431*cnst_carbon!$C$11/10^6</f>
        <v>0.32907774372082027</v>
      </c>
      <c r="I431" s="467">
        <f>G431*carbon_intensity_n!$C$9</f>
        <v>0.51328018304913281</v>
      </c>
      <c r="J431" s="801">
        <f>H431*cnst_carbon!$C$13*1000000</f>
        <v>112073.24452801705</v>
      </c>
      <c r="K431" s="118">
        <f>I431*cnst_carbon!$C$13*1000000</f>
        <v>174806.64239345607</v>
      </c>
    </row>
    <row r="432" spans="1:11" ht="12">
      <c r="A432" s="27" t="s">
        <v>3763</v>
      </c>
      <c r="B432" s="1543" t="s">
        <v>8253</v>
      </c>
      <c r="C432" s="1135">
        <v>1256998695</v>
      </c>
      <c r="D432" s="1138">
        <v>1264832868</v>
      </c>
      <c r="E432" s="1191">
        <v>25.3</v>
      </c>
      <c r="F432" s="126">
        <f t="shared" si="12"/>
        <v>31802066.9835</v>
      </c>
      <c r="G432" s="126">
        <f t="shared" si="13"/>
        <v>32000271.560400002</v>
      </c>
      <c r="H432" s="467">
        <f>F432*cnst_carbon!$C$11/10^6</f>
        <v>1.8012105314327536</v>
      </c>
      <c r="I432" s="467">
        <f>G432*carbon_intensity_n!$C$9</f>
        <v>1.7908094866313342</v>
      </c>
      <c r="J432" s="801">
        <f>H432*cnst_carbon!$C$13*1000000</f>
        <v>613434.09631178493</v>
      </c>
      <c r="K432" s="118">
        <f>I432*cnst_carbon!$C$13*1000000</f>
        <v>609891.83658860752</v>
      </c>
    </row>
    <row r="433" spans="1:11" ht="12">
      <c r="A433" s="27" t="s">
        <v>3764</v>
      </c>
      <c r="B433" s="1543" t="s">
        <v>8254</v>
      </c>
      <c r="C433" s="1135">
        <v>489794951</v>
      </c>
      <c r="D433" s="1138">
        <v>126577044</v>
      </c>
      <c r="E433" s="1191">
        <v>36.950000000000003</v>
      </c>
      <c r="F433" s="126">
        <f t="shared" si="12"/>
        <v>18097923.439449999</v>
      </c>
      <c r="G433" s="126">
        <f t="shared" si="13"/>
        <v>4677021.7757999999</v>
      </c>
      <c r="H433" s="467">
        <f>F433*cnst_carbon!$C$11/10^6</f>
        <v>1.0250330682315105</v>
      </c>
      <c r="I433" s="467">
        <f>G433*carbon_intensity_n!$C$9</f>
        <v>0.26173699649626581</v>
      </c>
      <c r="J433" s="801">
        <f>H433*cnst_carbon!$C$13*1000000</f>
        <v>349093.13649200596</v>
      </c>
      <c r="K433" s="118">
        <f>I433*cnst_carbon!$C$13*1000000</f>
        <v>89139.162310656262</v>
      </c>
    </row>
    <row r="434" spans="1:11" ht="12">
      <c r="A434" s="27" t="s">
        <v>5041</v>
      </c>
      <c r="B434" s="1543" t="s">
        <v>8255</v>
      </c>
      <c r="C434" s="1135">
        <v>2564108625</v>
      </c>
      <c r="D434" s="1138">
        <v>1605683143</v>
      </c>
      <c r="E434" s="1191">
        <v>32</v>
      </c>
      <c r="F434" s="126">
        <f t="shared" si="12"/>
        <v>82051476</v>
      </c>
      <c r="G434" s="126">
        <f t="shared" si="13"/>
        <v>51381860.575999998</v>
      </c>
      <c r="H434" s="467">
        <f>F434*cnst_carbon!$C$11/10^6</f>
        <v>4.6472445570120131</v>
      </c>
      <c r="I434" s="467">
        <f>G434*carbon_intensity_n!$C$9</f>
        <v>2.8754482032001594</v>
      </c>
      <c r="J434" s="801">
        <f>H434*cnst_carbon!$C$13*1000000</f>
        <v>1582701.3086043331</v>
      </c>
      <c r="K434" s="118">
        <f>I434*cnst_carbon!$C$13*1000000</f>
        <v>979284.73059635155</v>
      </c>
    </row>
    <row r="435" spans="1:11" ht="12">
      <c r="A435" s="27" t="s">
        <v>5042</v>
      </c>
      <c r="B435" s="1543" t="s">
        <v>8256</v>
      </c>
      <c r="C435" s="1135">
        <v>5131122.2553485697</v>
      </c>
      <c r="D435" s="1138">
        <v>3062547.7431892799</v>
      </c>
      <c r="E435" s="1191">
        <v>25.3</v>
      </c>
      <c r="F435" s="126">
        <f t="shared" si="12"/>
        <v>129817.39306031881</v>
      </c>
      <c r="G435" s="126">
        <f t="shared" si="13"/>
        <v>77482.45790268878</v>
      </c>
      <c r="H435" s="467">
        <f>F435*cnst_carbon!$C$11/10^6</f>
        <v>7.3526181699041671E-3</v>
      </c>
      <c r="I435" s="467">
        <f>G435*carbon_intensity_n!$C$9</f>
        <v>4.336098223346253E-3</v>
      </c>
      <c r="J435" s="801">
        <f>H435*cnst_carbon!$C$13*1000000</f>
        <v>2504.0641301342303</v>
      </c>
      <c r="K435" s="118">
        <f>I435*cnst_carbon!$C$13*1000000</f>
        <v>1476.7349228419998</v>
      </c>
    </row>
    <row r="436" spans="1:11" ht="12">
      <c r="A436" s="27" t="s">
        <v>5043</v>
      </c>
      <c r="B436" s="1543" t="s">
        <v>8257</v>
      </c>
      <c r="C436" s="1135">
        <v>424194226</v>
      </c>
      <c r="D436" s="1138">
        <v>211575181</v>
      </c>
      <c r="E436" s="1191">
        <v>25.3</v>
      </c>
      <c r="F436" s="126">
        <f t="shared" si="12"/>
        <v>10732113.917800002</v>
      </c>
      <c r="G436" s="126">
        <f t="shared" si="13"/>
        <v>5352852.0793000003</v>
      </c>
      <c r="H436" s="467">
        <f>F436*cnst_carbon!$C$11/10^6</f>
        <v>0.60784717620105866</v>
      </c>
      <c r="I436" s="467">
        <f>G436*carbon_intensity_n!$C$9</f>
        <v>0.29955802925145175</v>
      </c>
      <c r="J436" s="801">
        <f>H436*cnst_carbon!$C$13*1000000</f>
        <v>207013.10408837549</v>
      </c>
      <c r="K436" s="118">
        <f>I436*cnst_carbon!$C$13*1000000</f>
        <v>102019.78378431662</v>
      </c>
    </row>
    <row r="437" spans="1:11" ht="12">
      <c r="A437" s="27" t="s">
        <v>5387</v>
      </c>
      <c r="B437" s="1543" t="s">
        <v>8258</v>
      </c>
      <c r="C437" s="1135">
        <v>44199396</v>
      </c>
      <c r="D437" s="1138">
        <v>85202339</v>
      </c>
      <c r="E437" s="1191">
        <v>25.15</v>
      </c>
      <c r="F437" s="126">
        <f t="shared" si="12"/>
        <v>1111614.8093999999</v>
      </c>
      <c r="G437" s="126">
        <f t="shared" si="13"/>
        <v>2142838.8258499997</v>
      </c>
      <c r="H437" s="467">
        <f>F437*cnst_carbon!$C$11/10^6</f>
        <v>6.2959816499560547E-2</v>
      </c>
      <c r="I437" s="467">
        <f>G437*carbon_intensity_n!$C$9</f>
        <v>0.11991823539406743</v>
      </c>
      <c r="J437" s="801">
        <f>H437*cnst_carbon!$C$13*1000000</f>
        <v>21442.078793333789</v>
      </c>
      <c r="K437" s="118">
        <f>I437*cnst_carbon!$C$13*1000000</f>
        <v>40840.275512796165</v>
      </c>
    </row>
    <row r="438" spans="1:11" ht="12">
      <c r="A438" s="27" t="s">
        <v>281</v>
      </c>
      <c r="B438" s="1543" t="s">
        <v>8259</v>
      </c>
      <c r="C438" s="1135">
        <v>652370735</v>
      </c>
      <c r="D438" s="1138">
        <v>180788583</v>
      </c>
      <c r="E438" s="1191">
        <v>25.3</v>
      </c>
      <c r="F438" s="126">
        <f t="shared" si="12"/>
        <v>16504979.5955</v>
      </c>
      <c r="G438" s="126">
        <f t="shared" si="13"/>
        <v>4573951.1499000005</v>
      </c>
      <c r="H438" s="467">
        <f>F438*cnst_carbon!$C$11/10^6</f>
        <v>0.93481166126471282</v>
      </c>
      <c r="I438" s="467">
        <f>G438*carbon_intensity_n!$C$9</f>
        <v>0.25596892498767387</v>
      </c>
      <c r="J438" s="801">
        <f>H438*cnst_carbon!$C$13*1000000</f>
        <v>318366.64101308386</v>
      </c>
      <c r="K438" s="118">
        <f>I438*cnst_carbon!$C$13*1000000</f>
        <v>87174.743564714154</v>
      </c>
    </row>
    <row r="439" spans="1:11" ht="12">
      <c r="A439" s="27" t="s">
        <v>282</v>
      </c>
      <c r="B439" s="1543" t="s">
        <v>8260</v>
      </c>
      <c r="C439" s="1135">
        <v>23055986</v>
      </c>
      <c r="D439" s="1138">
        <v>81378704</v>
      </c>
      <c r="E439" s="1191">
        <v>25</v>
      </c>
      <c r="F439" s="126">
        <f t="shared" si="12"/>
        <v>576399.65</v>
      </c>
      <c r="G439" s="126">
        <f t="shared" si="13"/>
        <v>2034467.6</v>
      </c>
      <c r="H439" s="467">
        <f>F439*cnst_carbon!$C$11/10^6</f>
        <v>3.2646215116546223E-2</v>
      </c>
      <c r="I439" s="467">
        <f>G439*carbon_intensity_n!$C$9</f>
        <v>0.1138535300066854</v>
      </c>
      <c r="J439" s="801">
        <f>H439*cnst_carbon!$C$13*1000000</f>
        <v>11118.245823318033</v>
      </c>
      <c r="K439" s="118">
        <f>I439*cnst_carbon!$C$13*1000000</f>
        <v>38774.832854215529</v>
      </c>
    </row>
    <row r="440" spans="1:11" ht="12">
      <c r="A440" s="27" t="s">
        <v>754</v>
      </c>
      <c r="B440" s="1543" t="s">
        <v>8261</v>
      </c>
      <c r="C440" s="1135">
        <v>1060000714</v>
      </c>
      <c r="D440" s="1138">
        <v>307437814</v>
      </c>
      <c r="E440" s="1191">
        <v>24.9</v>
      </c>
      <c r="F440" s="126">
        <f t="shared" si="12"/>
        <v>26394017.7786</v>
      </c>
      <c r="G440" s="126">
        <f t="shared" si="13"/>
        <v>7655201.5685999999</v>
      </c>
      <c r="H440" s="467">
        <f>F440*cnst_carbon!$C$11/10^6</f>
        <v>1.4949085798197848</v>
      </c>
      <c r="I440" s="467">
        <f>G440*carbon_intensity_n!$C$9</f>
        <v>0.42840285168356829</v>
      </c>
      <c r="J440" s="801">
        <f>H440*cnst_carbon!$C$13*1000000</f>
        <v>509117.55051811936</v>
      </c>
      <c r="K440" s="118">
        <f>I440*cnst_carbon!$C$13*1000000</f>
        <v>145900.16635693461</v>
      </c>
    </row>
    <row r="441" spans="1:11" ht="12">
      <c r="A441" s="27" t="s">
        <v>755</v>
      </c>
      <c r="B441" s="1543" t="s">
        <v>8262</v>
      </c>
      <c r="C441" s="1135">
        <v>4572502949</v>
      </c>
      <c r="D441" s="1138">
        <v>1397113189</v>
      </c>
      <c r="E441" s="1191">
        <v>24.9</v>
      </c>
      <c r="F441" s="126">
        <f t="shared" si="12"/>
        <v>113855323.43009999</v>
      </c>
      <c r="G441" s="126">
        <f t="shared" si="13"/>
        <v>34788118.406099997</v>
      </c>
      <c r="H441" s="467">
        <f>F441*cnst_carbon!$C$11/10^6</f>
        <v>6.4485559296626738</v>
      </c>
      <c r="I441" s="467">
        <f>G441*carbon_intensity_n!$C$9</f>
        <v>1.9468238682321755</v>
      </c>
      <c r="J441" s="801">
        <f>H441*cnst_carbon!$C$13*1000000</f>
        <v>2196169.7481759968</v>
      </c>
      <c r="K441" s="118">
        <f>I441*cnst_carbon!$C$13*1000000</f>
        <v>663025.29296076577</v>
      </c>
    </row>
    <row r="442" spans="1:11" ht="12">
      <c r="A442" s="27" t="s">
        <v>756</v>
      </c>
      <c r="B442" s="1543" t="s">
        <v>8263</v>
      </c>
      <c r="C442" s="1135"/>
      <c r="D442" s="1138">
        <v>91020.647216410798</v>
      </c>
      <c r="E442" s="1191">
        <v>25.3</v>
      </c>
      <c r="F442" s="126">
        <f t="shared" si="12"/>
        <v>0</v>
      </c>
      <c r="G442" s="126">
        <f t="shared" si="13"/>
        <v>2302.822374575193</v>
      </c>
      <c r="H442" s="467">
        <f>F442*cnst_carbon!$C$11/10^6</f>
        <v>0</v>
      </c>
      <c r="I442" s="467">
        <f>G442*carbon_intensity_n!$C$9</f>
        <v>1.2887128618994139E-4</v>
      </c>
      <c r="J442" s="801">
        <f>H442*cnst_carbon!$C$13*1000000</f>
        <v>0</v>
      </c>
      <c r="K442" s="118">
        <f>I442*cnst_carbon!$C$13*1000000</f>
        <v>43.88939527328958</v>
      </c>
    </row>
    <row r="443" spans="1:11" ht="12">
      <c r="A443" s="27" t="s">
        <v>4181</v>
      </c>
      <c r="B443" s="1543" t="s">
        <v>8264</v>
      </c>
      <c r="C443" s="1135">
        <v>596211464</v>
      </c>
      <c r="D443" s="1138">
        <v>170178876</v>
      </c>
      <c r="E443" s="1191">
        <v>25.3</v>
      </c>
      <c r="F443" s="126">
        <f t="shared" si="12"/>
        <v>15084150.0392</v>
      </c>
      <c r="G443" s="126">
        <f t="shared" si="13"/>
        <v>4305525.5628000004</v>
      </c>
      <c r="H443" s="467">
        <f>F443*cnst_carbon!$C$11/10^6</f>
        <v>0.85433849071556922</v>
      </c>
      <c r="I443" s="467">
        <f>G443*carbon_intensity_n!$C$9</f>
        <v>0.24094720597113509</v>
      </c>
      <c r="J443" s="801">
        <f>H443*cnst_carbon!$C$13*1000000</f>
        <v>290960.07981899002</v>
      </c>
      <c r="K443" s="118">
        <f>I443*cnst_carbon!$C$13*1000000</f>
        <v>82058.831532693002</v>
      </c>
    </row>
    <row r="444" spans="1:11" ht="12">
      <c r="A444" s="27" t="s">
        <v>4182</v>
      </c>
      <c r="B444" s="1543" t="s">
        <v>8265</v>
      </c>
      <c r="C444" s="1135">
        <v>237897749</v>
      </c>
      <c r="D444" s="1138">
        <v>115603888</v>
      </c>
      <c r="E444" s="1191">
        <v>25</v>
      </c>
      <c r="F444" s="126">
        <f t="shared" si="12"/>
        <v>5947443.7249999996</v>
      </c>
      <c r="G444" s="126">
        <f t="shared" si="13"/>
        <v>2890097.2</v>
      </c>
      <c r="H444" s="467">
        <f>F444*cnst_carbon!$C$11/10^6</f>
        <v>0.33685226429249732</v>
      </c>
      <c r="I444" s="467">
        <f>G444*carbon_intensity_n!$C$9</f>
        <v>0.16173654880639901</v>
      </c>
      <c r="J444" s="801">
        <f>H444*cnst_carbon!$C$13*1000000</f>
        <v>114720.99498134719</v>
      </c>
      <c r="K444" s="118">
        <f>I444*cnst_carbon!$C$13*1000000</f>
        <v>55082.241596000989</v>
      </c>
    </row>
    <row r="445" spans="1:11" ht="12">
      <c r="A445" s="27" t="s">
        <v>3645</v>
      </c>
      <c r="B445" s="1543" t="s">
        <v>8266</v>
      </c>
      <c r="C445" s="1135"/>
      <c r="D445" s="1138">
        <v>1056101.82561242</v>
      </c>
      <c r="E445" s="1191">
        <v>25.3</v>
      </c>
      <c r="F445" s="126">
        <f t="shared" si="12"/>
        <v>0</v>
      </c>
      <c r="G445" s="126">
        <f t="shared" si="13"/>
        <v>26719.376187994229</v>
      </c>
      <c r="H445" s="467">
        <f>F445*cnst_carbon!$C$11/10^6</f>
        <v>0</v>
      </c>
      <c r="I445" s="467">
        <f>G445*carbon_intensity_n!$C$9</f>
        <v>1.4952783217485085E-3</v>
      </c>
      <c r="J445" s="801">
        <f>H445*cnst_carbon!$C$13*1000000</f>
        <v>0</v>
      </c>
      <c r="K445" s="118">
        <f>I445*cnst_carbon!$C$13*1000000</f>
        <v>509.24347266989287</v>
      </c>
    </row>
    <row r="446" spans="1:11" ht="12">
      <c r="A446" s="27" t="s">
        <v>3204</v>
      </c>
      <c r="B446" s="1543" t="s">
        <v>8267</v>
      </c>
      <c r="C446" s="1135">
        <v>181041222</v>
      </c>
      <c r="D446" s="1138">
        <v>121701036</v>
      </c>
      <c r="E446" s="1191">
        <v>25.3</v>
      </c>
      <c r="F446" s="126">
        <f t="shared" si="12"/>
        <v>4580342.9166000001</v>
      </c>
      <c r="G446" s="126">
        <f t="shared" si="13"/>
        <v>3079036.2108</v>
      </c>
      <c r="H446" s="467">
        <f>F446*cnst_carbon!$C$11/10^6</f>
        <v>0.25942219111838866</v>
      </c>
      <c r="I446" s="467">
        <f>G446*carbon_intensity_n!$C$9</f>
        <v>0.17231001448142438</v>
      </c>
      <c r="J446" s="801">
        <f>H446*cnst_carbon!$C$13*1000000</f>
        <v>88350.814407767743</v>
      </c>
      <c r="K446" s="118">
        <f>I446*cnst_carbon!$C$13*1000000</f>
        <v>58683.222296509972</v>
      </c>
    </row>
    <row r="447" spans="1:11" ht="12">
      <c r="A447" s="27" t="s">
        <v>1421</v>
      </c>
      <c r="B447" s="1543" t="s">
        <v>8268</v>
      </c>
      <c r="C447" s="1135">
        <v>7898948</v>
      </c>
      <c r="D447" s="1138">
        <v>2253605</v>
      </c>
      <c r="E447" s="1191">
        <v>128.19999999999999</v>
      </c>
      <c r="F447" s="126">
        <f t="shared" si="12"/>
        <v>1012645.1335999999</v>
      </c>
      <c r="G447" s="126">
        <f t="shared" si="13"/>
        <v>288912.16100000002</v>
      </c>
      <c r="H447" s="467">
        <f>F447*cnst_carbon!$C$11/10^6</f>
        <v>5.735435624957317E-2</v>
      </c>
      <c r="I447" s="467">
        <f>G447*carbon_intensity_n!$C$9</f>
        <v>1.6168195252512167E-2</v>
      </c>
      <c r="J447" s="801">
        <f>H447*cnst_carbon!$C$13*1000000</f>
        <v>19533.040186876467</v>
      </c>
      <c r="K447" s="118">
        <f>I447*cnst_carbon!$C$13*1000000</f>
        <v>5506.3647867015452</v>
      </c>
    </row>
    <row r="448" spans="1:11" ht="12">
      <c r="A448" s="27" t="s">
        <v>3052</v>
      </c>
      <c r="B448" s="1543" t="s">
        <v>8269</v>
      </c>
      <c r="C448" s="1135">
        <v>150929</v>
      </c>
      <c r="D448" s="1138">
        <v>79777</v>
      </c>
      <c r="E448" s="1191">
        <v>500</v>
      </c>
      <c r="F448" s="126">
        <f t="shared" si="12"/>
        <v>75464.5</v>
      </c>
      <c r="G448" s="126">
        <f t="shared" si="13"/>
        <v>39888.5</v>
      </c>
      <c r="H448" s="467">
        <f>F448*cnst_carbon!$C$11/10^6</f>
        <v>4.2741703619400221E-3</v>
      </c>
      <c r="I448" s="467">
        <f>G448*carbon_intensity_n!$C$9</f>
        <v>2.2322530629987278E-3</v>
      </c>
      <c r="J448" s="801">
        <f>H448*cnst_carbon!$C$13*1000000</f>
        <v>1455.6442946032037</v>
      </c>
      <c r="K448" s="118">
        <f>I448*cnst_carbon!$C$13*1000000</f>
        <v>760.23325232870559</v>
      </c>
    </row>
    <row r="449" spans="1:11" ht="12">
      <c r="A449" s="27" t="s">
        <v>3053</v>
      </c>
      <c r="B449" s="1543" t="s">
        <v>8270</v>
      </c>
      <c r="C449" s="1135">
        <v>737494694</v>
      </c>
      <c r="D449" s="1138">
        <v>156756530</v>
      </c>
      <c r="E449" s="1191">
        <v>60.440418626825092</v>
      </c>
      <c r="F449" s="126">
        <f t="shared" si="12"/>
        <v>44574488.040422268</v>
      </c>
      <c r="G449" s="126">
        <f t="shared" si="13"/>
        <v>9474430.2956884671</v>
      </c>
      <c r="H449" s="467">
        <f>F449*cnst_carbon!$C$11/10^6</f>
        <v>2.5246169481149789</v>
      </c>
      <c r="I449" s="467">
        <f>G449*carbon_intensity_n!$C$9</f>
        <v>0.53021111467511994</v>
      </c>
      <c r="J449" s="801">
        <f>H449*cnst_carbon!$C$13*1000000</f>
        <v>859802.94311761693</v>
      </c>
      <c r="K449" s="118">
        <f>I449*cnst_carbon!$C$13*1000000</f>
        <v>180572.77053919958</v>
      </c>
    </row>
    <row r="450" spans="1:11" ht="12">
      <c r="A450" s="27" t="s">
        <v>3349</v>
      </c>
      <c r="B450" s="1543" t="s">
        <v>8271</v>
      </c>
      <c r="C450" s="1135">
        <v>406020284</v>
      </c>
      <c r="D450" s="1138">
        <v>308703951</v>
      </c>
      <c r="E450" s="1191">
        <v>31.733767501251176</v>
      </c>
      <c r="F450" s="126">
        <f t="shared" si="12"/>
        <v>12884553.293247972</v>
      </c>
      <c r="G450" s="126">
        <f t="shared" si="13"/>
        <v>9796339.4077516347</v>
      </c>
      <c r="H450" s="467">
        <f>F450*cnst_carbon!$C$11/10^6</f>
        <v>0.72975738013022273</v>
      </c>
      <c r="I450" s="467">
        <f>G450*carbon_intensity_n!$C$9</f>
        <v>0.54822589591307591</v>
      </c>
      <c r="J450" s="801">
        <f>H450*cnst_carbon!$C$13*1000000</f>
        <v>248531.77970870183</v>
      </c>
      <c r="K450" s="118">
        <f>I450*cnst_carbon!$C$13*1000000</f>
        <v>186708.022835426</v>
      </c>
    </row>
    <row r="451" spans="1:11" ht="12">
      <c r="A451" s="27" t="s">
        <v>4575</v>
      </c>
      <c r="B451" s="1543" t="s">
        <v>8272</v>
      </c>
      <c r="C451" s="1135">
        <v>114649403</v>
      </c>
      <c r="D451" s="1138">
        <v>7786916</v>
      </c>
      <c r="E451" s="1191">
        <v>156.03122580337245</v>
      </c>
      <c r="F451" s="126">
        <f t="shared" si="12"/>
        <v>17888886.887714848</v>
      </c>
      <c r="G451" s="126">
        <f t="shared" si="13"/>
        <v>1215002.0487078938</v>
      </c>
      <c r="H451" s="467">
        <f>F451*cnst_carbon!$C$11/10^6</f>
        <v>1.0131936227440492</v>
      </c>
      <c r="I451" s="467">
        <f>G451*carbon_intensity_n!$C$9</f>
        <v>6.7994335329178215E-2</v>
      </c>
      <c r="J451" s="801">
        <f>H451*cnst_carbon!$C$13*1000000</f>
        <v>345061.00398073508</v>
      </c>
      <c r="K451" s="118">
        <f>I451*cnst_carbon!$C$13*1000000</f>
        <v>23156.673203435639</v>
      </c>
    </row>
    <row r="452" spans="1:11" ht="12">
      <c r="A452" s="27" t="s">
        <v>4576</v>
      </c>
      <c r="B452" s="1543" t="s">
        <v>8273</v>
      </c>
      <c r="C452" s="1135">
        <v>21836854</v>
      </c>
      <c r="D452" s="1138">
        <v>37969876</v>
      </c>
      <c r="E452" s="1191">
        <v>186.93146185720184</v>
      </c>
      <c r="F452" s="126">
        <f t="shared" si="12"/>
        <v>4081995.0405822853</v>
      </c>
      <c r="G452" s="126">
        <f t="shared" si="13"/>
        <v>7097764.4272166835</v>
      </c>
      <c r="H452" s="467">
        <f>F452*cnst_carbon!$C$11/10^6</f>
        <v>0.23119668479938199</v>
      </c>
      <c r="I452" s="467">
        <f>G452*carbon_intensity_n!$C$9</f>
        <v>0.39720737513563686</v>
      </c>
      <c r="J452" s="801">
        <f>H452*cnst_carbon!$C$13*1000000</f>
        <v>78738.119134456283</v>
      </c>
      <c r="K452" s="118">
        <f>I452*cnst_carbon!$C$13*1000000</f>
        <v>135275.99520578439</v>
      </c>
    </row>
    <row r="453" spans="1:11" ht="12">
      <c r="A453" s="27" t="s">
        <v>5198</v>
      </c>
      <c r="B453" s="1543" t="s">
        <v>8274</v>
      </c>
      <c r="C453" s="1135">
        <v>2896858900</v>
      </c>
      <c r="D453" s="1138">
        <v>515348516</v>
      </c>
      <c r="E453" s="1191">
        <v>193.97613586287301</v>
      </c>
      <c r="F453" s="126">
        <f t="shared" si="12"/>
        <v>561921495.56197286</v>
      </c>
      <c r="G453" s="126">
        <f t="shared" si="13"/>
        <v>99965313.756345972</v>
      </c>
      <c r="H453" s="467">
        <f>F453*cnst_carbon!$C$11/10^6</f>
        <v>31.826199101140222</v>
      </c>
      <c r="I453" s="467">
        <f>G453*carbon_intensity_n!$C$9</f>
        <v>5.594291031907245</v>
      </c>
      <c r="J453" s="801">
        <f>H453*cnst_carbon!$C$13*1000000</f>
        <v>10838974.869371496</v>
      </c>
      <c r="K453" s="118">
        <f>I453*cnst_carbon!$C$13*1000000</f>
        <v>1905234.7317408873</v>
      </c>
    </row>
    <row r="454" spans="1:11" ht="12">
      <c r="A454" s="27" t="s">
        <v>3533</v>
      </c>
      <c r="B454" s="1543" t="s">
        <v>8275</v>
      </c>
      <c r="C454" s="1135">
        <v>1257863913</v>
      </c>
      <c r="D454" s="1138">
        <v>1363041683</v>
      </c>
      <c r="E454" s="1191">
        <v>225.5</v>
      </c>
      <c r="F454" s="126">
        <f t="shared" si="12"/>
        <v>283648312.38150001</v>
      </c>
      <c r="G454" s="126">
        <f t="shared" si="13"/>
        <v>307365899.5165</v>
      </c>
      <c r="H454" s="467">
        <f>F454*cnst_carbon!$C$11/10^6</f>
        <v>16.065318262167146</v>
      </c>
      <c r="I454" s="467">
        <f>G454*carbon_intensity_n!$C$9</f>
        <v>17.200909301103483</v>
      </c>
      <c r="J454" s="801">
        <f>H454*cnst_carbon!$C$13*1000000</f>
        <v>5471328.2085213289</v>
      </c>
      <c r="K454" s="118">
        <f>I454*cnst_carbon!$C$13*1000000</f>
        <v>5858073.8168737087</v>
      </c>
    </row>
    <row r="455" spans="1:11" ht="12">
      <c r="A455" s="27" t="s">
        <v>3534</v>
      </c>
      <c r="B455" s="1543" t="s">
        <v>8276</v>
      </c>
      <c r="C455" s="1135">
        <v>496371005</v>
      </c>
      <c r="D455" s="1138">
        <v>42177811</v>
      </c>
      <c r="E455" s="1191">
        <v>24.902535729344287</v>
      </c>
      <c r="F455" s="126">
        <f t="shared" si="12"/>
        <v>12360896.687023031</v>
      </c>
      <c r="G455" s="126">
        <f t="shared" si="13"/>
        <v>1050334.4454130305</v>
      </c>
      <c r="H455" s="467">
        <f>F455*cnst_carbon!$C$11/10^6</f>
        <v>0.70009843392159821</v>
      </c>
      <c r="I455" s="467">
        <f>G455*carbon_intensity_n!$C$9</f>
        <v>5.8779153965336055E-2</v>
      </c>
      <c r="J455" s="801">
        <f>H455*cnst_carbon!$C$13*1000000</f>
        <v>238430.90113423817</v>
      </c>
      <c r="K455" s="118">
        <f>I455*cnst_carbon!$C$13*1000000</f>
        <v>20018.280242907487</v>
      </c>
    </row>
    <row r="456" spans="1:11" ht="12">
      <c r="A456" s="27" t="s">
        <v>3535</v>
      </c>
      <c r="B456" s="1543" t="s">
        <v>8277</v>
      </c>
      <c r="C456" s="1135">
        <v>1440513</v>
      </c>
      <c r="D456" s="1138">
        <v>6653919</v>
      </c>
      <c r="E456" s="1191">
        <v>15.115500195970919</v>
      </c>
      <c r="F456" s="126">
        <f t="shared" ref="F456:F519" si="14">C456*$E456/1000</f>
        <v>21774.074533798659</v>
      </c>
      <c r="G456" s="126">
        <f t="shared" ref="G456:G519" si="15">D456*E456/1000</f>
        <v>100577.31394847462</v>
      </c>
      <c r="H456" s="467">
        <f>F456*cnst_carbon!$C$11/10^6</f>
        <v>1.2332434990099351E-3</v>
      </c>
      <c r="I456" s="467">
        <f>G456*carbon_intensity_n!$C$9</f>
        <v>5.6285399834455326E-3</v>
      </c>
      <c r="J456" s="801">
        <f>H456*cnst_carbon!$C$13*1000000</f>
        <v>420.00288036611829</v>
      </c>
      <c r="K456" s="118">
        <f>I456*cnst_carbon!$C$13*1000000</f>
        <v>1916.8988177929514</v>
      </c>
    </row>
    <row r="457" spans="1:11" ht="12">
      <c r="A457" s="27" t="s">
        <v>3536</v>
      </c>
      <c r="B457" s="1543" t="s">
        <v>8278</v>
      </c>
      <c r="C457" s="1135">
        <v>671843991</v>
      </c>
      <c r="D457" s="1138">
        <v>42803672</v>
      </c>
      <c r="E457" s="1191">
        <v>36.289761677110135</v>
      </c>
      <c r="F457" s="126">
        <f t="shared" si="14"/>
        <v>24381058.317588527</v>
      </c>
      <c r="G457" s="126">
        <f t="shared" si="15"/>
        <v>1553335.0557851922</v>
      </c>
      <c r="H457" s="467">
        <f>F457*cnst_carbon!$C$11/10^6</f>
        <v>1.380898261484117</v>
      </c>
      <c r="I457" s="467">
        <f>G457*carbon_intensity_n!$C$9</f>
        <v>8.6928235860957284E-2</v>
      </c>
      <c r="J457" s="801">
        <f>H457*cnst_carbon!$C$13*1000000</f>
        <v>470289.32062606554</v>
      </c>
      <c r="K457" s="118">
        <f>I457*cnst_carbon!$C$13*1000000</f>
        <v>29604.947827463249</v>
      </c>
    </row>
    <row r="458" spans="1:11" ht="12">
      <c r="A458" s="27" t="s">
        <v>3537</v>
      </c>
      <c r="B458" s="1543" t="s">
        <v>8279</v>
      </c>
      <c r="C458" s="1135">
        <v>30610181</v>
      </c>
      <c r="D458" s="1138">
        <v>28584293</v>
      </c>
      <c r="E458" s="1191">
        <v>53.863157929529791</v>
      </c>
      <c r="F458" s="126">
        <f t="shared" si="14"/>
        <v>1648761.0134544922</v>
      </c>
      <c r="G458" s="126">
        <f t="shared" si="15"/>
        <v>1539640.288162953</v>
      </c>
      <c r="H458" s="467">
        <f>F458*cnst_carbon!$C$11/10^6</f>
        <v>9.3382788697061334E-2</v>
      </c>
      <c r="I458" s="467">
        <f>G458*carbon_intensity_n!$C$9</f>
        <v>8.6161844871779969E-2</v>
      </c>
      <c r="J458" s="801">
        <f>H458*cnst_carbon!$C$13*1000000</f>
        <v>31803.159928167915</v>
      </c>
      <c r="K458" s="118">
        <f>I458*cnst_carbon!$C$13*1000000</f>
        <v>29343.939824421253</v>
      </c>
    </row>
    <row r="459" spans="1:11" ht="12">
      <c r="A459" s="27" t="s">
        <v>5203</v>
      </c>
      <c r="B459" s="1543" t="s">
        <v>8280</v>
      </c>
      <c r="C459" s="1135">
        <v>36118373</v>
      </c>
      <c r="D459" s="1138">
        <v>16576117</v>
      </c>
      <c r="E459" s="1191">
        <v>317.37964310449127</v>
      </c>
      <c r="F459" s="126">
        <f t="shared" si="14"/>
        <v>11463236.332254894</v>
      </c>
      <c r="G459" s="126">
        <f t="shared" si="15"/>
        <v>5260922.0975182904</v>
      </c>
      <c r="H459" s="467">
        <f>F459*cnst_carbon!$C$11/10^6</f>
        <v>0.64925660387649708</v>
      </c>
      <c r="I459" s="467">
        <f>G459*carbon_intensity_n!$C$9</f>
        <v>0.29441341405124022</v>
      </c>
      <c r="J459" s="801">
        <f>H459*cnst_carbon!$C$13*1000000</f>
        <v>221115.81690377582</v>
      </c>
      <c r="K459" s="118">
        <f>I459*cnst_carbon!$C$13*1000000</f>
        <v>100267.6941084344</v>
      </c>
    </row>
    <row r="460" spans="1:11" ht="12">
      <c r="A460" s="27" t="s">
        <v>5204</v>
      </c>
      <c r="B460" s="1543" t="s">
        <v>8281</v>
      </c>
      <c r="C460" s="1135">
        <v>1584913</v>
      </c>
      <c r="D460" s="1138">
        <v>6652795</v>
      </c>
      <c r="E460" s="1191">
        <v>317.37964310449127</v>
      </c>
      <c r="F460" s="126">
        <f t="shared" si="14"/>
        <v>503019.12229166861</v>
      </c>
      <c r="G460" s="126">
        <f t="shared" si="15"/>
        <v>2111461.702747344</v>
      </c>
      <c r="H460" s="467">
        <f>F460*cnst_carbon!$C$11/10^6</f>
        <v>2.8490077108947038E-2</v>
      </c>
      <c r="I460" s="467">
        <f>G460*carbon_intensity_n!$C$9</f>
        <v>0.11816229874179945</v>
      </c>
      <c r="J460" s="801">
        <f>H460*cnst_carbon!$C$13*1000000</f>
        <v>9702.7995340879315</v>
      </c>
      <c r="K460" s="118">
        <f>I460*cnst_carbon!$C$13*1000000</f>
        <v>40242.260236587477</v>
      </c>
    </row>
    <row r="461" spans="1:11" ht="12">
      <c r="A461" s="127" t="s">
        <v>2508</v>
      </c>
      <c r="B461" s="1543" t="s">
        <v>8282</v>
      </c>
      <c r="C461" s="1135">
        <v>2888</v>
      </c>
      <c r="D461" s="1138">
        <v>21521</v>
      </c>
      <c r="E461" s="1191">
        <v>60</v>
      </c>
      <c r="F461" s="126">
        <f t="shared" si="14"/>
        <v>173.28</v>
      </c>
      <c r="G461" s="126">
        <f t="shared" si="15"/>
        <v>1291.26</v>
      </c>
      <c r="H461" s="467">
        <f>F461*cnst_carbon!$C$11/10^6</f>
        <v>9.8142602192682282E-6</v>
      </c>
      <c r="I461" s="467">
        <f>G461*carbon_intensity_n!$C$9</f>
        <v>7.2261907319847501E-5</v>
      </c>
      <c r="J461" s="801">
        <f>H461*cnst_carbon!$C$13*1000000</f>
        <v>3.3424198579311226</v>
      </c>
      <c r="K461" s="118">
        <f>I461*cnst_carbon!$C$13*1000000</f>
        <v>24.610070306027158</v>
      </c>
    </row>
    <row r="462" spans="1:11" ht="12">
      <c r="A462" s="27" t="s">
        <v>2509</v>
      </c>
      <c r="B462" s="1543" t="s">
        <v>8283</v>
      </c>
      <c r="C462" s="1135">
        <v>29692161</v>
      </c>
      <c r="D462" s="1138">
        <v>16557427</v>
      </c>
      <c r="E462" s="1191">
        <v>60</v>
      </c>
      <c r="F462" s="126">
        <f t="shared" si="14"/>
        <v>1781529.66</v>
      </c>
      <c r="G462" s="126">
        <f t="shared" si="15"/>
        <v>993445.62</v>
      </c>
      <c r="H462" s="467">
        <f>F462*cnst_carbon!$C$11/10^6</f>
        <v>0.10090256043158154</v>
      </c>
      <c r="I462" s="467">
        <f>G462*carbon_intensity_n!$C$9</f>
        <v>5.5595523225181943E-2</v>
      </c>
      <c r="J462" s="801">
        <f>H462*cnst_carbon!$C$13*1000000</f>
        <v>34364.151160418282</v>
      </c>
      <c r="K462" s="118">
        <f>I462*cnst_carbon!$C$13*1000000</f>
        <v>18934.038499926224</v>
      </c>
    </row>
    <row r="463" spans="1:11" ht="12">
      <c r="A463" s="27" t="s">
        <v>2510</v>
      </c>
      <c r="B463" s="1543" t="s">
        <v>8284</v>
      </c>
      <c r="C463" s="1135">
        <v>7274335</v>
      </c>
      <c r="D463" s="1138">
        <v>11230587</v>
      </c>
      <c r="E463" s="1191">
        <v>53.15</v>
      </c>
      <c r="F463" s="126">
        <f t="shared" si="14"/>
        <v>386630.90525000001</v>
      </c>
      <c r="G463" s="126">
        <f t="shared" si="15"/>
        <v>596905.69904999994</v>
      </c>
      <c r="H463" s="467">
        <f>F463*cnst_carbon!$C$11/10^6</f>
        <v>2.1898062747776649E-2</v>
      </c>
      <c r="I463" s="467">
        <f>G463*carbon_intensity_n!$C$9</f>
        <v>3.3404228663042206E-2</v>
      </c>
      <c r="J463" s="801">
        <f>H463*cnst_carbon!$C$13*1000000</f>
        <v>7457.7724803640695</v>
      </c>
      <c r="K463" s="118">
        <f>I463*cnst_carbon!$C$13*1000000</f>
        <v>11376.400740121113</v>
      </c>
    </row>
    <row r="464" spans="1:11" ht="12">
      <c r="A464" s="27" t="s">
        <v>5184</v>
      </c>
      <c r="B464" s="1543" t="s">
        <v>8285</v>
      </c>
      <c r="C464" s="1135">
        <v>118880253</v>
      </c>
      <c r="D464" s="1138">
        <v>59049331</v>
      </c>
      <c r="E464" s="1191">
        <v>25</v>
      </c>
      <c r="F464" s="126">
        <f t="shared" si="14"/>
        <v>2972006.3250000002</v>
      </c>
      <c r="G464" s="126">
        <f t="shared" si="15"/>
        <v>1476233.2749999999</v>
      </c>
      <c r="H464" s="467">
        <f>F464*cnst_carbon!$C$11/10^6</f>
        <v>0.16832896726027849</v>
      </c>
      <c r="I464" s="467">
        <f>G464*carbon_intensity_n!$C$9</f>
        <v>8.2613441212865679E-2</v>
      </c>
      <c r="J464" s="801">
        <f>H464*cnst_carbon!$C$13*1000000</f>
        <v>57327.406270642285</v>
      </c>
      <c r="K464" s="118">
        <f>I464*cnst_carbon!$C$13*1000000</f>
        <v>28135.468213873828</v>
      </c>
    </row>
    <row r="465" spans="1:11" ht="12">
      <c r="A465" s="27" t="s">
        <v>3056</v>
      </c>
      <c r="B465" s="1543" t="s">
        <v>8286</v>
      </c>
      <c r="C465" s="1135">
        <v>945860050</v>
      </c>
      <c r="D465" s="1138">
        <v>513590817</v>
      </c>
      <c r="E465" s="1191">
        <v>25.3</v>
      </c>
      <c r="F465" s="126">
        <f t="shared" si="14"/>
        <v>23930259.265000001</v>
      </c>
      <c r="G465" s="126">
        <f t="shared" si="15"/>
        <v>12993847.6701</v>
      </c>
      <c r="H465" s="467">
        <f>F465*cnst_carbon!$C$11/10^6</f>
        <v>1.3553658329943701</v>
      </c>
      <c r="I465" s="467">
        <f>G465*carbon_intensity_n!$C$9</f>
        <v>0.72716588143749716</v>
      </c>
      <c r="J465" s="801">
        <f>H465*cnst_carbon!$C$13*1000000</f>
        <v>461593.80062774831</v>
      </c>
      <c r="K465" s="118">
        <f>I465*cnst_carbon!$C$13*1000000</f>
        <v>247649.19900482334</v>
      </c>
    </row>
    <row r="466" spans="1:11" ht="12">
      <c r="A466" s="27" t="s">
        <v>4538</v>
      </c>
      <c r="B466" s="1543" t="s">
        <v>8287</v>
      </c>
      <c r="C466" s="1135">
        <v>100712343</v>
      </c>
      <c r="D466" s="1138">
        <v>52007090</v>
      </c>
      <c r="E466" s="1191">
        <v>155</v>
      </c>
      <c r="F466" s="126">
        <f t="shared" si="14"/>
        <v>15610413.164999999</v>
      </c>
      <c r="G466" s="126">
        <f t="shared" si="15"/>
        <v>8061098.9500000002</v>
      </c>
      <c r="H466" s="467">
        <f>F466*cnst_carbon!$C$11/10^6</f>
        <v>0.88414506539473969</v>
      </c>
      <c r="I466" s="467">
        <f>G466*carbon_intensity_n!$C$9</f>
        <v>0.45111781145626756</v>
      </c>
      <c r="J466" s="801">
        <f>H466*cnst_carbon!$C$13*1000000</f>
        <v>301111.23587953259</v>
      </c>
      <c r="K466" s="118">
        <f>I466*cnst_carbon!$C$13*1000000</f>
        <v>153636.14756388468</v>
      </c>
    </row>
    <row r="467" spans="1:11" ht="12">
      <c r="A467" s="27" t="s">
        <v>4539</v>
      </c>
      <c r="B467" s="1543" t="s">
        <v>8288</v>
      </c>
      <c r="C467" s="1135"/>
      <c r="D467" s="1138">
        <v>207277.872138281</v>
      </c>
      <c r="E467" s="1191">
        <v>61.9</v>
      </c>
      <c r="F467" s="126">
        <f t="shared" si="14"/>
        <v>0</v>
      </c>
      <c r="G467" s="126">
        <f t="shared" si="15"/>
        <v>12830.500285359592</v>
      </c>
      <c r="H467" s="467">
        <f>F467*cnst_carbon!$C$11/10^6</f>
        <v>0</v>
      </c>
      <c r="I467" s="467">
        <f>G467*carbon_intensity_n!$C$9</f>
        <v>7.180245825689108E-4</v>
      </c>
      <c r="J467" s="801">
        <f>H467*cnst_carbon!$C$13*1000000</f>
        <v>0</v>
      </c>
      <c r="K467" s="118">
        <f>I467*cnst_carbon!$C$13*1000000</f>
        <v>244.5359680344788</v>
      </c>
    </row>
    <row r="468" spans="1:11" ht="12">
      <c r="A468" s="27" t="s">
        <v>4540</v>
      </c>
      <c r="B468" s="1543" t="s">
        <v>8289</v>
      </c>
      <c r="C468" s="1135">
        <v>66022515</v>
      </c>
      <c r="D468" s="1138">
        <v>74783070</v>
      </c>
      <c r="E468" s="1191">
        <v>50</v>
      </c>
      <c r="F468" s="126">
        <f t="shared" si="14"/>
        <v>3301125.75</v>
      </c>
      <c r="G468" s="126">
        <f t="shared" si="15"/>
        <v>3739153.5</v>
      </c>
      <c r="H468" s="467">
        <f>F468*cnst_carbon!$C$11/10^6</f>
        <v>0.18696968563612068</v>
      </c>
      <c r="I468" s="467">
        <f>G468*carbon_intensity_n!$C$9</f>
        <v>0.20925171047789246</v>
      </c>
      <c r="J468" s="801">
        <f>H468*cnst_carbon!$C$13*1000000</f>
        <v>63675.832527283979</v>
      </c>
      <c r="K468" s="118">
        <f>I468*cnst_carbon!$C$13*1000000</f>
        <v>71264.370088152282</v>
      </c>
    </row>
    <row r="469" spans="1:11" ht="12">
      <c r="A469" s="27" t="s">
        <v>3442</v>
      </c>
      <c r="B469" s="1543" t="s">
        <v>8290</v>
      </c>
      <c r="C469" s="1135">
        <v>146604134</v>
      </c>
      <c r="D469" s="1138">
        <v>173336404</v>
      </c>
      <c r="E469" s="1191">
        <v>50</v>
      </c>
      <c r="F469" s="126">
        <f t="shared" si="14"/>
        <v>7330206.7000000002</v>
      </c>
      <c r="G469" s="126">
        <f t="shared" si="15"/>
        <v>8666820.1999999993</v>
      </c>
      <c r="H469" s="467">
        <f>F469*cnst_carbon!$C$11/10^6</f>
        <v>0.41516941375128941</v>
      </c>
      <c r="I469" s="467">
        <f>G469*carbon_intensity_n!$C$9</f>
        <v>0.48501537881618118</v>
      </c>
      <c r="J469" s="801">
        <f>H469*cnst_carbon!$C$13*1000000</f>
        <v>141393.2850693661</v>
      </c>
      <c r="K469" s="118">
        <f>I469*cnst_carbon!$C$13*1000000</f>
        <v>165180.56352066691</v>
      </c>
    </row>
    <row r="470" spans="1:11" ht="12">
      <c r="A470" s="27" t="s">
        <v>3443</v>
      </c>
      <c r="B470" s="1543" t="s">
        <v>8291</v>
      </c>
      <c r="C470" s="1135">
        <v>63551914</v>
      </c>
      <c r="D470" s="1138">
        <v>104609406</v>
      </c>
      <c r="E470" s="1191">
        <v>60</v>
      </c>
      <c r="F470" s="126">
        <f t="shared" si="14"/>
        <v>3813114.84</v>
      </c>
      <c r="G470" s="126">
        <f t="shared" si="15"/>
        <v>6276564.3600000003</v>
      </c>
      <c r="H470" s="467">
        <f>F470*cnst_carbon!$C$11/10^6</f>
        <v>0.21596780520379347</v>
      </c>
      <c r="I470" s="467">
        <f>G470*carbon_intensity_n!$C$9</f>
        <v>0.35125111292023137</v>
      </c>
      <c r="J470" s="801">
        <f>H470*cnst_carbon!$C$13*1000000</f>
        <v>73551.654904131196</v>
      </c>
      <c r="K470" s="118">
        <f>I470*cnst_carbon!$C$13*1000000</f>
        <v>119624.77748858042</v>
      </c>
    </row>
    <row r="471" spans="1:11" ht="12">
      <c r="A471" s="27" t="s">
        <v>3444</v>
      </c>
      <c r="B471" s="1543" t="s">
        <v>8292</v>
      </c>
      <c r="C471" s="1135">
        <v>467890181</v>
      </c>
      <c r="D471" s="1138">
        <v>158676210</v>
      </c>
      <c r="E471" s="1191">
        <v>60</v>
      </c>
      <c r="F471" s="126">
        <f t="shared" si="14"/>
        <v>28073410.859999999</v>
      </c>
      <c r="G471" s="126">
        <f t="shared" si="15"/>
        <v>9520572.5999999996</v>
      </c>
      <c r="H471" s="467">
        <f>F471*cnst_carbon!$C$11/10^6</f>
        <v>1.5900263124565479</v>
      </c>
      <c r="I471" s="467">
        <f>G471*carbon_intensity_n!$C$9</f>
        <v>0.53279334514588816</v>
      </c>
      <c r="J471" s="801">
        <f>H471*cnst_carbon!$C$13*1000000</f>
        <v>541511.5762830287</v>
      </c>
      <c r="K471" s="118">
        <f>I471*cnst_carbon!$C$13*1000000</f>
        <v>181452.19478620557</v>
      </c>
    </row>
    <row r="472" spans="1:11" ht="12">
      <c r="A472" s="27" t="s">
        <v>4736</v>
      </c>
      <c r="B472" s="1543" t="s">
        <v>8293</v>
      </c>
      <c r="C472" s="1135">
        <v>8467574</v>
      </c>
      <c r="D472" s="1138">
        <v>5091350</v>
      </c>
      <c r="E472" s="1191">
        <v>25.3</v>
      </c>
      <c r="F472" s="126">
        <f t="shared" si="14"/>
        <v>214229.62220000001</v>
      </c>
      <c r="G472" s="126">
        <f t="shared" si="15"/>
        <v>128811.155</v>
      </c>
      <c r="H472" s="467">
        <f>F472*cnst_carbon!$C$11/10^6</f>
        <v>1.2133571438979234E-2</v>
      </c>
      <c r="I472" s="467">
        <f>G472*carbon_intensity_n!$C$9</f>
        <v>7.2085712748575122E-3</v>
      </c>
      <c r="J472" s="801">
        <f>H472*cnst_carbon!$C$13*1000000</f>
        <v>4132.3023049305284</v>
      </c>
      <c r="K472" s="118">
        <f>I472*cnst_carbon!$C$13*1000000</f>
        <v>2455.0064129226971</v>
      </c>
    </row>
    <row r="473" spans="1:11" ht="12">
      <c r="A473" s="27" t="s">
        <v>4737</v>
      </c>
      <c r="B473" s="1543" t="s">
        <v>8294</v>
      </c>
      <c r="C473" s="1135">
        <v>181491339</v>
      </c>
      <c r="D473" s="1138">
        <v>76677199</v>
      </c>
      <c r="E473" s="1191">
        <v>60</v>
      </c>
      <c r="F473" s="126">
        <f t="shared" si="14"/>
        <v>10889480.34</v>
      </c>
      <c r="G473" s="126">
        <f t="shared" si="15"/>
        <v>4600631.9400000004</v>
      </c>
      <c r="H473" s="467">
        <f>F473*cnst_carbon!$C$11/10^6</f>
        <v>0.61676012066808306</v>
      </c>
      <c r="I473" s="467">
        <f>G473*carbon_intensity_n!$C$9</f>
        <v>0.25746204394235883</v>
      </c>
      <c r="J473" s="801">
        <f>H473*cnst_carbon!$C$13*1000000</f>
        <v>210048.56492940063</v>
      </c>
      <c r="K473" s="118">
        <f>I473*cnst_carbon!$C$13*1000000</f>
        <v>87683.251626747631</v>
      </c>
    </row>
    <row r="474" spans="1:11" ht="12">
      <c r="A474" s="27" t="s">
        <v>4738</v>
      </c>
      <c r="B474" s="1543" t="s">
        <v>8295</v>
      </c>
      <c r="C474" s="1135"/>
      <c r="D474" s="1138">
        <v>158213.430905552</v>
      </c>
      <c r="E474" s="1191">
        <v>60</v>
      </c>
      <c r="F474" s="126">
        <f t="shared" si="14"/>
        <v>0</v>
      </c>
      <c r="G474" s="126">
        <f t="shared" si="15"/>
        <v>9492.805854333119</v>
      </c>
      <c r="H474" s="467">
        <f>F474*cnst_carbon!$C$11/10^6</f>
        <v>0</v>
      </c>
      <c r="I474" s="467">
        <f>G474*carbon_intensity_n!$C$9</f>
        <v>5.3123945359658442E-4</v>
      </c>
      <c r="J474" s="801">
        <f>H474*cnst_carbon!$C$13*1000000</f>
        <v>0</v>
      </c>
      <c r="K474" s="118">
        <f>I474*cnst_carbon!$C$13*1000000</f>
        <v>180.9229895424657</v>
      </c>
    </row>
    <row r="475" spans="1:11" ht="12">
      <c r="A475" s="27" t="s">
        <v>4739</v>
      </c>
      <c r="B475" s="1543" t="s">
        <v>8296</v>
      </c>
      <c r="C475" s="1135">
        <v>520916076</v>
      </c>
      <c r="D475" s="1138">
        <v>22203403</v>
      </c>
      <c r="E475" s="1191">
        <v>60</v>
      </c>
      <c r="F475" s="126">
        <f t="shared" si="14"/>
        <v>31254964.559999999</v>
      </c>
      <c r="G475" s="126">
        <f t="shared" si="15"/>
        <v>1332204.18</v>
      </c>
      <c r="H475" s="467">
        <f>F475*cnst_carbon!$C$11/10^6</f>
        <v>1.7702236572936649</v>
      </c>
      <c r="I475" s="467">
        <f>G475*carbon_intensity_n!$C$9</f>
        <v>7.4553238686456205E-2</v>
      </c>
      <c r="J475" s="801">
        <f>H475*cnst_carbon!$C$13*1000000</f>
        <v>602880.96839956974</v>
      </c>
      <c r="K475" s="118">
        <f>I475*cnst_carbon!$C$13*1000000</f>
        <v>25390.423719299954</v>
      </c>
    </row>
    <row r="476" spans="1:11" ht="12">
      <c r="A476" s="27" t="s">
        <v>2457</v>
      </c>
      <c r="B476" s="1543" t="s">
        <v>8297</v>
      </c>
      <c r="C476" s="1135">
        <v>1467593721</v>
      </c>
      <c r="D476" s="1138">
        <v>505575987</v>
      </c>
      <c r="E476" s="1191">
        <v>60</v>
      </c>
      <c r="F476" s="126">
        <f t="shared" si="14"/>
        <v>88055623.260000005</v>
      </c>
      <c r="G476" s="126">
        <f t="shared" si="15"/>
        <v>30334559.219999999</v>
      </c>
      <c r="H476" s="467">
        <f>F476*cnst_carbon!$C$11/10^6</f>
        <v>4.987308405144784</v>
      </c>
      <c r="I476" s="467">
        <f>G476*carbon_intensity_n!$C$9</f>
        <v>1.6975923570342653</v>
      </c>
      <c r="J476" s="801">
        <f>H476*cnst_carbon!$C$13*1000000</f>
        <v>1698516.0652511867</v>
      </c>
      <c r="K476" s="118">
        <f>I476*cnst_carbon!$C$13*1000000</f>
        <v>578145.09479620238</v>
      </c>
    </row>
    <row r="477" spans="1:11" ht="12">
      <c r="A477" s="27" t="s">
        <v>2458</v>
      </c>
      <c r="B477" s="1543" t="s">
        <v>8298</v>
      </c>
      <c r="C477" s="1135">
        <v>62454598</v>
      </c>
      <c r="D477" s="1138">
        <v>7796178</v>
      </c>
      <c r="E477" s="1191">
        <v>56.7</v>
      </c>
      <c r="F477" s="126">
        <f t="shared" si="14"/>
        <v>3541175.7066000002</v>
      </c>
      <c r="G477" s="126">
        <f t="shared" si="15"/>
        <v>442043.29260000004</v>
      </c>
      <c r="H477" s="467">
        <f>F477*cnst_carbon!$C$11/10^6</f>
        <v>0.20056567328441505</v>
      </c>
      <c r="I477" s="467">
        <f>G477*carbon_intensity_n!$C$9</f>
        <v>2.473776887785685E-2</v>
      </c>
      <c r="J477" s="801">
        <f>H477*cnst_carbon!$C$13*1000000</f>
        <v>68306.186531412255</v>
      </c>
      <c r="K477" s="118">
        <f>I477*cnst_carbon!$C$13*1000000</f>
        <v>8424.8846159516561</v>
      </c>
    </row>
    <row r="478" spans="1:11" ht="12">
      <c r="A478" s="27" t="s">
        <v>2459</v>
      </c>
      <c r="B478" s="1543" t="s">
        <v>8299</v>
      </c>
      <c r="C478" s="1135">
        <v>332764874</v>
      </c>
      <c r="D478" s="1138">
        <v>176782015</v>
      </c>
      <c r="E478" s="1191">
        <v>60</v>
      </c>
      <c r="F478" s="126">
        <f t="shared" si="14"/>
        <v>19965892.440000001</v>
      </c>
      <c r="G478" s="126">
        <f t="shared" si="15"/>
        <v>10606920.9</v>
      </c>
      <c r="H478" s="467">
        <f>F478*cnst_carbon!$C$11/10^6</f>
        <v>1.1308313937908603</v>
      </c>
      <c r="I478" s="467">
        <f>G478*carbon_intensity_n!$C$9</f>
        <v>0.59358791802174116</v>
      </c>
      <c r="J478" s="801">
        <f>H478*cnst_carbon!$C$13*1000000</f>
        <v>385124.62703585456</v>
      </c>
      <c r="K478" s="118">
        <f>I478*cnst_carbon!$C$13*1000000</f>
        <v>202156.86157665294</v>
      </c>
    </row>
    <row r="479" spans="1:11" ht="12">
      <c r="A479" s="27" t="s">
        <v>2287</v>
      </c>
      <c r="B479" s="1543" t="s">
        <v>8300</v>
      </c>
      <c r="C479" s="1135">
        <v>129104112</v>
      </c>
      <c r="D479" s="1138">
        <v>21978266</v>
      </c>
      <c r="E479" s="1191">
        <v>60</v>
      </c>
      <c r="F479" s="126">
        <f t="shared" si="14"/>
        <v>7746246.7199999997</v>
      </c>
      <c r="G479" s="126">
        <f t="shared" si="15"/>
        <v>1318695.96</v>
      </c>
      <c r="H479" s="467">
        <f>F479*cnst_carbon!$C$11/10^6</f>
        <v>0.43873315462103524</v>
      </c>
      <c r="I479" s="467">
        <f>G479*carbon_intensity_n!$C$9</f>
        <v>7.3797287335298334E-2</v>
      </c>
      <c r="J479" s="801">
        <f>H479*cnst_carbon!$C$13*1000000</f>
        <v>149418.3336874528</v>
      </c>
      <c r="K479" s="118">
        <f>I479*cnst_carbon!$C$13*1000000</f>
        <v>25132.971119583955</v>
      </c>
    </row>
    <row r="480" spans="1:11" ht="12">
      <c r="A480" s="27" t="s">
        <v>567</v>
      </c>
      <c r="B480" s="1543" t="s">
        <v>8301</v>
      </c>
      <c r="C480" s="1135">
        <v>472746876</v>
      </c>
      <c r="D480" s="1138">
        <v>81212666</v>
      </c>
      <c r="E480" s="1191">
        <v>60</v>
      </c>
      <c r="F480" s="126">
        <f t="shared" si="14"/>
        <v>28364812.559999999</v>
      </c>
      <c r="G480" s="126">
        <f t="shared" si="15"/>
        <v>4872759.96</v>
      </c>
      <c r="H480" s="467">
        <f>F480*cnst_carbon!$C$11/10^6</f>
        <v>1.6065307683206818</v>
      </c>
      <c r="I480" s="467">
        <f>G480*carbon_intensity_n!$C$9</f>
        <v>0.27269095969935087</v>
      </c>
      <c r="J480" s="801">
        <f>H480*cnst_carbon!$C$13*1000000</f>
        <v>547132.46056693268</v>
      </c>
      <c r="K480" s="118">
        <f>I480*cnst_carbon!$C$13*1000000</f>
        <v>92869.728172478106</v>
      </c>
    </row>
    <row r="481" spans="1:11" ht="12">
      <c r="A481" s="27" t="s">
        <v>1667</v>
      </c>
      <c r="B481" s="1543" t="s">
        <v>8302</v>
      </c>
      <c r="C481" s="1135">
        <v>581589249</v>
      </c>
      <c r="D481" s="1138">
        <v>57242487</v>
      </c>
      <c r="E481" s="1191">
        <v>25</v>
      </c>
      <c r="F481" s="126">
        <f t="shared" si="14"/>
        <v>14539731.225</v>
      </c>
      <c r="G481" s="126">
        <f t="shared" si="15"/>
        <v>1431062.175</v>
      </c>
      <c r="H481" s="467">
        <f>F481*cnst_carbon!$C$11/10^6</f>
        <v>0.82350361126713745</v>
      </c>
      <c r="I481" s="467">
        <f>G481*carbon_intensity_n!$C$9</f>
        <v>8.0085561590066592E-2</v>
      </c>
      <c r="J481" s="801">
        <f>H481*cnst_carbon!$C$13*1000000</f>
        <v>280458.71638631809</v>
      </c>
      <c r="K481" s="118">
        <f>I481*cnst_carbon!$C$13*1000000</f>
        <v>27274.554109200424</v>
      </c>
    </row>
    <row r="482" spans="1:11" ht="12">
      <c r="A482" s="27" t="s">
        <v>1801</v>
      </c>
      <c r="B482" s="1543" t="s">
        <v>8303</v>
      </c>
      <c r="C482" s="1135">
        <v>144754365</v>
      </c>
      <c r="D482" s="1138">
        <v>25035351</v>
      </c>
      <c r="E482" s="1191">
        <v>25</v>
      </c>
      <c r="F482" s="126">
        <f t="shared" si="14"/>
        <v>3618859.125</v>
      </c>
      <c r="G482" s="126">
        <f t="shared" si="15"/>
        <v>625883.77500000002</v>
      </c>
      <c r="H482" s="467">
        <f>F482*cnst_carbon!$C$11/10^6</f>
        <v>0.20496551909985761</v>
      </c>
      <c r="I482" s="467">
        <f>G482*carbon_intensity_n!$C$9</f>
        <v>3.5025909067148593E-2</v>
      </c>
      <c r="J482" s="801">
        <f>H482*cnst_carbon!$C$13*1000000</f>
        <v>69804.631823956865</v>
      </c>
      <c r="K482" s="118">
        <f>I482*cnst_carbon!$C$13*1000000</f>
        <v>11928.692677037687</v>
      </c>
    </row>
    <row r="483" spans="1:11" ht="12">
      <c r="A483" s="27" t="s">
        <v>1802</v>
      </c>
      <c r="B483" s="1543" t="s">
        <v>8304</v>
      </c>
      <c r="C483" s="1135">
        <v>1185558171</v>
      </c>
      <c r="D483" s="1138">
        <v>290312562</v>
      </c>
      <c r="E483" s="1191">
        <v>60</v>
      </c>
      <c r="F483" s="126">
        <f t="shared" si="14"/>
        <v>71133490.260000005</v>
      </c>
      <c r="G483" s="126">
        <f t="shared" si="15"/>
        <v>17418753.719999999</v>
      </c>
      <c r="H483" s="467">
        <f>F483*cnst_carbon!$C$11/10^6</f>
        <v>4.0288699429618076</v>
      </c>
      <c r="I483" s="467">
        <f>G483*carbon_intensity_n!$C$9</f>
        <v>0.97479389661407367</v>
      </c>
      <c r="J483" s="801">
        <f>H483*cnst_carbon!$C$13*1000000</f>
        <v>1372102.8994054368</v>
      </c>
      <c r="K483" s="118">
        <f>I483*cnst_carbon!$C$13*1000000</f>
        <v>331983.29824556794</v>
      </c>
    </row>
    <row r="484" spans="1:11" ht="12">
      <c r="A484" s="27" t="s">
        <v>1016</v>
      </c>
      <c r="B484" s="1543" t="s">
        <v>8305</v>
      </c>
      <c r="C484" s="1135">
        <v>178209796</v>
      </c>
      <c r="D484" s="1138">
        <v>8186572</v>
      </c>
      <c r="E484" s="1191">
        <v>60</v>
      </c>
      <c r="F484" s="126">
        <f t="shared" si="14"/>
        <v>10692587.76</v>
      </c>
      <c r="G484" s="126">
        <f t="shared" si="15"/>
        <v>491194.32</v>
      </c>
      <c r="H484" s="467">
        <f>F484*cnst_carbon!$C$11/10^6</f>
        <v>0.6056084873845935</v>
      </c>
      <c r="I484" s="467">
        <f>G484*carbon_intensity_n!$C$9</f>
        <v>2.7488374477545589E-2</v>
      </c>
      <c r="J484" s="801">
        <f>H484*cnst_carbon!$C$13*1000000</f>
        <v>206250.67902640381</v>
      </c>
      <c r="K484" s="118">
        <f>I484*cnst_carbon!$C$13*1000000</f>
        <v>9361.6519903979079</v>
      </c>
    </row>
    <row r="485" spans="1:11" ht="12">
      <c r="A485" s="27" t="s">
        <v>4265</v>
      </c>
      <c r="B485" s="1543" t="s">
        <v>8306</v>
      </c>
      <c r="C485" s="1135">
        <v>127628899</v>
      </c>
      <c r="D485" s="1138">
        <v>52930380</v>
      </c>
      <c r="E485" s="1191">
        <v>25.3</v>
      </c>
      <c r="F485" s="126">
        <f t="shared" si="14"/>
        <v>3229011.1447000001</v>
      </c>
      <c r="G485" s="126">
        <f t="shared" si="15"/>
        <v>1339138.6140000001</v>
      </c>
      <c r="H485" s="467">
        <f>F485*cnst_carbon!$C$11/10^6</f>
        <v>0.18288524714336893</v>
      </c>
      <c r="I485" s="467">
        <f>G485*carbon_intensity_n!$C$9</f>
        <v>7.4941305711705652E-2</v>
      </c>
      <c r="J485" s="801">
        <f>H485*cnst_carbon!$C$13*1000000</f>
        <v>62284.804775658944</v>
      </c>
      <c r="K485" s="118">
        <f>I485*cnst_carbon!$C$13*1000000</f>
        <v>25522.586806728134</v>
      </c>
    </row>
    <row r="486" spans="1:11" ht="12">
      <c r="A486" s="27" t="s">
        <v>2340</v>
      </c>
      <c r="B486" s="1543" t="s">
        <v>8307</v>
      </c>
      <c r="C486" s="1135">
        <v>8133154</v>
      </c>
      <c r="D486" s="1138">
        <v>7576178.9700419595</v>
      </c>
      <c r="E486" s="1191">
        <v>25.3</v>
      </c>
      <c r="F486" s="126">
        <f t="shared" si="14"/>
        <v>205768.79620000001</v>
      </c>
      <c r="G486" s="126">
        <f t="shared" si="15"/>
        <v>191677.32794206159</v>
      </c>
      <c r="H486" s="467">
        <f>F486*cnst_carbon!$C$11/10^6</f>
        <v>1.1654365829365023E-2</v>
      </c>
      <c r="I486" s="467">
        <f>G486*carbon_intensity_n!$C$9</f>
        <v>1.0726708259425111E-2</v>
      </c>
      <c r="J486" s="801">
        <f>H486*cnst_carbon!$C$13*1000000</f>
        <v>3969.1003610426019</v>
      </c>
      <c r="K486" s="118">
        <f>I486*cnst_carbon!$C$13*1000000</f>
        <v>3653.1701723321094</v>
      </c>
    </row>
    <row r="487" spans="1:11" ht="12">
      <c r="A487" s="27" t="s">
        <v>2341</v>
      </c>
      <c r="B487" s="1543" t="s">
        <v>8308</v>
      </c>
      <c r="C487" s="1135">
        <v>37864915.460407399</v>
      </c>
      <c r="D487" s="1138">
        <v>8891353.6300707906</v>
      </c>
      <c r="E487" s="1191">
        <v>25.3</v>
      </c>
      <c r="F487" s="126">
        <f t="shared" si="14"/>
        <v>957982.36114830722</v>
      </c>
      <c r="G487" s="126">
        <f t="shared" si="15"/>
        <v>224951.24684079102</v>
      </c>
      <c r="H487" s="467">
        <f>F487*cnst_carbon!$C$11/10^6</f>
        <v>5.4258357443319936E-2</v>
      </c>
      <c r="I487" s="467">
        <f>G487*carbon_intensity_n!$C$9</f>
        <v>1.25887940079406E-2</v>
      </c>
      <c r="J487" s="801">
        <f>H487*cnst_carbon!$C$13*1000000</f>
        <v>18478.643048533275</v>
      </c>
      <c r="K487" s="118">
        <f>I487*cnst_carbon!$C$13*1000000</f>
        <v>4287.3364002449835</v>
      </c>
    </row>
    <row r="488" spans="1:11" ht="12">
      <c r="A488" s="27" t="s">
        <v>2290</v>
      </c>
      <c r="B488" s="1543" t="s">
        <v>8309</v>
      </c>
      <c r="C488" s="1135">
        <v>55681871.262915</v>
      </c>
      <c r="D488" s="1138">
        <v>10830225.0747598</v>
      </c>
      <c r="E488" s="1191">
        <v>25.3</v>
      </c>
      <c r="F488" s="126">
        <f t="shared" si="14"/>
        <v>1408751.3429517495</v>
      </c>
      <c r="G488" s="126">
        <f t="shared" si="15"/>
        <v>274004.69439142291</v>
      </c>
      <c r="H488" s="467">
        <f>F488*cnst_carbon!$C$11/10^6</f>
        <v>7.978908277915539E-2</v>
      </c>
      <c r="I488" s="467">
        <f>G488*carbon_intensity_n!$C$9</f>
        <v>1.5333938812722566E-2</v>
      </c>
      <c r="J488" s="801">
        <f>H488*cnst_carbon!$C$13*1000000</f>
        <v>27173.583007670037</v>
      </c>
      <c r="K488" s="118">
        <f>I488*cnst_carbon!$C$13*1000000</f>
        <v>5222.2440044254481</v>
      </c>
    </row>
    <row r="489" spans="1:11" ht="12">
      <c r="A489" s="27" t="s">
        <v>2291</v>
      </c>
      <c r="B489" s="1543" t="s">
        <v>8310</v>
      </c>
      <c r="C489" s="1135">
        <v>506325448</v>
      </c>
      <c r="D489" s="1138">
        <v>383640936</v>
      </c>
      <c r="E489" s="1191">
        <v>25</v>
      </c>
      <c r="F489" s="126">
        <f t="shared" si="14"/>
        <v>12658136.199999999</v>
      </c>
      <c r="G489" s="126">
        <f t="shared" si="15"/>
        <v>9591023.4000000004</v>
      </c>
      <c r="H489" s="467">
        <f>F489*cnst_carbon!$C$11/10^6</f>
        <v>0.71693353276626892</v>
      </c>
      <c r="I489" s="467">
        <f>G489*carbon_intensity_n!$C$9</f>
        <v>0.5367359354686807</v>
      </c>
      <c r="J489" s="801">
        <f>H489*cnst_carbon!$C$13*1000000</f>
        <v>244164.3917317451</v>
      </c>
      <c r="K489" s="118">
        <f>I489*cnst_carbon!$C$13*1000000</f>
        <v>182794.91363532646</v>
      </c>
    </row>
    <row r="490" spans="1:11" ht="12">
      <c r="A490" s="27" t="s">
        <v>2292</v>
      </c>
      <c r="B490" s="1543" t="s">
        <v>8311</v>
      </c>
      <c r="C490" s="1135">
        <v>1049571224</v>
      </c>
      <c r="D490" s="1138">
        <v>651022350</v>
      </c>
      <c r="E490" s="1191">
        <v>25</v>
      </c>
      <c r="F490" s="126">
        <f t="shared" si="14"/>
        <v>26239280.600000001</v>
      </c>
      <c r="G490" s="126">
        <f t="shared" si="15"/>
        <v>16275558.75</v>
      </c>
      <c r="H490" s="467">
        <f>F490*cnst_carbon!$C$11/10^6</f>
        <v>1.486144550870248</v>
      </c>
      <c r="I490" s="467">
        <f>G490*carbon_intensity_n!$C$9</f>
        <v>0.91081805211284561</v>
      </c>
      <c r="J490" s="801">
        <f>H490*cnst_carbon!$C$13*1000000</f>
        <v>506132.80548976711</v>
      </c>
      <c r="K490" s="118">
        <f>I490*cnst_carbon!$C$13*1000000</f>
        <v>310195.19315039221</v>
      </c>
    </row>
    <row r="491" spans="1:11" ht="12">
      <c r="A491" s="27" t="s">
        <v>865</v>
      </c>
      <c r="B491" s="1543" t="s">
        <v>8312</v>
      </c>
      <c r="C491" s="1135">
        <v>6629537</v>
      </c>
      <c r="D491" s="1138">
        <v>31611624</v>
      </c>
      <c r="E491" s="1191">
        <v>56.7</v>
      </c>
      <c r="F491" s="126">
        <f t="shared" si="14"/>
        <v>375894.74790000002</v>
      </c>
      <c r="G491" s="126">
        <f t="shared" si="15"/>
        <v>1792379.0808000001</v>
      </c>
      <c r="H491" s="467">
        <f>F491*cnst_carbon!$C$11/10^6</f>
        <v>2.1289986559019095E-2</v>
      </c>
      <c r="I491" s="467">
        <f>G491*carbon_intensity_n!$C$9</f>
        <v>0.10030569445255259</v>
      </c>
      <c r="J491" s="801">
        <f>H491*cnst_carbon!$C$13*1000000</f>
        <v>7250.6813820000743</v>
      </c>
      <c r="K491" s="118">
        <f>I491*cnst_carbon!$C$13*1000000</f>
        <v>34160.877897201448</v>
      </c>
    </row>
    <row r="492" spans="1:11" ht="12">
      <c r="A492" s="27" t="s">
        <v>5080</v>
      </c>
      <c r="B492" s="1543" t="s">
        <v>8313</v>
      </c>
      <c r="C492" s="1135">
        <v>15874139</v>
      </c>
      <c r="D492" s="1138">
        <v>14691968</v>
      </c>
      <c r="E492" s="1191">
        <v>100</v>
      </c>
      <c r="F492" s="126">
        <f t="shared" si="14"/>
        <v>1587413.9</v>
      </c>
      <c r="G492" s="126">
        <f t="shared" si="15"/>
        <v>1469196.8</v>
      </c>
      <c r="H492" s="467">
        <f>F492*cnst_carbon!$C$11/10^6</f>
        <v>8.9908201121210937E-2</v>
      </c>
      <c r="I492" s="467">
        <f>G492*carbon_intensity_n!$C$9</f>
        <v>8.2219663736363344E-2</v>
      </c>
      <c r="J492" s="801">
        <f>H492*cnst_carbon!$C$13*1000000</f>
        <v>30619.827689957805</v>
      </c>
      <c r="K492" s="118">
        <f>I492*cnst_carbon!$C$13*1000000</f>
        <v>28001.360331296659</v>
      </c>
    </row>
    <row r="493" spans="1:11" ht="12">
      <c r="A493" s="27" t="s">
        <v>5081</v>
      </c>
      <c r="B493" s="1543" t="s">
        <v>8314</v>
      </c>
      <c r="C493" s="1135">
        <v>16794302.602559499</v>
      </c>
      <c r="D493" s="1138">
        <v>4522783.9080705196</v>
      </c>
      <c r="E493" s="1191">
        <v>56.7</v>
      </c>
      <c r="F493" s="126">
        <f t="shared" si="14"/>
        <v>952236.95756512368</v>
      </c>
      <c r="G493" s="126">
        <f t="shared" si="15"/>
        <v>256441.84758759846</v>
      </c>
      <c r="H493" s="467">
        <f>F493*cnst_carbon!$C$11/10^6</f>
        <v>5.393294836073638E-2</v>
      </c>
      <c r="I493" s="467">
        <f>G493*carbon_intensity_n!$C$9</f>
        <v>1.4351081132618914E-2</v>
      </c>
      <c r="J493" s="801">
        <f>H493*cnst_carbon!$C$13*1000000</f>
        <v>18367.819231426503</v>
      </c>
      <c r="K493" s="118">
        <f>I493*cnst_carbon!$C$13*1000000</f>
        <v>4887.5144421249779</v>
      </c>
    </row>
    <row r="494" spans="1:11" ht="12">
      <c r="A494" s="27" t="s">
        <v>5082</v>
      </c>
      <c r="B494" s="1543" t="s">
        <v>8315</v>
      </c>
      <c r="C494" s="1135">
        <v>17060287</v>
      </c>
      <c r="D494" s="1138">
        <v>3217062</v>
      </c>
      <c r="E494" s="1191">
        <v>56.7</v>
      </c>
      <c r="F494" s="126">
        <f t="shared" si="14"/>
        <v>967318.2729000001</v>
      </c>
      <c r="G494" s="126">
        <f t="shared" si="15"/>
        <v>182407.4154</v>
      </c>
      <c r="H494" s="467">
        <f>F494*cnst_carbon!$C$11/10^6</f>
        <v>5.4787126299017296E-2</v>
      </c>
      <c r="I494" s="467">
        <f>G494*carbon_intensity_n!$C$9</f>
        <v>1.0207942433040382E-2</v>
      </c>
      <c r="J494" s="801">
        <f>H494*cnst_carbon!$C$13*1000000</f>
        <v>18658.724632274912</v>
      </c>
      <c r="K494" s="118">
        <f>I494*cnst_carbon!$C$13*1000000</f>
        <v>3476.4952971010493</v>
      </c>
    </row>
    <row r="495" spans="1:11" ht="12">
      <c r="A495" s="27" t="s">
        <v>5083</v>
      </c>
      <c r="B495" s="1543" t="s">
        <v>8316</v>
      </c>
      <c r="C495" s="1135">
        <v>2186363589</v>
      </c>
      <c r="D495" s="1138">
        <v>1013806249</v>
      </c>
      <c r="E495" s="1191">
        <v>100</v>
      </c>
      <c r="F495" s="126">
        <f t="shared" si="14"/>
        <v>218636358.90000001</v>
      </c>
      <c r="G495" s="126">
        <f t="shared" si="15"/>
        <v>101380624.90000001</v>
      </c>
      <c r="H495" s="467">
        <f>F495*cnst_carbon!$C$11/10^6</f>
        <v>12.383160893570642</v>
      </c>
      <c r="I495" s="467">
        <f>G495*carbon_intensity_n!$C$9</f>
        <v>5.6734951292164428</v>
      </c>
      <c r="J495" s="801">
        <f>H495*cnst_carbon!$C$13*1000000</f>
        <v>4217304.4070470678</v>
      </c>
      <c r="K495" s="118">
        <f>I495*cnst_carbon!$C$13*1000000</f>
        <v>1932209.0876027816</v>
      </c>
    </row>
    <row r="496" spans="1:11" ht="12">
      <c r="A496" s="27" t="s">
        <v>5084</v>
      </c>
      <c r="B496" s="1543" t="s">
        <v>8317</v>
      </c>
      <c r="C496" s="1135">
        <v>14327490.7826743</v>
      </c>
      <c r="D496" s="1138">
        <v>76444871.752271399</v>
      </c>
      <c r="E496" s="1191">
        <v>56.7</v>
      </c>
      <c r="F496" s="126">
        <f t="shared" si="14"/>
        <v>812368.72737763287</v>
      </c>
      <c r="G496" s="126">
        <f t="shared" si="15"/>
        <v>4334424.2283537881</v>
      </c>
      <c r="H496" s="467">
        <f>F496*cnst_carbon!$C$11/10^6</f>
        <v>4.6011069277930854E-2</v>
      </c>
      <c r="I496" s="467">
        <f>G496*carbon_intensity_n!$C$9</f>
        <v>0.24256444238511451</v>
      </c>
      <c r="J496" s="801">
        <f>H496*cnst_carbon!$C$13*1000000</f>
        <v>15669.883231470651</v>
      </c>
      <c r="K496" s="118">
        <f>I496*cnst_carbon!$C$13*1000000</f>
        <v>82609.609990191166</v>
      </c>
    </row>
    <row r="497" spans="1:11" ht="12">
      <c r="A497" s="27" t="s">
        <v>5085</v>
      </c>
      <c r="B497" s="1543" t="s">
        <v>8318</v>
      </c>
      <c r="C497" s="1135">
        <v>3304614</v>
      </c>
      <c r="D497" s="1138">
        <v>3983465</v>
      </c>
      <c r="E497" s="1191">
        <v>100</v>
      </c>
      <c r="F497" s="126">
        <f t="shared" si="14"/>
        <v>330461.40000000002</v>
      </c>
      <c r="G497" s="126">
        <f t="shared" si="15"/>
        <v>398346.5</v>
      </c>
      <c r="H497" s="467">
        <f>F497*cnst_carbon!$C$11/10^6</f>
        <v>1.8716725369481105E-2</v>
      </c>
      <c r="I497" s="467">
        <f>G497*carbon_intensity_n!$C$9</f>
        <v>2.2292394919834604E-2</v>
      </c>
      <c r="J497" s="801">
        <f>H497*cnst_carbon!$C$13*1000000</f>
        <v>6374.3117823160201</v>
      </c>
      <c r="K497" s="118">
        <f>I497*cnst_carbon!$C$13*1000000</f>
        <v>7592.0692743210875</v>
      </c>
    </row>
    <row r="498" spans="1:11" ht="12">
      <c r="A498" s="27" t="s">
        <v>5086</v>
      </c>
      <c r="B498" s="1543" t="s">
        <v>8319</v>
      </c>
      <c r="C498" s="1135">
        <v>124243961</v>
      </c>
      <c r="D498" s="1138">
        <v>102786687</v>
      </c>
      <c r="E498" s="1191">
        <v>100</v>
      </c>
      <c r="F498" s="126">
        <f t="shared" si="14"/>
        <v>12424396.1</v>
      </c>
      <c r="G498" s="126">
        <f t="shared" si="15"/>
        <v>10278668.699999999</v>
      </c>
      <c r="H498" s="467">
        <f>F498*cnst_carbon!$C$11/10^6</f>
        <v>0.70369492378036302</v>
      </c>
      <c r="I498" s="467">
        <f>G498*carbon_intensity_n!$C$9</f>
        <v>0.57521816285706784</v>
      </c>
      <c r="J498" s="801">
        <f>H498*cnst_carbon!$C$13*1000000</f>
        <v>239655.74935042698</v>
      </c>
      <c r="K498" s="118">
        <f>I498*cnst_carbon!$C$13*1000000</f>
        <v>195900.71663287081</v>
      </c>
    </row>
    <row r="499" spans="1:11" ht="12">
      <c r="A499" s="27" t="s">
        <v>2679</v>
      </c>
      <c r="B499" s="1543" t="s">
        <v>8320</v>
      </c>
      <c r="C499" s="1135">
        <v>107314872</v>
      </c>
      <c r="D499" s="1138">
        <v>152833136</v>
      </c>
      <c r="E499" s="1191">
        <v>56.7</v>
      </c>
      <c r="F499" s="126">
        <f t="shared" si="14"/>
        <v>6084753.2424000008</v>
      </c>
      <c r="G499" s="126">
        <f t="shared" si="15"/>
        <v>8665638.8112000003</v>
      </c>
      <c r="H499" s="467">
        <f>F499*cnst_carbon!$C$11/10^6</f>
        <v>0.34462922259319995</v>
      </c>
      <c r="I499" s="467">
        <f>G499*carbon_intensity_n!$C$9</f>
        <v>0.48494926555628448</v>
      </c>
      <c r="J499" s="801">
        <f>H499*cnst_carbon!$C$13*1000000</f>
        <v>117369.57564640204</v>
      </c>
      <c r="K499" s="118">
        <f>I499*cnst_carbon!$C$13*1000000</f>
        <v>165158.04748096401</v>
      </c>
    </row>
    <row r="500" spans="1:11" ht="12">
      <c r="A500" s="27" t="s">
        <v>2680</v>
      </c>
      <c r="B500" s="1543" t="s">
        <v>8321</v>
      </c>
      <c r="C500" s="1135">
        <v>199817669</v>
      </c>
      <c r="D500" s="1138">
        <v>415677889</v>
      </c>
      <c r="E500" s="1191">
        <v>56.7</v>
      </c>
      <c r="F500" s="126">
        <f t="shared" si="14"/>
        <v>11329661.832300002</v>
      </c>
      <c r="G500" s="126">
        <f t="shared" si="15"/>
        <v>23568936.306300003</v>
      </c>
      <c r="H500" s="467">
        <f>F500*cnst_carbon!$C$11/10^6</f>
        <v>0.64169119008831643</v>
      </c>
      <c r="I500" s="467">
        <f>G500*carbon_intensity_n!$C$9</f>
        <v>1.318972392076917</v>
      </c>
      <c r="J500" s="801">
        <f>H500*cnst_carbon!$C$13*1000000</f>
        <v>218539.28146308762</v>
      </c>
      <c r="K500" s="118">
        <f>I500*cnst_carbon!$C$13*1000000</f>
        <v>449199.37079776276</v>
      </c>
    </row>
    <row r="501" spans="1:11" ht="12">
      <c r="A501" s="27" t="s">
        <v>1236</v>
      </c>
      <c r="B501" s="1543" t="s">
        <v>8322</v>
      </c>
      <c r="C501" s="1135">
        <v>3620018</v>
      </c>
      <c r="D501" s="1138">
        <v>4544197</v>
      </c>
      <c r="E501" s="1191">
        <v>56.7</v>
      </c>
      <c r="F501" s="126">
        <f t="shared" si="14"/>
        <v>205255.02060000002</v>
      </c>
      <c r="G501" s="126">
        <f t="shared" si="15"/>
        <v>257655.9699</v>
      </c>
      <c r="H501" s="467">
        <f>F501*cnst_carbon!$C$11/10^6</f>
        <v>1.162526652515963E-2</v>
      </c>
      <c r="I501" s="467">
        <f>G501*carbon_intensity_n!$C$9</f>
        <v>1.441902623586204E-2</v>
      </c>
      <c r="J501" s="801">
        <f>H501*cnst_carbon!$C$13*1000000</f>
        <v>3959.190078448185</v>
      </c>
      <c r="K501" s="118">
        <f>I501*cnst_carbon!$C$13*1000000</f>
        <v>4910.6543484709646</v>
      </c>
    </row>
    <row r="502" spans="1:11" ht="12">
      <c r="A502" s="27" t="s">
        <v>3309</v>
      </c>
      <c r="B502" s="1543" t="s">
        <v>8323</v>
      </c>
      <c r="C502" s="1135">
        <v>386386905</v>
      </c>
      <c r="D502" s="1138">
        <v>401071917</v>
      </c>
      <c r="E502" s="1191">
        <v>56.7</v>
      </c>
      <c r="F502" s="126">
        <f t="shared" si="14"/>
        <v>21908137.513500001</v>
      </c>
      <c r="G502" s="126">
        <f t="shared" si="15"/>
        <v>22740777.6939</v>
      </c>
      <c r="H502" s="467">
        <f>F502*cnst_carbon!$C$11/10^6</f>
        <v>1.2408365793917417</v>
      </c>
      <c r="I502" s="467">
        <f>G502*carbon_intensity_n!$C$9</f>
        <v>1.2726267135184681</v>
      </c>
      <c r="J502" s="801">
        <f>H502*cnst_carbon!$C$13*1000000</f>
        <v>422588.83815447922</v>
      </c>
      <c r="K502" s="118">
        <f>I502*cnst_carbon!$C$13*1000000</f>
        <v>433415.53045909666</v>
      </c>
    </row>
    <row r="503" spans="1:11" ht="12">
      <c r="A503" s="27" t="s">
        <v>615</v>
      </c>
      <c r="B503" s="1543" t="s">
        <v>8324</v>
      </c>
      <c r="C503" s="1135">
        <v>65388322</v>
      </c>
      <c r="D503" s="1138">
        <v>77174588</v>
      </c>
      <c r="E503" s="1191">
        <v>56.7</v>
      </c>
      <c r="F503" s="126">
        <f t="shared" si="14"/>
        <v>3707517.8574000001</v>
      </c>
      <c r="G503" s="126">
        <f t="shared" si="15"/>
        <v>4375799.1396000003</v>
      </c>
      <c r="H503" s="467">
        <f>F503*cnst_carbon!$C$11/10^6</f>
        <v>0.20998698649646463</v>
      </c>
      <c r="I503" s="467">
        <f>G503*carbon_intensity_n!$C$9</f>
        <v>0.24487987847222378</v>
      </c>
      <c r="J503" s="801">
        <f>H503*cnst_carbon!$C$13*1000000</f>
        <v>71514.781337765497</v>
      </c>
      <c r="K503" s="118">
        <f>I503*cnst_carbon!$C$13*1000000</f>
        <v>83398.172692261171</v>
      </c>
    </row>
    <row r="504" spans="1:11" ht="12">
      <c r="A504" s="27" t="s">
        <v>616</v>
      </c>
      <c r="B504" s="1543" t="s">
        <v>8325</v>
      </c>
      <c r="C504" s="1135">
        <v>136579</v>
      </c>
      <c r="D504" s="1138">
        <v>93078.019502304101</v>
      </c>
      <c r="E504" s="1191">
        <v>300</v>
      </c>
      <c r="F504" s="126">
        <f t="shared" si="14"/>
        <v>40973.699999999997</v>
      </c>
      <c r="G504" s="126">
        <f t="shared" si="15"/>
        <v>27923.40585069123</v>
      </c>
      <c r="H504" s="467">
        <f>F504*cnst_carbon!$C$11/10^6</f>
        <v>2.3206749419796315E-3</v>
      </c>
      <c r="I504" s="467">
        <f>G504*carbon_intensity_n!$C$9</f>
        <v>1.5626586168836153E-3</v>
      </c>
      <c r="J504" s="801">
        <f>H504*cnst_carbon!$C$13*1000000</f>
        <v>790.34688673195058</v>
      </c>
      <c r="K504" s="118">
        <f>I504*cnst_carbon!$C$13*1000000</f>
        <v>532.19102362749663</v>
      </c>
    </row>
    <row r="505" spans="1:11" ht="12">
      <c r="A505" s="27" t="s">
        <v>617</v>
      </c>
      <c r="B505" s="1543" t="s">
        <v>8326</v>
      </c>
      <c r="C505" s="1135">
        <v>16057309</v>
      </c>
      <c r="D505" s="1138">
        <v>4463054</v>
      </c>
      <c r="E505" s="1191">
        <v>300</v>
      </c>
      <c r="F505" s="126">
        <f t="shared" si="14"/>
        <v>4817192.7</v>
      </c>
      <c r="G505" s="126">
        <f t="shared" si="15"/>
        <v>1338916.2</v>
      </c>
      <c r="H505" s="467">
        <f>F505*cnst_carbon!$C$11/10^6</f>
        <v>0.27283692684764144</v>
      </c>
      <c r="I505" s="467">
        <f>G505*carbon_intensity_n!$C$9</f>
        <v>7.4928858907921253E-2</v>
      </c>
      <c r="J505" s="801">
        <f>H505*cnst_carbon!$C$13*1000000</f>
        <v>92919.439865886656</v>
      </c>
      <c r="K505" s="118">
        <f>I505*cnst_carbon!$C$13*1000000</f>
        <v>25518.34782760925</v>
      </c>
    </row>
    <row r="506" spans="1:11" ht="12">
      <c r="A506" s="27" t="s">
        <v>618</v>
      </c>
      <c r="B506" s="1543" t="s">
        <v>8327</v>
      </c>
      <c r="C506" s="1135">
        <v>983779626.92067003</v>
      </c>
      <c r="D506" s="1138">
        <v>253199482.05908701</v>
      </c>
      <c r="E506" s="1191">
        <v>300</v>
      </c>
      <c r="F506" s="126">
        <f t="shared" si="14"/>
        <v>295133888.07620096</v>
      </c>
      <c r="G506" s="126">
        <f t="shared" si="15"/>
        <v>75959844.617726102</v>
      </c>
      <c r="H506" s="467">
        <f>F506*cnst_carbon!$C$11/10^6</f>
        <v>16.715840126409397</v>
      </c>
      <c r="I506" s="467">
        <f>G506*carbon_intensity_n!$C$9</f>
        <v>4.2508892491025358</v>
      </c>
      <c r="J506" s="801">
        <f>H506*cnst_carbon!$C$13*1000000</f>
        <v>5692874.932215577</v>
      </c>
      <c r="K506" s="118">
        <f>I506*cnst_carbon!$C$13*1000000</f>
        <v>1447715.4999590616</v>
      </c>
    </row>
    <row r="507" spans="1:11" ht="12">
      <c r="A507" s="27" t="s">
        <v>619</v>
      </c>
      <c r="B507" s="1543" t="s">
        <v>8328</v>
      </c>
      <c r="C507" s="1135">
        <v>352202436.41159499</v>
      </c>
      <c r="D507" s="1138">
        <v>111455079</v>
      </c>
      <c r="E507" s="1191">
        <v>56.7</v>
      </c>
      <c r="F507" s="126">
        <f t="shared" si="14"/>
        <v>19969878.144537438</v>
      </c>
      <c r="G507" s="126">
        <f t="shared" si="15"/>
        <v>6319502.9792999998</v>
      </c>
      <c r="H507" s="467">
        <f>F507*cnst_carbon!$C$11/10^6</f>
        <v>1.1310571367588167</v>
      </c>
      <c r="I507" s="467">
        <f>G507*carbon_intensity_n!$C$9</f>
        <v>0.35365405774025116</v>
      </c>
      <c r="J507" s="801">
        <f>H507*cnst_carbon!$C$13*1000000</f>
        <v>385201.50779528299</v>
      </c>
      <c r="K507" s="118">
        <f>I507*cnst_carbon!$C$13*1000000</f>
        <v>120443.14283701274</v>
      </c>
    </row>
    <row r="508" spans="1:11" ht="12">
      <c r="A508" s="27" t="s">
        <v>635</v>
      </c>
      <c r="B508" s="1543" t="s">
        <v>8329</v>
      </c>
      <c r="C508" s="1135">
        <v>216483294.18458301</v>
      </c>
      <c r="D508" s="1138">
        <v>130079985</v>
      </c>
      <c r="E508" s="1191">
        <v>56.7</v>
      </c>
      <c r="F508" s="126">
        <f t="shared" si="14"/>
        <v>12274602.780265858</v>
      </c>
      <c r="G508" s="126">
        <f t="shared" si="15"/>
        <v>7375535.1495000003</v>
      </c>
      <c r="H508" s="467">
        <f>F508*cnst_carbon!$C$11/10^6</f>
        <v>0.69521090589613577</v>
      </c>
      <c r="I508" s="467">
        <f>G508*carbon_intensity_n!$C$9</f>
        <v>0.41275206961219785</v>
      </c>
      <c r="J508" s="801">
        <f>H508*cnst_carbon!$C$13*1000000</f>
        <v>236766.36704165032</v>
      </c>
      <c r="K508" s="118">
        <f>I508*cnst_carbon!$C$13*1000000</f>
        <v>140570.01577820853</v>
      </c>
    </row>
    <row r="509" spans="1:11" ht="12">
      <c r="A509" s="27" t="s">
        <v>636</v>
      </c>
      <c r="B509" s="1543" t="s">
        <v>8330</v>
      </c>
      <c r="C509" s="1135">
        <v>86229617</v>
      </c>
      <c r="D509" s="1138">
        <v>47887896</v>
      </c>
      <c r="E509" s="1191">
        <v>56.7</v>
      </c>
      <c r="F509" s="126">
        <f t="shared" si="14"/>
        <v>4889219.2839000002</v>
      </c>
      <c r="G509" s="126">
        <f t="shared" si="15"/>
        <v>2715243.7032000003</v>
      </c>
      <c r="H509" s="467">
        <f>F509*cnst_carbon!$C$11/10^6</f>
        <v>0.27691637997033047</v>
      </c>
      <c r="I509" s="467">
        <f>G509*carbon_intensity_n!$C$9</f>
        <v>0.15195134119498624</v>
      </c>
      <c r="J509" s="801">
        <f>H509*cnst_carbon!$C$13*1000000</f>
        <v>94308.769761583229</v>
      </c>
      <c r="K509" s="118">
        <f>I509*cnst_carbon!$C$13*1000000</f>
        <v>51749.716117396609</v>
      </c>
    </row>
    <row r="510" spans="1:11" ht="12">
      <c r="A510" s="27" t="s">
        <v>637</v>
      </c>
      <c r="B510" s="1543" t="s">
        <v>8331</v>
      </c>
      <c r="C510" s="1135">
        <v>73070481.298530802</v>
      </c>
      <c r="D510" s="1138">
        <v>186243503.505234</v>
      </c>
      <c r="E510" s="1191">
        <v>56.7</v>
      </c>
      <c r="F510" s="126">
        <f t="shared" si="14"/>
        <v>4143096.2896266966</v>
      </c>
      <c r="G510" s="126">
        <f t="shared" si="15"/>
        <v>10560006.64874677</v>
      </c>
      <c r="H510" s="467">
        <f>F510*cnst_carbon!$C$11/10^6</f>
        <v>0.23465734706764244</v>
      </c>
      <c r="I510" s="467">
        <f>G510*carbon_intensity_n!$C$9</f>
        <v>0.59096248760800496</v>
      </c>
      <c r="J510" s="801">
        <f>H510*cnst_carbon!$C$13*1000000</f>
        <v>79916.708862932952</v>
      </c>
      <c r="K510" s="118">
        <f>I510*cnst_carbon!$C$13*1000000</f>
        <v>201262.72482518799</v>
      </c>
    </row>
    <row r="511" spans="1:11" ht="12">
      <c r="A511" s="27" t="s">
        <v>638</v>
      </c>
      <c r="B511" s="1543" t="s">
        <v>8332</v>
      </c>
      <c r="C511" s="1135">
        <v>2045622</v>
      </c>
      <c r="D511" s="1138">
        <v>620907</v>
      </c>
      <c r="E511" s="1191">
        <v>56.7</v>
      </c>
      <c r="F511" s="126">
        <f t="shared" si="14"/>
        <v>115986.76740000001</v>
      </c>
      <c r="G511" s="126">
        <f t="shared" si="15"/>
        <v>35205.426899999999</v>
      </c>
      <c r="H511" s="467">
        <f>F511*cnst_carbon!$C$11/10^6</f>
        <v>6.5692769924707807E-3</v>
      </c>
      <c r="I511" s="467">
        <f>G511*carbon_intensity_n!$C$9</f>
        <v>1.9701774203518007E-3</v>
      </c>
      <c r="J511" s="801">
        <f>H511*cnst_carbon!$C$13*1000000</f>
        <v>2237.2834407606078</v>
      </c>
      <c r="K511" s="118">
        <f>I511*cnst_carbon!$C$13*1000000</f>
        <v>670.97875808334481</v>
      </c>
    </row>
    <row r="512" spans="1:11" ht="12">
      <c r="A512" s="27" t="s">
        <v>639</v>
      </c>
      <c r="B512" s="1543" t="s">
        <v>8333</v>
      </c>
      <c r="C512" s="1135">
        <v>29264584</v>
      </c>
      <c r="D512" s="1138">
        <v>7122842</v>
      </c>
      <c r="E512" s="1191">
        <v>100</v>
      </c>
      <c r="F512" s="126">
        <f t="shared" si="14"/>
        <v>2926458.4</v>
      </c>
      <c r="G512" s="126">
        <f t="shared" si="15"/>
        <v>712284.2</v>
      </c>
      <c r="H512" s="467">
        <f>F512*cnst_carbon!$C$11/10^6</f>
        <v>0.16574921663471459</v>
      </c>
      <c r="I512" s="467">
        <f>G512*carbon_intensity_n!$C$9</f>
        <v>3.9861077432733698E-2</v>
      </c>
      <c r="J512" s="801">
        <f>H512*cnst_carbon!$C$13*1000000</f>
        <v>56448.826578770422</v>
      </c>
      <c r="K512" s="118">
        <f>I512*cnst_carbon!$C$13*1000000</f>
        <v>13575.394761606733</v>
      </c>
    </row>
    <row r="513" spans="1:11" ht="12">
      <c r="A513" s="27" t="s">
        <v>640</v>
      </c>
      <c r="B513" s="1543" t="s">
        <v>8334</v>
      </c>
      <c r="C513" s="1135">
        <v>33678880</v>
      </c>
      <c r="D513" s="1138">
        <v>18812191</v>
      </c>
      <c r="E513" s="1191">
        <v>56.7</v>
      </c>
      <c r="F513" s="126">
        <f t="shared" si="14"/>
        <v>1909592.496</v>
      </c>
      <c r="G513" s="126">
        <f t="shared" si="15"/>
        <v>1066651.2297</v>
      </c>
      <c r="H513" s="467">
        <f>F513*cnst_carbon!$C$11/10^6</f>
        <v>0.10815580371944784</v>
      </c>
      <c r="I513" s="467">
        <f>G513*carbon_intensity_n!$C$9</f>
        <v>5.9692279094204707E-2</v>
      </c>
      <c r="J513" s="801">
        <f>H513*cnst_carbon!$C$13*1000000</f>
        <v>36834.371417282186</v>
      </c>
      <c r="K513" s="118">
        <f>I513*cnst_carbon!$C$13*1000000</f>
        <v>20329.261151841863</v>
      </c>
    </row>
    <row r="514" spans="1:11" ht="12">
      <c r="A514" s="27" t="s">
        <v>3784</v>
      </c>
      <c r="B514" s="1543" t="s">
        <v>8335</v>
      </c>
      <c r="C514" s="1135">
        <v>390266607</v>
      </c>
      <c r="D514" s="1138">
        <v>91968831</v>
      </c>
      <c r="E514" s="1191">
        <v>56.7</v>
      </c>
      <c r="F514" s="126">
        <f t="shared" si="14"/>
        <v>22128116.616900001</v>
      </c>
      <c r="G514" s="126">
        <f t="shared" si="15"/>
        <v>5214632.7176999999</v>
      </c>
      <c r="H514" s="467">
        <f>F514*cnst_carbon!$C$11/10^6</f>
        <v>1.2532957908620148</v>
      </c>
      <c r="I514" s="467">
        <f>G514*carbon_intensity_n!$C$9</f>
        <v>0.29182295289367122</v>
      </c>
      <c r="J514" s="801">
        <f>H514*cnst_carbon!$C$13*1000000</f>
        <v>426832.04293018358</v>
      </c>
      <c r="K514" s="118">
        <f>I514*cnst_carbon!$C$13*1000000</f>
        <v>99385.466755499641</v>
      </c>
    </row>
    <row r="515" spans="1:11" ht="12">
      <c r="A515" s="27" t="s">
        <v>1348</v>
      </c>
      <c r="B515" s="1543" t="s">
        <v>8336</v>
      </c>
      <c r="C515" s="1135">
        <v>38058417</v>
      </c>
      <c r="D515" s="1138">
        <v>28865188</v>
      </c>
      <c r="E515" s="1191">
        <v>100</v>
      </c>
      <c r="F515" s="126">
        <f t="shared" si="14"/>
        <v>3805841.7</v>
      </c>
      <c r="G515" s="126">
        <f t="shared" si="15"/>
        <v>2886518.8</v>
      </c>
      <c r="H515" s="467">
        <f>F515*cnst_carbon!$C$11/10^6</f>
        <v>0.21555586794287954</v>
      </c>
      <c r="I515" s="467">
        <f>G515*carbon_intensity_n!$C$9</f>
        <v>0.16153629323497778</v>
      </c>
      <c r="J515" s="801">
        <f>H515*cnst_carbon!$C$13*1000000</f>
        <v>73411.362385863002</v>
      </c>
      <c r="K515" s="118">
        <f>I515*cnst_carbon!$C$13*1000000</f>
        <v>55014.041020142453</v>
      </c>
    </row>
    <row r="516" spans="1:11" ht="12">
      <c r="A516" s="27" t="s">
        <v>1349</v>
      </c>
      <c r="B516" s="1543" t="s">
        <v>8337</v>
      </c>
      <c r="C516" s="1135">
        <v>2656391116</v>
      </c>
      <c r="D516" s="1138">
        <v>2218897791</v>
      </c>
      <c r="E516" s="1191">
        <v>56.7</v>
      </c>
      <c r="F516" s="126">
        <f t="shared" si="14"/>
        <v>150617376.27720001</v>
      </c>
      <c r="G516" s="126">
        <f t="shared" si="15"/>
        <v>125811504.74970001</v>
      </c>
      <c r="H516" s="467">
        <f>F516*cnst_carbon!$C$11/10^6</f>
        <v>8.5306909298700262</v>
      </c>
      <c r="I516" s="467">
        <f>G516*carbon_intensity_n!$C$9</f>
        <v>7.0407038830238493</v>
      </c>
      <c r="J516" s="801">
        <f>H516*cnst_carbon!$C$13*1000000</f>
        <v>2905277.6397645269</v>
      </c>
      <c r="K516" s="118">
        <f>I516*cnst_carbon!$C$13*1000000</f>
        <v>2397836.2043253775</v>
      </c>
    </row>
    <row r="517" spans="1:11" ht="12">
      <c r="A517" s="27" t="s">
        <v>1350</v>
      </c>
      <c r="B517" s="1543" t="s">
        <v>8338</v>
      </c>
      <c r="C517" s="1135">
        <v>34617797.205439903</v>
      </c>
      <c r="D517" s="1138">
        <v>283250729.873079</v>
      </c>
      <c r="E517" s="1191">
        <v>100</v>
      </c>
      <c r="F517" s="126">
        <f t="shared" si="14"/>
        <v>3461779.7205439899</v>
      </c>
      <c r="G517" s="126">
        <f t="shared" si="15"/>
        <v>28325072.987307899</v>
      </c>
      <c r="H517" s="467">
        <f>F517*cnst_carbon!$C$11/10^6</f>
        <v>0.19606883078949883</v>
      </c>
      <c r="I517" s="467">
        <f>G517*carbon_intensity_n!$C$9</f>
        <v>1.5851368423375303</v>
      </c>
      <c r="J517" s="801">
        <f>H517*cnst_carbon!$C$13*1000000</f>
        <v>66774.707304533018</v>
      </c>
      <c r="K517" s="118">
        <f>I517*cnst_carbon!$C$13*1000000</f>
        <v>539846.38077613967</v>
      </c>
    </row>
    <row r="518" spans="1:11" ht="12">
      <c r="A518" s="27" t="s">
        <v>1351</v>
      </c>
      <c r="B518" s="1543" t="s">
        <v>8339</v>
      </c>
      <c r="C518" s="1135">
        <v>719444907</v>
      </c>
      <c r="D518" s="1138">
        <v>518063263</v>
      </c>
      <c r="E518" s="1191">
        <v>56.7</v>
      </c>
      <c r="F518" s="126">
        <f t="shared" si="14"/>
        <v>40792526.226900004</v>
      </c>
      <c r="G518" s="126">
        <f t="shared" si="15"/>
        <v>29374187.012100004</v>
      </c>
      <c r="H518" s="467">
        <f>F518*cnst_carbon!$C$11/10^6</f>
        <v>2.310413592983152</v>
      </c>
      <c r="I518" s="467">
        <f>G518*carbon_intensity_n!$C$9</f>
        <v>1.6438476987316564</v>
      </c>
      <c r="J518" s="801">
        <f>H518*cnst_carbon!$C$13*1000000</f>
        <v>786852.20288531098</v>
      </c>
      <c r="K518" s="118">
        <f>I518*cnst_carbon!$C$13*1000000</f>
        <v>559841.40107350261</v>
      </c>
    </row>
    <row r="519" spans="1:11" ht="12">
      <c r="A519" s="27" t="s">
        <v>1467</v>
      </c>
      <c r="B519" s="1543" t="s">
        <v>8340</v>
      </c>
      <c r="C519" s="1135">
        <v>3833270481</v>
      </c>
      <c r="D519" s="1138">
        <v>1053147601</v>
      </c>
      <c r="E519" s="1191">
        <v>100</v>
      </c>
      <c r="F519" s="126">
        <f t="shared" si="14"/>
        <v>383327048.10000002</v>
      </c>
      <c r="G519" s="126">
        <f t="shared" si="15"/>
        <v>105314760.09999999</v>
      </c>
      <c r="H519" s="467">
        <f>F519*cnst_carbon!$C$11/10^6</f>
        <v>21.7109383606726</v>
      </c>
      <c r="I519" s="467">
        <f>G519*carbon_intensity_n!$C$9</f>
        <v>5.8936584682853752</v>
      </c>
      <c r="J519" s="801">
        <f>H519*cnst_carbon!$C$13*1000000</f>
        <v>7394043.9615163803</v>
      </c>
      <c r="K519" s="118">
        <f>I519*cnst_carbon!$C$13*1000000</f>
        <v>2007189.6057520434</v>
      </c>
    </row>
    <row r="520" spans="1:11" ht="12">
      <c r="A520" s="27" t="s">
        <v>1468</v>
      </c>
      <c r="B520" s="1543" t="s">
        <v>8341</v>
      </c>
      <c r="C520" s="1135">
        <v>982032120</v>
      </c>
      <c r="D520" s="1138">
        <v>948321330</v>
      </c>
      <c r="E520" s="1191">
        <v>56.7</v>
      </c>
      <c r="F520" s="126">
        <f t="shared" ref="F520:F583" si="16">C520*$E520/1000</f>
        <v>55681221.204000004</v>
      </c>
      <c r="G520" s="126">
        <f t="shared" ref="G520:G583" si="17">D520*E520/1000</f>
        <v>53769819.410999998</v>
      </c>
      <c r="H520" s="467">
        <f>F520*cnst_carbon!$C$11/10^6</f>
        <v>3.1536818687828472</v>
      </c>
      <c r="I520" s="467">
        <f>G520*carbon_intensity_n!$C$9</f>
        <v>3.0090839233637059</v>
      </c>
      <c r="J520" s="801">
        <f>H520*cnst_carbon!$C$13*1000000</f>
        <v>1074042.1252660728</v>
      </c>
      <c r="K520" s="118">
        <f>I520*cnst_carbon!$C$13*1000000</f>
        <v>1024796.7381062635</v>
      </c>
    </row>
    <row r="521" spans="1:11" ht="12">
      <c r="A521" s="27" t="s">
        <v>3264</v>
      </c>
      <c r="B521" s="1543" t="s">
        <v>8342</v>
      </c>
      <c r="C521" s="1135">
        <v>88026962</v>
      </c>
      <c r="D521" s="1138">
        <v>26865515</v>
      </c>
      <c r="E521" s="1191">
        <v>100</v>
      </c>
      <c r="F521" s="126">
        <f t="shared" si="16"/>
        <v>8802696.1999999993</v>
      </c>
      <c r="G521" s="126">
        <f t="shared" si="17"/>
        <v>2686551.5</v>
      </c>
      <c r="H521" s="467">
        <f>F521*cnst_carbon!$C$11/10^6</f>
        <v>0.49856850841391726</v>
      </c>
      <c r="I521" s="467">
        <f>G521*carbon_intensity_n!$C$9</f>
        <v>0.15034565889363666</v>
      </c>
      <c r="J521" s="801">
        <f>H521*cnst_carbon!$C$13*1000000</f>
        <v>169796.32145784178</v>
      </c>
      <c r="K521" s="118">
        <f>I521*cnst_carbon!$C$13*1000000</f>
        <v>51202.872617259673</v>
      </c>
    </row>
    <row r="522" spans="1:11" ht="12">
      <c r="A522" s="27" t="s">
        <v>3265</v>
      </c>
      <c r="B522" s="1543" t="s">
        <v>8343</v>
      </c>
      <c r="C522" s="1135">
        <v>130456712.893143</v>
      </c>
      <c r="D522" s="1138">
        <v>138371304.30694899</v>
      </c>
      <c r="E522" s="1191">
        <v>100</v>
      </c>
      <c r="F522" s="126">
        <f t="shared" si="16"/>
        <v>13045671.2893143</v>
      </c>
      <c r="G522" s="126">
        <f t="shared" si="17"/>
        <v>13837130.430694899</v>
      </c>
      <c r="H522" s="467">
        <f>F522*cnst_carbon!$C$11/10^6</f>
        <v>0.73888280683498941</v>
      </c>
      <c r="I522" s="467">
        <f>G522*carbon_intensity_n!$C$9</f>
        <v>0.77435794244034217</v>
      </c>
      <c r="J522" s="801">
        <f>H522*cnst_carbon!$C$13*1000000</f>
        <v>251639.60513299872</v>
      </c>
      <c r="K522" s="118">
        <f>I522*cnst_carbon!$C$13*1000000</f>
        <v>263721.28985105193</v>
      </c>
    </row>
    <row r="523" spans="1:11" ht="12">
      <c r="A523" s="27" t="s">
        <v>3266</v>
      </c>
      <c r="B523" s="1543" t="s">
        <v>8344</v>
      </c>
      <c r="C523" s="1135">
        <v>509743344.762205</v>
      </c>
      <c r="D523" s="1138">
        <v>109519967.25</v>
      </c>
      <c r="E523" s="1191">
        <v>56.7</v>
      </c>
      <c r="F523" s="126">
        <f t="shared" si="16"/>
        <v>28902447.648017026</v>
      </c>
      <c r="G523" s="126">
        <f t="shared" si="17"/>
        <v>6209782.1430750005</v>
      </c>
      <c r="H523" s="467">
        <f>F523*cnst_carbon!$C$11/10^6</f>
        <v>1.6369814300058636</v>
      </c>
      <c r="I523" s="467">
        <f>G523*carbon_intensity_n!$C$9</f>
        <v>0.34751382502310124</v>
      </c>
      <c r="J523" s="801">
        <f>H523*cnst_carbon!$C$13*1000000</f>
        <v>557502.97184641485</v>
      </c>
      <c r="K523" s="118">
        <f>I523*cnst_carbon!$C$13*1000000</f>
        <v>118351.9780107707</v>
      </c>
    </row>
    <row r="524" spans="1:11" ht="12">
      <c r="A524" s="27" t="s">
        <v>3267</v>
      </c>
      <c r="B524" s="1543" t="s">
        <v>8345</v>
      </c>
      <c r="C524" s="1135">
        <v>241359288</v>
      </c>
      <c r="D524" s="1138">
        <v>107346343</v>
      </c>
      <c r="E524" s="1191">
        <v>100</v>
      </c>
      <c r="F524" s="126">
        <f t="shared" si="16"/>
        <v>24135928.800000001</v>
      </c>
      <c r="G524" s="126">
        <f t="shared" si="17"/>
        <v>10734634.300000001</v>
      </c>
      <c r="H524" s="467">
        <f>F524*cnst_carbon!$C$11/10^6</f>
        <v>1.3670145768520909</v>
      </c>
      <c r="I524" s="467">
        <f>G524*carbon_intensity_n!$C$9</f>
        <v>0.6007350563783096</v>
      </c>
      <c r="J524" s="801">
        <f>H524*cnst_carbon!$C$13*1000000</f>
        <v>465560.98632693721</v>
      </c>
      <c r="K524" s="118">
        <f>I524*cnst_carbon!$C$13*1000000</f>
        <v>204590.94592296719</v>
      </c>
    </row>
    <row r="525" spans="1:11" ht="12">
      <c r="A525" s="27" t="s">
        <v>3268</v>
      </c>
      <c r="B525" s="1543" t="s">
        <v>8346</v>
      </c>
      <c r="C525" s="1135">
        <v>411688461</v>
      </c>
      <c r="D525" s="1138">
        <v>587755048</v>
      </c>
      <c r="E525" s="1191">
        <v>56.7</v>
      </c>
      <c r="F525" s="126">
        <f t="shared" si="16"/>
        <v>23342735.738700002</v>
      </c>
      <c r="G525" s="126">
        <f t="shared" si="17"/>
        <v>33325711.221600004</v>
      </c>
      <c r="H525" s="467">
        <f>F525*cnst_carbon!$C$11/10^6</f>
        <v>1.3220895820014669</v>
      </c>
      <c r="I525" s="467">
        <f>G525*carbon_intensity_n!$C$9</f>
        <v>1.8649841671415992</v>
      </c>
      <c r="J525" s="801">
        <f>H525*cnst_carbon!$C$13*1000000</f>
        <v>450260.98494615295</v>
      </c>
      <c r="K525" s="118">
        <f>I525*cnst_carbon!$C$13*1000000</f>
        <v>635153.33562716597</v>
      </c>
    </row>
    <row r="526" spans="1:11" ht="12">
      <c r="A526" s="27" t="s">
        <v>3269</v>
      </c>
      <c r="B526" s="1543" t="s">
        <v>8347</v>
      </c>
      <c r="C526" s="1135">
        <v>1899983615</v>
      </c>
      <c r="D526" s="1138">
        <v>643073542</v>
      </c>
      <c r="E526" s="1191">
        <v>56.7</v>
      </c>
      <c r="F526" s="126">
        <f t="shared" si="16"/>
        <v>107729070.97050001</v>
      </c>
      <c r="G526" s="126">
        <f t="shared" si="17"/>
        <v>36462269.8314</v>
      </c>
      <c r="H526" s="467">
        <f>F526*cnst_carbon!$C$11/10^6</f>
        <v>6.1015762678006791</v>
      </c>
      <c r="I526" s="467">
        <f>G526*carbon_intensity_n!$C$9</f>
        <v>2.0405132686119747</v>
      </c>
      <c r="J526" s="801">
        <f>H526*cnst_carbon!$C$13*1000000</f>
        <v>2077999.6888750598</v>
      </c>
      <c r="K526" s="118">
        <f>I526*cnst_carbon!$C$13*1000000</f>
        <v>694932.87491913873</v>
      </c>
    </row>
    <row r="527" spans="1:11" ht="12">
      <c r="A527" s="27" t="s">
        <v>1759</v>
      </c>
      <c r="B527" s="1543" t="s">
        <v>8348</v>
      </c>
      <c r="C527" s="1135">
        <v>1176573969</v>
      </c>
      <c r="D527" s="1138">
        <v>788769385</v>
      </c>
      <c r="E527" s="1191">
        <v>56.7</v>
      </c>
      <c r="F527" s="126">
        <f t="shared" si="16"/>
        <v>66711744.042300001</v>
      </c>
      <c r="G527" s="126">
        <f t="shared" si="17"/>
        <v>44723224.129500002</v>
      </c>
      <c r="H527" s="467">
        <f>F527*cnst_carbon!$C$11/10^6</f>
        <v>3.7784303769179886</v>
      </c>
      <c r="I527" s="467">
        <f>G527*carbon_intensity_n!$C$9</f>
        <v>2.5028154493213579</v>
      </c>
      <c r="J527" s="801">
        <f>H527*cnst_carbon!$C$13*1000000</f>
        <v>1286811.2768017184</v>
      </c>
      <c r="K527" s="118">
        <f>I527*cnst_carbon!$C$13*1000000</f>
        <v>852378.05719932879</v>
      </c>
    </row>
    <row r="528" spans="1:11" ht="12">
      <c r="A528" s="27" t="s">
        <v>505</v>
      </c>
      <c r="B528" s="1543" t="s">
        <v>8349</v>
      </c>
      <c r="C528" s="1135">
        <v>409641913</v>
      </c>
      <c r="D528" s="1138">
        <v>419733275</v>
      </c>
      <c r="E528" s="1191">
        <v>100</v>
      </c>
      <c r="F528" s="126">
        <f t="shared" si="16"/>
        <v>40964191.299999997</v>
      </c>
      <c r="G528" s="126">
        <f t="shared" si="17"/>
        <v>41973327.5</v>
      </c>
      <c r="H528" s="467">
        <f>F528*cnst_carbon!$C$11/10^6</f>
        <v>2.3201363867156255</v>
      </c>
      <c r="I528" s="467">
        <f>G528*carbon_intensity_n!$C$9</f>
        <v>2.3489248499222515</v>
      </c>
      <c r="J528" s="801">
        <f>H528*cnst_carbon!$C$13*1000000</f>
        <v>790163.47221381182</v>
      </c>
      <c r="K528" s="118">
        <f>I528*cnst_carbon!$C$13*1000000</f>
        <v>799967.89240966435</v>
      </c>
    </row>
    <row r="529" spans="1:11" ht="12">
      <c r="A529" s="27" t="s">
        <v>506</v>
      </c>
      <c r="B529" s="1543" t="s">
        <v>8350</v>
      </c>
      <c r="C529" s="1135">
        <v>835696298</v>
      </c>
      <c r="D529" s="1138">
        <v>686374273</v>
      </c>
      <c r="E529" s="1191">
        <v>100</v>
      </c>
      <c r="F529" s="126">
        <f t="shared" si="16"/>
        <v>83569629.799999997</v>
      </c>
      <c r="G529" s="126">
        <f t="shared" si="17"/>
        <v>68637427.299999997</v>
      </c>
      <c r="H529" s="467">
        <f>F529*cnst_carbon!$C$11/10^6</f>
        <v>4.7332299935659776</v>
      </c>
      <c r="I529" s="467">
        <f>G529*carbon_intensity_n!$C$9</f>
        <v>3.8411097766719102</v>
      </c>
      <c r="J529" s="801">
        <f>H529*cnst_carbon!$C$13*1000000</f>
        <v>1611985.1694567895</v>
      </c>
      <c r="K529" s="118">
        <f>I529*cnst_carbon!$C$13*1000000</f>
        <v>1308157.854713867</v>
      </c>
    </row>
    <row r="530" spans="1:11" ht="12">
      <c r="A530" s="27" t="s">
        <v>507</v>
      </c>
      <c r="B530" s="1543" t="s">
        <v>8351</v>
      </c>
      <c r="C530" s="1135">
        <v>32629261</v>
      </c>
      <c r="D530" s="1138">
        <v>41450572</v>
      </c>
      <c r="E530" s="1191">
        <v>100</v>
      </c>
      <c r="F530" s="126">
        <f t="shared" si="16"/>
        <v>3262926.1</v>
      </c>
      <c r="G530" s="126">
        <f t="shared" si="17"/>
        <v>4145057.2</v>
      </c>
      <c r="H530" s="467">
        <f>F530*cnst_carbon!$C$11/10^6</f>
        <v>0.18480612777955924</v>
      </c>
      <c r="I530" s="467">
        <f>G530*carbon_intensity_n!$C$9</f>
        <v>0.23196702385411661</v>
      </c>
      <c r="J530" s="801">
        <f>H530*cnst_carbon!$C$13*1000000</f>
        <v>62938.994642207705</v>
      </c>
      <c r="K530" s="118">
        <f>I530*cnst_carbon!$C$13*1000000</f>
        <v>79000.471721035326</v>
      </c>
    </row>
    <row r="531" spans="1:11" ht="12">
      <c r="A531" s="27" t="s">
        <v>5473</v>
      </c>
      <c r="B531" s="1543" t="s">
        <v>8352</v>
      </c>
      <c r="C531" s="1135">
        <v>653239343</v>
      </c>
      <c r="D531" s="1138"/>
      <c r="E531" s="1191">
        <v>100</v>
      </c>
      <c r="F531" s="126">
        <f t="shared" si="16"/>
        <v>65323934.299999997</v>
      </c>
      <c r="G531" s="126">
        <f t="shared" si="17"/>
        <v>0</v>
      </c>
      <c r="H531" s="467">
        <f>F531*cnst_carbon!$C$11/10^6</f>
        <v>3.6998273878496146</v>
      </c>
      <c r="I531" s="467">
        <f>G531*carbon_intensity_n!$C$9</f>
        <v>0</v>
      </c>
      <c r="J531" s="801">
        <f>H531*cnst_carbon!$C$13*1000000</f>
        <v>1260041.6389803088</v>
      </c>
      <c r="K531" s="118">
        <f>I531*cnst_carbon!$C$13*1000000</f>
        <v>0</v>
      </c>
    </row>
    <row r="532" spans="1:11" ht="12">
      <c r="A532" s="27" t="s">
        <v>5474</v>
      </c>
      <c r="B532" s="1543" t="s">
        <v>8353</v>
      </c>
      <c r="C532" s="1135">
        <v>120688836.21774501</v>
      </c>
      <c r="D532" s="1138">
        <v>6217062.6454851404</v>
      </c>
      <c r="E532" s="1191">
        <v>100</v>
      </c>
      <c r="F532" s="126">
        <f t="shared" si="16"/>
        <v>12068883.6217745</v>
      </c>
      <c r="G532" s="126">
        <f t="shared" si="17"/>
        <v>621706.26454851404</v>
      </c>
      <c r="H532" s="467">
        <f>F532*cnst_carbon!$C$11/10^6</f>
        <v>0.68355935145521307</v>
      </c>
      <c r="I532" s="467">
        <f>G532*carbon_intensity_n!$C$9</f>
        <v>3.4792125883999596E-2</v>
      </c>
      <c r="J532" s="801">
        <f>H532*cnst_carbon!$C$13*1000000</f>
        <v>232798.22414865403</v>
      </c>
      <c r="K532" s="118">
        <f>I532*cnst_carbon!$C$13*1000000</f>
        <v>11849.073680154619</v>
      </c>
    </row>
    <row r="533" spans="1:11" ht="12">
      <c r="A533" s="27" t="s">
        <v>3723</v>
      </c>
      <c r="B533" s="1543" t="s">
        <v>8354</v>
      </c>
      <c r="C533" s="1135">
        <v>387590442</v>
      </c>
      <c r="D533" s="1138">
        <v>159361618.85817099</v>
      </c>
      <c r="E533" s="1191">
        <v>100</v>
      </c>
      <c r="F533" s="126">
        <f t="shared" si="16"/>
        <v>38759044.200000003</v>
      </c>
      <c r="G533" s="126">
        <f t="shared" si="17"/>
        <v>15936161.885817099</v>
      </c>
      <c r="H533" s="467">
        <f>F533*cnst_carbon!$C$11/10^6</f>
        <v>2.195240914294315</v>
      </c>
      <c r="I533" s="467">
        <f>G533*carbon_intensity_n!$C$9</f>
        <v>0.89182461566764359</v>
      </c>
      <c r="J533" s="801">
        <f>H533*cnst_carbon!$C$13*1000000</f>
        <v>747628.11062159552</v>
      </c>
      <c r="K533" s="118">
        <f>I533*cnst_carbon!$C$13*1000000</f>
        <v>303726.64251830708</v>
      </c>
    </row>
    <row r="534" spans="1:11" ht="12">
      <c r="A534" s="27" t="s">
        <v>3024</v>
      </c>
      <c r="B534" s="1543" t="s">
        <v>8355</v>
      </c>
      <c r="C534" s="1135">
        <v>2281962989</v>
      </c>
      <c r="D534" s="1138">
        <v>348926420</v>
      </c>
      <c r="E534" s="1191">
        <v>100</v>
      </c>
      <c r="F534" s="126">
        <f t="shared" si="16"/>
        <v>228196298.90000001</v>
      </c>
      <c r="G534" s="126">
        <f t="shared" si="17"/>
        <v>34892642</v>
      </c>
      <c r="H534" s="467">
        <f>F534*cnst_carbon!$C$11/10^6</f>
        <v>12.924618296851985</v>
      </c>
      <c r="I534" s="467">
        <f>G534*carbon_intensity_n!$C$9</f>
        <v>1.9526732512031801</v>
      </c>
      <c r="J534" s="801">
        <f>H534*cnst_carbon!$C$13*1000000</f>
        <v>4401707.3000331596</v>
      </c>
      <c r="K534" s="118">
        <f>I534*cnst_carbon!$C$13*1000000</f>
        <v>665017.40376301913</v>
      </c>
    </row>
    <row r="535" spans="1:11" ht="12">
      <c r="A535" s="27" t="s">
        <v>3025</v>
      </c>
      <c r="B535" s="1543" t="s">
        <v>8356</v>
      </c>
      <c r="C535" s="1135">
        <v>14808816</v>
      </c>
      <c r="D535" s="1138">
        <v>22123762</v>
      </c>
      <c r="E535" s="1191">
        <v>150</v>
      </c>
      <c r="F535" s="126">
        <f t="shared" si="16"/>
        <v>2221322.4</v>
      </c>
      <c r="G535" s="126">
        <f t="shared" si="17"/>
        <v>3318564.3</v>
      </c>
      <c r="H535" s="467">
        <f>F535*cnst_carbon!$C$11/10^6</f>
        <v>0.1258116116371735</v>
      </c>
      <c r="I535" s="467">
        <f>G535*carbon_intensity_n!$C$9</f>
        <v>0.18571456242860043</v>
      </c>
      <c r="J535" s="801">
        <f>H535*cnst_carbon!$C$13*1000000</f>
        <v>42847.36900177296</v>
      </c>
      <c r="K535" s="118">
        <f>I535*cnst_carbon!$C$13*1000000</f>
        <v>63248.378125297611</v>
      </c>
    </row>
    <row r="536" spans="1:11" ht="12">
      <c r="A536" s="27" t="s">
        <v>3026</v>
      </c>
      <c r="B536" s="1543" t="s">
        <v>8357</v>
      </c>
      <c r="C536" s="1135">
        <v>23420426</v>
      </c>
      <c r="D536" s="1138">
        <v>25151437</v>
      </c>
      <c r="E536" s="1191">
        <v>56.7</v>
      </c>
      <c r="F536" s="126">
        <f t="shared" si="16"/>
        <v>1327938.1542</v>
      </c>
      <c r="G536" s="126">
        <f t="shared" si="17"/>
        <v>1426086.4779000001</v>
      </c>
      <c r="H536" s="467">
        <f>F536*cnst_carbon!$C$11/10^6</f>
        <v>7.5211972532395754E-2</v>
      </c>
      <c r="I536" s="467">
        <f>G536*carbon_intensity_n!$C$9</f>
        <v>7.9807110029039507E-2</v>
      </c>
      <c r="J536" s="801">
        <f>H536*cnst_carbon!$C$13*1000000</f>
        <v>25614.767178569255</v>
      </c>
      <c r="K536" s="118">
        <f>I536*cnst_carbon!$C$13*1000000</f>
        <v>27179.722506384187</v>
      </c>
    </row>
    <row r="537" spans="1:11" ht="12">
      <c r="A537" s="27" t="s">
        <v>3027</v>
      </c>
      <c r="B537" s="1543" t="s">
        <v>8358</v>
      </c>
      <c r="C537" s="1135">
        <v>750439057</v>
      </c>
      <c r="D537" s="1138">
        <v>834449275</v>
      </c>
      <c r="E537" s="1191">
        <v>100</v>
      </c>
      <c r="F537" s="126">
        <f t="shared" si="16"/>
        <v>75043905.700000003</v>
      </c>
      <c r="G537" s="126">
        <f t="shared" si="17"/>
        <v>83444927.5</v>
      </c>
      <c r="H537" s="467">
        <f>F537*cnst_carbon!$C$11/10^6</f>
        <v>4.2503486750347772</v>
      </c>
      <c r="I537" s="467">
        <f>G537*carbon_intensity_n!$C$9</f>
        <v>4.669771864160893</v>
      </c>
      <c r="J537" s="801">
        <f>H537*cnst_carbon!$C$13*1000000</f>
        <v>1447531.3979016074</v>
      </c>
      <c r="K537" s="118">
        <f>I537*cnst_carbon!$C$13*1000000</f>
        <v>1590373.3813920815</v>
      </c>
    </row>
    <row r="538" spans="1:11" ht="12">
      <c r="A538" s="27" t="s">
        <v>3028</v>
      </c>
      <c r="B538" s="1543" t="s">
        <v>8359</v>
      </c>
      <c r="C538" s="1135">
        <v>160132777</v>
      </c>
      <c r="D538" s="1138">
        <v>25534302</v>
      </c>
      <c r="E538" s="1191">
        <v>100</v>
      </c>
      <c r="F538" s="126">
        <f t="shared" si="16"/>
        <v>16013277.699999999</v>
      </c>
      <c r="G538" s="126">
        <f t="shared" si="17"/>
        <v>2553430.2000000002</v>
      </c>
      <c r="H538" s="467">
        <f>F538*cnst_carbon!$C$11/10^6</f>
        <v>0.90696257104804368</v>
      </c>
      <c r="I538" s="467">
        <f>G538*carbon_intensity_n!$C$9</f>
        <v>0.1428958818983781</v>
      </c>
      <c r="J538" s="801">
        <f>H538*cnst_carbon!$C$13*1000000</f>
        <v>308882.14089938597</v>
      </c>
      <c r="K538" s="118">
        <f>I538*cnst_carbon!$C$13*1000000</f>
        <v>48665.719331143999</v>
      </c>
    </row>
    <row r="539" spans="1:11" ht="12">
      <c r="A539" s="27" t="s">
        <v>1115</v>
      </c>
      <c r="B539" s="1543" t="s">
        <v>8360</v>
      </c>
      <c r="C539" s="1135">
        <v>210296364.102936</v>
      </c>
      <c r="D539" s="1138">
        <v>76733251.622103304</v>
      </c>
      <c r="E539" s="1191">
        <v>100</v>
      </c>
      <c r="F539" s="126">
        <f t="shared" si="16"/>
        <v>21029636.410293598</v>
      </c>
      <c r="G539" s="126">
        <f t="shared" si="17"/>
        <v>7673325.1622103304</v>
      </c>
      <c r="H539" s="467">
        <f>F539*cnst_carbon!$C$11/10^6</f>
        <v>1.191079894085983</v>
      </c>
      <c r="I539" s="467">
        <f>G539*carbon_intensity_n!$C$9</f>
        <v>0.42941709005676371</v>
      </c>
      <c r="J539" s="801">
        <f>H539*cnst_carbon!$C$13*1000000</f>
        <v>405643.3191530279</v>
      </c>
      <c r="K539" s="118">
        <f>I539*cnst_carbon!$C$13*1000000</f>
        <v>146245.58316915532</v>
      </c>
    </row>
    <row r="540" spans="1:11" ht="12">
      <c r="A540" s="27" t="s">
        <v>1116</v>
      </c>
      <c r="B540" s="1543" t="s">
        <v>8361</v>
      </c>
      <c r="C540" s="1135">
        <v>381159512</v>
      </c>
      <c r="D540" s="1138">
        <v>168874905</v>
      </c>
      <c r="E540" s="1191">
        <v>56.7</v>
      </c>
      <c r="F540" s="126">
        <f t="shared" si="16"/>
        <v>21611744.330400001</v>
      </c>
      <c r="G540" s="126">
        <f t="shared" si="17"/>
        <v>9575207.1135000009</v>
      </c>
      <c r="H540" s="467">
        <f>F540*cnst_carbon!$C$11/10^6</f>
        <v>1.2240494151133448</v>
      </c>
      <c r="I540" s="467">
        <f>G540*carbon_intensity_n!$C$9</f>
        <v>0.53585081935789969</v>
      </c>
      <c r="J540" s="801">
        <f>H540*cnst_carbon!$C$13*1000000</f>
        <v>416871.67252111784</v>
      </c>
      <c r="K540" s="118">
        <f>I540*cnst_carbon!$C$13*1000000</f>
        <v>182493.47169277014</v>
      </c>
    </row>
    <row r="541" spans="1:11" ht="12">
      <c r="A541" s="27" t="s">
        <v>1117</v>
      </c>
      <c r="B541" s="1543" t="s">
        <v>8362</v>
      </c>
      <c r="C541" s="1135">
        <v>12683061</v>
      </c>
      <c r="D541" s="1138">
        <v>17498100</v>
      </c>
      <c r="E541" s="1191">
        <v>100</v>
      </c>
      <c r="F541" s="126">
        <f t="shared" si="16"/>
        <v>1268306.1000000001</v>
      </c>
      <c r="G541" s="126">
        <f t="shared" si="17"/>
        <v>1749810</v>
      </c>
      <c r="H541" s="467">
        <f>F541*cnst_carbon!$C$11/10^6</f>
        <v>7.183452275557034E-2</v>
      </c>
      <c r="I541" s="467">
        <f>G541*carbon_intensity_n!$C$9</f>
        <v>9.7923429864893483E-2</v>
      </c>
      <c r="J541" s="801">
        <f>H541*cnst_carbon!$C$13*1000000</f>
        <v>24464.516935452302</v>
      </c>
      <c r="K541" s="118">
        <f>I541*cnst_carbon!$C$13*1000000</f>
        <v>33349.555567576928</v>
      </c>
    </row>
    <row r="542" spans="1:11" ht="12">
      <c r="A542" s="27" t="s">
        <v>1118</v>
      </c>
      <c r="B542" s="1543" t="s">
        <v>8363</v>
      </c>
      <c r="C542" s="1135">
        <v>179290686</v>
      </c>
      <c r="D542" s="1138">
        <v>20553858</v>
      </c>
      <c r="E542" s="1191">
        <v>56.7</v>
      </c>
      <c r="F542" s="126">
        <f t="shared" si="16"/>
        <v>10165781.896200001</v>
      </c>
      <c r="G542" s="126">
        <f t="shared" si="17"/>
        <v>1165403.7486</v>
      </c>
      <c r="H542" s="467">
        <f>F542*cnst_carbon!$C$11/10^6</f>
        <v>0.57577117302419667</v>
      </c>
      <c r="I542" s="467">
        <f>G542*carbon_intensity_n!$C$9</f>
        <v>6.5218699310391454E-2</v>
      </c>
      <c r="J542" s="801">
        <f>H542*cnst_carbon!$C$13*1000000</f>
        <v>196089.05402386645</v>
      </c>
      <c r="K542" s="118">
        <f>I542*cnst_carbon!$C$13*1000000</f>
        <v>22211.38127716618</v>
      </c>
    </row>
    <row r="543" spans="1:11" ht="12">
      <c r="A543" s="27" t="s">
        <v>1119</v>
      </c>
      <c r="B543" s="1543" t="s">
        <v>8364</v>
      </c>
      <c r="C543" s="1135"/>
      <c r="D543" s="1138">
        <v>811883.44467400399</v>
      </c>
      <c r="E543" s="1191">
        <v>56.7</v>
      </c>
      <c r="F543" s="126">
        <f t="shared" si="16"/>
        <v>0</v>
      </c>
      <c r="G543" s="126">
        <f t="shared" si="17"/>
        <v>46033.79131301603</v>
      </c>
      <c r="H543" s="467">
        <f>F543*cnst_carbon!$C$11/10^6</f>
        <v>0</v>
      </c>
      <c r="I543" s="467">
        <f>G543*carbon_intensity_n!$C$9</f>
        <v>2.5761578314532825E-3</v>
      </c>
      <c r="J543" s="801">
        <f>H543*cnst_carbon!$C$13*1000000</f>
        <v>0</v>
      </c>
      <c r="K543" s="118">
        <f>I543*cnst_carbon!$C$13*1000000</f>
        <v>877.35610230806094</v>
      </c>
    </row>
    <row r="544" spans="1:11" ht="12">
      <c r="A544" s="27" t="s">
        <v>1120</v>
      </c>
      <c r="B544" s="1543" t="s">
        <v>8365</v>
      </c>
      <c r="C544" s="1135">
        <v>115542178.50792401</v>
      </c>
      <c r="D544" s="1138">
        <v>55998779.4371273</v>
      </c>
      <c r="E544" s="1191">
        <v>56.7</v>
      </c>
      <c r="F544" s="126">
        <f t="shared" si="16"/>
        <v>6551241.5213992912</v>
      </c>
      <c r="G544" s="126">
        <f t="shared" si="17"/>
        <v>3175130.794085118</v>
      </c>
      <c r="H544" s="467">
        <f>F544*cnst_carbon!$C$11/10^6</f>
        <v>0.37105025998549934</v>
      </c>
      <c r="I544" s="467">
        <f>G544*carbon_intensity_n!$C$9</f>
        <v>0.17768769045008179</v>
      </c>
      <c r="J544" s="801">
        <f>H544*cnst_carbon!$C$13*1000000</f>
        <v>126367.72711927452</v>
      </c>
      <c r="K544" s="118">
        <f>I544*cnst_carbon!$C$13*1000000</f>
        <v>60514.684938174032</v>
      </c>
    </row>
    <row r="545" spans="1:11" ht="12">
      <c r="A545" s="27" t="s">
        <v>1121</v>
      </c>
      <c r="B545" s="1543" t="s">
        <v>8366</v>
      </c>
      <c r="C545" s="1135"/>
      <c r="D545" s="1138"/>
      <c r="E545" s="1191">
        <v>56.7</v>
      </c>
      <c r="F545" s="126">
        <f t="shared" si="16"/>
        <v>0</v>
      </c>
      <c r="G545" s="126">
        <f t="shared" si="17"/>
        <v>0</v>
      </c>
      <c r="H545" s="467">
        <f>F545*cnst_carbon!$C$11/10^6</f>
        <v>0</v>
      </c>
      <c r="I545" s="467">
        <f>G545*carbon_intensity_n!$C$9</f>
        <v>0</v>
      </c>
      <c r="J545" s="801">
        <f>H545*cnst_carbon!$C$13*1000000</f>
        <v>0</v>
      </c>
      <c r="K545" s="118">
        <f>I545*cnst_carbon!$C$13*1000000</f>
        <v>0</v>
      </c>
    </row>
    <row r="546" spans="1:11" ht="12">
      <c r="A546" s="27" t="s">
        <v>1122</v>
      </c>
      <c r="B546" s="1543" t="s">
        <v>8367</v>
      </c>
      <c r="C546" s="1135">
        <v>295533</v>
      </c>
      <c r="D546" s="1138">
        <v>142496</v>
      </c>
      <c r="E546" s="1191">
        <v>56.7</v>
      </c>
      <c r="F546" s="126">
        <f t="shared" si="16"/>
        <v>16756.721100000002</v>
      </c>
      <c r="G546" s="126">
        <f t="shared" si="17"/>
        <v>8079.5232000000005</v>
      </c>
      <c r="H546" s="467">
        <f>F546*cnst_carbon!$C$11/10^6</f>
        <v>9.4906983666379584E-4</v>
      </c>
      <c r="I546" s="467">
        <f>G546*carbon_intensity_n!$C$9</f>
        <v>4.5214887525901656E-4</v>
      </c>
      <c r="J546" s="801">
        <f>H546*cnst_carbon!$C$13*1000000</f>
        <v>323.22251476485133</v>
      </c>
      <c r="K546" s="118">
        <f>I546*cnst_carbon!$C$13*1000000</f>
        <v>153.98729457365482</v>
      </c>
    </row>
    <row r="547" spans="1:11" ht="12">
      <c r="A547" s="27" t="s">
        <v>1123</v>
      </c>
      <c r="B547" s="1543" t="s">
        <v>8368</v>
      </c>
      <c r="C547" s="1135">
        <v>668040</v>
      </c>
      <c r="D547" s="1138">
        <v>103487718.025796</v>
      </c>
      <c r="E547" s="1191">
        <v>56.7</v>
      </c>
      <c r="F547" s="126">
        <f t="shared" si="16"/>
        <v>37877.868000000002</v>
      </c>
      <c r="G547" s="126">
        <f t="shared" si="17"/>
        <v>5867753.612062634</v>
      </c>
      <c r="H547" s="467">
        <f>F547*cnst_carbon!$C$11/10^6</f>
        <v>2.1453327164305922E-3</v>
      </c>
      <c r="I547" s="467">
        <f>G547*carbon_intensity_n!$C$9</f>
        <v>0.32837311439258587</v>
      </c>
      <c r="J547" s="801">
        <f>H547*cnst_carbon!$C$13*1000000</f>
        <v>730.63099133941489</v>
      </c>
      <c r="K547" s="118">
        <f>I547*cnst_carbon!$C$13*1000000</f>
        <v>111833.27055070722</v>
      </c>
    </row>
    <row r="548" spans="1:11" ht="12">
      <c r="A548" s="27" t="s">
        <v>1124</v>
      </c>
      <c r="B548" s="1543" t="s">
        <v>8369</v>
      </c>
      <c r="C548" s="1135">
        <v>22641</v>
      </c>
      <c r="D548" s="1138">
        <v>529139</v>
      </c>
      <c r="E548" s="1191">
        <v>56.7</v>
      </c>
      <c r="F548" s="126">
        <f t="shared" si="16"/>
        <v>1283.7447</v>
      </c>
      <c r="G548" s="126">
        <f t="shared" si="17"/>
        <v>30002.1813</v>
      </c>
      <c r="H548" s="467">
        <f>F548*cnst_carbon!$C$11/10^6</f>
        <v>7.2708936639580006E-5</v>
      </c>
      <c r="I548" s="467">
        <f>G548*carbon_intensity_n!$C$9</f>
        <v>1.6789917170003422E-3</v>
      </c>
      <c r="J548" s="801">
        <f>H548*cnst_carbon!$C$13*1000000</f>
        <v>24.762314045439926</v>
      </c>
      <c r="K548" s="118">
        <f>I548*cnst_carbon!$C$13*1000000</f>
        <v>571.81031792758495</v>
      </c>
    </row>
    <row r="549" spans="1:11" ht="12">
      <c r="A549" s="27" t="s">
        <v>1125</v>
      </c>
      <c r="B549" s="1543" t="s">
        <v>8370</v>
      </c>
      <c r="C549" s="1135">
        <v>11113221.3405894</v>
      </c>
      <c r="D549" s="1138">
        <v>492283</v>
      </c>
      <c r="E549" s="1191">
        <v>56.7</v>
      </c>
      <c r="F549" s="126">
        <f t="shared" si="16"/>
        <v>630119.65001141909</v>
      </c>
      <c r="G549" s="126">
        <f t="shared" si="17"/>
        <v>27912.446100000001</v>
      </c>
      <c r="H549" s="467">
        <f>F549*cnst_carbon!$C$11/10^6</f>
        <v>3.5688817027275443E-2</v>
      </c>
      <c r="I549" s="467">
        <f>G549*carbon_intensity_n!$C$9</f>
        <v>1.5620452837913658E-3</v>
      </c>
      <c r="J549" s="801">
        <f>H549*cnst_carbon!$C$13*1000000</f>
        <v>12154.457704702078</v>
      </c>
      <c r="K549" s="118">
        <f>I549*cnst_carbon!$C$13*1000000</f>
        <v>531.98214219769352</v>
      </c>
    </row>
    <row r="550" spans="1:11" ht="12">
      <c r="A550" s="27" t="s">
        <v>1126</v>
      </c>
      <c r="B550" s="1543" t="s">
        <v>8371</v>
      </c>
      <c r="C550" s="1135">
        <v>169717530</v>
      </c>
      <c r="D550" s="1138">
        <v>116171848.61062101</v>
      </c>
      <c r="E550" s="1191">
        <v>56.7</v>
      </c>
      <c r="F550" s="126">
        <f t="shared" si="16"/>
        <v>9622983.9509999994</v>
      </c>
      <c r="G550" s="126">
        <f t="shared" si="17"/>
        <v>6586943.8162222113</v>
      </c>
      <c r="H550" s="467">
        <f>F550*cnst_carbon!$C$11/10^6</f>
        <v>0.54502809661216467</v>
      </c>
      <c r="I550" s="467">
        <f>G550*carbon_intensity_n!$C$9</f>
        <v>0.3686206678506978</v>
      </c>
      <c r="J550" s="801">
        <f>H550*cnst_carbon!$C$13*1000000</f>
        <v>185618.95573854388</v>
      </c>
      <c r="K550" s="118">
        <f>I550*cnst_carbon!$C$13*1000000</f>
        <v>125540.28655660321</v>
      </c>
    </row>
    <row r="551" spans="1:11" ht="12">
      <c r="A551" s="27" t="s">
        <v>4904</v>
      </c>
      <c r="B551" s="1543" t="s">
        <v>8372</v>
      </c>
      <c r="C551" s="1135">
        <v>408870484</v>
      </c>
      <c r="D551" s="1138">
        <v>456196943</v>
      </c>
      <c r="E551" s="1191">
        <v>56.7</v>
      </c>
      <c r="F551" s="126">
        <f t="shared" si="16"/>
        <v>23182956.442800004</v>
      </c>
      <c r="G551" s="126">
        <f t="shared" si="17"/>
        <v>25866366.668100003</v>
      </c>
      <c r="H551" s="467">
        <f>F551*cnst_carbon!$C$11/10^6</f>
        <v>1.3130399768097882</v>
      </c>
      <c r="I551" s="467">
        <f>G551*carbon_intensity_n!$C$9</f>
        <v>1.4475419287141513</v>
      </c>
      <c r="J551" s="801">
        <f>H551*cnst_carbon!$C$13*1000000</f>
        <v>447178.9818788491</v>
      </c>
      <c r="K551" s="118">
        <f>I551*cnst_carbon!$C$13*1000000</f>
        <v>492985.99992520368</v>
      </c>
    </row>
    <row r="552" spans="1:11" ht="12">
      <c r="A552" s="27" t="s">
        <v>4905</v>
      </c>
      <c r="B552" s="1543" t="s">
        <v>8373</v>
      </c>
      <c r="C552" s="1135">
        <v>11576967171</v>
      </c>
      <c r="D552" s="1138">
        <v>3436247966</v>
      </c>
      <c r="E552" s="1191">
        <v>56.7</v>
      </c>
      <c r="F552" s="126">
        <f t="shared" si="16"/>
        <v>656414038.59570003</v>
      </c>
      <c r="G552" s="126">
        <f t="shared" si="17"/>
        <v>194835259.67220002</v>
      </c>
      <c r="H552" s="467">
        <f>F552*cnst_carbon!$C$11/10^6</f>
        <v>37.17808279293039</v>
      </c>
      <c r="I552" s="467">
        <f>G552*carbon_intensity_n!$C$9</f>
        <v>10.903433450328315</v>
      </c>
      <c r="J552" s="801">
        <f>H552*cnst_carbon!$C$13*1000000</f>
        <v>12661653.495077526</v>
      </c>
      <c r="K552" s="118">
        <f>I552*cnst_carbon!$C$13*1000000</f>
        <v>3713357.0610302342</v>
      </c>
    </row>
    <row r="553" spans="1:11" ht="12">
      <c r="A553" s="27" t="s">
        <v>5174</v>
      </c>
      <c r="B553" s="1543" t="s">
        <v>8374</v>
      </c>
      <c r="C553" s="1135">
        <v>80486822</v>
      </c>
      <c r="D553" s="1138">
        <v>77613030.054360107</v>
      </c>
      <c r="E553" s="1191">
        <v>100</v>
      </c>
      <c r="F553" s="126">
        <f t="shared" si="16"/>
        <v>8048682.2000000002</v>
      </c>
      <c r="G553" s="126">
        <f t="shared" si="17"/>
        <v>7761303.0054360107</v>
      </c>
      <c r="H553" s="467">
        <f>F553*cnst_carbon!$C$11/10^6</f>
        <v>0.45586254347294713</v>
      </c>
      <c r="I553" s="467">
        <f>G553*carbon_intensity_n!$C$9</f>
        <v>0.43434053440830728</v>
      </c>
      <c r="J553" s="801">
        <f>H553*cnst_carbon!$C$13*1000000</f>
        <v>155252.04995069685</v>
      </c>
      <c r="K553" s="118">
        <f>I553*cnst_carbon!$C$13*1000000</f>
        <v>147922.34920167908</v>
      </c>
    </row>
    <row r="554" spans="1:11" ht="12">
      <c r="A554" s="27" t="s">
        <v>3726</v>
      </c>
      <c r="B554" s="1543" t="s">
        <v>8375</v>
      </c>
      <c r="C554" s="1135">
        <v>2648840948</v>
      </c>
      <c r="D554" s="1138">
        <v>1919412769</v>
      </c>
      <c r="E554" s="1191">
        <v>100</v>
      </c>
      <c r="F554" s="126">
        <f t="shared" si="16"/>
        <v>264884094.80000001</v>
      </c>
      <c r="G554" s="126">
        <f t="shared" si="17"/>
        <v>191941276.90000001</v>
      </c>
      <c r="H554" s="467">
        <f>F554*cnst_carbon!$C$11/10^6</f>
        <v>15.00254752027074</v>
      </c>
      <c r="I554" s="467">
        <f>G554*carbon_intensity_n!$C$9</f>
        <v>10.741479455881066</v>
      </c>
      <c r="J554" s="801">
        <f>H554*cnst_carbon!$C$13*1000000</f>
        <v>5109382.8399678543</v>
      </c>
      <c r="K554" s="118">
        <f>I554*cnst_carbon!$C$13*1000000</f>
        <v>3658200.7644762686</v>
      </c>
    </row>
    <row r="555" spans="1:11" ht="12">
      <c r="A555" s="27" t="s">
        <v>3727</v>
      </c>
      <c r="B555" s="1543" t="s">
        <v>8376</v>
      </c>
      <c r="C555" s="1135">
        <v>144981481.100595</v>
      </c>
      <c r="D555" s="1138">
        <v>248442395</v>
      </c>
      <c r="E555" s="1191">
        <v>100</v>
      </c>
      <c r="F555" s="126">
        <f t="shared" si="16"/>
        <v>14498148.1100595</v>
      </c>
      <c r="G555" s="126">
        <f t="shared" si="17"/>
        <v>24844239.5</v>
      </c>
      <c r="H555" s="467">
        <f>F555*cnst_carbon!$C$11/10^6</f>
        <v>0.82114842018476331</v>
      </c>
      <c r="I555" s="467">
        <f>G555*carbon_intensity_n!$C$9</f>
        <v>1.390341319471752</v>
      </c>
      <c r="J555" s="801">
        <f>H555*cnst_carbon!$C$13*1000000</f>
        <v>279656.61441764451</v>
      </c>
      <c r="K555" s="118">
        <f>I555*cnst_carbon!$C$13*1000000</f>
        <v>473505.32100024552</v>
      </c>
    </row>
    <row r="556" spans="1:11" ht="12">
      <c r="A556" s="27" t="s">
        <v>923</v>
      </c>
      <c r="B556" s="1543" t="s">
        <v>8377</v>
      </c>
      <c r="C556" s="1135">
        <v>985013736</v>
      </c>
      <c r="D556" s="1138">
        <v>642842526</v>
      </c>
      <c r="E556" s="1191">
        <v>56.7</v>
      </c>
      <c r="F556" s="126">
        <f t="shared" si="16"/>
        <v>55850278.831200004</v>
      </c>
      <c r="G556" s="126">
        <f t="shared" si="17"/>
        <v>36449171.224200003</v>
      </c>
      <c r="H556" s="467">
        <f>F556*cnst_carbon!$C$11/10^6</f>
        <v>3.1632569815794356</v>
      </c>
      <c r="I556" s="467">
        <f>G556*carbon_intensity_n!$C$9</f>
        <v>2.0397802401440401</v>
      </c>
      <c r="J556" s="801">
        <f>H556*cnst_carbon!$C$13*1000000</f>
        <v>1077303.0992404956</v>
      </c>
      <c r="K556" s="118">
        <f>I556*cnst_carbon!$C$13*1000000</f>
        <v>694683.22911263735</v>
      </c>
    </row>
    <row r="557" spans="1:11" ht="12">
      <c r="A557" s="27" t="s">
        <v>924</v>
      </c>
      <c r="B557" s="1543" t="s">
        <v>8378</v>
      </c>
      <c r="C557" s="1135"/>
      <c r="D557" s="1138"/>
      <c r="E557" s="1191">
        <v>100</v>
      </c>
      <c r="F557" s="126">
        <f t="shared" si="16"/>
        <v>0</v>
      </c>
      <c r="G557" s="126">
        <f t="shared" si="17"/>
        <v>0</v>
      </c>
      <c r="H557" s="467">
        <f>F557*cnst_carbon!$C$11/10^6</f>
        <v>0</v>
      </c>
      <c r="I557" s="467">
        <f>G557*carbon_intensity_n!$C$9</f>
        <v>0</v>
      </c>
      <c r="J557" s="801">
        <f>H557*cnst_carbon!$C$13*1000000</f>
        <v>0</v>
      </c>
      <c r="K557" s="118">
        <f>I557*cnst_carbon!$C$13*1000000</f>
        <v>0</v>
      </c>
    </row>
    <row r="558" spans="1:11" ht="12">
      <c r="A558" s="27" t="s">
        <v>925</v>
      </c>
      <c r="B558" s="1543" t="s">
        <v>8379</v>
      </c>
      <c r="C558" s="1135">
        <v>10518441</v>
      </c>
      <c r="D558" s="1138">
        <v>11793569</v>
      </c>
      <c r="E558" s="1191">
        <v>56.7</v>
      </c>
      <c r="F558" s="126">
        <f t="shared" si="16"/>
        <v>596395.60470000003</v>
      </c>
      <c r="G558" s="126">
        <f t="shared" si="17"/>
        <v>668695.36230000004</v>
      </c>
      <c r="H558" s="467">
        <f>F558*cnst_carbon!$C$11/10^6</f>
        <v>3.3778749181403674E-2</v>
      </c>
      <c r="I558" s="467">
        <f>G558*carbon_intensity_n!$C$9</f>
        <v>3.7421744881537759E-2</v>
      </c>
      <c r="J558" s="801">
        <f>H558*cnst_carbon!$C$13*1000000</f>
        <v>11503.950325093027</v>
      </c>
      <c r="K558" s="118">
        <f>I558*cnst_carbon!$C$13*1000000</f>
        <v>12744.636927897791</v>
      </c>
    </row>
    <row r="559" spans="1:11" ht="12">
      <c r="A559" s="27" t="s">
        <v>926</v>
      </c>
      <c r="B559" s="1543" t="s">
        <v>8380</v>
      </c>
      <c r="C559" s="1135">
        <v>5249228464</v>
      </c>
      <c r="D559" s="1138">
        <v>3977430078</v>
      </c>
      <c r="E559" s="1191">
        <v>56.7</v>
      </c>
      <c r="F559" s="126">
        <f t="shared" si="16"/>
        <v>297631253.90880001</v>
      </c>
      <c r="G559" s="126">
        <f t="shared" si="17"/>
        <v>225520285.4226</v>
      </c>
      <c r="H559" s="467">
        <f>F559*cnst_carbon!$C$11/10^6</f>
        <v>16.857286329917226</v>
      </c>
      <c r="I559" s="467">
        <f>G559*carbon_intensity_n!$C$9</f>
        <v>12.620638728028032</v>
      </c>
      <c r="J559" s="801">
        <f>H559*cnst_carbon!$C$13*1000000</f>
        <v>5741046.9379369402</v>
      </c>
      <c r="K559" s="118">
        <f>I559*cnst_carbon!$C$13*1000000</f>
        <v>4298181.682763733</v>
      </c>
    </row>
    <row r="560" spans="1:11" ht="12">
      <c r="A560" s="27" t="s">
        <v>927</v>
      </c>
      <c r="B560" s="1543" t="s">
        <v>8381</v>
      </c>
      <c r="C560" s="1135">
        <v>94100314</v>
      </c>
      <c r="D560" s="1138">
        <v>33121819</v>
      </c>
      <c r="E560" s="1191">
        <v>56.7</v>
      </c>
      <c r="F560" s="126">
        <f t="shared" si="16"/>
        <v>5335487.8037999999</v>
      </c>
      <c r="G560" s="126">
        <f t="shared" si="17"/>
        <v>1878007.1373000003</v>
      </c>
      <c r="H560" s="467">
        <f>F560*cnst_carbon!$C$11/10^6</f>
        <v>0.30219220742858455</v>
      </c>
      <c r="I560" s="467">
        <f>G560*carbon_intensity_n!$C$9</f>
        <v>0.1050976392837885</v>
      </c>
      <c r="J560" s="801">
        <f>H560*cnst_carbon!$C$13*1000000</f>
        <v>102916.89974128825</v>
      </c>
      <c r="K560" s="118">
        <f>I560*cnst_carbon!$C$13*1000000</f>
        <v>35792.859442849469</v>
      </c>
    </row>
    <row r="561" spans="1:11" ht="12">
      <c r="A561" s="27" t="s">
        <v>5079</v>
      </c>
      <c r="B561" s="1543" t="s">
        <v>8382</v>
      </c>
      <c r="C561" s="1135">
        <v>93093940.118273005</v>
      </c>
      <c r="D561" s="1138">
        <v>66822027.75</v>
      </c>
      <c r="E561" s="1191">
        <v>56.7</v>
      </c>
      <c r="F561" s="126">
        <f t="shared" si="16"/>
        <v>5278426.4047060795</v>
      </c>
      <c r="G561" s="126">
        <f t="shared" si="17"/>
        <v>3788808.973425</v>
      </c>
      <c r="H561" s="467">
        <f>F561*cnst_carbon!$C$11/10^6</f>
        <v>0.29896035482480315</v>
      </c>
      <c r="I561" s="467">
        <f>G561*carbon_intensity_n!$C$9</f>
        <v>0.21203054604823499</v>
      </c>
      <c r="J561" s="801">
        <f>H561*cnst_carbon!$C$13*1000000</f>
        <v>101816.23518996756</v>
      </c>
      <c r="K561" s="118">
        <f>I561*cnst_carbon!$C$13*1000000</f>
        <v>72210.751678280008</v>
      </c>
    </row>
    <row r="562" spans="1:11" ht="12">
      <c r="A562" s="27" t="s">
        <v>5571</v>
      </c>
      <c r="B562" s="1543" t="s">
        <v>8383</v>
      </c>
      <c r="C562" s="1135">
        <v>675488949</v>
      </c>
      <c r="D562" s="1138">
        <v>777821652</v>
      </c>
      <c r="E562" s="1191">
        <v>56.7</v>
      </c>
      <c r="F562" s="126">
        <f t="shared" si="16"/>
        <v>38300223.408300005</v>
      </c>
      <c r="G562" s="126">
        <f t="shared" si="17"/>
        <v>44102487.668400005</v>
      </c>
      <c r="H562" s="467">
        <f>F562*cnst_carbon!$C$11/10^6</f>
        <v>2.1692541492680317</v>
      </c>
      <c r="I562" s="467">
        <f>G562*carbon_intensity_n!$C$9</f>
        <v>2.4680775958897807</v>
      </c>
      <c r="J562" s="801">
        <f>H562*cnst_carbon!$C$13*1000000</f>
        <v>738777.8582819734</v>
      </c>
      <c r="K562" s="118">
        <f>I562*cnst_carbon!$C$13*1000000</f>
        <v>840547.46696251712</v>
      </c>
    </row>
    <row r="563" spans="1:11" ht="12">
      <c r="A563" s="27" t="s">
        <v>5572</v>
      </c>
      <c r="B563" s="1543" t="s">
        <v>8384</v>
      </c>
      <c r="C563" s="1135">
        <v>14969745</v>
      </c>
      <c r="D563" s="1138">
        <v>2386691</v>
      </c>
      <c r="E563" s="1191">
        <v>100</v>
      </c>
      <c r="F563" s="126">
        <f t="shared" si="16"/>
        <v>1496974.5</v>
      </c>
      <c r="G563" s="126">
        <f t="shared" si="17"/>
        <v>238669.1</v>
      </c>
      <c r="H563" s="467">
        <f>F563*cnst_carbon!$C$11/10^6</f>
        <v>8.4785879989663804E-2</v>
      </c>
      <c r="I563" s="467">
        <f>G563*carbon_intensity_n!$C$9</f>
        <v>1.3356476917360884E-2</v>
      </c>
      <c r="J563" s="801">
        <f>H563*cnst_carbon!$C$13*1000000</f>
        <v>28875.330653373225</v>
      </c>
      <c r="K563" s="118">
        <f>I563*cnst_carbon!$C$13*1000000</f>
        <v>4548.7843895700526</v>
      </c>
    </row>
    <row r="564" spans="1:11" ht="12">
      <c r="A564" s="27" t="s">
        <v>5573</v>
      </c>
      <c r="B564" s="1543" t="s">
        <v>8385</v>
      </c>
      <c r="C564" s="1135">
        <v>25212846</v>
      </c>
      <c r="D564" s="1138"/>
      <c r="E564" s="1191">
        <v>217.6935</v>
      </c>
      <c r="F564" s="126">
        <f t="shared" si="16"/>
        <v>5488672.6907010004</v>
      </c>
      <c r="G564" s="126">
        <f t="shared" si="17"/>
        <v>0</v>
      </c>
      <c r="H564" s="467">
        <f>F564*cnst_carbon!$C$11/10^6</f>
        <v>0.31086831743381077</v>
      </c>
      <c r="I564" s="467">
        <f>G564*carbon_intensity_n!$C$9</f>
        <v>0</v>
      </c>
      <c r="J564" s="801">
        <f>H564*cnst_carbon!$C$13*1000000</f>
        <v>105871.70241853224</v>
      </c>
      <c r="K564" s="118">
        <f>I564*cnst_carbon!$C$13*1000000</f>
        <v>0</v>
      </c>
    </row>
    <row r="565" spans="1:11" ht="12">
      <c r="A565" s="27" t="s">
        <v>5574</v>
      </c>
      <c r="B565" s="1543" t="s">
        <v>8386</v>
      </c>
      <c r="C565" s="1135">
        <v>44246299</v>
      </c>
      <c r="D565" s="1138">
        <v>9605614</v>
      </c>
      <c r="E565" s="1191">
        <v>56.7</v>
      </c>
      <c r="F565" s="126">
        <f t="shared" si="16"/>
        <v>2508765.1533000004</v>
      </c>
      <c r="G565" s="126">
        <f t="shared" si="17"/>
        <v>544638.31380000012</v>
      </c>
      <c r="H565" s="467">
        <f>F565*cnst_carbon!$C$11/10^6</f>
        <v>0.14209184004800637</v>
      </c>
      <c r="I565" s="467">
        <f>G565*carbon_intensity_n!$C$9</f>
        <v>3.0479224443298505E-2</v>
      </c>
      <c r="J565" s="801">
        <f>H565*cnst_carbon!$C$13*1000000</f>
        <v>48391.888661562414</v>
      </c>
      <c r="K565" s="118">
        <f>I565*cnst_carbon!$C$13*1000000</f>
        <v>10380.238831818599</v>
      </c>
    </row>
    <row r="566" spans="1:11" ht="12">
      <c r="A566" s="27" t="s">
        <v>5575</v>
      </c>
      <c r="B566" s="1543" t="s">
        <v>8387</v>
      </c>
      <c r="C566" s="1135">
        <v>24594324.75</v>
      </c>
      <c r="D566" s="1138">
        <v>8603119</v>
      </c>
      <c r="E566" s="1191">
        <v>56.7</v>
      </c>
      <c r="F566" s="126">
        <f t="shared" si="16"/>
        <v>1394498.2133250001</v>
      </c>
      <c r="G566" s="126">
        <f t="shared" si="17"/>
        <v>487796.84730000002</v>
      </c>
      <c r="H566" s="467">
        <f>F566*cnst_carbon!$C$11/10^6</f>
        <v>7.8981811754825521E-2</v>
      </c>
      <c r="I566" s="467">
        <f>G566*carbon_intensity_n!$C$9</f>
        <v>2.7298244017863488E-2</v>
      </c>
      <c r="J566" s="801">
        <f>H566*cnst_carbon!$C$13*1000000</f>
        <v>26898.652585797267</v>
      </c>
      <c r="K566" s="118">
        <f>I566*cnst_carbon!$C$13*1000000</f>
        <v>9296.8997003790064</v>
      </c>
    </row>
    <row r="567" spans="1:11" ht="12">
      <c r="A567" s="27" t="s">
        <v>4517</v>
      </c>
      <c r="B567" s="1543" t="s">
        <v>8388</v>
      </c>
      <c r="C567" s="1135">
        <v>103790101.5</v>
      </c>
      <c r="D567" s="1138">
        <v>63907073.25</v>
      </c>
      <c r="E567" s="1191">
        <v>56.7</v>
      </c>
      <c r="F567" s="126">
        <f t="shared" si="16"/>
        <v>5884898.7550499998</v>
      </c>
      <c r="G567" s="126">
        <f t="shared" si="17"/>
        <v>3623531.0532750003</v>
      </c>
      <c r="H567" s="467">
        <f>F567*cnst_carbon!$C$11/10^6</f>
        <v>0.33330983232980338</v>
      </c>
      <c r="I567" s="467">
        <f>G567*carbon_intensity_n!$C$9</f>
        <v>0.20278120993630055</v>
      </c>
      <c r="J567" s="801">
        <f>H567*cnst_carbon!$C$13*1000000</f>
        <v>113514.55713754188</v>
      </c>
      <c r="K567" s="118">
        <f>I567*cnst_carbon!$C$13*1000000</f>
        <v>69060.72671434909</v>
      </c>
    </row>
    <row r="568" spans="1:11" ht="12">
      <c r="A568" s="27" t="s">
        <v>733</v>
      </c>
      <c r="B568" s="1543" t="s">
        <v>8389</v>
      </c>
      <c r="C568" s="1135">
        <v>138000</v>
      </c>
      <c r="D568" s="1138">
        <v>7033000</v>
      </c>
      <c r="E568" s="1191">
        <v>56.7</v>
      </c>
      <c r="F568" s="126">
        <f t="shared" si="16"/>
        <v>7824.6</v>
      </c>
      <c r="G568" s="126">
        <f t="shared" si="17"/>
        <v>398771.1</v>
      </c>
      <c r="H568" s="467">
        <f>F568*cnst_carbon!$C$11/10^6</f>
        <v>4.4317094016439387E-4</v>
      </c>
      <c r="I568" s="467">
        <f>G568*carbon_intensity_n!$C$9</f>
        <v>2.2316156521563154E-2</v>
      </c>
      <c r="J568" s="801">
        <f>H568*cnst_carbon!$C$13*1000000</f>
        <v>150.92970002520693</v>
      </c>
      <c r="K568" s="118">
        <f>I568*cnst_carbon!$C$13*1000000</f>
        <v>7600.1617079533062</v>
      </c>
    </row>
    <row r="569" spans="1:11" ht="12">
      <c r="A569" s="27" t="s">
        <v>734</v>
      </c>
      <c r="B569" s="1543" t="s">
        <v>8390</v>
      </c>
      <c r="C569" s="1135">
        <v>44587645.540568501</v>
      </c>
      <c r="D569" s="1138">
        <v>39791974</v>
      </c>
      <c r="E569" s="1191">
        <v>100</v>
      </c>
      <c r="F569" s="126">
        <f t="shared" si="16"/>
        <v>4458764.5540568503</v>
      </c>
      <c r="G569" s="126">
        <f t="shared" si="17"/>
        <v>3979197.4</v>
      </c>
      <c r="H569" s="467">
        <f>F569*cnst_carbon!$C$11/10^6</f>
        <v>0.2525362164702411</v>
      </c>
      <c r="I569" s="467">
        <f>G569*carbon_intensity_n!$C$9</f>
        <v>0.22268512439491514</v>
      </c>
      <c r="J569" s="801">
        <f>H569*cnst_carbon!$C$13*1000000</f>
        <v>86005.673980372914</v>
      </c>
      <c r="K569" s="118">
        <f>I569*cnst_carbon!$C$13*1000000</f>
        <v>75839.356733392546</v>
      </c>
    </row>
    <row r="570" spans="1:11" ht="12">
      <c r="A570" s="27" t="s">
        <v>735</v>
      </c>
      <c r="B570" s="1543" t="s">
        <v>8391</v>
      </c>
      <c r="C570" s="1135">
        <v>66609877</v>
      </c>
      <c r="D570" s="1138">
        <v>42338836</v>
      </c>
      <c r="E570" s="1191">
        <v>56.7</v>
      </c>
      <c r="F570" s="126">
        <f t="shared" si="16"/>
        <v>3776780.0259000002</v>
      </c>
      <c r="G570" s="126">
        <f t="shared" si="17"/>
        <v>2400612.0012000003</v>
      </c>
      <c r="H570" s="467">
        <f>F570*cnst_carbon!$C$11/10^6</f>
        <v>0.21390986821974375</v>
      </c>
      <c r="I570" s="467">
        <f>G570*carbon_intensity_n!$C$9</f>
        <v>0.13434382071900938</v>
      </c>
      <c r="J570" s="801">
        <f>H570*cnst_carbon!$C$13*1000000</f>
        <v>72850.788074825585</v>
      </c>
      <c r="K570" s="118">
        <f>I570*cnst_carbon!$C$13*1000000</f>
        <v>45753.16367503412</v>
      </c>
    </row>
    <row r="571" spans="1:11" ht="12">
      <c r="A571" s="27" t="s">
        <v>4556</v>
      </c>
      <c r="B571" s="1543" t="s">
        <v>8392</v>
      </c>
      <c r="C571" s="1135">
        <v>422861842</v>
      </c>
      <c r="D571" s="1138">
        <v>50212445</v>
      </c>
      <c r="E571" s="1191">
        <v>29</v>
      </c>
      <c r="F571" s="126">
        <f t="shared" si="16"/>
        <v>12262993.418</v>
      </c>
      <c r="G571" s="126">
        <f t="shared" si="17"/>
        <v>1456160.905</v>
      </c>
      <c r="H571" s="467">
        <f>F571*cnst_carbon!$C$11/10^6</f>
        <v>0.69455337298837427</v>
      </c>
      <c r="I571" s="467">
        <f>G571*carbon_intensity_n!$C$9</f>
        <v>8.1490144788729818E-2</v>
      </c>
      <c r="J571" s="801">
        <f>H571*cnst_carbon!$C$13*1000000</f>
        <v>236542.43258311311</v>
      </c>
      <c r="K571" s="118">
        <f>I571*cnst_carbon!$C$13*1000000</f>
        <v>27752.909753990782</v>
      </c>
    </row>
    <row r="572" spans="1:11" ht="12">
      <c r="A572" s="27" t="s">
        <v>3440</v>
      </c>
      <c r="B572" s="1543" t="s">
        <v>8393</v>
      </c>
      <c r="C572" s="1135">
        <v>49997045</v>
      </c>
      <c r="D572" s="1138">
        <v>13452155</v>
      </c>
      <c r="E572" s="1191">
        <v>25.3</v>
      </c>
      <c r="F572" s="126">
        <f t="shared" si="16"/>
        <v>1264925.2385</v>
      </c>
      <c r="G572" s="126">
        <f t="shared" si="17"/>
        <v>340339.52149999997</v>
      </c>
      <c r="H572" s="467">
        <f>F572*cnst_carbon!$C$11/10^6</f>
        <v>7.1643036983834979E-2</v>
      </c>
      <c r="I572" s="467">
        <f>G572*carbon_intensity_n!$C$9</f>
        <v>1.9046189737089544E-2</v>
      </c>
      <c r="J572" s="801">
        <f>H572*cnst_carbon!$C$13*1000000</f>
        <v>24399.303069948412</v>
      </c>
      <c r="K572" s="118">
        <f>I572*cnst_carbon!$C$13*1000000</f>
        <v>6486.5166984454263</v>
      </c>
    </row>
    <row r="573" spans="1:11" ht="12">
      <c r="A573" s="27" t="s">
        <v>5359</v>
      </c>
      <c r="B573" s="1543" t="s">
        <v>8394</v>
      </c>
      <c r="C573" s="1135">
        <v>660751968.55068302</v>
      </c>
      <c r="D573" s="1138">
        <v>168197323.64624301</v>
      </c>
      <c r="E573" s="1191">
        <v>100</v>
      </c>
      <c r="F573" s="126">
        <f t="shared" si="16"/>
        <v>66075196.855068296</v>
      </c>
      <c r="G573" s="126">
        <f t="shared" si="17"/>
        <v>16819732.364624299</v>
      </c>
      <c r="H573" s="467">
        <f>F573*cnst_carbon!$C$11/10^6</f>
        <v>3.7423775160146229</v>
      </c>
      <c r="I573" s="467">
        <f>G573*carbon_intensity_n!$C$9</f>
        <v>0.94127127091145124</v>
      </c>
      <c r="J573" s="801">
        <f>H573*cnst_carbon!$C$13*1000000</f>
        <v>1274532.8375178226</v>
      </c>
      <c r="K573" s="118">
        <f>I573*cnst_carbon!$C$13*1000000</f>
        <v>320566.57530006696</v>
      </c>
    </row>
    <row r="574" spans="1:11" ht="12">
      <c r="A574" s="27" t="s">
        <v>5360</v>
      </c>
      <c r="B574" s="1543" t="s">
        <v>8395</v>
      </c>
      <c r="C574" s="1135">
        <v>8087160905</v>
      </c>
      <c r="D574" s="1138">
        <v>1178111788</v>
      </c>
      <c r="E574" s="1191">
        <v>23</v>
      </c>
      <c r="F574" s="126">
        <f t="shared" si="16"/>
        <v>186004700.815</v>
      </c>
      <c r="G574" s="126">
        <f t="shared" si="17"/>
        <v>27096571.124000002</v>
      </c>
      <c r="H574" s="467">
        <f>F574*cnst_carbon!$C$11/10^6</f>
        <v>10.534963849293298</v>
      </c>
      <c r="I574" s="467">
        <f>G574*carbon_intensity_n!$C$9</f>
        <v>1.5163870260428916</v>
      </c>
      <c r="J574" s="801">
        <f>H574*cnst_carbon!$C$13*1000000</f>
        <v>3587868.2229489447</v>
      </c>
      <c r="K574" s="118">
        <f>I574*cnst_carbon!$C$13*1000000</f>
        <v>516432.41517115477</v>
      </c>
    </row>
    <row r="575" spans="1:11" ht="12">
      <c r="A575" s="27" t="s">
        <v>3008</v>
      </c>
      <c r="B575" s="1543" t="s">
        <v>8396</v>
      </c>
      <c r="C575" s="1135">
        <v>698113216</v>
      </c>
      <c r="D575" s="1138">
        <v>89837852</v>
      </c>
      <c r="E575" s="1191">
        <v>30</v>
      </c>
      <c r="F575" s="126">
        <f t="shared" si="16"/>
        <v>20943396.48</v>
      </c>
      <c r="G575" s="126">
        <f t="shared" si="17"/>
        <v>2695135.56</v>
      </c>
      <c r="H575" s="467">
        <f>F575*cnst_carbon!$C$11/10^6</f>
        <v>1.1861954231880552</v>
      </c>
      <c r="I575" s="467">
        <f>G575*carbon_intensity_n!$C$9</f>
        <v>0.15082604281952922</v>
      </c>
      <c r="J575" s="801">
        <f>H575*cnst_carbon!$C$13*1000000</f>
        <v>403979.82621927955</v>
      </c>
      <c r="K575" s="118">
        <f>I575*cnst_carbon!$C$13*1000000</f>
        <v>51366.475857591715</v>
      </c>
    </row>
    <row r="576" spans="1:11" ht="12">
      <c r="A576" s="27" t="s">
        <v>3009</v>
      </c>
      <c r="B576" s="1543" t="s">
        <v>8397</v>
      </c>
      <c r="C576" s="1135">
        <v>1731009410</v>
      </c>
      <c r="D576" s="1138">
        <v>81045944</v>
      </c>
      <c r="E576" s="1191">
        <v>143</v>
      </c>
      <c r="F576" s="126">
        <f t="shared" si="16"/>
        <v>247534345.63</v>
      </c>
      <c r="G576" s="126">
        <f t="shared" si="17"/>
        <v>11589569.992000001</v>
      </c>
      <c r="H576" s="467">
        <f>F576*cnst_carbon!$C$11/10^6</f>
        <v>14.019889665391856</v>
      </c>
      <c r="I576" s="467">
        <f>G576*carbon_intensity_n!$C$9</f>
        <v>0.64857924247540366</v>
      </c>
      <c r="J576" s="801">
        <f>H576*cnst_carbon!$C$13*1000000</f>
        <v>4774721.3316810811</v>
      </c>
      <c r="K576" s="118">
        <f>I576*cnst_carbon!$C$13*1000000</f>
        <v>220885.12950121789</v>
      </c>
    </row>
    <row r="577" spans="1:11" ht="12">
      <c r="A577" s="27" t="s">
        <v>3010</v>
      </c>
      <c r="B577" s="1543" t="s">
        <v>8398</v>
      </c>
      <c r="C577" s="1135">
        <v>121922081</v>
      </c>
      <c r="D577" s="1138">
        <v>16809947</v>
      </c>
      <c r="E577" s="1191">
        <v>143</v>
      </c>
      <c r="F577" s="126">
        <f t="shared" si="16"/>
        <v>17434857.583000001</v>
      </c>
      <c r="G577" s="126">
        <f t="shared" si="17"/>
        <v>2403822.4210000001</v>
      </c>
      <c r="H577" s="467">
        <f>F577*cnst_carbon!$C$11/10^6</f>
        <v>0.98747823872024398</v>
      </c>
      <c r="I577" s="467">
        <f>G577*carbon_intensity_n!$C$9</f>
        <v>0.1345234832641555</v>
      </c>
      <c r="J577" s="801">
        <f>H577*cnst_carbon!$C$13*1000000</f>
        <v>336303.17524019041</v>
      </c>
      <c r="K577" s="118">
        <f>I577*cnst_carbon!$C$13*1000000</f>
        <v>45814.350931659326</v>
      </c>
    </row>
    <row r="578" spans="1:11" ht="12">
      <c r="A578" s="27" t="s">
        <v>3011</v>
      </c>
      <c r="B578" s="1543" t="s">
        <v>8399</v>
      </c>
      <c r="C578" s="1135">
        <v>26606988</v>
      </c>
      <c r="D578" s="1138">
        <v>2005651</v>
      </c>
      <c r="E578" s="1191">
        <v>35</v>
      </c>
      <c r="F578" s="126">
        <f t="shared" si="16"/>
        <v>931244.58</v>
      </c>
      <c r="G578" s="126">
        <f t="shared" si="17"/>
        <v>70197.785000000003</v>
      </c>
      <c r="H578" s="467">
        <f>F578*cnst_carbon!$C$11/10^6</f>
        <v>5.2743978739053253E-2</v>
      </c>
      <c r="I578" s="467">
        <f>G578*carbon_intensity_n!$C$9</f>
        <v>3.9284310160065221E-3</v>
      </c>
      <c r="J578" s="801">
        <f>H578*cnst_carbon!$C$13*1000000</f>
        <v>17962.894602855074</v>
      </c>
      <c r="K578" s="118">
        <f>I578*cnst_carbon!$C$13*1000000</f>
        <v>1337.8966468235515</v>
      </c>
    </row>
    <row r="579" spans="1:11" ht="12">
      <c r="A579" s="27" t="s">
        <v>3012</v>
      </c>
      <c r="B579" s="1543" t="s">
        <v>8400</v>
      </c>
      <c r="C579" s="1135">
        <v>2579230310</v>
      </c>
      <c r="D579" s="1138">
        <v>164527439</v>
      </c>
      <c r="E579" s="1191">
        <v>143</v>
      </c>
      <c r="F579" s="126">
        <f t="shared" si="16"/>
        <v>368829934.32999998</v>
      </c>
      <c r="G579" s="126">
        <f t="shared" si="17"/>
        <v>23527423.776999999</v>
      </c>
      <c r="H579" s="467">
        <f>F579*cnst_carbon!$C$11/10^6</f>
        <v>20.889848523604751</v>
      </c>
      <c r="I579" s="467">
        <f>G579*carbon_intensity_n!$C$9</f>
        <v>1.3166492545640307</v>
      </c>
      <c r="J579" s="801">
        <f>H579*cnst_carbon!$C$13*1000000</f>
        <v>7114407.2986150943</v>
      </c>
      <c r="K579" s="118">
        <f>I579*cnst_carbon!$C$13*1000000</f>
        <v>448408.18523896427</v>
      </c>
    </row>
    <row r="580" spans="1:11" ht="12">
      <c r="A580" s="27" t="s">
        <v>3013</v>
      </c>
      <c r="B580" s="1543" t="s">
        <v>8401</v>
      </c>
      <c r="C580" s="1135">
        <v>93432912</v>
      </c>
      <c r="D580" s="1138">
        <v>12027551</v>
      </c>
      <c r="E580" s="1191">
        <v>30</v>
      </c>
      <c r="F580" s="126">
        <f t="shared" si="16"/>
        <v>2802987.36</v>
      </c>
      <c r="G580" s="126">
        <f t="shared" si="17"/>
        <v>360826.53</v>
      </c>
      <c r="H580" s="467">
        <f>F580*cnst_carbon!$C$11/10^6</f>
        <v>0.15875604421952716</v>
      </c>
      <c r="I580" s="467">
        <f>G580*carbon_intensity_n!$C$9</f>
        <v>2.0192690294287885E-2</v>
      </c>
      <c r="J580" s="801">
        <f>H580*cnst_carbon!$C$13*1000000</f>
        <v>54067.178056289995</v>
      </c>
      <c r="K580" s="118">
        <f>I580*cnst_carbon!$C$13*1000000</f>
        <v>6876.9777361490469</v>
      </c>
    </row>
    <row r="581" spans="1:11" ht="12">
      <c r="A581" s="27" t="s">
        <v>3241</v>
      </c>
      <c r="B581" s="1543" t="s">
        <v>8402</v>
      </c>
      <c r="C581" s="1135">
        <v>305502646</v>
      </c>
      <c r="D581" s="1138">
        <v>16204773</v>
      </c>
      <c r="E581" s="1191">
        <v>91</v>
      </c>
      <c r="F581" s="126">
        <f t="shared" si="16"/>
        <v>27800740.785999998</v>
      </c>
      <c r="G581" s="126">
        <f t="shared" si="17"/>
        <v>1474634.3430000001</v>
      </c>
      <c r="H581" s="467">
        <f>F581*cnst_carbon!$C$11/10^6</f>
        <v>1.57458278140713</v>
      </c>
      <c r="I581" s="467">
        <f>G581*carbon_intensity_n!$C$9</f>
        <v>8.2523961266151066E-2</v>
      </c>
      <c r="J581" s="801">
        <f>H581*cnst_carbon!$C$13*1000000</f>
        <v>536252.00870453636</v>
      </c>
      <c r="K581" s="118">
        <f>I581*cnst_carbon!$C$13*1000000</f>
        <v>28104.994235794627</v>
      </c>
    </row>
    <row r="582" spans="1:11" ht="12">
      <c r="A582" s="27" t="s">
        <v>2167</v>
      </c>
      <c r="B582" s="1543" t="s">
        <v>8403</v>
      </c>
      <c r="C582" s="1135">
        <v>658803</v>
      </c>
      <c r="D582" s="1138">
        <v>76711.5</v>
      </c>
      <c r="E582" s="1191">
        <v>30</v>
      </c>
      <c r="F582" s="126">
        <f t="shared" si="16"/>
        <v>19764.09</v>
      </c>
      <c r="G582" s="126">
        <f t="shared" si="17"/>
        <v>2301.3449999999998</v>
      </c>
      <c r="H582" s="467">
        <f>F582*cnst_carbon!$C$11/10^6</f>
        <v>1.1194016750752365E-3</v>
      </c>
      <c r="I582" s="467">
        <f>G582*carbon_intensity_n!$C$9</f>
        <v>1.2878860887892014E-4</v>
      </c>
      <c r="J582" s="801">
        <f>H582*cnst_carbon!$C$13*1000000</f>
        <v>381.23203422171002</v>
      </c>
      <c r="K582" s="118">
        <f>I582*cnst_carbon!$C$13*1000000</f>
        <v>43.861238053083085</v>
      </c>
    </row>
    <row r="583" spans="1:11" ht="12">
      <c r="A583" s="27" t="s">
        <v>1861</v>
      </c>
      <c r="B583" s="1543" t="s">
        <v>8404</v>
      </c>
      <c r="C583" s="1135">
        <v>1062177105.04177</v>
      </c>
      <c r="D583" s="1138">
        <v>37295224</v>
      </c>
      <c r="E583" s="1191">
        <v>35</v>
      </c>
      <c r="F583" s="126">
        <f t="shared" si="16"/>
        <v>37176198.67646195</v>
      </c>
      <c r="G583" s="126">
        <f t="shared" si="17"/>
        <v>1305332.8400000001</v>
      </c>
      <c r="H583" s="467">
        <f>F583*cnst_carbon!$C$11/10^6</f>
        <v>2.1055914576062591</v>
      </c>
      <c r="I583" s="467">
        <f>G583*carbon_intensity_n!$C$9</f>
        <v>7.3049456116996841E-2</v>
      </c>
      <c r="J583" s="801">
        <f>H583*cnst_carbon!$C$13*1000000</f>
        <v>717096.40292358666</v>
      </c>
      <c r="K583" s="118">
        <f>I583*cnst_carbon!$C$13*1000000</f>
        <v>24878.283974696114</v>
      </c>
    </row>
    <row r="584" spans="1:11" ht="12">
      <c r="A584" s="27" t="s">
        <v>1862</v>
      </c>
      <c r="B584" s="1543" t="s">
        <v>8405</v>
      </c>
      <c r="C584" s="1135">
        <v>16367716</v>
      </c>
      <c r="D584" s="1138">
        <v>30374170</v>
      </c>
      <c r="E584" s="1191">
        <v>100</v>
      </c>
      <c r="F584" s="126">
        <f t="shared" ref="F584:F631" si="18">C584*$E584/1000</f>
        <v>1636771.6</v>
      </c>
      <c r="G584" s="126">
        <f t="shared" ref="G584:G631" si="19">D584*E584/1000</f>
        <v>3037417</v>
      </c>
      <c r="H584" s="467">
        <f>F584*cnst_carbon!$C$11/10^6</f>
        <v>9.2703730389589151E-2</v>
      </c>
      <c r="I584" s="467">
        <f>G584*carbon_intensity_n!$C$9</f>
        <v>0.16998090682413242</v>
      </c>
      <c r="J584" s="801">
        <f>H584*cnst_carbon!$C$13*1000000</f>
        <v>31571.894614137211</v>
      </c>
      <c r="K584" s="118">
        <f>I584*cnst_carbon!$C$13*1000000</f>
        <v>57890.003499467253</v>
      </c>
    </row>
    <row r="585" spans="1:11" ht="12">
      <c r="A585" s="27" t="s">
        <v>1863</v>
      </c>
      <c r="B585" s="1543" t="s">
        <v>8406</v>
      </c>
      <c r="C585" s="1135">
        <v>25440712</v>
      </c>
      <c r="D585" s="1138">
        <v>5447893</v>
      </c>
      <c r="E585" s="1191">
        <v>15</v>
      </c>
      <c r="F585" s="126">
        <f t="shared" si="18"/>
        <v>381610.68</v>
      </c>
      <c r="G585" s="126">
        <f t="shared" si="19"/>
        <v>81718.395000000004</v>
      </c>
      <c r="H585" s="467">
        <f>F585*cnst_carbon!$C$11/10^6</f>
        <v>2.161372643104742E-2</v>
      </c>
      <c r="I585" s="467">
        <f>G585*carbon_intensity_n!$C$9</f>
        <v>4.5731510972357925E-3</v>
      </c>
      <c r="J585" s="801">
        <f>H585*cnst_carbon!$C$13*1000000</f>
        <v>7360.9367199365115</v>
      </c>
      <c r="K585" s="118">
        <f>I585*cnst_carbon!$C$13*1000000</f>
        <v>1557.467470722936</v>
      </c>
    </row>
    <row r="586" spans="1:11" ht="12">
      <c r="A586" s="27" t="s">
        <v>1864</v>
      </c>
      <c r="B586" s="1543" t="s">
        <v>8407</v>
      </c>
      <c r="C586" s="1135">
        <v>1414477.83443874</v>
      </c>
      <c r="D586" s="1138">
        <v>1021856.1262534501</v>
      </c>
      <c r="E586" s="1191">
        <v>100</v>
      </c>
      <c r="F586" s="126">
        <f t="shared" si="18"/>
        <v>141447.78344387401</v>
      </c>
      <c r="G586" s="126">
        <f t="shared" si="19"/>
        <v>102185.61262534501</v>
      </c>
      <c r="H586" s="467">
        <f>F586*cnst_carbon!$C$11/10^6</f>
        <v>8.0113420715424728E-3</v>
      </c>
      <c r="I586" s="467">
        <f>G586*carbon_intensity_n!$C$9</f>
        <v>5.718544111143007E-3</v>
      </c>
      <c r="J586" s="801">
        <f>H586*cnst_carbon!$C$13*1000000</f>
        <v>2728.4042026958996</v>
      </c>
      <c r="K586" s="118">
        <f>I586*cnst_carbon!$C$13*1000000</f>
        <v>1947.5513149746735</v>
      </c>
    </row>
    <row r="587" spans="1:11" ht="12">
      <c r="A587" s="27" t="s">
        <v>1865</v>
      </c>
      <c r="B587" s="1543" t="s">
        <v>8408</v>
      </c>
      <c r="C587" s="1135">
        <v>2901045</v>
      </c>
      <c r="D587" s="1138">
        <v>4594439.25</v>
      </c>
      <c r="E587" s="1191">
        <v>300</v>
      </c>
      <c r="F587" s="126">
        <f t="shared" si="18"/>
        <v>870313.5</v>
      </c>
      <c r="G587" s="126">
        <f t="shared" si="19"/>
        <v>1378331.7749999999</v>
      </c>
      <c r="H587" s="467">
        <f>F587*cnst_carbon!$C$11/10^6</f>
        <v>4.9292954532214321E-2</v>
      </c>
      <c r="I587" s="467">
        <f>G587*carbon_intensity_n!$C$9</f>
        <v>7.7134645990002706E-2</v>
      </c>
      <c r="J587" s="801">
        <f>H587*cnst_carbon!$C$13*1000000</f>
        <v>16787.587286620135</v>
      </c>
      <c r="K587" s="118">
        <f>I587*cnst_carbon!$C$13*1000000</f>
        <v>26269.567622152939</v>
      </c>
    </row>
    <row r="588" spans="1:11" ht="12">
      <c r="A588" s="27" t="s">
        <v>140</v>
      </c>
      <c r="B588" s="1543" t="s">
        <v>8409</v>
      </c>
      <c r="C588" s="1135">
        <v>415604</v>
      </c>
      <c r="D588" s="1138">
        <v>717134</v>
      </c>
      <c r="E588" s="1191">
        <v>300</v>
      </c>
      <c r="F588" s="126">
        <f t="shared" si="18"/>
        <v>124681.2</v>
      </c>
      <c r="G588" s="126">
        <f t="shared" si="19"/>
        <v>215140.2</v>
      </c>
      <c r="H588" s="467">
        <f>F588*cnst_carbon!$C$11/10^6</f>
        <v>7.0617136498766489E-3</v>
      </c>
      <c r="I588" s="467">
        <f>G588*carbon_intensity_n!$C$9</f>
        <v>1.2039745049930654E-2</v>
      </c>
      <c r="J588" s="801">
        <f>H588*cnst_carbon!$C$13*1000000</f>
        <v>2404.9914519314511</v>
      </c>
      <c r="K588" s="118">
        <f>I588*cnst_carbon!$C$13*1000000</f>
        <v>4100.3480690587057</v>
      </c>
    </row>
    <row r="589" spans="1:11" ht="12">
      <c r="A589" s="27" t="s">
        <v>141</v>
      </c>
      <c r="B589" s="1543" t="s">
        <v>8410</v>
      </c>
      <c r="C589" s="1135">
        <v>4780879.5</v>
      </c>
      <c r="D589" s="1138">
        <v>3943218.7673455402</v>
      </c>
      <c r="E589" s="1191">
        <v>300</v>
      </c>
      <c r="F589" s="126">
        <f t="shared" si="18"/>
        <v>1434263.85</v>
      </c>
      <c r="G589" s="126">
        <f t="shared" si="19"/>
        <v>1182965.6302036622</v>
      </c>
      <c r="H589" s="467">
        <f>F589*cnst_carbon!$C$11/10^6</f>
        <v>8.1234064213928286E-2</v>
      </c>
      <c r="I589" s="467">
        <f>G589*carbon_intensity_n!$C$9</f>
        <v>6.6201502975653262E-2</v>
      </c>
      <c r="J589" s="801">
        <f>H589*cnst_carbon!$C$13*1000000</f>
        <v>27665.696986107712</v>
      </c>
      <c r="K589" s="118">
        <f>I589*cnst_carbon!$C$13*1000000</f>
        <v>22546.092443757145</v>
      </c>
    </row>
    <row r="590" spans="1:11" ht="12">
      <c r="A590" s="27" t="s">
        <v>142</v>
      </c>
      <c r="B590" s="1543" t="s">
        <v>8411</v>
      </c>
      <c r="C590" s="1135">
        <v>118545963.92654601</v>
      </c>
      <c r="D590" s="1138">
        <v>109783297.71022999</v>
      </c>
      <c r="E590" s="1191">
        <v>300</v>
      </c>
      <c r="F590" s="126">
        <f t="shared" si="18"/>
        <v>35563789.177963801</v>
      </c>
      <c r="G590" s="126">
        <f t="shared" si="19"/>
        <v>32934989.313068997</v>
      </c>
      <c r="H590" s="467">
        <f>F590*cnst_carbon!$C$11/10^6</f>
        <v>2.0142675517990076</v>
      </c>
      <c r="I590" s="467">
        <f>G590*carbon_intensity_n!$C$9</f>
        <v>1.8431184620612113</v>
      </c>
      <c r="J590" s="801">
        <f>H590*cnst_carbon!$C$13*1000000</f>
        <v>685994.43196965696</v>
      </c>
      <c r="K590" s="118">
        <f>I590*cnst_carbon!$C$13*1000000</f>
        <v>627706.58312259428</v>
      </c>
    </row>
    <row r="591" spans="1:11" ht="12">
      <c r="A591" s="27" t="s">
        <v>143</v>
      </c>
      <c r="B591" s="1543" t="s">
        <v>8412</v>
      </c>
      <c r="C591" s="1135">
        <v>42798097.463736102</v>
      </c>
      <c r="D591" s="1138">
        <v>12757146.741077101</v>
      </c>
      <c r="E591" s="1191">
        <v>300</v>
      </c>
      <c r="F591" s="126">
        <f t="shared" si="18"/>
        <v>12839429.23912083</v>
      </c>
      <c r="G591" s="126">
        <f t="shared" si="19"/>
        <v>3827144.0223231302</v>
      </c>
      <c r="H591" s="467">
        <f>F591*cnst_carbon!$C$11/10^6</f>
        <v>0.72720163677061911</v>
      </c>
      <c r="I591" s="467">
        <f>G591*carbon_intensity_n!$C$9</f>
        <v>0.21417586438116445</v>
      </c>
      <c r="J591" s="801">
        <f>H591*cnst_carbon!$C$13*1000000</f>
        <v>247661.37611576024</v>
      </c>
      <c r="K591" s="118">
        <f>I591*cnst_carbon!$C$13*1000000</f>
        <v>72941.377771063766</v>
      </c>
    </row>
    <row r="592" spans="1:11" ht="12">
      <c r="A592" s="27" t="s">
        <v>750</v>
      </c>
      <c r="B592" s="1543" t="s">
        <v>8413</v>
      </c>
      <c r="C592" s="1135">
        <v>107873162.250439</v>
      </c>
      <c r="D592" s="1138">
        <v>302243978.41131097</v>
      </c>
      <c r="E592" s="1191">
        <v>300</v>
      </c>
      <c r="F592" s="126">
        <f t="shared" si="18"/>
        <v>32361948.675131701</v>
      </c>
      <c r="G592" s="126">
        <f t="shared" si="19"/>
        <v>90673193.523393288</v>
      </c>
      <c r="H592" s="467">
        <f>F592*cnst_carbon!$C$11/10^6</f>
        <v>1.8329211997942356</v>
      </c>
      <c r="I592" s="467">
        <f>G592*carbon_intensity_n!$C$9</f>
        <v>5.0742824115840675</v>
      </c>
      <c r="J592" s="801">
        <f>H592*cnst_carbon!$C$13*1000000</f>
        <v>624233.72514489817</v>
      </c>
      <c r="K592" s="118">
        <f>I592*cnst_carbon!$C$13*1000000</f>
        <v>1728136.6010584356</v>
      </c>
    </row>
    <row r="593" spans="1:11" ht="12">
      <c r="A593" s="27" t="s">
        <v>751</v>
      </c>
      <c r="B593" s="1543" t="s">
        <v>8414</v>
      </c>
      <c r="C593" s="1135">
        <v>22752768</v>
      </c>
      <c r="D593" s="1138">
        <v>43653741</v>
      </c>
      <c r="E593" s="1191">
        <v>300</v>
      </c>
      <c r="F593" s="126">
        <f t="shared" si="18"/>
        <v>6825830.4000000004</v>
      </c>
      <c r="G593" s="126">
        <f t="shared" si="19"/>
        <v>13096122.300000001</v>
      </c>
      <c r="H593" s="467">
        <f>F593*cnst_carbon!$C$11/10^6</f>
        <v>0.38660246859528935</v>
      </c>
      <c r="I593" s="467">
        <f>G593*carbon_intensity_n!$C$9</f>
        <v>0.73288940716198758</v>
      </c>
      <c r="J593" s="801">
        <f>H593*cnst_carbon!$C$13*1000000</f>
        <v>131664.30676263812</v>
      </c>
      <c r="K593" s="118">
        <f>I593*cnst_carbon!$C$13*1000000</f>
        <v>249598.44689631066</v>
      </c>
    </row>
    <row r="594" spans="1:11" ht="12">
      <c r="A594" s="27" t="s">
        <v>752</v>
      </c>
      <c r="B594" s="1543" t="s">
        <v>8415</v>
      </c>
      <c r="C594" s="1135">
        <v>11180138.341040401</v>
      </c>
      <c r="D594" s="1138">
        <v>154585448.37999299</v>
      </c>
      <c r="E594" s="1191">
        <v>300</v>
      </c>
      <c r="F594" s="126">
        <f t="shared" si="18"/>
        <v>3354041.5023121205</v>
      </c>
      <c r="G594" s="126">
        <f t="shared" si="19"/>
        <v>46375634.513997898</v>
      </c>
      <c r="H594" s="467">
        <f>F594*cnst_carbon!$C$11/10^6</f>
        <v>0.18996673643765286</v>
      </c>
      <c r="I594" s="467">
        <f>G594*carbon_intensity_n!$C$9</f>
        <v>2.5952881705850386</v>
      </c>
      <c r="J594" s="801">
        <f>H594*cnst_carbon!$C$13*1000000</f>
        <v>64696.53117297533</v>
      </c>
      <c r="K594" s="118">
        <f>I594*cnst_carbon!$C$13*1000000</f>
        <v>883871.27757082845</v>
      </c>
    </row>
    <row r="595" spans="1:11" ht="12">
      <c r="A595" s="27" t="s">
        <v>753</v>
      </c>
      <c r="B595" s="1543" t="s">
        <v>8416</v>
      </c>
      <c r="C595" s="1135">
        <v>4262232.5037707901</v>
      </c>
      <c r="D595" s="1138">
        <v>324601.74786207097</v>
      </c>
      <c r="E595" s="1191">
        <v>100</v>
      </c>
      <c r="F595" s="126">
        <f t="shared" si="18"/>
        <v>426223.25037707901</v>
      </c>
      <c r="G595" s="126">
        <f t="shared" si="19"/>
        <v>32460.174786207099</v>
      </c>
      <c r="H595" s="467">
        <f>F595*cnst_carbon!$C$11/10^6</f>
        <v>2.4140500292607153E-2</v>
      </c>
      <c r="I595" s="467">
        <f>G595*carbon_intensity_n!$C$9</f>
        <v>1.8165467388341218E-3</v>
      </c>
      <c r="J595" s="801">
        <f>H595*cnst_carbon!$C$13*1000000</f>
        <v>8221.4742380672742</v>
      </c>
      <c r="K595" s="118">
        <f>I595*cnst_carbon!$C$13*1000000</f>
        <v>618.6571129241878</v>
      </c>
    </row>
    <row r="596" spans="1:11" ht="12">
      <c r="A596" s="27" t="s">
        <v>5470</v>
      </c>
      <c r="B596" s="1543" t="s">
        <v>8417</v>
      </c>
      <c r="C596" s="1135"/>
      <c r="D596" s="1138"/>
      <c r="E596" s="1191">
        <v>100</v>
      </c>
      <c r="F596" s="126">
        <f t="shared" si="18"/>
        <v>0</v>
      </c>
      <c r="G596" s="126">
        <f t="shared" si="19"/>
        <v>0</v>
      </c>
      <c r="H596" s="467">
        <f>F596*cnst_carbon!$C$11/10^6</f>
        <v>0</v>
      </c>
      <c r="I596" s="467">
        <f>G596*carbon_intensity_n!$C$9</f>
        <v>0</v>
      </c>
      <c r="J596" s="801">
        <f>H596*cnst_carbon!$C$13*1000000</f>
        <v>0</v>
      </c>
      <c r="K596" s="118">
        <f>I596*cnst_carbon!$C$13*1000000</f>
        <v>0</v>
      </c>
    </row>
    <row r="597" spans="1:11" ht="12">
      <c r="A597" s="27" t="s">
        <v>228</v>
      </c>
      <c r="B597" s="1543" t="s">
        <v>8418</v>
      </c>
      <c r="C597" s="1135"/>
      <c r="D597" s="1138"/>
      <c r="E597" s="1191">
        <v>100</v>
      </c>
      <c r="F597" s="126">
        <f t="shared" si="18"/>
        <v>0</v>
      </c>
      <c r="G597" s="126">
        <f t="shared" si="19"/>
        <v>0</v>
      </c>
      <c r="H597" s="467">
        <f>F597*cnst_carbon!$C$11/10^6</f>
        <v>0</v>
      </c>
      <c r="I597" s="467">
        <f>G597*carbon_intensity_n!$C$9</f>
        <v>0</v>
      </c>
      <c r="J597" s="801">
        <f>H597*cnst_carbon!$C$13*1000000</f>
        <v>0</v>
      </c>
      <c r="K597" s="118">
        <f>I597*cnst_carbon!$C$13*1000000</f>
        <v>0</v>
      </c>
    </row>
    <row r="598" spans="1:11" ht="12">
      <c r="A598" s="27" t="s">
        <v>229</v>
      </c>
      <c r="B598" s="1543" t="s">
        <v>8419</v>
      </c>
      <c r="C598" s="1135">
        <v>34263412.657568999</v>
      </c>
      <c r="D598" s="1138">
        <v>38292615.249289803</v>
      </c>
      <c r="E598" s="1191">
        <v>100</v>
      </c>
      <c r="F598" s="126">
        <f t="shared" si="18"/>
        <v>3426341.2657569</v>
      </c>
      <c r="G598" s="126">
        <f t="shared" si="19"/>
        <v>3829261.5249289805</v>
      </c>
      <c r="H598" s="467">
        <f>F598*cnst_carbon!$C$11/10^6</f>
        <v>0.19406166194687838</v>
      </c>
      <c r="I598" s="467">
        <f>G598*carbon_intensity_n!$C$9</f>
        <v>0.21429436474286814</v>
      </c>
      <c r="J598" s="801">
        <f>H598*cnst_carbon!$C$13*1000000</f>
        <v>66091.130463496753</v>
      </c>
      <c r="K598" s="118">
        <f>I598*cnst_carbon!$C$13*1000000</f>
        <v>72981.735164619822</v>
      </c>
    </row>
    <row r="599" spans="1:11" ht="12">
      <c r="A599" s="27" t="s">
        <v>4902</v>
      </c>
      <c r="B599" s="1543" t="s">
        <v>8420</v>
      </c>
      <c r="C599" s="1135">
        <v>24932210.25</v>
      </c>
      <c r="D599" s="1138">
        <v>29838376.8913044</v>
      </c>
      <c r="E599" s="1191">
        <v>100</v>
      </c>
      <c r="F599" s="126">
        <f t="shared" si="18"/>
        <v>2493221.0249999999</v>
      </c>
      <c r="G599" s="126">
        <f t="shared" si="19"/>
        <v>2983837.6891304399</v>
      </c>
      <c r="H599" s="467">
        <f>F599*cnst_carbon!$C$11/10^6</f>
        <v>0.1412114492353454</v>
      </c>
      <c r="I599" s="467">
        <f>G599*carbon_intensity_n!$C$9</f>
        <v>0.1669824842010221</v>
      </c>
      <c r="J599" s="801">
        <f>H599*cnst_carbon!$C$13*1000000</f>
        <v>48092.056002835787</v>
      </c>
      <c r="K599" s="118">
        <f>I599*cnst_carbon!$C$13*1000000</f>
        <v>56868.83765568029</v>
      </c>
    </row>
    <row r="600" spans="1:11" ht="12">
      <c r="A600" s="27" t="s">
        <v>4903</v>
      </c>
      <c r="B600" s="1543" t="s">
        <v>8421</v>
      </c>
      <c r="C600" s="1135">
        <v>8141547.28418501</v>
      </c>
      <c r="D600" s="1138">
        <v>2166228.22167484</v>
      </c>
      <c r="E600" s="1191">
        <v>50</v>
      </c>
      <c r="F600" s="126">
        <f t="shared" si="18"/>
        <v>407077.36420925049</v>
      </c>
      <c r="G600" s="126">
        <f t="shared" si="19"/>
        <v>108311.41108374199</v>
      </c>
      <c r="H600" s="467">
        <f>F600*cnst_carbon!$C$11/10^6</f>
        <v>2.3056112544571853E-2</v>
      </c>
      <c r="I600" s="467">
        <f>G600*carbon_intensity_n!$C$9</f>
        <v>6.0613580141995159E-3</v>
      </c>
      <c r="J600" s="801">
        <f>H600*cnst_carbon!$C$13*1000000</f>
        <v>7852.1668158313632</v>
      </c>
      <c r="K600" s="118">
        <f>I600*cnst_carbon!$C$13*1000000</f>
        <v>2064.3026514535413</v>
      </c>
    </row>
    <row r="601" spans="1:11" ht="12">
      <c r="A601" s="27" t="s">
        <v>1293</v>
      </c>
      <c r="B601" s="1543" t="s">
        <v>8422</v>
      </c>
      <c r="C601" s="1135">
        <v>5124720.0845213803</v>
      </c>
      <c r="D601" s="1138">
        <v>4838379.5563615002</v>
      </c>
      <c r="E601" s="1191">
        <v>50</v>
      </c>
      <c r="F601" s="126">
        <f t="shared" si="18"/>
        <v>256236.004226069</v>
      </c>
      <c r="G601" s="126">
        <f t="shared" si="19"/>
        <v>241918.97781807501</v>
      </c>
      <c r="H601" s="467">
        <f>F601*cnst_carbon!$C$11/10^6</f>
        <v>1.4512735589913171E-2</v>
      </c>
      <c r="I601" s="467">
        <f>G601*carbon_intensity_n!$C$9</f>
        <v>1.3538347624802115E-2</v>
      </c>
      <c r="J601" s="801">
        <f>H601*cnst_carbon!$C$13*1000000</f>
        <v>4942.5687260049399</v>
      </c>
      <c r="K601" s="118">
        <f>I601*cnst_carbon!$C$13*1000000</f>
        <v>4610.7236749105914</v>
      </c>
    </row>
    <row r="602" spans="1:11" ht="12">
      <c r="A602" s="27" t="s">
        <v>1294</v>
      </c>
      <c r="B602" s="1543" t="s">
        <v>8423</v>
      </c>
      <c r="C602" s="1135">
        <v>4984646</v>
      </c>
      <c r="D602" s="1138">
        <v>4195630</v>
      </c>
      <c r="E602" s="1191">
        <v>50</v>
      </c>
      <c r="F602" s="126">
        <f t="shared" si="18"/>
        <v>249232.3</v>
      </c>
      <c r="G602" s="126">
        <f t="shared" si="19"/>
        <v>209781.5</v>
      </c>
      <c r="H602" s="467">
        <f>F602*cnst_carbon!$C$11/10^6</f>
        <v>1.4116058675246563E-2</v>
      </c>
      <c r="I602" s="467">
        <f>G602*carbon_intensity_n!$C$9</f>
        <v>1.1739859757460612E-2</v>
      </c>
      <c r="J602" s="801">
        <f>H602*cnst_carbon!$C$13*1000000</f>
        <v>4807.4733884917287</v>
      </c>
      <c r="K602" s="118">
        <f>I602*cnst_carbon!$C$13*1000000</f>
        <v>3998.2168299984796</v>
      </c>
    </row>
    <row r="603" spans="1:11" ht="12">
      <c r="A603" s="27" t="s">
        <v>1295</v>
      </c>
      <c r="B603" s="1543" t="s">
        <v>8424</v>
      </c>
      <c r="C603" s="1135">
        <v>229192653</v>
      </c>
      <c r="D603" s="1138">
        <v>231572643</v>
      </c>
      <c r="E603" s="1191">
        <v>70.5</v>
      </c>
      <c r="F603" s="126">
        <f t="shared" si="18"/>
        <v>16158082.036499999</v>
      </c>
      <c r="G603" s="126">
        <f t="shared" si="19"/>
        <v>16325871.331499999</v>
      </c>
      <c r="H603" s="467">
        <f>F603*cnst_carbon!$C$11/10^6</f>
        <v>0.91516402210580838</v>
      </c>
      <c r="I603" s="467">
        <f>G603*carbon_intensity_n!$C$9</f>
        <v>0.91363366097657195</v>
      </c>
      <c r="J603" s="801">
        <f>H603*cnst_carbon!$C$13*1000000</f>
        <v>311675.29007893428</v>
      </c>
      <c r="K603" s="118">
        <f>I603*cnst_carbon!$C$13*1000000</f>
        <v>311154.0985358241</v>
      </c>
    </row>
    <row r="604" spans="1:11" ht="12">
      <c r="A604" s="27" t="s">
        <v>1296</v>
      </c>
      <c r="B604" s="1543" t="s">
        <v>8425</v>
      </c>
      <c r="C604" s="1135">
        <v>22345487</v>
      </c>
      <c r="D604" s="1138">
        <v>153463705</v>
      </c>
      <c r="E604" s="1191">
        <v>29.2</v>
      </c>
      <c r="F604" s="126">
        <f t="shared" si="18"/>
        <v>652488.22039999999</v>
      </c>
      <c r="G604" s="126">
        <f t="shared" si="19"/>
        <v>4481140.1859999998</v>
      </c>
      <c r="H604" s="467">
        <f>F604*cnst_carbon!$C$11/10^6</f>
        <v>3.6955731677128567E-2</v>
      </c>
      <c r="I604" s="467">
        <f>G604*carbon_intensity_n!$C$9</f>
        <v>0.25077500798288199</v>
      </c>
      <c r="J604" s="801">
        <f>H604*cnst_carbon!$C$13*1000000</f>
        <v>12585.927890876605</v>
      </c>
      <c r="K604" s="118">
        <f>I604*cnst_carbon!$C$13*1000000</f>
        <v>85405.863287504937</v>
      </c>
    </row>
    <row r="605" spans="1:11" ht="12">
      <c r="A605" s="27" t="s">
        <v>1297</v>
      </c>
      <c r="B605" s="1543" t="s">
        <v>8426</v>
      </c>
      <c r="C605" s="1135">
        <v>303191</v>
      </c>
      <c r="D605" s="1138">
        <v>1655096</v>
      </c>
      <c r="E605" s="1191">
        <v>50</v>
      </c>
      <c r="F605" s="126">
        <f t="shared" si="18"/>
        <v>15159.55</v>
      </c>
      <c r="G605" s="126">
        <f t="shared" si="19"/>
        <v>82754.8</v>
      </c>
      <c r="H605" s="467">
        <f>F605*cnst_carbon!$C$11/10^6</f>
        <v>8.586090056960275E-4</v>
      </c>
      <c r="I605" s="467">
        <f>G605*carbon_intensity_n!$C$9</f>
        <v>4.6311507270979631E-3</v>
      </c>
      <c r="J605" s="801">
        <f>H605*cnst_carbon!$C$13*1000000</f>
        <v>292.41447920879347</v>
      </c>
      <c r="K605" s="118">
        <f>I605*cnst_carbon!$C$13*1000000</f>
        <v>1577.220270248607</v>
      </c>
    </row>
    <row r="606" spans="1:11" ht="12">
      <c r="A606" s="27" t="s">
        <v>1298</v>
      </c>
      <c r="B606" s="1543" t="s">
        <v>8427</v>
      </c>
      <c r="C606" s="1135">
        <v>33142596</v>
      </c>
      <c r="D606" s="1138">
        <v>11508806</v>
      </c>
      <c r="E606" s="1191">
        <v>28.2</v>
      </c>
      <c r="F606" s="126">
        <f t="shared" si="18"/>
        <v>934621.20719999995</v>
      </c>
      <c r="G606" s="126">
        <f t="shared" si="19"/>
        <v>324548.32919999998</v>
      </c>
      <c r="H606" s="467">
        <f>F606*cnst_carbon!$C$11/10^6</f>
        <v>5.2935224687831295E-2</v>
      </c>
      <c r="I606" s="467">
        <f>G606*carbon_intensity_n!$C$9</f>
        <v>1.8162477955997829E-2</v>
      </c>
      <c r="J606" s="801">
        <f>H606*cnst_carbon!$C$13*1000000</f>
        <v>18028.02679241019</v>
      </c>
      <c r="K606" s="118">
        <f>I606*cnst_carbon!$C$13*1000000</f>
        <v>6185.5530251968212</v>
      </c>
    </row>
    <row r="607" spans="1:11" ht="12">
      <c r="A607" s="27" t="s">
        <v>1299</v>
      </c>
      <c r="B607" s="1543" t="s">
        <v>8428</v>
      </c>
      <c r="C607" s="1135">
        <v>349598083</v>
      </c>
      <c r="D607" s="1138">
        <v>345199923</v>
      </c>
      <c r="E607" s="1191">
        <v>28.2</v>
      </c>
      <c r="F607" s="126">
        <f t="shared" si="18"/>
        <v>9858665.9406000003</v>
      </c>
      <c r="G607" s="126">
        <f t="shared" si="19"/>
        <v>9734637.8286000006</v>
      </c>
      <c r="H607" s="467">
        <f>F607*cnst_carbon!$C$11/10^6</f>
        <v>0.55837669065030671</v>
      </c>
      <c r="I607" s="467">
        <f>G607*carbon_intensity_n!$C$9</f>
        <v>0.54477293230067902</v>
      </c>
      <c r="J607" s="801">
        <f>H607*cnst_carbon!$C$13*1000000</f>
        <v>190165.05547420727</v>
      </c>
      <c r="K607" s="118">
        <f>I607*cnst_carbon!$C$13*1000000</f>
        <v>185532.05502033484</v>
      </c>
    </row>
    <row r="608" spans="1:11" ht="12">
      <c r="A608" s="27" t="s">
        <v>5397</v>
      </c>
      <c r="B608" s="1543" t="s">
        <v>8429</v>
      </c>
      <c r="C608" s="1135">
        <v>3575719319</v>
      </c>
      <c r="D608" s="1138">
        <v>2152552831</v>
      </c>
      <c r="E608" s="1191">
        <v>80.5</v>
      </c>
      <c r="F608" s="126">
        <f t="shared" si="18"/>
        <v>287845405.17949998</v>
      </c>
      <c r="G608" s="126">
        <f t="shared" si="19"/>
        <v>173280502.8955</v>
      </c>
      <c r="H608" s="467">
        <f>F608*cnst_carbon!$C$11/10^6</f>
        <v>16.303033872070124</v>
      </c>
      <c r="I608" s="467">
        <f>G608*carbon_intensity_n!$C$9</f>
        <v>9.6971792207388035</v>
      </c>
      <c r="J608" s="801">
        <f>H608*cnst_carbon!$C$13*1000000</f>
        <v>5552286.4628704442</v>
      </c>
      <c r="K608" s="118">
        <f>I608*cnst_carbon!$C$13*1000000</f>
        <v>3302545.8536019064</v>
      </c>
    </row>
    <row r="609" spans="1:11" ht="12">
      <c r="A609" s="27" t="s">
        <v>842</v>
      </c>
      <c r="B609" s="1543" t="s">
        <v>8430</v>
      </c>
      <c r="C609" s="1135">
        <v>29702034</v>
      </c>
      <c r="D609" s="1138">
        <v>3203037</v>
      </c>
      <c r="E609" s="1191">
        <v>100</v>
      </c>
      <c r="F609" s="126">
        <f t="shared" si="18"/>
        <v>2970203.4</v>
      </c>
      <c r="G609" s="126">
        <f t="shared" si="19"/>
        <v>320303.7</v>
      </c>
      <c r="H609" s="467">
        <f>F609*cnst_carbon!$C$11/10^6</f>
        <v>0.16822685290717471</v>
      </c>
      <c r="I609" s="467">
        <f>G609*carbon_intensity_n!$C$9</f>
        <v>1.7924938651862708E-2</v>
      </c>
      <c r="J609" s="801">
        <f>H609*cnst_carbon!$C$13*1000000</f>
        <v>57292.629422059879</v>
      </c>
      <c r="K609" s="118">
        <f>I609*cnst_carbon!$C$13*1000000</f>
        <v>6104.6548148944685</v>
      </c>
    </row>
    <row r="610" spans="1:11" ht="12">
      <c r="A610" s="27" t="s">
        <v>843</v>
      </c>
      <c r="B610" s="1543" t="s">
        <v>8431</v>
      </c>
      <c r="C610" s="1135">
        <v>1467308901</v>
      </c>
      <c r="D610" s="1138">
        <v>166825072</v>
      </c>
      <c r="E610" s="1191">
        <v>50</v>
      </c>
      <c r="F610" s="126">
        <f t="shared" si="18"/>
        <v>73365445.049999997</v>
      </c>
      <c r="G610" s="126">
        <f t="shared" si="19"/>
        <v>8341253.5999999996</v>
      </c>
      <c r="H610" s="467">
        <f>F610*cnst_carbon!$C$11/10^6</f>
        <v>4.155283753596053</v>
      </c>
      <c r="I610" s="467">
        <f>G610*carbon_intensity_n!$C$9</f>
        <v>0.46679591606225262</v>
      </c>
      <c r="J610" s="801">
        <f>H610*cnst_carbon!$C$13*1000000</f>
        <v>1415155.357924022</v>
      </c>
      <c r="K610" s="118">
        <f>I610*cnst_carbon!$C$13*1000000</f>
        <v>158975.60331490336</v>
      </c>
    </row>
    <row r="611" spans="1:11" ht="12">
      <c r="A611" s="27" t="s">
        <v>844</v>
      </c>
      <c r="B611" s="1543" t="s">
        <v>8432</v>
      </c>
      <c r="C611" s="1135">
        <v>9581882</v>
      </c>
      <c r="D611" s="1138">
        <v>2594511</v>
      </c>
      <c r="E611" s="1191">
        <v>100</v>
      </c>
      <c r="F611" s="126">
        <f t="shared" si="18"/>
        <v>958188.2</v>
      </c>
      <c r="G611" s="126">
        <f t="shared" si="19"/>
        <v>259451.1</v>
      </c>
      <c r="H611" s="467">
        <f>F611*cnst_carbon!$C$11/10^6</f>
        <v>5.4270015776963457E-2</v>
      </c>
      <c r="I611" s="467">
        <f>G611*carbon_intensity_n!$C$9</f>
        <v>1.4519485883735642E-2</v>
      </c>
      <c r="J611" s="801">
        <f>H611*cnst_carbon!$C$13*1000000</f>
        <v>18482.613500203584</v>
      </c>
      <c r="K611" s="118">
        <f>I611*cnst_carbon!$C$13*1000000</f>
        <v>4944.86765792798</v>
      </c>
    </row>
    <row r="612" spans="1:11" ht="12">
      <c r="A612" s="27" t="s">
        <v>845</v>
      </c>
      <c r="B612" s="1543" t="s">
        <v>8433</v>
      </c>
      <c r="C612" s="1135">
        <v>512332119</v>
      </c>
      <c r="D612" s="1138">
        <v>167231511</v>
      </c>
      <c r="E612" s="1191">
        <v>50</v>
      </c>
      <c r="F612" s="126">
        <f t="shared" si="18"/>
        <v>25616605.949999999</v>
      </c>
      <c r="G612" s="126">
        <f t="shared" si="19"/>
        <v>8361575.5499999998</v>
      </c>
      <c r="H612" s="467">
        <f>F612*cnst_carbon!$C$11/10^6</f>
        <v>1.4508774049385662</v>
      </c>
      <c r="I612" s="467">
        <f>G612*carbon_intensity_n!$C$9</f>
        <v>0.4679331795626</v>
      </c>
      <c r="J612" s="801">
        <f>H612*cnst_carbon!$C$13*1000000</f>
        <v>494121.95533285162</v>
      </c>
      <c r="K612" s="118">
        <f>I612*cnst_carbon!$C$13*1000000</f>
        <v>159362.91850956253</v>
      </c>
    </row>
    <row r="613" spans="1:11" ht="12">
      <c r="A613" s="27" t="s">
        <v>846</v>
      </c>
      <c r="B613" s="1543" t="s">
        <v>8434</v>
      </c>
      <c r="C613" s="1135">
        <v>16866438</v>
      </c>
      <c r="D613" s="1138">
        <v>11686806</v>
      </c>
      <c r="E613" s="1191">
        <v>56.7</v>
      </c>
      <c r="F613" s="126">
        <f t="shared" si="18"/>
        <v>956327.03460000001</v>
      </c>
      <c r="G613" s="126">
        <f t="shared" si="19"/>
        <v>662641.90020000003</v>
      </c>
      <c r="H613" s="467">
        <f>F613*cnst_carbon!$C$11/10^6</f>
        <v>5.4164602794814921E-2</v>
      </c>
      <c r="I613" s="467">
        <f>G613*carbon_intensity_n!$C$9</f>
        <v>3.7082979089029348E-2</v>
      </c>
      <c r="J613" s="801">
        <f>H613*cnst_carbon!$C$13*1000000</f>
        <v>18446.713245172108</v>
      </c>
      <c r="K613" s="118">
        <f>I613*cnst_carbon!$C$13*1000000</f>
        <v>12629.264247046631</v>
      </c>
    </row>
    <row r="614" spans="1:11" ht="12">
      <c r="A614" s="27" t="s">
        <v>4958</v>
      </c>
      <c r="B614" s="1543" t="s">
        <v>8435</v>
      </c>
      <c r="C614" s="1135">
        <v>81399807</v>
      </c>
      <c r="D614" s="1138">
        <v>15453361</v>
      </c>
      <c r="E614" s="1191">
        <v>25</v>
      </c>
      <c r="F614" s="126">
        <f t="shared" si="18"/>
        <v>2034995.175</v>
      </c>
      <c r="G614" s="126">
        <f t="shared" si="19"/>
        <v>386334.02500000002</v>
      </c>
      <c r="H614" s="467">
        <f>F614*cnst_carbon!$C$11/10^6</f>
        <v>0.11525838061175718</v>
      </c>
      <c r="I614" s="467">
        <f>G614*carbon_intensity_n!$C$9</f>
        <v>2.1620148931317976E-2</v>
      </c>
      <c r="J614" s="801">
        <f>H614*cnst_carbon!$C$13*1000000</f>
        <v>39253.27956898672</v>
      </c>
      <c r="K614" s="118">
        <f>I614*cnst_carbon!$C$13*1000000</f>
        <v>7363.1240159692506</v>
      </c>
    </row>
    <row r="615" spans="1:11" ht="12">
      <c r="A615" s="27" t="s">
        <v>4959</v>
      </c>
      <c r="B615" s="1543" t="s">
        <v>8436</v>
      </c>
      <c r="C615" s="1135">
        <v>103171703</v>
      </c>
      <c r="D615" s="1138">
        <v>15245178</v>
      </c>
      <c r="E615" s="1191">
        <v>50</v>
      </c>
      <c r="F615" s="126">
        <f t="shared" si="18"/>
        <v>5158585.1500000004</v>
      </c>
      <c r="G615" s="126">
        <f t="shared" si="19"/>
        <v>762258.9</v>
      </c>
      <c r="H615" s="467">
        <f>F615*cnst_carbon!$C$11/10^6</f>
        <v>0.29217276676680992</v>
      </c>
      <c r="I615" s="467">
        <f>G615*carbon_intensity_n!$C$9</f>
        <v>4.2657777663312503E-2</v>
      </c>
      <c r="J615" s="801">
        <f>H615*cnst_carbon!$C$13*1000000</f>
        <v>99504.602055566691</v>
      </c>
      <c r="K615" s="118">
        <f>I615*cnst_carbon!$C$13*1000000</f>
        <v>14527.860477669039</v>
      </c>
    </row>
    <row r="616" spans="1:11" ht="12">
      <c r="A616" s="27" t="s">
        <v>655</v>
      </c>
      <c r="B616" s="1543" t="s">
        <v>8437</v>
      </c>
      <c r="C616" s="1135">
        <v>36995342</v>
      </c>
      <c r="D616" s="1138">
        <v>20164481</v>
      </c>
      <c r="E616" s="1191">
        <v>50</v>
      </c>
      <c r="F616" s="126">
        <f t="shared" si="18"/>
        <v>1849767.1</v>
      </c>
      <c r="G616" s="126">
        <f t="shared" si="19"/>
        <v>1008224.05</v>
      </c>
      <c r="H616" s="467">
        <f>F616*cnst_carbon!$C$11/10^6</f>
        <v>0.10476740341898172</v>
      </c>
      <c r="I616" s="467">
        <f>G616*carbon_intensity_n!$C$9</f>
        <v>5.6422558476791118E-2</v>
      </c>
      <c r="J616" s="801">
        <f>H616*cnst_carbon!$C$13*1000000</f>
        <v>35680.391779707199</v>
      </c>
      <c r="K616" s="118">
        <f>I616*cnst_carbon!$C$13*1000000</f>
        <v>19215.699978879111</v>
      </c>
    </row>
    <row r="617" spans="1:11" ht="12">
      <c r="A617" s="27" t="s">
        <v>1464</v>
      </c>
      <c r="B617" s="1543" t="s">
        <v>8438</v>
      </c>
      <c r="C617" s="1135"/>
      <c r="D617" s="1138"/>
      <c r="E617" s="1191">
        <v>28.2</v>
      </c>
      <c r="F617" s="126">
        <f t="shared" si="18"/>
        <v>0</v>
      </c>
      <c r="G617" s="126">
        <f t="shared" si="19"/>
        <v>0</v>
      </c>
      <c r="H617" s="467">
        <f>F617*cnst_carbon!$C$11/10^6</f>
        <v>0</v>
      </c>
      <c r="I617" s="467">
        <f>G617*carbon_intensity_n!$C$9</f>
        <v>0</v>
      </c>
      <c r="J617" s="801">
        <f>H617*cnst_carbon!$C$13*1000000</f>
        <v>0</v>
      </c>
      <c r="K617" s="118">
        <f>I617*cnst_carbon!$C$13*1000000</f>
        <v>0</v>
      </c>
    </row>
    <row r="618" spans="1:11" ht="12">
      <c r="A618" s="27" t="s">
        <v>1010</v>
      </c>
      <c r="B618" s="1543" t="s">
        <v>8439</v>
      </c>
      <c r="C618" s="1135"/>
      <c r="D618" s="1138"/>
      <c r="E618" s="1191">
        <v>100</v>
      </c>
      <c r="F618" s="126">
        <f t="shared" si="18"/>
        <v>0</v>
      </c>
      <c r="G618" s="126">
        <f t="shared" si="19"/>
        <v>0</v>
      </c>
      <c r="H618" s="467">
        <f>F618*cnst_carbon!$C$11/10^6</f>
        <v>0</v>
      </c>
      <c r="I618" s="467">
        <f>G618*carbon_intensity_n!$C$9</f>
        <v>0</v>
      </c>
      <c r="J618" s="801">
        <f>H618*cnst_carbon!$C$13*1000000</f>
        <v>0</v>
      </c>
      <c r="K618" s="118">
        <f>I618*cnst_carbon!$C$13*1000000</f>
        <v>0</v>
      </c>
    </row>
    <row r="619" spans="1:11" ht="12">
      <c r="A619" s="27" t="s">
        <v>1011</v>
      </c>
      <c r="B619" s="1543" t="s">
        <v>8440</v>
      </c>
      <c r="C619" s="1135">
        <v>34752557.160322301</v>
      </c>
      <c r="D619" s="1138">
        <v>2865521.5723338798</v>
      </c>
      <c r="E619" s="1191">
        <v>100</v>
      </c>
      <c r="F619" s="126">
        <f t="shared" si="18"/>
        <v>3475255.7160322298</v>
      </c>
      <c r="G619" s="126">
        <f t="shared" si="19"/>
        <v>286552.15723338793</v>
      </c>
      <c r="H619" s="467">
        <f>F619*cnst_carbon!$C$11/10^6</f>
        <v>0.19683208636680305</v>
      </c>
      <c r="I619" s="467">
        <f>G619*carbon_intensity_n!$C$9</f>
        <v>1.6036123962874592E-2</v>
      </c>
      <c r="J619" s="801">
        <f>H619*cnst_carbon!$C$13*1000000</f>
        <v>67034.647487619834</v>
      </c>
      <c r="K619" s="118">
        <f>I619*cnst_carbon!$C$13*1000000</f>
        <v>5461.3855736702326</v>
      </c>
    </row>
    <row r="620" spans="1:11" ht="12">
      <c r="A620" s="27" t="s">
        <v>1012</v>
      </c>
      <c r="B620" s="1543" t="s">
        <v>8441</v>
      </c>
      <c r="C620" s="1135">
        <v>5775685.5083891395</v>
      </c>
      <c r="D620" s="1138">
        <v>1742090.5259154399</v>
      </c>
      <c r="E620" s="1191">
        <v>3.1</v>
      </c>
      <c r="F620" s="126">
        <f t="shared" si="18"/>
        <v>17904.625076006334</v>
      </c>
      <c r="G620" s="126">
        <f t="shared" si="19"/>
        <v>5400.4806303378646</v>
      </c>
      <c r="H620" s="467">
        <f>F620*cnst_carbon!$C$11/10^6</f>
        <v>1.0140850047573944E-3</v>
      </c>
      <c r="I620" s="467">
        <f>G620*carbon_intensity_n!$C$9</f>
        <v>3.0222343353941607E-4</v>
      </c>
      <c r="J620" s="801">
        <f>H620*cnst_carbon!$C$13*1000000</f>
        <v>345.36457988720622</v>
      </c>
      <c r="K620" s="118">
        <f>I620*cnst_carbon!$C$13*1000000</f>
        <v>102.92753434548636</v>
      </c>
    </row>
    <row r="621" spans="1:11" ht="12">
      <c r="A621" s="27" t="s">
        <v>1013</v>
      </c>
      <c r="B621" s="1543" t="s">
        <v>8442</v>
      </c>
      <c r="C621" s="1135">
        <v>243941613</v>
      </c>
      <c r="D621" s="1138">
        <v>27962057</v>
      </c>
      <c r="E621" s="1191">
        <v>100</v>
      </c>
      <c r="F621" s="126">
        <f t="shared" si="18"/>
        <v>24394161.300000001</v>
      </c>
      <c r="G621" s="126">
        <f t="shared" si="19"/>
        <v>2796205.7</v>
      </c>
      <c r="H621" s="467">
        <f>F621*cnst_carbon!$C$11/10^6</f>
        <v>1.3816403902874104</v>
      </c>
      <c r="I621" s="467">
        <f>G621*carbon_intensity_n!$C$9</f>
        <v>0.15648216249293662</v>
      </c>
      <c r="J621" s="801">
        <f>H621*cnst_carbon!$C$13*1000000</f>
        <v>470542.06571268965</v>
      </c>
      <c r="K621" s="118">
        <f>I621*cnst_carbon!$C$13*1000000</f>
        <v>53292.767426477934</v>
      </c>
    </row>
    <row r="622" spans="1:11" ht="12">
      <c r="A622" s="27" t="s">
        <v>1014</v>
      </c>
      <c r="B622" s="1543" t="s">
        <v>8443</v>
      </c>
      <c r="C622" s="1135">
        <v>166172594.203646</v>
      </c>
      <c r="D622" s="1138">
        <v>35688439.355027497</v>
      </c>
      <c r="E622" s="1191">
        <v>50</v>
      </c>
      <c r="F622" s="126">
        <f t="shared" si="18"/>
        <v>8308629.7101823008</v>
      </c>
      <c r="G622" s="126">
        <f t="shared" si="19"/>
        <v>1784421.9677513747</v>
      </c>
      <c r="H622" s="467">
        <f>F622*cnst_carbon!$C$11/10^6</f>
        <v>0.47058549192793314</v>
      </c>
      <c r="I622" s="467">
        <f>G622*carbon_intensity_n!$C$9</f>
        <v>9.9860395933545329E-2</v>
      </c>
      <c r="J622" s="801">
        <f>H622*cnst_carbon!$C$13*1000000</f>
        <v>160266.21038498284</v>
      </c>
      <c r="K622" s="118">
        <f>I622*cnst_carbon!$C$13*1000000</f>
        <v>34009.22361258047</v>
      </c>
    </row>
    <row r="623" spans="1:11" ht="12">
      <c r="A623" s="27" t="s">
        <v>4302</v>
      </c>
      <c r="B623" s="1543" t="s">
        <v>8444</v>
      </c>
      <c r="C623" s="1135">
        <v>220177777.5</v>
      </c>
      <c r="D623" s="1138">
        <v>5479965</v>
      </c>
      <c r="E623" s="1191">
        <v>50</v>
      </c>
      <c r="F623" s="126">
        <f t="shared" si="18"/>
        <v>11008888.875</v>
      </c>
      <c r="G623" s="126">
        <f t="shared" si="19"/>
        <v>273998.25</v>
      </c>
      <c r="H623" s="467">
        <f>F623*cnst_carbon!$C$11/10^6</f>
        <v>0.62352320027849173</v>
      </c>
      <c r="I623" s="467">
        <f>G623*carbon_intensity_n!$C$9</f>
        <v>1.5333578169617588E-2</v>
      </c>
      <c r="J623" s="801">
        <f>H623*cnst_carbon!$C$13*1000000</f>
        <v>212351.85127860692</v>
      </c>
      <c r="K623" s="118">
        <f>I623*cnst_carbon!$C$13*1000000</f>
        <v>5222.1211810389896</v>
      </c>
    </row>
    <row r="624" spans="1:11" ht="12">
      <c r="A624" s="27" t="s">
        <v>3421</v>
      </c>
      <c r="B624" s="1543" t="s">
        <v>8445</v>
      </c>
      <c r="C624" s="1135">
        <v>28801086</v>
      </c>
      <c r="D624" s="1138">
        <v>16522493</v>
      </c>
      <c r="E624" s="1191">
        <v>50</v>
      </c>
      <c r="F624" s="126">
        <f t="shared" si="18"/>
        <v>1440054.3</v>
      </c>
      <c r="G624" s="126">
        <f t="shared" si="19"/>
        <v>826124.65</v>
      </c>
      <c r="H624" s="467">
        <f>F624*cnst_carbon!$C$11/10^6</f>
        <v>8.1562024642637093E-2</v>
      </c>
      <c r="I624" s="467">
        <f>G624*carbon_intensity_n!$C$9</f>
        <v>4.6231853300606737E-2</v>
      </c>
      <c r="J624" s="801">
        <f>H624*cnst_carbon!$C$13*1000000</f>
        <v>27777.389709251511</v>
      </c>
      <c r="K624" s="118">
        <f>I624*cnst_carbon!$C$13*1000000</f>
        <v>15745.075134397473</v>
      </c>
    </row>
    <row r="625" spans="1:11" ht="12">
      <c r="A625" s="27" t="s">
        <v>2809</v>
      </c>
      <c r="B625" s="1543" t="s">
        <v>8446</v>
      </c>
      <c r="C625" s="1135">
        <v>18645385.5</v>
      </c>
      <c r="D625" s="1138">
        <v>8232849</v>
      </c>
      <c r="E625" s="1191">
        <v>300</v>
      </c>
      <c r="F625" s="126">
        <f t="shared" si="18"/>
        <v>5593615.6500000004</v>
      </c>
      <c r="G625" s="126">
        <f t="shared" si="19"/>
        <v>2469854.7000000002</v>
      </c>
      <c r="H625" s="467">
        <f>F625*cnst_carbon!$C$11/10^6</f>
        <v>0.31681209346532307</v>
      </c>
      <c r="I625" s="467">
        <f>G625*carbon_intensity_n!$C$9</f>
        <v>0.13821880289398708</v>
      </c>
      <c r="J625" s="801">
        <f>H625*cnst_carbon!$C$13*1000000</f>
        <v>107895.960446643</v>
      </c>
      <c r="K625" s="118">
        <f>I625*cnst_carbon!$C$13*1000000</f>
        <v>47072.857373938336</v>
      </c>
    </row>
    <row r="626" spans="1:11" ht="12">
      <c r="A626" s="27" t="s">
        <v>2810</v>
      </c>
      <c r="B626" s="1543" t="s">
        <v>8447</v>
      </c>
      <c r="C626" s="1135">
        <v>189145859.235358</v>
      </c>
      <c r="D626" s="1138">
        <v>11144568</v>
      </c>
      <c r="E626" s="1191">
        <v>56.7</v>
      </c>
      <c r="F626" s="126">
        <f t="shared" si="18"/>
        <v>10724570.218644798</v>
      </c>
      <c r="G626" s="126">
        <f t="shared" si="19"/>
        <v>631897.00560000003</v>
      </c>
      <c r="H626" s="467">
        <f>F626*cnst_carbon!$C$11/10^6</f>
        <v>0.60741991496765002</v>
      </c>
      <c r="I626" s="467">
        <f>G626*carbon_intensity_n!$C$9</f>
        <v>3.5362423411517713E-2</v>
      </c>
      <c r="J626" s="801">
        <f>H626*cnst_carbon!$C$13*1000000</f>
        <v>206867.59272030869</v>
      </c>
      <c r="K626" s="118">
        <f>I626*cnst_carbon!$C$13*1000000</f>
        <v>12043.298587413874</v>
      </c>
    </row>
    <row r="627" spans="1:11" ht="12">
      <c r="A627" s="27" t="s">
        <v>2811</v>
      </c>
      <c r="B627" s="1543" t="s">
        <v>8448</v>
      </c>
      <c r="C627" s="1135"/>
      <c r="D627" s="1138"/>
      <c r="E627" s="1191">
        <v>28.2</v>
      </c>
      <c r="F627" s="126">
        <f t="shared" si="18"/>
        <v>0</v>
      </c>
      <c r="G627" s="126">
        <f t="shared" si="19"/>
        <v>0</v>
      </c>
      <c r="H627" s="467">
        <f>F627*cnst_carbon!$C$11/10^6</f>
        <v>0</v>
      </c>
      <c r="I627" s="467">
        <f>G627*carbon_intensity_n!$C$9</f>
        <v>0</v>
      </c>
      <c r="J627" s="801">
        <f>H627*cnst_carbon!$C$13*1000000</f>
        <v>0</v>
      </c>
      <c r="K627" s="118">
        <f>I627*cnst_carbon!$C$13*1000000</f>
        <v>0</v>
      </c>
    </row>
    <row r="628" spans="1:11" ht="12">
      <c r="A628" s="27" t="s">
        <v>2812</v>
      </c>
      <c r="B628" s="1543" t="s">
        <v>8449</v>
      </c>
      <c r="C628" s="1135"/>
      <c r="D628" s="1138"/>
      <c r="E628" s="1191">
        <v>0</v>
      </c>
      <c r="F628" s="126">
        <f t="shared" si="18"/>
        <v>0</v>
      </c>
      <c r="G628" s="126">
        <f t="shared" si="19"/>
        <v>0</v>
      </c>
      <c r="H628" s="467">
        <f>F628*cnst_carbon!$C$11/10^6</f>
        <v>0</v>
      </c>
      <c r="I628" s="467">
        <f>G628*carbon_intensity_n!$C$9</f>
        <v>0</v>
      </c>
      <c r="J628" s="801">
        <f>H628*cnst_carbon!$C$13*1000000</f>
        <v>0</v>
      </c>
      <c r="K628" s="118">
        <f>I628*cnst_carbon!$C$13*1000000</f>
        <v>0</v>
      </c>
    </row>
    <row r="629" spans="1:11" ht="12">
      <c r="A629" s="27" t="s">
        <v>1470</v>
      </c>
      <c r="B629" s="1543" t="s">
        <v>8450</v>
      </c>
      <c r="C629" s="1135">
        <v>1486775</v>
      </c>
      <c r="D629" s="1138">
        <v>847730</v>
      </c>
      <c r="E629" s="1191">
        <v>18.2</v>
      </c>
      <c r="F629" s="126">
        <f t="shared" si="18"/>
        <v>27059.305</v>
      </c>
      <c r="G629" s="126">
        <f t="shared" si="19"/>
        <v>15428.686</v>
      </c>
      <c r="H629" s="467">
        <f>F629*cnst_carbon!$C$11/10^6</f>
        <v>1.5325892233526422E-3</v>
      </c>
      <c r="I629" s="467">
        <f>G629*carbon_intensity_n!$C$9</f>
        <v>8.6342508696856453E-4</v>
      </c>
      <c r="J629" s="801">
        <f>H629*cnst_carbon!$C$13*1000000</f>
        <v>521.95035995968897</v>
      </c>
      <c r="K629" s="118">
        <f>I629*cnst_carbon!$C$13*1000000</f>
        <v>294.05468084631826</v>
      </c>
    </row>
    <row r="630" spans="1:11" ht="12">
      <c r="A630" s="27" t="s">
        <v>4742</v>
      </c>
      <c r="B630" s="1543" t="s">
        <v>8451</v>
      </c>
      <c r="C630" s="1135">
        <v>865747.507140434</v>
      </c>
      <c r="D630" s="1138">
        <v>24762769.784223601</v>
      </c>
      <c r="E630" s="1191">
        <v>56.7</v>
      </c>
      <c r="F630" s="126">
        <f t="shared" si="18"/>
        <v>49087.883654862613</v>
      </c>
      <c r="G630" s="126">
        <f t="shared" si="19"/>
        <v>1404049.0467654783</v>
      </c>
      <c r="H630" s="467">
        <f>F630*cnst_carbon!$C$11/10^6</f>
        <v>2.7802473672783076E-3</v>
      </c>
      <c r="I630" s="467">
        <f>G630*carbon_intensity_n!$C$9</f>
        <v>7.8573844221835443E-2</v>
      </c>
      <c r="J630" s="801">
        <f>H630*cnst_carbon!$C$13*1000000</f>
        <v>946.86240253823485</v>
      </c>
      <c r="K630" s="118">
        <f>I630*cnst_carbon!$C$13*1000000</f>
        <v>26759.712028568094</v>
      </c>
    </row>
    <row r="631" spans="1:11" ht="12">
      <c r="A631" s="27" t="s">
        <v>1743</v>
      </c>
      <c r="B631" s="1543" t="s">
        <v>8452</v>
      </c>
      <c r="C631" s="1136">
        <v>32368</v>
      </c>
      <c r="D631" s="1140">
        <v>48993</v>
      </c>
      <c r="E631" s="1192">
        <v>20</v>
      </c>
      <c r="F631" s="126">
        <f t="shared" si="18"/>
        <v>647.36</v>
      </c>
      <c r="G631" s="126">
        <f t="shared" si="19"/>
        <v>979.86</v>
      </c>
      <c r="H631" s="467">
        <f>F631*cnst_carbon!$C$11/10^6</f>
        <v>3.6665278713905127E-5</v>
      </c>
      <c r="I631" s="467">
        <f>G631*carbon_intensity_n!$C$9</f>
        <v>5.4835240390336393E-5</v>
      </c>
      <c r="J631" s="801">
        <f>H631*cnst_carbon!$C$13*1000000</f>
        <v>12.48700899832809</v>
      </c>
      <c r="K631" s="118">
        <f>I631*cnst_carbon!$C$13*1000000</f>
        <v>18.675110736849103</v>
      </c>
    </row>
    <row r="632" spans="1:11" ht="12">
      <c r="A632" s="685" t="s">
        <v>3985</v>
      </c>
      <c r="B632" s="905" t="s">
        <v>2862</v>
      </c>
      <c r="C632" s="58">
        <f>SUM(C7:C631)</f>
        <v>837215261249.02832</v>
      </c>
      <c r="D632" s="58">
        <f>SUM(D7:D631)</f>
        <v>657921598832.84558</v>
      </c>
      <c r="E632" s="1021"/>
      <c r="F632" s="905"/>
      <c r="G632" s="905"/>
      <c r="H632" s="906"/>
      <c r="I632" s="906"/>
      <c r="J632" s="67">
        <f>SUM(J7:J631)</f>
        <v>305060933.39762282</v>
      </c>
      <c r="K632" s="68">
        <f>SUM(K7:K631)</f>
        <v>246319207.80170718</v>
      </c>
    </row>
  </sheetData>
  <phoneticPr fontId="6" type="noConversion"/>
  <hyperlinks>
    <hyperlink ref="C2" location="cnst_carbon!A1" tooltip="Go to cnst_carbon" display="cnst_carbon"/>
    <hyperlink ref="C3" location="ef_carbon!A1" tooltip="Go to ef_carbon" display="ef_carbon"/>
    <hyperlink ref="D3" location="carbon_intensity_n!A1" display="carbon_intensity_n"/>
    <hyperlink ref="D2" location="carbon_intensity_n!A1" display="carbon_intensity_n"/>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tabColor theme="4"/>
    <pageSetUpPr autoPageBreaks="0"/>
  </sheetPr>
  <dimension ref="A2:C7"/>
  <sheetViews>
    <sheetView workbookViewId="0">
      <selection activeCell="A65536" sqref="A65536"/>
    </sheetView>
  </sheetViews>
  <sheetFormatPr baseColWidth="10" defaultColWidth="9.1640625" defaultRowHeight="12.75" customHeight="1" x14ac:dyDescent="0"/>
  <cols>
    <col min="1" max="1" width="50.6640625" style="53" customWidth="1"/>
    <col min="2" max="3" width="21.6640625" style="53" customWidth="1"/>
    <col min="4" max="16384" width="9.1640625" style="53"/>
  </cols>
  <sheetData>
    <row r="2" spans="1:3" ht="12.75" customHeight="1">
      <c r="B2" s="54" t="s">
        <v>1005</v>
      </c>
      <c r="C2" s="1064" t="s">
        <v>1008</v>
      </c>
    </row>
    <row r="3" spans="1:3" ht="12.75" customHeight="1">
      <c r="B3" s="54" t="s">
        <v>1006</v>
      </c>
      <c r="C3" s="1064" t="s">
        <v>1007</v>
      </c>
    </row>
    <row r="5" spans="1:3" ht="12">
      <c r="A5" s="559" t="s">
        <v>2036</v>
      </c>
      <c r="B5" s="288" t="s">
        <v>2655</v>
      </c>
      <c r="C5" s="291" t="s">
        <v>2656</v>
      </c>
    </row>
    <row r="6" spans="1:3" ht="12">
      <c r="A6" s="32" t="s">
        <v>2477</v>
      </c>
      <c r="B6" s="560" t="s">
        <v>768</v>
      </c>
      <c r="C6" s="1129">
        <v>114.304680384504</v>
      </c>
    </row>
    <row r="7" spans="1:3" ht="12.75" customHeight="1">
      <c r="A7" s="561" t="s">
        <v>6386</v>
      </c>
      <c r="B7" s="131" t="s">
        <v>732</v>
      </c>
      <c r="C7" s="562">
        <f>C6*cnst_carbon!C13*10^6</f>
        <v>38928480.092829958</v>
      </c>
    </row>
  </sheetData>
  <phoneticPr fontId="5" type="noConversion"/>
  <hyperlinks>
    <hyperlink ref="C3" location="ef_carbon!A1" tooltip="Go to ef_carbon" display="ef_carbon"/>
    <hyperlink ref="C2" location="cnst_carbon!A1" display="cnst_carbon"/>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enableFormatConditionsCalculation="0">
    <tabColor indexed="44"/>
  </sheetPr>
  <dimension ref="A2:E9"/>
  <sheetViews>
    <sheetView workbookViewId="0">
      <selection activeCell="A65536" sqref="A65536"/>
    </sheetView>
  </sheetViews>
  <sheetFormatPr baseColWidth="10" defaultColWidth="9.1640625" defaultRowHeight="12" x14ac:dyDescent="0"/>
  <cols>
    <col min="1" max="1" width="50.6640625" style="198" customWidth="1"/>
    <col min="2" max="2" width="20.33203125" style="198" customWidth="1"/>
    <col min="3" max="7" width="21.6640625" style="198" customWidth="1"/>
    <col min="8" max="16384" width="9.1640625" style="198"/>
  </cols>
  <sheetData>
    <row r="2" spans="1:5">
      <c r="C2" s="54" t="s">
        <v>1005</v>
      </c>
      <c r="D2" s="1064" t="s">
        <v>1008</v>
      </c>
    </row>
    <row r="3" spans="1:5">
      <c r="C3" s="54" t="s">
        <v>1006</v>
      </c>
      <c r="D3" s="1064" t="s">
        <v>1007</v>
      </c>
    </row>
    <row r="5" spans="1:5">
      <c r="A5" s="468" t="s">
        <v>7016</v>
      </c>
      <c r="B5" s="469" t="s">
        <v>460</v>
      </c>
      <c r="C5" s="469" t="s">
        <v>461</v>
      </c>
      <c r="D5" s="469" t="s">
        <v>459</v>
      </c>
      <c r="E5" s="563" t="s">
        <v>458</v>
      </c>
    </row>
    <row r="6" spans="1:5">
      <c r="A6" s="470" t="s">
        <v>548</v>
      </c>
      <c r="B6" s="434" t="s">
        <v>456</v>
      </c>
      <c r="C6" s="434" t="s">
        <v>457</v>
      </c>
      <c r="D6" s="434" t="s">
        <v>3107</v>
      </c>
      <c r="E6" s="471" t="s">
        <v>732</v>
      </c>
    </row>
    <row r="7" spans="1:5">
      <c r="A7" s="564" t="s">
        <v>5570</v>
      </c>
      <c r="B7" s="1142">
        <v>70355</v>
      </c>
      <c r="C7" s="589">
        <f>cnst_carbon!C10</f>
        <v>4.62165813441909E-4</v>
      </c>
      <c r="D7" s="586">
        <f>B7*C7</f>
        <v>32.515675804705509</v>
      </c>
      <c r="E7" s="132">
        <f>D7*cnst_carbon!$C$13*10^6</f>
        <v>11073788.352414574</v>
      </c>
    </row>
    <row r="8" spans="1:5">
      <c r="A8" s="507" t="s">
        <v>1025</v>
      </c>
      <c r="B8" s="1141">
        <v>11353</v>
      </c>
      <c r="C8" s="590">
        <f>((B7*C7)+(B9*C9))/(B7+B9)</f>
        <v>5.0885414904557557E-4</v>
      </c>
      <c r="D8" s="587">
        <f>B8*C8</f>
        <v>5.7770211541144194</v>
      </c>
      <c r="E8" s="118">
        <f>IF(ISERROR(D8*cnst_carbon!$C$13*10^6),0,D8*cnst_carbon!$C$13*10^6)</f>
        <v>1967466.7059765349</v>
      </c>
    </row>
    <row r="9" spans="1:5">
      <c r="A9" s="565" t="s">
        <v>2038</v>
      </c>
      <c r="B9" s="1143">
        <v>4306160</v>
      </c>
      <c r="C9" s="591">
        <f>cnst_carbon!C9</f>
        <v>5.0961695345864803E-4</v>
      </c>
      <c r="D9" s="588">
        <f>B9*C9</f>
        <v>2194.4921403054918</v>
      </c>
      <c r="E9" s="473"/>
    </row>
  </sheetData>
  <phoneticPr fontId="50" type="noConversion"/>
  <hyperlinks>
    <hyperlink ref="D2" location="cnst_carbon!A1" tooltip="Go to cnst_carbon" display="cnst_carbon"/>
    <hyperlink ref="D3" location="ef_carbon!A1" tooltip="Go to ef_carbon" display="ef_carbon"/>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enableFormatConditionsCalculation="0">
    <tabColor indexed="44"/>
  </sheetPr>
  <dimension ref="A2:E9"/>
  <sheetViews>
    <sheetView workbookViewId="0">
      <selection activeCell="A65536" sqref="A65536"/>
    </sheetView>
  </sheetViews>
  <sheetFormatPr baseColWidth="10" defaultColWidth="9.1640625" defaultRowHeight="12" x14ac:dyDescent="0"/>
  <cols>
    <col min="1" max="1" width="48" style="124" customWidth="1"/>
    <col min="2" max="8" width="21.6640625" style="124" customWidth="1"/>
    <col min="9" max="16384" width="9.1640625" style="124"/>
  </cols>
  <sheetData>
    <row r="2" spans="1:5">
      <c r="B2" s="54" t="s">
        <v>1005</v>
      </c>
      <c r="C2" s="1064" t="s">
        <v>7133</v>
      </c>
      <c r="D2" s="1064" t="s">
        <v>3362</v>
      </c>
      <c r="E2" s="1064" t="s">
        <v>1008</v>
      </c>
    </row>
    <row r="3" spans="1:5">
      <c r="B3" s="54" t="s">
        <v>1006</v>
      </c>
      <c r="C3" s="125"/>
    </row>
    <row r="5" spans="1:5">
      <c r="A5" s="468" t="s">
        <v>2036</v>
      </c>
      <c r="B5" s="469" t="s">
        <v>460</v>
      </c>
      <c r="C5" s="469" t="s">
        <v>462</v>
      </c>
      <c r="D5" s="563" t="s">
        <v>463</v>
      </c>
    </row>
    <row r="6" spans="1:5">
      <c r="A6" s="470"/>
      <c r="B6" s="434" t="s">
        <v>464</v>
      </c>
      <c r="C6" s="434" t="s">
        <v>465</v>
      </c>
      <c r="D6" s="294" t="s">
        <v>2932</v>
      </c>
    </row>
    <row r="7" spans="1:5">
      <c r="A7" s="23" t="s">
        <v>5570</v>
      </c>
      <c r="B7" s="69">
        <f>SUM(carbon_efi_efe!F7:F631)</f>
        <v>15815176065.839863</v>
      </c>
      <c r="C7" s="239">
        <f>cnst_carbon!C11/10^6</f>
        <v>5.66381591601352E-8</v>
      </c>
      <c r="D7" s="109">
        <f>B7*C7</f>
        <v>895.74245916259895</v>
      </c>
    </row>
    <row r="8" spans="1:5">
      <c r="A8" s="25" t="s">
        <v>2930</v>
      </c>
      <c r="B8" s="42">
        <f>IF(ISBLANK(cnst_carbon!C12),D8/C8,cnst_carbon!C12*10^6)</f>
        <v>91380385044</v>
      </c>
      <c r="C8" s="39">
        <f>IF(ISBLANK(cnst_carbon!C12),cnst_carbon!C11/10^6,D8/B8)</f>
        <v>5.5845354531421644E-8</v>
      </c>
      <c r="D8" s="566">
        <f>IF(ISBLANK(fossil_efp!B8),fossil_efp!B62/1000,fossil_efp!B8)</f>
        <v>5103.17</v>
      </c>
    </row>
    <row r="9" spans="1:5">
      <c r="A9" s="28" t="s">
        <v>1025</v>
      </c>
      <c r="B9" s="74">
        <f>SUM(carbon_efi_efe!G7:G631)</f>
        <v>12924064673.969549</v>
      </c>
      <c r="C9" s="94">
        <f>IF(ISERROR((D7+D8)/(B7+B8)),C8,(D7+D8)/(B7+B8))</f>
        <v>5.5962321546278442E-8</v>
      </c>
      <c r="D9" s="473"/>
    </row>
  </sheetData>
  <phoneticPr fontId="50" type="noConversion"/>
  <hyperlinks>
    <hyperlink ref="E2" location="cnst_carbon!A1" tooltip="Go to cnst_carbon" display="cnst_carbon"/>
    <hyperlink ref="D2" location="fossil_efp!A1" tooltip="Go to comtrade_n" display="fossil_efp"/>
    <hyperlink ref="C2" location="crop_trade!A1" display="carbon_trade"/>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tabColor theme="4"/>
    <pageSetUpPr autoPageBreaks="0"/>
  </sheetPr>
  <dimension ref="A1:H13"/>
  <sheetViews>
    <sheetView workbookViewId="0">
      <selection activeCell="A65536" sqref="A65536"/>
    </sheetView>
  </sheetViews>
  <sheetFormatPr baseColWidth="10" defaultColWidth="9.1640625" defaultRowHeight="12.75" customHeight="1" x14ac:dyDescent="0"/>
  <cols>
    <col min="1" max="1" width="50.6640625" style="53" customWidth="1"/>
    <col min="2" max="3" width="21.6640625" style="53" customWidth="1"/>
    <col min="4" max="4" width="12.5" style="53" customWidth="1"/>
    <col min="5" max="5" width="11.6640625" style="53" customWidth="1"/>
    <col min="6" max="6" width="16.6640625" style="53" customWidth="1"/>
    <col min="7" max="7" width="14.33203125" style="53" customWidth="1"/>
    <col min="8" max="8" width="14.83203125" style="53" customWidth="1"/>
    <col min="9" max="16384" width="9.1640625" style="53"/>
  </cols>
  <sheetData>
    <row r="1" spans="1:8" ht="12.75" customHeight="1">
      <c r="A1" s="318" t="s">
        <v>467</v>
      </c>
    </row>
    <row r="2" spans="1:8" ht="12.75" customHeight="1">
      <c r="B2" s="54" t="s">
        <v>1005</v>
      </c>
      <c r="C2" s="1064" t="s">
        <v>2117</v>
      </c>
      <c r="D2" s="1064"/>
      <c r="E2" s="1064"/>
      <c r="F2" s="1064"/>
      <c r="G2" s="1064"/>
      <c r="H2" s="1064"/>
    </row>
    <row r="3" spans="1:8" ht="12.75" customHeight="1">
      <c r="B3" s="54" t="s">
        <v>1006</v>
      </c>
      <c r="C3" s="1064" t="s">
        <v>3362</v>
      </c>
      <c r="D3" s="1064" t="s">
        <v>2511</v>
      </c>
      <c r="E3" s="1064" t="s">
        <v>7133</v>
      </c>
      <c r="F3" s="1064" t="s">
        <v>466</v>
      </c>
      <c r="G3" s="1064" t="s">
        <v>623</v>
      </c>
      <c r="H3" s="1064" t="s">
        <v>6393</v>
      </c>
    </row>
    <row r="5" spans="1:8" ht="12">
      <c r="A5" s="290" t="s">
        <v>2036</v>
      </c>
      <c r="B5" s="289" t="s">
        <v>2655</v>
      </c>
      <c r="C5" s="291" t="s">
        <v>2656</v>
      </c>
    </row>
    <row r="6" spans="1:8" ht="12">
      <c r="A6" s="472" t="s">
        <v>3604</v>
      </c>
      <c r="B6" s="260" t="s">
        <v>4973</v>
      </c>
      <c r="C6" s="1193">
        <v>0.27</v>
      </c>
    </row>
    <row r="7" spans="1:8" ht="12">
      <c r="A7" s="27" t="s">
        <v>2654</v>
      </c>
      <c r="B7" s="260" t="s">
        <v>4974</v>
      </c>
      <c r="C7" s="1194">
        <v>0.73</v>
      </c>
    </row>
    <row r="8" spans="1:8" ht="14.25" customHeight="1">
      <c r="A8" s="27" t="s">
        <v>5602</v>
      </c>
      <c r="B8" s="260" t="s">
        <v>548</v>
      </c>
      <c r="C8" s="1352">
        <v>0.28849174500000002</v>
      </c>
    </row>
    <row r="9" spans="1:8" ht="12">
      <c r="A9" s="27" t="s">
        <v>3742</v>
      </c>
      <c r="B9" s="130" t="s">
        <v>6224</v>
      </c>
      <c r="C9" s="1144">
        <v>5.0961695345864803E-4</v>
      </c>
    </row>
    <row r="10" spans="1:8" ht="12">
      <c r="A10" s="27" t="s">
        <v>3743</v>
      </c>
      <c r="B10" s="130" t="s">
        <v>6224</v>
      </c>
      <c r="C10" s="1144">
        <v>4.62165813441909E-4</v>
      </c>
    </row>
    <row r="11" spans="1:8" ht="12">
      <c r="A11" s="27" t="s">
        <v>2929</v>
      </c>
      <c r="B11" s="130" t="s">
        <v>6367</v>
      </c>
      <c r="C11" s="1144">
        <v>5.6638159160135197E-2</v>
      </c>
    </row>
    <row r="12" spans="1:8" ht="12">
      <c r="A12" s="27" t="s">
        <v>2928</v>
      </c>
      <c r="B12" s="130" t="s">
        <v>2931</v>
      </c>
      <c r="C12" s="1352">
        <v>91380.385043999995</v>
      </c>
    </row>
    <row r="13" spans="1:8" ht="12">
      <c r="A13" s="119" t="s">
        <v>4057</v>
      </c>
      <c r="B13" s="261" t="s">
        <v>3512</v>
      </c>
      <c r="C13" s="1353">
        <f>(1/C7)*VLOOKUP("Carbon",eqf,2,FALSE)*(1-C8)*C6*VLOOKUP("Forest land",iyf,2,FALSE)</f>
        <v>0.34056768245954866</v>
      </c>
    </row>
  </sheetData>
  <phoneticPr fontId="5" type="noConversion"/>
  <hyperlinks>
    <hyperlink ref="C2" location="eqf!A1" tooltip="Go to eqf" display="eqf"/>
    <hyperlink ref="D3" location="other_co2_efp!A1" tooltip="Go to other_CO2_efp" display="other_co2_efp"/>
    <hyperlink ref="E3" location="crop_trade!A1" tooltip="Go to carbon_efi" display="carbon_trade"/>
    <hyperlink ref="C3" location="fossil_efp!A1" tooltip="Go to fossil_efp" display="fossil_efp"/>
    <hyperlink ref="F3" location="carbon_intensity_n!A1" display="carbon_intensity_n"/>
    <hyperlink ref="G3" location="electricity_trade!A1" display="electricity_trade"/>
    <hyperlink ref="H3" location="Int_transport_efp!A1" display="Int_transport_efp"/>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6" enableFormatConditionsCalculation="0">
    <tabColor theme="5"/>
    <pageSetUpPr autoPageBreaks="0"/>
  </sheetPr>
  <dimension ref="A1:R192"/>
  <sheetViews>
    <sheetView workbookViewId="0">
      <pane xSplit="2" ySplit="6" topLeftCell="C7" activePane="bottomRight" state="frozen"/>
      <selection pane="topRight" activeCell="C1" sqref="C1"/>
      <selection pane="bottomLeft" activeCell="A7" sqref="A7"/>
      <selection pane="bottomRight" activeCell="A65536" sqref="A65536"/>
    </sheetView>
  </sheetViews>
  <sheetFormatPr baseColWidth="10" defaultColWidth="9.1640625" defaultRowHeight="12.75" customHeight="1" x14ac:dyDescent="0"/>
  <cols>
    <col min="1" max="1" width="30.1640625" style="140" customWidth="1"/>
    <col min="2" max="2" width="14.83203125" style="140" customWidth="1"/>
    <col min="3" max="3" width="14.33203125" style="140" customWidth="1"/>
    <col min="4" max="4" width="23.5" style="83" customWidth="1"/>
    <col min="5" max="5" width="21.6640625" style="83" customWidth="1"/>
    <col min="6" max="6" width="23.6640625" style="83" customWidth="1"/>
    <col min="7" max="7" width="21.6640625" style="83" customWidth="1"/>
    <col min="8" max="9" width="20" style="83" customWidth="1"/>
    <col min="10" max="17" width="21.6640625" style="83" customWidth="1"/>
    <col min="18" max="18" width="21.6640625" style="921" customWidth="1"/>
    <col min="19" max="16384" width="9.1640625" style="83"/>
  </cols>
  <sheetData>
    <row r="1" spans="1:18" s="53" customFormat="1" ht="12.75" customHeight="1">
      <c r="B1" s="125"/>
      <c r="C1" s="125"/>
      <c r="E1" s="737"/>
      <c r="F1" s="737"/>
      <c r="G1" s="737"/>
      <c r="H1" s="737"/>
      <c r="I1" s="737"/>
      <c r="J1" s="737"/>
      <c r="K1" s="737"/>
      <c r="L1" s="125"/>
      <c r="M1" s="737"/>
      <c r="N1" s="737"/>
      <c r="P1" s="125"/>
      <c r="Q1" s="125"/>
      <c r="R1" s="921"/>
    </row>
    <row r="2" spans="1:18" s="53" customFormat="1" ht="12.75" customHeight="1">
      <c r="C2" s="54" t="s">
        <v>1005</v>
      </c>
      <c r="D2" s="1064" t="s">
        <v>7128</v>
      </c>
      <c r="E2" s="1064" t="s">
        <v>7080</v>
      </c>
      <c r="F2" s="1064" t="s">
        <v>2117</v>
      </c>
      <c r="G2" s="1064" t="s">
        <v>6348</v>
      </c>
      <c r="H2" s="737"/>
      <c r="I2" s="737"/>
      <c r="J2" s="737"/>
      <c r="K2" s="737"/>
      <c r="M2" s="736"/>
      <c r="N2" s="736"/>
      <c r="R2" s="921"/>
    </row>
    <row r="3" spans="1:18" s="53" customFormat="1" ht="12.75" customHeight="1">
      <c r="C3" s="54" t="s">
        <v>1006</v>
      </c>
      <c r="D3" s="1064" t="s">
        <v>0</v>
      </c>
      <c r="E3" s="1064" t="s">
        <v>3</v>
      </c>
      <c r="F3" s="1064" t="s">
        <v>4</v>
      </c>
      <c r="G3" s="1064"/>
      <c r="H3" s="737"/>
      <c r="I3" s="737"/>
      <c r="J3" s="737"/>
      <c r="K3" s="737"/>
      <c r="M3" s="736"/>
      <c r="N3" s="736"/>
      <c r="R3" s="921"/>
    </row>
    <row r="4" spans="1:18" s="53" customFormat="1" ht="12.75" customHeight="1">
      <c r="E4" s="736"/>
      <c r="F4" s="736"/>
      <c r="G4" s="736"/>
      <c r="H4" s="736"/>
      <c r="I4" s="736"/>
      <c r="J4" s="736"/>
      <c r="K4" s="736"/>
      <c r="M4" s="736"/>
      <c r="N4" s="736"/>
      <c r="R4" s="921"/>
    </row>
    <row r="5" spans="1:18" ht="12">
      <c r="A5" s="1402" t="s">
        <v>2036</v>
      </c>
      <c r="B5" s="1403" t="s">
        <v>2019</v>
      </c>
      <c r="C5" s="1403" t="s">
        <v>2018</v>
      </c>
      <c r="D5" s="1400" t="s">
        <v>7108</v>
      </c>
      <c r="E5" s="1404" t="s">
        <v>7113</v>
      </c>
      <c r="F5" s="1404" t="s">
        <v>6223</v>
      </c>
      <c r="G5" s="1404" t="s">
        <v>1855</v>
      </c>
      <c r="H5" s="1401" t="s">
        <v>3983</v>
      </c>
      <c r="J5" s="1448" t="s">
        <v>7109</v>
      </c>
      <c r="K5" s="1400" t="s">
        <v>7110</v>
      </c>
      <c r="L5" s="1400" t="s">
        <v>7111</v>
      </c>
      <c r="M5" s="1400" t="s">
        <v>7118</v>
      </c>
      <c r="N5" s="1400" t="s">
        <v>7083</v>
      </c>
      <c r="O5" s="1400" t="s">
        <v>7115</v>
      </c>
      <c r="P5" s="1400" t="s">
        <v>7114</v>
      </c>
      <c r="Q5" s="1404" t="s">
        <v>7112</v>
      </c>
      <c r="R5" s="1388" t="s">
        <v>4232</v>
      </c>
    </row>
    <row r="6" spans="1:18" ht="12">
      <c r="A6" s="1405" t="s">
        <v>548</v>
      </c>
      <c r="B6" s="1406" t="s">
        <v>548</v>
      </c>
      <c r="C6" s="1406" t="s">
        <v>548</v>
      </c>
      <c r="D6" s="1407" t="s">
        <v>3108</v>
      </c>
      <c r="E6" s="1408" t="s">
        <v>4975</v>
      </c>
      <c r="F6" s="1462" t="s">
        <v>548</v>
      </c>
      <c r="G6" s="1408" t="s">
        <v>2963</v>
      </c>
      <c r="H6" s="1413" t="s">
        <v>732</v>
      </c>
      <c r="I6" s="1522"/>
      <c r="J6" s="1441" t="s">
        <v>5148</v>
      </c>
      <c r="K6" s="1407" t="s">
        <v>3108</v>
      </c>
      <c r="L6" s="1407" t="s">
        <v>2159</v>
      </c>
      <c r="M6" s="1412" t="s">
        <v>548</v>
      </c>
      <c r="N6" s="1407" t="s">
        <v>548</v>
      </c>
      <c r="O6" s="1407" t="s">
        <v>3108</v>
      </c>
      <c r="P6" s="1407" t="s">
        <v>3108</v>
      </c>
      <c r="Q6" s="1408" t="s">
        <v>607</v>
      </c>
      <c r="R6" s="1439" t="s">
        <v>7116</v>
      </c>
    </row>
    <row r="7" spans="1:18" ht="12">
      <c r="A7" s="1397" t="s">
        <v>3377</v>
      </c>
      <c r="B7" s="1426">
        <v>800</v>
      </c>
      <c r="C7" s="1398" t="s">
        <v>5547</v>
      </c>
      <c r="D7" s="1181"/>
      <c r="E7" s="1523">
        <f>IF(M7&gt;0,$N$190,IFERROR((P7/L7),0))/crop_intensity!$D$7</f>
        <v>0.74954588586740389</v>
      </c>
      <c r="F7" s="1430">
        <f t="shared" ref="F7:F37" si="0">VLOOKUP("Crop Land",iyf,2,FALSE)</f>
        <v>1</v>
      </c>
      <c r="G7" s="1430">
        <f>VLOOKUP("Crop Land",eqf,2,FALSE)</f>
        <v>2.5252766180478901</v>
      </c>
      <c r="H7" s="1395">
        <f t="shared" ref="H7:H38" si="1">IFERROR((O7/E7)*G7*F7,0)</f>
        <v>0</v>
      </c>
      <c r="I7" s="1522"/>
      <c r="J7" s="1453"/>
      <c r="K7" s="1433">
        <v>41465</v>
      </c>
      <c r="L7" s="1433">
        <v>54880</v>
      </c>
      <c r="M7" s="1435">
        <v>0</v>
      </c>
      <c r="N7" s="1420">
        <f t="shared" ref="N7:N38" si="2">VLOOKUP(B7,constant_crop_factor,3,FALSE)</f>
        <v>1</v>
      </c>
      <c r="O7" s="1394">
        <f t="shared" ref="O7:O38" si="3">D7*N7</f>
        <v>0</v>
      </c>
      <c r="P7" s="1394">
        <f t="shared" ref="P7:P38" si="4">K7*N7</f>
        <v>41465</v>
      </c>
      <c r="Q7" s="1430">
        <f>IF(M7&gt;0,$M$190,IFERROR((O7/J7),0))/crop_intensity!$C$7</f>
        <v>0</v>
      </c>
      <c r="R7" s="1101">
        <f t="shared" ref="R7:R38" si="5">IFERROR(Q7/E7,0)</f>
        <v>0</v>
      </c>
    </row>
    <row r="8" spans="1:18" ht="12">
      <c r="A8" s="1399" t="s">
        <v>2427</v>
      </c>
      <c r="B8" s="1427">
        <v>641</v>
      </c>
      <c r="C8" s="1390" t="s">
        <v>2772</v>
      </c>
      <c r="D8" s="1182">
        <v>122011000</v>
      </c>
      <c r="E8" s="1524">
        <f>IF(M8&gt;0,$N$190,IFERROR((P8/L8),0))/crop_intensity!$D$7</f>
        <v>21.91931311479096</v>
      </c>
      <c r="F8" s="1446">
        <f t="shared" si="0"/>
        <v>1</v>
      </c>
      <c r="G8" s="1428">
        <f t="shared" ref="G8:G39" si="6">$G$7</f>
        <v>2.5252766180478901</v>
      </c>
      <c r="H8" s="1392">
        <f t="shared" si="1"/>
        <v>14056623.208540699</v>
      </c>
      <c r="I8" s="1522"/>
      <c r="J8" s="1454">
        <v>8089190</v>
      </c>
      <c r="K8" s="1434">
        <v>316432992</v>
      </c>
      <c r="L8" s="1434">
        <v>14321400</v>
      </c>
      <c r="M8" s="1436">
        <v>0</v>
      </c>
      <c r="N8" s="1416">
        <f t="shared" si="2"/>
        <v>1</v>
      </c>
      <c r="O8" s="1391">
        <f t="shared" si="3"/>
        <v>122011000</v>
      </c>
      <c r="P8" s="1391">
        <f t="shared" si="4"/>
        <v>316432992</v>
      </c>
      <c r="Q8" s="1499">
        <f>IF(M8&gt;0,$M$190,IFERROR((O8/J8),0))/crop_intensity!$C$7</f>
        <v>16.061212550484051</v>
      </c>
      <c r="R8" s="1105">
        <f t="shared" si="5"/>
        <v>0.73274251188309758</v>
      </c>
    </row>
    <row r="9" spans="1:18" ht="12">
      <c r="A9" s="1399" t="s">
        <v>2773</v>
      </c>
      <c r="B9" s="1427">
        <v>221</v>
      </c>
      <c r="C9" s="1390" t="s">
        <v>971</v>
      </c>
      <c r="D9" s="1182">
        <v>1814370</v>
      </c>
      <c r="E9" s="1524">
        <f>IF(M9&gt;0,$N$190,IFERROR((P9/L9),0))/crop_intensity!$D$7</f>
        <v>1.7680094184757278</v>
      </c>
      <c r="F9" s="1446">
        <f t="shared" si="0"/>
        <v>1</v>
      </c>
      <c r="G9" s="1428">
        <f t="shared" si="6"/>
        <v>2.5252766180478901</v>
      </c>
      <c r="H9" s="1392">
        <f t="shared" si="1"/>
        <v>2591494.1909289677</v>
      </c>
      <c r="I9" s="1522"/>
      <c r="J9" s="1454">
        <v>339360</v>
      </c>
      <c r="K9" s="1434">
        <v>2917890</v>
      </c>
      <c r="L9" s="1434">
        <v>1637250</v>
      </c>
      <c r="M9" s="1436">
        <v>0</v>
      </c>
      <c r="N9" s="1416">
        <f t="shared" si="2"/>
        <v>1</v>
      </c>
      <c r="O9" s="1391">
        <f t="shared" si="3"/>
        <v>1814370</v>
      </c>
      <c r="P9" s="1391">
        <f t="shared" si="4"/>
        <v>2917890</v>
      </c>
      <c r="Q9" s="1499">
        <f>IF(M9&gt;0,$M$190,IFERROR((O9/J9),0))/crop_intensity!$C$7</f>
        <v>5.6931101208154846</v>
      </c>
      <c r="R9" s="1105">
        <f t="shared" si="5"/>
        <v>3.2200677560438251</v>
      </c>
    </row>
    <row r="10" spans="1:18" ht="12">
      <c r="A10" s="1399" t="s">
        <v>785</v>
      </c>
      <c r="B10" s="1427">
        <v>711</v>
      </c>
      <c r="C10" s="1390" t="s">
        <v>4675</v>
      </c>
      <c r="D10" s="1182"/>
      <c r="E10" s="1524">
        <f>IF(M10&gt;0,$N$190,IFERROR((P10/L10),0))/crop_intensity!$D$7</f>
        <v>0.87415858137906099</v>
      </c>
      <c r="F10" s="1446">
        <f t="shared" si="0"/>
        <v>1</v>
      </c>
      <c r="G10" s="1428">
        <f t="shared" si="6"/>
        <v>2.5252766180478901</v>
      </c>
      <c r="H10" s="1392">
        <f t="shared" si="1"/>
        <v>0</v>
      </c>
      <c r="I10" s="1522"/>
      <c r="J10" s="1454"/>
      <c r="K10" s="1434">
        <v>940587</v>
      </c>
      <c r="L10" s="1434">
        <v>1067430</v>
      </c>
      <c r="M10" s="1436">
        <v>0</v>
      </c>
      <c r="N10" s="1416">
        <f t="shared" si="2"/>
        <v>1</v>
      </c>
      <c r="O10" s="1391">
        <f t="shared" si="3"/>
        <v>0</v>
      </c>
      <c r="P10" s="1391">
        <f t="shared" si="4"/>
        <v>940587</v>
      </c>
      <c r="Q10" s="1499">
        <f>IF(M10&gt;0,$M$190,IFERROR((O10/J10),0))/crop_intensity!$C$7</f>
        <v>0</v>
      </c>
      <c r="R10" s="1105">
        <f t="shared" si="5"/>
        <v>0</v>
      </c>
    </row>
    <row r="11" spans="1:18" ht="12">
      <c r="A11" s="1399" t="s">
        <v>786</v>
      </c>
      <c r="B11" s="1427">
        <v>515</v>
      </c>
      <c r="C11" s="1390" t="s">
        <v>972</v>
      </c>
      <c r="D11" s="1182">
        <v>4081610</v>
      </c>
      <c r="E11" s="1524">
        <f>IF(M11&gt;0,$N$190,IFERROR((P11/L11),0))/crop_intensity!$D$7</f>
        <v>15.367107687153055</v>
      </c>
      <c r="F11" s="1446">
        <f t="shared" si="0"/>
        <v>1</v>
      </c>
      <c r="G11" s="1428">
        <f t="shared" si="6"/>
        <v>2.5252766180478901</v>
      </c>
      <c r="H11" s="1392">
        <f t="shared" si="1"/>
        <v>670730.92131756793</v>
      </c>
      <c r="I11" s="1522"/>
      <c r="J11" s="1454">
        <v>131210</v>
      </c>
      <c r="K11" s="1434">
        <v>80822496</v>
      </c>
      <c r="L11" s="1434">
        <v>5217600</v>
      </c>
      <c r="M11" s="1436">
        <v>0</v>
      </c>
      <c r="N11" s="1416">
        <f t="shared" si="2"/>
        <v>1</v>
      </c>
      <c r="O11" s="1391">
        <f t="shared" si="3"/>
        <v>4081610</v>
      </c>
      <c r="P11" s="1391">
        <f t="shared" si="4"/>
        <v>80822496</v>
      </c>
      <c r="Q11" s="1499">
        <f>IF(M11&gt;0,$M$190,IFERROR((O11/J11),0))/crop_intensity!$C$7</f>
        <v>33.124470824709469</v>
      </c>
      <c r="R11" s="1105">
        <f t="shared" si="5"/>
        <v>2.1555436129598817</v>
      </c>
    </row>
    <row r="12" spans="1:18" ht="12">
      <c r="A12" s="1399" t="s">
        <v>2956</v>
      </c>
      <c r="B12" s="1427">
        <v>526</v>
      </c>
      <c r="C12" s="1390" t="s">
        <v>973</v>
      </c>
      <c r="D12" s="1182">
        <v>55360</v>
      </c>
      <c r="E12" s="1524">
        <f>IF(M12&gt;0,$N$190,IFERROR((P12/L12),0))/crop_intensity!$D$7</f>
        <v>8.0867885700252238</v>
      </c>
      <c r="F12" s="1446">
        <f t="shared" si="0"/>
        <v>1</v>
      </c>
      <c r="G12" s="1428">
        <f t="shared" si="6"/>
        <v>2.5252766180478901</v>
      </c>
      <c r="H12" s="1392">
        <f t="shared" si="1"/>
        <v>17287.370921668</v>
      </c>
      <c r="I12" s="1522"/>
      <c r="J12" s="1454">
        <v>4340</v>
      </c>
      <c r="K12" s="1434">
        <v>4111080</v>
      </c>
      <c r="L12" s="1434">
        <v>504325</v>
      </c>
      <c r="M12" s="1436">
        <v>0</v>
      </c>
      <c r="N12" s="1416">
        <f t="shared" si="2"/>
        <v>1</v>
      </c>
      <c r="O12" s="1391">
        <f t="shared" si="3"/>
        <v>55360</v>
      </c>
      <c r="P12" s="1391">
        <f t="shared" si="4"/>
        <v>4111080</v>
      </c>
      <c r="Q12" s="1499">
        <f>IF(M12&gt;0,$M$190,IFERROR((O12/J12),0))/crop_intensity!$C$7</f>
        <v>13.582844572602003</v>
      </c>
      <c r="R12" s="1105">
        <f t="shared" si="5"/>
        <v>1.6796339430646987</v>
      </c>
    </row>
    <row r="13" spans="1:18" ht="12">
      <c r="A13" s="1399" t="s">
        <v>3937</v>
      </c>
      <c r="B13" s="1427">
        <v>226</v>
      </c>
      <c r="C13" s="1390" t="s">
        <v>3938</v>
      </c>
      <c r="D13" s="1182"/>
      <c r="E13" s="1524">
        <f>IF(M13&gt;0,$N$190,IFERROR((P13/L13),0))/crop_intensity!$D$7</f>
        <v>1.3431037042453022</v>
      </c>
      <c r="F13" s="1446">
        <f t="shared" si="0"/>
        <v>1</v>
      </c>
      <c r="G13" s="1428">
        <f t="shared" si="6"/>
        <v>2.5252766180478901</v>
      </c>
      <c r="H13" s="1392">
        <f t="shared" si="1"/>
        <v>0</v>
      </c>
      <c r="I13" s="1522"/>
      <c r="J13" s="1454"/>
      <c r="K13" s="1434">
        <v>1224130</v>
      </c>
      <c r="L13" s="1434">
        <v>904167</v>
      </c>
      <c r="M13" s="1436">
        <v>0</v>
      </c>
      <c r="N13" s="1416">
        <f t="shared" si="2"/>
        <v>1</v>
      </c>
      <c r="O13" s="1391">
        <f t="shared" si="3"/>
        <v>0</v>
      </c>
      <c r="P13" s="1391">
        <f t="shared" si="4"/>
        <v>1224130</v>
      </c>
      <c r="Q13" s="1499">
        <f>IF(M13&gt;0,$M$190,IFERROR((O13/J13),0))/crop_intensity!$C$7</f>
        <v>0</v>
      </c>
      <c r="R13" s="1105">
        <f t="shared" si="5"/>
        <v>0</v>
      </c>
    </row>
    <row r="14" spans="1:18" ht="12">
      <c r="A14" s="1399" t="s">
        <v>2198</v>
      </c>
      <c r="B14" s="1427">
        <v>366</v>
      </c>
      <c r="C14" s="1390" t="s">
        <v>2199</v>
      </c>
      <c r="D14" s="1182">
        <v>42865</v>
      </c>
      <c r="E14" s="1524">
        <f>IF(M14&gt;0,$N$190,IFERROR((P14/L14),0))/crop_intensity!$D$7</f>
        <v>13.603401689077652</v>
      </c>
      <c r="F14" s="1446">
        <f t="shared" si="0"/>
        <v>1</v>
      </c>
      <c r="G14" s="1428">
        <f t="shared" si="6"/>
        <v>2.5252766180478901</v>
      </c>
      <c r="H14" s="1392">
        <f t="shared" si="1"/>
        <v>7957.2730929157897</v>
      </c>
      <c r="I14" s="1522"/>
      <c r="J14" s="1454">
        <v>2833</v>
      </c>
      <c r="K14" s="1434">
        <v>1793020</v>
      </c>
      <c r="L14" s="1434">
        <v>130758</v>
      </c>
      <c r="M14" s="1436">
        <v>0</v>
      </c>
      <c r="N14" s="1416">
        <f t="shared" si="2"/>
        <v>1</v>
      </c>
      <c r="O14" s="1391">
        <f t="shared" si="3"/>
        <v>42865</v>
      </c>
      <c r="P14" s="1391">
        <f t="shared" si="4"/>
        <v>1793020</v>
      </c>
      <c r="Q14" s="1499">
        <f>IF(M14&gt;0,$M$190,IFERROR((O14/J14),0))/crop_intensity!$C$7</f>
        <v>16.111672770138238</v>
      </c>
      <c r="R14" s="1105">
        <f t="shared" si="5"/>
        <v>1.1843855778422328</v>
      </c>
    </row>
    <row r="15" spans="1:18" ht="12">
      <c r="A15" s="1399" t="s">
        <v>2200</v>
      </c>
      <c r="B15" s="1427">
        <v>367</v>
      </c>
      <c r="C15" s="1390" t="s">
        <v>2460</v>
      </c>
      <c r="D15" s="1182">
        <v>34564</v>
      </c>
      <c r="E15" s="1524">
        <f>IF(M15&gt;0,$N$190,IFERROR((P15/L15),0))/crop_intensity!$D$7</f>
        <v>5.3444305177421016</v>
      </c>
      <c r="F15" s="1446">
        <f t="shared" si="0"/>
        <v>1</v>
      </c>
      <c r="G15" s="1428">
        <f t="shared" si="6"/>
        <v>2.5252766180478901</v>
      </c>
      <c r="H15" s="1392">
        <f t="shared" si="1"/>
        <v>16331.704703887253</v>
      </c>
      <c r="I15" s="1522"/>
      <c r="J15" s="1454">
        <v>9915</v>
      </c>
      <c r="K15" s="1434">
        <v>7959190</v>
      </c>
      <c r="L15" s="1434">
        <v>1477400</v>
      </c>
      <c r="M15" s="1436">
        <v>0</v>
      </c>
      <c r="N15" s="1416">
        <f t="shared" si="2"/>
        <v>1</v>
      </c>
      <c r="O15" s="1391">
        <f t="shared" si="3"/>
        <v>34564</v>
      </c>
      <c r="P15" s="1391">
        <f t="shared" si="4"/>
        <v>7959190</v>
      </c>
      <c r="Q15" s="1499">
        <f>IF(M15&gt;0,$M$190,IFERROR((O15/J15),0))/crop_intensity!$C$7</f>
        <v>3.7120657247809117</v>
      </c>
      <c r="R15" s="1105">
        <f t="shared" si="5"/>
        <v>0.69456712225144124</v>
      </c>
    </row>
    <row r="16" spans="1:18" ht="12">
      <c r="A16" s="1399" t="s">
        <v>2461</v>
      </c>
      <c r="B16" s="1427">
        <v>572</v>
      </c>
      <c r="C16" s="1390" t="s">
        <v>2462</v>
      </c>
      <c r="D16" s="1182">
        <v>175226</v>
      </c>
      <c r="E16" s="1524">
        <f>IF(M16&gt;0,$N$190,IFERROR((P16/L16),0))/crop_intensity!$D$7</f>
        <v>9.0603961518842535</v>
      </c>
      <c r="F16" s="1446">
        <f t="shared" si="0"/>
        <v>1</v>
      </c>
      <c r="G16" s="1428">
        <f t="shared" si="6"/>
        <v>2.5252766180478901</v>
      </c>
      <c r="H16" s="1392">
        <f t="shared" si="1"/>
        <v>48838.2751986</v>
      </c>
      <c r="I16" s="1522"/>
      <c r="J16" s="1454">
        <v>26138</v>
      </c>
      <c r="K16" s="1434">
        <v>4717100</v>
      </c>
      <c r="L16" s="1434">
        <v>516486</v>
      </c>
      <c r="M16" s="1436">
        <v>0</v>
      </c>
      <c r="N16" s="1416">
        <f t="shared" si="2"/>
        <v>1</v>
      </c>
      <c r="O16" s="1391">
        <f t="shared" si="3"/>
        <v>175226</v>
      </c>
      <c r="P16" s="1391">
        <f t="shared" si="4"/>
        <v>4717100</v>
      </c>
      <c r="Q16" s="1499">
        <f>IF(M16&gt;0,$M$190,IFERROR((O16/J16),0))/crop_intensity!$C$7</f>
        <v>7.1385593189362782</v>
      </c>
      <c r="R16" s="1105">
        <f t="shared" si="5"/>
        <v>0.7878860040188973</v>
      </c>
    </row>
    <row r="17" spans="1:18" ht="12">
      <c r="A17" s="1399" t="s">
        <v>624</v>
      </c>
      <c r="B17" s="1427">
        <v>203</v>
      </c>
      <c r="C17" s="1390" t="s">
        <v>625</v>
      </c>
      <c r="D17" s="1182"/>
      <c r="E17" s="1524">
        <f>IF(M17&gt;0,$N$190,IFERROR((P17/L17),0))/crop_intensity!$D$7</f>
        <v>0.81427112450200034</v>
      </c>
      <c r="F17" s="1446">
        <f t="shared" si="0"/>
        <v>1</v>
      </c>
      <c r="G17" s="1428">
        <f t="shared" si="6"/>
        <v>2.5252766180478901</v>
      </c>
      <c r="H17" s="1392">
        <f t="shared" si="1"/>
        <v>0</v>
      </c>
      <c r="I17" s="1522"/>
      <c r="J17" s="1454"/>
      <c r="K17" s="1434">
        <v>253975</v>
      </c>
      <c r="L17" s="1434">
        <v>309423</v>
      </c>
      <c r="M17" s="1436">
        <v>0</v>
      </c>
      <c r="N17" s="1416">
        <f t="shared" si="2"/>
        <v>1</v>
      </c>
      <c r="O17" s="1391">
        <f t="shared" si="3"/>
        <v>0</v>
      </c>
      <c r="P17" s="1391">
        <f t="shared" si="4"/>
        <v>253975</v>
      </c>
      <c r="Q17" s="1499">
        <f>IF(M17&gt;0,$M$190,IFERROR((O17/J17),0))/crop_intensity!$C$7</f>
        <v>0</v>
      </c>
      <c r="R17" s="1105">
        <f t="shared" si="5"/>
        <v>0</v>
      </c>
    </row>
    <row r="18" spans="1:18" ht="12">
      <c r="A18" s="1396" t="s">
        <v>626</v>
      </c>
      <c r="B18" s="1427">
        <v>486</v>
      </c>
      <c r="C18" s="1390" t="s">
        <v>974</v>
      </c>
      <c r="D18" s="1182">
        <v>6525</v>
      </c>
      <c r="E18" s="1524">
        <f>IF(M18&gt;0,$N$190,IFERROR((P18/L18),0))/crop_intensity!$D$7</f>
        <v>20.952050157328827</v>
      </c>
      <c r="F18" s="1446">
        <f t="shared" si="0"/>
        <v>1</v>
      </c>
      <c r="G18" s="1428">
        <f t="shared" si="6"/>
        <v>2.5252766180478901</v>
      </c>
      <c r="H18" s="1392">
        <f t="shared" si="1"/>
        <v>786.43520844182569</v>
      </c>
      <c r="I18" s="1522"/>
      <c r="J18" s="1454">
        <v>360</v>
      </c>
      <c r="K18" s="1434">
        <v>108846000</v>
      </c>
      <c r="L18" s="1434">
        <v>5153670</v>
      </c>
      <c r="M18" s="1436">
        <v>0</v>
      </c>
      <c r="N18" s="1416">
        <f t="shared" si="2"/>
        <v>1</v>
      </c>
      <c r="O18" s="1391">
        <f t="shared" si="3"/>
        <v>6525</v>
      </c>
      <c r="P18" s="1391">
        <f t="shared" si="4"/>
        <v>108846000</v>
      </c>
      <c r="Q18" s="1499">
        <f>IF(M18&gt;0,$M$190,IFERROR((O18/J18),0))/crop_intensity!$C$7</f>
        <v>19.300225996970827</v>
      </c>
      <c r="R18" s="1105">
        <f t="shared" si="5"/>
        <v>0.92116169310618956</v>
      </c>
    </row>
    <row r="19" spans="1:18" ht="12">
      <c r="A19" s="1396" t="s">
        <v>627</v>
      </c>
      <c r="B19" s="1427">
        <v>44</v>
      </c>
      <c r="C19" s="1390" t="s">
        <v>975</v>
      </c>
      <c r="D19" s="1182">
        <v>4682740</v>
      </c>
      <c r="E19" s="1524">
        <f>IF(M19&gt;0,$N$190,IFERROR((P19/L19),0))/crop_intensity!$D$7</f>
        <v>2.7231473712508003</v>
      </c>
      <c r="F19" s="1446">
        <f t="shared" si="0"/>
        <v>1</v>
      </c>
      <c r="G19" s="1428">
        <f t="shared" si="6"/>
        <v>2.5252766180478901</v>
      </c>
      <c r="H19" s="1392">
        <f t="shared" si="1"/>
        <v>4334455.8279694933</v>
      </c>
      <c r="I19" s="1522"/>
      <c r="J19" s="1454">
        <v>1214060</v>
      </c>
      <c r="K19" s="1434">
        <v>143600000</v>
      </c>
      <c r="L19" s="1434">
        <v>49192500</v>
      </c>
      <c r="M19" s="1436">
        <v>1</v>
      </c>
      <c r="N19" s="1416">
        <f t="shared" si="2"/>
        <v>0.99815209796853166</v>
      </c>
      <c r="O19" s="1391">
        <f t="shared" si="3"/>
        <v>4674086.7552411621</v>
      </c>
      <c r="P19" s="1391">
        <f t="shared" si="4"/>
        <v>143334641.26828113</v>
      </c>
      <c r="Q19" s="1499">
        <f>IF(M19&gt;0,$M$190,IFERROR((O19/J19),0))/crop_intensity!$C$7</f>
        <v>3.5000333108720874</v>
      </c>
      <c r="R19" s="1105">
        <f t="shared" si="5"/>
        <v>1.2852897157983949</v>
      </c>
    </row>
    <row r="20" spans="1:18" ht="12">
      <c r="A20" s="1396" t="s">
        <v>2030</v>
      </c>
      <c r="B20" s="1427">
        <v>176</v>
      </c>
      <c r="C20" s="1390" t="s">
        <v>2031</v>
      </c>
      <c r="D20" s="1182">
        <v>1114750</v>
      </c>
      <c r="E20" s="1524">
        <f>IF(M20&gt;0,$N$190,IFERROR((P20/L20),0))/crop_intensity!$D$7</f>
        <v>0.8088828446611217</v>
      </c>
      <c r="F20" s="1446">
        <f t="shared" si="0"/>
        <v>1</v>
      </c>
      <c r="G20" s="1428">
        <f t="shared" si="6"/>
        <v>2.5252766180478901</v>
      </c>
      <c r="H20" s="1392">
        <f t="shared" si="1"/>
        <v>3480172.8440021998</v>
      </c>
      <c r="I20" s="1522"/>
      <c r="J20" s="1454">
        <v>532690</v>
      </c>
      <c r="K20" s="1434">
        <v>23729400</v>
      </c>
      <c r="L20" s="1434">
        <v>29102600</v>
      </c>
      <c r="M20" s="1436">
        <v>0</v>
      </c>
      <c r="N20" s="1416">
        <f t="shared" si="2"/>
        <v>1</v>
      </c>
      <c r="O20" s="1391">
        <f t="shared" si="3"/>
        <v>1114750</v>
      </c>
      <c r="P20" s="1391">
        <f t="shared" si="4"/>
        <v>23729400</v>
      </c>
      <c r="Q20" s="1499">
        <f>IF(M20&gt;0,$M$190,IFERROR((O20/J20),0))/crop_intensity!$C$7</f>
        <v>2.2283700676137035</v>
      </c>
      <c r="R20" s="1105">
        <f t="shared" si="5"/>
        <v>2.7548736906977802</v>
      </c>
    </row>
    <row r="21" spans="1:18" ht="12">
      <c r="A21" s="1396" t="s">
        <v>3205</v>
      </c>
      <c r="B21" s="1427">
        <v>414</v>
      </c>
      <c r="C21" s="1390" t="s">
        <v>3206</v>
      </c>
      <c r="D21" s="1182">
        <v>42973</v>
      </c>
      <c r="E21" s="1524">
        <f>IF(M21&gt;0,$N$190,IFERROR((P21/L21),0))/crop_intensity!$D$7</f>
        <v>13.725870299008896</v>
      </c>
      <c r="F21" s="1446">
        <f t="shared" si="0"/>
        <v>1</v>
      </c>
      <c r="G21" s="1428">
        <f t="shared" si="6"/>
        <v>2.5252766180478901</v>
      </c>
      <c r="H21" s="1392">
        <f t="shared" si="1"/>
        <v>7906.1443641360793</v>
      </c>
      <c r="I21" s="1522"/>
      <c r="J21" s="1454">
        <v>11477</v>
      </c>
      <c r="K21" s="1434">
        <v>21367700</v>
      </c>
      <c r="L21" s="1434">
        <v>1544360</v>
      </c>
      <c r="M21" s="1436">
        <v>0</v>
      </c>
      <c r="N21" s="1416">
        <f t="shared" si="2"/>
        <v>1</v>
      </c>
      <c r="O21" s="1391">
        <f t="shared" si="3"/>
        <v>42973</v>
      </c>
      <c r="P21" s="1391">
        <f t="shared" si="4"/>
        <v>21367700</v>
      </c>
      <c r="Q21" s="1499">
        <f>IF(M21&gt;0,$M$190,IFERROR((O21/J21),0))/crop_intensity!$C$7</f>
        <v>3.9870498983830447</v>
      </c>
      <c r="R21" s="1105">
        <f t="shared" si="5"/>
        <v>0.29047701978292317</v>
      </c>
    </row>
    <row r="22" spans="1:18" ht="12">
      <c r="A22" s="1396" t="s">
        <v>7084</v>
      </c>
      <c r="B22" s="1427">
        <v>647</v>
      </c>
      <c r="C22" s="1390" t="s">
        <v>3639</v>
      </c>
      <c r="D22" s="1182"/>
      <c r="E22" s="1524">
        <f>IF(M22&gt;0,$N$190,IFERROR((P22/L22),0))/crop_intensity!$D$7</f>
        <v>56.74773981415585</v>
      </c>
      <c r="F22" s="1446">
        <f t="shared" si="0"/>
        <v>1</v>
      </c>
      <c r="G22" s="1428">
        <f t="shared" si="6"/>
        <v>2.5252766180478901</v>
      </c>
      <c r="H22" s="1392">
        <f t="shared" si="1"/>
        <v>0</v>
      </c>
      <c r="I22" s="1522"/>
      <c r="J22" s="1454"/>
      <c r="K22" s="1434">
        <v>7581670</v>
      </c>
      <c r="L22" s="1434">
        <v>132540</v>
      </c>
      <c r="M22" s="1436">
        <v>0</v>
      </c>
      <c r="N22" s="1416">
        <f t="shared" si="2"/>
        <v>1</v>
      </c>
      <c r="O22" s="1391">
        <f t="shared" si="3"/>
        <v>0</v>
      </c>
      <c r="P22" s="1391">
        <f t="shared" si="4"/>
        <v>7581670</v>
      </c>
      <c r="Q22" s="1499">
        <f>IF(M22&gt;0,$M$190,IFERROR((O22/J22),0))/crop_intensity!$C$7</f>
        <v>0</v>
      </c>
      <c r="R22" s="1105">
        <f t="shared" si="5"/>
        <v>0</v>
      </c>
    </row>
    <row r="23" spans="1:18" ht="12">
      <c r="A23" s="1396" t="s">
        <v>1419</v>
      </c>
      <c r="B23" s="1427">
        <v>558</v>
      </c>
      <c r="C23" s="1390" t="s">
        <v>2681</v>
      </c>
      <c r="D23" s="1182">
        <v>26658</v>
      </c>
      <c r="E23" s="1524">
        <f>IF(M23&gt;0,$N$190,IFERROR((P23/L23),0))/crop_intensity!$D$7</f>
        <v>7.393799606690898</v>
      </c>
      <c r="F23" s="1446">
        <f t="shared" si="0"/>
        <v>1</v>
      </c>
      <c r="G23" s="1428">
        <f t="shared" si="6"/>
        <v>2.5252766180478901</v>
      </c>
      <c r="H23" s="1392">
        <f t="shared" si="1"/>
        <v>9104.7671920945195</v>
      </c>
      <c r="I23" s="1522"/>
      <c r="J23" s="1454">
        <v>3132</v>
      </c>
      <c r="K23" s="1434">
        <v>1027410</v>
      </c>
      <c r="L23" s="1434">
        <v>137850</v>
      </c>
      <c r="M23" s="1436">
        <v>0</v>
      </c>
      <c r="N23" s="1416">
        <f t="shared" si="2"/>
        <v>1</v>
      </c>
      <c r="O23" s="1391">
        <f t="shared" si="3"/>
        <v>26658</v>
      </c>
      <c r="P23" s="1391">
        <f t="shared" si="4"/>
        <v>1027410</v>
      </c>
      <c r="Q23" s="1499">
        <f>IF(M23&gt;0,$M$190,IFERROR((O23/J23),0))/crop_intensity!$C$7</f>
        <v>9.0633800084070693</v>
      </c>
      <c r="R23" s="1105">
        <f t="shared" si="5"/>
        <v>1.2258081758403774</v>
      </c>
    </row>
    <row r="24" spans="1:18" ht="12">
      <c r="A24" s="1396" t="s">
        <v>3392</v>
      </c>
      <c r="B24" s="1427">
        <v>552</v>
      </c>
      <c r="C24" s="1390" t="s">
        <v>5548</v>
      </c>
      <c r="D24" s="1182">
        <v>239071</v>
      </c>
      <c r="E24" s="1524">
        <f>IF(M24&gt;0,$N$190,IFERROR((P24/L24),0))/crop_intensity!$D$7</f>
        <v>4.6946549930182053</v>
      </c>
      <c r="F24" s="1446">
        <f t="shared" si="0"/>
        <v>1</v>
      </c>
      <c r="G24" s="1428">
        <f t="shared" si="6"/>
        <v>2.5252766180478901</v>
      </c>
      <c r="H24" s="1392">
        <f t="shared" si="1"/>
        <v>128597.39581527667</v>
      </c>
      <c r="I24" s="1522"/>
      <c r="J24" s="1454">
        <v>31584</v>
      </c>
      <c r="K24" s="1434">
        <v>420379</v>
      </c>
      <c r="L24" s="1434">
        <v>88831.703125</v>
      </c>
      <c r="M24" s="1436">
        <v>0</v>
      </c>
      <c r="N24" s="1416">
        <f t="shared" si="2"/>
        <v>1</v>
      </c>
      <c r="O24" s="1391">
        <f t="shared" si="3"/>
        <v>239071</v>
      </c>
      <c r="P24" s="1391">
        <f t="shared" si="4"/>
        <v>420379</v>
      </c>
      <c r="Q24" s="1499">
        <f>IF(M24&gt;0,$M$190,IFERROR((O24/J24),0))/crop_intensity!$C$7</f>
        <v>8.0601689713199409</v>
      </c>
      <c r="R24" s="1105">
        <f t="shared" si="5"/>
        <v>1.7168820676507346</v>
      </c>
    </row>
    <row r="25" spans="1:18" ht="12">
      <c r="A25" s="1396" t="s">
        <v>323</v>
      </c>
      <c r="B25" s="1427">
        <v>216</v>
      </c>
      <c r="C25" s="1390" t="s">
        <v>324</v>
      </c>
      <c r="D25" s="1182"/>
      <c r="E25" s="1524">
        <f>IF(M25&gt;0,$N$190,IFERROR((P25/L25),0))/crop_intensity!$D$7</f>
        <v>0.49163162600394195</v>
      </c>
      <c r="F25" s="1446">
        <f t="shared" si="0"/>
        <v>1</v>
      </c>
      <c r="G25" s="1428">
        <f t="shared" si="6"/>
        <v>2.5252766180478901</v>
      </c>
      <c r="H25" s="1392">
        <f t="shared" si="1"/>
        <v>0</v>
      </c>
      <c r="I25" s="1522"/>
      <c r="J25" s="1454"/>
      <c r="K25" s="1434">
        <v>107620</v>
      </c>
      <c r="L25" s="1434">
        <v>217162</v>
      </c>
      <c r="M25" s="1436">
        <v>0</v>
      </c>
      <c r="N25" s="1416">
        <f t="shared" si="2"/>
        <v>1</v>
      </c>
      <c r="O25" s="1391">
        <f t="shared" si="3"/>
        <v>0</v>
      </c>
      <c r="P25" s="1391">
        <f t="shared" si="4"/>
        <v>107620</v>
      </c>
      <c r="Q25" s="1499">
        <f>IF(M25&gt;0,$M$190,IFERROR((O25/J25),0))/crop_intensity!$C$7</f>
        <v>0</v>
      </c>
      <c r="R25" s="1105">
        <f t="shared" si="5"/>
        <v>0</v>
      </c>
    </row>
    <row r="26" spans="1:18" ht="12">
      <c r="A26" s="1396" t="s">
        <v>3910</v>
      </c>
      <c r="B26" s="1427">
        <v>181</v>
      </c>
      <c r="C26" s="1390" t="s">
        <v>3911</v>
      </c>
      <c r="D26" s="1182"/>
      <c r="E26" s="1524">
        <f>IF(M26&gt;0,$N$190,IFERROR((P26/L26),0))/crop_intensity!$D$7</f>
        <v>1.7765112287225062</v>
      </c>
      <c r="F26" s="1446">
        <f t="shared" si="0"/>
        <v>1</v>
      </c>
      <c r="G26" s="1428">
        <f t="shared" si="6"/>
        <v>2.5252766180478901</v>
      </c>
      <c r="H26" s="1392">
        <f t="shared" si="1"/>
        <v>0</v>
      </c>
      <c r="I26" s="1522"/>
      <c r="J26" s="1454"/>
      <c r="K26" s="1434">
        <v>4334480</v>
      </c>
      <c r="L26" s="1434">
        <v>2420470</v>
      </c>
      <c r="M26" s="1436">
        <v>0</v>
      </c>
      <c r="N26" s="1416">
        <f t="shared" si="2"/>
        <v>1</v>
      </c>
      <c r="O26" s="1391">
        <f t="shared" si="3"/>
        <v>0</v>
      </c>
      <c r="P26" s="1391">
        <f t="shared" si="4"/>
        <v>4334480</v>
      </c>
      <c r="Q26" s="1499">
        <f>IF(M26&gt;0,$M$190,IFERROR((O26/J26),0))/crop_intensity!$C$7</f>
        <v>0</v>
      </c>
      <c r="R26" s="1105">
        <f t="shared" si="5"/>
        <v>0</v>
      </c>
    </row>
    <row r="27" spans="1:18" ht="12">
      <c r="A27" s="1396" t="s">
        <v>3912</v>
      </c>
      <c r="B27" s="1427">
        <v>89</v>
      </c>
      <c r="C27" s="1390" t="s">
        <v>3913</v>
      </c>
      <c r="D27" s="1182">
        <v>81000</v>
      </c>
      <c r="E27" s="1524">
        <f>IF(M27&gt;0,$N$190,IFERROR((P27/L27),0))/crop_intensity!$D$7</f>
        <v>0.98733673686139356</v>
      </c>
      <c r="F27" s="1446">
        <f t="shared" si="0"/>
        <v>1</v>
      </c>
      <c r="G27" s="1428">
        <f t="shared" si="6"/>
        <v>2.5252766180478901</v>
      </c>
      <c r="H27" s="1392">
        <f t="shared" si="1"/>
        <v>207170.86524310531</v>
      </c>
      <c r="I27" s="1522"/>
      <c r="J27" s="1454">
        <v>77500</v>
      </c>
      <c r="K27" s="1434">
        <v>2263480</v>
      </c>
      <c r="L27" s="1434">
        <v>2274270</v>
      </c>
      <c r="M27" s="1436">
        <v>0</v>
      </c>
      <c r="N27" s="1416">
        <f t="shared" si="2"/>
        <v>1</v>
      </c>
      <c r="O27" s="1391">
        <f t="shared" si="3"/>
        <v>81000</v>
      </c>
      <c r="P27" s="1391">
        <f t="shared" si="4"/>
        <v>2263480</v>
      </c>
      <c r="Q27" s="1499">
        <f>IF(M27&gt;0,$M$190,IFERROR((O27/J27),0))/crop_intensity!$C$7</f>
        <v>1.1129296058764937</v>
      </c>
      <c r="R27" s="1105">
        <f t="shared" si="5"/>
        <v>1.1272036827216037</v>
      </c>
    </row>
    <row r="28" spans="1:18" ht="12">
      <c r="A28" s="1396" t="s">
        <v>3914</v>
      </c>
      <c r="B28" s="1427">
        <v>358</v>
      </c>
      <c r="C28" s="1390" t="s">
        <v>3915</v>
      </c>
      <c r="D28" s="1182">
        <v>1239670</v>
      </c>
      <c r="E28" s="1524">
        <f>IF(M28&gt;0,$N$190,IFERROR((P28/L28),0))/crop_intensity!$D$7</f>
        <v>28.991075351394933</v>
      </c>
      <c r="F28" s="1446">
        <f t="shared" si="0"/>
        <v>1</v>
      </c>
      <c r="G28" s="1428">
        <f t="shared" si="6"/>
        <v>2.5252766180478901</v>
      </c>
      <c r="H28" s="1392">
        <f t="shared" si="1"/>
        <v>107981.84017499027</v>
      </c>
      <c r="I28" s="1522"/>
      <c r="J28" s="1454">
        <v>24354</v>
      </c>
      <c r="K28" s="1434">
        <v>71444096</v>
      </c>
      <c r="L28" s="1434">
        <v>2444740</v>
      </c>
      <c r="M28" s="1436">
        <v>0</v>
      </c>
      <c r="N28" s="1416">
        <f t="shared" si="2"/>
        <v>1</v>
      </c>
      <c r="O28" s="1391">
        <f t="shared" si="3"/>
        <v>1239670</v>
      </c>
      <c r="P28" s="1391">
        <f t="shared" si="4"/>
        <v>71444096</v>
      </c>
      <c r="Q28" s="1499">
        <f>IF(M28&gt;0,$M$190,IFERROR((O28/J28),0))/crop_intensity!$C$7</f>
        <v>54.20260618331298</v>
      </c>
      <c r="R28" s="1105">
        <f t="shared" si="5"/>
        <v>1.8696307579603104</v>
      </c>
    </row>
    <row r="29" spans="1:18" ht="12">
      <c r="A29" s="1396" t="s">
        <v>7085</v>
      </c>
      <c r="B29" s="1427">
        <v>644</v>
      </c>
      <c r="C29" s="1390" t="s">
        <v>7099</v>
      </c>
      <c r="D29" s="1182"/>
      <c r="E29" s="1524">
        <f>IF(M29&gt;0,$N$190,IFERROR((P29/L29),0))/crop_intensity!$D$7</f>
        <v>31.065924132316631</v>
      </c>
      <c r="F29" s="1446">
        <f t="shared" si="0"/>
        <v>1</v>
      </c>
      <c r="G29" s="1428">
        <f t="shared" si="6"/>
        <v>2.5252766180478901</v>
      </c>
      <c r="H29" s="1392">
        <f t="shared" si="1"/>
        <v>0</v>
      </c>
      <c r="I29" s="1522"/>
      <c r="J29" s="1454"/>
      <c r="K29" s="1434">
        <v>2345500</v>
      </c>
      <c r="L29" s="1434">
        <v>74900</v>
      </c>
      <c r="M29" s="1436">
        <v>0</v>
      </c>
      <c r="N29" s="1416">
        <f t="shared" si="2"/>
        <v>1</v>
      </c>
      <c r="O29" s="1391">
        <f t="shared" si="3"/>
        <v>0</v>
      </c>
      <c r="P29" s="1391">
        <f t="shared" si="4"/>
        <v>2345500</v>
      </c>
      <c r="Q29" s="1499">
        <f>IF(M29&gt;0,$M$190,IFERROR((O29/J29),0))/crop_intensity!$C$7</f>
        <v>0</v>
      </c>
      <c r="R29" s="1105">
        <f t="shared" si="5"/>
        <v>0</v>
      </c>
    </row>
    <row r="30" spans="1:18" ht="12">
      <c r="A30" s="1396" t="s">
        <v>5612</v>
      </c>
      <c r="B30" s="1427">
        <v>101</v>
      </c>
      <c r="C30" s="1390" t="s">
        <v>5613</v>
      </c>
      <c r="D30" s="1182"/>
      <c r="E30" s="1524">
        <f>IF(M30&gt;0,$N$190,IFERROR((P30/L30),0))/crop_intensity!$D$7</f>
        <v>1.071733228513426</v>
      </c>
      <c r="F30" s="1446">
        <f t="shared" si="0"/>
        <v>1</v>
      </c>
      <c r="G30" s="1428">
        <f t="shared" si="6"/>
        <v>2.5252766180478901</v>
      </c>
      <c r="H30" s="1392">
        <f t="shared" si="1"/>
        <v>0</v>
      </c>
      <c r="I30" s="1522"/>
      <c r="J30" s="1454"/>
      <c r="K30" s="1434">
        <v>229719</v>
      </c>
      <c r="L30" s="1434">
        <v>212638</v>
      </c>
      <c r="M30" s="1436">
        <v>0</v>
      </c>
      <c r="N30" s="1416">
        <f t="shared" si="2"/>
        <v>1</v>
      </c>
      <c r="O30" s="1391">
        <f t="shared" si="3"/>
        <v>0</v>
      </c>
      <c r="P30" s="1391">
        <f t="shared" si="4"/>
        <v>229719</v>
      </c>
      <c r="Q30" s="1499">
        <f>IF(M30&gt;0,$M$190,IFERROR((O30/J30),0))/crop_intensity!$C$7</f>
        <v>0</v>
      </c>
      <c r="R30" s="1105">
        <f t="shared" si="5"/>
        <v>0</v>
      </c>
    </row>
    <row r="31" spans="1:18" ht="12">
      <c r="A31" s="1399" t="s">
        <v>5614</v>
      </c>
      <c r="B31" s="1427">
        <v>461</v>
      </c>
      <c r="C31" s="1390" t="s">
        <v>766</v>
      </c>
      <c r="D31" s="1182"/>
      <c r="E31" s="1524">
        <f>IF(M31&gt;0,$N$190,IFERROR((P31/L31),0))/crop_intensity!$D$7</f>
        <v>1.7550552207676358</v>
      </c>
      <c r="F31" s="1446">
        <f t="shared" si="0"/>
        <v>1</v>
      </c>
      <c r="G31" s="1428">
        <f t="shared" si="6"/>
        <v>2.5252766180478901</v>
      </c>
      <c r="H31" s="1392">
        <f t="shared" si="1"/>
        <v>0</v>
      </c>
      <c r="I31" s="1522"/>
      <c r="J31" s="1454"/>
      <c r="K31" s="1434">
        <v>145389</v>
      </c>
      <c r="L31" s="1434">
        <v>82181</v>
      </c>
      <c r="M31" s="1436">
        <v>0</v>
      </c>
      <c r="N31" s="1416">
        <f t="shared" si="2"/>
        <v>1</v>
      </c>
      <c r="O31" s="1391">
        <f t="shared" si="3"/>
        <v>0</v>
      </c>
      <c r="P31" s="1391">
        <f t="shared" si="4"/>
        <v>145389</v>
      </c>
      <c r="Q31" s="1499">
        <f>IF(M31&gt;0,$M$190,IFERROR((O31/J31),0))/crop_intensity!$C$7</f>
        <v>0</v>
      </c>
      <c r="R31" s="1105">
        <f t="shared" si="5"/>
        <v>0</v>
      </c>
    </row>
    <row r="32" spans="1:18" ht="12">
      <c r="A32" s="1396" t="s">
        <v>767</v>
      </c>
      <c r="B32" s="1427">
        <v>426</v>
      </c>
      <c r="C32" s="1390" t="s">
        <v>4660</v>
      </c>
      <c r="D32" s="1182">
        <v>1290290</v>
      </c>
      <c r="E32" s="1524">
        <f>IF(M32&gt;0,$N$190,IFERROR((P32/L32),0))/crop_intensity!$D$7</f>
        <v>30.700998065453142</v>
      </c>
      <c r="F32" s="1446">
        <f t="shared" si="0"/>
        <v>1</v>
      </c>
      <c r="G32" s="1428">
        <f t="shared" si="6"/>
        <v>2.5252766180478901</v>
      </c>
      <c r="H32" s="1392">
        <f t="shared" si="1"/>
        <v>106131.37594270975</v>
      </c>
      <c r="I32" s="1522"/>
      <c r="J32" s="1454">
        <v>33558</v>
      </c>
      <c r="K32" s="1434">
        <v>37277800</v>
      </c>
      <c r="L32" s="1434">
        <v>1204560</v>
      </c>
      <c r="M32" s="1436">
        <v>0</v>
      </c>
      <c r="N32" s="1416">
        <f t="shared" si="2"/>
        <v>1</v>
      </c>
      <c r="O32" s="1391">
        <f t="shared" si="3"/>
        <v>1290290</v>
      </c>
      <c r="P32" s="1391">
        <f t="shared" si="4"/>
        <v>37277800</v>
      </c>
      <c r="Q32" s="1499">
        <f>IF(M32&gt;0,$M$190,IFERROR((O32/J32),0))/crop_intensity!$C$7</f>
        <v>40.942620971833009</v>
      </c>
      <c r="R32" s="1105">
        <f t="shared" si="5"/>
        <v>1.333592506815094</v>
      </c>
    </row>
    <row r="33" spans="1:18" ht="12">
      <c r="A33" s="1396" t="s">
        <v>7086</v>
      </c>
      <c r="B33" s="1427">
        <v>648</v>
      </c>
      <c r="C33" s="1390" t="s">
        <v>7100</v>
      </c>
      <c r="D33" s="1182"/>
      <c r="E33" s="1524">
        <f>IF(M33&gt;0,$N$190,IFERROR((P33/L33),0))/crop_intensity!$D$7</f>
        <v>33.651667158164294</v>
      </c>
      <c r="F33" s="1446">
        <f t="shared" si="0"/>
        <v>1</v>
      </c>
      <c r="G33" s="1428">
        <f t="shared" si="6"/>
        <v>2.5252766180478901</v>
      </c>
      <c r="H33" s="1392">
        <f t="shared" si="1"/>
        <v>0</v>
      </c>
      <c r="I33" s="1522"/>
      <c r="J33" s="1454"/>
      <c r="K33" s="1434">
        <v>8650</v>
      </c>
      <c r="L33" s="1434">
        <v>255</v>
      </c>
      <c r="M33" s="1436">
        <v>0</v>
      </c>
      <c r="N33" s="1416">
        <f t="shared" si="2"/>
        <v>1</v>
      </c>
      <c r="O33" s="1391">
        <f t="shared" si="3"/>
        <v>0</v>
      </c>
      <c r="P33" s="1391">
        <f t="shared" si="4"/>
        <v>8650</v>
      </c>
      <c r="Q33" s="1499">
        <f>IF(M33&gt;0,$M$190,IFERROR((O33/J33),0))/crop_intensity!$C$7</f>
        <v>0</v>
      </c>
      <c r="R33" s="1105">
        <f t="shared" si="5"/>
        <v>0</v>
      </c>
    </row>
    <row r="34" spans="1:18" ht="12">
      <c r="A34" s="1396" t="s">
        <v>4661</v>
      </c>
      <c r="B34" s="1427">
        <v>217</v>
      </c>
      <c r="C34" s="1390" t="s">
        <v>5480</v>
      </c>
      <c r="D34" s="1182"/>
      <c r="E34" s="1524">
        <f>IF(M34&gt;0,$N$190,IFERROR((P34/L34),0))/crop_intensity!$D$7</f>
        <v>0.80715132795187461</v>
      </c>
      <c r="F34" s="1446">
        <f t="shared" si="0"/>
        <v>1</v>
      </c>
      <c r="G34" s="1428">
        <f t="shared" si="6"/>
        <v>2.5252766180478901</v>
      </c>
      <c r="H34" s="1392">
        <f t="shared" si="1"/>
        <v>0</v>
      </c>
      <c r="I34" s="1522"/>
      <c r="J34" s="1454"/>
      <c r="K34" s="1434">
        <v>4439960</v>
      </c>
      <c r="L34" s="1434">
        <v>5457010</v>
      </c>
      <c r="M34" s="1436">
        <v>0</v>
      </c>
      <c r="N34" s="1416">
        <f t="shared" si="2"/>
        <v>1</v>
      </c>
      <c r="O34" s="1391">
        <f t="shared" si="3"/>
        <v>0</v>
      </c>
      <c r="P34" s="1391">
        <f t="shared" si="4"/>
        <v>4439960</v>
      </c>
      <c r="Q34" s="1499">
        <f>IF(M34&gt;0,$M$190,IFERROR((O34/J34),0))/crop_intensity!$C$7</f>
        <v>0</v>
      </c>
      <c r="R34" s="1105">
        <f t="shared" si="5"/>
        <v>0</v>
      </c>
    </row>
    <row r="35" spans="1:18" ht="12">
      <c r="A35" s="1396" t="s">
        <v>4662</v>
      </c>
      <c r="B35" s="1427">
        <v>591</v>
      </c>
      <c r="C35" s="1390" t="s">
        <v>4663</v>
      </c>
      <c r="D35" s="1182"/>
      <c r="E35" s="1524">
        <f>IF(M35&gt;0,$N$190,IFERROR((P35/L35),0))/crop_intensity!$D$7</f>
        <v>2.8620531416036692</v>
      </c>
      <c r="F35" s="1446">
        <f t="shared" si="0"/>
        <v>1</v>
      </c>
      <c r="G35" s="1428">
        <f t="shared" si="6"/>
        <v>2.5252766180478901</v>
      </c>
      <c r="H35" s="1392">
        <f t="shared" si="1"/>
        <v>0</v>
      </c>
      <c r="I35" s="1522"/>
      <c r="J35" s="1454"/>
      <c r="K35" s="1434">
        <v>2001910</v>
      </c>
      <c r="L35" s="1434">
        <v>693901</v>
      </c>
      <c r="M35" s="1436">
        <v>0</v>
      </c>
      <c r="N35" s="1416">
        <f t="shared" si="2"/>
        <v>1</v>
      </c>
      <c r="O35" s="1391">
        <f t="shared" si="3"/>
        <v>0</v>
      </c>
      <c r="P35" s="1391">
        <f t="shared" si="4"/>
        <v>2001910</v>
      </c>
      <c r="Q35" s="1499">
        <f>IF(M35&gt;0,$M$190,IFERROR((O35/J35),0))/crop_intensity!$C$7</f>
        <v>0</v>
      </c>
      <c r="R35" s="1105">
        <f t="shared" si="5"/>
        <v>0</v>
      </c>
    </row>
    <row r="36" spans="1:18" ht="12">
      <c r="A36" s="1396" t="s">
        <v>4664</v>
      </c>
      <c r="B36" s="1427">
        <v>125</v>
      </c>
      <c r="C36" s="1390" t="s">
        <v>5481</v>
      </c>
      <c r="D36" s="1182"/>
      <c r="E36" s="1524">
        <f>IF(M36&gt;0,$N$190,IFERROR((P36/L36),0))/crop_intensity!$D$7</f>
        <v>10.916940120483599</v>
      </c>
      <c r="F36" s="1446">
        <f t="shared" si="0"/>
        <v>1</v>
      </c>
      <c r="G36" s="1428">
        <f t="shared" si="6"/>
        <v>2.5252766180478901</v>
      </c>
      <c r="H36" s="1392">
        <f t="shared" si="1"/>
        <v>0</v>
      </c>
      <c r="I36" s="1522"/>
      <c r="J36" s="1454"/>
      <c r="K36" s="1434">
        <v>263440000</v>
      </c>
      <c r="L36" s="1434">
        <v>23939300</v>
      </c>
      <c r="M36" s="1436">
        <v>0</v>
      </c>
      <c r="N36" s="1416">
        <f t="shared" si="2"/>
        <v>1</v>
      </c>
      <c r="O36" s="1391">
        <f t="shared" si="3"/>
        <v>0</v>
      </c>
      <c r="P36" s="1391">
        <f t="shared" si="4"/>
        <v>263440000</v>
      </c>
      <c r="Q36" s="1499">
        <f>IF(M36&gt;0,$M$190,IFERROR((O36/J36),0))/crop_intensity!$C$7</f>
        <v>0</v>
      </c>
      <c r="R36" s="1105">
        <f t="shared" si="5"/>
        <v>0</v>
      </c>
    </row>
    <row r="37" spans="1:18" ht="12">
      <c r="A37" s="1396" t="s">
        <v>3879</v>
      </c>
      <c r="B37" s="1427">
        <v>265</v>
      </c>
      <c r="C37" s="1390" t="s">
        <v>5482</v>
      </c>
      <c r="D37" s="1182"/>
      <c r="E37" s="1524">
        <f>IF(M37&gt;0,$N$190,IFERROR((P37/L37),0))/crop_intensity!$D$7</f>
        <v>1.2260497781534769</v>
      </c>
      <c r="F37" s="1446">
        <f t="shared" si="0"/>
        <v>1</v>
      </c>
      <c r="G37" s="1428">
        <f t="shared" si="6"/>
        <v>2.5252766180478901</v>
      </c>
      <c r="H37" s="1392">
        <f t="shared" si="1"/>
        <v>0</v>
      </c>
      <c r="I37" s="1522"/>
      <c r="J37" s="1454"/>
      <c r="K37" s="1434">
        <v>1844840</v>
      </c>
      <c r="L37" s="1434">
        <v>1492730</v>
      </c>
      <c r="M37" s="1436">
        <v>0</v>
      </c>
      <c r="N37" s="1416">
        <f t="shared" si="2"/>
        <v>1</v>
      </c>
      <c r="O37" s="1391">
        <f t="shared" si="3"/>
        <v>0</v>
      </c>
      <c r="P37" s="1391">
        <f t="shared" si="4"/>
        <v>1844840</v>
      </c>
      <c r="Q37" s="1499">
        <f>IF(M37&gt;0,$M$190,IFERROR((O37/J37),0))/crop_intensity!$C$7</f>
        <v>0</v>
      </c>
      <c r="R37" s="1105">
        <f t="shared" si="5"/>
        <v>0</v>
      </c>
    </row>
    <row r="38" spans="1:18" ht="12">
      <c r="A38" s="1396" t="s">
        <v>3880</v>
      </c>
      <c r="B38" s="1427">
        <v>393</v>
      </c>
      <c r="C38" s="1390" t="s">
        <v>3881</v>
      </c>
      <c r="D38" s="1182">
        <v>288740</v>
      </c>
      <c r="E38" s="1524">
        <f>IF(M38&gt;0,$N$190,IFERROR((P38/L38),0))/crop_intensity!$D$7</f>
        <v>17.667241513792462</v>
      </c>
      <c r="F38" s="1446">
        <f t="shared" ref="F38:F68" si="7">VLOOKUP("Crop Land",iyf,2,FALSE)</f>
        <v>1</v>
      </c>
      <c r="G38" s="1428">
        <f t="shared" si="6"/>
        <v>2.5252766180478901</v>
      </c>
      <c r="H38" s="1392">
        <f t="shared" si="1"/>
        <v>41271.206380798962</v>
      </c>
      <c r="I38" s="1522"/>
      <c r="J38" s="1454">
        <v>14092</v>
      </c>
      <c r="K38" s="1434">
        <v>22281300</v>
      </c>
      <c r="L38" s="1434">
        <v>1251130</v>
      </c>
      <c r="M38" s="1436">
        <v>0</v>
      </c>
      <c r="N38" s="1416">
        <f t="shared" si="2"/>
        <v>1</v>
      </c>
      <c r="O38" s="1391">
        <f t="shared" si="3"/>
        <v>288740</v>
      </c>
      <c r="P38" s="1391">
        <f t="shared" si="4"/>
        <v>22281300</v>
      </c>
      <c r="Q38" s="1499">
        <f>IF(M38&gt;0,$M$190,IFERROR((O38/J38),0))/crop_intensity!$C$7</f>
        <v>21.818188864762032</v>
      </c>
      <c r="R38" s="1105">
        <f t="shared" si="5"/>
        <v>1.2349516390393491</v>
      </c>
    </row>
    <row r="39" spans="1:18" ht="12">
      <c r="A39" s="1396" t="s">
        <v>1940</v>
      </c>
      <c r="B39" s="1427">
        <v>108</v>
      </c>
      <c r="C39" s="1390" t="s">
        <v>3191</v>
      </c>
      <c r="D39" s="1182"/>
      <c r="E39" s="1524">
        <f>IF(M39&gt;0,$N$190,IFERROR((P39/L39),0))/crop_intensity!$D$7</f>
        <v>2.7231473712508003</v>
      </c>
      <c r="F39" s="1446">
        <f t="shared" si="7"/>
        <v>1</v>
      </c>
      <c r="G39" s="1428">
        <f t="shared" si="6"/>
        <v>2.5252766180478901</v>
      </c>
      <c r="H39" s="1392">
        <f t="shared" ref="H39:H70" si="8">IFERROR((O39/E39)*G39*F39,0)</f>
        <v>0</v>
      </c>
      <c r="I39" s="1522"/>
      <c r="J39" s="1454"/>
      <c r="K39" s="1434">
        <v>6422060</v>
      </c>
      <c r="L39" s="1434">
        <v>4173060</v>
      </c>
      <c r="M39" s="1436">
        <v>1</v>
      </c>
      <c r="N39" s="1416">
        <f t="shared" ref="N39:N70" si="9">VLOOKUP(B39,constant_crop_factor,3,FALSE)</f>
        <v>1</v>
      </c>
      <c r="O39" s="1391">
        <f t="shared" ref="O39:O70" si="10">D39*N39</f>
        <v>0</v>
      </c>
      <c r="P39" s="1391">
        <f t="shared" ref="P39:P70" si="11">K39*N39</f>
        <v>6422060</v>
      </c>
      <c r="Q39" s="1499">
        <f>IF(M39&gt;0,$M$190,IFERROR((O39/J39),0))/crop_intensity!$C$7</f>
        <v>3.5000333108720874</v>
      </c>
      <c r="R39" s="1105">
        <f t="shared" ref="R39:R70" si="12">IFERROR(Q39/E39,0)</f>
        <v>1.2852897157983949</v>
      </c>
    </row>
    <row r="40" spans="1:18" ht="12">
      <c r="A40" s="1396" t="s">
        <v>3882</v>
      </c>
      <c r="B40" s="1427">
        <v>531</v>
      </c>
      <c r="C40" s="1390" t="s">
        <v>3883</v>
      </c>
      <c r="D40" s="1182">
        <v>301205</v>
      </c>
      <c r="E40" s="1524">
        <f>IF(M40&gt;0,$N$190,IFERROR((P40/L40),0))/crop_intensity!$D$7</f>
        <v>5.6184667699775179</v>
      </c>
      <c r="F40" s="1446">
        <f t="shared" si="7"/>
        <v>1</v>
      </c>
      <c r="G40" s="1428">
        <f t="shared" ref="G40:G71" si="13">$G$7</f>
        <v>2.5252766180478901</v>
      </c>
      <c r="H40" s="1392">
        <f t="shared" si="8"/>
        <v>135379.62844303844</v>
      </c>
      <c r="I40" s="1522"/>
      <c r="J40" s="1454">
        <v>36040</v>
      </c>
      <c r="K40" s="1434">
        <v>2294460</v>
      </c>
      <c r="L40" s="1434">
        <v>405129</v>
      </c>
      <c r="M40" s="1436">
        <v>0</v>
      </c>
      <c r="N40" s="1416">
        <f t="shared" si="9"/>
        <v>1</v>
      </c>
      <c r="O40" s="1391">
        <f t="shared" si="10"/>
        <v>301205</v>
      </c>
      <c r="P40" s="1391">
        <f t="shared" si="11"/>
        <v>2294460</v>
      </c>
      <c r="Q40" s="1499">
        <f>IF(M40&gt;0,$M$190,IFERROR((O40/J40),0))/crop_intensity!$C$7</f>
        <v>8.8994214419497073</v>
      </c>
      <c r="R40" s="1105">
        <f t="shared" si="12"/>
        <v>1.5839590775020849</v>
      </c>
    </row>
    <row r="41" spans="1:18" ht="12">
      <c r="A41" s="1396" t="s">
        <v>3884</v>
      </c>
      <c r="B41" s="1427">
        <v>220</v>
      </c>
      <c r="C41" s="1390" t="s">
        <v>1420</v>
      </c>
      <c r="D41" s="1182"/>
      <c r="E41" s="1524">
        <f>IF(M41&gt;0,$N$190,IFERROR((P41/L41),0))/crop_intensity!$D$7</f>
        <v>3.6042720147650722</v>
      </c>
      <c r="F41" s="1446">
        <f t="shared" si="7"/>
        <v>1</v>
      </c>
      <c r="G41" s="1428">
        <f t="shared" si="13"/>
        <v>2.5252766180478901</v>
      </c>
      <c r="H41" s="1392">
        <f t="shared" si="8"/>
        <v>0</v>
      </c>
      <c r="I41" s="1522"/>
      <c r="J41" s="1454"/>
      <c r="K41" s="1434">
        <v>2009490</v>
      </c>
      <c r="L41" s="1434">
        <v>553094</v>
      </c>
      <c r="M41" s="1436">
        <v>0</v>
      </c>
      <c r="N41" s="1416">
        <f t="shared" si="9"/>
        <v>1</v>
      </c>
      <c r="O41" s="1391">
        <f t="shared" si="10"/>
        <v>0</v>
      </c>
      <c r="P41" s="1391">
        <f t="shared" si="11"/>
        <v>2009490</v>
      </c>
      <c r="Q41" s="1499">
        <f>IF(M41&gt;0,$M$190,IFERROR((O41/J41),0))/crop_intensity!$C$7</f>
        <v>0</v>
      </c>
      <c r="R41" s="1105">
        <f t="shared" si="12"/>
        <v>0</v>
      </c>
    </row>
    <row r="42" spans="1:18" ht="12">
      <c r="A42" s="1396" t="s">
        <v>2630</v>
      </c>
      <c r="B42" s="1427">
        <v>191</v>
      </c>
      <c r="C42" s="1390" t="s">
        <v>1650</v>
      </c>
      <c r="D42" s="1182">
        <v>161434</v>
      </c>
      <c r="E42" s="1524">
        <f>IF(M42&gt;0,$N$190,IFERROR((P42/L42),0))/crop_intensity!$D$7</f>
        <v>0.96330913584344435</v>
      </c>
      <c r="F42" s="1446">
        <f t="shared" si="7"/>
        <v>1</v>
      </c>
      <c r="G42" s="1428">
        <f t="shared" si="13"/>
        <v>2.5252766180478901</v>
      </c>
      <c r="H42" s="1392">
        <f t="shared" si="8"/>
        <v>423192.81566971075</v>
      </c>
      <c r="I42" s="1522"/>
      <c r="J42" s="1454">
        <v>88464</v>
      </c>
      <c r="K42" s="1434">
        <v>13319400</v>
      </c>
      <c r="L42" s="1434">
        <v>13716700</v>
      </c>
      <c r="M42" s="1436">
        <v>0</v>
      </c>
      <c r="N42" s="1416">
        <f t="shared" si="9"/>
        <v>1</v>
      </c>
      <c r="O42" s="1391">
        <f t="shared" si="10"/>
        <v>161434</v>
      </c>
      <c r="P42" s="1391">
        <f t="shared" si="11"/>
        <v>13319400</v>
      </c>
      <c r="Q42" s="1499">
        <f>IF(M42&gt;0,$M$190,IFERROR((O42/J42),0))/crop_intensity!$C$7</f>
        <v>1.9431790269456899</v>
      </c>
      <c r="R42" s="1105">
        <f t="shared" si="12"/>
        <v>2.017191527249766</v>
      </c>
    </row>
    <row r="43" spans="1:18" ht="12">
      <c r="A43" s="1396" t="s">
        <v>4652</v>
      </c>
      <c r="B43" s="1427">
        <v>459</v>
      </c>
      <c r="C43" s="1390" t="s">
        <v>4653</v>
      </c>
      <c r="D43" s="1182"/>
      <c r="E43" s="1524">
        <f>IF(M43&gt;0,$N$190,IFERROR((P43/L43),0))/crop_intensity!$D$7</f>
        <v>26.035088524680226</v>
      </c>
      <c r="F43" s="1446">
        <f t="shared" si="7"/>
        <v>1</v>
      </c>
      <c r="G43" s="1428">
        <f t="shared" si="13"/>
        <v>2.5252766180478901</v>
      </c>
      <c r="H43" s="1392">
        <f t="shared" si="8"/>
        <v>0</v>
      </c>
      <c r="I43" s="1522"/>
      <c r="J43" s="1454"/>
      <c r="K43" s="1434">
        <v>498209</v>
      </c>
      <c r="L43" s="1434">
        <v>18983.80078125</v>
      </c>
      <c r="M43" s="1436">
        <v>0</v>
      </c>
      <c r="N43" s="1416">
        <f t="shared" si="9"/>
        <v>1</v>
      </c>
      <c r="O43" s="1391">
        <f t="shared" si="10"/>
        <v>0</v>
      </c>
      <c r="P43" s="1391">
        <f t="shared" si="11"/>
        <v>498209</v>
      </c>
      <c r="Q43" s="1499">
        <f>IF(M43&gt;0,$M$190,IFERROR((O43/J43),0))/crop_intensity!$C$7</f>
        <v>0</v>
      </c>
      <c r="R43" s="1105">
        <f t="shared" si="12"/>
        <v>0</v>
      </c>
    </row>
    <row r="44" spans="1:18" ht="12">
      <c r="A44" s="1396" t="s">
        <v>2631</v>
      </c>
      <c r="B44" s="1427">
        <v>689</v>
      </c>
      <c r="C44" s="1390" t="s">
        <v>2632</v>
      </c>
      <c r="D44" s="1182">
        <v>0</v>
      </c>
      <c r="E44" s="1524">
        <f>IF(M44&gt;0,$N$190,IFERROR((P44/L44),0))/crop_intensity!$D$7</f>
        <v>1.7345982345579045</v>
      </c>
      <c r="F44" s="1446">
        <f t="shared" si="7"/>
        <v>1</v>
      </c>
      <c r="G44" s="1428">
        <f t="shared" si="13"/>
        <v>2.5252766180478901</v>
      </c>
      <c r="H44" s="1392">
        <f t="shared" si="8"/>
        <v>0</v>
      </c>
      <c r="I44" s="1522"/>
      <c r="J44" s="1454">
        <v>0</v>
      </c>
      <c r="K44" s="1434">
        <v>3477630</v>
      </c>
      <c r="L44" s="1434">
        <v>1988910</v>
      </c>
      <c r="M44" s="1436">
        <v>0</v>
      </c>
      <c r="N44" s="1416">
        <f t="shared" si="9"/>
        <v>1</v>
      </c>
      <c r="O44" s="1391">
        <f t="shared" si="10"/>
        <v>0</v>
      </c>
      <c r="P44" s="1391">
        <f t="shared" si="11"/>
        <v>3477630</v>
      </c>
      <c r="Q44" s="1499">
        <f>IF(M44&gt;0,$M$190,IFERROR((O44/J44),0))/crop_intensity!$C$7</f>
        <v>0</v>
      </c>
      <c r="R44" s="1105">
        <f t="shared" si="12"/>
        <v>0</v>
      </c>
    </row>
    <row r="45" spans="1:18" ht="12">
      <c r="A45" s="1396" t="s">
        <v>2633</v>
      </c>
      <c r="B45" s="1427">
        <v>401</v>
      </c>
      <c r="C45" s="1390" t="s">
        <v>2634</v>
      </c>
      <c r="D45" s="1182">
        <v>889269</v>
      </c>
      <c r="E45" s="1524">
        <f>IF(M45&gt;0,$N$190,IFERROR((P45/L45),0))/crop_intensity!$D$7</f>
        <v>15.946954268336334</v>
      </c>
      <c r="F45" s="1446">
        <f t="shared" si="7"/>
        <v>1</v>
      </c>
      <c r="G45" s="1428">
        <f t="shared" si="13"/>
        <v>2.5252766180478901</v>
      </c>
      <c r="H45" s="1392">
        <f t="shared" si="8"/>
        <v>140820.00707268011</v>
      </c>
      <c r="I45" s="1522"/>
      <c r="J45" s="1454">
        <v>28814</v>
      </c>
      <c r="K45" s="1434">
        <v>31172200</v>
      </c>
      <c r="L45" s="1434">
        <v>1939190</v>
      </c>
      <c r="M45" s="1436">
        <v>0</v>
      </c>
      <c r="N45" s="1416">
        <f t="shared" si="9"/>
        <v>1</v>
      </c>
      <c r="O45" s="1391">
        <f t="shared" si="10"/>
        <v>889269</v>
      </c>
      <c r="P45" s="1391">
        <f t="shared" si="11"/>
        <v>31172200</v>
      </c>
      <c r="Q45" s="1499">
        <f>IF(M45&gt;0,$M$190,IFERROR((O45/J45),0))/crop_intensity!$C$7</f>
        <v>32.863512558981625</v>
      </c>
      <c r="R45" s="1105">
        <f t="shared" si="12"/>
        <v>2.0608018312458678</v>
      </c>
    </row>
    <row r="46" spans="1:18" ht="12">
      <c r="A46" s="1396" t="s">
        <v>2635</v>
      </c>
      <c r="B46" s="1427">
        <v>693</v>
      </c>
      <c r="C46" s="1390" t="s">
        <v>2636</v>
      </c>
      <c r="D46" s="1182"/>
      <c r="E46" s="1524">
        <f>IF(M46&gt;0,$N$190,IFERROR((P46/L46),0))/crop_intensity!$D$7</f>
        <v>0.85769306300664994</v>
      </c>
      <c r="F46" s="1446">
        <f t="shared" si="7"/>
        <v>1</v>
      </c>
      <c r="G46" s="1428">
        <f t="shared" si="13"/>
        <v>2.5252766180478901</v>
      </c>
      <c r="H46" s="1392">
        <f t="shared" si="8"/>
        <v>0</v>
      </c>
      <c r="I46" s="1522"/>
      <c r="J46" s="1454"/>
      <c r="K46" s="1434">
        <v>199647</v>
      </c>
      <c r="L46" s="1434">
        <v>230920</v>
      </c>
      <c r="M46" s="1436">
        <v>0</v>
      </c>
      <c r="N46" s="1416">
        <f t="shared" si="9"/>
        <v>1</v>
      </c>
      <c r="O46" s="1391">
        <f t="shared" si="10"/>
        <v>0</v>
      </c>
      <c r="P46" s="1391">
        <f t="shared" si="11"/>
        <v>199647</v>
      </c>
      <c r="Q46" s="1499">
        <f>IF(M46&gt;0,$M$190,IFERROR((O46/J46),0))/crop_intensity!$C$7</f>
        <v>0</v>
      </c>
      <c r="R46" s="1105">
        <f t="shared" si="12"/>
        <v>0</v>
      </c>
    </row>
    <row r="47" spans="1:18" ht="12">
      <c r="A47" s="1396" t="s">
        <v>1942</v>
      </c>
      <c r="B47" s="1427">
        <v>512</v>
      </c>
      <c r="C47" s="1390" t="s">
        <v>5485</v>
      </c>
      <c r="D47" s="1182">
        <v>37176</v>
      </c>
      <c r="E47" s="1524">
        <f>IF(M47&gt;0,$N$190,IFERROR((P47/L47),0))/crop_intensity!$D$7</f>
        <v>8.6533843116112443</v>
      </c>
      <c r="F47" s="1446">
        <f t="shared" si="7"/>
        <v>1</v>
      </c>
      <c r="G47" s="1428">
        <f t="shared" si="13"/>
        <v>2.5252766180478901</v>
      </c>
      <c r="H47" s="1392">
        <f t="shared" si="8"/>
        <v>10848.897977012202</v>
      </c>
      <c r="I47" s="1522"/>
      <c r="J47" s="1454">
        <v>1636</v>
      </c>
      <c r="K47" s="1434">
        <v>11992700</v>
      </c>
      <c r="L47" s="1434">
        <v>1374870</v>
      </c>
      <c r="M47" s="1436">
        <v>0</v>
      </c>
      <c r="N47" s="1416">
        <f t="shared" si="9"/>
        <v>1</v>
      </c>
      <c r="O47" s="1391">
        <f t="shared" si="10"/>
        <v>37176</v>
      </c>
      <c r="P47" s="1391">
        <f t="shared" si="11"/>
        <v>11992700</v>
      </c>
      <c r="Q47" s="1499">
        <f>IF(M47&gt;0,$M$190,IFERROR((O47/J47),0))/crop_intensity!$C$7</f>
        <v>24.197123401513785</v>
      </c>
      <c r="R47" s="1105">
        <f t="shared" si="12"/>
        <v>2.7962612695989604</v>
      </c>
    </row>
    <row r="48" spans="1:18" ht="12">
      <c r="A48" s="1396" t="s">
        <v>2637</v>
      </c>
      <c r="B48" s="1427">
        <v>640</v>
      </c>
      <c r="C48" s="1390" t="s">
        <v>2638</v>
      </c>
      <c r="D48" s="1182"/>
      <c r="E48" s="1524">
        <f>IF(M48&gt;0,$N$190,IFERROR((P48/L48),0))/crop_intensity!$D$7</f>
        <v>33.224614611079616</v>
      </c>
      <c r="F48" s="1446">
        <f t="shared" si="7"/>
        <v>1</v>
      </c>
      <c r="G48" s="1428">
        <f t="shared" si="13"/>
        <v>2.5252766180478901</v>
      </c>
      <c r="H48" s="1392">
        <f t="shared" si="8"/>
        <v>0</v>
      </c>
      <c r="I48" s="1522"/>
      <c r="J48" s="1454"/>
      <c r="K48" s="1434">
        <v>86800200</v>
      </c>
      <c r="L48" s="1434">
        <v>2591740</v>
      </c>
      <c r="M48" s="1436">
        <v>0</v>
      </c>
      <c r="N48" s="1416">
        <f t="shared" si="9"/>
        <v>1</v>
      </c>
      <c r="O48" s="1391">
        <f t="shared" si="10"/>
        <v>0</v>
      </c>
      <c r="P48" s="1391">
        <f t="shared" si="11"/>
        <v>86800200</v>
      </c>
      <c r="Q48" s="1499">
        <f>IF(M48&gt;0,$M$190,IFERROR((O48/J48),0))/crop_intensity!$C$7</f>
        <v>0</v>
      </c>
      <c r="R48" s="1105">
        <f t="shared" si="12"/>
        <v>0</v>
      </c>
    </row>
    <row r="49" spans="1:18" ht="12">
      <c r="A49" s="1396" t="s">
        <v>2639</v>
      </c>
      <c r="B49" s="1427">
        <v>698</v>
      </c>
      <c r="C49" s="1390" t="s">
        <v>3345</v>
      </c>
      <c r="D49" s="1182"/>
      <c r="E49" s="1524">
        <f>IF(M49&gt;0,$N$190,IFERROR((P49/L49),0))/crop_intensity!$D$7</f>
        <v>0.31225965565927488</v>
      </c>
      <c r="F49" s="1446">
        <f t="shared" si="7"/>
        <v>1</v>
      </c>
      <c r="G49" s="1428">
        <f t="shared" si="13"/>
        <v>2.5252766180478901</v>
      </c>
      <c r="H49" s="1392">
        <f t="shared" si="8"/>
        <v>0</v>
      </c>
      <c r="I49" s="1522"/>
      <c r="J49" s="1454"/>
      <c r="K49" s="1434">
        <v>137398</v>
      </c>
      <c r="L49" s="1434">
        <v>436511</v>
      </c>
      <c r="M49" s="1436">
        <v>0</v>
      </c>
      <c r="N49" s="1416">
        <f t="shared" si="9"/>
        <v>1</v>
      </c>
      <c r="O49" s="1391">
        <f t="shared" si="10"/>
        <v>0</v>
      </c>
      <c r="P49" s="1391">
        <f t="shared" si="11"/>
        <v>137398</v>
      </c>
      <c r="Q49" s="1499">
        <f>IF(M49&gt;0,$M$190,IFERROR((O49/J49),0))/crop_intensity!$C$7</f>
        <v>0</v>
      </c>
      <c r="R49" s="1105">
        <f t="shared" si="12"/>
        <v>0</v>
      </c>
    </row>
    <row r="50" spans="1:18" ht="12">
      <c r="A50" s="1396" t="s">
        <v>3346</v>
      </c>
      <c r="B50" s="1427">
        <v>661</v>
      </c>
      <c r="C50" s="1390" t="s">
        <v>3648</v>
      </c>
      <c r="D50" s="1182"/>
      <c r="E50" s="1524">
        <f>IF(M50&gt;0,$N$190,IFERROR((P50/L50),0))/crop_intensity!$D$7</f>
        <v>0.45433852304233202</v>
      </c>
      <c r="F50" s="1446">
        <f t="shared" si="7"/>
        <v>1</v>
      </c>
      <c r="G50" s="1428">
        <f t="shared" si="13"/>
        <v>2.5252766180478901</v>
      </c>
      <c r="H50" s="1392">
        <f t="shared" si="8"/>
        <v>0</v>
      </c>
      <c r="I50" s="1522"/>
      <c r="J50" s="1454"/>
      <c r="K50" s="1434">
        <v>4585550</v>
      </c>
      <c r="L50" s="1434">
        <v>10012500</v>
      </c>
      <c r="M50" s="1436">
        <v>0</v>
      </c>
      <c r="N50" s="1416">
        <f t="shared" si="9"/>
        <v>1</v>
      </c>
      <c r="O50" s="1391">
        <f t="shared" si="10"/>
        <v>0</v>
      </c>
      <c r="P50" s="1391">
        <f t="shared" si="11"/>
        <v>4585550</v>
      </c>
      <c r="Q50" s="1499">
        <f>IF(M50&gt;0,$M$190,IFERROR((O50/J50),0))/crop_intensity!$C$7</f>
        <v>0</v>
      </c>
      <c r="R50" s="1105">
        <f t="shared" si="12"/>
        <v>0</v>
      </c>
    </row>
    <row r="51" spans="1:18" ht="12">
      <c r="A51" s="1396" t="s">
        <v>902</v>
      </c>
      <c r="B51" s="1427">
        <v>249</v>
      </c>
      <c r="C51" s="1390" t="s">
        <v>3649</v>
      </c>
      <c r="D51" s="1182"/>
      <c r="E51" s="1524">
        <f>IF(M51&gt;0,$N$190,IFERROR((P51/L51),0))/crop_intensity!$D$7</f>
        <v>5.116827112199843</v>
      </c>
      <c r="F51" s="1446">
        <f t="shared" si="7"/>
        <v>1</v>
      </c>
      <c r="G51" s="1428">
        <f t="shared" si="13"/>
        <v>2.5252766180478901</v>
      </c>
      <c r="H51" s="1392">
        <f t="shared" si="8"/>
        <v>0</v>
      </c>
      <c r="I51" s="1522"/>
      <c r="J51" s="1454"/>
      <c r="K51" s="1434">
        <v>62185300</v>
      </c>
      <c r="L51" s="1434">
        <v>12056400</v>
      </c>
      <c r="M51" s="1436">
        <v>0</v>
      </c>
      <c r="N51" s="1416">
        <f t="shared" si="9"/>
        <v>1</v>
      </c>
      <c r="O51" s="1391">
        <f t="shared" si="10"/>
        <v>0</v>
      </c>
      <c r="P51" s="1391">
        <f t="shared" si="11"/>
        <v>62185300</v>
      </c>
      <c r="Q51" s="1499">
        <f>IF(M51&gt;0,$M$190,IFERROR((O51/J51),0))/crop_intensity!$C$7</f>
        <v>0</v>
      </c>
      <c r="R51" s="1105">
        <f t="shared" si="12"/>
        <v>0</v>
      </c>
    </row>
    <row r="52" spans="1:18" ht="12">
      <c r="A52" s="1396" t="s">
        <v>903</v>
      </c>
      <c r="B52" s="1427">
        <v>656</v>
      </c>
      <c r="C52" s="1390" t="s">
        <v>3650</v>
      </c>
      <c r="D52" s="1182">
        <v>3175</v>
      </c>
      <c r="E52" s="1524">
        <f>IF(M52&gt;0,$N$190,IFERROR((P52/L52),0))/crop_intensity!$D$7</f>
        <v>0.8725263389670167</v>
      </c>
      <c r="F52" s="1446">
        <f t="shared" si="7"/>
        <v>1</v>
      </c>
      <c r="G52" s="1428">
        <f t="shared" si="13"/>
        <v>2.5252766180478901</v>
      </c>
      <c r="H52" s="1392">
        <f t="shared" si="8"/>
        <v>9189.1246191997634</v>
      </c>
      <c r="I52" s="1522"/>
      <c r="J52" s="1454">
        <v>2954</v>
      </c>
      <c r="K52" s="1434">
        <v>8920840</v>
      </c>
      <c r="L52" s="1434">
        <v>10142800</v>
      </c>
      <c r="M52" s="1436">
        <v>0</v>
      </c>
      <c r="N52" s="1416">
        <f t="shared" si="9"/>
        <v>1</v>
      </c>
      <c r="O52" s="1391">
        <f t="shared" si="10"/>
        <v>3175</v>
      </c>
      <c r="P52" s="1391">
        <f t="shared" si="11"/>
        <v>8920840</v>
      </c>
      <c r="Q52" s="1499">
        <f>IF(M52&gt;0,$M$190,IFERROR((O52/J52),0))/crop_intensity!$C$7</f>
        <v>1.1445047984569352</v>
      </c>
      <c r="R52" s="1105">
        <f t="shared" si="12"/>
        <v>1.3117137527468954</v>
      </c>
    </row>
    <row r="53" spans="1:18" ht="12">
      <c r="A53" s="1396" t="s">
        <v>1097</v>
      </c>
      <c r="B53" s="1427">
        <v>195</v>
      </c>
      <c r="C53" s="1390" t="s">
        <v>1098</v>
      </c>
      <c r="D53" s="1182">
        <v>28985</v>
      </c>
      <c r="E53" s="1524">
        <f>IF(M53&gt;0,$N$190,IFERROR((P53/L53),0))/crop_intensity!$D$7</f>
        <v>0.66234757931702537</v>
      </c>
      <c r="F53" s="1446">
        <f t="shared" si="7"/>
        <v>1</v>
      </c>
      <c r="G53" s="1428">
        <f t="shared" si="13"/>
        <v>2.5252766180478901</v>
      </c>
      <c r="H53" s="1392">
        <f t="shared" si="8"/>
        <v>110508.65898776698</v>
      </c>
      <c r="I53" s="1522"/>
      <c r="J53" s="1454">
        <v>15702</v>
      </c>
      <c r="K53" s="1434">
        <v>8102320</v>
      </c>
      <c r="L53" s="1434">
        <v>12135400</v>
      </c>
      <c r="M53" s="1436">
        <v>0</v>
      </c>
      <c r="N53" s="1416">
        <f t="shared" si="9"/>
        <v>1</v>
      </c>
      <c r="O53" s="1391">
        <f t="shared" si="10"/>
        <v>28985</v>
      </c>
      <c r="P53" s="1391">
        <f t="shared" si="11"/>
        <v>8102320</v>
      </c>
      <c r="Q53" s="1499">
        <f>IF(M53&gt;0,$M$190,IFERROR((O53/J53),0))/crop_intensity!$C$7</f>
        <v>1.9656342500527477</v>
      </c>
      <c r="R53" s="1105">
        <f t="shared" si="12"/>
        <v>2.9676778649656974</v>
      </c>
    </row>
    <row r="54" spans="1:18" ht="12">
      <c r="A54" s="1396" t="s">
        <v>585</v>
      </c>
      <c r="B54" s="1427">
        <v>554</v>
      </c>
      <c r="C54" s="1390" t="s">
        <v>5549</v>
      </c>
      <c r="D54" s="1182">
        <v>405770</v>
      </c>
      <c r="E54" s="1524">
        <f>IF(M54&gt;0,$N$190,IFERROR((P54/L54),0))/crop_intensity!$D$7</f>
        <v>20.857815811600453</v>
      </c>
      <c r="F54" s="1446">
        <f t="shared" si="7"/>
        <v>1</v>
      </c>
      <c r="G54" s="1428">
        <f t="shared" si="13"/>
        <v>2.5252766180478901</v>
      </c>
      <c r="H54" s="1392">
        <f t="shared" si="8"/>
        <v>49126.979668475025</v>
      </c>
      <c r="I54" s="1522"/>
      <c r="J54" s="1454">
        <v>16800</v>
      </c>
      <c r="K54" s="1434">
        <v>540259</v>
      </c>
      <c r="L54" s="1434">
        <v>25695.900390625</v>
      </c>
      <c r="M54" s="1436">
        <v>0</v>
      </c>
      <c r="N54" s="1416">
        <f t="shared" si="9"/>
        <v>1</v>
      </c>
      <c r="O54" s="1391">
        <f t="shared" si="10"/>
        <v>405770</v>
      </c>
      <c r="P54" s="1391">
        <f t="shared" si="11"/>
        <v>540259</v>
      </c>
      <c r="Q54" s="1499">
        <f>IF(M54&gt;0,$M$190,IFERROR((O54/J54),0))/crop_intensity!$C$7</f>
        <v>25.719056495208058</v>
      </c>
      <c r="R54" s="1105">
        <f t="shared" si="12"/>
        <v>1.2330656636110449</v>
      </c>
    </row>
    <row r="55" spans="1:18" ht="12">
      <c r="A55" s="1396" t="s">
        <v>2574</v>
      </c>
      <c r="B55" s="1427">
        <v>397</v>
      </c>
      <c r="C55" s="1390" t="s">
        <v>2575</v>
      </c>
      <c r="D55" s="1182">
        <v>747610</v>
      </c>
      <c r="E55" s="1524">
        <f>IF(M55&gt;0,$N$190,IFERROR((P55/L55),0))/crop_intensity!$D$7</f>
        <v>33.34405775396953</v>
      </c>
      <c r="F55" s="1446">
        <f t="shared" si="7"/>
        <v>1</v>
      </c>
      <c r="G55" s="1428">
        <f t="shared" si="13"/>
        <v>2.5252766180478901</v>
      </c>
      <c r="H55" s="1392">
        <f t="shared" si="8"/>
        <v>56619.445250151977</v>
      </c>
      <c r="I55" s="1522"/>
      <c r="J55" s="1454">
        <v>49436</v>
      </c>
      <c r="K55" s="1434">
        <v>71457696</v>
      </c>
      <c r="L55" s="1434">
        <v>2125990</v>
      </c>
      <c r="M55" s="1436">
        <v>0</v>
      </c>
      <c r="N55" s="1416">
        <f t="shared" si="9"/>
        <v>1</v>
      </c>
      <c r="O55" s="1391">
        <f t="shared" si="10"/>
        <v>747610</v>
      </c>
      <c r="P55" s="1391">
        <f t="shared" si="11"/>
        <v>71457696</v>
      </c>
      <c r="Q55" s="1499">
        <f>IF(M55&gt;0,$M$190,IFERROR((O55/J55),0))/crop_intensity!$C$7</f>
        <v>16.103347227172559</v>
      </c>
      <c r="R55" s="1105">
        <f t="shared" si="12"/>
        <v>0.48294503764334124</v>
      </c>
    </row>
    <row r="56" spans="1:18" ht="12">
      <c r="A56" s="1396" t="s">
        <v>819</v>
      </c>
      <c r="B56" s="1427">
        <v>550</v>
      </c>
      <c r="C56" s="1390" t="s">
        <v>820</v>
      </c>
      <c r="D56" s="1182">
        <v>0</v>
      </c>
      <c r="E56" s="1524">
        <f>IF(M56&gt;0,$N$190,IFERROR((P56/L56),0))/crop_intensity!$D$7</f>
        <v>6.0008674752692821</v>
      </c>
      <c r="F56" s="1446">
        <f t="shared" si="7"/>
        <v>1</v>
      </c>
      <c r="G56" s="1428">
        <f t="shared" si="13"/>
        <v>2.5252766180478901</v>
      </c>
      <c r="H56" s="1392">
        <f t="shared" si="8"/>
        <v>0</v>
      </c>
      <c r="I56" s="1522"/>
      <c r="J56" s="1454">
        <v>0</v>
      </c>
      <c r="K56" s="1434">
        <v>706910</v>
      </c>
      <c r="L56" s="1434">
        <v>116864</v>
      </c>
      <c r="M56" s="1436">
        <v>0</v>
      </c>
      <c r="N56" s="1416">
        <f t="shared" si="9"/>
        <v>1</v>
      </c>
      <c r="O56" s="1391">
        <f t="shared" si="10"/>
        <v>0</v>
      </c>
      <c r="P56" s="1391">
        <f t="shared" si="11"/>
        <v>706910</v>
      </c>
      <c r="Q56" s="1499">
        <f>IF(M56&gt;0,$M$190,IFERROR((O56/J56),0))/crop_intensity!$C$7</f>
        <v>0</v>
      </c>
      <c r="R56" s="1105">
        <f t="shared" si="12"/>
        <v>0</v>
      </c>
    </row>
    <row r="57" spans="1:18" ht="12">
      <c r="A57" s="1396" t="s">
        <v>821</v>
      </c>
      <c r="B57" s="1427">
        <v>577</v>
      </c>
      <c r="C57" s="1390" t="s">
        <v>822</v>
      </c>
      <c r="D57" s="1182">
        <v>21768</v>
      </c>
      <c r="E57" s="1524">
        <f>IF(M57&gt;0,$N$190,IFERROR((P57/L57),0))/crop_intensity!$D$7</f>
        <v>7.2501022812534943</v>
      </c>
      <c r="F57" s="1446">
        <f t="shared" si="7"/>
        <v>1</v>
      </c>
      <c r="G57" s="1428">
        <f t="shared" si="13"/>
        <v>2.5252766180478901</v>
      </c>
      <c r="H57" s="1392">
        <f t="shared" si="8"/>
        <v>7581.9925415124608</v>
      </c>
      <c r="I57" s="1522"/>
      <c r="J57" s="1454">
        <v>2464</v>
      </c>
      <c r="K57" s="1434">
        <v>8929660</v>
      </c>
      <c r="L57" s="1434">
        <v>1221860</v>
      </c>
      <c r="M57" s="1436">
        <v>0</v>
      </c>
      <c r="N57" s="1416">
        <f t="shared" si="9"/>
        <v>1</v>
      </c>
      <c r="O57" s="1391">
        <f t="shared" si="10"/>
        <v>21768</v>
      </c>
      <c r="P57" s="1391">
        <f t="shared" si="11"/>
        <v>8929660</v>
      </c>
      <c r="Q57" s="1499">
        <f>IF(M57&gt;0,$M$190,IFERROR((O57/J57),0))/crop_intensity!$C$7</f>
        <v>9.4072395768486565</v>
      </c>
      <c r="R57" s="1105">
        <f t="shared" si="12"/>
        <v>1.2975319811932651</v>
      </c>
    </row>
    <row r="58" spans="1:18" ht="12">
      <c r="A58" s="1396" t="s">
        <v>823</v>
      </c>
      <c r="B58" s="1427">
        <v>399</v>
      </c>
      <c r="C58" s="1390" t="s">
        <v>824</v>
      </c>
      <c r="D58" s="1182">
        <v>67784</v>
      </c>
      <c r="E58" s="1524">
        <f>IF(M58&gt;0,$N$190,IFERROR((P58/L58),0))/crop_intensity!$D$7</f>
        <v>26.206066374423969</v>
      </c>
      <c r="F58" s="1446">
        <f t="shared" si="7"/>
        <v>1</v>
      </c>
      <c r="G58" s="1428">
        <f t="shared" si="13"/>
        <v>2.5252766180478901</v>
      </c>
      <c r="H58" s="1392">
        <f t="shared" si="8"/>
        <v>6531.8215955072237</v>
      </c>
      <c r="I58" s="1522"/>
      <c r="J58" s="1454">
        <v>2034</v>
      </c>
      <c r="K58" s="1434">
        <v>49650400</v>
      </c>
      <c r="L58" s="1434">
        <v>1879540</v>
      </c>
      <c r="M58" s="1436">
        <v>0</v>
      </c>
      <c r="N58" s="1416">
        <f t="shared" si="9"/>
        <v>1</v>
      </c>
      <c r="O58" s="1391">
        <f t="shared" si="10"/>
        <v>67784</v>
      </c>
      <c r="P58" s="1391">
        <f t="shared" si="11"/>
        <v>49650400</v>
      </c>
      <c r="Q58" s="1499">
        <f>IF(M58&gt;0,$M$190,IFERROR((O58/J58),0))/crop_intensity!$C$7</f>
        <v>35.486292177226339</v>
      </c>
      <c r="R58" s="1105">
        <f t="shared" si="12"/>
        <v>1.3541250972278496</v>
      </c>
    </row>
    <row r="59" spans="1:18" ht="12">
      <c r="A59" s="1396" t="s">
        <v>2259</v>
      </c>
      <c r="B59" s="1427">
        <v>821</v>
      </c>
      <c r="C59" s="1390" t="s">
        <v>2260</v>
      </c>
      <c r="D59" s="1182"/>
      <c r="E59" s="1524">
        <f>IF(M59&gt;0,$N$190,IFERROR((P59/L59),0))/crop_intensity!$D$7</f>
        <v>0.39139244456027084</v>
      </c>
      <c r="F59" s="1446">
        <f t="shared" si="7"/>
        <v>1</v>
      </c>
      <c r="G59" s="1428">
        <f t="shared" si="13"/>
        <v>2.5252766180478901</v>
      </c>
      <c r="H59" s="1392">
        <f t="shared" si="8"/>
        <v>0</v>
      </c>
      <c r="I59" s="1522"/>
      <c r="J59" s="1454"/>
      <c r="K59" s="1434">
        <v>269355</v>
      </c>
      <c r="L59" s="1434">
        <v>682721</v>
      </c>
      <c r="M59" s="1436">
        <v>0</v>
      </c>
      <c r="N59" s="1416">
        <f t="shared" si="9"/>
        <v>1</v>
      </c>
      <c r="O59" s="1391">
        <f t="shared" si="10"/>
        <v>0</v>
      </c>
      <c r="P59" s="1391">
        <f t="shared" si="11"/>
        <v>269355</v>
      </c>
      <c r="Q59" s="1499">
        <f>IF(M59&gt;0,$M$190,IFERROR((O59/J59),0))/crop_intensity!$C$7</f>
        <v>0</v>
      </c>
      <c r="R59" s="1105">
        <f t="shared" si="12"/>
        <v>0</v>
      </c>
    </row>
    <row r="60" spans="1:18" ht="12">
      <c r="A60" s="1396" t="s">
        <v>825</v>
      </c>
      <c r="B60" s="1427">
        <v>569</v>
      </c>
      <c r="C60" s="1390" t="s">
        <v>853</v>
      </c>
      <c r="D60" s="1182">
        <v>26212</v>
      </c>
      <c r="E60" s="1524">
        <f>IF(M60&gt;0,$N$190,IFERROR((P60/L60),0))/crop_intensity!$D$7</f>
        <v>3.0922661482623393</v>
      </c>
      <c r="F60" s="1446">
        <f t="shared" si="7"/>
        <v>1</v>
      </c>
      <c r="G60" s="1428">
        <f t="shared" si="13"/>
        <v>2.5252766180478901</v>
      </c>
      <c r="H60" s="1392">
        <f t="shared" si="8"/>
        <v>21405.838805132407</v>
      </c>
      <c r="I60" s="1522"/>
      <c r="J60" s="1454">
        <v>2920</v>
      </c>
      <c r="K60" s="1434">
        <v>1117450</v>
      </c>
      <c r="L60" s="1434">
        <v>358494</v>
      </c>
      <c r="M60" s="1436">
        <v>0</v>
      </c>
      <c r="N60" s="1416">
        <f t="shared" si="9"/>
        <v>1</v>
      </c>
      <c r="O60" s="1391">
        <f t="shared" si="10"/>
        <v>26212</v>
      </c>
      <c r="P60" s="1391">
        <f t="shared" si="11"/>
        <v>1117450</v>
      </c>
      <c r="Q60" s="1499">
        <f>IF(M60&gt;0,$M$190,IFERROR((O60/J60),0))/crop_intensity!$C$7</f>
        <v>9.5587628499310213</v>
      </c>
      <c r="R60" s="1105">
        <f t="shared" si="12"/>
        <v>3.0911837440973344</v>
      </c>
    </row>
    <row r="61" spans="1:18" ht="12">
      <c r="A61" s="1396" t="s">
        <v>4471</v>
      </c>
      <c r="B61" s="1427">
        <v>773</v>
      </c>
      <c r="C61" s="1390" t="s">
        <v>4676</v>
      </c>
      <c r="D61" s="1182"/>
      <c r="E61" s="1524">
        <f>IF(M61&gt;0,$N$190,IFERROR((P61/L61),0))/crop_intensity!$D$7</f>
        <v>1.4460822783702674</v>
      </c>
      <c r="F61" s="1446">
        <f t="shared" si="7"/>
        <v>1</v>
      </c>
      <c r="G61" s="1428">
        <f t="shared" si="13"/>
        <v>2.5252766180478901</v>
      </c>
      <c r="H61" s="1392">
        <f t="shared" si="8"/>
        <v>0</v>
      </c>
      <c r="I61" s="1522"/>
      <c r="J61" s="1454"/>
      <c r="K61" s="1434">
        <v>303113</v>
      </c>
      <c r="L61" s="1434">
        <v>207942</v>
      </c>
      <c r="M61" s="1436">
        <v>0</v>
      </c>
      <c r="N61" s="1416">
        <f t="shared" si="9"/>
        <v>1</v>
      </c>
      <c r="O61" s="1391">
        <f t="shared" si="10"/>
        <v>0</v>
      </c>
      <c r="P61" s="1391">
        <f t="shared" si="11"/>
        <v>303113</v>
      </c>
      <c r="Q61" s="1499">
        <f>IF(M61&gt;0,$M$190,IFERROR((O61/J61),0))/crop_intensity!$C$7</f>
        <v>0</v>
      </c>
      <c r="R61" s="1105">
        <f t="shared" si="12"/>
        <v>0</v>
      </c>
    </row>
    <row r="62" spans="1:18" ht="12">
      <c r="A62" s="1396" t="s">
        <v>4472</v>
      </c>
      <c r="B62" s="1427">
        <v>94</v>
      </c>
      <c r="C62" s="1390" t="s">
        <v>5230</v>
      </c>
      <c r="D62" s="1182"/>
      <c r="E62" s="1524">
        <f>IF(M62&gt;0,$N$190,IFERROR((P62/L62),0))/crop_intensity!$D$7</f>
        <v>2.7231473712508003</v>
      </c>
      <c r="F62" s="1446">
        <f t="shared" si="7"/>
        <v>1</v>
      </c>
      <c r="G62" s="1428">
        <f t="shared" si="13"/>
        <v>2.5252766180478901</v>
      </c>
      <c r="H62" s="1392">
        <f t="shared" si="8"/>
        <v>0</v>
      </c>
      <c r="I62" s="1522"/>
      <c r="J62" s="1454"/>
      <c r="K62" s="1434">
        <v>612485</v>
      </c>
      <c r="L62" s="1434">
        <v>580034</v>
      </c>
      <c r="M62" s="1436">
        <v>1</v>
      </c>
      <c r="N62" s="1416">
        <f t="shared" si="9"/>
        <v>1</v>
      </c>
      <c r="O62" s="1391">
        <f t="shared" si="10"/>
        <v>0</v>
      </c>
      <c r="P62" s="1391">
        <f t="shared" si="11"/>
        <v>612485</v>
      </c>
      <c r="Q62" s="1499">
        <f>IF(M62&gt;0,$M$190,IFERROR((O62/J62),0))/crop_intensity!$C$7</f>
        <v>3.5000333108720874</v>
      </c>
      <c r="R62" s="1105">
        <f t="shared" si="12"/>
        <v>1.2852897157983949</v>
      </c>
    </row>
    <row r="63" spans="1:18" ht="12">
      <c r="A63" s="1396" t="s">
        <v>7087</v>
      </c>
      <c r="B63" s="1427">
        <v>639</v>
      </c>
      <c r="C63" s="1390" t="s">
        <v>413</v>
      </c>
      <c r="D63" s="1182">
        <v>152348992</v>
      </c>
      <c r="E63" s="1524">
        <f>IF(M63&gt;0,$N$190,IFERROR((P63/L63),0))/crop_intensity!$D$7</f>
        <v>14.07022622118332</v>
      </c>
      <c r="F63" s="1446">
        <f t="shared" si="7"/>
        <v>1</v>
      </c>
      <c r="G63" s="1428">
        <f t="shared" si="13"/>
        <v>2.5252766180478901</v>
      </c>
      <c r="H63" s="1392">
        <f t="shared" si="8"/>
        <v>27343081.854757089</v>
      </c>
      <c r="I63" s="1522"/>
      <c r="J63" s="1454">
        <v>16819700</v>
      </c>
      <c r="K63" s="1434">
        <v>423535008</v>
      </c>
      <c r="L63" s="1434">
        <v>29862000</v>
      </c>
      <c r="M63" s="1436">
        <v>0</v>
      </c>
      <c r="N63" s="1416">
        <f t="shared" si="9"/>
        <v>1</v>
      </c>
      <c r="O63" s="1391">
        <f t="shared" si="10"/>
        <v>152348992</v>
      </c>
      <c r="P63" s="1391">
        <f t="shared" si="11"/>
        <v>423535008</v>
      </c>
      <c r="Q63" s="1499">
        <f>IF(M63&gt;0,$M$190,IFERROR((O63/J63),0))/crop_intensity!$C$7</f>
        <v>9.645077440220696</v>
      </c>
      <c r="R63" s="1105">
        <f t="shared" si="12"/>
        <v>0.68549554844396343</v>
      </c>
    </row>
    <row r="64" spans="1:18" ht="12">
      <c r="A64" s="1396" t="s">
        <v>7098</v>
      </c>
      <c r="B64" s="1427">
        <v>642</v>
      </c>
      <c r="C64" s="1390" t="s">
        <v>7101</v>
      </c>
      <c r="D64" s="1182">
        <v>16800000</v>
      </c>
      <c r="E64" s="1524">
        <f>IF(M64&gt;0,$N$190,IFERROR((P64/L64),0))/crop_intensity!$D$7</f>
        <v>14.167909068551458</v>
      </c>
      <c r="F64" s="1446">
        <f t="shared" si="7"/>
        <v>1</v>
      </c>
      <c r="G64" s="1428">
        <f t="shared" si="13"/>
        <v>2.5252766180478901</v>
      </c>
      <c r="H64" s="1392">
        <f t="shared" si="8"/>
        <v>2994418.3702713512</v>
      </c>
      <c r="I64" s="1522"/>
      <c r="J64" s="1454">
        <v>1200000</v>
      </c>
      <c r="K64" s="1434">
        <v>73350000</v>
      </c>
      <c r="L64" s="1434">
        <v>5136000</v>
      </c>
      <c r="M64" s="1436">
        <v>0</v>
      </c>
      <c r="N64" s="1416">
        <f t="shared" si="9"/>
        <v>1</v>
      </c>
      <c r="O64" s="1391">
        <f t="shared" si="10"/>
        <v>16800000</v>
      </c>
      <c r="P64" s="1391">
        <f t="shared" si="11"/>
        <v>73350000</v>
      </c>
      <c r="Q64" s="1499">
        <f>IF(M64&gt;0,$M$190,IFERROR((O64/J64),0))/crop_intensity!$C$7</f>
        <v>14.907760770074018</v>
      </c>
      <c r="R64" s="1105">
        <f t="shared" si="12"/>
        <v>1.0522202463287127</v>
      </c>
    </row>
    <row r="65" spans="1:18" ht="12">
      <c r="A65" s="1396" t="s">
        <v>7088</v>
      </c>
      <c r="B65" s="1427">
        <v>643</v>
      </c>
      <c r="C65" s="1390" t="s">
        <v>3876</v>
      </c>
      <c r="D65" s="1182"/>
      <c r="E65" s="1524">
        <f>IF(M65&gt;0,$N$190,IFERROR((P65/L65),0))/crop_intensity!$D$7</f>
        <v>19.63611322232855</v>
      </c>
      <c r="F65" s="1446">
        <f t="shared" si="7"/>
        <v>1</v>
      </c>
      <c r="G65" s="1428">
        <f t="shared" si="13"/>
        <v>2.5252766180478901</v>
      </c>
      <c r="H65" s="1392">
        <f t="shared" si="8"/>
        <v>0</v>
      </c>
      <c r="I65" s="1522"/>
      <c r="J65" s="1454"/>
      <c r="K65" s="1434">
        <v>36595800</v>
      </c>
      <c r="L65" s="1434">
        <v>1848870</v>
      </c>
      <c r="M65" s="1436">
        <v>0</v>
      </c>
      <c r="N65" s="1416">
        <f t="shared" si="9"/>
        <v>1</v>
      </c>
      <c r="O65" s="1391">
        <f t="shared" si="10"/>
        <v>0</v>
      </c>
      <c r="P65" s="1391">
        <f t="shared" si="11"/>
        <v>36595800</v>
      </c>
      <c r="Q65" s="1499">
        <f>IF(M65&gt;0,$M$190,IFERROR((O65/J65),0))/crop_intensity!$C$7</f>
        <v>0</v>
      </c>
      <c r="R65" s="1105">
        <f t="shared" si="12"/>
        <v>0</v>
      </c>
    </row>
    <row r="66" spans="1:18" ht="12">
      <c r="A66" s="1396" t="s">
        <v>7089</v>
      </c>
      <c r="B66" s="1427">
        <v>651</v>
      </c>
      <c r="C66" s="1390" t="s">
        <v>826</v>
      </c>
      <c r="D66" s="1182"/>
      <c r="E66" s="1524">
        <f>IF(M66&gt;0,$N$190,IFERROR((P66/L66),0))/crop_intensity!$D$7</f>
        <v>13.499056885970038</v>
      </c>
      <c r="F66" s="1446">
        <f t="shared" si="7"/>
        <v>1</v>
      </c>
      <c r="G66" s="1428">
        <f t="shared" si="13"/>
        <v>2.5252766180478901</v>
      </c>
      <c r="H66" s="1392">
        <f t="shared" si="8"/>
        <v>0</v>
      </c>
      <c r="I66" s="1522"/>
      <c r="J66" s="1454"/>
      <c r="K66" s="1434">
        <v>283627008</v>
      </c>
      <c r="L66" s="1434">
        <v>20843700</v>
      </c>
      <c r="M66" s="1436">
        <v>0</v>
      </c>
      <c r="N66" s="1416">
        <f t="shared" si="9"/>
        <v>1</v>
      </c>
      <c r="O66" s="1391">
        <f t="shared" si="10"/>
        <v>0</v>
      </c>
      <c r="P66" s="1391">
        <f t="shared" si="11"/>
        <v>283627008</v>
      </c>
      <c r="Q66" s="1499">
        <f>IF(M66&gt;0,$M$190,IFERROR((O66/J66),0))/crop_intensity!$C$7</f>
        <v>0</v>
      </c>
      <c r="R66" s="1105">
        <f t="shared" si="12"/>
        <v>0</v>
      </c>
    </row>
    <row r="67" spans="1:18" ht="12">
      <c r="A67" s="1396" t="s">
        <v>288</v>
      </c>
      <c r="B67" s="1427">
        <v>619</v>
      </c>
      <c r="C67" s="1390" t="s">
        <v>289</v>
      </c>
      <c r="D67" s="1182">
        <v>675</v>
      </c>
      <c r="E67" s="1524">
        <f>IF(M67&gt;0,$N$190,IFERROR((P67/L67),0))/crop_intensity!$D$7</f>
        <v>6.6049730166503302</v>
      </c>
      <c r="F67" s="1446">
        <f t="shared" si="7"/>
        <v>1</v>
      </c>
      <c r="G67" s="1428">
        <f t="shared" si="13"/>
        <v>2.5252766180478901</v>
      </c>
      <c r="H67" s="1392">
        <f t="shared" si="8"/>
        <v>258.07247249691011</v>
      </c>
      <c r="I67" s="1522"/>
      <c r="J67" s="1454">
        <v>50</v>
      </c>
      <c r="K67" s="1434">
        <v>34694300</v>
      </c>
      <c r="L67" s="1434">
        <v>5210960</v>
      </c>
      <c r="M67" s="1436">
        <v>0</v>
      </c>
      <c r="N67" s="1416">
        <f t="shared" si="9"/>
        <v>1</v>
      </c>
      <c r="O67" s="1391">
        <f t="shared" si="10"/>
        <v>675</v>
      </c>
      <c r="P67" s="1391">
        <f t="shared" si="11"/>
        <v>34694300</v>
      </c>
      <c r="Q67" s="1499">
        <f>IF(M67&gt;0,$M$190,IFERROR((O67/J67),0))/crop_intensity!$C$7</f>
        <v>14.375340742571376</v>
      </c>
      <c r="R67" s="1105">
        <f t="shared" si="12"/>
        <v>2.1764420091244729</v>
      </c>
    </row>
    <row r="68" spans="1:18" ht="12">
      <c r="A68" s="1396" t="s">
        <v>7090</v>
      </c>
      <c r="B68" s="1427">
        <v>542</v>
      </c>
      <c r="C68" s="1390" t="s">
        <v>7102</v>
      </c>
      <c r="D68" s="1182"/>
      <c r="E68" s="1524">
        <f>IF(M68&gt;0,$N$190,IFERROR((P68/L68),0))/crop_intensity!$D$7</f>
        <v>8.9731441399228746</v>
      </c>
      <c r="F68" s="1446">
        <f t="shared" si="7"/>
        <v>1</v>
      </c>
      <c r="G68" s="1428">
        <f t="shared" si="13"/>
        <v>2.5252766180478901</v>
      </c>
      <c r="H68" s="1392">
        <f t="shared" si="8"/>
        <v>0</v>
      </c>
      <c r="I68" s="1522"/>
      <c r="J68" s="1454"/>
      <c r="K68" s="1434">
        <v>120300</v>
      </c>
      <c r="L68" s="1434">
        <v>13300</v>
      </c>
      <c r="M68" s="1436">
        <v>0</v>
      </c>
      <c r="N68" s="1416">
        <f t="shared" si="9"/>
        <v>1</v>
      </c>
      <c r="O68" s="1391">
        <f t="shared" si="10"/>
        <v>0</v>
      </c>
      <c r="P68" s="1391">
        <f t="shared" si="11"/>
        <v>120300</v>
      </c>
      <c r="Q68" s="1499">
        <f>IF(M68&gt;0,$M$190,IFERROR((O68/J68),0))/crop_intensity!$C$7</f>
        <v>0</v>
      </c>
      <c r="R68" s="1105">
        <f t="shared" si="12"/>
        <v>0</v>
      </c>
    </row>
    <row r="69" spans="1:18" ht="12">
      <c r="A69" s="1396" t="s">
        <v>813</v>
      </c>
      <c r="B69" s="1427">
        <v>603</v>
      </c>
      <c r="C69" s="1390" t="s">
        <v>5550</v>
      </c>
      <c r="D69" s="1182"/>
      <c r="E69" s="1524">
        <f>IF(M69&gt;0,$N$190,IFERROR((P69/L69),0))/crop_intensity!$D$7</f>
        <v>7.0031273093842303</v>
      </c>
      <c r="F69" s="1446">
        <f t="shared" ref="F69:F97" si="14">VLOOKUP("Crop Land",iyf,2,FALSE)</f>
        <v>1</v>
      </c>
      <c r="G69" s="1428">
        <f t="shared" si="13"/>
        <v>2.5252766180478901</v>
      </c>
      <c r="H69" s="1392">
        <f t="shared" si="8"/>
        <v>0</v>
      </c>
      <c r="I69" s="1522"/>
      <c r="J69" s="1454"/>
      <c r="K69" s="1434">
        <v>22258100</v>
      </c>
      <c r="L69" s="1434">
        <v>3153020</v>
      </c>
      <c r="M69" s="1436">
        <v>0</v>
      </c>
      <c r="N69" s="1416">
        <f t="shared" si="9"/>
        <v>1</v>
      </c>
      <c r="O69" s="1391">
        <f t="shared" si="10"/>
        <v>0</v>
      </c>
      <c r="P69" s="1391">
        <f t="shared" si="11"/>
        <v>22258100</v>
      </c>
      <c r="Q69" s="1499">
        <f>IF(M69&gt;0,$M$190,IFERROR((O69/J69),0))/crop_intensity!$C$7</f>
        <v>0</v>
      </c>
      <c r="R69" s="1105">
        <f t="shared" si="12"/>
        <v>0</v>
      </c>
    </row>
    <row r="70" spans="1:18" ht="12">
      <c r="A70" s="1396" t="s">
        <v>5231</v>
      </c>
      <c r="B70" s="1427">
        <v>406</v>
      </c>
      <c r="C70" s="1390" t="s">
        <v>5232</v>
      </c>
      <c r="D70" s="1182">
        <v>175445</v>
      </c>
      <c r="E70" s="1524">
        <f>IF(M70&gt;0,$N$190,IFERROR((P70/L70),0))/crop_intensity!$D$7</f>
        <v>16.547339301789894</v>
      </c>
      <c r="F70" s="1446">
        <f t="shared" si="14"/>
        <v>1</v>
      </c>
      <c r="G70" s="1428">
        <f t="shared" si="13"/>
        <v>2.5252766180478901</v>
      </c>
      <c r="H70" s="1392">
        <f t="shared" si="8"/>
        <v>26774.525388833266</v>
      </c>
      <c r="I70" s="1522"/>
      <c r="J70" s="1454">
        <v>9672</v>
      </c>
      <c r="K70" s="1434">
        <v>24374900</v>
      </c>
      <c r="L70" s="1434">
        <v>1461320</v>
      </c>
      <c r="M70" s="1436">
        <v>0</v>
      </c>
      <c r="N70" s="1416">
        <f t="shared" si="9"/>
        <v>1</v>
      </c>
      <c r="O70" s="1391">
        <f t="shared" si="10"/>
        <v>175445</v>
      </c>
      <c r="P70" s="1391">
        <f t="shared" si="11"/>
        <v>24374900</v>
      </c>
      <c r="Q70" s="1499">
        <f>IF(M70&gt;0,$M$190,IFERROR((O70/J70),0))/crop_intensity!$C$7</f>
        <v>19.315639314557753</v>
      </c>
      <c r="R70" s="1105">
        <f t="shared" si="12"/>
        <v>1.1672957786312159</v>
      </c>
    </row>
    <row r="71" spans="1:18" ht="12">
      <c r="A71" s="1396" t="s">
        <v>5233</v>
      </c>
      <c r="B71" s="1427">
        <v>720</v>
      </c>
      <c r="C71" s="1390" t="s">
        <v>5234</v>
      </c>
      <c r="D71" s="1182">
        <v>774</v>
      </c>
      <c r="E71" s="1524">
        <f>IF(M71&gt;0,$N$190,IFERROR((P71/L71),0))/crop_intensity!$D$7</f>
        <v>6.3059620858386811</v>
      </c>
      <c r="F71" s="1446">
        <f t="shared" si="14"/>
        <v>1</v>
      </c>
      <c r="G71" s="1428">
        <f t="shared" si="13"/>
        <v>2.5252766180478901</v>
      </c>
      <c r="H71" s="1392">
        <f t="shared" ref="H71:H102" si="15">IFERROR((O71/E71)*G71*F71,0)</f>
        <v>309.95494038228327</v>
      </c>
      <c r="I71" s="1522"/>
      <c r="J71" s="1454">
        <v>26</v>
      </c>
      <c r="K71" s="1434">
        <v>2140450</v>
      </c>
      <c r="L71" s="1434">
        <v>336732</v>
      </c>
      <c r="M71" s="1436">
        <v>0</v>
      </c>
      <c r="N71" s="1416">
        <f t="shared" ref="N71:N102" si="16">VLOOKUP(B71,constant_crop_factor,3,FALSE)</f>
        <v>1</v>
      </c>
      <c r="O71" s="1391">
        <f t="shared" ref="O71:O102" si="17">D71*N71</f>
        <v>774</v>
      </c>
      <c r="P71" s="1391">
        <f t="shared" ref="P71:P102" si="18">K71*N71</f>
        <v>2140450</v>
      </c>
      <c r="Q71" s="1499">
        <f>IF(M71&gt;0,$M$190,IFERROR((O71/J71),0))/crop_intensity!$C$7</f>
        <v>31.699469329772779</v>
      </c>
      <c r="R71" s="1105">
        <f t="shared" ref="R71:R102" si="19">IFERROR(Q71/E71,0)</f>
        <v>5.0269045227785902</v>
      </c>
    </row>
    <row r="72" spans="1:18" ht="12">
      <c r="A72" s="1396" t="s">
        <v>5235</v>
      </c>
      <c r="B72" s="1427">
        <v>549</v>
      </c>
      <c r="C72" s="1390" t="s">
        <v>4933</v>
      </c>
      <c r="D72" s="1182"/>
      <c r="E72" s="1524">
        <f>IF(M72&gt;0,$N$190,IFERROR((P72/L72),0))/crop_intensity!$D$7</f>
        <v>5.2882419280813338</v>
      </c>
      <c r="F72" s="1446">
        <f t="shared" si="14"/>
        <v>1</v>
      </c>
      <c r="G72" s="1428">
        <f t="shared" ref="G72:G103" si="20">$G$7</f>
        <v>2.5252766180478901</v>
      </c>
      <c r="H72" s="1392">
        <f t="shared" si="15"/>
        <v>0</v>
      </c>
      <c r="I72" s="1522"/>
      <c r="J72" s="1454"/>
      <c r="K72" s="1434">
        <v>162601</v>
      </c>
      <c r="L72" s="1434">
        <v>30503</v>
      </c>
      <c r="M72" s="1436">
        <v>0</v>
      </c>
      <c r="N72" s="1416">
        <f t="shared" si="16"/>
        <v>1</v>
      </c>
      <c r="O72" s="1391">
        <f t="shared" si="17"/>
        <v>0</v>
      </c>
      <c r="P72" s="1391">
        <f t="shared" si="18"/>
        <v>162601</v>
      </c>
      <c r="Q72" s="1499">
        <f>IF(M72&gt;0,$M$190,IFERROR((O72/J72),0))/crop_intensity!$C$7</f>
        <v>0</v>
      </c>
      <c r="R72" s="1105">
        <f t="shared" si="19"/>
        <v>0</v>
      </c>
    </row>
    <row r="73" spans="1:18" ht="12">
      <c r="A73" s="1396" t="s">
        <v>4934</v>
      </c>
      <c r="B73" s="1427">
        <v>507</v>
      </c>
      <c r="C73" s="1390" t="s">
        <v>2486</v>
      </c>
      <c r="D73" s="1182">
        <v>1074110</v>
      </c>
      <c r="E73" s="1524">
        <f>IF(M73&gt;0,$N$190,IFERROR((P73/L73),0))/crop_intensity!$D$7</f>
        <v>24.295343074388811</v>
      </c>
      <c r="F73" s="1446">
        <f t="shared" si="14"/>
        <v>1</v>
      </c>
      <c r="G73" s="1428">
        <f t="shared" si="20"/>
        <v>2.5252766180478901</v>
      </c>
      <c r="H73" s="1392">
        <f t="shared" si="15"/>
        <v>111643.81831968242</v>
      </c>
      <c r="I73" s="1522"/>
      <c r="J73" s="1454">
        <v>29663</v>
      </c>
      <c r="K73" s="1434">
        <v>9020060</v>
      </c>
      <c r="L73" s="1434">
        <v>368313</v>
      </c>
      <c r="M73" s="1436">
        <v>0</v>
      </c>
      <c r="N73" s="1416">
        <f t="shared" si="16"/>
        <v>1</v>
      </c>
      <c r="O73" s="1391">
        <f t="shared" si="17"/>
        <v>1074110</v>
      </c>
      <c r="P73" s="1391">
        <f t="shared" si="18"/>
        <v>9020060</v>
      </c>
      <c r="Q73" s="1499">
        <f>IF(M73&gt;0,$M$190,IFERROR((O73/J73),0))/crop_intensity!$C$7</f>
        <v>38.558316808203116</v>
      </c>
      <c r="R73" s="1105">
        <f t="shared" si="19"/>
        <v>1.5870661587343367</v>
      </c>
    </row>
    <row r="74" spans="1:18" ht="12">
      <c r="A74" s="1396" t="s">
        <v>4935</v>
      </c>
      <c r="B74" s="1427">
        <v>560</v>
      </c>
      <c r="C74" s="1390" t="s">
        <v>2487</v>
      </c>
      <c r="D74" s="1182">
        <v>7745000</v>
      </c>
      <c r="E74" s="1524">
        <f>IF(M74&gt;0,$N$190,IFERROR((P74/L74),0))/crop_intensity!$D$7</f>
        <v>10.700874228417304</v>
      </c>
      <c r="F74" s="1446">
        <f t="shared" si="14"/>
        <v>1</v>
      </c>
      <c r="G74" s="1428">
        <f t="shared" si="20"/>
        <v>2.5252766180478901</v>
      </c>
      <c r="H74" s="1392">
        <f t="shared" si="15"/>
        <v>1827726.1267908243</v>
      </c>
      <c r="I74" s="1522"/>
      <c r="J74" s="1454">
        <v>394848</v>
      </c>
      <c r="K74" s="1434">
        <v>77181104</v>
      </c>
      <c r="L74" s="1434">
        <v>7155210</v>
      </c>
      <c r="M74" s="1436">
        <v>0</v>
      </c>
      <c r="N74" s="1416">
        <f t="shared" si="16"/>
        <v>1</v>
      </c>
      <c r="O74" s="1391">
        <f t="shared" si="17"/>
        <v>7745000</v>
      </c>
      <c r="P74" s="1391">
        <f t="shared" si="18"/>
        <v>77181104</v>
      </c>
      <c r="Q74" s="1499">
        <f>IF(M74&gt;0,$M$190,IFERROR((O74/J74),0))/crop_intensity!$C$7</f>
        <v>20.88698999619081</v>
      </c>
      <c r="R74" s="1105">
        <f t="shared" si="19"/>
        <v>1.9518956629471635</v>
      </c>
    </row>
    <row r="75" spans="1:18" ht="12">
      <c r="A75" s="1396" t="s">
        <v>3780</v>
      </c>
      <c r="B75" s="1427">
        <v>242</v>
      </c>
      <c r="C75" s="1390" t="s">
        <v>1536</v>
      </c>
      <c r="D75" s="1182">
        <v>1892920</v>
      </c>
      <c r="E75" s="1524">
        <f>IF(M75&gt;0,$N$190,IFERROR((P75/L75),0))/crop_intensity!$D$7</f>
        <v>1.6354583300417411</v>
      </c>
      <c r="F75" s="1446">
        <f t="shared" si="14"/>
        <v>1</v>
      </c>
      <c r="G75" s="1428">
        <f t="shared" si="20"/>
        <v>2.5252766180478901</v>
      </c>
      <c r="H75" s="1392">
        <f t="shared" si="15"/>
        <v>2922817.7374064983</v>
      </c>
      <c r="I75" s="1522"/>
      <c r="J75" s="1454">
        <v>422090</v>
      </c>
      <c r="K75" s="1434">
        <v>46619900</v>
      </c>
      <c r="L75" s="1434">
        <v>28278900</v>
      </c>
      <c r="M75" s="1436">
        <v>0</v>
      </c>
      <c r="N75" s="1416">
        <f t="shared" si="16"/>
        <v>1</v>
      </c>
      <c r="O75" s="1391">
        <f t="shared" si="17"/>
        <v>1892920</v>
      </c>
      <c r="P75" s="1391">
        <f t="shared" si="18"/>
        <v>46619900</v>
      </c>
      <c r="Q75" s="1499">
        <f>IF(M75&gt;0,$M$190,IFERROR((O75/J75),0))/crop_intensity!$C$7</f>
        <v>4.7754200216082072</v>
      </c>
      <c r="R75" s="1105">
        <f t="shared" si="19"/>
        <v>2.9199276642446317</v>
      </c>
    </row>
    <row r="76" spans="1:18" ht="12">
      <c r="A76" s="1396" t="s">
        <v>3781</v>
      </c>
      <c r="B76" s="1427">
        <v>225</v>
      </c>
      <c r="C76" s="1390" t="s">
        <v>1539</v>
      </c>
      <c r="D76" s="1182">
        <v>40500</v>
      </c>
      <c r="E76" s="1524">
        <f>IF(M76&gt;0,$N$190,IFERROR((P76/L76),0))/crop_intensity!$D$7</f>
        <v>1.3734148213558319</v>
      </c>
      <c r="F76" s="1446">
        <f t="shared" si="14"/>
        <v>1</v>
      </c>
      <c r="G76" s="1428">
        <f t="shared" si="20"/>
        <v>2.5252766180478901</v>
      </c>
      <c r="H76" s="1392">
        <f t="shared" si="15"/>
        <v>74466.724430696893</v>
      </c>
      <c r="I76" s="1522"/>
      <c r="J76" s="1454">
        <v>11120</v>
      </c>
      <c r="K76" s="1434">
        <v>858697</v>
      </c>
      <c r="L76" s="1434">
        <v>620253</v>
      </c>
      <c r="M76" s="1436">
        <v>0</v>
      </c>
      <c r="N76" s="1416">
        <f t="shared" si="16"/>
        <v>1</v>
      </c>
      <c r="O76" s="1391">
        <f t="shared" si="17"/>
        <v>40500</v>
      </c>
      <c r="P76" s="1391">
        <f t="shared" si="18"/>
        <v>858697</v>
      </c>
      <c r="Q76" s="1499">
        <f>IF(M76&gt;0,$M$190,IFERROR((O76/J76),0))/crop_intensity!$C$7</f>
        <v>3.8782394089670977</v>
      </c>
      <c r="R76" s="1105">
        <f t="shared" si="19"/>
        <v>2.8237931822655802</v>
      </c>
    </row>
    <row r="77" spans="1:18" ht="12">
      <c r="A77" s="1396" t="s">
        <v>4897</v>
      </c>
      <c r="B77" s="1427">
        <v>777</v>
      </c>
      <c r="C77" s="1390" t="s">
        <v>4677</v>
      </c>
      <c r="D77" s="1182"/>
      <c r="E77" s="1524">
        <f>IF(M77&gt;0,$N$190,IFERROR((P77/L77),0))/crop_intensity!$D$7</f>
        <v>1.3779587627419616</v>
      </c>
      <c r="F77" s="1446">
        <f t="shared" si="14"/>
        <v>1</v>
      </c>
      <c r="G77" s="1428">
        <f t="shared" si="20"/>
        <v>2.5252766180478901</v>
      </c>
      <c r="H77" s="1392">
        <f t="shared" si="15"/>
        <v>0</v>
      </c>
      <c r="I77" s="1522"/>
      <c r="J77" s="1454"/>
      <c r="K77" s="1434">
        <v>56423</v>
      </c>
      <c r="L77" s="1434">
        <v>40621</v>
      </c>
      <c r="M77" s="1436">
        <v>0</v>
      </c>
      <c r="N77" s="1416">
        <f t="shared" si="16"/>
        <v>1</v>
      </c>
      <c r="O77" s="1391">
        <f t="shared" si="17"/>
        <v>0</v>
      </c>
      <c r="P77" s="1391">
        <f t="shared" si="18"/>
        <v>56423</v>
      </c>
      <c r="Q77" s="1499">
        <f>IF(M77&gt;0,$M$190,IFERROR((O77/J77),0))/crop_intensity!$C$7</f>
        <v>0</v>
      </c>
      <c r="R77" s="1105">
        <f t="shared" si="19"/>
        <v>0</v>
      </c>
    </row>
    <row r="78" spans="1:18" ht="12">
      <c r="A78" s="1396" t="s">
        <v>4172</v>
      </c>
      <c r="B78" s="1427">
        <v>336</v>
      </c>
      <c r="C78" s="1390" t="s">
        <v>69</v>
      </c>
      <c r="D78" s="1182"/>
      <c r="E78" s="1524">
        <f>IF(M78&gt;0,$N$190,IFERROR((P78/L78),0))/crop_intensity!$D$7</f>
        <v>3.0625903267075234</v>
      </c>
      <c r="F78" s="1446">
        <f t="shared" si="14"/>
        <v>1</v>
      </c>
      <c r="G78" s="1428">
        <f t="shared" si="20"/>
        <v>2.5252766180478901</v>
      </c>
      <c r="H78" s="1392">
        <f t="shared" si="15"/>
        <v>0</v>
      </c>
      <c r="I78" s="1522"/>
      <c r="J78" s="1454"/>
      <c r="K78" s="1434">
        <v>68081</v>
      </c>
      <c r="L78" s="1434">
        <v>22053</v>
      </c>
      <c r="M78" s="1436">
        <v>0</v>
      </c>
      <c r="N78" s="1416">
        <f t="shared" si="16"/>
        <v>1</v>
      </c>
      <c r="O78" s="1391">
        <f t="shared" si="17"/>
        <v>0</v>
      </c>
      <c r="P78" s="1391">
        <f t="shared" si="18"/>
        <v>68081</v>
      </c>
      <c r="Q78" s="1499">
        <f>IF(M78&gt;0,$M$190,IFERROR((O78/J78),0))/crop_intensity!$C$7</f>
        <v>0</v>
      </c>
      <c r="R78" s="1105">
        <f t="shared" si="19"/>
        <v>0</v>
      </c>
    </row>
    <row r="79" spans="1:18" ht="12">
      <c r="A79" s="1396" t="s">
        <v>3782</v>
      </c>
      <c r="B79" s="1427">
        <v>677</v>
      </c>
      <c r="C79" s="1390" t="s">
        <v>3783</v>
      </c>
      <c r="D79" s="1182">
        <v>27782</v>
      </c>
      <c r="E79" s="1524">
        <f>IF(M79&gt;0,$N$190,IFERROR((P79/L79),0))/crop_intensity!$D$7</f>
        <v>1.4419535876740421</v>
      </c>
      <c r="F79" s="1446">
        <f t="shared" si="14"/>
        <v>1</v>
      </c>
      <c r="G79" s="1428">
        <f t="shared" si="20"/>
        <v>2.5252766180478901</v>
      </c>
      <c r="H79" s="1392">
        <f t="shared" si="15"/>
        <v>48654.294841607429</v>
      </c>
      <c r="I79" s="1522"/>
      <c r="J79" s="1454">
        <v>12923</v>
      </c>
      <c r="K79" s="1434">
        <v>109777</v>
      </c>
      <c r="L79" s="1434">
        <v>75525</v>
      </c>
      <c r="M79" s="1436">
        <v>0</v>
      </c>
      <c r="N79" s="1416">
        <f t="shared" si="16"/>
        <v>1</v>
      </c>
      <c r="O79" s="1391">
        <f t="shared" si="17"/>
        <v>27782</v>
      </c>
      <c r="P79" s="1391">
        <f t="shared" si="18"/>
        <v>109777</v>
      </c>
      <c r="Q79" s="1499">
        <f>IF(M79&gt;0,$M$190,IFERROR((O79/J79),0))/crop_intensity!$C$7</f>
        <v>2.289204241132623</v>
      </c>
      <c r="R79" s="1105">
        <f t="shared" si="19"/>
        <v>1.5875713758757293</v>
      </c>
    </row>
    <row r="80" spans="1:18" ht="12">
      <c r="A80" s="1396" t="s">
        <v>7091</v>
      </c>
      <c r="B80" s="1427">
        <v>277</v>
      </c>
      <c r="C80" s="1390" t="s">
        <v>7103</v>
      </c>
      <c r="D80" s="1182"/>
      <c r="E80" s="1524">
        <f>IF(M80&gt;0,$N$190,IFERROR((P80/L80),0))/crop_intensity!$D$7</f>
        <v>0.41335140295433026</v>
      </c>
      <c r="F80" s="1446">
        <f t="shared" si="14"/>
        <v>1</v>
      </c>
      <c r="G80" s="1428">
        <f t="shared" si="20"/>
        <v>2.5252766180478901</v>
      </c>
      <c r="H80" s="1392">
        <f t="shared" si="15"/>
        <v>0</v>
      </c>
      <c r="I80" s="1522"/>
      <c r="J80" s="1454"/>
      <c r="K80" s="1434">
        <v>125</v>
      </c>
      <c r="L80" s="1434">
        <v>300</v>
      </c>
      <c r="M80" s="1436">
        <v>0</v>
      </c>
      <c r="N80" s="1416">
        <f t="shared" si="16"/>
        <v>1</v>
      </c>
      <c r="O80" s="1391">
        <f t="shared" si="17"/>
        <v>0</v>
      </c>
      <c r="P80" s="1391">
        <f t="shared" si="18"/>
        <v>125</v>
      </c>
      <c r="Q80" s="1499">
        <f>IF(M80&gt;0,$M$190,IFERROR((O80/J80),0))/crop_intensity!$C$7</f>
        <v>0</v>
      </c>
      <c r="R80" s="1105">
        <f t="shared" si="19"/>
        <v>0</v>
      </c>
    </row>
    <row r="81" spans="1:18" ht="12">
      <c r="A81" s="1396" t="s">
        <v>816</v>
      </c>
      <c r="B81" s="1427">
        <v>780</v>
      </c>
      <c r="C81" s="1390" t="s">
        <v>568</v>
      </c>
      <c r="D81" s="1182"/>
      <c r="E81" s="1524">
        <f>IF(M81&gt;0,$N$190,IFERROR((P81/L81),0))/crop_intensity!$D$7</f>
        <v>2.2365155195366264</v>
      </c>
      <c r="F81" s="1446">
        <f t="shared" si="14"/>
        <v>1</v>
      </c>
      <c r="G81" s="1428">
        <f t="shared" si="20"/>
        <v>2.5252766180478901</v>
      </c>
      <c r="H81" s="1392">
        <f t="shared" si="15"/>
        <v>0</v>
      </c>
      <c r="I81" s="1522"/>
      <c r="J81" s="1454"/>
      <c r="K81" s="1434">
        <v>3432270</v>
      </c>
      <c r="L81" s="1434">
        <v>1522440</v>
      </c>
      <c r="M81" s="1436">
        <v>0</v>
      </c>
      <c r="N81" s="1416">
        <f t="shared" si="16"/>
        <v>1</v>
      </c>
      <c r="O81" s="1391">
        <f t="shared" si="17"/>
        <v>0</v>
      </c>
      <c r="P81" s="1391">
        <f t="shared" si="18"/>
        <v>3432270</v>
      </c>
      <c r="Q81" s="1499">
        <f>IF(M81&gt;0,$M$190,IFERROR((O81/J81),0))/crop_intensity!$C$7</f>
        <v>0</v>
      </c>
      <c r="R81" s="1105">
        <f t="shared" si="19"/>
        <v>0</v>
      </c>
    </row>
    <row r="82" spans="1:18" ht="12">
      <c r="A82" s="1396" t="s">
        <v>7092</v>
      </c>
      <c r="B82" s="1427">
        <v>310</v>
      </c>
      <c r="C82" s="1390" t="s">
        <v>7104</v>
      </c>
      <c r="D82" s="1182"/>
      <c r="E82" s="1524">
        <f>IF(M82&gt;0,$N$190,IFERROR((P82/L82),0))/crop_intensity!$D$7</f>
        <v>1.7506647654536338</v>
      </c>
      <c r="F82" s="1446">
        <f t="shared" si="14"/>
        <v>1</v>
      </c>
      <c r="G82" s="1428">
        <f t="shared" si="20"/>
        <v>2.5252766180478901</v>
      </c>
      <c r="H82" s="1392">
        <f t="shared" si="15"/>
        <v>0</v>
      </c>
      <c r="I82" s="1522"/>
      <c r="J82" s="1454"/>
      <c r="K82" s="1434">
        <v>327000</v>
      </c>
      <c r="L82" s="1434">
        <v>185300</v>
      </c>
      <c r="M82" s="1436">
        <v>0</v>
      </c>
      <c r="N82" s="1416">
        <f t="shared" si="16"/>
        <v>1</v>
      </c>
      <c r="O82" s="1391">
        <f t="shared" si="17"/>
        <v>0</v>
      </c>
      <c r="P82" s="1391">
        <f t="shared" si="18"/>
        <v>327000</v>
      </c>
      <c r="Q82" s="1499">
        <f>IF(M82&gt;0,$M$190,IFERROR((O82/J82),0))/crop_intensity!$C$7</f>
        <v>0</v>
      </c>
      <c r="R82" s="1105">
        <f t="shared" si="19"/>
        <v>0</v>
      </c>
    </row>
    <row r="83" spans="1:18" ht="12">
      <c r="A83" s="1396" t="s">
        <v>4053</v>
      </c>
      <c r="B83" s="1427">
        <v>263</v>
      </c>
      <c r="C83" s="1390" t="s">
        <v>1485</v>
      </c>
      <c r="D83" s="1182"/>
      <c r="E83" s="1524">
        <f>IF(M83&gt;0,$N$190,IFERROR((P83/L83),0))/crop_intensity!$D$7</f>
        <v>1.2793891836116147</v>
      </c>
      <c r="F83" s="1446">
        <f t="shared" si="14"/>
        <v>1</v>
      </c>
      <c r="G83" s="1428">
        <f t="shared" si="20"/>
        <v>2.5252766180478901</v>
      </c>
      <c r="H83" s="1392">
        <f t="shared" si="15"/>
        <v>0</v>
      </c>
      <c r="I83" s="1522"/>
      <c r="J83" s="1454"/>
      <c r="K83" s="1434">
        <v>660430</v>
      </c>
      <c r="L83" s="1434">
        <v>512100</v>
      </c>
      <c r="M83" s="1436">
        <v>0</v>
      </c>
      <c r="N83" s="1416">
        <f t="shared" si="16"/>
        <v>1</v>
      </c>
      <c r="O83" s="1391">
        <f t="shared" si="17"/>
        <v>0</v>
      </c>
      <c r="P83" s="1391">
        <f t="shared" si="18"/>
        <v>660430</v>
      </c>
      <c r="Q83" s="1499">
        <f>IF(M83&gt;0,$M$190,IFERROR((O83/J83),0))/crop_intensity!$C$7</f>
        <v>0</v>
      </c>
      <c r="R83" s="1105">
        <f t="shared" si="19"/>
        <v>0</v>
      </c>
    </row>
    <row r="84" spans="1:18" ht="12">
      <c r="A84" s="1396" t="s">
        <v>569</v>
      </c>
      <c r="B84" s="1427">
        <v>592</v>
      </c>
      <c r="C84" s="1390" t="s">
        <v>570</v>
      </c>
      <c r="D84" s="1182">
        <v>27300</v>
      </c>
      <c r="E84" s="1524">
        <f>IF(M84&gt;0,$N$190,IFERROR((P84/L84),0))/crop_intensity!$D$7</f>
        <v>13.266905639535601</v>
      </c>
      <c r="F84" s="1446">
        <f t="shared" si="14"/>
        <v>1</v>
      </c>
      <c r="G84" s="1428">
        <f t="shared" si="20"/>
        <v>2.5252766180478901</v>
      </c>
      <c r="H84" s="1392">
        <f t="shared" si="15"/>
        <v>5196.3927042086516</v>
      </c>
      <c r="I84" s="1522"/>
      <c r="J84" s="1454">
        <v>1494</v>
      </c>
      <c r="K84" s="1434">
        <v>3261470</v>
      </c>
      <c r="L84" s="1434">
        <v>243879</v>
      </c>
      <c r="M84" s="1436">
        <v>0</v>
      </c>
      <c r="N84" s="1416">
        <f t="shared" si="16"/>
        <v>1</v>
      </c>
      <c r="O84" s="1391">
        <f t="shared" si="17"/>
        <v>27300</v>
      </c>
      <c r="P84" s="1391">
        <f t="shared" si="18"/>
        <v>3261470</v>
      </c>
      <c r="Q84" s="1499">
        <f>IF(M84&gt;0,$M$190,IFERROR((O84/J84),0))/crop_intensity!$C$7</f>
        <v>19.457920683831553</v>
      </c>
      <c r="R84" s="1105">
        <f t="shared" si="19"/>
        <v>1.466651019650477</v>
      </c>
    </row>
    <row r="85" spans="1:18" ht="12">
      <c r="A85" s="1396" t="s">
        <v>571</v>
      </c>
      <c r="B85" s="1427">
        <v>224</v>
      </c>
      <c r="C85" s="1390" t="s">
        <v>572</v>
      </c>
      <c r="D85" s="1182"/>
      <c r="E85" s="1524">
        <f>IF(M85&gt;0,$N$190,IFERROR((P85/L85),0))/crop_intensity!$D$7</f>
        <v>0.56209667431662391</v>
      </c>
      <c r="F85" s="1446">
        <f t="shared" si="14"/>
        <v>1</v>
      </c>
      <c r="G85" s="1428">
        <f t="shared" si="20"/>
        <v>2.5252766180478901</v>
      </c>
      <c r="H85" s="1392">
        <f t="shared" si="15"/>
        <v>0</v>
      </c>
      <c r="I85" s="1522"/>
      <c r="J85" s="1454"/>
      <c r="K85" s="1434">
        <v>293745</v>
      </c>
      <c r="L85" s="1434">
        <v>518430</v>
      </c>
      <c r="M85" s="1436">
        <v>0</v>
      </c>
      <c r="N85" s="1416">
        <f t="shared" si="16"/>
        <v>1</v>
      </c>
      <c r="O85" s="1391">
        <f t="shared" si="17"/>
        <v>0</v>
      </c>
      <c r="P85" s="1391">
        <f t="shared" si="18"/>
        <v>293745</v>
      </c>
      <c r="Q85" s="1499">
        <f>IF(M85&gt;0,$M$190,IFERROR((O85/J85),0))/crop_intensity!$C$7</f>
        <v>0</v>
      </c>
      <c r="R85" s="1105">
        <f t="shared" si="19"/>
        <v>0</v>
      </c>
    </row>
    <row r="86" spans="1:18" ht="12">
      <c r="A86" s="1396" t="s">
        <v>7093</v>
      </c>
      <c r="B86" s="1427">
        <v>407</v>
      </c>
      <c r="C86" s="1390" t="s">
        <v>573</v>
      </c>
      <c r="D86" s="1182"/>
      <c r="E86" s="1524">
        <f>IF(M86&gt;0,$N$190,IFERROR((P86/L86),0))/crop_intensity!$D$7</f>
        <v>16.563645348831379</v>
      </c>
      <c r="F86" s="1446">
        <f t="shared" si="14"/>
        <v>1</v>
      </c>
      <c r="G86" s="1428">
        <f t="shared" si="20"/>
        <v>2.5252766180478901</v>
      </c>
      <c r="H86" s="1392">
        <f t="shared" si="15"/>
        <v>0</v>
      </c>
      <c r="I86" s="1522"/>
      <c r="J86" s="1454"/>
      <c r="K86" s="1434">
        <v>2121590</v>
      </c>
      <c r="L86" s="1434">
        <v>127068</v>
      </c>
      <c r="M86" s="1436">
        <v>0</v>
      </c>
      <c r="N86" s="1416">
        <f t="shared" si="16"/>
        <v>1</v>
      </c>
      <c r="O86" s="1391">
        <f t="shared" si="17"/>
        <v>0</v>
      </c>
      <c r="P86" s="1391">
        <f t="shared" si="18"/>
        <v>2121590</v>
      </c>
      <c r="Q86" s="1499">
        <f>IF(M86&gt;0,$M$190,IFERROR((O86/J86),0))/crop_intensity!$C$7</f>
        <v>0</v>
      </c>
      <c r="R86" s="1105">
        <f t="shared" si="19"/>
        <v>0</v>
      </c>
    </row>
    <row r="87" spans="1:18" ht="12">
      <c r="A87" s="1396" t="s">
        <v>817</v>
      </c>
      <c r="B87" s="1427">
        <v>420</v>
      </c>
      <c r="C87" s="1390" t="s">
        <v>1018</v>
      </c>
      <c r="D87" s="1182">
        <v>42400</v>
      </c>
      <c r="E87" s="1524">
        <f>IF(M87&gt;0,$N$190,IFERROR((P87/L87),0))/crop_intensity!$D$7</f>
        <v>6.7919326468400794</v>
      </c>
      <c r="F87" s="1446">
        <f t="shared" si="14"/>
        <v>1</v>
      </c>
      <c r="G87" s="1428">
        <f t="shared" si="20"/>
        <v>2.5252766180478901</v>
      </c>
      <c r="H87" s="1392">
        <f t="shared" si="15"/>
        <v>15764.54511147799</v>
      </c>
      <c r="I87" s="1522"/>
      <c r="J87" s="1454">
        <v>14967</v>
      </c>
      <c r="K87" s="1434">
        <v>1647670</v>
      </c>
      <c r="L87" s="1434">
        <v>240662</v>
      </c>
      <c r="M87" s="1436">
        <v>0</v>
      </c>
      <c r="N87" s="1416">
        <f t="shared" si="16"/>
        <v>1</v>
      </c>
      <c r="O87" s="1391">
        <f t="shared" si="17"/>
        <v>42400</v>
      </c>
      <c r="P87" s="1391">
        <f t="shared" si="18"/>
        <v>1647670</v>
      </c>
      <c r="Q87" s="1499">
        <f>IF(M87&gt;0,$M$190,IFERROR((O87/J87),0))/crop_intensity!$C$7</f>
        <v>3.0165843744387102</v>
      </c>
      <c r="R87" s="1105">
        <f t="shared" si="19"/>
        <v>0.44414226867255002</v>
      </c>
    </row>
    <row r="88" spans="1:18" ht="12">
      <c r="A88" s="1396" t="s">
        <v>574</v>
      </c>
      <c r="B88" s="1427">
        <v>497</v>
      </c>
      <c r="C88" s="1390" t="s">
        <v>1019</v>
      </c>
      <c r="D88" s="1182">
        <v>827353</v>
      </c>
      <c r="E88" s="1524">
        <f>IF(M88&gt;0,$N$190,IFERROR((P88/L88),0))/crop_intensity!$D$7</f>
        <v>14.993584267379131</v>
      </c>
      <c r="F88" s="1446">
        <f t="shared" si="14"/>
        <v>1</v>
      </c>
      <c r="G88" s="1428">
        <f t="shared" si="20"/>
        <v>2.5252766180478901</v>
      </c>
      <c r="H88" s="1392">
        <f t="shared" si="15"/>
        <v>139345.9461402676</v>
      </c>
      <c r="I88" s="1522"/>
      <c r="J88" s="1454">
        <v>22258</v>
      </c>
      <c r="K88" s="1434">
        <v>15891900</v>
      </c>
      <c r="L88" s="1434">
        <v>1051480</v>
      </c>
      <c r="M88" s="1436">
        <v>0</v>
      </c>
      <c r="N88" s="1416">
        <f t="shared" si="16"/>
        <v>1</v>
      </c>
      <c r="O88" s="1391">
        <f t="shared" si="17"/>
        <v>827353</v>
      </c>
      <c r="P88" s="1391">
        <f t="shared" si="18"/>
        <v>15891900</v>
      </c>
      <c r="Q88" s="1499">
        <f>IF(M88&gt;0,$M$190,IFERROR((O88/J88),0))/crop_intensity!$C$7</f>
        <v>39.581211880168446</v>
      </c>
      <c r="R88" s="1105">
        <f t="shared" si="19"/>
        <v>2.6398765748283095</v>
      </c>
    </row>
    <row r="89" spans="1:18" ht="12">
      <c r="A89" s="1396" t="s">
        <v>575</v>
      </c>
      <c r="B89" s="1427">
        <v>201</v>
      </c>
      <c r="C89" s="1390" t="s">
        <v>576</v>
      </c>
      <c r="D89" s="1182">
        <v>227660</v>
      </c>
      <c r="E89" s="1524">
        <f>IF(M89&gt;0,$N$190,IFERROR((P89/L89),0))/crop_intensity!$D$7</f>
        <v>1.1745089728340548</v>
      </c>
      <c r="F89" s="1446">
        <f t="shared" si="14"/>
        <v>1</v>
      </c>
      <c r="G89" s="1428">
        <f t="shared" si="20"/>
        <v>2.5252766180478901</v>
      </c>
      <c r="H89" s="1392">
        <f t="shared" si="15"/>
        <v>489484.95768197963</v>
      </c>
      <c r="I89" s="1522"/>
      <c r="J89" s="1454">
        <v>140430</v>
      </c>
      <c r="K89" s="1434">
        <v>5303280</v>
      </c>
      <c r="L89" s="1434">
        <v>4479390</v>
      </c>
      <c r="M89" s="1436">
        <v>0</v>
      </c>
      <c r="N89" s="1416">
        <f t="shared" si="16"/>
        <v>1</v>
      </c>
      <c r="O89" s="1391">
        <f t="shared" si="17"/>
        <v>227660</v>
      </c>
      <c r="P89" s="1391">
        <f t="shared" si="18"/>
        <v>5303280</v>
      </c>
      <c r="Q89" s="1499">
        <f>IF(M89&gt;0,$M$190,IFERROR((O89/J89),0))/crop_intensity!$C$7</f>
        <v>1.7262799040269434</v>
      </c>
      <c r="R89" s="1105">
        <f t="shared" si="19"/>
        <v>1.4697886043914012</v>
      </c>
    </row>
    <row r="90" spans="1:18" ht="12">
      <c r="A90" s="1396" t="s">
        <v>577</v>
      </c>
      <c r="B90" s="1427">
        <v>372</v>
      </c>
      <c r="C90" s="1390" t="s">
        <v>4678</v>
      </c>
      <c r="D90" s="1182">
        <v>3586110</v>
      </c>
      <c r="E90" s="1524">
        <f>IF(M90&gt;0,$N$190,IFERROR((P90/L90),0))/crop_intensity!$D$7</f>
        <v>21.507389621125196</v>
      </c>
      <c r="F90" s="1446">
        <f t="shared" si="14"/>
        <v>1</v>
      </c>
      <c r="G90" s="1428">
        <f t="shared" si="20"/>
        <v>2.5252766180478901</v>
      </c>
      <c r="H90" s="1392">
        <f t="shared" si="15"/>
        <v>421060.84895829135</v>
      </c>
      <c r="I90" s="1522"/>
      <c r="J90" s="1454">
        <v>104854</v>
      </c>
      <c r="K90" s="1434">
        <v>24896100</v>
      </c>
      <c r="L90" s="1434">
        <v>1148350</v>
      </c>
      <c r="M90" s="1436">
        <v>0</v>
      </c>
      <c r="N90" s="1416">
        <f t="shared" si="16"/>
        <v>1</v>
      </c>
      <c r="O90" s="1391">
        <f t="shared" si="17"/>
        <v>3586110</v>
      </c>
      <c r="P90" s="1391">
        <f t="shared" si="18"/>
        <v>24896100</v>
      </c>
      <c r="Q90" s="1499">
        <f>IF(M90&gt;0,$M$190,IFERROR((O90/J90),0))/crop_intensity!$C$7</f>
        <v>36.418577924113627</v>
      </c>
      <c r="R90" s="1105">
        <f t="shared" si="19"/>
        <v>1.693305350656884</v>
      </c>
    </row>
    <row r="91" spans="1:18" ht="12">
      <c r="A91" s="1396" t="s">
        <v>261</v>
      </c>
      <c r="B91" s="1427">
        <v>333</v>
      </c>
      <c r="C91" s="1390" t="s">
        <v>1020</v>
      </c>
      <c r="D91" s="1182">
        <v>82250</v>
      </c>
      <c r="E91" s="1524">
        <f>IF(M91&gt;0,$N$190,IFERROR((P91/L91),0))/crop_intensity!$D$7</f>
        <v>0.9932571743373888</v>
      </c>
      <c r="F91" s="1446">
        <f t="shared" si="14"/>
        <v>1</v>
      </c>
      <c r="G91" s="1428">
        <f t="shared" si="20"/>
        <v>2.5252766180478901</v>
      </c>
      <c r="H91" s="1392">
        <f t="shared" si="15"/>
        <v>209114.02122315427</v>
      </c>
      <c r="I91" s="1522"/>
      <c r="J91" s="1454">
        <v>73250</v>
      </c>
      <c r="K91" s="1434">
        <v>2299420</v>
      </c>
      <c r="L91" s="1434">
        <v>2296610</v>
      </c>
      <c r="M91" s="1436">
        <v>0</v>
      </c>
      <c r="N91" s="1416">
        <f t="shared" si="16"/>
        <v>1</v>
      </c>
      <c r="O91" s="1391">
        <f t="shared" si="17"/>
        <v>82250</v>
      </c>
      <c r="P91" s="1391">
        <f t="shared" si="18"/>
        <v>2299420</v>
      </c>
      <c r="Q91" s="1499">
        <f>IF(M91&gt;0,$M$190,IFERROR((O91/J91),0))/crop_intensity!$C$7</f>
        <v>1.1956736453813634</v>
      </c>
      <c r="R91" s="1105">
        <f t="shared" si="19"/>
        <v>1.2037905955011183</v>
      </c>
    </row>
    <row r="92" spans="1:18" ht="12">
      <c r="A92" s="1399" t="s">
        <v>3258</v>
      </c>
      <c r="B92" s="1427">
        <v>210</v>
      </c>
      <c r="C92" s="1390" t="s">
        <v>3259</v>
      </c>
      <c r="D92" s="1182"/>
      <c r="E92" s="1524">
        <f>IF(M92&gt;0,$N$190,IFERROR((P92/L92),0))/crop_intensity!$D$7</f>
        <v>1.1806996411366035</v>
      </c>
      <c r="F92" s="1446">
        <f t="shared" si="14"/>
        <v>1</v>
      </c>
      <c r="G92" s="1428">
        <f t="shared" si="20"/>
        <v>2.5252766180478901</v>
      </c>
      <c r="H92" s="1392">
        <f t="shared" si="15"/>
        <v>0</v>
      </c>
      <c r="I92" s="1522"/>
      <c r="J92" s="1454"/>
      <c r="K92" s="1434">
        <v>773622</v>
      </c>
      <c r="L92" s="1434">
        <v>650010</v>
      </c>
      <c r="M92" s="1436">
        <v>0</v>
      </c>
      <c r="N92" s="1416">
        <f t="shared" si="16"/>
        <v>1</v>
      </c>
      <c r="O92" s="1391">
        <f t="shared" si="17"/>
        <v>0</v>
      </c>
      <c r="P92" s="1391">
        <f t="shared" si="18"/>
        <v>773622</v>
      </c>
      <c r="Q92" s="1499">
        <f>IF(M92&gt;0,$M$190,IFERROR((O92/J92),0))/crop_intensity!$C$7</f>
        <v>0</v>
      </c>
      <c r="R92" s="1105">
        <f t="shared" si="19"/>
        <v>0</v>
      </c>
    </row>
    <row r="93" spans="1:18" ht="12">
      <c r="A93" s="1399" t="s">
        <v>2175</v>
      </c>
      <c r="B93" s="1427">
        <v>56</v>
      </c>
      <c r="C93" s="1390" t="s">
        <v>1021</v>
      </c>
      <c r="D93" s="1182">
        <v>353699008</v>
      </c>
      <c r="E93" s="1524">
        <f>IF(M93&gt;0,$N$190,IFERROR((P93/L93),0))/crop_intensity!$D$7</f>
        <v>5.4186077583299692</v>
      </c>
      <c r="F93" s="1446">
        <f t="shared" si="14"/>
        <v>1</v>
      </c>
      <c r="G93" s="1428">
        <f t="shared" si="20"/>
        <v>2.5252766180478901</v>
      </c>
      <c r="H93" s="1392">
        <f t="shared" si="15"/>
        <v>164837145.36377823</v>
      </c>
      <c r="I93" s="1522"/>
      <c r="J93" s="1454">
        <v>35478000</v>
      </c>
      <c r="K93" s="1434">
        <v>1017960000</v>
      </c>
      <c r="L93" s="1434">
        <v>186368992</v>
      </c>
      <c r="M93" s="1436">
        <v>0</v>
      </c>
      <c r="N93" s="1416">
        <f t="shared" si="16"/>
        <v>1</v>
      </c>
      <c r="O93" s="1391">
        <f t="shared" si="17"/>
        <v>353699008</v>
      </c>
      <c r="P93" s="1391">
        <f t="shared" si="18"/>
        <v>1017960000</v>
      </c>
      <c r="Q93" s="1499">
        <f>IF(M93&gt;0,$M$190,IFERROR((O93/J93),0))/crop_intensity!$C$7</f>
        <v>10.615955553696249</v>
      </c>
      <c r="R93" s="1105">
        <f t="shared" si="19"/>
        <v>1.9591666396919858</v>
      </c>
    </row>
    <row r="94" spans="1:18" ht="12">
      <c r="A94" s="1399" t="s">
        <v>1191</v>
      </c>
      <c r="B94" s="1427">
        <v>636</v>
      </c>
      <c r="C94" s="1390" t="s">
        <v>1192</v>
      </c>
      <c r="D94" s="1182">
        <v>106913000</v>
      </c>
      <c r="E94" s="1524">
        <f>IF(M94&gt;0,$N$190,IFERROR((P94/L94),0))/crop_intensity!$D$7</f>
        <v>38.610704090611534</v>
      </c>
      <c r="F94" s="1446">
        <f t="shared" si="14"/>
        <v>1</v>
      </c>
      <c r="G94" s="1428">
        <f t="shared" si="20"/>
        <v>2.5252766180478901</v>
      </c>
      <c r="H94" s="1392">
        <f t="shared" si="15"/>
        <v>6992488.3636349635</v>
      </c>
      <c r="I94" s="1522"/>
      <c r="J94" s="1454">
        <v>2531720</v>
      </c>
      <c r="K94" s="1434">
        <v>452356000</v>
      </c>
      <c r="L94" s="1434">
        <v>11622600</v>
      </c>
      <c r="M94" s="1436">
        <v>0</v>
      </c>
      <c r="N94" s="1416">
        <f t="shared" si="16"/>
        <v>1</v>
      </c>
      <c r="O94" s="1391">
        <f t="shared" si="17"/>
        <v>106913000</v>
      </c>
      <c r="P94" s="1391">
        <f t="shared" si="18"/>
        <v>452356000</v>
      </c>
      <c r="Q94" s="1499">
        <f>IF(M94&gt;0,$M$190,IFERROR((O94/J94),0))/crop_intensity!$C$7</f>
        <v>44.967549650348488</v>
      </c>
      <c r="R94" s="1105">
        <f t="shared" si="19"/>
        <v>1.1646394622801677</v>
      </c>
    </row>
    <row r="95" spans="1:18" ht="12">
      <c r="A95" s="1399" t="s">
        <v>1195</v>
      </c>
      <c r="B95" s="1427">
        <v>446</v>
      </c>
      <c r="C95" s="1390" t="s">
        <v>1196</v>
      </c>
      <c r="D95" s="1182">
        <v>3808400</v>
      </c>
      <c r="E95" s="1524">
        <f>IF(M95&gt;0,$N$190,IFERROR((P95/L95),0))/crop_intensity!$D$7</f>
        <v>8.7830620283400798</v>
      </c>
      <c r="F95" s="1446">
        <f t="shared" si="14"/>
        <v>1</v>
      </c>
      <c r="G95" s="1428">
        <f t="shared" si="20"/>
        <v>2.5252766180478901</v>
      </c>
      <c r="H95" s="1392">
        <f t="shared" si="15"/>
        <v>1094978.4302037044</v>
      </c>
      <c r="I95" s="1522"/>
      <c r="J95" s="1454">
        <v>224006</v>
      </c>
      <c r="K95" s="1434">
        <v>9776130</v>
      </c>
      <c r="L95" s="1434">
        <v>1104210</v>
      </c>
      <c r="M95" s="1436">
        <v>0</v>
      </c>
      <c r="N95" s="1416">
        <f t="shared" si="16"/>
        <v>1</v>
      </c>
      <c r="O95" s="1391">
        <f t="shared" si="17"/>
        <v>3808400</v>
      </c>
      <c r="P95" s="1391">
        <f t="shared" si="18"/>
        <v>9776130</v>
      </c>
      <c r="Q95" s="1499">
        <f>IF(M95&gt;0,$M$190,IFERROR((O95/J95),0))/crop_intensity!$C$7</f>
        <v>18.103697514718963</v>
      </c>
      <c r="R95" s="1105">
        <f t="shared" si="19"/>
        <v>2.0612056998236183</v>
      </c>
    </row>
    <row r="96" spans="1:18" ht="12">
      <c r="A96" s="1399" t="s">
        <v>5160</v>
      </c>
      <c r="B96" s="1427">
        <v>571</v>
      </c>
      <c r="C96" s="1390" t="s">
        <v>1537</v>
      </c>
      <c r="D96" s="1182">
        <v>890</v>
      </c>
      <c r="E96" s="1524">
        <f>IF(M96&gt;0,$N$190,IFERROR((P96/L96),0))/crop_intensity!$D$7</f>
        <v>8.1086486108834421</v>
      </c>
      <c r="F96" s="1446">
        <f t="shared" si="14"/>
        <v>1</v>
      </c>
      <c r="G96" s="1428">
        <f t="shared" si="20"/>
        <v>2.5252766180478901</v>
      </c>
      <c r="H96" s="1392">
        <f t="shared" si="15"/>
        <v>277.17271988405429</v>
      </c>
      <c r="I96" s="1522"/>
      <c r="J96" s="1454">
        <v>60</v>
      </c>
      <c r="K96" s="1434">
        <v>45198100</v>
      </c>
      <c r="L96" s="1434">
        <v>5529710</v>
      </c>
      <c r="M96" s="1436">
        <v>0</v>
      </c>
      <c r="N96" s="1416">
        <f t="shared" si="16"/>
        <v>1</v>
      </c>
      <c r="O96" s="1391">
        <f t="shared" si="17"/>
        <v>890</v>
      </c>
      <c r="P96" s="1391">
        <f t="shared" si="18"/>
        <v>45198100</v>
      </c>
      <c r="Q96" s="1499">
        <f>IF(M96&gt;0,$M$190,IFERROR((O96/J96),0))/crop_intensity!$C$7</f>
        <v>15.795127482578426</v>
      </c>
      <c r="R96" s="1105">
        <f t="shared" si="19"/>
        <v>1.9479358695329552</v>
      </c>
    </row>
    <row r="97" spans="1:18" ht="12">
      <c r="A97" s="1399" t="s">
        <v>4266</v>
      </c>
      <c r="B97" s="1427">
        <v>809</v>
      </c>
      <c r="C97" s="1390" t="s">
        <v>2203</v>
      </c>
      <c r="D97" s="1182"/>
      <c r="E97" s="1524">
        <f>IF(M97&gt;0,$N$190,IFERROR((P97/L97),0))/crop_intensity!$D$7</f>
        <v>0.61243493580580355</v>
      </c>
      <c r="F97" s="1446">
        <f t="shared" si="14"/>
        <v>1</v>
      </c>
      <c r="G97" s="1428">
        <f t="shared" si="20"/>
        <v>2.5252766180478901</v>
      </c>
      <c r="H97" s="1392">
        <f t="shared" si="15"/>
        <v>0</v>
      </c>
      <c r="I97" s="1522"/>
      <c r="J97" s="1454"/>
      <c r="K97" s="1434">
        <v>103455</v>
      </c>
      <c r="L97" s="1434">
        <v>167580</v>
      </c>
      <c r="M97" s="1436">
        <v>0</v>
      </c>
      <c r="N97" s="1416">
        <f t="shared" si="16"/>
        <v>1</v>
      </c>
      <c r="O97" s="1391">
        <f t="shared" si="17"/>
        <v>0</v>
      </c>
      <c r="P97" s="1391">
        <f t="shared" si="18"/>
        <v>103455</v>
      </c>
      <c r="Q97" s="1499">
        <f>IF(M97&gt;0,$M$190,IFERROR((O97/J97),0))/crop_intensity!$C$7</f>
        <v>0</v>
      </c>
      <c r="R97" s="1105">
        <f t="shared" si="19"/>
        <v>0</v>
      </c>
    </row>
    <row r="98" spans="1:18" ht="12">
      <c r="A98" s="1399" t="s">
        <v>2895</v>
      </c>
      <c r="B98" s="1427">
        <v>671</v>
      </c>
      <c r="C98" s="1390" t="s">
        <v>2896</v>
      </c>
      <c r="D98" s="1182"/>
      <c r="E98" s="1524">
        <f>IF(M98&gt;0,$N$190,IFERROR((P98/L98),0))/crop_intensity!$D$7</f>
        <v>3.1404052735857344</v>
      </c>
      <c r="F98" s="1446">
        <f t="shared" ref="F98:F130" si="21">VLOOKUP("Crop Land",iyf,2,FALSE)</f>
        <v>1</v>
      </c>
      <c r="G98" s="1428">
        <f t="shared" si="20"/>
        <v>2.5252766180478901</v>
      </c>
      <c r="H98" s="1392">
        <f t="shared" si="15"/>
        <v>0</v>
      </c>
      <c r="I98" s="1522"/>
      <c r="J98" s="1454"/>
      <c r="K98" s="1434">
        <v>846470</v>
      </c>
      <c r="L98" s="1434">
        <v>267397</v>
      </c>
      <c r="M98" s="1436">
        <v>0</v>
      </c>
      <c r="N98" s="1416">
        <f t="shared" si="16"/>
        <v>1</v>
      </c>
      <c r="O98" s="1391">
        <f t="shared" si="17"/>
        <v>0</v>
      </c>
      <c r="P98" s="1391">
        <f t="shared" si="18"/>
        <v>846470</v>
      </c>
      <c r="Q98" s="1499">
        <f>IF(M98&gt;0,$M$190,IFERROR((O98/J98),0))/crop_intensity!$C$7</f>
        <v>0</v>
      </c>
      <c r="R98" s="1105">
        <f t="shared" si="19"/>
        <v>0</v>
      </c>
    </row>
    <row r="99" spans="1:18" ht="12">
      <c r="A99" s="1399" t="s">
        <v>2897</v>
      </c>
      <c r="B99" s="1427">
        <v>299</v>
      </c>
      <c r="C99" s="1390" t="s">
        <v>2898</v>
      </c>
      <c r="D99" s="1182"/>
      <c r="E99" s="1524">
        <f>IF(M99&gt;0,$N$190,IFERROR((P99/L99),0))/crop_intensity!$D$7</f>
        <v>0.82126571450520736</v>
      </c>
      <c r="F99" s="1446">
        <f t="shared" si="21"/>
        <v>1</v>
      </c>
      <c r="G99" s="1428">
        <f t="shared" si="20"/>
        <v>2.5252766180478901</v>
      </c>
      <c r="H99" s="1392">
        <f t="shared" si="15"/>
        <v>0</v>
      </c>
      <c r="I99" s="1522"/>
      <c r="J99" s="1454"/>
      <c r="K99" s="1434">
        <v>857705</v>
      </c>
      <c r="L99" s="1434">
        <v>1036060</v>
      </c>
      <c r="M99" s="1436">
        <v>0</v>
      </c>
      <c r="N99" s="1416">
        <f t="shared" si="16"/>
        <v>1</v>
      </c>
      <c r="O99" s="1391">
        <f t="shared" si="17"/>
        <v>0</v>
      </c>
      <c r="P99" s="1391">
        <f t="shared" si="18"/>
        <v>857705</v>
      </c>
      <c r="Q99" s="1499">
        <f>IF(M99&gt;0,$M$190,IFERROR((O99/J99),0))/crop_intensity!$C$7</f>
        <v>0</v>
      </c>
      <c r="R99" s="1105">
        <f t="shared" si="19"/>
        <v>0</v>
      </c>
    </row>
    <row r="100" spans="1:18" ht="12">
      <c r="A100" s="1399" t="s">
        <v>2899</v>
      </c>
      <c r="B100" s="1427">
        <v>79</v>
      </c>
      <c r="C100" s="1390" t="s">
        <v>4068</v>
      </c>
      <c r="D100" s="1182">
        <v>418145</v>
      </c>
      <c r="E100" s="1524">
        <f>IF(M100&gt;0,$N$190,IFERROR((P100/L100),0))/crop_intensity!$D$7</f>
        <v>2.7231473712508003</v>
      </c>
      <c r="F100" s="1446">
        <f t="shared" si="21"/>
        <v>1</v>
      </c>
      <c r="G100" s="1428">
        <f t="shared" si="20"/>
        <v>2.5252766180478901</v>
      </c>
      <c r="H100" s="1392">
        <f t="shared" si="15"/>
        <v>362807.14802801213</v>
      </c>
      <c r="I100" s="1522"/>
      <c r="J100" s="1454">
        <v>258190</v>
      </c>
      <c r="K100" s="1434">
        <v>26877500</v>
      </c>
      <c r="L100" s="1434">
        <v>33365500</v>
      </c>
      <c r="M100" s="1436">
        <v>1</v>
      </c>
      <c r="N100" s="1416">
        <f t="shared" si="16"/>
        <v>0.93564502879811484</v>
      </c>
      <c r="O100" s="1391">
        <f t="shared" si="17"/>
        <v>391235.29056678771</v>
      </c>
      <c r="P100" s="1391">
        <f t="shared" si="18"/>
        <v>25147799.261521332</v>
      </c>
      <c r="Q100" s="1499">
        <f>IF(M100&gt;0,$M$190,IFERROR((O100/J100),0))/crop_intensity!$C$7</f>
        <v>3.5000333108720874</v>
      </c>
      <c r="R100" s="1105">
        <f t="shared" si="19"/>
        <v>1.2852897157983949</v>
      </c>
    </row>
    <row r="101" spans="1:18" ht="12">
      <c r="A101" s="1399" t="s">
        <v>2900</v>
      </c>
      <c r="B101" s="1427">
        <v>103</v>
      </c>
      <c r="C101" s="1390" t="s">
        <v>795</v>
      </c>
      <c r="D101" s="1182"/>
      <c r="E101" s="1524">
        <f>IF(M101&gt;0,$N$190,IFERROR((P101/L101),0))/crop_intensity!$D$7</f>
        <v>2.7231473712508003</v>
      </c>
      <c r="F101" s="1446">
        <f t="shared" si="21"/>
        <v>1</v>
      </c>
      <c r="G101" s="1428">
        <f t="shared" si="20"/>
        <v>2.5252766180478901</v>
      </c>
      <c r="H101" s="1392">
        <f t="shared" si="15"/>
        <v>0</v>
      </c>
      <c r="I101" s="1522"/>
      <c r="J101" s="1454"/>
      <c r="K101" s="1434">
        <v>3830830</v>
      </c>
      <c r="L101" s="1434">
        <v>1260070</v>
      </c>
      <c r="M101" s="1436">
        <v>1</v>
      </c>
      <c r="N101" s="1416">
        <f t="shared" si="16"/>
        <v>1</v>
      </c>
      <c r="O101" s="1391">
        <f t="shared" si="17"/>
        <v>0</v>
      </c>
      <c r="P101" s="1391">
        <f t="shared" si="18"/>
        <v>3830830</v>
      </c>
      <c r="Q101" s="1499">
        <f>IF(M101&gt;0,$M$190,IFERROR((O101/J101),0))/crop_intensity!$C$7</f>
        <v>3.5000333108720874</v>
      </c>
      <c r="R101" s="1105">
        <f t="shared" si="19"/>
        <v>1.2852897157983949</v>
      </c>
    </row>
    <row r="102" spans="1:18" ht="12">
      <c r="A102" s="1429" t="s">
        <v>7789</v>
      </c>
      <c r="B102" s="1427">
        <v>645</v>
      </c>
      <c r="C102" s="1390" t="s">
        <v>7105</v>
      </c>
      <c r="D102" s="1182">
        <v>280000000</v>
      </c>
      <c r="E102" s="1524">
        <f>IF(M102&gt;0,$N$190,IFERROR((P102/L102),0))/crop_intensity!$D$7</f>
        <v>13.289187240645054</v>
      </c>
      <c r="F102" s="1446">
        <f t="shared" ref="F102:F183" si="22">VLOOKUP("Crop Land",iyf,2,FALSE)</f>
        <v>1</v>
      </c>
      <c r="G102" s="1428">
        <f t="shared" si="20"/>
        <v>2.5252766180478901</v>
      </c>
      <c r="H102" s="1392">
        <f t="shared" si="15"/>
        <v>53206974.982699379</v>
      </c>
      <c r="I102" s="1522"/>
      <c r="J102" s="1454">
        <v>16400000</v>
      </c>
      <c r="K102" s="1434">
        <v>1122909952</v>
      </c>
      <c r="L102" s="1434">
        <v>83825696</v>
      </c>
      <c r="M102" s="1436">
        <v>0</v>
      </c>
      <c r="N102" s="1416">
        <f t="shared" si="16"/>
        <v>1</v>
      </c>
      <c r="O102" s="1391">
        <f t="shared" si="17"/>
        <v>280000000</v>
      </c>
      <c r="P102" s="1391">
        <f t="shared" si="18"/>
        <v>1122909952</v>
      </c>
      <c r="Q102" s="1499">
        <f>IF(M102&gt;0,$M$190,IFERROR((O102/J102),0))/crop_intensity!$C$7</f>
        <v>18.180196061065878</v>
      </c>
      <c r="R102" s="1105">
        <f t="shared" si="19"/>
        <v>1.368044240167047</v>
      </c>
    </row>
    <row r="103" spans="1:18" ht="12">
      <c r="A103" s="1399" t="s">
        <v>796</v>
      </c>
      <c r="B103" s="1427">
        <v>449</v>
      </c>
      <c r="C103" s="1390" t="s">
        <v>4069</v>
      </c>
      <c r="D103" s="1182">
        <v>406198</v>
      </c>
      <c r="E103" s="1524">
        <f>IF(M103&gt;0,$N$190,IFERROR((P103/L103),0))/crop_intensity!$D$7</f>
        <v>300.68622327135466</v>
      </c>
      <c r="F103" s="1446">
        <f t="shared" si="21"/>
        <v>1</v>
      </c>
      <c r="G103" s="1428">
        <f t="shared" si="20"/>
        <v>2.5252766180478901</v>
      </c>
      <c r="H103" s="1392">
        <f t="shared" ref="H103:H134" si="23">IFERROR((O103/E103)*G103*F103,0)</f>
        <v>3411.4044219848288</v>
      </c>
      <c r="I103" s="1522"/>
      <c r="J103" s="1454">
        <v>1365.469970703125</v>
      </c>
      <c r="K103" s="1434">
        <v>9926970</v>
      </c>
      <c r="L103" s="1434">
        <v>32751.69921875</v>
      </c>
      <c r="M103" s="1436">
        <v>0</v>
      </c>
      <c r="N103" s="1416">
        <f t="shared" ref="N103:N134" si="24">VLOOKUP(B103,constant_crop_factor,3,FALSE)</f>
        <v>1</v>
      </c>
      <c r="O103" s="1391">
        <f t="shared" ref="O103:O134" si="25">D103*N103</f>
        <v>406198</v>
      </c>
      <c r="P103" s="1391">
        <f t="shared" ref="P103:P134" si="26">K103*N103</f>
        <v>9926970</v>
      </c>
      <c r="Q103" s="1499">
        <f>IF(M103&gt;0,$M$190,IFERROR((O103/J103),0))/crop_intensity!$C$7</f>
        <v>316.76705452578409</v>
      </c>
      <c r="R103" s="1105">
        <f t="shared" ref="R103:R134" si="27">IFERROR(Q103/E103,0)</f>
        <v>1.0534804391085031</v>
      </c>
    </row>
    <row r="104" spans="1:18" ht="12">
      <c r="A104" s="1399" t="s">
        <v>799</v>
      </c>
      <c r="B104" s="1427">
        <v>292</v>
      </c>
      <c r="C104" s="1390" t="s">
        <v>800</v>
      </c>
      <c r="D104" s="1182">
        <v>16660</v>
      </c>
      <c r="E104" s="1524">
        <f>IF(M104&gt;0,$N$190,IFERROR((P104/L104),0))/crop_intensity!$D$7</f>
        <v>0.79848479111987769</v>
      </c>
      <c r="F104" s="1446">
        <f t="shared" si="21"/>
        <v>1</v>
      </c>
      <c r="G104" s="1428">
        <f t="shared" ref="G104:G135" si="28">$G$7</f>
        <v>2.5252766180478901</v>
      </c>
      <c r="H104" s="1392">
        <f t="shared" si="23"/>
        <v>52688.678512802944</v>
      </c>
      <c r="I104" s="1522"/>
      <c r="J104" s="1454">
        <v>17560</v>
      </c>
      <c r="K104" s="1434">
        <v>530743</v>
      </c>
      <c r="L104" s="1434">
        <v>659399</v>
      </c>
      <c r="M104" s="1436">
        <v>0</v>
      </c>
      <c r="N104" s="1416">
        <f t="shared" si="24"/>
        <v>1</v>
      </c>
      <c r="O104" s="1391">
        <f t="shared" si="25"/>
        <v>16660</v>
      </c>
      <c r="P104" s="1391">
        <f t="shared" si="26"/>
        <v>530743</v>
      </c>
      <c r="Q104" s="1499">
        <f>IF(M104&gt;0,$M$190,IFERROR((O104/J104),0))/crop_intensity!$C$7</f>
        <v>1.0102639701815537</v>
      </c>
      <c r="R104" s="1105">
        <f t="shared" si="27"/>
        <v>1.2652263154125389</v>
      </c>
    </row>
    <row r="105" spans="1:18" ht="12">
      <c r="A105" s="1399" t="s">
        <v>801</v>
      </c>
      <c r="B105" s="1427">
        <v>836</v>
      </c>
      <c r="C105" s="1390" t="s">
        <v>2976</v>
      </c>
      <c r="D105" s="1182"/>
      <c r="E105" s="1524">
        <f>IF(M105&gt;0,$N$190,IFERROR((P105/L105),0))/crop_intensity!$D$7</f>
        <v>1.1492489613641417</v>
      </c>
      <c r="F105" s="1446">
        <f t="shared" si="21"/>
        <v>1</v>
      </c>
      <c r="G105" s="1428">
        <f t="shared" si="28"/>
        <v>2.5252766180478901</v>
      </c>
      <c r="H105" s="1392">
        <f t="shared" si="23"/>
        <v>0</v>
      </c>
      <c r="I105" s="1522"/>
      <c r="J105" s="1454"/>
      <c r="K105" s="1434">
        <v>11965800</v>
      </c>
      <c r="L105" s="1434">
        <v>10329000</v>
      </c>
      <c r="M105" s="1436">
        <v>0</v>
      </c>
      <c r="N105" s="1416">
        <f t="shared" si="24"/>
        <v>1</v>
      </c>
      <c r="O105" s="1391">
        <f t="shared" si="25"/>
        <v>0</v>
      </c>
      <c r="P105" s="1391">
        <f t="shared" si="26"/>
        <v>11965800</v>
      </c>
      <c r="Q105" s="1499">
        <f>IF(M105&gt;0,$M$190,IFERROR((O105/J105),0))/crop_intensity!$C$7</f>
        <v>0</v>
      </c>
      <c r="R105" s="1105">
        <f t="shared" si="27"/>
        <v>0</v>
      </c>
    </row>
    <row r="106" spans="1:18" ht="12">
      <c r="A106" s="1399" t="s">
        <v>802</v>
      </c>
      <c r="B106" s="1427">
        <v>702</v>
      </c>
      <c r="C106" s="1390" t="s">
        <v>4679</v>
      </c>
      <c r="D106" s="1182"/>
      <c r="E106" s="1524">
        <f>IF(M106&gt;0,$N$190,IFERROR((P106/L106),0))/crop_intensity!$D$7</f>
        <v>0.2782925771592657</v>
      </c>
      <c r="F106" s="1446">
        <f t="shared" si="21"/>
        <v>1</v>
      </c>
      <c r="G106" s="1428">
        <f t="shared" si="28"/>
        <v>2.5252766180478901</v>
      </c>
      <c r="H106" s="1392">
        <f t="shared" si="23"/>
        <v>0</v>
      </c>
      <c r="I106" s="1522"/>
      <c r="J106" s="1454"/>
      <c r="K106" s="1434">
        <v>94348</v>
      </c>
      <c r="L106" s="1434">
        <v>336327</v>
      </c>
      <c r="M106" s="1436">
        <v>0</v>
      </c>
      <c r="N106" s="1416">
        <f t="shared" si="24"/>
        <v>1</v>
      </c>
      <c r="O106" s="1391">
        <f t="shared" si="25"/>
        <v>0</v>
      </c>
      <c r="P106" s="1391">
        <f t="shared" si="26"/>
        <v>94348</v>
      </c>
      <c r="Q106" s="1499">
        <f>IF(M106&gt;0,$M$190,IFERROR((O106/J106),0))/crop_intensity!$C$7</f>
        <v>0</v>
      </c>
      <c r="R106" s="1105">
        <f t="shared" si="27"/>
        <v>0</v>
      </c>
    </row>
    <row r="107" spans="1:18" ht="12">
      <c r="A107" s="1399" t="s">
        <v>915</v>
      </c>
      <c r="B107" s="1427">
        <v>234</v>
      </c>
      <c r="C107" s="1390" t="s">
        <v>803</v>
      </c>
      <c r="D107" s="1182">
        <v>122296</v>
      </c>
      <c r="E107" s="1524">
        <f>IF(M107&gt;0,$N$190,IFERROR((P107/L107),0))/crop_intensity!$D$7</f>
        <v>1.3588291364473528</v>
      </c>
      <c r="F107" s="1446">
        <f t="shared" si="21"/>
        <v>1</v>
      </c>
      <c r="G107" s="1428">
        <f t="shared" si="28"/>
        <v>2.5252766180478901</v>
      </c>
      <c r="H107" s="1392">
        <f t="shared" si="23"/>
        <v>227277.45600761945</v>
      </c>
      <c r="I107" s="1522"/>
      <c r="J107" s="1454">
        <v>55829</v>
      </c>
      <c r="K107" s="1434">
        <v>808531</v>
      </c>
      <c r="L107" s="1434">
        <v>590286</v>
      </c>
      <c r="M107" s="1436">
        <v>0</v>
      </c>
      <c r="N107" s="1416">
        <f t="shared" si="24"/>
        <v>1</v>
      </c>
      <c r="O107" s="1391">
        <f t="shared" si="25"/>
        <v>122296</v>
      </c>
      <c r="P107" s="1391">
        <f t="shared" si="26"/>
        <v>808531</v>
      </c>
      <c r="Q107" s="1499">
        <f>IF(M107&gt;0,$M$190,IFERROR((O107/J107),0))/crop_intensity!$C$7</f>
        <v>2.3325812636251158</v>
      </c>
      <c r="R107" s="1105">
        <f t="shared" si="27"/>
        <v>1.7166111625510398</v>
      </c>
    </row>
    <row r="108" spans="1:18" ht="12">
      <c r="A108" s="1399" t="s">
        <v>804</v>
      </c>
      <c r="B108" s="1427">
        <v>75</v>
      </c>
      <c r="C108" s="1390" t="s">
        <v>2977</v>
      </c>
      <c r="D108" s="1182">
        <v>1016020</v>
      </c>
      <c r="E108" s="1524">
        <f>IF(M108&gt;0,$N$190,IFERROR((P108/L108),0))/crop_intensity!$D$7</f>
        <v>2.7231473712508003</v>
      </c>
      <c r="F108" s="1446">
        <f t="shared" si="21"/>
        <v>1</v>
      </c>
      <c r="G108" s="1428">
        <f t="shared" si="28"/>
        <v>2.5252766180478901</v>
      </c>
      <c r="H108" s="1392">
        <f t="shared" si="23"/>
        <v>1202360.3129237492</v>
      </c>
      <c r="I108" s="1522"/>
      <c r="J108" s="1454">
        <v>416827</v>
      </c>
      <c r="K108" s="1434">
        <v>23881300</v>
      </c>
      <c r="L108" s="1434">
        <v>9783990</v>
      </c>
      <c r="M108" s="1436">
        <v>1</v>
      </c>
      <c r="N108" s="1416">
        <f t="shared" si="24"/>
        <v>1.2761289567149765</v>
      </c>
      <c r="O108" s="1391">
        <f t="shared" si="25"/>
        <v>1296572.5426015505</v>
      </c>
      <c r="P108" s="1391">
        <f t="shared" si="26"/>
        <v>30475618.45399737</v>
      </c>
      <c r="Q108" s="1499">
        <f>IF(M108&gt;0,$M$190,IFERROR((O108/J108),0))/crop_intensity!$C$7</f>
        <v>3.5000333108720874</v>
      </c>
      <c r="R108" s="1105">
        <f t="shared" si="27"/>
        <v>1.2852897157983949</v>
      </c>
    </row>
    <row r="109" spans="1:18" ht="12">
      <c r="A109" s="1399" t="s">
        <v>805</v>
      </c>
      <c r="B109" s="1427">
        <v>254</v>
      </c>
      <c r="C109" s="1390" t="s">
        <v>806</v>
      </c>
      <c r="D109" s="1182"/>
      <c r="E109" s="1524">
        <f>IF(M109&gt;0,$N$190,IFERROR((P109/L109),0))/crop_intensity!$D$7</f>
        <v>14.572402155860942</v>
      </c>
      <c r="F109" s="1446">
        <f t="shared" si="21"/>
        <v>1</v>
      </c>
      <c r="G109" s="1428">
        <f t="shared" si="28"/>
        <v>2.5252766180478901</v>
      </c>
      <c r="H109" s="1392">
        <f t="shared" si="23"/>
        <v>0</v>
      </c>
      <c r="I109" s="1522"/>
      <c r="J109" s="1454"/>
      <c r="K109" s="1434">
        <v>264172000</v>
      </c>
      <c r="L109" s="1434">
        <v>17984000</v>
      </c>
      <c r="M109" s="1436">
        <v>0</v>
      </c>
      <c r="N109" s="1416">
        <f t="shared" si="24"/>
        <v>1</v>
      </c>
      <c r="O109" s="1391">
        <f t="shared" si="25"/>
        <v>0</v>
      </c>
      <c r="P109" s="1391">
        <f t="shared" si="26"/>
        <v>264172000</v>
      </c>
      <c r="Q109" s="1499">
        <f>IF(M109&gt;0,$M$190,IFERROR((O109/J109),0))/crop_intensity!$C$7</f>
        <v>0</v>
      </c>
      <c r="R109" s="1105">
        <f t="shared" si="27"/>
        <v>0</v>
      </c>
    </row>
    <row r="110" spans="1:18" ht="12">
      <c r="A110" s="1399" t="s">
        <v>633</v>
      </c>
      <c r="B110" s="1427">
        <v>339</v>
      </c>
      <c r="C110" s="1390" t="s">
        <v>5551</v>
      </c>
      <c r="D110" s="1182"/>
      <c r="E110" s="1524">
        <f>IF(M110&gt;0,$N$190,IFERROR((P110/L110),0))/crop_intensity!$D$7</f>
        <v>0.83133558330358814</v>
      </c>
      <c r="F110" s="1446">
        <f t="shared" si="21"/>
        <v>1</v>
      </c>
      <c r="G110" s="1428">
        <f t="shared" si="28"/>
        <v>2.5252766180478901</v>
      </c>
      <c r="H110" s="1392">
        <f t="shared" si="23"/>
        <v>0</v>
      </c>
      <c r="I110" s="1522"/>
      <c r="J110" s="1454"/>
      <c r="K110" s="1434">
        <v>3841650</v>
      </c>
      <c r="L110" s="1434">
        <v>4584290</v>
      </c>
      <c r="M110" s="1436">
        <v>0</v>
      </c>
      <c r="N110" s="1416">
        <f t="shared" si="24"/>
        <v>1</v>
      </c>
      <c r="O110" s="1391">
        <f t="shared" si="25"/>
        <v>0</v>
      </c>
      <c r="P110" s="1391">
        <f t="shared" si="26"/>
        <v>3841650</v>
      </c>
      <c r="Q110" s="1499">
        <f>IF(M110&gt;0,$M$190,IFERROR((O110/J110),0))/crop_intensity!$C$7</f>
        <v>0</v>
      </c>
      <c r="R110" s="1105">
        <f t="shared" si="27"/>
        <v>0</v>
      </c>
    </row>
    <row r="111" spans="1:18" ht="12">
      <c r="A111" s="1399" t="s">
        <v>807</v>
      </c>
      <c r="B111" s="1427">
        <v>430</v>
      </c>
      <c r="C111" s="1390" t="s">
        <v>808</v>
      </c>
      <c r="D111" s="1182">
        <v>8439</v>
      </c>
      <c r="E111" s="1524">
        <f>IF(M111&gt;0,$N$190,IFERROR((P111/L111),0))/crop_intensity!$D$7</f>
        <v>8.0302641869041942</v>
      </c>
      <c r="F111" s="1446">
        <f t="shared" si="21"/>
        <v>1</v>
      </c>
      <c r="G111" s="1428">
        <f t="shared" si="28"/>
        <v>2.5252766180478901</v>
      </c>
      <c r="H111" s="1392">
        <f t="shared" si="23"/>
        <v>2653.8117406473311</v>
      </c>
      <c r="I111" s="1522"/>
      <c r="J111" s="1454">
        <v>1158</v>
      </c>
      <c r="K111" s="1434">
        <v>9466960</v>
      </c>
      <c r="L111" s="1434">
        <v>1169530</v>
      </c>
      <c r="M111" s="1436">
        <v>0</v>
      </c>
      <c r="N111" s="1416">
        <f t="shared" si="24"/>
        <v>1</v>
      </c>
      <c r="O111" s="1391">
        <f t="shared" si="25"/>
        <v>8439</v>
      </c>
      <c r="P111" s="1391">
        <f t="shared" si="26"/>
        <v>9466960</v>
      </c>
      <c r="Q111" s="1499">
        <f>IF(M111&gt;0,$M$190,IFERROR((O111/J111),0))/crop_intensity!$C$7</f>
        <v>7.760090867175836</v>
      </c>
      <c r="R111" s="1105">
        <f t="shared" si="27"/>
        <v>0.96635561253775948</v>
      </c>
    </row>
    <row r="112" spans="1:18" ht="12">
      <c r="A112" s="1399" t="s">
        <v>3874</v>
      </c>
      <c r="B112" s="1427">
        <v>260</v>
      </c>
      <c r="C112" s="1390" t="s">
        <v>2981</v>
      </c>
      <c r="D112" s="1182">
        <v>150560</v>
      </c>
      <c r="E112" s="1524">
        <f>IF(M112&gt;0,$N$190,IFERROR((P112/L112),0))/crop_intensity!$D$7</f>
        <v>2.1138840221530404</v>
      </c>
      <c r="F112" s="1446">
        <f t="shared" si="21"/>
        <v>1</v>
      </c>
      <c r="G112" s="1428">
        <f t="shared" si="28"/>
        <v>2.5252766180478901</v>
      </c>
      <c r="H112" s="1392">
        <f t="shared" si="23"/>
        <v>179861.16722999871</v>
      </c>
      <c r="I112" s="1522"/>
      <c r="J112" s="1454">
        <v>16187</v>
      </c>
      <c r="K112" s="1434">
        <v>22039900</v>
      </c>
      <c r="L112" s="1434">
        <v>10343300</v>
      </c>
      <c r="M112" s="1436">
        <v>0</v>
      </c>
      <c r="N112" s="1416">
        <f t="shared" si="24"/>
        <v>1</v>
      </c>
      <c r="O112" s="1391">
        <f t="shared" si="25"/>
        <v>150560</v>
      </c>
      <c r="P112" s="1391">
        <f t="shared" si="26"/>
        <v>22039900</v>
      </c>
      <c r="Q112" s="1499">
        <f>IF(M112&gt;0,$M$190,IFERROR((O112/J112),0))/crop_intensity!$C$7</f>
        <v>9.9043873899793677</v>
      </c>
      <c r="R112" s="1105">
        <f t="shared" si="27"/>
        <v>4.6853977257898558</v>
      </c>
    </row>
    <row r="113" spans="1:18" ht="12">
      <c r="A113" s="1399" t="s">
        <v>3504</v>
      </c>
      <c r="B113" s="1427">
        <v>402</v>
      </c>
      <c r="C113" s="1390" t="s">
        <v>3505</v>
      </c>
      <c r="D113" s="1182"/>
      <c r="E113" s="1524">
        <f>IF(M113&gt;0,$N$190,IFERROR((P113/L113),0))/crop_intensity!$D$7</f>
        <v>18.451009625352974</v>
      </c>
      <c r="F113" s="1446">
        <f t="shared" si="21"/>
        <v>1</v>
      </c>
      <c r="G113" s="1428">
        <f t="shared" si="28"/>
        <v>2.5252766180478901</v>
      </c>
      <c r="H113" s="1392">
        <f t="shared" si="23"/>
        <v>0</v>
      </c>
      <c r="I113" s="1522"/>
      <c r="J113" s="1454"/>
      <c r="K113" s="1434">
        <v>4282400</v>
      </c>
      <c r="L113" s="1434">
        <v>230249</v>
      </c>
      <c r="M113" s="1436">
        <v>0</v>
      </c>
      <c r="N113" s="1416">
        <f t="shared" si="24"/>
        <v>1</v>
      </c>
      <c r="O113" s="1391">
        <f t="shared" si="25"/>
        <v>0</v>
      </c>
      <c r="P113" s="1391">
        <f t="shared" si="26"/>
        <v>4282400</v>
      </c>
      <c r="Q113" s="1499">
        <f>IF(M113&gt;0,$M$190,IFERROR((O113/J113),0))/crop_intensity!$C$7</f>
        <v>0</v>
      </c>
      <c r="R113" s="1105">
        <f t="shared" si="27"/>
        <v>0</v>
      </c>
    </row>
    <row r="114" spans="1:18" ht="12">
      <c r="A114" s="1399" t="s">
        <v>2495</v>
      </c>
      <c r="B114" s="1427">
        <v>403</v>
      </c>
      <c r="C114" s="1390" t="s">
        <v>3225</v>
      </c>
      <c r="D114" s="1182">
        <v>3159400</v>
      </c>
      <c r="E114" s="1524">
        <f>IF(M114&gt;0,$N$190,IFERROR((P114/L114),0))/crop_intensity!$D$7</f>
        <v>19.146494516507591</v>
      </c>
      <c r="F114" s="1446">
        <f t="shared" si="21"/>
        <v>1</v>
      </c>
      <c r="G114" s="1428">
        <f t="shared" si="28"/>
        <v>2.5252766180478901</v>
      </c>
      <c r="H114" s="1392">
        <f t="shared" si="23"/>
        <v>416700.76682610373</v>
      </c>
      <c r="I114" s="1522"/>
      <c r="J114" s="1454">
        <v>58007</v>
      </c>
      <c r="K114" s="1434">
        <v>89190200</v>
      </c>
      <c r="L114" s="1434">
        <v>4621240</v>
      </c>
      <c r="M114" s="1436">
        <v>0</v>
      </c>
      <c r="N114" s="1416">
        <f t="shared" si="24"/>
        <v>1</v>
      </c>
      <c r="O114" s="1391">
        <f t="shared" si="25"/>
        <v>3159400</v>
      </c>
      <c r="P114" s="1391">
        <f t="shared" si="26"/>
        <v>89190200</v>
      </c>
      <c r="Q114" s="1499">
        <f>IF(M114&gt;0,$M$190,IFERROR((O114/J114),0))/crop_intensity!$C$7</f>
        <v>57.997408412496831</v>
      </c>
      <c r="R114" s="1105">
        <f t="shared" si="27"/>
        <v>3.0291397917510712</v>
      </c>
    </row>
    <row r="115" spans="1:18" ht="12">
      <c r="A115" s="1399" t="s">
        <v>3226</v>
      </c>
      <c r="B115" s="1427">
        <v>490</v>
      </c>
      <c r="C115" s="1390" t="s">
        <v>2982</v>
      </c>
      <c r="D115" s="1182">
        <v>7574090</v>
      </c>
      <c r="E115" s="1524">
        <f>IF(M115&gt;0,$N$190,IFERROR((P115/L115),0))/crop_intensity!$D$7</f>
        <v>17.325295994095207</v>
      </c>
      <c r="F115" s="1446">
        <f t="shared" si="21"/>
        <v>1</v>
      </c>
      <c r="G115" s="1428">
        <f t="shared" si="28"/>
        <v>2.5252766180478901</v>
      </c>
      <c r="H115" s="1392">
        <f t="shared" si="23"/>
        <v>1103973.772598695</v>
      </c>
      <c r="I115" s="1522"/>
      <c r="J115" s="1454">
        <v>248073</v>
      </c>
      <c r="K115" s="1434">
        <v>71853000</v>
      </c>
      <c r="L115" s="1434">
        <v>4114290</v>
      </c>
      <c r="M115" s="1436">
        <v>0</v>
      </c>
      <c r="N115" s="1416">
        <f t="shared" si="24"/>
        <v>1</v>
      </c>
      <c r="O115" s="1391">
        <f t="shared" si="25"/>
        <v>7574090</v>
      </c>
      <c r="P115" s="1391">
        <f t="shared" si="26"/>
        <v>71853000</v>
      </c>
      <c r="Q115" s="1499">
        <f>IF(M115&gt;0,$M$190,IFERROR((O115/J115),0))/crop_intensity!$C$7</f>
        <v>32.511375329902869</v>
      </c>
      <c r="R115" s="1105">
        <f t="shared" si="27"/>
        <v>1.8765264005292244</v>
      </c>
    </row>
    <row r="116" spans="1:18" ht="12">
      <c r="A116" s="1399" t="s">
        <v>5179</v>
      </c>
      <c r="B116" s="1427">
        <v>782</v>
      </c>
      <c r="C116" s="1390" t="s">
        <v>5552</v>
      </c>
      <c r="D116" s="1182"/>
      <c r="E116" s="1524">
        <f>IF(M116&gt;0,$N$190,IFERROR((P116/L116),0))/crop_intensity!$D$7</f>
        <v>1.3480586766389215</v>
      </c>
      <c r="F116" s="1446">
        <f t="shared" si="21"/>
        <v>1</v>
      </c>
      <c r="G116" s="1428">
        <f t="shared" si="28"/>
        <v>2.5252766180478901</v>
      </c>
      <c r="H116" s="1392">
        <f t="shared" si="23"/>
        <v>0</v>
      </c>
      <c r="I116" s="1522"/>
      <c r="J116" s="1454"/>
      <c r="K116" s="1434">
        <v>257169</v>
      </c>
      <c r="L116" s="1434">
        <v>189252</v>
      </c>
      <c r="M116" s="1436">
        <v>0</v>
      </c>
      <c r="N116" s="1416">
        <f t="shared" si="24"/>
        <v>1</v>
      </c>
      <c r="O116" s="1391">
        <f t="shared" si="25"/>
        <v>0</v>
      </c>
      <c r="P116" s="1391">
        <f t="shared" si="26"/>
        <v>257169</v>
      </c>
      <c r="Q116" s="1499">
        <f>IF(M116&gt;0,$M$190,IFERROR((O116/J116),0))/crop_intensity!$C$7</f>
        <v>0</v>
      </c>
      <c r="R116" s="1105">
        <f t="shared" si="27"/>
        <v>0</v>
      </c>
    </row>
    <row r="117" spans="1:18" ht="12">
      <c r="A117" s="1399" t="s">
        <v>3227</v>
      </c>
      <c r="B117" s="1427">
        <v>568</v>
      </c>
      <c r="C117" s="1390" t="s">
        <v>3228</v>
      </c>
      <c r="D117" s="1182">
        <v>986066</v>
      </c>
      <c r="E117" s="1524">
        <f>IF(M117&gt;0,$N$190,IFERROR((P117/L117),0))/crop_intensity!$D$7</f>
        <v>24.643961183344821</v>
      </c>
      <c r="F117" s="1446">
        <f t="shared" si="21"/>
        <v>1</v>
      </c>
      <c r="G117" s="1428">
        <f t="shared" si="28"/>
        <v>2.5252766180478901</v>
      </c>
      <c r="H117" s="1392">
        <f t="shared" si="23"/>
        <v>101042.57976736683</v>
      </c>
      <c r="I117" s="1522"/>
      <c r="J117" s="1454">
        <v>33508</v>
      </c>
      <c r="K117" s="1434">
        <v>29604500</v>
      </c>
      <c r="L117" s="1434">
        <v>1191730</v>
      </c>
      <c r="M117" s="1436">
        <v>0</v>
      </c>
      <c r="N117" s="1416">
        <f t="shared" si="24"/>
        <v>1</v>
      </c>
      <c r="O117" s="1391">
        <f t="shared" si="25"/>
        <v>986066</v>
      </c>
      <c r="P117" s="1391">
        <f t="shared" si="26"/>
        <v>29604500</v>
      </c>
      <c r="Q117" s="1499">
        <f>IF(M117&gt;0,$M$190,IFERROR((O117/J117),0))/crop_intensity!$C$7</f>
        <v>31.335877213765173</v>
      </c>
      <c r="R117" s="1105">
        <f t="shared" si="27"/>
        <v>1.2715438472181559</v>
      </c>
    </row>
    <row r="118" spans="1:18" ht="12">
      <c r="A118" s="1399" t="s">
        <v>948</v>
      </c>
      <c r="B118" s="1427">
        <v>600</v>
      </c>
      <c r="C118" s="1390" t="s">
        <v>949</v>
      </c>
      <c r="D118" s="1182">
        <v>12515</v>
      </c>
      <c r="E118" s="1524">
        <f>IF(M118&gt;0,$N$190,IFERROR((P118/L118),0))/crop_intensity!$D$7</f>
        <v>27.93704604932022</v>
      </c>
      <c r="F118" s="1446">
        <f t="shared" si="21"/>
        <v>1</v>
      </c>
      <c r="G118" s="1428">
        <f t="shared" si="28"/>
        <v>2.5252766180478901</v>
      </c>
      <c r="H118" s="1392">
        <f t="shared" si="23"/>
        <v>1131.2519161501812</v>
      </c>
      <c r="I118" s="1522"/>
      <c r="J118" s="1454">
        <v>510</v>
      </c>
      <c r="K118" s="1434">
        <v>12420600</v>
      </c>
      <c r="L118" s="1434">
        <v>441055</v>
      </c>
      <c r="M118" s="1436">
        <v>0</v>
      </c>
      <c r="N118" s="1416">
        <f t="shared" si="24"/>
        <v>1</v>
      </c>
      <c r="O118" s="1391">
        <f t="shared" si="25"/>
        <v>12515</v>
      </c>
      <c r="P118" s="1391">
        <f t="shared" si="26"/>
        <v>12420600</v>
      </c>
      <c r="Q118" s="1499">
        <f>IF(M118&gt;0,$M$190,IFERROR((O118/J118),0))/crop_intensity!$C$7</f>
        <v>26.130339781159151</v>
      </c>
      <c r="R118" s="1105">
        <f t="shared" si="27"/>
        <v>0.9353293735861874</v>
      </c>
    </row>
    <row r="119" spans="1:18" ht="12">
      <c r="A119" s="1399" t="s">
        <v>4466</v>
      </c>
      <c r="B119" s="1427">
        <v>534</v>
      </c>
      <c r="C119" s="1390" t="s">
        <v>2622</v>
      </c>
      <c r="D119" s="1182">
        <v>964890</v>
      </c>
      <c r="E119" s="1524">
        <f>IF(M119&gt;0,$N$190,IFERROR((P119/L119),0))/crop_intensity!$D$7</f>
        <v>13.956081850815581</v>
      </c>
      <c r="F119" s="1446">
        <f t="shared" si="21"/>
        <v>1</v>
      </c>
      <c r="G119" s="1428">
        <f t="shared" si="28"/>
        <v>2.5252766180478901</v>
      </c>
      <c r="H119" s="1392">
        <f t="shared" si="23"/>
        <v>174591.56388122181</v>
      </c>
      <c r="I119" s="1522"/>
      <c r="J119" s="1454">
        <v>49932</v>
      </c>
      <c r="K119" s="1434">
        <v>21639000</v>
      </c>
      <c r="L119" s="1434">
        <v>1538170</v>
      </c>
      <c r="M119" s="1436">
        <v>0</v>
      </c>
      <c r="N119" s="1416">
        <f t="shared" si="24"/>
        <v>1</v>
      </c>
      <c r="O119" s="1391">
        <f t="shared" si="25"/>
        <v>964890</v>
      </c>
      <c r="P119" s="1391">
        <f t="shared" si="26"/>
        <v>21639000</v>
      </c>
      <c r="Q119" s="1499">
        <f>IF(M119&gt;0,$M$190,IFERROR((O119/J119),0))/crop_intensity!$C$7</f>
        <v>20.577055208564676</v>
      </c>
      <c r="R119" s="1105">
        <f t="shared" si="27"/>
        <v>1.4744149130482616</v>
      </c>
    </row>
    <row r="120" spans="1:18" ht="12">
      <c r="A120" s="1399" t="s">
        <v>2623</v>
      </c>
      <c r="B120" s="1427">
        <v>521</v>
      </c>
      <c r="C120" s="1390" t="s">
        <v>5264</v>
      </c>
      <c r="D120" s="1182">
        <v>795557</v>
      </c>
      <c r="E120" s="1524">
        <f>IF(M120&gt;0,$N$190,IFERROR((P120/L120),0))/crop_intensity!$D$7</f>
        <v>14.150280487313289</v>
      </c>
      <c r="F120" s="1446">
        <f t="shared" si="21"/>
        <v>1</v>
      </c>
      <c r="G120" s="1428">
        <f t="shared" si="28"/>
        <v>2.5252766180478901</v>
      </c>
      <c r="H120" s="1392">
        <f t="shared" si="23"/>
        <v>141976.08960653006</v>
      </c>
      <c r="I120" s="1522"/>
      <c r="J120" s="1454">
        <v>19840</v>
      </c>
      <c r="K120" s="1434">
        <v>25203800</v>
      </c>
      <c r="L120" s="1434">
        <v>1766980</v>
      </c>
      <c r="M120" s="1436">
        <v>0</v>
      </c>
      <c r="N120" s="1416">
        <f t="shared" si="24"/>
        <v>1</v>
      </c>
      <c r="O120" s="1391">
        <f t="shared" si="25"/>
        <v>795557</v>
      </c>
      <c r="P120" s="1391">
        <f t="shared" si="26"/>
        <v>25203800</v>
      </c>
      <c r="Q120" s="1499">
        <f>IF(M120&gt;0,$M$190,IFERROR((O120/J120),0))/crop_intensity!$C$7</f>
        <v>42.698637078621033</v>
      </c>
      <c r="R120" s="1105">
        <f t="shared" si="27"/>
        <v>3.0175117105914144</v>
      </c>
    </row>
    <row r="121" spans="1:18" ht="12">
      <c r="A121" s="1399" t="s">
        <v>5265</v>
      </c>
      <c r="B121" s="1427">
        <v>187</v>
      </c>
      <c r="C121" s="1390" t="s">
        <v>5266</v>
      </c>
      <c r="D121" s="1182">
        <v>708510</v>
      </c>
      <c r="E121" s="1524">
        <f>IF(M121&gt;0,$N$190,IFERROR((P121/L121),0))/crop_intensity!$D$7</f>
        <v>1.6890847526927009</v>
      </c>
      <c r="F121" s="1446">
        <f t="shared" si="21"/>
        <v>1</v>
      </c>
      <c r="G121" s="1428">
        <f t="shared" si="28"/>
        <v>2.5252766180478901</v>
      </c>
      <c r="H121" s="1392">
        <f t="shared" si="23"/>
        <v>1059262.2624772582</v>
      </c>
      <c r="I121" s="1522"/>
      <c r="J121" s="1454">
        <v>322540</v>
      </c>
      <c r="K121" s="1434">
        <v>11450200</v>
      </c>
      <c r="L121" s="1434">
        <v>6725000</v>
      </c>
      <c r="M121" s="1436">
        <v>0</v>
      </c>
      <c r="N121" s="1416">
        <f t="shared" si="24"/>
        <v>1</v>
      </c>
      <c r="O121" s="1391">
        <f t="shared" si="25"/>
        <v>708510</v>
      </c>
      <c r="P121" s="1391">
        <f t="shared" si="26"/>
        <v>11450200</v>
      </c>
      <c r="Q121" s="1499">
        <f>IF(M121&gt;0,$M$190,IFERROR((O121/J121),0))/crop_intensity!$C$7</f>
        <v>2.3390891900905189</v>
      </c>
      <c r="R121" s="1105">
        <f t="shared" si="27"/>
        <v>1.3848264193739217</v>
      </c>
    </row>
    <row r="122" spans="1:18" ht="12">
      <c r="A122" s="1399" t="s">
        <v>5267</v>
      </c>
      <c r="B122" s="1427">
        <v>417</v>
      </c>
      <c r="C122" s="1390" t="s">
        <v>5268</v>
      </c>
      <c r="D122" s="1182">
        <v>323004</v>
      </c>
      <c r="E122" s="1524">
        <f>IF(M122&gt;0,$N$190,IFERROR((P122/L122),0))/crop_intensity!$D$7</f>
        <v>7.5150502337741685</v>
      </c>
      <c r="F122" s="1446">
        <f t="shared" si="21"/>
        <v>1</v>
      </c>
      <c r="G122" s="1428">
        <f t="shared" si="28"/>
        <v>2.5252766180478901</v>
      </c>
      <c r="H122" s="1392">
        <f t="shared" si="23"/>
        <v>108538.788612501</v>
      </c>
      <c r="I122" s="1522"/>
      <c r="J122" s="1454">
        <v>72156</v>
      </c>
      <c r="K122" s="1434">
        <v>17431200</v>
      </c>
      <c r="L122" s="1434">
        <v>2301050</v>
      </c>
      <c r="M122" s="1436">
        <v>0</v>
      </c>
      <c r="N122" s="1416">
        <f t="shared" si="24"/>
        <v>1</v>
      </c>
      <c r="O122" s="1391">
        <f t="shared" si="25"/>
        <v>323004</v>
      </c>
      <c r="P122" s="1391">
        <f t="shared" si="26"/>
        <v>17431200</v>
      </c>
      <c r="Q122" s="1499">
        <f>IF(M122&gt;0,$M$190,IFERROR((O122/J122),0))/crop_intensity!$C$7</f>
        <v>4.7667220622945807</v>
      </c>
      <c r="R122" s="1105">
        <f t="shared" si="27"/>
        <v>0.63429011304168792</v>
      </c>
    </row>
    <row r="123" spans="1:18" ht="12">
      <c r="A123" s="1399" t="s">
        <v>5269</v>
      </c>
      <c r="B123" s="1427">
        <v>687</v>
      </c>
      <c r="C123" s="1390" t="s">
        <v>5270</v>
      </c>
      <c r="D123" s="1182"/>
      <c r="E123" s="1524">
        <f>IF(M123&gt;0,$N$190,IFERROR((P123/L123),0))/crop_intensity!$D$7</f>
        <v>0.97246547287201834</v>
      </c>
      <c r="F123" s="1446">
        <f t="shared" si="21"/>
        <v>1</v>
      </c>
      <c r="G123" s="1428">
        <f t="shared" si="28"/>
        <v>2.5252766180478901</v>
      </c>
      <c r="H123" s="1392">
        <f t="shared" si="23"/>
        <v>0</v>
      </c>
      <c r="I123" s="1522"/>
      <c r="J123" s="1454"/>
      <c r="K123" s="1434">
        <v>472526</v>
      </c>
      <c r="L123" s="1434">
        <v>482039</v>
      </c>
      <c r="M123" s="1436">
        <v>0</v>
      </c>
      <c r="N123" s="1416">
        <f t="shared" si="24"/>
        <v>1</v>
      </c>
      <c r="O123" s="1391">
        <f t="shared" si="25"/>
        <v>0</v>
      </c>
      <c r="P123" s="1391">
        <f t="shared" si="26"/>
        <v>472526</v>
      </c>
      <c r="Q123" s="1499">
        <f>IF(M123&gt;0,$M$190,IFERROR((O123/J123),0))/crop_intensity!$C$7</f>
        <v>0</v>
      </c>
      <c r="R123" s="1105">
        <f t="shared" si="27"/>
        <v>0</v>
      </c>
    </row>
    <row r="124" spans="1:18" ht="12">
      <c r="A124" s="1399" t="s">
        <v>2983</v>
      </c>
      <c r="B124" s="1427">
        <v>748</v>
      </c>
      <c r="C124" s="1390" t="s">
        <v>2984</v>
      </c>
      <c r="D124" s="1182"/>
      <c r="E124" s="1524">
        <f>IF(M124&gt;0,$N$190,IFERROR((P124/L124),0))/crop_intensity!$D$7</f>
        <v>23.79578772592825</v>
      </c>
      <c r="F124" s="1446">
        <f t="shared" si="21"/>
        <v>1</v>
      </c>
      <c r="G124" s="1428">
        <f t="shared" si="28"/>
        <v>2.5252766180478901</v>
      </c>
      <c r="H124" s="1392">
        <f t="shared" si="23"/>
        <v>0</v>
      </c>
      <c r="I124" s="1522"/>
      <c r="J124" s="1454"/>
      <c r="K124" s="1434">
        <v>95161</v>
      </c>
      <c r="L124" s="1434">
        <v>3967.25</v>
      </c>
      <c r="M124" s="1436">
        <v>0</v>
      </c>
      <c r="N124" s="1416">
        <f t="shared" si="24"/>
        <v>1</v>
      </c>
      <c r="O124" s="1391">
        <f t="shared" si="25"/>
        <v>0</v>
      </c>
      <c r="P124" s="1391">
        <f t="shared" si="26"/>
        <v>95161</v>
      </c>
      <c r="Q124" s="1499">
        <f>IF(M124&gt;0,$M$190,IFERROR((O124/J124),0))/crop_intensity!$C$7</f>
        <v>0</v>
      </c>
      <c r="R124" s="1105">
        <f t="shared" si="27"/>
        <v>0</v>
      </c>
    </row>
    <row r="125" spans="1:18" ht="12">
      <c r="A125" s="1399" t="s">
        <v>5271</v>
      </c>
      <c r="B125" s="1427">
        <v>587</v>
      </c>
      <c r="C125" s="1390" t="s">
        <v>5272</v>
      </c>
      <c r="D125" s="1182"/>
      <c r="E125" s="1524">
        <f>IF(M125&gt;0,$N$190,IFERROR((P125/L125),0))/crop_intensity!$D$7</f>
        <v>5.6160248506230142</v>
      </c>
      <c r="F125" s="1446">
        <f t="shared" si="21"/>
        <v>1</v>
      </c>
      <c r="G125" s="1428">
        <f t="shared" si="28"/>
        <v>2.5252766180478901</v>
      </c>
      <c r="H125" s="1392">
        <f t="shared" si="23"/>
        <v>0</v>
      </c>
      <c r="I125" s="1522"/>
      <c r="J125" s="1454"/>
      <c r="K125" s="1434">
        <v>4637360</v>
      </c>
      <c r="L125" s="1434">
        <v>819167</v>
      </c>
      <c r="M125" s="1436">
        <v>0</v>
      </c>
      <c r="N125" s="1416">
        <f t="shared" si="24"/>
        <v>1</v>
      </c>
      <c r="O125" s="1391">
        <f t="shared" si="25"/>
        <v>0</v>
      </c>
      <c r="P125" s="1391">
        <f t="shared" si="26"/>
        <v>4637360</v>
      </c>
      <c r="Q125" s="1499">
        <f>IF(M125&gt;0,$M$190,IFERROR((O125/J125),0))/crop_intensity!$C$7</f>
        <v>0</v>
      </c>
      <c r="R125" s="1105">
        <f t="shared" si="27"/>
        <v>0</v>
      </c>
    </row>
    <row r="126" spans="1:18" ht="12">
      <c r="A126" s="1399" t="s">
        <v>5273</v>
      </c>
      <c r="B126" s="1427">
        <v>197</v>
      </c>
      <c r="C126" s="1390" t="s">
        <v>5274</v>
      </c>
      <c r="D126" s="1182"/>
      <c r="E126" s="1524">
        <f>IF(M126&gt;0,$N$190,IFERROR((P126/L126),0))/crop_intensity!$D$7</f>
        <v>0.70924121769949811</v>
      </c>
      <c r="F126" s="1446">
        <f t="shared" si="21"/>
        <v>1</v>
      </c>
      <c r="G126" s="1428">
        <f t="shared" si="28"/>
        <v>2.5252766180478901</v>
      </c>
      <c r="H126" s="1392">
        <f t="shared" si="23"/>
        <v>0</v>
      </c>
      <c r="I126" s="1522"/>
      <c r="J126" s="1454"/>
      <c r="K126" s="1434">
        <v>4467960</v>
      </c>
      <c r="L126" s="1434">
        <v>6249510</v>
      </c>
      <c r="M126" s="1436">
        <v>0</v>
      </c>
      <c r="N126" s="1416">
        <f t="shared" si="24"/>
        <v>1</v>
      </c>
      <c r="O126" s="1391">
        <f t="shared" si="25"/>
        <v>0</v>
      </c>
      <c r="P126" s="1391">
        <f t="shared" si="26"/>
        <v>4467960</v>
      </c>
      <c r="Q126" s="1499">
        <f>IF(M126&gt;0,$M$190,IFERROR((O126/J126),0))/crop_intensity!$C$7</f>
        <v>0</v>
      </c>
      <c r="R126" s="1105">
        <f t="shared" si="27"/>
        <v>0</v>
      </c>
    </row>
    <row r="127" spans="1:18" ht="12">
      <c r="A127" s="1399" t="s">
        <v>5275</v>
      </c>
      <c r="B127" s="1427">
        <v>574</v>
      </c>
      <c r="C127" s="1390" t="s">
        <v>2986</v>
      </c>
      <c r="D127" s="1182">
        <v>170979</v>
      </c>
      <c r="E127" s="1524">
        <f>IF(M127&gt;0,$N$190,IFERROR((P127/L127),0))/crop_intensity!$D$7</f>
        <v>23.938175467763685</v>
      </c>
      <c r="F127" s="1446">
        <f t="shared" si="21"/>
        <v>1</v>
      </c>
      <c r="G127" s="1428">
        <f t="shared" si="28"/>
        <v>2.5252766180478901</v>
      </c>
      <c r="H127" s="1392">
        <f t="shared" si="23"/>
        <v>18036.84961114316</v>
      </c>
      <c r="I127" s="1522"/>
      <c r="J127" s="1454">
        <v>5916</v>
      </c>
      <c r="K127" s="1434">
        <v>24799300</v>
      </c>
      <c r="L127" s="1434">
        <v>1027730</v>
      </c>
      <c r="M127" s="1436">
        <v>0</v>
      </c>
      <c r="N127" s="1416">
        <f t="shared" si="24"/>
        <v>1</v>
      </c>
      <c r="O127" s="1391">
        <f t="shared" si="25"/>
        <v>170979</v>
      </c>
      <c r="P127" s="1391">
        <f t="shared" si="26"/>
        <v>24799300</v>
      </c>
      <c r="Q127" s="1499">
        <f>IF(M127&gt;0,$M$190,IFERROR((O127/J127),0))/crop_intensity!$C$7</f>
        <v>30.775065545089415</v>
      </c>
      <c r="R127" s="1105">
        <f t="shared" si="27"/>
        <v>1.2856061476586893</v>
      </c>
    </row>
    <row r="128" spans="1:18" ht="12">
      <c r="A128" s="1399" t="s">
        <v>5276</v>
      </c>
      <c r="B128" s="1427">
        <v>223</v>
      </c>
      <c r="C128" s="1390" t="s">
        <v>3861</v>
      </c>
      <c r="D128" s="1182">
        <v>196930</v>
      </c>
      <c r="E128" s="1524">
        <f>IF(M128&gt;0,$N$190,IFERROR((P128/L128),0))/crop_intensity!$D$7</f>
        <v>1.8143918510147621</v>
      </c>
      <c r="F128" s="1446">
        <f t="shared" si="21"/>
        <v>1</v>
      </c>
      <c r="G128" s="1428">
        <f t="shared" si="28"/>
        <v>2.5252766180478901</v>
      </c>
      <c r="H128" s="1392">
        <f t="shared" si="23"/>
        <v>274087.82954687381</v>
      </c>
      <c r="I128" s="1522"/>
      <c r="J128" s="1454">
        <v>82000</v>
      </c>
      <c r="K128" s="1434">
        <v>916921</v>
      </c>
      <c r="L128" s="1434">
        <v>501339</v>
      </c>
      <c r="M128" s="1436">
        <v>0</v>
      </c>
      <c r="N128" s="1416">
        <f t="shared" si="24"/>
        <v>1</v>
      </c>
      <c r="O128" s="1391">
        <f t="shared" si="25"/>
        <v>196930</v>
      </c>
      <c r="P128" s="1391">
        <f t="shared" si="26"/>
        <v>916921</v>
      </c>
      <c r="Q128" s="1499">
        <f>IF(M128&gt;0,$M$190,IFERROR((O128/J128),0))/crop_intensity!$C$7</f>
        <v>2.5573042930755019</v>
      </c>
      <c r="R128" s="1105">
        <f t="shared" si="27"/>
        <v>1.4094553454069143</v>
      </c>
    </row>
    <row r="129" spans="1:18" ht="12">
      <c r="A129" s="1399" t="s">
        <v>5277</v>
      </c>
      <c r="B129" s="1427">
        <v>489</v>
      </c>
      <c r="C129" s="1390" t="s">
        <v>5278</v>
      </c>
      <c r="D129" s="1182"/>
      <c r="E129" s="1524">
        <f>IF(M129&gt;0,$N$190,IFERROR((P129/L129),0))/crop_intensity!$D$7</f>
        <v>6.8668852748069256</v>
      </c>
      <c r="F129" s="1446">
        <f t="shared" si="21"/>
        <v>1</v>
      </c>
      <c r="G129" s="1428">
        <f t="shared" si="28"/>
        <v>2.5252766180478901</v>
      </c>
      <c r="H129" s="1392">
        <f t="shared" si="23"/>
        <v>0</v>
      </c>
      <c r="I129" s="1522"/>
      <c r="J129" s="1454"/>
      <c r="K129" s="1434">
        <v>37877800</v>
      </c>
      <c r="L129" s="1434">
        <v>5472120</v>
      </c>
      <c r="M129" s="1436">
        <v>0</v>
      </c>
      <c r="N129" s="1416">
        <f t="shared" si="24"/>
        <v>1</v>
      </c>
      <c r="O129" s="1391">
        <f t="shared" si="25"/>
        <v>0</v>
      </c>
      <c r="P129" s="1391">
        <f t="shared" si="26"/>
        <v>37877800</v>
      </c>
      <c r="Q129" s="1499">
        <f>IF(M129&gt;0,$M$190,IFERROR((O129/J129),0))/crop_intensity!$C$7</f>
        <v>0</v>
      </c>
      <c r="R129" s="1105">
        <f t="shared" si="27"/>
        <v>0</v>
      </c>
    </row>
    <row r="130" spans="1:18" ht="12">
      <c r="A130" s="1399" t="s">
        <v>3820</v>
      </c>
      <c r="B130" s="1427">
        <v>536</v>
      </c>
      <c r="C130" s="1390" t="s">
        <v>3862</v>
      </c>
      <c r="D130" s="1182">
        <v>210000</v>
      </c>
      <c r="E130" s="1524">
        <f>IF(M130&gt;0,$N$190,IFERROR((P130/L130),0))/crop_intensity!$D$7</f>
        <v>4.2981710571362646</v>
      </c>
      <c r="F130" s="1446">
        <f t="shared" si="21"/>
        <v>1</v>
      </c>
      <c r="G130" s="1428">
        <f t="shared" si="28"/>
        <v>2.5252766180478901</v>
      </c>
      <c r="H130" s="1392">
        <f t="shared" si="23"/>
        <v>123379.9406167386</v>
      </c>
      <c r="I130" s="1522"/>
      <c r="J130" s="1454">
        <v>33500</v>
      </c>
      <c r="K130" s="1434">
        <v>11528300</v>
      </c>
      <c r="L130" s="1434">
        <v>2660800</v>
      </c>
      <c r="M130" s="1436">
        <v>0</v>
      </c>
      <c r="N130" s="1416">
        <f t="shared" si="24"/>
        <v>1</v>
      </c>
      <c r="O130" s="1391">
        <f t="shared" si="25"/>
        <v>210000</v>
      </c>
      <c r="P130" s="1391">
        <f t="shared" si="26"/>
        <v>11528300</v>
      </c>
      <c r="Q130" s="1499">
        <f>IF(M130&gt;0,$M$190,IFERROR((O130/J130),0))/crop_intensity!$C$7</f>
        <v>6.6751167627197106</v>
      </c>
      <c r="R130" s="1105">
        <f t="shared" si="27"/>
        <v>1.5530132872764562</v>
      </c>
    </row>
    <row r="131" spans="1:18" ht="12">
      <c r="A131" s="1396" t="s">
        <v>5182</v>
      </c>
      <c r="B131" s="1427">
        <v>68</v>
      </c>
      <c r="C131" s="1390" t="s">
        <v>5553</v>
      </c>
      <c r="D131" s="1182"/>
      <c r="E131" s="1524">
        <f>IF(M131&gt;0,$N$190,IFERROR((P131/L131),0))/crop_intensity!$D$7</f>
        <v>0</v>
      </c>
      <c r="F131" s="1446">
        <f t="shared" si="22"/>
        <v>1</v>
      </c>
      <c r="G131" s="1428">
        <f t="shared" si="28"/>
        <v>2.5252766180478901</v>
      </c>
      <c r="H131" s="1392">
        <f t="shared" si="23"/>
        <v>0</v>
      </c>
      <c r="I131" s="1522"/>
      <c r="J131" s="1454"/>
      <c r="K131" s="1434"/>
      <c r="L131" s="1434"/>
      <c r="M131" s="1436">
        <v>0</v>
      </c>
      <c r="N131" s="1416">
        <f t="shared" si="24"/>
        <v>1</v>
      </c>
      <c r="O131" s="1391">
        <f t="shared" si="25"/>
        <v>0</v>
      </c>
      <c r="P131" s="1391">
        <f t="shared" si="26"/>
        <v>0</v>
      </c>
      <c r="Q131" s="1499">
        <f>IF(M131&gt;0,$M$190,IFERROR((O131/J131),0))/crop_intensity!$C$7</f>
        <v>0</v>
      </c>
      <c r="R131" s="1105">
        <f t="shared" si="27"/>
        <v>0</v>
      </c>
    </row>
    <row r="132" spans="1:18" ht="12">
      <c r="A132" s="1396" t="s">
        <v>3821</v>
      </c>
      <c r="B132" s="1427">
        <v>296</v>
      </c>
      <c r="C132" s="1390" t="s">
        <v>2334</v>
      </c>
      <c r="D132" s="1182"/>
      <c r="E132" s="1524">
        <f>IF(M132&gt;0,$N$190,IFERROR((P132/L132),0))/crop_intensity!$D$7</f>
        <v>0.72952035079127109</v>
      </c>
      <c r="F132" s="1446">
        <f t="shared" si="22"/>
        <v>1</v>
      </c>
      <c r="G132" s="1428">
        <f t="shared" si="28"/>
        <v>2.5252766180478901</v>
      </c>
      <c r="H132" s="1392">
        <f t="shared" si="23"/>
        <v>0</v>
      </c>
      <c r="I132" s="1522"/>
      <c r="J132" s="1454"/>
      <c r="K132" s="1434">
        <v>76372</v>
      </c>
      <c r="L132" s="1434">
        <v>103855</v>
      </c>
      <c r="M132" s="1436">
        <v>0</v>
      </c>
      <c r="N132" s="1416">
        <f t="shared" si="24"/>
        <v>1</v>
      </c>
      <c r="O132" s="1391">
        <f t="shared" si="25"/>
        <v>0</v>
      </c>
      <c r="P132" s="1391">
        <f t="shared" si="26"/>
        <v>76372</v>
      </c>
      <c r="Q132" s="1499">
        <f>IF(M132&gt;0,$M$190,IFERROR((O132/J132),0))/crop_intensity!$C$7</f>
        <v>0</v>
      </c>
      <c r="R132" s="1105">
        <f t="shared" si="27"/>
        <v>0</v>
      </c>
    </row>
    <row r="133" spans="1:18" ht="12">
      <c r="A133" s="1396" t="s">
        <v>3261</v>
      </c>
      <c r="B133" s="1427">
        <v>116</v>
      </c>
      <c r="C133" s="1390" t="s">
        <v>2081</v>
      </c>
      <c r="D133" s="1182">
        <v>19715500</v>
      </c>
      <c r="E133" s="1524">
        <f>IF(M133&gt;0,$N$190,IFERROR((P133/L133),0))/crop_intensity!$D$7</f>
        <v>19.368094585077234</v>
      </c>
      <c r="F133" s="1446">
        <f t="shared" si="22"/>
        <v>1</v>
      </c>
      <c r="G133" s="1428">
        <f t="shared" si="28"/>
        <v>2.5252766180478901</v>
      </c>
      <c r="H133" s="1392">
        <f t="shared" si="23"/>
        <v>2570572.492013914</v>
      </c>
      <c r="I133" s="1522"/>
      <c r="J133" s="1454">
        <v>425290</v>
      </c>
      <c r="K133" s="1434">
        <v>374807008</v>
      </c>
      <c r="L133" s="1434">
        <v>19197800</v>
      </c>
      <c r="M133" s="1436">
        <v>0</v>
      </c>
      <c r="N133" s="1416">
        <f t="shared" si="24"/>
        <v>1</v>
      </c>
      <c r="O133" s="1391">
        <f t="shared" si="25"/>
        <v>19715500</v>
      </c>
      <c r="P133" s="1391">
        <f t="shared" si="26"/>
        <v>374807008</v>
      </c>
      <c r="Q133" s="1499">
        <f>IF(M133&gt;0,$M$190,IFERROR((O133/J133),0))/crop_intensity!$C$7</f>
        <v>49.363620363650071</v>
      </c>
      <c r="R133" s="1105">
        <f t="shared" si="27"/>
        <v>2.5487081419812894</v>
      </c>
    </row>
    <row r="134" spans="1:18" ht="12">
      <c r="A134" s="1396" t="s">
        <v>102</v>
      </c>
      <c r="B134" s="1427">
        <v>211</v>
      </c>
      <c r="C134" s="1390" t="s">
        <v>482</v>
      </c>
      <c r="D134" s="1182"/>
      <c r="E134" s="1524">
        <f>IF(M134&gt;0,$N$190,IFERROR((P134/L134),0))/crop_intensity!$D$7</f>
        <v>0.80665726040824914</v>
      </c>
      <c r="F134" s="1446">
        <f t="shared" si="22"/>
        <v>1</v>
      </c>
      <c r="G134" s="1428">
        <f t="shared" si="28"/>
        <v>2.5252766180478901</v>
      </c>
      <c r="H134" s="1392">
        <f t="shared" si="23"/>
        <v>0</v>
      </c>
      <c r="I134" s="1522"/>
      <c r="J134" s="1454"/>
      <c r="K134" s="1434">
        <v>5138670</v>
      </c>
      <c r="L134" s="1434">
        <v>6319640</v>
      </c>
      <c r="M134" s="1436">
        <v>0</v>
      </c>
      <c r="N134" s="1416">
        <f t="shared" si="24"/>
        <v>1</v>
      </c>
      <c r="O134" s="1391">
        <f t="shared" si="25"/>
        <v>0</v>
      </c>
      <c r="P134" s="1391">
        <f t="shared" si="26"/>
        <v>5138670</v>
      </c>
      <c r="Q134" s="1499">
        <f>IF(M134&gt;0,$M$190,IFERROR((O134/J134),0))/crop_intensity!$C$7</f>
        <v>0</v>
      </c>
      <c r="R134" s="1105">
        <f t="shared" si="27"/>
        <v>0</v>
      </c>
    </row>
    <row r="135" spans="1:18" ht="12">
      <c r="A135" s="1396" t="s">
        <v>483</v>
      </c>
      <c r="B135" s="1427">
        <v>394</v>
      </c>
      <c r="C135" s="1390" t="s">
        <v>484</v>
      </c>
      <c r="D135" s="1182">
        <v>796872</v>
      </c>
      <c r="E135" s="1524">
        <f>IF(M135&gt;0,$N$190,IFERROR((P135/L135),0))/crop_intensity!$D$7</f>
        <v>13.616892965323396</v>
      </c>
      <c r="F135" s="1446">
        <f t="shared" si="22"/>
        <v>1</v>
      </c>
      <c r="G135" s="1428">
        <f t="shared" si="28"/>
        <v>2.5252766180478901</v>
      </c>
      <c r="H135" s="1392">
        <f t="shared" ref="H135:H166" si="29">IFERROR((O135/E135)*G135*F135,0)</f>
        <v>147781.30622761094</v>
      </c>
      <c r="I135" s="1522"/>
      <c r="J135" s="1454">
        <v>37110</v>
      </c>
      <c r="K135" s="1434">
        <v>24845900</v>
      </c>
      <c r="L135" s="1434">
        <v>1810120</v>
      </c>
      <c r="M135" s="1436">
        <v>0</v>
      </c>
      <c r="N135" s="1416">
        <f t="shared" ref="N135:N166" si="30">VLOOKUP(B135,constant_crop_factor,3,FALSE)</f>
        <v>1</v>
      </c>
      <c r="O135" s="1391">
        <f t="shared" ref="O135:O166" si="31">D135*N135</f>
        <v>796872</v>
      </c>
      <c r="P135" s="1391">
        <f t="shared" ref="P135:P166" si="32">K135*N135</f>
        <v>24845900</v>
      </c>
      <c r="Q135" s="1499">
        <f>IF(M135&gt;0,$M$190,IFERROR((O135/J135),0))/crop_intensity!$C$7</f>
        <v>22.865567887689927</v>
      </c>
      <c r="R135" s="1105">
        <f t="shared" ref="R135:R166" si="33">IFERROR(Q135/E135,0)</f>
        <v>1.6792059646733721</v>
      </c>
    </row>
    <row r="136" spans="1:18" ht="12">
      <c r="A136" s="1396" t="s">
        <v>3732</v>
      </c>
      <c r="B136" s="1427">
        <v>754</v>
      </c>
      <c r="C136" s="1390" t="s">
        <v>3733</v>
      </c>
      <c r="D136" s="1182"/>
      <c r="E136" s="1524">
        <f>IF(M136&gt;0,$N$190,IFERROR((P136/L136),0))/crop_intensity!$D$7</f>
        <v>0.29763794852690056</v>
      </c>
      <c r="F136" s="1446">
        <f t="shared" si="22"/>
        <v>1</v>
      </c>
      <c r="G136" s="1428">
        <f t="shared" ref="G136:G167" si="34">$G$7</f>
        <v>2.5252766180478901</v>
      </c>
      <c r="H136" s="1392">
        <f t="shared" si="29"/>
        <v>0</v>
      </c>
      <c r="I136" s="1522"/>
      <c r="J136" s="1454"/>
      <c r="K136" s="1434">
        <v>8471</v>
      </c>
      <c r="L136" s="1434">
        <v>28234.30078125</v>
      </c>
      <c r="M136" s="1436">
        <v>0</v>
      </c>
      <c r="N136" s="1416">
        <f t="shared" si="30"/>
        <v>1</v>
      </c>
      <c r="O136" s="1391">
        <f t="shared" si="31"/>
        <v>0</v>
      </c>
      <c r="P136" s="1391">
        <f t="shared" si="32"/>
        <v>8471</v>
      </c>
      <c r="Q136" s="1499">
        <f>IF(M136&gt;0,$M$190,IFERROR((O136/J136),0))/crop_intensity!$C$7</f>
        <v>0</v>
      </c>
      <c r="R136" s="1105">
        <f t="shared" si="33"/>
        <v>0</v>
      </c>
    </row>
    <row r="137" spans="1:18" ht="12">
      <c r="A137" s="1396" t="s">
        <v>485</v>
      </c>
      <c r="B137" s="1427">
        <v>523</v>
      </c>
      <c r="C137" s="1390" t="s">
        <v>5556</v>
      </c>
      <c r="D137" s="1182"/>
      <c r="E137" s="1524">
        <f>IF(M137&gt;0,$N$190,IFERROR((P137/L137),0))/crop_intensity!$D$7</f>
        <v>8.1862143016210105</v>
      </c>
      <c r="F137" s="1446">
        <f t="shared" si="22"/>
        <v>1</v>
      </c>
      <c r="G137" s="1428">
        <f t="shared" si="34"/>
        <v>2.5252766180478901</v>
      </c>
      <c r="H137" s="1392">
        <f t="shared" si="29"/>
        <v>0</v>
      </c>
      <c r="I137" s="1522"/>
      <c r="J137" s="1454"/>
      <c r="K137" s="1434">
        <v>630325</v>
      </c>
      <c r="L137" s="1434">
        <v>76385.703125</v>
      </c>
      <c r="M137" s="1436">
        <v>0</v>
      </c>
      <c r="N137" s="1416">
        <f t="shared" si="30"/>
        <v>1</v>
      </c>
      <c r="O137" s="1391">
        <f t="shared" si="31"/>
        <v>0</v>
      </c>
      <c r="P137" s="1391">
        <f t="shared" si="32"/>
        <v>630325</v>
      </c>
      <c r="Q137" s="1499">
        <f>IF(M137&gt;0,$M$190,IFERROR((O137/J137),0))/crop_intensity!$C$7</f>
        <v>0</v>
      </c>
      <c r="R137" s="1105">
        <f t="shared" si="33"/>
        <v>0</v>
      </c>
    </row>
    <row r="138" spans="1:18" ht="12">
      <c r="A138" s="1396" t="s">
        <v>5557</v>
      </c>
      <c r="B138" s="1427">
        <v>92</v>
      </c>
      <c r="C138" s="1390" t="s">
        <v>5558</v>
      </c>
      <c r="D138" s="1182"/>
      <c r="E138" s="1524">
        <f>IF(M138&gt;0,$N$190,IFERROR((P138/L138),0))/crop_intensity!$D$7</f>
        <v>0.55042399950122711</v>
      </c>
      <c r="F138" s="1446">
        <f t="shared" si="22"/>
        <v>1</v>
      </c>
      <c r="G138" s="1428">
        <f t="shared" si="34"/>
        <v>2.5252766180478901</v>
      </c>
      <c r="H138" s="1392">
        <f t="shared" si="29"/>
        <v>0</v>
      </c>
      <c r="I138" s="1522"/>
      <c r="J138" s="1454"/>
      <c r="K138" s="1434">
        <v>114112</v>
      </c>
      <c r="L138" s="1434">
        <v>205667</v>
      </c>
      <c r="M138" s="1436">
        <v>0</v>
      </c>
      <c r="N138" s="1416">
        <f t="shared" si="30"/>
        <v>1</v>
      </c>
      <c r="O138" s="1391">
        <f t="shared" si="31"/>
        <v>0</v>
      </c>
      <c r="P138" s="1391">
        <f t="shared" si="32"/>
        <v>114112</v>
      </c>
      <c r="Q138" s="1499">
        <f>IF(M138&gt;0,$M$190,IFERROR((O138/J138),0))/crop_intensity!$C$7</f>
        <v>0</v>
      </c>
      <c r="R138" s="1105">
        <f t="shared" si="33"/>
        <v>0</v>
      </c>
    </row>
    <row r="139" spans="1:18" ht="12">
      <c r="A139" s="1396" t="s">
        <v>3735</v>
      </c>
      <c r="B139" s="1427">
        <v>788</v>
      </c>
      <c r="C139" s="1390" t="s">
        <v>3736</v>
      </c>
      <c r="D139" s="1182"/>
      <c r="E139" s="1524">
        <f>IF(M139&gt;0,$N$190,IFERROR((P139/L139),0))/crop_intensity!$D$7</f>
        <v>1.864891447926142</v>
      </c>
      <c r="F139" s="1446">
        <f t="shared" si="22"/>
        <v>1</v>
      </c>
      <c r="G139" s="1428">
        <f t="shared" si="34"/>
        <v>2.5252766180478901</v>
      </c>
      <c r="H139" s="1392">
        <f t="shared" si="29"/>
        <v>0</v>
      </c>
      <c r="I139" s="1522"/>
      <c r="J139" s="1454"/>
      <c r="K139" s="1434">
        <v>124258</v>
      </c>
      <c r="L139" s="1434">
        <v>66100</v>
      </c>
      <c r="M139" s="1436">
        <v>0</v>
      </c>
      <c r="N139" s="1416">
        <f t="shared" si="30"/>
        <v>1</v>
      </c>
      <c r="O139" s="1391">
        <f t="shared" si="31"/>
        <v>0</v>
      </c>
      <c r="P139" s="1391">
        <f t="shared" si="32"/>
        <v>124258</v>
      </c>
      <c r="Q139" s="1499">
        <f>IF(M139&gt;0,$M$190,IFERROR((O139/J139),0))/crop_intensity!$C$7</f>
        <v>0</v>
      </c>
      <c r="R139" s="1105">
        <f t="shared" si="33"/>
        <v>0</v>
      </c>
    </row>
    <row r="140" spans="1:18" ht="12">
      <c r="A140" s="1396" t="s">
        <v>5561</v>
      </c>
      <c r="B140" s="1427">
        <v>270</v>
      </c>
      <c r="C140" s="1390" t="s">
        <v>4680</v>
      </c>
      <c r="D140" s="1182">
        <v>1003550</v>
      </c>
      <c r="E140" s="1524">
        <f>IF(M140&gt;0,$N$190,IFERROR((P140/L140),0))/crop_intensity!$D$7</f>
        <v>1.9909744057839034</v>
      </c>
      <c r="F140" s="1446">
        <f t="shared" si="22"/>
        <v>1</v>
      </c>
      <c r="G140" s="1428">
        <f t="shared" si="34"/>
        <v>2.5252766180478901</v>
      </c>
      <c r="H140" s="1392">
        <f t="shared" si="29"/>
        <v>1272864.8558614478</v>
      </c>
      <c r="I140" s="1522"/>
      <c r="J140" s="1454">
        <v>512420</v>
      </c>
      <c r="K140" s="1434">
        <v>72844000</v>
      </c>
      <c r="L140" s="1434">
        <v>36296000</v>
      </c>
      <c r="M140" s="1436">
        <v>0</v>
      </c>
      <c r="N140" s="1416">
        <f t="shared" si="30"/>
        <v>1</v>
      </c>
      <c r="O140" s="1391">
        <f t="shared" si="31"/>
        <v>1003550</v>
      </c>
      <c r="P140" s="1391">
        <f t="shared" si="32"/>
        <v>72844000</v>
      </c>
      <c r="Q140" s="1499">
        <f>IF(M140&gt;0,$M$190,IFERROR((O140/J140),0))/crop_intensity!$C$7</f>
        <v>2.085438189767292</v>
      </c>
      <c r="R140" s="1105">
        <f t="shared" si="33"/>
        <v>1.0474460061912225</v>
      </c>
    </row>
    <row r="141" spans="1:18" ht="12">
      <c r="A141" s="1396" t="s">
        <v>3737</v>
      </c>
      <c r="B141" s="1427">
        <v>547</v>
      </c>
      <c r="C141" s="1390" t="s">
        <v>2083</v>
      </c>
      <c r="D141" s="1182">
        <v>91300</v>
      </c>
      <c r="E141" s="1524">
        <f>IF(M141&gt;0,$N$190,IFERROR((P141/L141),0))/crop_intensity!$D$7</f>
        <v>5.9808364734715891</v>
      </c>
      <c r="F141" s="1446">
        <f t="shared" si="22"/>
        <v>1</v>
      </c>
      <c r="G141" s="1428">
        <f t="shared" si="34"/>
        <v>2.5252766180478901</v>
      </c>
      <c r="H141" s="1392">
        <f t="shared" si="29"/>
        <v>38549.41633171666</v>
      </c>
      <c r="I141" s="1522"/>
      <c r="J141" s="1454">
        <v>10180</v>
      </c>
      <c r="K141" s="1434">
        <v>578233</v>
      </c>
      <c r="L141" s="1434">
        <v>95911.703125</v>
      </c>
      <c r="M141" s="1436">
        <v>0</v>
      </c>
      <c r="N141" s="1416">
        <f t="shared" si="30"/>
        <v>1</v>
      </c>
      <c r="O141" s="1391">
        <f t="shared" si="31"/>
        <v>91300</v>
      </c>
      <c r="P141" s="1391">
        <f t="shared" si="32"/>
        <v>578233</v>
      </c>
      <c r="Q141" s="1499">
        <f>IF(M141&gt;0,$M$190,IFERROR((O141/J141),0))/crop_intensity!$C$7</f>
        <v>9.5500881161083218</v>
      </c>
      <c r="R141" s="1105">
        <f t="shared" si="33"/>
        <v>1.5967813462997014</v>
      </c>
    </row>
    <row r="142" spans="1:18" ht="12">
      <c r="A142" s="1396" t="s">
        <v>5566</v>
      </c>
      <c r="B142" s="1427">
        <v>27</v>
      </c>
      <c r="C142" s="1390" t="s">
        <v>2084</v>
      </c>
      <c r="D142" s="1182">
        <v>8613090</v>
      </c>
      <c r="E142" s="1524">
        <f>IF(M142&gt;0,$N$190,IFERROR((P142/L142),0))/crop_intensity!$D$7</f>
        <v>4.4622034838722522</v>
      </c>
      <c r="F142" s="1446">
        <f t="shared" si="22"/>
        <v>1</v>
      </c>
      <c r="G142" s="1428">
        <f t="shared" si="34"/>
        <v>2.5252766180478901</v>
      </c>
      <c r="H142" s="1392">
        <f t="shared" si="29"/>
        <v>4874370.8942800853</v>
      </c>
      <c r="I142" s="1522"/>
      <c r="J142" s="1454">
        <v>998765</v>
      </c>
      <c r="K142" s="1434">
        <v>738089024</v>
      </c>
      <c r="L142" s="1434">
        <v>164092992</v>
      </c>
      <c r="M142" s="1436">
        <v>0</v>
      </c>
      <c r="N142" s="1416">
        <f t="shared" si="30"/>
        <v>1</v>
      </c>
      <c r="O142" s="1391">
        <f t="shared" si="31"/>
        <v>8613090</v>
      </c>
      <c r="P142" s="1391">
        <f t="shared" si="32"/>
        <v>738089024</v>
      </c>
      <c r="Q142" s="1499">
        <f>IF(M142&gt;0,$M$190,IFERROR((O142/J142),0))/crop_intensity!$C$7</f>
        <v>9.1829041159486859</v>
      </c>
      <c r="R142" s="1105">
        <f t="shared" si="33"/>
        <v>2.0579303810636311</v>
      </c>
    </row>
    <row r="143" spans="1:18" ht="12">
      <c r="A143" s="1396" t="s">
        <v>672</v>
      </c>
      <c r="B143" s="1427">
        <v>149</v>
      </c>
      <c r="C143" s="1390" t="s">
        <v>5567</v>
      </c>
      <c r="D143" s="1182"/>
      <c r="E143" s="1524">
        <f>IF(M143&gt;0,$N$190,IFERROR((P143/L143),0))/crop_intensity!$D$7</f>
        <v>7.5719741612125357</v>
      </c>
      <c r="F143" s="1446">
        <f t="shared" si="22"/>
        <v>1</v>
      </c>
      <c r="G143" s="1428">
        <f t="shared" si="34"/>
        <v>2.5252766180478901</v>
      </c>
      <c r="H143" s="1392">
        <f t="shared" si="29"/>
        <v>0</v>
      </c>
      <c r="I143" s="1522"/>
      <c r="J143" s="1454"/>
      <c r="K143" s="1434">
        <v>9876720</v>
      </c>
      <c r="L143" s="1434">
        <v>1294000</v>
      </c>
      <c r="M143" s="1436">
        <v>0</v>
      </c>
      <c r="N143" s="1416">
        <f t="shared" si="30"/>
        <v>1</v>
      </c>
      <c r="O143" s="1391">
        <f t="shared" si="31"/>
        <v>0</v>
      </c>
      <c r="P143" s="1391">
        <f t="shared" si="32"/>
        <v>9876720</v>
      </c>
      <c r="Q143" s="1499">
        <f>IF(M143&gt;0,$M$190,IFERROR((O143/J143),0))/crop_intensity!$C$7</f>
        <v>0</v>
      </c>
      <c r="R143" s="1105">
        <f t="shared" si="33"/>
        <v>0</v>
      </c>
    </row>
    <row r="144" spans="1:18" ht="12">
      <c r="A144" s="1399" t="s">
        <v>5568</v>
      </c>
      <c r="B144" s="1427">
        <v>71</v>
      </c>
      <c r="C144" s="1390" t="s">
        <v>2085</v>
      </c>
      <c r="D144" s="1182">
        <v>194793</v>
      </c>
      <c r="E144" s="1524">
        <f>IF(M144&gt;0,$N$190,IFERROR((P144/L144),0))/crop_intensity!$D$7</f>
        <v>2.7231473712508003</v>
      </c>
      <c r="F144" s="1446">
        <f t="shared" si="22"/>
        <v>1</v>
      </c>
      <c r="G144" s="1428">
        <f t="shared" si="34"/>
        <v>2.5252766180478901</v>
      </c>
      <c r="H144" s="1392">
        <f t="shared" si="29"/>
        <v>156085.91468078803</v>
      </c>
      <c r="I144" s="1522"/>
      <c r="J144" s="1454">
        <v>112503</v>
      </c>
      <c r="K144" s="1434">
        <v>16680900</v>
      </c>
      <c r="L144" s="1434">
        <v>5763570</v>
      </c>
      <c r="M144" s="1436">
        <v>1</v>
      </c>
      <c r="N144" s="1416">
        <f t="shared" si="30"/>
        <v>0.86407721861505915</v>
      </c>
      <c r="O144" s="1391">
        <f t="shared" si="31"/>
        <v>168316.1936456832</v>
      </c>
      <c r="P144" s="1391">
        <f t="shared" si="32"/>
        <v>14413585.67599594</v>
      </c>
      <c r="Q144" s="1499">
        <f>IF(M144&gt;0,$M$190,IFERROR((O144/J144),0))/crop_intensity!$C$7</f>
        <v>3.5000333108720874</v>
      </c>
      <c r="R144" s="1105">
        <f t="shared" si="33"/>
        <v>1.2852897157983949</v>
      </c>
    </row>
    <row r="145" spans="1:18" ht="12">
      <c r="A145" s="1399" t="s">
        <v>5569</v>
      </c>
      <c r="B145" s="1427">
        <v>638</v>
      </c>
      <c r="C145" s="1390" t="s">
        <v>2293</v>
      </c>
      <c r="D145" s="1182"/>
      <c r="E145" s="1524">
        <f>IF(M145&gt;0,$N$190,IFERROR((P145/L145),0))/crop_intensity!$D$7</f>
        <v>9.8481489634028723</v>
      </c>
      <c r="F145" s="1446">
        <f t="shared" si="22"/>
        <v>1</v>
      </c>
      <c r="G145" s="1428">
        <f t="shared" si="34"/>
        <v>2.5252766180478901</v>
      </c>
      <c r="H145" s="1392">
        <f t="shared" si="29"/>
        <v>0</v>
      </c>
      <c r="I145" s="1522"/>
      <c r="J145" s="1454"/>
      <c r="K145" s="1434">
        <v>56335700</v>
      </c>
      <c r="L145" s="1434">
        <v>5674920</v>
      </c>
      <c r="M145" s="1436">
        <v>0</v>
      </c>
      <c r="N145" s="1416">
        <f t="shared" si="30"/>
        <v>1</v>
      </c>
      <c r="O145" s="1391">
        <f t="shared" si="31"/>
        <v>0</v>
      </c>
      <c r="P145" s="1391">
        <f t="shared" si="32"/>
        <v>56335700</v>
      </c>
      <c r="Q145" s="1499">
        <f>IF(M145&gt;0,$M$190,IFERROR((O145/J145),0))/crop_intensity!$C$7</f>
        <v>0</v>
      </c>
      <c r="R145" s="1105">
        <f t="shared" si="33"/>
        <v>0</v>
      </c>
    </row>
    <row r="146" spans="1:18" ht="12">
      <c r="A146" s="1399" t="s">
        <v>5322</v>
      </c>
      <c r="B146" s="1427">
        <v>280</v>
      </c>
      <c r="C146" s="1390" t="s">
        <v>5323</v>
      </c>
      <c r="D146" s="1182">
        <v>95360</v>
      </c>
      <c r="E146" s="1524">
        <f>IF(M146&gt;0,$N$190,IFERROR((P146/L146),0))/crop_intensity!$D$7</f>
        <v>0.80043463365784162</v>
      </c>
      <c r="F146" s="1446">
        <f t="shared" si="22"/>
        <v>1</v>
      </c>
      <c r="G146" s="1428">
        <f t="shared" si="34"/>
        <v>2.5252766180478901</v>
      </c>
      <c r="H146" s="1392">
        <f t="shared" si="29"/>
        <v>300849.52371012093</v>
      </c>
      <c r="I146" s="1522"/>
      <c r="J146" s="1454">
        <v>69080</v>
      </c>
      <c r="K146" s="1434">
        <v>718161</v>
      </c>
      <c r="L146" s="1434">
        <v>890075</v>
      </c>
      <c r="M146" s="1436">
        <v>0</v>
      </c>
      <c r="N146" s="1416">
        <f t="shared" si="30"/>
        <v>1</v>
      </c>
      <c r="O146" s="1391">
        <f t="shared" si="31"/>
        <v>95360</v>
      </c>
      <c r="P146" s="1391">
        <f t="shared" si="32"/>
        <v>718161</v>
      </c>
      <c r="Q146" s="1499">
        <f>IF(M146&gt;0,$M$190,IFERROR((O146/J146),0))/crop_intensity!$C$7</f>
        <v>1.4699355478474838</v>
      </c>
      <c r="R146" s="1105">
        <f t="shared" si="33"/>
        <v>1.8364217214466896</v>
      </c>
    </row>
    <row r="147" spans="1:18" ht="12">
      <c r="A147" s="1399" t="s">
        <v>1321</v>
      </c>
      <c r="B147" s="1427">
        <v>328</v>
      </c>
      <c r="C147" s="1390" t="s">
        <v>1322</v>
      </c>
      <c r="D147" s="1182">
        <v>7625800</v>
      </c>
      <c r="E147" s="1524">
        <f>IF(M147&gt;0,$N$190,IFERROR((P147/L147),0))/crop_intensity!$D$7</f>
        <v>2.252202188311498</v>
      </c>
      <c r="F147" s="1446">
        <f t="shared" si="22"/>
        <v>1</v>
      </c>
      <c r="G147" s="1428">
        <f t="shared" si="34"/>
        <v>2.5252766180478901</v>
      </c>
      <c r="H147" s="1392">
        <f t="shared" si="29"/>
        <v>8550411.0305243004</v>
      </c>
      <c r="I147" s="1522"/>
      <c r="J147" s="1454">
        <v>3053140</v>
      </c>
      <c r="K147" s="1434">
        <v>73019696</v>
      </c>
      <c r="L147" s="1434">
        <v>32163500</v>
      </c>
      <c r="M147" s="1436">
        <v>0</v>
      </c>
      <c r="N147" s="1416">
        <f t="shared" si="30"/>
        <v>1</v>
      </c>
      <c r="O147" s="1391">
        <f t="shared" si="31"/>
        <v>7625800</v>
      </c>
      <c r="P147" s="1391">
        <f t="shared" si="32"/>
        <v>73019696</v>
      </c>
      <c r="Q147" s="1499">
        <f>IF(M147&gt;0,$M$190,IFERROR((O147/J147),0))/crop_intensity!$C$7</f>
        <v>2.6596413172862428</v>
      </c>
      <c r="R147" s="1105">
        <f t="shared" si="33"/>
        <v>1.1809069945359598</v>
      </c>
    </row>
    <row r="148" spans="1:18" ht="12">
      <c r="A148" s="1399" t="s">
        <v>2804</v>
      </c>
      <c r="B148" s="1427">
        <v>289</v>
      </c>
      <c r="C148" s="1390" t="s">
        <v>2086</v>
      </c>
      <c r="D148" s="1182"/>
      <c r="E148" s="1524">
        <f>IF(M148&gt;0,$N$190,IFERROR((P148/L148),0))/crop_intensity!$D$7</f>
        <v>0.4579559059182261</v>
      </c>
      <c r="F148" s="1446">
        <f t="shared" si="22"/>
        <v>1</v>
      </c>
      <c r="G148" s="1428">
        <f t="shared" si="34"/>
        <v>2.5252766180478901</v>
      </c>
      <c r="H148" s="1392">
        <f t="shared" si="29"/>
        <v>0</v>
      </c>
      <c r="I148" s="1522"/>
      <c r="J148" s="1454"/>
      <c r="K148" s="1434">
        <v>5735370</v>
      </c>
      <c r="L148" s="1434">
        <v>12424200</v>
      </c>
      <c r="M148" s="1436">
        <v>0</v>
      </c>
      <c r="N148" s="1416">
        <f t="shared" si="30"/>
        <v>1</v>
      </c>
      <c r="O148" s="1391">
        <f t="shared" si="31"/>
        <v>0</v>
      </c>
      <c r="P148" s="1391">
        <f t="shared" si="32"/>
        <v>5735370</v>
      </c>
      <c r="Q148" s="1499">
        <f>IF(M148&gt;0,$M$190,IFERROR((O148/J148),0))/crop_intensity!$C$7</f>
        <v>0</v>
      </c>
      <c r="R148" s="1105">
        <f t="shared" si="33"/>
        <v>0</v>
      </c>
    </row>
    <row r="149" spans="1:18" ht="12">
      <c r="A149" s="1399" t="s">
        <v>674</v>
      </c>
      <c r="B149" s="1427">
        <v>789</v>
      </c>
      <c r="C149" s="1390" t="s">
        <v>5554</v>
      </c>
      <c r="D149" s="1182"/>
      <c r="E149" s="1524">
        <f>IF(M149&gt;0,$N$190,IFERROR((P149/L149),0))/crop_intensity!$D$7</f>
        <v>0.88957366159020745</v>
      </c>
      <c r="F149" s="1446">
        <f t="shared" si="22"/>
        <v>1</v>
      </c>
      <c r="G149" s="1428">
        <f t="shared" si="34"/>
        <v>2.5252766180478901</v>
      </c>
      <c r="H149" s="1392">
        <f t="shared" si="29"/>
        <v>0</v>
      </c>
      <c r="I149" s="1522"/>
      <c r="J149" s="1454"/>
      <c r="K149" s="1434">
        <v>281553</v>
      </c>
      <c r="L149" s="1434">
        <v>313985</v>
      </c>
      <c r="M149" s="1436">
        <v>0</v>
      </c>
      <c r="N149" s="1416">
        <f t="shared" si="30"/>
        <v>1</v>
      </c>
      <c r="O149" s="1391">
        <f t="shared" si="31"/>
        <v>0</v>
      </c>
      <c r="P149" s="1391">
        <f t="shared" si="32"/>
        <v>281553</v>
      </c>
      <c r="Q149" s="1499">
        <f>IF(M149&gt;0,$M$190,IFERROR((O149/J149),0))/crop_intensity!$C$7</f>
        <v>0</v>
      </c>
      <c r="R149" s="1105">
        <f t="shared" si="33"/>
        <v>0</v>
      </c>
    </row>
    <row r="150" spans="1:18" ht="12">
      <c r="A150" s="1399" t="s">
        <v>2805</v>
      </c>
      <c r="B150" s="1427">
        <v>83</v>
      </c>
      <c r="C150" s="1390" t="s">
        <v>4073</v>
      </c>
      <c r="D150" s="1182">
        <v>9881790</v>
      </c>
      <c r="E150" s="1524">
        <f>IF(M150&gt;0,$N$190,IFERROR((P150/L150),0))/crop_intensity!$D$7</f>
        <v>2.7231473712508003</v>
      </c>
      <c r="F150" s="1446">
        <f t="shared" si="22"/>
        <v>1</v>
      </c>
      <c r="G150" s="1428">
        <f t="shared" si="34"/>
        <v>2.5252766180478901</v>
      </c>
      <c r="H150" s="1392">
        <f t="shared" si="29"/>
        <v>7994616.0292158015</v>
      </c>
      <c r="I150" s="1522"/>
      <c r="J150" s="1454">
        <v>2642600</v>
      </c>
      <c r="K150" s="1434">
        <v>65969400</v>
      </c>
      <c r="L150" s="1434">
        <v>50699300</v>
      </c>
      <c r="M150" s="1436">
        <v>1</v>
      </c>
      <c r="N150" s="1416">
        <f t="shared" si="30"/>
        <v>0.87241711551891887</v>
      </c>
      <c r="O150" s="1391">
        <f t="shared" si="31"/>
        <v>8621042.7279636972</v>
      </c>
      <c r="P150" s="1391">
        <f t="shared" si="32"/>
        <v>57552833.660513766</v>
      </c>
      <c r="Q150" s="1499">
        <f>IF(M150&gt;0,$M$190,IFERROR((O150/J150),0))/crop_intensity!$C$7</f>
        <v>3.5000333108720874</v>
      </c>
      <c r="R150" s="1105">
        <f t="shared" si="33"/>
        <v>1.2852897157983949</v>
      </c>
    </row>
    <row r="151" spans="1:18" ht="12">
      <c r="A151" s="1399" t="s">
        <v>2806</v>
      </c>
      <c r="B151" s="1427">
        <v>637</v>
      </c>
      <c r="C151" s="1390" t="s">
        <v>4042</v>
      </c>
      <c r="D151" s="1526">
        <v>4916950</v>
      </c>
      <c r="E151" s="1524">
        <f>IF(M151&gt;0,$N$190,IFERROR((P151/L151),0))/crop_intensity!$D$7</f>
        <v>20.646724322266227</v>
      </c>
      <c r="F151" s="1446">
        <f t="shared" si="22"/>
        <v>1</v>
      </c>
      <c r="G151" s="1428">
        <f t="shared" si="34"/>
        <v>2.5252766180478901</v>
      </c>
      <c r="H151" s="1392">
        <f t="shared" si="29"/>
        <v>601386.38329761429</v>
      </c>
      <c r="I151" s="1522"/>
      <c r="J151" s="1455">
        <v>153781</v>
      </c>
      <c r="K151" s="1431">
        <v>25264700</v>
      </c>
      <c r="L151" s="1431">
        <v>1213930</v>
      </c>
      <c r="M151" s="1436">
        <v>0</v>
      </c>
      <c r="N151" s="1416">
        <f t="shared" si="30"/>
        <v>1</v>
      </c>
      <c r="O151" s="1391">
        <f t="shared" si="31"/>
        <v>4916950</v>
      </c>
      <c r="P151" s="1391">
        <f t="shared" si="32"/>
        <v>25264700</v>
      </c>
      <c r="Q151" s="1499">
        <f>IF(M151&gt;0,$M$190,IFERROR((O151/J151),0))/crop_intensity!$C$7</f>
        <v>34.046893364318393</v>
      </c>
      <c r="R151" s="1105">
        <f t="shared" si="33"/>
        <v>1.6490215509683008</v>
      </c>
    </row>
    <row r="152" spans="1:18" ht="12">
      <c r="A152" s="1399" t="s">
        <v>4043</v>
      </c>
      <c r="B152" s="1427">
        <v>530</v>
      </c>
      <c r="C152" s="1390" t="s">
        <v>4044</v>
      </c>
      <c r="D152" s="1526">
        <v>133272</v>
      </c>
      <c r="E152" s="1524">
        <f>IF(M152&gt;0,$N$190,IFERROR((P152/L152),0))/crop_intensity!$D$7</f>
        <v>5.8251092667086795</v>
      </c>
      <c r="F152" s="1446">
        <f t="shared" si="22"/>
        <v>1</v>
      </c>
      <c r="G152" s="1428">
        <f t="shared" si="34"/>
        <v>2.5252766180478901</v>
      </c>
      <c r="H152" s="1392">
        <f t="shared" si="29"/>
        <v>57775.511158889582</v>
      </c>
      <c r="I152" s="1522"/>
      <c r="J152" s="1455">
        <v>15060</v>
      </c>
      <c r="K152" s="1431">
        <v>1348630</v>
      </c>
      <c r="L152" s="1431">
        <v>229678</v>
      </c>
      <c r="M152" s="1436">
        <v>0</v>
      </c>
      <c r="N152" s="1416">
        <f t="shared" si="30"/>
        <v>1</v>
      </c>
      <c r="O152" s="1391">
        <f t="shared" si="31"/>
        <v>133272</v>
      </c>
      <c r="P152" s="1391">
        <f t="shared" si="32"/>
        <v>1348630</v>
      </c>
      <c r="Q152" s="1499">
        <f>IF(M152&gt;0,$M$190,IFERROR((O152/J152),0))/crop_intensity!$C$7</f>
        <v>9.423198128198182</v>
      </c>
      <c r="R152" s="1105">
        <f t="shared" si="33"/>
        <v>1.6176860719253952</v>
      </c>
    </row>
    <row r="153" spans="1:18" ht="12">
      <c r="A153" s="1399" t="s">
        <v>4047</v>
      </c>
      <c r="B153" s="1427">
        <v>236</v>
      </c>
      <c r="C153" s="1390" t="s">
        <v>4074</v>
      </c>
      <c r="D153" s="1526">
        <v>91389400</v>
      </c>
      <c r="E153" s="1524">
        <f>IF(M153&gt;0,$N$190,IFERROR((P153/L153),0))/crop_intensity!$D$7</f>
        <v>2.4713814220901331</v>
      </c>
      <c r="F153" s="1446">
        <f t="shared" si="22"/>
        <v>1</v>
      </c>
      <c r="G153" s="1428">
        <f t="shared" si="34"/>
        <v>2.5252766180478901</v>
      </c>
      <c r="H153" s="1392">
        <f t="shared" si="29"/>
        <v>93382394.516118124</v>
      </c>
      <c r="I153" s="1522"/>
      <c r="J153" s="1455">
        <v>30858800</v>
      </c>
      <c r="K153" s="1431">
        <v>278092992</v>
      </c>
      <c r="L153" s="1431">
        <v>111630000</v>
      </c>
      <c r="M153" s="1436">
        <v>0</v>
      </c>
      <c r="N153" s="1416">
        <f t="shared" si="30"/>
        <v>1</v>
      </c>
      <c r="O153" s="1391">
        <f t="shared" si="31"/>
        <v>91389400</v>
      </c>
      <c r="P153" s="1391">
        <f t="shared" si="32"/>
        <v>278092992</v>
      </c>
      <c r="Q153" s="1499">
        <f>IF(M153&gt;0,$M$190,IFERROR((O153/J153),0))/crop_intensity!$C$7</f>
        <v>3.1535605312876775</v>
      </c>
      <c r="R153" s="1105">
        <f t="shared" si="33"/>
        <v>1.2760314952196257</v>
      </c>
    </row>
    <row r="154" spans="1:18" ht="12">
      <c r="A154" s="1399" t="s">
        <v>677</v>
      </c>
      <c r="B154" s="1427">
        <v>723</v>
      </c>
      <c r="C154" s="1390" t="s">
        <v>721</v>
      </c>
      <c r="D154" s="1526"/>
      <c r="E154" s="1524">
        <f>IF(M154&gt;0,$N$190,IFERROR((P154/L154),0))/crop_intensity!$D$7</f>
        <v>2.1137307691957981</v>
      </c>
      <c r="F154" s="1446">
        <f t="shared" si="22"/>
        <v>1</v>
      </c>
      <c r="G154" s="1428">
        <f t="shared" si="34"/>
        <v>2.5252766180478901</v>
      </c>
      <c r="H154" s="1392">
        <f t="shared" si="29"/>
        <v>0</v>
      </c>
      <c r="I154" s="1522"/>
      <c r="J154" s="1455"/>
      <c r="K154" s="1431">
        <v>2157360</v>
      </c>
      <c r="L154" s="1431">
        <v>1012520</v>
      </c>
      <c r="M154" s="1436">
        <v>0</v>
      </c>
      <c r="N154" s="1416">
        <f t="shared" si="30"/>
        <v>1</v>
      </c>
      <c r="O154" s="1391">
        <f t="shared" si="31"/>
        <v>0</v>
      </c>
      <c r="P154" s="1391">
        <f t="shared" si="32"/>
        <v>2157360</v>
      </c>
      <c r="Q154" s="1499">
        <f>IF(M154&gt;0,$M$190,IFERROR((O154/J154),0))/crop_intensity!$C$7</f>
        <v>0</v>
      </c>
      <c r="R154" s="1105">
        <f t="shared" si="33"/>
        <v>0</v>
      </c>
    </row>
    <row r="155" spans="1:18" ht="12">
      <c r="A155" s="1399" t="s">
        <v>4048</v>
      </c>
      <c r="B155" s="1427">
        <v>373</v>
      </c>
      <c r="C155" s="1390" t="s">
        <v>531</v>
      </c>
      <c r="D155" s="1526">
        <v>336200</v>
      </c>
      <c r="E155" s="1524">
        <f>IF(M155&gt;0,$N$190,IFERROR((P155/L155),0))/crop_intensity!$D$7</f>
        <v>25.303268875751417</v>
      </c>
      <c r="F155" s="1446">
        <f t="shared" si="22"/>
        <v>1</v>
      </c>
      <c r="G155" s="1428">
        <f t="shared" si="34"/>
        <v>2.5252766180478901</v>
      </c>
      <c r="H155" s="1392">
        <f t="shared" si="29"/>
        <v>33552.897973641295</v>
      </c>
      <c r="I155" s="1522"/>
      <c r="J155" s="1455">
        <v>16285</v>
      </c>
      <c r="K155" s="1431">
        <v>23231900</v>
      </c>
      <c r="L155" s="1431">
        <v>910833</v>
      </c>
      <c r="M155" s="1436">
        <v>0</v>
      </c>
      <c r="N155" s="1416">
        <f t="shared" si="30"/>
        <v>1</v>
      </c>
      <c r="O155" s="1391">
        <f t="shared" si="31"/>
        <v>336200</v>
      </c>
      <c r="P155" s="1391">
        <f t="shared" si="32"/>
        <v>23231900</v>
      </c>
      <c r="Q155" s="1499">
        <f>IF(M155&gt;0,$M$190,IFERROR((O155/J155),0))/crop_intensity!$C$7</f>
        <v>21.983372827312099</v>
      </c>
      <c r="R155" s="1105">
        <f t="shared" si="33"/>
        <v>0.86879576450215745</v>
      </c>
    </row>
    <row r="156" spans="1:18" ht="12">
      <c r="A156" s="1399" t="s">
        <v>678</v>
      </c>
      <c r="B156" s="1427">
        <v>541</v>
      </c>
      <c r="C156" s="1390" t="s">
        <v>524</v>
      </c>
      <c r="D156" s="1526"/>
      <c r="E156" s="1524">
        <f>IF(M156&gt;0,$N$190,IFERROR((P156/L156),0))/crop_intensity!$D$7</f>
        <v>5.4805821547528151</v>
      </c>
      <c r="F156" s="1446">
        <f t="shared" si="22"/>
        <v>1</v>
      </c>
      <c r="G156" s="1428">
        <f t="shared" si="34"/>
        <v>2.5252766180478901</v>
      </c>
      <c r="H156" s="1392">
        <f t="shared" si="29"/>
        <v>0</v>
      </c>
      <c r="I156" s="1522"/>
      <c r="J156" s="1455"/>
      <c r="K156" s="1431">
        <v>579270</v>
      </c>
      <c r="L156" s="1431">
        <v>104854</v>
      </c>
      <c r="M156" s="1436">
        <v>0</v>
      </c>
      <c r="N156" s="1416">
        <f t="shared" si="30"/>
        <v>1</v>
      </c>
      <c r="O156" s="1391">
        <f t="shared" si="31"/>
        <v>0</v>
      </c>
      <c r="P156" s="1391">
        <f t="shared" si="32"/>
        <v>579270</v>
      </c>
      <c r="Q156" s="1499">
        <f>IF(M156&gt;0,$M$190,IFERROR((O156/J156),0))/crop_intensity!$C$7</f>
        <v>0</v>
      </c>
      <c r="R156" s="1105">
        <f t="shared" si="33"/>
        <v>0</v>
      </c>
    </row>
    <row r="157" spans="1:18" ht="12">
      <c r="A157" s="1399" t="s">
        <v>525</v>
      </c>
      <c r="B157" s="1427">
        <v>544</v>
      </c>
      <c r="C157" s="1390" t="s">
        <v>526</v>
      </c>
      <c r="D157" s="1526">
        <v>1360870</v>
      </c>
      <c r="E157" s="1524">
        <f>IF(M157&gt;0,$N$190,IFERROR((P157/L157),0))/crop_intensity!$D$7</f>
        <v>21.228465256604192</v>
      </c>
      <c r="F157" s="1446">
        <f t="shared" si="22"/>
        <v>1</v>
      </c>
      <c r="G157" s="1428">
        <f t="shared" si="34"/>
        <v>2.5252766180478901</v>
      </c>
      <c r="H157" s="1392">
        <f t="shared" si="29"/>
        <v>161885.14570706952</v>
      </c>
      <c r="I157" s="1522"/>
      <c r="J157" s="1455">
        <v>23549</v>
      </c>
      <c r="K157" s="1431">
        <v>7739620</v>
      </c>
      <c r="L157" s="1431">
        <v>361686</v>
      </c>
      <c r="M157" s="1436">
        <v>0</v>
      </c>
      <c r="N157" s="1416">
        <f t="shared" si="30"/>
        <v>1</v>
      </c>
      <c r="O157" s="1391">
        <f t="shared" si="31"/>
        <v>1360870</v>
      </c>
      <c r="P157" s="1391">
        <f t="shared" si="32"/>
        <v>7739620</v>
      </c>
      <c r="Q157" s="1499">
        <f>IF(M157&gt;0,$M$190,IFERROR((O157/J157),0))/crop_intensity!$C$7</f>
        <v>61.535899004418241</v>
      </c>
      <c r="R157" s="1105">
        <f t="shared" si="33"/>
        <v>2.8987445988482081</v>
      </c>
    </row>
    <row r="158" spans="1:18" ht="12">
      <c r="A158" s="1399" t="s">
        <v>527</v>
      </c>
      <c r="B158" s="1427">
        <v>423</v>
      </c>
      <c r="C158" s="1390" t="s">
        <v>1058</v>
      </c>
      <c r="D158" s="1526">
        <v>830262</v>
      </c>
      <c r="E158" s="1524">
        <f>IF(M158&gt;0,$N$190,IFERROR((P158/L158),0))/crop_intensity!$D$7</f>
        <v>9.2417808030586119</v>
      </c>
      <c r="F158" s="1446">
        <f t="shared" si="22"/>
        <v>1</v>
      </c>
      <c r="G158" s="1428">
        <f t="shared" si="34"/>
        <v>2.5252766180478901</v>
      </c>
      <c r="H158" s="1392">
        <f t="shared" si="29"/>
        <v>226865.49920766178</v>
      </c>
      <c r="I158" s="1522"/>
      <c r="J158" s="1455">
        <v>91852</v>
      </c>
      <c r="K158" s="1431">
        <v>1883210</v>
      </c>
      <c r="L158" s="1431">
        <v>202150</v>
      </c>
      <c r="M158" s="1436">
        <v>0</v>
      </c>
      <c r="N158" s="1416">
        <f t="shared" si="30"/>
        <v>1</v>
      </c>
      <c r="O158" s="1391">
        <f t="shared" si="31"/>
        <v>830262</v>
      </c>
      <c r="P158" s="1391">
        <f t="shared" si="32"/>
        <v>1883210</v>
      </c>
      <c r="Q158" s="1499">
        <f>IF(M158&gt;0,$M$190,IFERROR((O158/J158),0))/crop_intensity!$C$7</f>
        <v>9.6252257299655941</v>
      </c>
      <c r="R158" s="1105">
        <f t="shared" si="33"/>
        <v>1.0414903723728308</v>
      </c>
    </row>
    <row r="159" spans="1:18" ht="12">
      <c r="A159" s="1399" t="s">
        <v>1059</v>
      </c>
      <c r="B159" s="1427">
        <v>157</v>
      </c>
      <c r="C159" s="1390" t="s">
        <v>3687</v>
      </c>
      <c r="D159" s="1526">
        <v>29745700</v>
      </c>
      <c r="E159" s="1524">
        <f>IF(M159&gt;0,$N$190,IFERROR((P159/L159),0))/crop_intensity!$D$7</f>
        <v>56.419011328590358</v>
      </c>
      <c r="F159" s="1446">
        <f t="shared" si="22"/>
        <v>1</v>
      </c>
      <c r="G159" s="1428">
        <f t="shared" si="34"/>
        <v>2.5252766180478901</v>
      </c>
      <c r="H159" s="1392">
        <f t="shared" si="29"/>
        <v>1331397.3238556555</v>
      </c>
      <c r="I159" s="1522"/>
      <c r="J159" s="1455">
        <v>467010</v>
      </c>
      <c r="K159" s="1431">
        <v>247382000</v>
      </c>
      <c r="L159" s="1431">
        <v>4349840</v>
      </c>
      <c r="M159" s="1436">
        <v>0</v>
      </c>
      <c r="N159" s="1416">
        <f t="shared" si="30"/>
        <v>1</v>
      </c>
      <c r="O159" s="1391">
        <f t="shared" si="31"/>
        <v>29745700</v>
      </c>
      <c r="P159" s="1391">
        <f t="shared" si="32"/>
        <v>247382000</v>
      </c>
      <c r="Q159" s="1499">
        <f>IF(M159&gt;0,$M$190,IFERROR((O159/J159),0))/crop_intensity!$C$7</f>
        <v>67.823842796023143</v>
      </c>
      <c r="R159" s="1105">
        <f t="shared" si="33"/>
        <v>1.2021451847323206</v>
      </c>
    </row>
    <row r="160" spans="1:18" ht="12">
      <c r="A160" s="1399" t="s">
        <v>1060</v>
      </c>
      <c r="B160" s="1427">
        <v>156</v>
      </c>
      <c r="C160" s="1390" t="s">
        <v>1061</v>
      </c>
      <c r="D160" s="1526">
        <v>27905900</v>
      </c>
      <c r="E160" s="1524">
        <f>IF(M160&gt;0,$N$190,IFERROR((P160/L160),0))/crop_intensity!$D$7</f>
        <v>70.137040297510566</v>
      </c>
      <c r="F160" s="1446">
        <f t="shared" si="22"/>
        <v>1</v>
      </c>
      <c r="G160" s="1428">
        <f t="shared" si="34"/>
        <v>2.5252766180478901</v>
      </c>
      <c r="H160" s="1392">
        <f t="shared" si="29"/>
        <v>1004748.9383164615</v>
      </c>
      <c r="I160" s="1522"/>
      <c r="J160" s="1455">
        <v>368590</v>
      </c>
      <c r="K160" s="1431">
        <v>1904999936</v>
      </c>
      <c r="L160" s="1431">
        <v>26945000</v>
      </c>
      <c r="M160" s="1436">
        <v>0</v>
      </c>
      <c r="N160" s="1416">
        <f t="shared" si="30"/>
        <v>1</v>
      </c>
      <c r="O160" s="1391">
        <f t="shared" si="31"/>
        <v>27905900</v>
      </c>
      <c r="P160" s="1391">
        <f t="shared" si="32"/>
        <v>1904999936</v>
      </c>
      <c r="Q160" s="1499">
        <f>IF(M160&gt;0,$M$190,IFERROR((O160/J160),0))/crop_intensity!$C$7</f>
        <v>80.618899294533321</v>
      </c>
      <c r="R160" s="1105">
        <f t="shared" si="33"/>
        <v>1.1494482651757234</v>
      </c>
    </row>
    <row r="161" spans="1:18" ht="12">
      <c r="A161" s="1396" t="s">
        <v>679</v>
      </c>
      <c r="B161" s="1427">
        <v>161</v>
      </c>
      <c r="C161" s="1390" t="s">
        <v>1062</v>
      </c>
      <c r="D161" s="1526"/>
      <c r="E161" s="1524">
        <f>IF(M161&gt;0,$N$190,IFERROR((P161/L161),0))/crop_intensity!$D$7</f>
        <v>7.5622977983120085</v>
      </c>
      <c r="F161" s="1446">
        <f t="shared" si="22"/>
        <v>1</v>
      </c>
      <c r="G161" s="1428">
        <f t="shared" si="34"/>
        <v>2.5252766180478901</v>
      </c>
      <c r="H161" s="1392">
        <f t="shared" si="29"/>
        <v>0</v>
      </c>
      <c r="I161" s="1522"/>
      <c r="J161" s="1455"/>
      <c r="K161" s="1431">
        <v>930000</v>
      </c>
      <c r="L161" s="1431">
        <v>122000</v>
      </c>
      <c r="M161" s="1436">
        <v>0</v>
      </c>
      <c r="N161" s="1416">
        <f t="shared" si="30"/>
        <v>1</v>
      </c>
      <c r="O161" s="1391">
        <f t="shared" si="31"/>
        <v>0</v>
      </c>
      <c r="P161" s="1391">
        <f t="shared" si="32"/>
        <v>930000</v>
      </c>
      <c r="Q161" s="1499">
        <f>IF(M161&gt;0,$M$190,IFERROR((O161/J161),0))/crop_intensity!$C$7</f>
        <v>0</v>
      </c>
      <c r="R161" s="1105">
        <f t="shared" si="33"/>
        <v>0</v>
      </c>
    </row>
    <row r="162" spans="1:18" ht="12">
      <c r="A162" s="1396" t="s">
        <v>3916</v>
      </c>
      <c r="B162" s="1427">
        <v>267</v>
      </c>
      <c r="C162" s="1390" t="s">
        <v>3690</v>
      </c>
      <c r="D162" s="1526">
        <v>917060</v>
      </c>
      <c r="E162" s="1524">
        <f>IF(M162&gt;0,$N$190,IFERROR((P162/L162),0))/crop_intensity!$D$7</f>
        <v>1.7244425675629544</v>
      </c>
      <c r="F162" s="1446">
        <f t="shared" si="22"/>
        <v>1</v>
      </c>
      <c r="G162" s="1428">
        <f t="shared" si="34"/>
        <v>2.5252766180478901</v>
      </c>
      <c r="H162" s="1392">
        <f t="shared" si="29"/>
        <v>1342944.2179798509</v>
      </c>
      <c r="I162" s="1522"/>
      <c r="J162" s="1455">
        <v>592710</v>
      </c>
      <c r="K162" s="1431">
        <v>44725600</v>
      </c>
      <c r="L162" s="1431">
        <v>25729900</v>
      </c>
      <c r="M162" s="1436">
        <v>0</v>
      </c>
      <c r="N162" s="1416">
        <f t="shared" si="30"/>
        <v>1</v>
      </c>
      <c r="O162" s="1391">
        <f t="shared" si="31"/>
        <v>917060</v>
      </c>
      <c r="P162" s="1391">
        <f t="shared" si="32"/>
        <v>44725600</v>
      </c>
      <c r="Q162" s="1499">
        <f>IF(M162&gt;0,$M$190,IFERROR((O162/J162),0))/crop_intensity!$C$7</f>
        <v>1.6475548258729371</v>
      </c>
      <c r="R162" s="1105">
        <f t="shared" si="33"/>
        <v>0.95541298786269357</v>
      </c>
    </row>
    <row r="163" spans="1:18" ht="12">
      <c r="A163" s="1396" t="s">
        <v>7094</v>
      </c>
      <c r="B163" s="1427">
        <v>649</v>
      </c>
      <c r="C163" s="1390" t="s">
        <v>3692</v>
      </c>
      <c r="D163" s="1526"/>
      <c r="E163" s="1524">
        <f>IF(M163&gt;0,$N$190,IFERROR((P163/L163),0))/crop_intensity!$D$7</f>
        <v>37.423850538139796</v>
      </c>
      <c r="F163" s="1446">
        <f t="shared" si="22"/>
        <v>1</v>
      </c>
      <c r="G163" s="1428">
        <f t="shared" si="34"/>
        <v>2.5252766180478901</v>
      </c>
      <c r="H163" s="1392">
        <f t="shared" si="29"/>
        <v>0</v>
      </c>
      <c r="I163" s="1522"/>
      <c r="J163" s="1455"/>
      <c r="K163" s="1431">
        <v>3150030</v>
      </c>
      <c r="L163" s="1431">
        <v>83502</v>
      </c>
      <c r="M163" s="1436">
        <v>0</v>
      </c>
      <c r="N163" s="1416">
        <f t="shared" si="30"/>
        <v>1</v>
      </c>
      <c r="O163" s="1391">
        <f t="shared" si="31"/>
        <v>0</v>
      </c>
      <c r="P163" s="1391">
        <f t="shared" si="32"/>
        <v>3150030</v>
      </c>
      <c r="Q163" s="1499">
        <f>IF(M163&gt;0,$M$190,IFERROR((O163/J163),0))/crop_intensity!$C$7</f>
        <v>0</v>
      </c>
      <c r="R163" s="1105">
        <f t="shared" si="33"/>
        <v>0</v>
      </c>
    </row>
    <row r="164" spans="1:18" ht="12">
      <c r="A164" s="1396" t="s">
        <v>3917</v>
      </c>
      <c r="B164" s="1427">
        <v>122</v>
      </c>
      <c r="C164" s="1390" t="s">
        <v>3693</v>
      </c>
      <c r="D164" s="1526">
        <v>1124230</v>
      </c>
      <c r="E164" s="1524">
        <f>IF(M164&gt;0,$N$190,IFERROR((P164/L164),0))/crop_intensity!$D$7</f>
        <v>12.690258466741154</v>
      </c>
      <c r="F164" s="1446">
        <f t="shared" si="22"/>
        <v>1</v>
      </c>
      <c r="G164" s="1428">
        <f t="shared" si="34"/>
        <v>2.5252766180478901</v>
      </c>
      <c r="H164" s="1392">
        <f t="shared" si="29"/>
        <v>223714.25607669516</v>
      </c>
      <c r="I164" s="1522"/>
      <c r="J164" s="1455">
        <v>45810</v>
      </c>
      <c r="K164" s="1431">
        <v>102941000</v>
      </c>
      <c r="L164" s="1431">
        <v>8047270</v>
      </c>
      <c r="M164" s="1436">
        <v>0</v>
      </c>
      <c r="N164" s="1416">
        <f t="shared" si="30"/>
        <v>1</v>
      </c>
      <c r="O164" s="1391">
        <f t="shared" si="31"/>
        <v>1124230</v>
      </c>
      <c r="P164" s="1391">
        <f t="shared" si="32"/>
        <v>102941000</v>
      </c>
      <c r="Q164" s="1499">
        <f>IF(M164&gt;0,$M$190,IFERROR((O164/J164),0))/crop_intensity!$C$7</f>
        <v>26.132397621449332</v>
      </c>
      <c r="R164" s="1105">
        <f t="shared" si="33"/>
        <v>2.0592486504461327</v>
      </c>
    </row>
    <row r="165" spans="1:18" ht="12">
      <c r="A165" s="1396" t="s">
        <v>7095</v>
      </c>
      <c r="B165" s="1427">
        <v>305</v>
      </c>
      <c r="C165" s="1390" t="s">
        <v>7106</v>
      </c>
      <c r="D165" s="1526"/>
      <c r="E165" s="1524">
        <f>IF(M165&gt;0,$N$190,IFERROR((P165/L165),0))/crop_intensity!$D$7</f>
        <v>2.4372423463084951</v>
      </c>
      <c r="F165" s="1446">
        <f t="shared" si="22"/>
        <v>1</v>
      </c>
      <c r="G165" s="1428">
        <f t="shared" si="34"/>
        <v>2.5252766180478901</v>
      </c>
      <c r="H165" s="1392">
        <f t="shared" si="29"/>
        <v>0</v>
      </c>
      <c r="I165" s="1522"/>
      <c r="J165" s="1455"/>
      <c r="K165" s="1431">
        <v>995000</v>
      </c>
      <c r="L165" s="1431">
        <v>405000</v>
      </c>
      <c r="M165" s="1436">
        <v>0</v>
      </c>
      <c r="N165" s="1416">
        <f t="shared" si="30"/>
        <v>1</v>
      </c>
      <c r="O165" s="1391">
        <f t="shared" si="31"/>
        <v>0</v>
      </c>
      <c r="P165" s="1391">
        <f t="shared" si="32"/>
        <v>995000</v>
      </c>
      <c r="Q165" s="1499">
        <f>IF(M165&gt;0,$M$190,IFERROR((O165/J165),0))/crop_intensity!$C$7</f>
        <v>0</v>
      </c>
      <c r="R165" s="1105">
        <f t="shared" si="33"/>
        <v>0</v>
      </c>
    </row>
    <row r="166" spans="1:18" ht="12">
      <c r="A166" s="1396" t="s">
        <v>3918</v>
      </c>
      <c r="B166" s="1427">
        <v>495</v>
      </c>
      <c r="C166" s="1390" t="s">
        <v>3694</v>
      </c>
      <c r="D166" s="1526">
        <v>620515</v>
      </c>
      <c r="E166" s="1524">
        <f>IF(M166&gt;0,$N$190,IFERROR((P166/L166),0))/crop_intensity!$D$7</f>
        <v>9.8284228167128393</v>
      </c>
      <c r="F166" s="1446">
        <f t="shared" si="22"/>
        <v>1</v>
      </c>
      <c r="G166" s="1428">
        <f t="shared" si="34"/>
        <v>2.5252766180478901</v>
      </c>
      <c r="H166" s="1392">
        <f t="shared" si="29"/>
        <v>159432.7034835552</v>
      </c>
      <c r="I166" s="1522"/>
      <c r="J166" s="1455">
        <v>21084</v>
      </c>
      <c r="K166" s="1431">
        <v>28712700</v>
      </c>
      <c r="L166" s="1431">
        <v>2898150</v>
      </c>
      <c r="M166" s="1436">
        <v>0</v>
      </c>
      <c r="N166" s="1416">
        <f t="shared" si="30"/>
        <v>1</v>
      </c>
      <c r="O166" s="1391">
        <f t="shared" si="31"/>
        <v>620515</v>
      </c>
      <c r="P166" s="1391">
        <f t="shared" si="32"/>
        <v>28712700</v>
      </c>
      <c r="Q166" s="1499">
        <f>IF(M166&gt;0,$M$190,IFERROR((O166/J166),0))/crop_intensity!$C$7</f>
        <v>31.3388933187064</v>
      </c>
      <c r="R166" s="1105">
        <f t="shared" si="33"/>
        <v>3.1885984051699392</v>
      </c>
    </row>
    <row r="167" spans="1:18" ht="12">
      <c r="A167" s="1396" t="s">
        <v>741</v>
      </c>
      <c r="B167" s="1427">
        <v>136</v>
      </c>
      <c r="C167" s="1390" t="s">
        <v>4577</v>
      </c>
      <c r="D167" s="1526">
        <v>1550</v>
      </c>
      <c r="E167" s="1524">
        <f>IF(M167&gt;0,$N$190,IFERROR((P167/L167),0))/crop_intensity!$D$7</f>
        <v>6.207707920355948</v>
      </c>
      <c r="F167" s="1446">
        <f t="shared" si="22"/>
        <v>1</v>
      </c>
      <c r="G167" s="1428">
        <f t="shared" si="34"/>
        <v>2.5252766180478901</v>
      </c>
      <c r="H167" s="1392">
        <f t="shared" ref="H167:H183" si="35">IFERROR((O167/E167)*G167*F167,0)</f>
        <v>630.53526489851208</v>
      </c>
      <c r="I167" s="1522"/>
      <c r="J167" s="1455">
        <v>160</v>
      </c>
      <c r="K167" s="1431">
        <v>9943600</v>
      </c>
      <c r="L167" s="1431">
        <v>1589070</v>
      </c>
      <c r="M167" s="1436">
        <v>0</v>
      </c>
      <c r="N167" s="1416">
        <f t="shared" ref="N167:N183" si="36">VLOOKUP(B167,constant_crop_factor,3,FALSE)</f>
        <v>1</v>
      </c>
      <c r="O167" s="1391">
        <f t="shared" ref="O167:O183" si="37">D167*N167</f>
        <v>1550</v>
      </c>
      <c r="P167" s="1391">
        <f t="shared" ref="P167:P183" si="38">K167*N167</f>
        <v>9943600</v>
      </c>
      <c r="Q167" s="1499">
        <f>IF(M167&gt;0,$M$190,IFERROR((O167/J167),0))/crop_intensity!$C$7</f>
        <v>10.315638032863719</v>
      </c>
      <c r="R167" s="1105">
        <f t="shared" ref="R167:R183" si="39">IFERROR(Q167/E167,0)</f>
        <v>1.6617466809347279</v>
      </c>
    </row>
    <row r="168" spans="1:18" ht="12">
      <c r="A168" s="1396" t="s">
        <v>4578</v>
      </c>
      <c r="B168" s="1427">
        <v>667</v>
      </c>
      <c r="C168" s="1390" t="s">
        <v>1962</v>
      </c>
      <c r="D168" s="1526"/>
      <c r="E168" s="1524">
        <f>IF(M168&gt;0,$N$190,IFERROR((P168/L168),0))/crop_intensity!$D$7</f>
        <v>1.506008616232168</v>
      </c>
      <c r="F168" s="1446">
        <f t="shared" si="22"/>
        <v>1</v>
      </c>
      <c r="G168" s="1428">
        <f t="shared" ref="G168:G183" si="40">$G$7</f>
        <v>2.5252766180478901</v>
      </c>
      <c r="H168" s="1392">
        <f t="shared" si="35"/>
        <v>0</v>
      </c>
      <c r="I168" s="1522"/>
      <c r="J168" s="1455"/>
      <c r="K168" s="1431">
        <v>5345520</v>
      </c>
      <c r="L168" s="1431">
        <v>3521220</v>
      </c>
      <c r="M168" s="1436">
        <v>0</v>
      </c>
      <c r="N168" s="1416">
        <f t="shared" si="36"/>
        <v>1</v>
      </c>
      <c r="O168" s="1391">
        <f t="shared" si="37"/>
        <v>0</v>
      </c>
      <c r="P168" s="1391">
        <f t="shared" si="38"/>
        <v>5345520</v>
      </c>
      <c r="Q168" s="1499">
        <f>IF(M168&gt;0,$M$190,IFERROR((O168/J168),0))/crop_intensity!$C$7</f>
        <v>0</v>
      </c>
      <c r="R168" s="1105">
        <f t="shared" si="39"/>
        <v>0</v>
      </c>
    </row>
    <row r="169" spans="1:18" ht="12">
      <c r="A169" s="1396" t="s">
        <v>6050</v>
      </c>
      <c r="B169" s="1427">
        <v>674</v>
      </c>
      <c r="C169" s="1390" t="s">
        <v>7107</v>
      </c>
      <c r="D169" s="1526"/>
      <c r="E169" s="1524">
        <f>IF(M169&gt;0,$N$190,IFERROR((P169/L169),0))/crop_intensity!$D$7</f>
        <v>1.0041577754182593</v>
      </c>
      <c r="F169" s="1446">
        <f t="shared" si="22"/>
        <v>1</v>
      </c>
      <c r="G169" s="1428">
        <f t="shared" si="40"/>
        <v>2.5252766180478901</v>
      </c>
      <c r="H169" s="1392">
        <f t="shared" si="35"/>
        <v>0</v>
      </c>
      <c r="I169" s="1522"/>
      <c r="J169" s="1455"/>
      <c r="K169" s="1431">
        <v>844230</v>
      </c>
      <c r="L169" s="1431">
        <v>834045</v>
      </c>
      <c r="M169" s="1436">
        <v>0</v>
      </c>
      <c r="N169" s="1416">
        <f t="shared" si="36"/>
        <v>1</v>
      </c>
      <c r="O169" s="1391">
        <f t="shared" si="37"/>
        <v>0</v>
      </c>
      <c r="P169" s="1391">
        <f t="shared" si="38"/>
        <v>844230</v>
      </c>
      <c r="Q169" s="1499">
        <f>IF(M169&gt;0,$M$190,IFERROR((O169/J169),0))/crop_intensity!$C$7</f>
        <v>0</v>
      </c>
      <c r="R169" s="1105">
        <f t="shared" si="39"/>
        <v>0</v>
      </c>
    </row>
    <row r="170" spans="1:18" ht="12">
      <c r="A170" s="1396" t="s">
        <v>4579</v>
      </c>
      <c r="B170" s="1427">
        <v>826</v>
      </c>
      <c r="C170" s="1390" t="s">
        <v>3695</v>
      </c>
      <c r="D170" s="1526">
        <v>345837</v>
      </c>
      <c r="E170" s="1524">
        <f>IF(M170&gt;0,$N$190,IFERROR((P170/L170),0))/crop_intensity!$D$7</f>
        <v>1.7403612135844093</v>
      </c>
      <c r="F170" s="1446">
        <f t="shared" si="22"/>
        <v>1</v>
      </c>
      <c r="G170" s="1428">
        <f t="shared" si="40"/>
        <v>2.5252766180478901</v>
      </c>
      <c r="H170" s="1392">
        <f t="shared" si="35"/>
        <v>501811.97037661436</v>
      </c>
      <c r="I170" s="1522"/>
      <c r="J170" s="1455">
        <v>136068</v>
      </c>
      <c r="K170" s="1431">
        <v>7435070</v>
      </c>
      <c r="L170" s="1431">
        <v>4238150</v>
      </c>
      <c r="M170" s="1436">
        <v>0</v>
      </c>
      <c r="N170" s="1416">
        <f t="shared" si="36"/>
        <v>1</v>
      </c>
      <c r="O170" s="1391">
        <f t="shared" si="37"/>
        <v>345837</v>
      </c>
      <c r="P170" s="1391">
        <f t="shared" si="38"/>
        <v>7435070</v>
      </c>
      <c r="Q170" s="1499">
        <f>IF(M170&gt;0,$M$190,IFERROR((O170/J170),0))/crop_intensity!$C$7</f>
        <v>2.7064489086549628</v>
      </c>
      <c r="R170" s="1105">
        <f t="shared" si="39"/>
        <v>1.5551075762489677</v>
      </c>
    </row>
    <row r="171" spans="1:18" ht="12">
      <c r="A171" s="1396" t="s">
        <v>4580</v>
      </c>
      <c r="B171" s="1427">
        <v>388</v>
      </c>
      <c r="C171" s="1390" t="s">
        <v>3696</v>
      </c>
      <c r="D171" s="1526">
        <v>12574600</v>
      </c>
      <c r="E171" s="1524">
        <f>IF(M171&gt;0,$N$190,IFERROR((P171/L171),0))/crop_intensity!$D$7</f>
        <v>33.956094574904412</v>
      </c>
      <c r="F171" s="1446">
        <f t="shared" si="22"/>
        <v>1</v>
      </c>
      <c r="G171" s="1428">
        <f t="shared" si="40"/>
        <v>2.5252766180478901</v>
      </c>
      <c r="H171" s="1392">
        <f t="shared" si="35"/>
        <v>935158.87968969671</v>
      </c>
      <c r="I171" s="1522"/>
      <c r="J171" s="1455">
        <v>149977</v>
      </c>
      <c r="K171" s="1431">
        <v>165552000</v>
      </c>
      <c r="L171" s="1431">
        <v>4836680</v>
      </c>
      <c r="M171" s="1436">
        <v>0</v>
      </c>
      <c r="N171" s="1416">
        <f t="shared" si="36"/>
        <v>1</v>
      </c>
      <c r="O171" s="1391">
        <f t="shared" si="37"/>
        <v>12574600</v>
      </c>
      <c r="P171" s="1391">
        <f t="shared" si="38"/>
        <v>165552000</v>
      </c>
      <c r="Q171" s="1499">
        <f>IF(M171&gt;0,$M$190,IFERROR((O171/J171),0))/crop_intensity!$C$7</f>
        <v>89.279941295461853</v>
      </c>
      <c r="R171" s="1105">
        <f t="shared" si="39"/>
        <v>2.629275905051963</v>
      </c>
    </row>
    <row r="172" spans="1:18" ht="12">
      <c r="A172" s="1396" t="s">
        <v>4581</v>
      </c>
      <c r="B172" s="1427">
        <v>97</v>
      </c>
      <c r="C172" s="1390" t="s">
        <v>4582</v>
      </c>
      <c r="D172" s="1526"/>
      <c r="E172" s="1524">
        <f>IF(M172&gt;0,$N$190,IFERROR((P172/L172),0))/crop_intensity!$D$7</f>
        <v>2.7231473712508003</v>
      </c>
      <c r="F172" s="1446">
        <f t="shared" si="22"/>
        <v>1</v>
      </c>
      <c r="G172" s="1428">
        <f t="shared" si="40"/>
        <v>2.5252766180478901</v>
      </c>
      <c r="H172" s="1392">
        <f t="shared" si="35"/>
        <v>0</v>
      </c>
      <c r="I172" s="1522"/>
      <c r="J172" s="1455"/>
      <c r="K172" s="1431">
        <v>14462700</v>
      </c>
      <c r="L172" s="1431">
        <v>3826520</v>
      </c>
      <c r="M172" s="1436">
        <v>1</v>
      </c>
      <c r="N172" s="1416">
        <f t="shared" si="36"/>
        <v>1.0153963872541969</v>
      </c>
      <c r="O172" s="1391">
        <f t="shared" si="37"/>
        <v>0</v>
      </c>
      <c r="P172" s="1391">
        <f t="shared" si="38"/>
        <v>14685373.329941273</v>
      </c>
      <c r="Q172" s="1499">
        <f>IF(M172&gt;0,$M$190,IFERROR((O172/J172),0))/crop_intensity!$C$7</f>
        <v>3.5000333108720874</v>
      </c>
      <c r="R172" s="1105">
        <f t="shared" si="39"/>
        <v>1.2852897157983949</v>
      </c>
    </row>
    <row r="173" spans="1:18" ht="12">
      <c r="A173" s="1396" t="s">
        <v>3699</v>
      </c>
      <c r="B173" s="1427">
        <v>275</v>
      </c>
      <c r="C173" s="1390" t="s">
        <v>3700</v>
      </c>
      <c r="D173" s="1526"/>
      <c r="E173" s="1524">
        <f>IF(M173&gt;0,$N$190,IFERROR((P173/L173),0))/crop_intensity!$D$7</f>
        <v>2.6887916926557209</v>
      </c>
      <c r="F173" s="1446">
        <f t="shared" si="22"/>
        <v>1</v>
      </c>
      <c r="G173" s="1428">
        <f t="shared" si="40"/>
        <v>2.5252766180478901</v>
      </c>
      <c r="H173" s="1392">
        <f t="shared" si="35"/>
        <v>0</v>
      </c>
      <c r="I173" s="1522"/>
      <c r="J173" s="1455"/>
      <c r="K173" s="1431">
        <v>468038</v>
      </c>
      <c r="L173" s="1431">
        <v>172685</v>
      </c>
      <c r="M173" s="1436">
        <v>0</v>
      </c>
      <c r="N173" s="1416">
        <f t="shared" si="36"/>
        <v>1</v>
      </c>
      <c r="O173" s="1391">
        <f t="shared" si="37"/>
        <v>0</v>
      </c>
      <c r="P173" s="1391">
        <f t="shared" si="38"/>
        <v>468038</v>
      </c>
      <c r="Q173" s="1499">
        <f>IF(M173&gt;0,$M$190,IFERROR((O173/J173),0))/crop_intensity!$C$7</f>
        <v>0</v>
      </c>
      <c r="R173" s="1105">
        <f t="shared" si="39"/>
        <v>0</v>
      </c>
    </row>
    <row r="174" spans="1:18" ht="12">
      <c r="A174" s="1396" t="s">
        <v>7096</v>
      </c>
      <c r="B174" s="1427">
        <v>646</v>
      </c>
      <c r="C174" s="1390" t="s">
        <v>2464</v>
      </c>
      <c r="D174" s="1526"/>
      <c r="E174" s="1524">
        <f>IF(M174&gt;0,$N$190,IFERROR((P174/L174),0))/crop_intensity!$D$7</f>
        <v>23.721932538204896</v>
      </c>
      <c r="F174" s="1446">
        <f t="shared" si="22"/>
        <v>1</v>
      </c>
      <c r="G174" s="1428">
        <f t="shared" si="40"/>
        <v>2.5252766180478901</v>
      </c>
      <c r="H174" s="1392">
        <f t="shared" si="35"/>
        <v>0</v>
      </c>
      <c r="I174" s="1522"/>
      <c r="J174" s="1455"/>
      <c r="K174" s="1431">
        <v>2628500</v>
      </c>
      <c r="L174" s="1431">
        <v>109923</v>
      </c>
      <c r="M174" s="1436">
        <v>0</v>
      </c>
      <c r="N174" s="1416">
        <f t="shared" si="36"/>
        <v>1</v>
      </c>
      <c r="O174" s="1391">
        <f t="shared" si="37"/>
        <v>0</v>
      </c>
      <c r="P174" s="1391">
        <f t="shared" si="38"/>
        <v>2628500</v>
      </c>
      <c r="Q174" s="1499">
        <f>IF(M174&gt;0,$M$190,IFERROR((O174/J174),0))/crop_intensity!$C$7</f>
        <v>0</v>
      </c>
      <c r="R174" s="1105">
        <f t="shared" si="39"/>
        <v>0</v>
      </c>
    </row>
    <row r="175" spans="1:18" ht="12">
      <c r="A175" s="1396" t="s">
        <v>4583</v>
      </c>
      <c r="B175" s="1427">
        <v>692</v>
      </c>
      <c r="C175" s="1390" t="s">
        <v>4584</v>
      </c>
      <c r="D175" s="1526"/>
      <c r="E175" s="1524">
        <f>IF(M175&gt;0,$N$190,IFERROR((P175/L175),0))/crop_intensity!$D$7</f>
        <v>9.9665029481692688E-2</v>
      </c>
      <c r="F175" s="1446">
        <f t="shared" si="22"/>
        <v>1</v>
      </c>
      <c r="G175" s="1428">
        <f t="shared" si="40"/>
        <v>2.5252766180478901</v>
      </c>
      <c r="H175" s="1392">
        <f t="shared" si="35"/>
        <v>0</v>
      </c>
      <c r="I175" s="1522"/>
      <c r="J175" s="1455"/>
      <c r="K175" s="1431">
        <v>8342</v>
      </c>
      <c r="L175" s="1431">
        <v>83034.3984375</v>
      </c>
      <c r="M175" s="1436">
        <v>0</v>
      </c>
      <c r="N175" s="1416">
        <f t="shared" si="36"/>
        <v>1</v>
      </c>
      <c r="O175" s="1391">
        <f t="shared" si="37"/>
        <v>0</v>
      </c>
      <c r="P175" s="1391">
        <f t="shared" si="38"/>
        <v>8342</v>
      </c>
      <c r="Q175" s="1499">
        <f>IF(M175&gt;0,$M$190,IFERROR((O175/J175),0))/crop_intensity!$C$7</f>
        <v>0</v>
      </c>
      <c r="R175" s="1105">
        <f t="shared" si="39"/>
        <v>0</v>
      </c>
    </row>
    <row r="176" spans="1:18" ht="12">
      <c r="A176" s="1396" t="s">
        <v>7097</v>
      </c>
      <c r="B176" s="1427">
        <v>655</v>
      </c>
      <c r="C176" s="1390" t="s">
        <v>4194</v>
      </c>
      <c r="D176" s="1526"/>
      <c r="E176" s="1524">
        <f>IF(M176&gt;0,$N$190,IFERROR((P176/L176),0))/crop_intensity!$D$7</f>
        <v>22.03626023161608</v>
      </c>
      <c r="F176" s="1446">
        <f t="shared" si="22"/>
        <v>1</v>
      </c>
      <c r="G176" s="1428">
        <f t="shared" si="40"/>
        <v>2.5252766180478901</v>
      </c>
      <c r="H176" s="1392">
        <f t="shared" si="35"/>
        <v>0</v>
      </c>
      <c r="I176" s="1522"/>
      <c r="J176" s="1455"/>
      <c r="K176" s="1431">
        <v>13436200</v>
      </c>
      <c r="L176" s="1431">
        <v>604880</v>
      </c>
      <c r="M176" s="1436">
        <v>0</v>
      </c>
      <c r="N176" s="1416">
        <f t="shared" si="36"/>
        <v>1</v>
      </c>
      <c r="O176" s="1391">
        <f t="shared" si="37"/>
        <v>0</v>
      </c>
      <c r="P176" s="1391">
        <f t="shared" si="38"/>
        <v>13436200</v>
      </c>
      <c r="Q176" s="1499">
        <f>IF(M176&gt;0,$M$190,IFERROR((O176/J176),0))/crop_intensity!$C$7</f>
        <v>0</v>
      </c>
      <c r="R176" s="1105">
        <f t="shared" si="39"/>
        <v>0</v>
      </c>
    </row>
    <row r="177" spans="1:18" ht="12">
      <c r="A177" s="1396" t="s">
        <v>3384</v>
      </c>
      <c r="B177" s="1427">
        <v>463</v>
      </c>
      <c r="C177" s="1390" t="s">
        <v>827</v>
      </c>
      <c r="D177" s="1526">
        <v>831124</v>
      </c>
      <c r="E177" s="1524">
        <f>IF(M177&gt;0,$N$190,IFERROR((P177/L177),0))/crop_intensity!$D$7</f>
        <v>13.993541302789145</v>
      </c>
      <c r="F177" s="1446">
        <f t="shared" si="22"/>
        <v>1</v>
      </c>
      <c r="G177" s="1428">
        <f t="shared" si="40"/>
        <v>2.5252766180478901</v>
      </c>
      <c r="H177" s="1392">
        <f t="shared" si="35"/>
        <v>149984.76500584633</v>
      </c>
      <c r="I177" s="1522"/>
      <c r="J177" s="1455">
        <v>10673</v>
      </c>
      <c r="K177" s="1431">
        <v>281540000</v>
      </c>
      <c r="L177" s="1431">
        <v>19959200</v>
      </c>
      <c r="M177" s="1436">
        <v>0</v>
      </c>
      <c r="N177" s="1416">
        <f t="shared" si="36"/>
        <v>1</v>
      </c>
      <c r="O177" s="1391">
        <f t="shared" si="37"/>
        <v>831124</v>
      </c>
      <c r="P177" s="1391">
        <f t="shared" si="38"/>
        <v>281540000</v>
      </c>
      <c r="Q177" s="1499">
        <f>IF(M177&gt;0,$M$190,IFERROR((O177/J177),0))/crop_intensity!$C$7</f>
        <v>82.92084005211413</v>
      </c>
      <c r="R177" s="1105">
        <f t="shared" si="39"/>
        <v>5.9256508597710456</v>
      </c>
    </row>
    <row r="178" spans="1:18" ht="12">
      <c r="A178" s="1396" t="s">
        <v>1209</v>
      </c>
      <c r="B178" s="1427">
        <v>205</v>
      </c>
      <c r="C178" s="1390" t="s">
        <v>1210</v>
      </c>
      <c r="D178" s="1526"/>
      <c r="E178" s="1524">
        <f>IF(M178&gt;0,$N$190,IFERROR((P178/L178),0))/crop_intensity!$D$7</f>
        <v>1.6027019606859472</v>
      </c>
      <c r="F178" s="1446">
        <f t="shared" si="22"/>
        <v>1</v>
      </c>
      <c r="G178" s="1428">
        <f t="shared" si="40"/>
        <v>2.5252766180478901</v>
      </c>
      <c r="H178" s="1392">
        <f t="shared" si="35"/>
        <v>0</v>
      </c>
      <c r="I178" s="1522"/>
      <c r="J178" s="1455"/>
      <c r="K178" s="1431">
        <v>926982</v>
      </c>
      <c r="L178" s="1431">
        <v>573785</v>
      </c>
      <c r="M178" s="1436">
        <v>0</v>
      </c>
      <c r="N178" s="1416">
        <f t="shared" si="36"/>
        <v>1</v>
      </c>
      <c r="O178" s="1391">
        <f t="shared" si="37"/>
        <v>0</v>
      </c>
      <c r="P178" s="1391">
        <f t="shared" si="38"/>
        <v>926982</v>
      </c>
      <c r="Q178" s="1499">
        <f>IF(M178&gt;0,$M$190,IFERROR((O178/J178),0))/crop_intensity!$C$7</f>
        <v>0</v>
      </c>
      <c r="R178" s="1105">
        <f t="shared" si="39"/>
        <v>0</v>
      </c>
    </row>
    <row r="179" spans="1:18" ht="12">
      <c r="A179" s="1399" t="s">
        <v>1211</v>
      </c>
      <c r="B179" s="1427">
        <v>222</v>
      </c>
      <c r="C179" s="1390" t="s">
        <v>4195</v>
      </c>
      <c r="D179" s="1526">
        <v>420000</v>
      </c>
      <c r="E179" s="1524">
        <f>IF(M179&gt;0,$N$190,IFERROR((P179/L179),0))/crop_intensity!$D$7</f>
        <v>3.4335704837376975</v>
      </c>
      <c r="F179" s="1446">
        <f t="shared" si="22"/>
        <v>1</v>
      </c>
      <c r="G179" s="1428">
        <f t="shared" si="40"/>
        <v>2.5252766180478901</v>
      </c>
      <c r="H179" s="1392">
        <f t="shared" si="35"/>
        <v>308895.99750565016</v>
      </c>
      <c r="I179" s="1522"/>
      <c r="J179" s="1455">
        <v>113120</v>
      </c>
      <c r="K179" s="1431">
        <v>3458240</v>
      </c>
      <c r="L179" s="1431">
        <v>999171</v>
      </c>
      <c r="M179" s="1436">
        <v>0</v>
      </c>
      <c r="N179" s="1416">
        <f t="shared" si="36"/>
        <v>1</v>
      </c>
      <c r="O179" s="1391">
        <f t="shared" si="37"/>
        <v>420000</v>
      </c>
      <c r="P179" s="1391">
        <f t="shared" si="38"/>
        <v>3458240</v>
      </c>
      <c r="Q179" s="1499">
        <f>IF(M179&gt;0,$M$190,IFERROR((O179/J179),0))/crop_intensity!$C$7</f>
        <v>3.95361406561369</v>
      </c>
      <c r="R179" s="1105">
        <f t="shared" si="39"/>
        <v>1.1514585427440787</v>
      </c>
    </row>
    <row r="180" spans="1:18" ht="12">
      <c r="A180" s="1399" t="s">
        <v>1212</v>
      </c>
      <c r="B180" s="1427">
        <v>567</v>
      </c>
      <c r="C180" s="1390" t="s">
        <v>1213</v>
      </c>
      <c r="D180" s="1526">
        <v>1771730</v>
      </c>
      <c r="E180" s="1524">
        <f>IF(M180&gt;0,$N$190,IFERROR((P180/L180),0))/crop_intensity!$D$7</f>
        <v>30.889934526578379</v>
      </c>
      <c r="F180" s="1446">
        <f t="shared" si="22"/>
        <v>1</v>
      </c>
      <c r="G180" s="1428">
        <f t="shared" si="40"/>
        <v>2.5252766180478901</v>
      </c>
      <c r="H180" s="1392">
        <f t="shared" si="35"/>
        <v>144840.33103548235</v>
      </c>
      <c r="I180" s="1522"/>
      <c r="J180" s="1455">
        <v>49910</v>
      </c>
      <c r="K180" s="1431">
        <v>110271000</v>
      </c>
      <c r="L180" s="1431">
        <v>3541400</v>
      </c>
      <c r="M180" s="1436">
        <v>0</v>
      </c>
      <c r="N180" s="1416">
        <f t="shared" si="36"/>
        <v>1</v>
      </c>
      <c r="O180" s="1391">
        <f t="shared" si="37"/>
        <v>1771730</v>
      </c>
      <c r="P180" s="1391">
        <f t="shared" si="38"/>
        <v>110271000</v>
      </c>
      <c r="Q180" s="1499">
        <f>IF(M180&gt;0,$M$190,IFERROR((O180/J180),0))/crop_intensity!$C$7</f>
        <v>37.800221812352582</v>
      </c>
      <c r="R180" s="1105">
        <f t="shared" si="39"/>
        <v>1.2237067637624301</v>
      </c>
    </row>
    <row r="181" spans="1:18" ht="12">
      <c r="A181" s="1399" t="s">
        <v>1214</v>
      </c>
      <c r="B181" s="1427">
        <v>15</v>
      </c>
      <c r="C181" s="1390" t="s">
        <v>4196</v>
      </c>
      <c r="D181" s="1526">
        <v>57966700</v>
      </c>
      <c r="E181" s="1524">
        <f>IF(M181&gt;0,$N$190,IFERROR((P181/L181),0))/crop_intensity!$D$7</f>
        <v>2.7231473712508003</v>
      </c>
      <c r="F181" s="1446">
        <f t="shared" si="22"/>
        <v>1</v>
      </c>
      <c r="G181" s="1428">
        <f t="shared" si="40"/>
        <v>2.5252766180478901</v>
      </c>
      <c r="H181" s="1392">
        <f t="shared" si="35"/>
        <v>55807219.389495842</v>
      </c>
      <c r="I181" s="1522"/>
      <c r="J181" s="1455">
        <v>18274400</v>
      </c>
      <c r="K181" s="1431">
        <v>711406976</v>
      </c>
      <c r="L181" s="1431">
        <v>218423008</v>
      </c>
      <c r="M181" s="1436">
        <v>1</v>
      </c>
      <c r="N181" s="1416">
        <f t="shared" si="36"/>
        <v>1.0381831951302016</v>
      </c>
      <c r="O181" s="1391">
        <f t="shared" si="37"/>
        <v>60180053.817153856</v>
      </c>
      <c r="P181" s="1391">
        <f t="shared" si="38"/>
        <v>738570767.38159466</v>
      </c>
      <c r="Q181" s="1499">
        <f>IF(M181&gt;0,$M$190,IFERROR((O181/J181),0))/crop_intensity!$C$7</f>
        <v>3.5000333108720874</v>
      </c>
      <c r="R181" s="1105">
        <f t="shared" si="39"/>
        <v>1.2852897157983949</v>
      </c>
    </row>
    <row r="182" spans="1:18" ht="12">
      <c r="A182" s="1399" t="s">
        <v>1217</v>
      </c>
      <c r="B182" s="1427">
        <v>137</v>
      </c>
      <c r="C182" s="1390" t="s">
        <v>1218</v>
      </c>
      <c r="D182" s="1526"/>
      <c r="E182" s="1524">
        <f>IF(M182&gt;0,$N$190,IFERROR((P182/L182),0))/crop_intensity!$D$7</f>
        <v>7.9037566097049385</v>
      </c>
      <c r="F182" s="1446">
        <f t="shared" si="22"/>
        <v>1</v>
      </c>
      <c r="G182" s="1428">
        <f t="shared" si="40"/>
        <v>2.5252766180478901</v>
      </c>
      <c r="H182" s="1392">
        <f t="shared" si="35"/>
        <v>0</v>
      </c>
      <c r="I182" s="1522"/>
      <c r="J182" s="1455"/>
      <c r="K182" s="1431">
        <v>57738800</v>
      </c>
      <c r="L182" s="1431">
        <v>7247110</v>
      </c>
      <c r="M182" s="1436">
        <v>0</v>
      </c>
      <c r="N182" s="1416">
        <f t="shared" si="36"/>
        <v>1</v>
      </c>
      <c r="O182" s="1391">
        <f t="shared" si="37"/>
        <v>0</v>
      </c>
      <c r="P182" s="1391">
        <f t="shared" si="38"/>
        <v>57738800</v>
      </c>
      <c r="Q182" s="1499">
        <f>IF(M182&gt;0,$M$190,IFERROR((O182/J182),0))/crop_intensity!$C$7</f>
        <v>0</v>
      </c>
      <c r="R182" s="1105">
        <f t="shared" si="39"/>
        <v>0</v>
      </c>
    </row>
    <row r="183" spans="1:18" ht="12">
      <c r="A183" s="1399" t="s">
        <v>3934</v>
      </c>
      <c r="B183" s="1427">
        <v>135</v>
      </c>
      <c r="C183" s="1390" t="s">
        <v>545</v>
      </c>
      <c r="D183" s="1527"/>
      <c r="E183" s="1525">
        <f>IF(M183&gt;0,$N$190,IFERROR((P183/L183),0))/crop_intensity!$D$7</f>
        <v>9.7329759315193023</v>
      </c>
      <c r="F183" s="1110">
        <f t="shared" si="22"/>
        <v>1</v>
      </c>
      <c r="G183" s="1428">
        <f t="shared" si="40"/>
        <v>2.5252766180478901</v>
      </c>
      <c r="H183" s="1392">
        <f t="shared" si="35"/>
        <v>0</v>
      </c>
      <c r="I183" s="1522"/>
      <c r="J183" s="1456"/>
      <c r="K183" s="1432">
        <v>423415</v>
      </c>
      <c r="L183" s="1432">
        <v>43157</v>
      </c>
      <c r="M183" s="1437">
        <v>0</v>
      </c>
      <c r="N183" s="1440">
        <f t="shared" si="36"/>
        <v>1</v>
      </c>
      <c r="O183" s="1391">
        <f t="shared" si="37"/>
        <v>0</v>
      </c>
      <c r="P183" s="74">
        <f t="shared" si="38"/>
        <v>423415</v>
      </c>
      <c r="Q183" s="1110">
        <f>IF(M183&gt;0,$M$190,IFERROR((O183/J183),0))/crop_intensity!$C$7</f>
        <v>0</v>
      </c>
      <c r="R183" s="1111">
        <f t="shared" si="39"/>
        <v>0</v>
      </c>
    </row>
    <row r="184" spans="1:18" ht="12">
      <c r="A184" s="1424"/>
      <c r="B184" s="1424"/>
      <c r="C184" s="1424"/>
      <c r="G184" s="1424"/>
      <c r="H184" s="1424"/>
      <c r="I184" s="146"/>
      <c r="O184" s="1424"/>
      <c r="R184" s="83"/>
    </row>
    <row r="185" spans="1:18" ht="12">
      <c r="A185" s="1421" t="s">
        <v>3985</v>
      </c>
      <c r="B185" s="1422"/>
      <c r="C185" s="1414"/>
      <c r="D185" s="1393">
        <f>SUM(D7:D183)</f>
        <v>1367688583</v>
      </c>
      <c r="E185" s="1414"/>
      <c r="F185" s="1414"/>
      <c r="G185" s="1423"/>
      <c r="H185" s="1423"/>
      <c r="I185" s="540"/>
      <c r="J185" s="1393">
        <f>SUM(J7:J183)</f>
        <v>145627213.4699707</v>
      </c>
      <c r="K185" s="1393">
        <f>SUM(K7:K183)</f>
        <v>11512806266</v>
      </c>
      <c r="L185" s="1393">
        <f>SUM(L7:L183)</f>
        <v>1562729349.4589844</v>
      </c>
      <c r="M185" s="1414"/>
      <c r="N185" s="1414"/>
      <c r="O185" s="1414"/>
      <c r="P185" s="1414"/>
      <c r="Q185" s="1414"/>
      <c r="R185" s="1389">
        <f>SUMPRODUCT(J7:J183,R7:R183)/SUM(J7:J183)</f>
        <v>1.382342939797971</v>
      </c>
    </row>
    <row r="186" spans="1:18" ht="12.75" customHeight="1">
      <c r="R186" s="83"/>
    </row>
    <row r="187" spans="1:18" ht="12.75" customHeight="1">
      <c r="R187" s="83"/>
    </row>
    <row r="188" spans="1:18" ht="17.25" customHeight="1">
      <c r="G188" s="1402" t="s">
        <v>7081</v>
      </c>
      <c r="H188" s="1403" t="s">
        <v>7082</v>
      </c>
      <c r="I188" s="1411" t="s">
        <v>7120</v>
      </c>
      <c r="J188" s="1411" t="s">
        <v>7119</v>
      </c>
      <c r="K188" s="1411" t="s">
        <v>7121</v>
      </c>
      <c r="L188" s="1411" t="s">
        <v>7111</v>
      </c>
      <c r="M188" s="1411" t="s">
        <v>7815</v>
      </c>
      <c r="N188" s="1409" t="s">
        <v>7816</v>
      </c>
      <c r="R188" s="83"/>
    </row>
    <row r="189" spans="1:18" ht="12.75" customHeight="1">
      <c r="G189" s="1441" t="s">
        <v>548</v>
      </c>
      <c r="H189" s="1407" t="s">
        <v>548</v>
      </c>
      <c r="I189" s="1407" t="s">
        <v>3108</v>
      </c>
      <c r="J189" s="1407" t="s">
        <v>5148</v>
      </c>
      <c r="K189" s="1407" t="s">
        <v>3108</v>
      </c>
      <c r="L189" s="1407" t="s">
        <v>2159</v>
      </c>
      <c r="M189" s="1438" t="s">
        <v>4975</v>
      </c>
      <c r="N189" s="1410" t="s">
        <v>4975</v>
      </c>
      <c r="R189" s="83"/>
    </row>
    <row r="190" spans="1:18" ht="12.75" customHeight="1">
      <c r="G190" s="1417" t="s">
        <v>7117</v>
      </c>
      <c r="H190" s="1418">
        <v>1</v>
      </c>
      <c r="I190" s="1424">
        <f>SUMIF(M7:M183,H190,O7:O183)</f>
        <v>75331307.327172741</v>
      </c>
      <c r="J190" s="1424">
        <f>SUMIF(M7:M183,H190,J7:J183)</f>
        <v>22918580</v>
      </c>
      <c r="K190" s="1419">
        <f>SUMIF(M7:M183,H190,P7:P183)</f>
        <v>1035045994.0318456</v>
      </c>
      <c r="L190" s="1419">
        <f>SUMIF(M7:M183,H190,L7:L183)</f>
        <v>377067552</v>
      </c>
      <c r="M190" s="1425">
        <f>I190/J190</f>
        <v>3.286909892636138</v>
      </c>
      <c r="N190" s="1415">
        <f>IFERROR(K190/L190,0)</f>
        <v>2.7449882349777091</v>
      </c>
      <c r="R190" s="83"/>
    </row>
    <row r="191" spans="1:18" ht="12.75" customHeight="1">
      <c r="H191" s="921"/>
    </row>
    <row r="192" spans="1:18" ht="12.75" customHeight="1">
      <c r="H192" s="921"/>
    </row>
  </sheetData>
  <phoneticPr fontId="5" type="noConversion"/>
  <hyperlinks>
    <hyperlink ref="E2" location="constant_crop_factor!A1" tooltip="Go to crop_yield_w" display="constant_crop_factor!A1"/>
    <hyperlink ref="F2" location="eqf" tooltip="Go to eqf" display="eqf"/>
    <hyperlink ref="D3" location="ef_crop!A1" tooltip="Go to ef_crop" display="ef_crop"/>
    <hyperlink ref="E3" location="grass_supply_n!A1" display="grass_supply_n"/>
    <hyperlink ref="G2" location="iyf" display="iyf"/>
    <hyperlink ref="F3" location="yf_crop!A1" display="yf_crop"/>
    <hyperlink ref="D2" location="crop_intensity!A1" tooltip="Go to crop_yield_w" display="crop_intensity"/>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7" enableFormatConditionsCalculation="0">
    <tabColor theme="5"/>
    <pageSetUpPr autoPageBreaks="0"/>
  </sheetPr>
  <dimension ref="A1:Q426"/>
  <sheetViews>
    <sheetView workbookViewId="0">
      <pane xSplit="2" ySplit="6" topLeftCell="C7" activePane="bottomRight" state="frozen"/>
      <selection pane="topRight" activeCell="C1" sqref="C1"/>
      <selection pane="bottomLeft" activeCell="A7" sqref="A7"/>
      <selection pane="bottomRight" activeCell="A65536" sqref="A65536"/>
    </sheetView>
  </sheetViews>
  <sheetFormatPr baseColWidth="10" defaultColWidth="9.1640625" defaultRowHeight="12.75" customHeight="1" x14ac:dyDescent="0"/>
  <cols>
    <col min="1" max="1" width="39" style="150" customWidth="1"/>
    <col min="2" max="2" width="14.83203125" style="150" customWidth="1"/>
    <col min="3" max="3" width="15.83203125" style="150" customWidth="1"/>
    <col min="4" max="4" width="16.6640625" style="150" customWidth="1"/>
    <col min="5" max="5" width="16.6640625" style="53" customWidth="1"/>
    <col min="6" max="10" width="16.6640625" style="736" customWidth="1"/>
    <col min="11" max="11" width="15.83203125" style="736" customWidth="1"/>
    <col min="12" max="12" width="18.5" style="736" customWidth="1"/>
    <col min="13" max="13" width="19.83203125" style="53" customWidth="1"/>
    <col min="14" max="14" width="15.1640625" style="53" customWidth="1"/>
    <col min="15" max="15" width="21.6640625" style="736" customWidth="1"/>
    <col min="16" max="16" width="12.33203125" style="736" bestFit="1" customWidth="1"/>
    <col min="17" max="17" width="11.33203125" style="53" customWidth="1"/>
    <col min="18" max="16384" width="9.1640625" style="53"/>
  </cols>
  <sheetData>
    <row r="1" spans="1:17" ht="12.75" customHeight="1">
      <c r="A1" s="53"/>
      <c r="B1" s="125"/>
      <c r="D1" s="737"/>
      <c r="E1" s="125"/>
      <c r="F1" s="737"/>
      <c r="G1" s="737"/>
      <c r="H1" s="737"/>
      <c r="I1" s="737"/>
      <c r="J1" s="737"/>
      <c r="K1" s="737"/>
      <c r="L1" s="737"/>
      <c r="M1" s="125"/>
      <c r="N1" s="125"/>
      <c r="O1" s="737"/>
      <c r="P1" s="737"/>
    </row>
    <row r="2" spans="1:17" ht="12.75" customHeight="1">
      <c r="A2" s="53"/>
      <c r="B2" s="54" t="s">
        <v>1005</v>
      </c>
      <c r="C2" s="1064" t="s">
        <v>2118</v>
      </c>
      <c r="D2" s="1064" t="s">
        <v>6356</v>
      </c>
      <c r="E2" s="1064" t="s">
        <v>2117</v>
      </c>
      <c r="F2" s="1064" t="s">
        <v>6348</v>
      </c>
      <c r="G2" s="737"/>
      <c r="I2" s="737"/>
      <c r="J2" s="737"/>
      <c r="K2" s="737"/>
    </row>
    <row r="3" spans="1:17" ht="12.75" customHeight="1">
      <c r="A3" s="53"/>
      <c r="B3" s="54" t="s">
        <v>1006</v>
      </c>
      <c r="C3" s="1064" t="s">
        <v>0</v>
      </c>
      <c r="D3" s="1064"/>
      <c r="E3" s="1064"/>
      <c r="F3" s="1064"/>
      <c r="G3" s="737"/>
      <c r="H3" s="737"/>
      <c r="I3" s="737"/>
      <c r="J3" s="737"/>
      <c r="K3" s="737"/>
    </row>
    <row r="4" spans="1:17" ht="12.75" customHeight="1">
      <c r="A4" s="53"/>
      <c r="B4" s="53"/>
      <c r="C4" s="53"/>
      <c r="D4" s="736"/>
    </row>
    <row r="5" spans="1:17" ht="12">
      <c r="A5" s="169" t="s">
        <v>2036</v>
      </c>
      <c r="B5" s="170" t="s">
        <v>2019</v>
      </c>
      <c r="C5" s="170" t="s">
        <v>2018</v>
      </c>
      <c r="D5" s="167" t="s">
        <v>7123</v>
      </c>
      <c r="E5" s="167" t="s">
        <v>7122</v>
      </c>
      <c r="F5" s="171" t="s">
        <v>2039</v>
      </c>
      <c r="G5" s="1404" t="s">
        <v>6223</v>
      </c>
      <c r="H5" s="171" t="s">
        <v>1855</v>
      </c>
      <c r="I5" s="171" t="s">
        <v>3982</v>
      </c>
      <c r="J5" s="168" t="s">
        <v>3984</v>
      </c>
      <c r="L5" s="1448" t="s">
        <v>7125</v>
      </c>
      <c r="M5" s="1400" t="s">
        <v>7124</v>
      </c>
      <c r="N5" s="1400" t="s">
        <v>2922</v>
      </c>
      <c r="O5" s="1403" t="s">
        <v>3685</v>
      </c>
      <c r="P5" s="1403" t="s">
        <v>3686</v>
      </c>
      <c r="Q5" s="1442" t="s">
        <v>5425</v>
      </c>
    </row>
    <row r="6" spans="1:17" ht="12">
      <c r="A6" s="172" t="s">
        <v>548</v>
      </c>
      <c r="B6" s="173" t="s">
        <v>548</v>
      </c>
      <c r="C6" s="597" t="s">
        <v>548</v>
      </c>
      <c r="D6" s="174" t="s">
        <v>3108</v>
      </c>
      <c r="E6" s="174" t="s">
        <v>3108</v>
      </c>
      <c r="F6" s="175" t="s">
        <v>4975</v>
      </c>
      <c r="G6" s="1462" t="s">
        <v>548</v>
      </c>
      <c r="H6" s="175" t="s">
        <v>2963</v>
      </c>
      <c r="I6" s="174" t="s">
        <v>732</v>
      </c>
      <c r="J6" s="176" t="s">
        <v>732</v>
      </c>
      <c r="L6" s="1449" t="s">
        <v>3108</v>
      </c>
      <c r="M6" s="174" t="s">
        <v>3108</v>
      </c>
      <c r="N6" s="1412" t="s">
        <v>548</v>
      </c>
      <c r="O6" s="567" t="s">
        <v>548</v>
      </c>
      <c r="P6" s="567" t="s">
        <v>548</v>
      </c>
      <c r="Q6" s="1443" t="s">
        <v>1</v>
      </c>
    </row>
    <row r="7" spans="1:17" ht="12">
      <c r="A7" s="141" t="s">
        <v>1214</v>
      </c>
      <c r="B7" s="934">
        <v>15</v>
      </c>
      <c r="C7" s="142" t="s">
        <v>4196</v>
      </c>
      <c r="D7" s="1131">
        <v>3386600</v>
      </c>
      <c r="E7" s="1131">
        <v>33198300</v>
      </c>
      <c r="F7" s="808">
        <f t="shared" ref="F7:F70" si="0">IFERROR(VLOOKUP(P7,crop_efp,4,FALSE)*Q7,0)</f>
        <v>2.7231473712508003</v>
      </c>
      <c r="G7" s="808">
        <f t="shared" ref="G7:G70" si="1">VLOOKUP("Crop Land",iyf,2,FALSE)</f>
        <v>1</v>
      </c>
      <c r="H7" s="808">
        <f t="shared" ref="H7:H70" si="2">VLOOKUP("Crop Land",eqf,2,FALSE)</f>
        <v>2.5252766180478901</v>
      </c>
      <c r="I7" s="40">
        <f t="shared" ref="I7:I17" si="3">IFERROR((D7/F7)*H7*G7,0)</f>
        <v>3140521.1061907457</v>
      </c>
      <c r="J7" s="73">
        <f t="shared" ref="J7:J17" si="4">IFERROR((E7/F7)*H7*G7,0)</f>
        <v>30786027.827216744</v>
      </c>
      <c r="L7" s="1450">
        <v>161716992</v>
      </c>
      <c r="M7" s="1131">
        <v>162798000</v>
      </c>
      <c r="N7" s="1195" t="s">
        <v>415</v>
      </c>
      <c r="O7" s="1196" t="str">
        <f>IFERROR(VLOOKUP(P7,constant_ag_extr!$D$7:$E$594,2,FALSE),"")</f>
        <v>Wheat</v>
      </c>
      <c r="P7" s="1197">
        <f t="shared" ref="P7:P70" si="5">IFERROR(VLOOKUP(B7,constant_ag_extr,3,FALSE),"")</f>
        <v>15</v>
      </c>
      <c r="Q7" s="1444">
        <f t="shared" ref="Q7:Q70" si="6">IFERROR(VLOOKUP(B7,constant_ag_extr,14,FALSE),"")</f>
        <v>1</v>
      </c>
    </row>
    <row r="8" spans="1:17" ht="12">
      <c r="A8" s="143" t="s">
        <v>7266</v>
      </c>
      <c r="B8" s="935">
        <v>16</v>
      </c>
      <c r="C8" s="36" t="s">
        <v>4147</v>
      </c>
      <c r="D8" s="1132">
        <v>207075</v>
      </c>
      <c r="E8" s="1132">
        <v>269068</v>
      </c>
      <c r="F8" s="809">
        <f t="shared" si="0"/>
        <v>2.4654987877455414</v>
      </c>
      <c r="G8" s="809">
        <f t="shared" si="1"/>
        <v>1</v>
      </c>
      <c r="H8" s="809">
        <f t="shared" si="2"/>
        <v>2.5252766180478901</v>
      </c>
      <c r="I8" s="903">
        <f t="shared" si="3"/>
        <v>212095.68557947973</v>
      </c>
      <c r="J8" s="799">
        <f t="shared" si="4"/>
        <v>275591.75143063843</v>
      </c>
      <c r="L8" s="1451">
        <v>11619200</v>
      </c>
      <c r="M8" s="1132">
        <v>12278500</v>
      </c>
      <c r="N8" s="1195" t="s">
        <v>2921</v>
      </c>
      <c r="O8" s="1196" t="str">
        <f>IFERROR(VLOOKUP(P8,constant_ag_extr!$D$7:$E$594,2,FALSE),"")</f>
        <v>Wheat</v>
      </c>
      <c r="P8" s="1197">
        <f t="shared" si="5"/>
        <v>15</v>
      </c>
      <c r="Q8" s="1444">
        <f t="shared" si="6"/>
        <v>0.9053857362898009</v>
      </c>
    </row>
    <row r="9" spans="1:17" ht="12">
      <c r="A9" s="143" t="s">
        <v>7181</v>
      </c>
      <c r="B9" s="935">
        <v>17</v>
      </c>
      <c r="C9" s="36" t="s">
        <v>5062</v>
      </c>
      <c r="D9" s="1132">
        <v>69126</v>
      </c>
      <c r="E9" s="1132">
        <v>241420</v>
      </c>
      <c r="F9" s="809">
        <f t="shared" si="0"/>
        <v>5.2539264987576804</v>
      </c>
      <c r="G9" s="809">
        <f t="shared" si="1"/>
        <v>1</v>
      </c>
      <c r="H9" s="809">
        <f t="shared" si="2"/>
        <v>2.5252766180478901</v>
      </c>
      <c r="I9" s="903">
        <f t="shared" si="3"/>
        <v>33225.107267955624</v>
      </c>
      <c r="J9" s="799">
        <f t="shared" si="4"/>
        <v>116037.45908384466</v>
      </c>
      <c r="L9" s="1451">
        <v>4447110</v>
      </c>
      <c r="M9" s="1132">
        <v>4488050</v>
      </c>
      <c r="N9" s="1195" t="s">
        <v>2921</v>
      </c>
      <c r="O9" s="1196" t="str">
        <f>IFERROR(VLOOKUP(P9,constant_ag_extr!$D$7:$E$594,2,FALSE),"")</f>
        <v>Wheat</v>
      </c>
      <c r="P9" s="1197">
        <f t="shared" si="5"/>
        <v>15</v>
      </c>
      <c r="Q9" s="1444">
        <f t="shared" si="6"/>
        <v>1.9293581222320844</v>
      </c>
    </row>
    <row r="10" spans="1:17" ht="12">
      <c r="A10" s="143" t="s">
        <v>1397</v>
      </c>
      <c r="B10" s="935">
        <v>18</v>
      </c>
      <c r="C10" s="36" t="s">
        <v>1398</v>
      </c>
      <c r="D10" s="1132">
        <v>343759</v>
      </c>
      <c r="E10" s="1132">
        <v>115749</v>
      </c>
      <c r="F10" s="809">
        <f t="shared" si="0"/>
        <v>2.4654987877455414</v>
      </c>
      <c r="G10" s="809">
        <f t="shared" si="1"/>
        <v>1</v>
      </c>
      <c r="H10" s="809">
        <f t="shared" si="2"/>
        <v>2.5252766180478901</v>
      </c>
      <c r="I10" s="903">
        <f t="shared" si="3"/>
        <v>352093.68962509418</v>
      </c>
      <c r="J10" s="799">
        <f t="shared" si="4"/>
        <v>118555.41958294918</v>
      </c>
      <c r="L10" s="1451">
        <v>3547410</v>
      </c>
      <c r="M10" s="1132">
        <v>3897890</v>
      </c>
      <c r="N10" s="1195" t="s">
        <v>2921</v>
      </c>
      <c r="O10" s="1196" t="str">
        <f>IFERROR(VLOOKUP(P10,constant_ag_extr!$D$7:$E$594,2,FALSE),"")</f>
        <v>Wheat</v>
      </c>
      <c r="P10" s="1197">
        <f t="shared" si="5"/>
        <v>15</v>
      </c>
      <c r="Q10" s="1444">
        <f t="shared" si="6"/>
        <v>0.9053857362898009</v>
      </c>
    </row>
    <row r="11" spans="1:17" ht="12">
      <c r="A11" s="143" t="s">
        <v>93</v>
      </c>
      <c r="B11" s="935">
        <v>19</v>
      </c>
      <c r="C11" s="36" t="s">
        <v>94</v>
      </c>
      <c r="D11" s="1132"/>
      <c r="E11" s="1132"/>
      <c r="F11" s="809">
        <f t="shared" si="0"/>
        <v>1.5948876322704595</v>
      </c>
      <c r="G11" s="809">
        <f t="shared" si="1"/>
        <v>1</v>
      </c>
      <c r="H11" s="809">
        <f t="shared" si="2"/>
        <v>2.5252766180478901</v>
      </c>
      <c r="I11" s="903">
        <f t="shared" si="3"/>
        <v>0</v>
      </c>
      <c r="J11" s="799">
        <f t="shared" si="4"/>
        <v>0</v>
      </c>
      <c r="L11" s="1451"/>
      <c r="M11" s="1132"/>
      <c r="N11" s="1195" t="s">
        <v>2921</v>
      </c>
      <c r="O11" s="1196" t="str">
        <f>IFERROR(VLOOKUP(P11,constant_ag_extr!$D$7:$E$594,2,FALSE),"")</f>
        <v>Wheat</v>
      </c>
      <c r="P11" s="1197">
        <f t="shared" si="5"/>
        <v>15</v>
      </c>
      <c r="Q11" s="1444">
        <f t="shared" si="6"/>
        <v>0.58567804633279663</v>
      </c>
    </row>
    <row r="12" spans="1:17" ht="12">
      <c r="A12" s="143" t="s">
        <v>5065</v>
      </c>
      <c r="B12" s="935">
        <v>20</v>
      </c>
      <c r="C12" s="36" t="s">
        <v>5066</v>
      </c>
      <c r="D12" s="1132">
        <v>14831</v>
      </c>
      <c r="E12" s="1132">
        <v>15232</v>
      </c>
      <c r="F12" s="809">
        <f t="shared" si="0"/>
        <v>2.835323605907373</v>
      </c>
      <c r="G12" s="809">
        <f t="shared" si="1"/>
        <v>1</v>
      </c>
      <c r="H12" s="809">
        <f t="shared" si="2"/>
        <v>2.5252766180478901</v>
      </c>
      <c r="I12" s="903">
        <f t="shared" si="3"/>
        <v>13209.207387910341</v>
      </c>
      <c r="J12" s="799">
        <f t="shared" si="4"/>
        <v>13566.357422469848</v>
      </c>
      <c r="L12" s="1451">
        <v>388894</v>
      </c>
      <c r="M12" s="1132">
        <v>361356</v>
      </c>
      <c r="N12" s="1195" t="s">
        <v>2921</v>
      </c>
      <c r="O12" s="1196" t="str">
        <f>IFERROR(VLOOKUP(P12,constant_ag_extr!$D$7:$E$594,2,FALSE),"")</f>
        <v>Wheat</v>
      </c>
      <c r="P12" s="1197">
        <f t="shared" si="5"/>
        <v>15</v>
      </c>
      <c r="Q12" s="1444">
        <f t="shared" si="6"/>
        <v>1.0411935967332711</v>
      </c>
    </row>
    <row r="13" spans="1:17" ht="12">
      <c r="A13" s="143" t="s">
        <v>5069</v>
      </c>
      <c r="B13" s="935">
        <v>21</v>
      </c>
      <c r="C13" s="36" t="s">
        <v>1432</v>
      </c>
      <c r="D13" s="1132">
        <v>10299</v>
      </c>
      <c r="E13" s="1132">
        <v>7162</v>
      </c>
      <c r="F13" s="809">
        <f t="shared" si="0"/>
        <v>2.58699000268826</v>
      </c>
      <c r="G13" s="809">
        <f t="shared" si="1"/>
        <v>1</v>
      </c>
      <c r="H13" s="809">
        <f t="shared" si="2"/>
        <v>2.5252766180478901</v>
      </c>
      <c r="I13" s="903">
        <f t="shared" si="3"/>
        <v>10053.314416464424</v>
      </c>
      <c r="J13" s="799">
        <f t="shared" si="4"/>
        <v>6991.1484465208468</v>
      </c>
      <c r="L13" s="1451">
        <v>25208</v>
      </c>
      <c r="M13" s="1132">
        <v>7209</v>
      </c>
      <c r="N13" s="1195" t="s">
        <v>2921</v>
      </c>
      <c r="O13" s="1196" t="str">
        <f>IFERROR(VLOOKUP(P13,constant_ag_extr!$D$7:$E$594,2,FALSE),"")</f>
        <v>Wheat</v>
      </c>
      <c r="P13" s="1197">
        <f t="shared" si="5"/>
        <v>15</v>
      </c>
      <c r="Q13" s="1444">
        <f t="shared" si="6"/>
        <v>0.95</v>
      </c>
    </row>
    <row r="14" spans="1:17" ht="12">
      <c r="A14" s="143" t="s">
        <v>5398</v>
      </c>
      <c r="B14" s="935">
        <v>22</v>
      </c>
      <c r="C14" s="36" t="s">
        <v>5399</v>
      </c>
      <c r="D14" s="1132">
        <v>916268</v>
      </c>
      <c r="E14" s="1132">
        <v>591386</v>
      </c>
      <c r="F14" s="809">
        <f t="shared" si="0"/>
        <v>2.835323605907373</v>
      </c>
      <c r="G14" s="809">
        <f t="shared" si="1"/>
        <v>1</v>
      </c>
      <c r="H14" s="809">
        <f t="shared" si="2"/>
        <v>2.5252766180478901</v>
      </c>
      <c r="I14" s="903">
        <f t="shared" si="3"/>
        <v>816072.68794456427</v>
      </c>
      <c r="J14" s="799">
        <f t="shared" si="4"/>
        <v>526717.03326186666</v>
      </c>
      <c r="L14" s="1451">
        <v>8225520</v>
      </c>
      <c r="M14" s="1132">
        <v>8145370</v>
      </c>
      <c r="N14" s="1195" t="s">
        <v>2921</v>
      </c>
      <c r="O14" s="1196" t="str">
        <f>IFERROR(VLOOKUP(P14,constant_ag_extr!$D$7:$E$594,2,FALSE),"")</f>
        <v>Wheat</v>
      </c>
      <c r="P14" s="1197">
        <f t="shared" si="5"/>
        <v>15</v>
      </c>
      <c r="Q14" s="1444">
        <f t="shared" si="6"/>
        <v>1.0411935967332711</v>
      </c>
    </row>
    <row r="15" spans="1:17" ht="12">
      <c r="A15" s="143" t="s">
        <v>7182</v>
      </c>
      <c r="B15" s="935">
        <v>26</v>
      </c>
      <c r="C15" s="36"/>
      <c r="D15" s="1132"/>
      <c r="E15" s="1132"/>
      <c r="F15" s="809">
        <f t="shared" si="0"/>
        <v>0</v>
      </c>
      <c r="G15" s="809">
        <f t="shared" si="1"/>
        <v>1</v>
      </c>
      <c r="H15" s="809">
        <f t="shared" si="2"/>
        <v>2.5252766180478901</v>
      </c>
      <c r="I15" s="37">
        <f t="shared" si="3"/>
        <v>0</v>
      </c>
      <c r="J15" s="799">
        <f t="shared" si="4"/>
        <v>0</v>
      </c>
      <c r="L15" s="1451"/>
      <c r="M15" s="1132"/>
      <c r="N15" s="1195"/>
      <c r="O15" s="1196">
        <f>IFERROR(VLOOKUP(P15,constant_ag_extr!$D$7:$E$594,2,FALSE),"")</f>
        <v>0</v>
      </c>
      <c r="P15" s="1197" t="str">
        <f t="shared" si="5"/>
        <v/>
      </c>
      <c r="Q15" s="1444" t="str">
        <f t="shared" si="6"/>
        <v/>
      </c>
    </row>
    <row r="16" spans="1:17" ht="12">
      <c r="A16" s="143" t="s">
        <v>5566</v>
      </c>
      <c r="B16" s="935">
        <v>27</v>
      </c>
      <c r="C16" s="36" t="s">
        <v>2084</v>
      </c>
      <c r="D16" s="1132"/>
      <c r="E16" s="1132"/>
      <c r="F16" s="809">
        <f t="shared" si="0"/>
        <v>4.4622034838722522</v>
      </c>
      <c r="G16" s="809">
        <f t="shared" si="1"/>
        <v>1</v>
      </c>
      <c r="H16" s="809">
        <f t="shared" si="2"/>
        <v>2.5252766180478901</v>
      </c>
      <c r="I16" s="903">
        <f t="shared" si="3"/>
        <v>0</v>
      </c>
      <c r="J16" s="799">
        <f t="shared" si="4"/>
        <v>0</v>
      </c>
      <c r="L16" s="1451"/>
      <c r="M16" s="1132"/>
      <c r="N16" s="1195" t="s">
        <v>415</v>
      </c>
      <c r="O16" s="1196" t="str">
        <f>IFERROR(VLOOKUP(P16,constant_ag_extr!$D$7:$E$594,2,FALSE),"")</f>
        <v>Rice, paddy</v>
      </c>
      <c r="P16" s="1197">
        <f t="shared" si="5"/>
        <v>27</v>
      </c>
      <c r="Q16" s="1444">
        <f t="shared" si="6"/>
        <v>1</v>
      </c>
    </row>
    <row r="17" spans="1:17" ht="12">
      <c r="A17" s="143" t="s">
        <v>2764</v>
      </c>
      <c r="B17" s="935">
        <v>28</v>
      </c>
      <c r="C17" s="36" t="s">
        <v>2765</v>
      </c>
      <c r="D17" s="1132"/>
      <c r="E17" s="1132"/>
      <c r="F17" s="809">
        <f t="shared" si="0"/>
        <v>3.4358966825816344</v>
      </c>
      <c r="G17" s="809">
        <f t="shared" si="1"/>
        <v>1</v>
      </c>
      <c r="H17" s="809">
        <f t="shared" si="2"/>
        <v>2.5252766180478901</v>
      </c>
      <c r="I17" s="903">
        <f t="shared" si="3"/>
        <v>0</v>
      </c>
      <c r="J17" s="799">
        <f t="shared" si="4"/>
        <v>0</v>
      </c>
      <c r="L17" s="1451"/>
      <c r="M17" s="1132"/>
      <c r="N17" s="1195" t="s">
        <v>2921</v>
      </c>
      <c r="O17" s="1196" t="str">
        <f>IFERROR(VLOOKUP(P17,constant_ag_extr!$D$7:$E$594,2,FALSE),"")</f>
        <v>Rice, paddy</v>
      </c>
      <c r="P17" s="1197">
        <f t="shared" si="5"/>
        <v>27</v>
      </c>
      <c r="Q17" s="1444">
        <f t="shared" si="6"/>
        <v>0.77</v>
      </c>
    </row>
    <row r="18" spans="1:17" ht="12">
      <c r="A18" s="143" t="s">
        <v>7320</v>
      </c>
      <c r="B18" s="935">
        <v>29</v>
      </c>
      <c r="C18" s="36" t="s">
        <v>3405</v>
      </c>
      <c r="D18" s="1132"/>
      <c r="E18" s="1132"/>
      <c r="F18" s="809">
        <f t="shared" si="0"/>
        <v>3.0923070143234712</v>
      </c>
      <c r="G18" s="809">
        <f t="shared" si="1"/>
        <v>1</v>
      </c>
      <c r="H18" s="809">
        <f t="shared" si="2"/>
        <v>2.5252766180478901</v>
      </c>
      <c r="I18" s="903">
        <f>IFERROR(IF(VLOOKUP(29,$B$7:$E$426,3,FALSE)+VLOOKUP(35,$B$7:$E$426,3,FALSE)&gt;VLOOKUP(30,$B$7:$E$426,3,FALSE),D18/$F18*$H18*$G18,0),0)</f>
        <v>0</v>
      </c>
      <c r="J18" s="799">
        <f>IFERROR(IF(VLOOKUP(29,$B$7:$E$426,4,FALSE)+VLOOKUP(35,$B$7:$E$426,4,FALSE)&gt;VLOOKUP(30,$B$7:$E$426,4,FALSE),E18/$F18*$H18*$G18,0),0)</f>
        <v>0</v>
      </c>
      <c r="L18" s="1451"/>
      <c r="M18" s="1132"/>
      <c r="N18" s="1195" t="s">
        <v>2921</v>
      </c>
      <c r="O18" s="1196" t="str">
        <f>IFERROR(VLOOKUP(P18,constant_ag_extr!$D$7:$E$594,2,FALSE),"")</f>
        <v>Rice, paddy</v>
      </c>
      <c r="P18" s="1197">
        <f t="shared" si="5"/>
        <v>27</v>
      </c>
      <c r="Q18" s="1444">
        <f t="shared" si="6"/>
        <v>0.69300000000000006</v>
      </c>
    </row>
    <row r="19" spans="1:17" ht="12">
      <c r="A19" s="143" t="s">
        <v>7183</v>
      </c>
      <c r="B19" s="935">
        <v>30</v>
      </c>
      <c r="C19" s="36"/>
      <c r="D19" s="1132">
        <v>653927</v>
      </c>
      <c r="E19" s="1132">
        <v>3183970</v>
      </c>
      <c r="F19" s="809">
        <f t="shared" si="0"/>
        <v>3.138664977253685</v>
      </c>
      <c r="G19" s="809">
        <f t="shared" si="1"/>
        <v>1</v>
      </c>
      <c r="H19" s="809">
        <f t="shared" si="2"/>
        <v>2.5252766180478901</v>
      </c>
      <c r="I19" s="903">
        <f>IFERROR(IF(VLOOKUP(29,$B$7:$E$426,3,FALSE)+VLOOKUP(35,$B$7:$E$426,3,FALSE)&lt;=VLOOKUP(30,$B$7:$E$426,3,FALSE),D19/$F19*$H19*$G19,0),0)</f>
        <v>526130.24167208886</v>
      </c>
      <c r="J19" s="799">
        <f>IFERROR(IF(VLOOKUP(29,$B$7:$E$426,4,FALSE)+VLOOKUP(35,$B$7:$E$426,4,FALSE)&lt;=VLOOKUP(30,$B$7:$E$426,4,FALSE),E19/$F19*$H19*$G19,0),0)</f>
        <v>2561727.6937283226</v>
      </c>
      <c r="L19" s="1451">
        <v>37843100</v>
      </c>
      <c r="M19" s="1132">
        <v>37127100</v>
      </c>
      <c r="N19" s="1195" t="s">
        <v>2921</v>
      </c>
      <c r="O19" s="1196" t="str">
        <f>IFERROR(VLOOKUP(P19,constant_ag_extr!$D$7:$E$594,2,FALSE),"")</f>
        <v>Rice, paddy</v>
      </c>
      <c r="P19" s="1197">
        <f t="shared" si="5"/>
        <v>27</v>
      </c>
      <c r="Q19" s="1444">
        <f t="shared" si="6"/>
        <v>0.70338902934340974</v>
      </c>
    </row>
    <row r="20" spans="1:17" ht="12">
      <c r="A20" s="143" t="s">
        <v>670</v>
      </c>
      <c r="B20" s="935">
        <v>31</v>
      </c>
      <c r="C20" s="36" t="s">
        <v>3405</v>
      </c>
      <c r="D20" s="1132"/>
      <c r="E20" s="1132"/>
      <c r="F20" s="809">
        <f t="shared" si="0"/>
        <v>2.9896763341944093</v>
      </c>
      <c r="G20" s="809">
        <f t="shared" si="1"/>
        <v>1</v>
      </c>
      <c r="H20" s="809">
        <f t="shared" si="2"/>
        <v>2.5252766180478901</v>
      </c>
      <c r="I20" s="37">
        <f>IFERROR((D20/F20)*H20*G20,0)</f>
        <v>0</v>
      </c>
      <c r="J20" s="799">
        <f>IFERROR((E20/F20)*H20*G20,0)</f>
        <v>0</v>
      </c>
      <c r="L20" s="1451"/>
      <c r="M20" s="1132"/>
      <c r="N20" s="1195" t="s">
        <v>2921</v>
      </c>
      <c r="O20" s="1196" t="str">
        <f>IFERROR(VLOOKUP(P20,constant_ag_extr!$D$7:$E$594,2,FALSE),"")</f>
        <v>Rice, paddy</v>
      </c>
      <c r="P20" s="1197">
        <f t="shared" si="5"/>
        <v>27</v>
      </c>
      <c r="Q20" s="1444">
        <f t="shared" si="6"/>
        <v>0.67</v>
      </c>
    </row>
    <row r="21" spans="1:17" ht="12">
      <c r="A21" s="143" t="s">
        <v>3739</v>
      </c>
      <c r="B21" s="935">
        <v>32</v>
      </c>
      <c r="C21" s="36" t="s">
        <v>3740</v>
      </c>
      <c r="D21" s="1132"/>
      <c r="E21" s="1132"/>
      <c r="F21" s="809">
        <f t="shared" si="0"/>
        <v>2.9896763341944093</v>
      </c>
      <c r="G21" s="809">
        <f t="shared" si="1"/>
        <v>1</v>
      </c>
      <c r="H21" s="809">
        <f t="shared" si="2"/>
        <v>2.5252766180478901</v>
      </c>
      <c r="I21" s="903">
        <f>IFERROR((D21/F21)*H21*G21,0)</f>
        <v>0</v>
      </c>
      <c r="J21" s="799">
        <f>IFERROR((E21/F21)*H21*G21,0)</f>
        <v>0</v>
      </c>
      <c r="L21" s="1451"/>
      <c r="M21" s="1132"/>
      <c r="N21" s="1195" t="s">
        <v>2921</v>
      </c>
      <c r="O21" s="1196" t="str">
        <f>IFERROR(VLOOKUP(P21,constant_ag_extr!$D$7:$E$594,2,FALSE),"")</f>
        <v>Rice, paddy</v>
      </c>
      <c r="P21" s="1197">
        <f t="shared" si="5"/>
        <v>27</v>
      </c>
      <c r="Q21" s="1444">
        <f t="shared" si="6"/>
        <v>0.67</v>
      </c>
    </row>
    <row r="22" spans="1:17" ht="12">
      <c r="A22" s="143" t="s">
        <v>7184</v>
      </c>
      <c r="B22" s="935">
        <v>35</v>
      </c>
      <c r="C22" s="36" t="s">
        <v>4088</v>
      </c>
      <c r="D22" s="1132"/>
      <c r="E22" s="1132"/>
      <c r="F22" s="809">
        <f t="shared" si="0"/>
        <v>7.5202305403303349</v>
      </c>
      <c r="G22" s="809">
        <f t="shared" si="1"/>
        <v>1</v>
      </c>
      <c r="H22" s="809">
        <f t="shared" si="2"/>
        <v>2.5252766180478901</v>
      </c>
      <c r="I22" s="903">
        <f>IFERROR(IF(VLOOKUP(29,$B$7:$E$426,3,FALSE)+VLOOKUP(35,$B$7:$E$426,3,FALSE)&gt;VLOOKUP(30,$B$7:$E$426,3,FALSE),D22/$F22*$H22*$G22,0),0)</f>
        <v>0</v>
      </c>
      <c r="J22" s="799">
        <f>IFERROR(IF(VLOOKUP(29,$B$7:$E$426,4,FALSE)+VLOOKUP(35,$B$7:$E$426,4,FALSE)&gt;VLOOKUP(30,$B$7:$E$426,4,FALSE),E22/$F22*$H22*$G22,0),0)</f>
        <v>0</v>
      </c>
      <c r="L22" s="1451"/>
      <c r="M22" s="1132"/>
      <c r="N22" s="1195" t="s">
        <v>2921</v>
      </c>
      <c r="O22" s="1196" t="str">
        <f>IFERROR(VLOOKUP(P22,constant_ag_extr!$D$7:$E$594,2,FALSE),"")</f>
        <v>Rice, paddy</v>
      </c>
      <c r="P22" s="1197">
        <f t="shared" si="5"/>
        <v>27</v>
      </c>
      <c r="Q22" s="1444">
        <f t="shared" si="6"/>
        <v>1.6853177062656854</v>
      </c>
    </row>
    <row r="23" spans="1:17" ht="12">
      <c r="A23" s="143" t="s">
        <v>7311</v>
      </c>
      <c r="B23" s="935">
        <v>36</v>
      </c>
      <c r="C23" s="36" t="s">
        <v>5565</v>
      </c>
      <c r="D23" s="1132"/>
      <c r="E23" s="1132"/>
      <c r="F23" s="809">
        <f t="shared" si="0"/>
        <v>12.563949135921726</v>
      </c>
      <c r="G23" s="809">
        <f t="shared" si="1"/>
        <v>1</v>
      </c>
      <c r="H23" s="809">
        <f t="shared" si="2"/>
        <v>2.5252766180478901</v>
      </c>
      <c r="I23" s="903">
        <f t="shared" ref="I23:I86" si="7">IFERROR((D23/F23)*H23*G23,0)</f>
        <v>0</v>
      </c>
      <c r="J23" s="799">
        <f t="shared" ref="J23:J86" si="8">IFERROR((E23/F23)*H23*G23,0)</f>
        <v>0</v>
      </c>
      <c r="L23" s="1451">
        <v>31518</v>
      </c>
      <c r="M23" s="1132">
        <v>29891</v>
      </c>
      <c r="N23" s="1195" t="s">
        <v>2921</v>
      </c>
      <c r="O23" s="1196" t="str">
        <f>IFERROR(VLOOKUP(P23,constant_ag_extr!$D$7:$E$594,2,FALSE),"")</f>
        <v>Rice, paddy</v>
      </c>
      <c r="P23" s="1197">
        <f t="shared" si="5"/>
        <v>27</v>
      </c>
      <c r="Q23" s="1444">
        <f t="shared" si="6"/>
        <v>2.8156378751734707</v>
      </c>
    </row>
    <row r="24" spans="1:17" ht="12">
      <c r="A24" s="143" t="s">
        <v>7185</v>
      </c>
      <c r="B24" s="935">
        <v>37</v>
      </c>
      <c r="C24" s="36" t="s">
        <v>1522</v>
      </c>
      <c r="D24" s="1132"/>
      <c r="E24" s="1132"/>
      <c r="F24" s="809">
        <f t="shared" si="0"/>
        <v>6.5664380022186197</v>
      </c>
      <c r="G24" s="809">
        <f t="shared" si="1"/>
        <v>1</v>
      </c>
      <c r="H24" s="809">
        <f t="shared" si="2"/>
        <v>2.5252766180478901</v>
      </c>
      <c r="I24" s="37">
        <f t="shared" si="7"/>
        <v>0</v>
      </c>
      <c r="J24" s="799">
        <f t="shared" si="8"/>
        <v>0</v>
      </c>
      <c r="L24" s="1451">
        <v>152</v>
      </c>
      <c r="M24" s="1132">
        <v>2</v>
      </c>
      <c r="N24" s="1195" t="s">
        <v>2921</v>
      </c>
      <c r="O24" s="1196" t="str">
        <f>IFERROR(VLOOKUP(P24,constant_ag_extr!$D$7:$E$594,2,FALSE),"")</f>
        <v>Rice, paddy</v>
      </c>
      <c r="P24" s="1197">
        <f t="shared" si="5"/>
        <v>27</v>
      </c>
      <c r="Q24" s="1444">
        <f t="shared" si="6"/>
        <v>1.4715684808977683</v>
      </c>
    </row>
    <row r="25" spans="1:17" ht="12">
      <c r="A25" s="143" t="s">
        <v>2762</v>
      </c>
      <c r="B25" s="935">
        <v>38</v>
      </c>
      <c r="C25" s="36" t="s">
        <v>2763</v>
      </c>
      <c r="D25" s="1132"/>
      <c r="E25" s="1132"/>
      <c r="F25" s="809">
        <f t="shared" si="0"/>
        <v>2.8401925174846885</v>
      </c>
      <c r="G25" s="809">
        <f t="shared" si="1"/>
        <v>1</v>
      </c>
      <c r="H25" s="809">
        <f t="shared" si="2"/>
        <v>2.5252766180478901</v>
      </c>
      <c r="I25" s="903">
        <f t="shared" si="7"/>
        <v>0</v>
      </c>
      <c r="J25" s="799">
        <f t="shared" si="8"/>
        <v>0</v>
      </c>
      <c r="L25" s="1451"/>
      <c r="M25" s="1132"/>
      <c r="N25" s="1195" t="s">
        <v>2921</v>
      </c>
      <c r="O25" s="1196" t="str">
        <f>IFERROR(VLOOKUP(P25,constant_ag_extr!$D$7:$E$594,2,FALSE),"")</f>
        <v>Rice, paddy</v>
      </c>
      <c r="P25" s="1197">
        <f t="shared" si="5"/>
        <v>27</v>
      </c>
      <c r="Q25" s="1444">
        <f t="shared" si="6"/>
        <v>0.63649999999999995</v>
      </c>
    </row>
    <row r="26" spans="1:17" ht="12">
      <c r="A26" s="143" t="s">
        <v>2760</v>
      </c>
      <c r="B26" s="935">
        <v>39</v>
      </c>
      <c r="C26" s="36" t="s">
        <v>2761</v>
      </c>
      <c r="D26" s="1132">
        <v>6885</v>
      </c>
      <c r="E26" s="1132"/>
      <c r="F26" s="809">
        <f t="shared" si="0"/>
        <v>2.9896763341944093</v>
      </c>
      <c r="G26" s="809">
        <f t="shared" si="1"/>
        <v>1</v>
      </c>
      <c r="H26" s="809">
        <f t="shared" si="2"/>
        <v>2.5252766180478901</v>
      </c>
      <c r="I26" s="37">
        <f t="shared" si="7"/>
        <v>5815.5223414659886</v>
      </c>
      <c r="J26" s="799">
        <f t="shared" si="8"/>
        <v>0</v>
      </c>
      <c r="L26" s="1451">
        <v>12560</v>
      </c>
      <c r="M26" s="1132">
        <v>17393</v>
      </c>
      <c r="N26" s="1195" t="s">
        <v>2921</v>
      </c>
      <c r="O26" s="1196" t="str">
        <f>IFERROR(VLOOKUP(P26,constant_ag_extr!$D$7:$E$594,2,FALSE),"")</f>
        <v>Rice, paddy</v>
      </c>
      <c r="P26" s="1197">
        <f t="shared" si="5"/>
        <v>27</v>
      </c>
      <c r="Q26" s="1444">
        <f t="shared" si="6"/>
        <v>0.67</v>
      </c>
    </row>
    <row r="27" spans="1:17" ht="12">
      <c r="A27" s="143" t="s">
        <v>7242</v>
      </c>
      <c r="B27" s="935">
        <v>41</v>
      </c>
      <c r="C27" s="36" t="s">
        <v>5068</v>
      </c>
      <c r="D27" s="1132">
        <v>210431</v>
      </c>
      <c r="E27" s="1132">
        <v>295436</v>
      </c>
      <c r="F27" s="809">
        <f t="shared" si="0"/>
        <v>2.3146752655631802</v>
      </c>
      <c r="G27" s="809">
        <f t="shared" si="1"/>
        <v>1</v>
      </c>
      <c r="H27" s="809">
        <f t="shared" si="2"/>
        <v>2.5252766180478901</v>
      </c>
      <c r="I27" s="903">
        <f t="shared" si="7"/>
        <v>229577.12121364992</v>
      </c>
      <c r="J27" s="799">
        <f t="shared" si="8"/>
        <v>322316.32403436699</v>
      </c>
      <c r="L27" s="1451">
        <v>2147490</v>
      </c>
      <c r="M27" s="1132">
        <v>2337670</v>
      </c>
      <c r="N27" s="1195" t="s">
        <v>2921</v>
      </c>
      <c r="O27" s="1196" t="str">
        <f>IFERROR(VLOOKUP(P27,constant_ag_extr!$D$7:$E$594,2,FALSE),"")</f>
        <v>Wheat</v>
      </c>
      <c r="P27" s="1197">
        <f t="shared" si="5"/>
        <v>15</v>
      </c>
      <c r="Q27" s="1444">
        <f t="shared" si="6"/>
        <v>0.85</v>
      </c>
    </row>
    <row r="28" spans="1:17" ht="12">
      <c r="A28" s="143" t="s">
        <v>627</v>
      </c>
      <c r="B28" s="935">
        <v>44</v>
      </c>
      <c r="C28" s="36" t="s">
        <v>975</v>
      </c>
      <c r="D28" s="1132">
        <v>389970</v>
      </c>
      <c r="E28" s="1132">
        <v>189377</v>
      </c>
      <c r="F28" s="809">
        <f t="shared" si="0"/>
        <v>2.7231473712508003</v>
      </c>
      <c r="G28" s="809">
        <f t="shared" si="1"/>
        <v>1</v>
      </c>
      <c r="H28" s="809">
        <f t="shared" si="2"/>
        <v>2.5252766180478901</v>
      </c>
      <c r="I28" s="37">
        <f t="shared" si="7"/>
        <v>361633.79666367604</v>
      </c>
      <c r="J28" s="799">
        <f t="shared" si="8"/>
        <v>175616.38974992168</v>
      </c>
      <c r="L28" s="1451">
        <v>30168200</v>
      </c>
      <c r="M28" s="1132">
        <v>31101900</v>
      </c>
      <c r="N28" s="1195" t="s">
        <v>415</v>
      </c>
      <c r="O28" s="1196" t="str">
        <f>IFERROR(VLOOKUP(P28,constant_ag_extr!$D$7:$E$594,2,FALSE),"")</f>
        <v>Barley</v>
      </c>
      <c r="P28" s="1197">
        <f t="shared" si="5"/>
        <v>44</v>
      </c>
      <c r="Q28" s="1444">
        <f t="shared" si="6"/>
        <v>1</v>
      </c>
    </row>
    <row r="29" spans="1:17" ht="12">
      <c r="A29" s="143" t="s">
        <v>5183</v>
      </c>
      <c r="B29" s="935">
        <v>45</v>
      </c>
      <c r="C29" s="36" t="e">
        <v>#N/A</v>
      </c>
      <c r="D29" s="1132"/>
      <c r="E29" s="1132"/>
      <c r="F29" s="809">
        <f t="shared" si="0"/>
        <v>3.3139971417545171</v>
      </c>
      <c r="G29" s="809">
        <f t="shared" si="1"/>
        <v>1</v>
      </c>
      <c r="H29" s="809">
        <f t="shared" si="2"/>
        <v>2.5252766180478901</v>
      </c>
      <c r="I29" s="903">
        <f t="shared" si="7"/>
        <v>0</v>
      </c>
      <c r="J29" s="799">
        <f t="shared" si="8"/>
        <v>0</v>
      </c>
      <c r="L29" s="1451"/>
      <c r="M29" s="1132"/>
      <c r="N29" s="1195" t="s">
        <v>2921</v>
      </c>
      <c r="O29" s="1196" t="str">
        <f>IFERROR(VLOOKUP(P29,constant_ag_extr!$D$7:$E$594,2,FALSE),"")</f>
        <v>Barley</v>
      </c>
      <c r="P29" s="1197">
        <f t="shared" si="5"/>
        <v>44</v>
      </c>
      <c r="Q29" s="1444">
        <f t="shared" si="6"/>
        <v>1.2169731160133015</v>
      </c>
    </row>
    <row r="30" spans="1:17" s="889" customFormat="1" ht="12">
      <c r="A30" s="143" t="s">
        <v>3390</v>
      </c>
      <c r="B30" s="935">
        <v>46</v>
      </c>
      <c r="C30" s="36" t="s">
        <v>2022</v>
      </c>
      <c r="D30" s="1132">
        <v>3349</v>
      </c>
      <c r="E30" s="1132">
        <v>1544</v>
      </c>
      <c r="F30" s="809">
        <f t="shared" si="0"/>
        <v>2.9269235749857478</v>
      </c>
      <c r="G30" s="809">
        <f t="shared" si="1"/>
        <v>1</v>
      </c>
      <c r="H30" s="809">
        <f t="shared" si="2"/>
        <v>2.5252766180478901</v>
      </c>
      <c r="I30" s="903">
        <f t="shared" si="7"/>
        <v>2889.4336244784131</v>
      </c>
      <c r="J30" s="799">
        <f t="shared" si="8"/>
        <v>1332.124668914503</v>
      </c>
      <c r="L30" s="1451">
        <v>36402</v>
      </c>
      <c r="M30" s="1132">
        <v>35071</v>
      </c>
      <c r="N30" s="1195" t="s">
        <v>2921</v>
      </c>
      <c r="O30" s="1196" t="str">
        <f>IFERROR(VLOOKUP(P30,constant_ag_extr!$D$7:$E$594,2,FALSE),"")</f>
        <v>Barley</v>
      </c>
      <c r="P30" s="1197">
        <f t="shared" si="5"/>
        <v>44</v>
      </c>
      <c r="Q30" s="1444">
        <f t="shared" si="6"/>
        <v>1.0748311332270455</v>
      </c>
    </row>
    <row r="31" spans="1:17" s="889" customFormat="1" ht="12">
      <c r="A31" s="143" t="s">
        <v>978</v>
      </c>
      <c r="B31" s="935">
        <v>47</v>
      </c>
      <c r="C31" s="36" t="s">
        <v>979</v>
      </c>
      <c r="D31" s="1132"/>
      <c r="E31" s="1132"/>
      <c r="F31" s="809">
        <f t="shared" si="0"/>
        <v>1.2669889711227467</v>
      </c>
      <c r="G31" s="809">
        <f t="shared" si="1"/>
        <v>1</v>
      </c>
      <c r="H31" s="809">
        <f t="shared" si="2"/>
        <v>2.5252766180478901</v>
      </c>
      <c r="I31" s="903">
        <f t="shared" si="7"/>
        <v>0</v>
      </c>
      <c r="J31" s="799">
        <f t="shared" si="8"/>
        <v>0</v>
      </c>
      <c r="L31" s="1451"/>
      <c r="M31" s="1132"/>
      <c r="N31" s="1195" t="s">
        <v>2921</v>
      </c>
      <c r="O31" s="1196" t="str">
        <f>IFERROR(VLOOKUP(P31,constant_ag_extr!$D$7:$E$594,2,FALSE),"")</f>
        <v>Barley</v>
      </c>
      <c r="P31" s="1197">
        <f t="shared" si="5"/>
        <v>44</v>
      </c>
      <c r="Q31" s="1444">
        <f t="shared" si="6"/>
        <v>0.46526639890987292</v>
      </c>
    </row>
    <row r="32" spans="1:17" ht="12">
      <c r="A32" s="143" t="s">
        <v>1474</v>
      </c>
      <c r="B32" s="935">
        <v>48</v>
      </c>
      <c r="C32" s="36" t="s">
        <v>1475</v>
      </c>
      <c r="D32" s="1132"/>
      <c r="E32" s="1132"/>
      <c r="F32" s="809">
        <f t="shared" si="0"/>
        <v>3.9529233458531552</v>
      </c>
      <c r="G32" s="809">
        <f t="shared" si="1"/>
        <v>1</v>
      </c>
      <c r="H32" s="809">
        <f t="shared" si="2"/>
        <v>2.5252766180478901</v>
      </c>
      <c r="I32" s="903">
        <f t="shared" si="7"/>
        <v>0</v>
      </c>
      <c r="J32" s="799">
        <f t="shared" si="8"/>
        <v>0</v>
      </c>
      <c r="L32" s="1451"/>
      <c r="M32" s="1132"/>
      <c r="N32" s="1195" t="s">
        <v>2921</v>
      </c>
      <c r="O32" s="1196" t="str">
        <f>IFERROR(VLOOKUP(P32,constant_ag_extr!$D$7:$E$594,2,FALSE),"")</f>
        <v>Barley</v>
      </c>
      <c r="P32" s="1197">
        <f t="shared" si="5"/>
        <v>44</v>
      </c>
      <c r="Q32" s="1444">
        <f t="shared" si="6"/>
        <v>1.4516009627629856</v>
      </c>
    </row>
    <row r="33" spans="1:17" ht="12">
      <c r="A33" s="143" t="s">
        <v>1399</v>
      </c>
      <c r="B33" s="935">
        <v>49</v>
      </c>
      <c r="C33" s="36" t="s">
        <v>1400</v>
      </c>
      <c r="D33" s="1132">
        <v>325761</v>
      </c>
      <c r="E33" s="1132">
        <v>353694</v>
      </c>
      <c r="F33" s="809">
        <f t="shared" si="0"/>
        <v>1.9878975810130841</v>
      </c>
      <c r="G33" s="809">
        <f t="shared" si="1"/>
        <v>1</v>
      </c>
      <c r="H33" s="809">
        <f t="shared" si="2"/>
        <v>2.5252766180478901</v>
      </c>
      <c r="I33" s="903">
        <f t="shared" si="7"/>
        <v>413822.44449065725</v>
      </c>
      <c r="J33" s="799">
        <f t="shared" si="8"/>
        <v>449306.44147604686</v>
      </c>
      <c r="L33" s="1451">
        <v>7036930</v>
      </c>
      <c r="M33" s="1132">
        <v>7041210</v>
      </c>
      <c r="N33" s="1195" t="s">
        <v>2921</v>
      </c>
      <c r="O33" s="1196" t="str">
        <f>IFERROR(VLOOKUP(P33,constant_ag_extr!$D$7:$E$594,2,FALSE),"")</f>
        <v>Barley</v>
      </c>
      <c r="P33" s="1197">
        <f t="shared" si="5"/>
        <v>44</v>
      </c>
      <c r="Q33" s="1444">
        <f t="shared" si="6"/>
        <v>0.73</v>
      </c>
    </row>
    <row r="34" spans="1:17" s="889" customFormat="1" ht="12">
      <c r="A34" s="143" t="s">
        <v>1401</v>
      </c>
      <c r="B34" s="935">
        <v>50</v>
      </c>
      <c r="C34" s="36" t="s">
        <v>2413</v>
      </c>
      <c r="D34" s="1132"/>
      <c r="E34" s="1132"/>
      <c r="F34" s="809">
        <f t="shared" si="0"/>
        <v>1.5903180648104673</v>
      </c>
      <c r="G34" s="809">
        <f t="shared" si="1"/>
        <v>1</v>
      </c>
      <c r="H34" s="809">
        <f t="shared" si="2"/>
        <v>2.5252766180478901</v>
      </c>
      <c r="I34" s="903">
        <f t="shared" si="7"/>
        <v>0</v>
      </c>
      <c r="J34" s="799">
        <f t="shared" si="8"/>
        <v>0</v>
      </c>
      <c r="L34" s="1451"/>
      <c r="M34" s="1132"/>
      <c r="N34" s="1195" t="s">
        <v>2921</v>
      </c>
      <c r="O34" s="1196" t="str">
        <f>IFERROR(VLOOKUP(P34,constant_ag_extr!$D$7:$E$594,2,FALSE),"")</f>
        <v>Barley</v>
      </c>
      <c r="P34" s="1197">
        <f t="shared" si="5"/>
        <v>44</v>
      </c>
      <c r="Q34" s="1444">
        <f t="shared" si="6"/>
        <v>0.58399999999999996</v>
      </c>
    </row>
    <row r="35" spans="1:17" ht="12">
      <c r="A35" s="143" t="s">
        <v>3207</v>
      </c>
      <c r="B35" s="935">
        <v>51</v>
      </c>
      <c r="C35" s="36" t="s">
        <v>4139</v>
      </c>
      <c r="D35" s="1132">
        <v>3231610</v>
      </c>
      <c r="E35" s="1132">
        <v>497306</v>
      </c>
      <c r="F35" s="809">
        <f t="shared" si="0"/>
        <v>13.020729155635699</v>
      </c>
      <c r="G35" s="809">
        <f t="shared" si="1"/>
        <v>1</v>
      </c>
      <c r="H35" s="809">
        <f t="shared" si="2"/>
        <v>2.5252766180478901</v>
      </c>
      <c r="I35" s="903">
        <f t="shared" si="7"/>
        <v>626747.47889349819</v>
      </c>
      <c r="J35" s="799">
        <f t="shared" si="8"/>
        <v>96448.916094024331</v>
      </c>
      <c r="L35" s="1451">
        <v>12908100</v>
      </c>
      <c r="M35" s="1132">
        <v>13962000</v>
      </c>
      <c r="N35" s="1195" t="s">
        <v>2921</v>
      </c>
      <c r="O35" s="1196" t="str">
        <f>IFERROR(VLOOKUP(P35,constant_ag_extr!$D$7:$E$594,2,FALSE),"")</f>
        <v>Barley</v>
      </c>
      <c r="P35" s="1197">
        <f t="shared" si="5"/>
        <v>44</v>
      </c>
      <c r="Q35" s="1444">
        <f t="shared" si="6"/>
        <v>4.7814999999999994</v>
      </c>
    </row>
    <row r="36" spans="1:17" ht="12">
      <c r="A36" s="143" t="s">
        <v>2175</v>
      </c>
      <c r="B36" s="935">
        <v>56</v>
      </c>
      <c r="C36" s="36" t="s">
        <v>1021</v>
      </c>
      <c r="D36" s="1132">
        <v>3309860</v>
      </c>
      <c r="E36" s="1132">
        <v>24178500</v>
      </c>
      <c r="F36" s="809">
        <f t="shared" si="0"/>
        <v>5.4186077583299692</v>
      </c>
      <c r="G36" s="809">
        <f t="shared" si="1"/>
        <v>1</v>
      </c>
      <c r="H36" s="809">
        <f t="shared" si="2"/>
        <v>2.5252766180478901</v>
      </c>
      <c r="I36" s="903">
        <f t="shared" si="7"/>
        <v>1542520.2265587214</v>
      </c>
      <c r="J36" s="799">
        <f t="shared" si="8"/>
        <v>11268097.532176601</v>
      </c>
      <c r="L36" s="1451">
        <v>120129000</v>
      </c>
      <c r="M36" s="1132">
        <v>124222000</v>
      </c>
      <c r="N36" s="1195" t="s">
        <v>415</v>
      </c>
      <c r="O36" s="1196" t="str">
        <f>IFERROR(VLOOKUP(P36,constant_ag_extr!$D$7:$E$594,2,FALSE),"")</f>
        <v>Maize</v>
      </c>
      <c r="P36" s="1197">
        <f t="shared" si="5"/>
        <v>56</v>
      </c>
      <c r="Q36" s="1444">
        <f t="shared" si="6"/>
        <v>1</v>
      </c>
    </row>
    <row r="37" spans="1:17" ht="12">
      <c r="A37" s="143" t="s">
        <v>7274</v>
      </c>
      <c r="B37" s="935">
        <v>57</v>
      </c>
      <c r="C37" s="36" t="s">
        <v>92</v>
      </c>
      <c r="D37" s="1132">
        <v>29074</v>
      </c>
      <c r="E37" s="1132">
        <v>6365</v>
      </c>
      <c r="F37" s="809">
        <f t="shared" si="0"/>
        <v>4.3843984286455671</v>
      </c>
      <c r="G37" s="809">
        <f t="shared" si="1"/>
        <v>1</v>
      </c>
      <c r="H37" s="809">
        <f t="shared" si="2"/>
        <v>2.5252766180478901</v>
      </c>
      <c r="I37" s="903">
        <f t="shared" si="7"/>
        <v>16745.716336689158</v>
      </c>
      <c r="J37" s="799">
        <f t="shared" si="8"/>
        <v>3666.0412906042002</v>
      </c>
      <c r="L37" s="1451">
        <v>302774</v>
      </c>
      <c r="M37" s="1132">
        <v>299643</v>
      </c>
      <c r="N37" s="1195" t="s">
        <v>2921</v>
      </c>
      <c r="O37" s="1196" t="str">
        <f>IFERROR(VLOOKUP(P37,constant_ag_extr!$D$7:$E$594,2,FALSE),"")</f>
        <v>Maize</v>
      </c>
      <c r="P37" s="1197">
        <f t="shared" si="5"/>
        <v>56</v>
      </c>
      <c r="Q37" s="1444">
        <f t="shared" si="6"/>
        <v>0.80913744345223682</v>
      </c>
    </row>
    <row r="38" spans="1:17" ht="12">
      <c r="A38" s="143" t="s">
        <v>7260</v>
      </c>
      <c r="B38" s="935">
        <v>58</v>
      </c>
      <c r="C38" s="36" t="s">
        <v>3398</v>
      </c>
      <c r="D38" s="1132">
        <v>128270</v>
      </c>
      <c r="E38" s="1132">
        <v>224872</v>
      </c>
      <c r="F38" s="809">
        <f t="shared" si="0"/>
        <v>5.177627145850253</v>
      </c>
      <c r="G38" s="809">
        <f t="shared" si="1"/>
        <v>1</v>
      </c>
      <c r="H38" s="809">
        <f t="shared" si="2"/>
        <v>2.5252766180478901</v>
      </c>
      <c r="I38" s="903">
        <f t="shared" si="7"/>
        <v>62560.942044004645</v>
      </c>
      <c r="J38" s="799">
        <f t="shared" si="8"/>
        <v>109676.49613564677</v>
      </c>
      <c r="L38" s="1451">
        <v>2083500</v>
      </c>
      <c r="M38" s="1132">
        <v>1759920</v>
      </c>
      <c r="N38" s="1195" t="s">
        <v>2921</v>
      </c>
      <c r="O38" s="1196" t="str">
        <f>IFERROR(VLOOKUP(P38,constant_ag_extr!$D$7:$E$594,2,FALSE),"")</f>
        <v>Maize</v>
      </c>
      <c r="P38" s="1197">
        <f t="shared" si="5"/>
        <v>56</v>
      </c>
      <c r="Q38" s="1444">
        <f t="shared" si="6"/>
        <v>0.95552720860644336</v>
      </c>
    </row>
    <row r="39" spans="1:17" s="889" customFormat="1" ht="12">
      <c r="A39" s="143" t="s">
        <v>7186</v>
      </c>
      <c r="B39" s="935">
        <v>59</v>
      </c>
      <c r="C39" s="36" t="s">
        <v>2686</v>
      </c>
      <c r="D39" s="1132">
        <v>14305</v>
      </c>
      <c r="E39" s="1132">
        <v>595502</v>
      </c>
      <c r="F39" s="809">
        <f t="shared" si="0"/>
        <v>8.8065826695253104</v>
      </c>
      <c r="G39" s="809">
        <f t="shared" si="1"/>
        <v>1</v>
      </c>
      <c r="H39" s="809">
        <f t="shared" si="2"/>
        <v>2.5252766180478901</v>
      </c>
      <c r="I39" s="903">
        <f t="shared" si="7"/>
        <v>4101.9409431288759</v>
      </c>
      <c r="J39" s="799">
        <f t="shared" si="8"/>
        <v>170759.45721881383</v>
      </c>
      <c r="L39" s="1451">
        <v>1253440</v>
      </c>
      <c r="M39" s="1132">
        <v>1227380</v>
      </c>
      <c r="N39" s="1195" t="s">
        <v>2921</v>
      </c>
      <c r="O39" s="1196" t="str">
        <f>IFERROR(VLOOKUP(P39,constant_ag_extr!$D$7:$E$594,2,FALSE),"")</f>
        <v>Maize</v>
      </c>
      <c r="P39" s="1197">
        <f t="shared" si="5"/>
        <v>56</v>
      </c>
      <c r="Q39" s="1444">
        <f t="shared" si="6"/>
        <v>1.6252482302279665</v>
      </c>
    </row>
    <row r="40" spans="1:17" ht="12">
      <c r="A40" s="143" t="s">
        <v>7304</v>
      </c>
      <c r="B40" s="935">
        <v>60</v>
      </c>
      <c r="C40" s="36" t="s">
        <v>1194</v>
      </c>
      <c r="D40" s="1132">
        <v>25705</v>
      </c>
      <c r="E40" s="1132">
        <v>444235</v>
      </c>
      <c r="F40" s="809">
        <f t="shared" si="0"/>
        <v>2.2674060014842654</v>
      </c>
      <c r="G40" s="809">
        <f t="shared" si="1"/>
        <v>1</v>
      </c>
      <c r="H40" s="809">
        <f t="shared" si="2"/>
        <v>2.5252766180478901</v>
      </c>
      <c r="I40" s="903">
        <f t="shared" si="7"/>
        <v>28628.413007828702</v>
      </c>
      <c r="J40" s="799">
        <f t="shared" si="8"/>
        <v>494757.55893922527</v>
      </c>
      <c r="L40" s="1451">
        <v>846765</v>
      </c>
      <c r="M40" s="1132">
        <v>879439</v>
      </c>
      <c r="N40" s="1195" t="s">
        <v>2921</v>
      </c>
      <c r="O40" s="1196" t="str">
        <f>IFERROR(VLOOKUP(P40,constant_ag_extr!$D$7:$E$594,2,FALSE),"")</f>
        <v>Maize</v>
      </c>
      <c r="P40" s="1197">
        <f t="shared" si="5"/>
        <v>56</v>
      </c>
      <c r="Q40" s="1444">
        <f t="shared" si="6"/>
        <v>0.41844807792160371</v>
      </c>
    </row>
    <row r="41" spans="1:17" ht="12">
      <c r="A41" s="143" t="s">
        <v>7187</v>
      </c>
      <c r="B41" s="935">
        <v>61</v>
      </c>
      <c r="C41" s="36" t="s">
        <v>1202</v>
      </c>
      <c r="D41" s="1132">
        <v>0</v>
      </c>
      <c r="E41" s="1132">
        <v>0</v>
      </c>
      <c r="F41" s="809">
        <f t="shared" si="0"/>
        <v>17.557611895656361</v>
      </c>
      <c r="G41" s="809">
        <f t="shared" si="1"/>
        <v>1</v>
      </c>
      <c r="H41" s="809">
        <f t="shared" si="2"/>
        <v>2.5252766180478901</v>
      </c>
      <c r="I41" s="903">
        <f t="shared" si="7"/>
        <v>0</v>
      </c>
      <c r="J41" s="799">
        <f t="shared" si="8"/>
        <v>0</v>
      </c>
      <c r="L41" s="1451">
        <v>37135</v>
      </c>
      <c r="M41" s="1132">
        <v>1259</v>
      </c>
      <c r="N41" s="1195" t="s">
        <v>2921</v>
      </c>
      <c r="O41" s="1196" t="str">
        <f>IFERROR(VLOOKUP(P41,constant_ag_extr!$D$7:$E$594,2,FALSE),"")</f>
        <v>Maize</v>
      </c>
      <c r="P41" s="1197">
        <f t="shared" si="5"/>
        <v>56</v>
      </c>
      <c r="Q41" s="1444">
        <f t="shared" si="6"/>
        <v>3.2402441141205003</v>
      </c>
    </row>
    <row r="42" spans="1:17" ht="12">
      <c r="A42" s="143" t="s">
        <v>7188</v>
      </c>
      <c r="B42" s="935">
        <v>66</v>
      </c>
      <c r="C42" s="36"/>
      <c r="D42" s="1132"/>
      <c r="E42" s="1132"/>
      <c r="F42" s="809">
        <f t="shared" si="0"/>
        <v>0</v>
      </c>
      <c r="G42" s="809">
        <f t="shared" si="1"/>
        <v>1</v>
      </c>
      <c r="H42" s="809">
        <f t="shared" si="2"/>
        <v>2.5252766180478901</v>
      </c>
      <c r="I42" s="37">
        <f t="shared" si="7"/>
        <v>0</v>
      </c>
      <c r="J42" s="799">
        <f t="shared" si="8"/>
        <v>0</v>
      </c>
      <c r="L42" s="1451"/>
      <c r="M42" s="1132"/>
      <c r="N42" s="1195"/>
      <c r="O42" s="1196">
        <f>IFERROR(VLOOKUP(P42,constant_ag_extr!$D$7:$E$594,2,FALSE),"")</f>
        <v>0</v>
      </c>
      <c r="P42" s="1197" t="str">
        <f t="shared" si="5"/>
        <v/>
      </c>
      <c r="Q42" s="1444" t="str">
        <f t="shared" si="6"/>
        <v/>
      </c>
    </row>
    <row r="43" spans="1:17" ht="12">
      <c r="A43" s="143" t="s">
        <v>5182</v>
      </c>
      <c r="B43" s="935">
        <v>68</v>
      </c>
      <c r="C43" s="36" t="s">
        <v>5553</v>
      </c>
      <c r="D43" s="1132"/>
      <c r="E43" s="1132"/>
      <c r="F43" s="809">
        <f t="shared" si="0"/>
        <v>1.896512715415489</v>
      </c>
      <c r="G43" s="809">
        <f t="shared" si="1"/>
        <v>1</v>
      </c>
      <c r="H43" s="809">
        <f t="shared" si="2"/>
        <v>2.5252766180478901</v>
      </c>
      <c r="I43" s="903">
        <f t="shared" si="7"/>
        <v>0</v>
      </c>
      <c r="J43" s="799">
        <f t="shared" si="8"/>
        <v>0</v>
      </c>
      <c r="L43" s="1451">
        <v>0</v>
      </c>
      <c r="M43" s="1132"/>
      <c r="N43" s="1195" t="s">
        <v>2921</v>
      </c>
      <c r="O43" s="1196" t="str">
        <f>IFERROR(VLOOKUP(P43,constant_ag_extr!$D$7:$E$594,2,FALSE),"")</f>
        <v>Maize</v>
      </c>
      <c r="P43" s="1197">
        <f t="shared" si="5"/>
        <v>56</v>
      </c>
      <c r="Q43" s="1444">
        <f t="shared" si="6"/>
        <v>0.35</v>
      </c>
    </row>
    <row r="44" spans="1:17" ht="12">
      <c r="A44" s="143" t="s">
        <v>5568</v>
      </c>
      <c r="B44" s="935">
        <v>71</v>
      </c>
      <c r="C44" s="36" t="s">
        <v>2085</v>
      </c>
      <c r="D44" s="1132">
        <v>234907</v>
      </c>
      <c r="E44" s="1132">
        <v>6573</v>
      </c>
      <c r="F44" s="809">
        <f t="shared" si="0"/>
        <v>2.7231473712508003</v>
      </c>
      <c r="G44" s="809">
        <f t="shared" si="1"/>
        <v>1</v>
      </c>
      <c r="H44" s="809">
        <f t="shared" si="2"/>
        <v>2.5252766180478901</v>
      </c>
      <c r="I44" s="903">
        <f t="shared" si="7"/>
        <v>217838.06516622851</v>
      </c>
      <c r="J44" s="799">
        <f t="shared" si="8"/>
        <v>6095.389249096962</v>
      </c>
      <c r="L44" s="1451">
        <v>1736900</v>
      </c>
      <c r="M44" s="1132">
        <v>1819080</v>
      </c>
      <c r="N44" s="1195" t="s">
        <v>415</v>
      </c>
      <c r="O44" s="1196" t="str">
        <f>IFERROR(VLOOKUP(P44,constant_ag_extr!$D$7:$E$594,2,FALSE),"")</f>
        <v>Rye</v>
      </c>
      <c r="P44" s="1197">
        <f t="shared" si="5"/>
        <v>71</v>
      </c>
      <c r="Q44" s="1444">
        <f t="shared" si="6"/>
        <v>1</v>
      </c>
    </row>
    <row r="45" spans="1:17" ht="12">
      <c r="A45" s="143" t="s">
        <v>5616</v>
      </c>
      <c r="B45" s="935">
        <v>72</v>
      </c>
      <c r="C45" s="36" t="s">
        <v>4146</v>
      </c>
      <c r="D45" s="1132"/>
      <c r="E45" s="1132"/>
      <c r="F45" s="809">
        <f t="shared" si="0"/>
        <v>2.6269521647663563</v>
      </c>
      <c r="G45" s="809">
        <f t="shared" si="1"/>
        <v>1</v>
      </c>
      <c r="H45" s="809">
        <f t="shared" si="2"/>
        <v>2.5252766180478901</v>
      </c>
      <c r="I45" s="37">
        <f t="shared" si="7"/>
        <v>0</v>
      </c>
      <c r="J45" s="799">
        <f t="shared" si="8"/>
        <v>0</v>
      </c>
      <c r="L45" s="1451"/>
      <c r="M45" s="1132"/>
      <c r="N45" s="1195" t="s">
        <v>2921</v>
      </c>
      <c r="O45" s="1196" t="str">
        <f>IFERROR(VLOOKUP(P45,constant_ag_extr!$D$7:$E$594,2,FALSE),"")</f>
        <v>Rye</v>
      </c>
      <c r="P45" s="1197">
        <f t="shared" si="5"/>
        <v>71</v>
      </c>
      <c r="Q45" s="1444">
        <f t="shared" si="6"/>
        <v>0.96467499060094586</v>
      </c>
    </row>
    <row r="46" spans="1:17" ht="12">
      <c r="A46" s="143" t="s">
        <v>4726</v>
      </c>
      <c r="B46" s="935">
        <v>73</v>
      </c>
      <c r="C46" s="36" t="s">
        <v>1461</v>
      </c>
      <c r="D46" s="1132"/>
      <c r="E46" s="1132"/>
      <c r="F46" s="809">
        <f t="shared" si="0"/>
        <v>2.7118985486537848</v>
      </c>
      <c r="G46" s="809">
        <f t="shared" si="1"/>
        <v>1</v>
      </c>
      <c r="H46" s="809">
        <f t="shared" si="2"/>
        <v>2.5252766180478901</v>
      </c>
      <c r="I46" s="903">
        <f t="shared" si="7"/>
        <v>0</v>
      </c>
      <c r="J46" s="799">
        <f t="shared" si="8"/>
        <v>0</v>
      </c>
      <c r="L46" s="1451"/>
      <c r="M46" s="1132"/>
      <c r="N46" s="1195" t="s">
        <v>2921</v>
      </c>
      <c r="O46" s="1196" t="str">
        <f>IFERROR(VLOOKUP(P46,constant_ag_extr!$D$7:$E$594,2,FALSE),"")</f>
        <v>Rye</v>
      </c>
      <c r="P46" s="1197">
        <f t="shared" si="5"/>
        <v>71</v>
      </c>
      <c r="Q46" s="1444">
        <f t="shared" si="6"/>
        <v>0.995869183314949</v>
      </c>
    </row>
    <row r="47" spans="1:17" ht="12">
      <c r="A47" s="143" t="s">
        <v>804</v>
      </c>
      <c r="B47" s="935">
        <v>75</v>
      </c>
      <c r="C47" s="36" t="s">
        <v>2977</v>
      </c>
      <c r="D47" s="1132">
        <v>1473110</v>
      </c>
      <c r="E47" s="1132">
        <v>28252</v>
      </c>
      <c r="F47" s="809">
        <f t="shared" si="0"/>
        <v>2.7231473712508003</v>
      </c>
      <c r="G47" s="809">
        <f t="shared" si="1"/>
        <v>1</v>
      </c>
      <c r="H47" s="809">
        <f t="shared" si="2"/>
        <v>2.5252766180478901</v>
      </c>
      <c r="I47" s="903">
        <f t="shared" si="7"/>
        <v>1366070.1136067586</v>
      </c>
      <c r="J47" s="799">
        <f t="shared" si="8"/>
        <v>26199.138455117507</v>
      </c>
      <c r="L47" s="1451">
        <v>2734970</v>
      </c>
      <c r="M47" s="1132">
        <v>2507660</v>
      </c>
      <c r="N47" s="1195" t="s">
        <v>415</v>
      </c>
      <c r="O47" s="1196" t="str">
        <f>IFERROR(VLOOKUP(P47,constant_ag_extr!$D$7:$E$594,2,FALSE),"")</f>
        <v>Oats</v>
      </c>
      <c r="P47" s="1197">
        <f t="shared" si="5"/>
        <v>75</v>
      </c>
      <c r="Q47" s="1444">
        <f t="shared" si="6"/>
        <v>1</v>
      </c>
    </row>
    <row r="48" spans="1:17" ht="12">
      <c r="A48" s="143" t="s">
        <v>259</v>
      </c>
      <c r="B48" s="935">
        <v>76</v>
      </c>
      <c r="C48" s="36" t="s">
        <v>260</v>
      </c>
      <c r="D48" s="1132">
        <v>171941</v>
      </c>
      <c r="E48" s="1132">
        <v>33776</v>
      </c>
      <c r="F48" s="809">
        <f t="shared" si="0"/>
        <v>1.4984044762729756</v>
      </c>
      <c r="G48" s="809">
        <f t="shared" si="1"/>
        <v>1</v>
      </c>
      <c r="H48" s="809">
        <f t="shared" si="2"/>
        <v>2.5252766180478901</v>
      </c>
      <c r="I48" s="903">
        <f t="shared" si="7"/>
        <v>289773.95213324967</v>
      </c>
      <c r="J48" s="799">
        <f t="shared" si="8"/>
        <v>56923.043411708903</v>
      </c>
      <c r="L48" s="1451">
        <v>650307</v>
      </c>
      <c r="M48" s="1132">
        <v>598572</v>
      </c>
      <c r="N48" s="1195" t="s">
        <v>2921</v>
      </c>
      <c r="O48" s="1196" t="str">
        <f>IFERROR(VLOOKUP(P48,constant_ag_extr!$D$7:$E$594,2,FALSE),"")</f>
        <v>Oats</v>
      </c>
      <c r="P48" s="1197">
        <f t="shared" si="5"/>
        <v>75</v>
      </c>
      <c r="Q48" s="1444">
        <f t="shared" si="6"/>
        <v>0.55024729549790252</v>
      </c>
    </row>
    <row r="49" spans="1:17" ht="12">
      <c r="A49" s="143" t="s">
        <v>4724</v>
      </c>
      <c r="B49" s="935">
        <v>77</v>
      </c>
      <c r="C49" s="36" t="s">
        <v>4725</v>
      </c>
      <c r="D49" s="1132"/>
      <c r="E49" s="1132"/>
      <c r="F49" s="809">
        <f t="shared" si="0"/>
        <v>14.801033317543077</v>
      </c>
      <c r="G49" s="809">
        <f t="shared" si="1"/>
        <v>1</v>
      </c>
      <c r="H49" s="809">
        <f t="shared" si="2"/>
        <v>2.5252766180478901</v>
      </c>
      <c r="I49" s="903">
        <f t="shared" si="7"/>
        <v>0</v>
      </c>
      <c r="J49" s="799">
        <f t="shared" si="8"/>
        <v>0</v>
      </c>
      <c r="L49" s="1451"/>
      <c r="M49" s="1132"/>
      <c r="N49" s="1195" t="s">
        <v>2921</v>
      </c>
      <c r="O49" s="1196" t="str">
        <f>IFERROR(VLOOKUP(P49,constant_ag_extr!$D$7:$E$594,2,FALSE),"")</f>
        <v>Oats</v>
      </c>
      <c r="P49" s="1197">
        <f t="shared" si="5"/>
        <v>75</v>
      </c>
      <c r="Q49" s="1444">
        <f t="shared" si="6"/>
        <v>5.4352671007829603</v>
      </c>
    </row>
    <row r="50" spans="1:17" ht="12">
      <c r="A50" s="143" t="s">
        <v>2899</v>
      </c>
      <c r="B50" s="935">
        <v>79</v>
      </c>
      <c r="C50" s="36" t="s">
        <v>4068</v>
      </c>
      <c r="D50" s="1132">
        <v>20794</v>
      </c>
      <c r="E50" s="1132">
        <v>22919</v>
      </c>
      <c r="F50" s="809">
        <f t="shared" si="0"/>
        <v>2.7231473712508003</v>
      </c>
      <c r="G50" s="809">
        <f t="shared" si="1"/>
        <v>1</v>
      </c>
      <c r="H50" s="809">
        <f t="shared" si="2"/>
        <v>2.5252766180478901</v>
      </c>
      <c r="I50" s="903">
        <f t="shared" si="7"/>
        <v>19283.055537155367</v>
      </c>
      <c r="J50" s="799">
        <f t="shared" si="8"/>
        <v>21253.647679910737</v>
      </c>
      <c r="L50" s="1451">
        <v>348128</v>
      </c>
      <c r="M50" s="1132">
        <v>280476</v>
      </c>
      <c r="N50" s="1195" t="s">
        <v>415</v>
      </c>
      <c r="O50" s="1196" t="str">
        <f>IFERROR(VLOOKUP(P50,constant_ag_extr!$D$7:$E$594,2,FALSE),"")</f>
        <v>Millet</v>
      </c>
      <c r="P50" s="1197">
        <f t="shared" si="5"/>
        <v>79</v>
      </c>
      <c r="Q50" s="1444">
        <f t="shared" si="6"/>
        <v>1</v>
      </c>
    </row>
    <row r="51" spans="1:17" ht="12">
      <c r="A51" s="143" t="s">
        <v>2274</v>
      </c>
      <c r="B51" s="935">
        <v>80</v>
      </c>
      <c r="C51" s="36" t="s">
        <v>5222</v>
      </c>
      <c r="D51" s="1132"/>
      <c r="E51" s="1132"/>
      <c r="F51" s="809">
        <f t="shared" si="0"/>
        <v>3.6092461698196576</v>
      </c>
      <c r="G51" s="809">
        <f t="shared" si="1"/>
        <v>1</v>
      </c>
      <c r="H51" s="809">
        <f t="shared" si="2"/>
        <v>2.5252766180478901</v>
      </c>
      <c r="I51" s="903">
        <f t="shared" si="7"/>
        <v>0</v>
      </c>
      <c r="J51" s="799">
        <f t="shared" si="8"/>
        <v>0</v>
      </c>
      <c r="L51" s="1451"/>
      <c r="M51" s="1132"/>
      <c r="N51" s="1195" t="s">
        <v>2921</v>
      </c>
      <c r="O51" s="1196" t="str">
        <f>IFERROR(VLOOKUP(P51,constant_ag_extr!$D$7:$E$594,2,FALSE),"")</f>
        <v>Millet</v>
      </c>
      <c r="P51" s="1197">
        <f t="shared" si="5"/>
        <v>79</v>
      </c>
      <c r="Q51" s="1444">
        <f t="shared" si="6"/>
        <v>1.3253950953678475</v>
      </c>
    </row>
    <row r="52" spans="1:17" ht="12">
      <c r="A52" s="143" t="s">
        <v>7189</v>
      </c>
      <c r="B52" s="935">
        <v>81</v>
      </c>
      <c r="C52" s="36" t="s">
        <v>4723</v>
      </c>
      <c r="D52" s="1132"/>
      <c r="E52" s="1132"/>
      <c r="F52" s="809">
        <f t="shared" si="0"/>
        <v>0.77552303531839228</v>
      </c>
      <c r="G52" s="809">
        <f t="shared" si="1"/>
        <v>1</v>
      </c>
      <c r="H52" s="809">
        <f t="shared" si="2"/>
        <v>2.5252766180478901</v>
      </c>
      <c r="I52" s="903">
        <f t="shared" si="7"/>
        <v>0</v>
      </c>
      <c r="J52" s="799">
        <f t="shared" si="8"/>
        <v>0</v>
      </c>
      <c r="L52" s="1451">
        <v>1</v>
      </c>
      <c r="M52" s="1132">
        <v>16</v>
      </c>
      <c r="N52" s="1195" t="s">
        <v>2921</v>
      </c>
      <c r="O52" s="1196" t="str">
        <f>IFERROR(VLOOKUP(P52,constant_ag_extr!$D$7:$E$594,2,FALSE),"")</f>
        <v>Millet</v>
      </c>
      <c r="P52" s="1197">
        <f t="shared" si="5"/>
        <v>79</v>
      </c>
      <c r="Q52" s="1444">
        <f t="shared" si="6"/>
        <v>0.2847892271662763</v>
      </c>
    </row>
    <row r="53" spans="1:17" s="889" customFormat="1" ht="12">
      <c r="A53" s="143" t="s">
        <v>7190</v>
      </c>
      <c r="B53" s="935">
        <v>82</v>
      </c>
      <c r="C53" s="36"/>
      <c r="D53" s="1132"/>
      <c r="E53" s="1132"/>
      <c r="F53" s="809">
        <f t="shared" si="0"/>
        <v>0</v>
      </c>
      <c r="G53" s="809">
        <f t="shared" si="1"/>
        <v>1</v>
      </c>
      <c r="H53" s="809">
        <f t="shared" si="2"/>
        <v>2.5252766180478901</v>
      </c>
      <c r="I53" s="903">
        <f t="shared" si="7"/>
        <v>0</v>
      </c>
      <c r="J53" s="799">
        <f t="shared" si="8"/>
        <v>0</v>
      </c>
      <c r="L53" s="1451"/>
      <c r="M53" s="1132"/>
      <c r="N53" s="1195"/>
      <c r="O53" s="1196">
        <f>IFERROR(VLOOKUP(P53,constant_ag_extr!$D$7:$E$594,2,FALSE),"")</f>
        <v>0</v>
      </c>
      <c r="P53" s="1197" t="str">
        <f t="shared" si="5"/>
        <v/>
      </c>
      <c r="Q53" s="1444" t="str">
        <f t="shared" si="6"/>
        <v/>
      </c>
    </row>
    <row r="54" spans="1:17" ht="12">
      <c r="A54" s="143" t="s">
        <v>2805</v>
      </c>
      <c r="B54" s="935">
        <v>83</v>
      </c>
      <c r="C54" s="36" t="s">
        <v>4073</v>
      </c>
      <c r="D54" s="1132">
        <v>215666</v>
      </c>
      <c r="E54" s="1132">
        <v>2514740</v>
      </c>
      <c r="F54" s="809">
        <f t="shared" si="0"/>
        <v>2.7231473712508003</v>
      </c>
      <c r="G54" s="809">
        <f t="shared" si="1"/>
        <v>1</v>
      </c>
      <c r="H54" s="809">
        <f t="shared" si="2"/>
        <v>2.5252766180478901</v>
      </c>
      <c r="I54" s="903">
        <f t="shared" si="7"/>
        <v>199995.16473387269</v>
      </c>
      <c r="J54" s="799">
        <f t="shared" si="8"/>
        <v>2332012.6517988886</v>
      </c>
      <c r="L54" s="1451">
        <v>6927010</v>
      </c>
      <c r="M54" s="1132">
        <v>6403900</v>
      </c>
      <c r="N54" s="1195" t="s">
        <v>415</v>
      </c>
      <c r="O54" s="1196" t="str">
        <f>IFERROR(VLOOKUP(P54,constant_ag_extr!$D$7:$E$594,2,FALSE),"")</f>
        <v>Sorghum</v>
      </c>
      <c r="P54" s="1197">
        <f t="shared" si="5"/>
        <v>83</v>
      </c>
      <c r="Q54" s="1444">
        <f t="shared" si="6"/>
        <v>1</v>
      </c>
    </row>
    <row r="55" spans="1:17" ht="12">
      <c r="A55" s="143" t="s">
        <v>854</v>
      </c>
      <c r="B55" s="935">
        <v>84</v>
      </c>
      <c r="C55" s="36" t="s">
        <v>855</v>
      </c>
      <c r="D55" s="1132"/>
      <c r="E55" s="1132"/>
      <c r="F55" s="809">
        <f t="shared" si="0"/>
        <v>2.4569532011888424</v>
      </c>
      <c r="G55" s="809">
        <f t="shared" si="1"/>
        <v>1</v>
      </c>
      <c r="H55" s="809">
        <f t="shared" si="2"/>
        <v>2.5252766180478901</v>
      </c>
      <c r="I55" s="903">
        <f t="shared" si="7"/>
        <v>0</v>
      </c>
      <c r="J55" s="799">
        <f t="shared" si="8"/>
        <v>0</v>
      </c>
      <c r="L55" s="1451"/>
      <c r="M55" s="1132"/>
      <c r="N55" s="1195" t="s">
        <v>2921</v>
      </c>
      <c r="O55" s="1196" t="str">
        <f>IFERROR(VLOOKUP(P55,constant_ag_extr!$D$7:$E$594,2,FALSE),"")</f>
        <v>Sorghum</v>
      </c>
      <c r="P55" s="1197">
        <f t="shared" si="5"/>
        <v>83</v>
      </c>
      <c r="Q55" s="1444">
        <f t="shared" si="6"/>
        <v>0.90224760772323198</v>
      </c>
    </row>
    <row r="56" spans="1:17" ht="12">
      <c r="A56" s="143" t="s">
        <v>7191</v>
      </c>
      <c r="B56" s="935">
        <v>85</v>
      </c>
      <c r="C56" s="36" t="s">
        <v>5060</v>
      </c>
      <c r="D56" s="1132"/>
      <c r="E56" s="1132"/>
      <c r="F56" s="809">
        <f t="shared" si="0"/>
        <v>87.451317266549864</v>
      </c>
      <c r="G56" s="809">
        <f t="shared" si="1"/>
        <v>1</v>
      </c>
      <c r="H56" s="809">
        <f t="shared" si="2"/>
        <v>2.5252766180478901</v>
      </c>
      <c r="I56" s="903">
        <f t="shared" si="7"/>
        <v>0</v>
      </c>
      <c r="J56" s="799">
        <f t="shared" si="8"/>
        <v>0</v>
      </c>
      <c r="L56" s="1451">
        <v>0</v>
      </c>
      <c r="M56" s="1132">
        <v>0</v>
      </c>
      <c r="N56" s="1195" t="s">
        <v>2921</v>
      </c>
      <c r="O56" s="1196" t="str">
        <f>IFERROR(VLOOKUP(P56,constant_ag_extr!$D$7:$E$594,2,FALSE),"")</f>
        <v>Sorghum</v>
      </c>
      <c r="P56" s="1197">
        <f t="shared" si="5"/>
        <v>83</v>
      </c>
      <c r="Q56" s="1444">
        <f t="shared" si="6"/>
        <v>32.1140597052526</v>
      </c>
    </row>
    <row r="57" spans="1:17" ht="12">
      <c r="A57" s="143" t="s">
        <v>321</v>
      </c>
      <c r="B57" s="935">
        <v>86</v>
      </c>
      <c r="C57" s="36" t="s">
        <v>322</v>
      </c>
      <c r="D57" s="1132"/>
      <c r="E57" s="1132"/>
      <c r="F57" s="809">
        <f t="shared" si="0"/>
        <v>13.207264750566381</v>
      </c>
      <c r="G57" s="809">
        <f t="shared" si="1"/>
        <v>1</v>
      </c>
      <c r="H57" s="809">
        <f t="shared" si="2"/>
        <v>2.5252766180478901</v>
      </c>
      <c r="I57" s="903">
        <f t="shared" si="7"/>
        <v>0</v>
      </c>
      <c r="J57" s="799">
        <f t="shared" si="8"/>
        <v>0</v>
      </c>
      <c r="L57" s="1451"/>
      <c r="M57" s="1132">
        <v>0</v>
      </c>
      <c r="N57" s="1195" t="s">
        <v>2921</v>
      </c>
      <c r="O57" s="1196" t="str">
        <f>IFERROR(VLOOKUP(P57,constant_ag_extr!$D$7:$E$594,2,FALSE),"")</f>
        <v>Sorghum</v>
      </c>
      <c r="P57" s="1197">
        <f t="shared" si="5"/>
        <v>83</v>
      </c>
      <c r="Q57" s="1444">
        <f t="shared" si="6"/>
        <v>4.8499999999999996</v>
      </c>
    </row>
    <row r="58" spans="1:17" ht="12">
      <c r="A58" s="143" t="s">
        <v>3912</v>
      </c>
      <c r="B58" s="935">
        <v>89</v>
      </c>
      <c r="C58" s="36" t="s">
        <v>3913</v>
      </c>
      <c r="D58" s="1132">
        <v>3392</v>
      </c>
      <c r="E58" s="1132">
        <v>24438</v>
      </c>
      <c r="F58" s="809">
        <f t="shared" si="0"/>
        <v>0.98733673686139356</v>
      </c>
      <c r="G58" s="809">
        <f t="shared" si="1"/>
        <v>1</v>
      </c>
      <c r="H58" s="809">
        <f t="shared" si="2"/>
        <v>2.5252766180478901</v>
      </c>
      <c r="I58" s="903">
        <f t="shared" si="7"/>
        <v>8675.5996901804101</v>
      </c>
      <c r="J58" s="799">
        <f t="shared" si="8"/>
        <v>62504.217343345772</v>
      </c>
      <c r="L58" s="1451">
        <v>159523</v>
      </c>
      <c r="M58" s="1132">
        <v>145584</v>
      </c>
      <c r="N58" s="1195" t="s">
        <v>415</v>
      </c>
      <c r="O58" s="1196" t="str">
        <f>IFERROR(VLOOKUP(P58,constant_ag_extr!$D$7:$E$594,2,FALSE),"")</f>
        <v>Buckwheat</v>
      </c>
      <c r="P58" s="1197">
        <f t="shared" si="5"/>
        <v>89</v>
      </c>
      <c r="Q58" s="1444">
        <f t="shared" si="6"/>
        <v>1</v>
      </c>
    </row>
    <row r="59" spans="1:17" ht="12">
      <c r="A59" s="143" t="s">
        <v>2268</v>
      </c>
      <c r="B59" s="935">
        <v>90</v>
      </c>
      <c r="C59" s="36" t="s">
        <v>2269</v>
      </c>
      <c r="D59" s="1132"/>
      <c r="E59" s="1132"/>
      <c r="F59" s="809">
        <f t="shared" si="0"/>
        <v>5.0554264064756831</v>
      </c>
      <c r="G59" s="809">
        <f t="shared" si="1"/>
        <v>1</v>
      </c>
      <c r="H59" s="809">
        <f t="shared" si="2"/>
        <v>2.5252766180478901</v>
      </c>
      <c r="I59" s="903">
        <f t="shared" si="7"/>
        <v>0</v>
      </c>
      <c r="J59" s="799">
        <f t="shared" si="8"/>
        <v>0</v>
      </c>
      <c r="L59" s="1451"/>
      <c r="M59" s="1132"/>
      <c r="N59" s="1195" t="s">
        <v>2921</v>
      </c>
      <c r="O59" s="1196" t="str">
        <f>IFERROR(VLOOKUP(P59,constant_ag_extr!$D$7:$E$594,2,FALSE),"")</f>
        <v>Buckwheat</v>
      </c>
      <c r="P59" s="1197">
        <f t="shared" si="5"/>
        <v>89</v>
      </c>
      <c r="Q59" s="1444">
        <f t="shared" si="6"/>
        <v>5.1202656780970006</v>
      </c>
    </row>
    <row r="60" spans="1:17" ht="12">
      <c r="A60" s="143" t="s">
        <v>7192</v>
      </c>
      <c r="B60" s="935">
        <v>91</v>
      </c>
      <c r="C60" s="36" t="s">
        <v>977</v>
      </c>
      <c r="D60" s="1132">
        <v>0</v>
      </c>
      <c r="E60" s="1132"/>
      <c r="F60" s="809">
        <f t="shared" si="0"/>
        <v>0.23135556411650612</v>
      </c>
      <c r="G60" s="809">
        <f t="shared" si="1"/>
        <v>1</v>
      </c>
      <c r="H60" s="809">
        <f t="shared" si="2"/>
        <v>2.5252766180478901</v>
      </c>
      <c r="I60" s="903">
        <f t="shared" si="7"/>
        <v>0</v>
      </c>
      <c r="J60" s="799">
        <f t="shared" si="8"/>
        <v>0</v>
      </c>
      <c r="L60" s="1451">
        <v>0</v>
      </c>
      <c r="M60" s="1132"/>
      <c r="N60" s="1195" t="s">
        <v>2921</v>
      </c>
      <c r="O60" s="1196" t="str">
        <f>IFERROR(VLOOKUP(P60,constant_ag_extr!$D$7:$E$594,2,FALSE),"")</f>
        <v>Buckwheat</v>
      </c>
      <c r="P60" s="1197">
        <f t="shared" si="5"/>
        <v>89</v>
      </c>
      <c r="Q60" s="1444">
        <f t="shared" si="6"/>
        <v>0.23432285610272474</v>
      </c>
    </row>
    <row r="61" spans="1:17" ht="12">
      <c r="A61" s="143" t="s">
        <v>5557</v>
      </c>
      <c r="B61" s="935">
        <v>92</v>
      </c>
      <c r="C61" s="36" t="s">
        <v>5558</v>
      </c>
      <c r="D61" s="1132"/>
      <c r="E61" s="1132"/>
      <c r="F61" s="809">
        <f t="shared" si="0"/>
        <v>0.55042399950122711</v>
      </c>
      <c r="G61" s="809">
        <f t="shared" si="1"/>
        <v>1</v>
      </c>
      <c r="H61" s="809">
        <f t="shared" si="2"/>
        <v>2.5252766180478901</v>
      </c>
      <c r="I61" s="903">
        <f t="shared" si="7"/>
        <v>0</v>
      </c>
      <c r="J61" s="799">
        <f t="shared" si="8"/>
        <v>0</v>
      </c>
      <c r="L61" s="1451"/>
      <c r="M61" s="1132"/>
      <c r="N61" s="1195" t="s">
        <v>415</v>
      </c>
      <c r="O61" s="1196" t="str">
        <f>IFERROR(VLOOKUP(P61,constant_ag_extr!$D$7:$E$594,2,FALSE),"")</f>
        <v>Quinoa</v>
      </c>
      <c r="P61" s="1197">
        <f t="shared" si="5"/>
        <v>92</v>
      </c>
      <c r="Q61" s="1444">
        <f t="shared" si="6"/>
        <v>1</v>
      </c>
    </row>
    <row r="62" spans="1:17" ht="12">
      <c r="A62" s="143" t="s">
        <v>4472</v>
      </c>
      <c r="B62" s="935">
        <v>94</v>
      </c>
      <c r="C62" s="36" t="s">
        <v>5230</v>
      </c>
      <c r="D62" s="1132">
        <v>8</v>
      </c>
      <c r="E62" s="1132">
        <v>0</v>
      </c>
      <c r="F62" s="809">
        <f t="shared" si="0"/>
        <v>2.7231473712508003</v>
      </c>
      <c r="G62" s="809">
        <f t="shared" si="1"/>
        <v>1</v>
      </c>
      <c r="H62" s="809">
        <f t="shared" si="2"/>
        <v>2.5252766180478901</v>
      </c>
      <c r="I62" s="903">
        <f t="shared" si="7"/>
        <v>7.4186998315496266</v>
      </c>
      <c r="J62" s="799">
        <f t="shared" si="8"/>
        <v>0</v>
      </c>
      <c r="L62" s="1451">
        <v>1809</v>
      </c>
      <c r="M62" s="1132">
        <v>730</v>
      </c>
      <c r="N62" s="1195" t="s">
        <v>415</v>
      </c>
      <c r="O62" s="1196" t="str">
        <f>IFERROR(VLOOKUP(P62,constant_ag_extr!$D$7:$E$594,2,FALSE),"")</f>
        <v>Fonio</v>
      </c>
      <c r="P62" s="1197">
        <f t="shared" si="5"/>
        <v>94</v>
      </c>
      <c r="Q62" s="1444">
        <f t="shared" si="6"/>
        <v>1</v>
      </c>
    </row>
    <row r="63" spans="1:17" ht="12">
      <c r="A63" s="143" t="s">
        <v>7259</v>
      </c>
      <c r="B63" s="935">
        <v>95</v>
      </c>
      <c r="C63" s="36" t="e">
        <v>#N/A</v>
      </c>
      <c r="D63" s="1132"/>
      <c r="E63" s="1132"/>
      <c r="F63" s="809">
        <f t="shared" si="0"/>
        <v>2.1833413387290816</v>
      </c>
      <c r="G63" s="809">
        <f t="shared" si="1"/>
        <v>1</v>
      </c>
      <c r="H63" s="809">
        <f t="shared" si="2"/>
        <v>2.5252766180478901</v>
      </c>
      <c r="I63" s="903">
        <f t="shared" si="7"/>
        <v>0</v>
      </c>
      <c r="J63" s="799">
        <f t="shared" si="8"/>
        <v>0</v>
      </c>
      <c r="L63" s="1451">
        <v>0</v>
      </c>
      <c r="M63" s="1132">
        <v>0</v>
      </c>
      <c r="N63" s="1195" t="s">
        <v>2921</v>
      </c>
      <c r="O63" s="1196" t="str">
        <f>IFERROR(VLOOKUP(P63,constant_ag_extr!$D$7:$E$594,2,FALSE),"")</f>
        <v>Fonio</v>
      </c>
      <c r="P63" s="1197">
        <f t="shared" si="5"/>
        <v>94</v>
      </c>
      <c r="Q63" s="1444">
        <f t="shared" si="6"/>
        <v>0.80177127458446218</v>
      </c>
    </row>
    <row r="64" spans="1:17" ht="12">
      <c r="A64" s="143" t="s">
        <v>7193</v>
      </c>
      <c r="B64" s="935">
        <v>96</v>
      </c>
      <c r="C64" s="36" t="s">
        <v>2023</v>
      </c>
      <c r="D64" s="1132"/>
      <c r="E64" s="1132"/>
      <c r="F64" s="809">
        <f t="shared" si="0"/>
        <v>184.89578277825811</v>
      </c>
      <c r="G64" s="809">
        <f t="shared" si="1"/>
        <v>1</v>
      </c>
      <c r="H64" s="809">
        <f t="shared" si="2"/>
        <v>2.5252766180478901</v>
      </c>
      <c r="I64" s="903">
        <f t="shared" si="7"/>
        <v>0</v>
      </c>
      <c r="J64" s="799">
        <f t="shared" si="8"/>
        <v>0</v>
      </c>
      <c r="L64" s="1451">
        <v>0</v>
      </c>
      <c r="M64" s="1132">
        <v>0</v>
      </c>
      <c r="N64" s="1195" t="s">
        <v>2921</v>
      </c>
      <c r="O64" s="1196" t="str">
        <f>IFERROR(VLOOKUP(P64,constant_ag_extr!$D$7:$E$594,2,FALSE),"")</f>
        <v>Fonio</v>
      </c>
      <c r="P64" s="1197">
        <f t="shared" si="5"/>
        <v>94</v>
      </c>
      <c r="Q64" s="1444">
        <f t="shared" si="6"/>
        <v>67.897824675324671</v>
      </c>
    </row>
    <row r="65" spans="1:17" ht="12">
      <c r="A65" s="143" t="s">
        <v>4581</v>
      </c>
      <c r="B65" s="935">
        <v>97</v>
      </c>
      <c r="C65" s="36" t="s">
        <v>4582</v>
      </c>
      <c r="D65" s="1132">
        <v>13608</v>
      </c>
      <c r="E65" s="1132">
        <v>27</v>
      </c>
      <c r="F65" s="809">
        <f t="shared" si="0"/>
        <v>2.7231473712508003</v>
      </c>
      <c r="G65" s="809">
        <f t="shared" si="1"/>
        <v>1</v>
      </c>
      <c r="H65" s="809">
        <f t="shared" si="2"/>
        <v>2.5252766180478901</v>
      </c>
      <c r="I65" s="903">
        <f t="shared" si="7"/>
        <v>12619.208413465914</v>
      </c>
      <c r="J65" s="799">
        <f t="shared" si="8"/>
        <v>25.038111931479989</v>
      </c>
      <c r="L65" s="1451">
        <v>590177</v>
      </c>
      <c r="M65" s="1132">
        <v>719580</v>
      </c>
      <c r="N65" s="1195" t="s">
        <v>415</v>
      </c>
      <c r="O65" s="1196" t="str">
        <f>IFERROR(VLOOKUP(P65,constant_ag_extr!$D$7:$E$594,2,FALSE),"")</f>
        <v>Triticale</v>
      </c>
      <c r="P65" s="1197">
        <f t="shared" si="5"/>
        <v>97</v>
      </c>
      <c r="Q65" s="1444">
        <f t="shared" si="6"/>
        <v>1</v>
      </c>
    </row>
    <row r="66" spans="1:17" ht="12">
      <c r="A66" s="143" t="s">
        <v>7194</v>
      </c>
      <c r="B66" s="935">
        <v>99</v>
      </c>
      <c r="C66" s="36"/>
      <c r="D66" s="1132"/>
      <c r="E66" s="1132"/>
      <c r="F66" s="809">
        <f t="shared" si="0"/>
        <v>0</v>
      </c>
      <c r="G66" s="809">
        <f t="shared" si="1"/>
        <v>1</v>
      </c>
      <c r="H66" s="809">
        <f t="shared" si="2"/>
        <v>2.5252766180478901</v>
      </c>
      <c r="I66" s="37">
        <f t="shared" si="7"/>
        <v>0</v>
      </c>
      <c r="J66" s="799">
        <f t="shared" si="8"/>
        <v>0</v>
      </c>
      <c r="L66" s="1451"/>
      <c r="M66" s="1132"/>
      <c r="N66" s="1195"/>
      <c r="O66" s="1196">
        <f>IFERROR(VLOOKUP(P66,constant_ag_extr!$D$7:$E$594,2,FALSE),"")</f>
        <v>0</v>
      </c>
      <c r="P66" s="1197" t="str">
        <f t="shared" si="5"/>
        <v/>
      </c>
      <c r="Q66" s="1444" t="str">
        <f t="shared" si="6"/>
        <v/>
      </c>
    </row>
    <row r="67" spans="1:17" ht="12">
      <c r="A67" s="143" t="s">
        <v>5612</v>
      </c>
      <c r="B67" s="935">
        <v>101</v>
      </c>
      <c r="C67" s="36" t="s">
        <v>5613</v>
      </c>
      <c r="D67" s="1132">
        <v>11255</v>
      </c>
      <c r="E67" s="1132">
        <v>2163</v>
      </c>
      <c r="F67" s="809">
        <f t="shared" si="0"/>
        <v>1.071733228513426</v>
      </c>
      <c r="G67" s="809">
        <f t="shared" si="1"/>
        <v>1</v>
      </c>
      <c r="H67" s="809">
        <f t="shared" si="2"/>
        <v>2.5252766180478901</v>
      </c>
      <c r="I67" s="903">
        <f t="shared" si="7"/>
        <v>26519.648341548971</v>
      </c>
      <c r="J67" s="799">
        <f t="shared" si="8"/>
        <v>5096.5792414722728</v>
      </c>
      <c r="L67" s="1451">
        <v>223303</v>
      </c>
      <c r="M67" s="1132">
        <v>210688</v>
      </c>
      <c r="N67" s="1195" t="s">
        <v>415</v>
      </c>
      <c r="O67" s="1196" t="str">
        <f>IFERROR(VLOOKUP(P67,constant_ag_extr!$D$7:$E$594,2,FALSE),"")</f>
        <v>Canary seed</v>
      </c>
      <c r="P67" s="1197">
        <f t="shared" si="5"/>
        <v>101</v>
      </c>
      <c r="Q67" s="1444">
        <f t="shared" si="6"/>
        <v>1</v>
      </c>
    </row>
    <row r="68" spans="1:17" ht="12">
      <c r="A68" s="143" t="s">
        <v>7275</v>
      </c>
      <c r="B68" s="935">
        <v>103</v>
      </c>
      <c r="C68" s="36" t="s">
        <v>795</v>
      </c>
      <c r="D68" s="1132"/>
      <c r="E68" s="1132"/>
      <c r="F68" s="809">
        <f t="shared" si="0"/>
        <v>2.7231473712508003</v>
      </c>
      <c r="G68" s="809">
        <f t="shared" si="1"/>
        <v>1</v>
      </c>
      <c r="H68" s="809">
        <f t="shared" si="2"/>
        <v>2.5252766180478901</v>
      </c>
      <c r="I68" s="903">
        <f t="shared" si="7"/>
        <v>0</v>
      </c>
      <c r="J68" s="799">
        <f t="shared" si="8"/>
        <v>0</v>
      </c>
      <c r="L68" s="1451">
        <v>16</v>
      </c>
      <c r="M68" s="1132">
        <v>69</v>
      </c>
      <c r="N68" s="1195" t="s">
        <v>415</v>
      </c>
      <c r="O68" s="1196" t="str">
        <f>IFERROR(VLOOKUP(P68,constant_ag_extr!$D$7:$E$594,2,FALSE),"")</f>
        <v>Mixed grain</v>
      </c>
      <c r="P68" s="1197">
        <f t="shared" si="5"/>
        <v>103</v>
      </c>
      <c r="Q68" s="1444">
        <f t="shared" si="6"/>
        <v>1</v>
      </c>
    </row>
    <row r="69" spans="1:17" ht="12">
      <c r="A69" s="143" t="s">
        <v>7261</v>
      </c>
      <c r="B69" s="935">
        <v>104</v>
      </c>
      <c r="C69" s="36" t="s">
        <v>3397</v>
      </c>
      <c r="D69" s="1132"/>
      <c r="E69" s="1132"/>
      <c r="F69" s="809">
        <f t="shared" si="0"/>
        <v>2.5576886158524021</v>
      </c>
      <c r="G69" s="809">
        <f t="shared" si="1"/>
        <v>1</v>
      </c>
      <c r="H69" s="809">
        <f t="shared" si="2"/>
        <v>2.5252766180478901</v>
      </c>
      <c r="I69" s="903">
        <f t="shared" si="7"/>
        <v>0</v>
      </c>
      <c r="J69" s="799">
        <f t="shared" si="8"/>
        <v>0</v>
      </c>
      <c r="L69" s="1451">
        <v>70708</v>
      </c>
      <c r="M69" s="1132">
        <v>56991</v>
      </c>
      <c r="N69" s="1195" t="s">
        <v>2921</v>
      </c>
      <c r="O69" s="1196" t="str">
        <f>IFERROR(VLOOKUP(P69,constant_ag_extr!$D$7:$E$594,2,FALSE),"")</f>
        <v>Mixed grain</v>
      </c>
      <c r="P69" s="1197">
        <f t="shared" si="5"/>
        <v>103</v>
      </c>
      <c r="Q69" s="1444">
        <f t="shared" si="6"/>
        <v>0.93923988207718645</v>
      </c>
    </row>
    <row r="70" spans="1:17" ht="12">
      <c r="A70" s="143" t="s">
        <v>3395</v>
      </c>
      <c r="B70" s="935">
        <v>105</v>
      </c>
      <c r="C70" s="36" t="s">
        <v>2023</v>
      </c>
      <c r="D70" s="1132"/>
      <c r="E70" s="1132"/>
      <c r="F70" s="809">
        <f t="shared" si="0"/>
        <v>5.2144674865664875</v>
      </c>
      <c r="G70" s="809">
        <f t="shared" si="1"/>
        <v>1</v>
      </c>
      <c r="H70" s="809">
        <f t="shared" si="2"/>
        <v>2.5252766180478901</v>
      </c>
      <c r="I70" s="903">
        <f t="shared" si="7"/>
        <v>0</v>
      </c>
      <c r="J70" s="799">
        <f t="shared" si="8"/>
        <v>0</v>
      </c>
      <c r="L70" s="1451"/>
      <c r="M70" s="1132"/>
      <c r="N70" s="1195" t="s">
        <v>2921</v>
      </c>
      <c r="O70" s="1196" t="str">
        <f>IFERROR(VLOOKUP(P70,constant_ag_extr!$D$7:$E$594,2,FALSE),"")</f>
        <v>Mixed grain</v>
      </c>
      <c r="P70" s="1197">
        <f t="shared" si="5"/>
        <v>103</v>
      </c>
      <c r="Q70" s="1444">
        <f t="shared" si="6"/>
        <v>1.9148678994083856</v>
      </c>
    </row>
    <row r="71" spans="1:17" ht="12">
      <c r="A71" s="143" t="s">
        <v>1940</v>
      </c>
      <c r="B71" s="935">
        <v>108</v>
      </c>
      <c r="C71" s="36" t="s">
        <v>3191</v>
      </c>
      <c r="D71" s="1132"/>
      <c r="E71" s="1132"/>
      <c r="F71" s="809">
        <f t="shared" ref="F71:F134" si="9">IFERROR(VLOOKUP(P71,crop_efp,4,FALSE)*Q71,0)</f>
        <v>2.7231473712508003</v>
      </c>
      <c r="G71" s="809">
        <f t="shared" ref="G71:G134" si="10">VLOOKUP("Crop Land",iyf,2,FALSE)</f>
        <v>1</v>
      </c>
      <c r="H71" s="809">
        <f t="shared" ref="H71:H134" si="11">VLOOKUP("Crop Land",eqf,2,FALSE)</f>
        <v>2.5252766180478901</v>
      </c>
      <c r="I71" s="903">
        <f t="shared" si="7"/>
        <v>0</v>
      </c>
      <c r="J71" s="799">
        <f t="shared" si="8"/>
        <v>0</v>
      </c>
      <c r="L71" s="1451"/>
      <c r="M71" s="1132"/>
      <c r="N71" s="1195" t="s">
        <v>415</v>
      </c>
      <c r="O71" s="1196" t="str">
        <f>IFERROR(VLOOKUP(P71,constant_ag_extr!$D$7:$E$594,2,FALSE),"")</f>
        <v>Cereals, nes</v>
      </c>
      <c r="P71" s="1197">
        <f t="shared" ref="P71:P134" si="12">IFERROR(VLOOKUP(B71,constant_ag_extr,3,FALSE),"")</f>
        <v>108</v>
      </c>
      <c r="Q71" s="1444">
        <f t="shared" ref="Q71:Q134" si="13">IFERROR(VLOOKUP(B71,constant_ag_extr,14,FALSE),"")</f>
        <v>1</v>
      </c>
    </row>
    <row r="72" spans="1:17" ht="12">
      <c r="A72" s="143" t="s">
        <v>2786</v>
      </c>
      <c r="B72" s="935">
        <v>109</v>
      </c>
      <c r="C72" s="36" t="s">
        <v>2787</v>
      </c>
      <c r="D72" s="1132">
        <v>1656</v>
      </c>
      <c r="E72" s="1132">
        <v>36842</v>
      </c>
      <c r="F72" s="809">
        <f t="shared" si="9"/>
        <v>0</v>
      </c>
      <c r="G72" s="809">
        <f t="shared" si="10"/>
        <v>1</v>
      </c>
      <c r="H72" s="809">
        <f t="shared" si="11"/>
        <v>2.5252766180478901</v>
      </c>
      <c r="I72" s="903">
        <f t="shared" si="7"/>
        <v>0</v>
      </c>
      <c r="J72" s="799">
        <f t="shared" si="8"/>
        <v>0</v>
      </c>
      <c r="L72" s="1451">
        <v>1130500</v>
      </c>
      <c r="M72" s="1132">
        <v>1052530</v>
      </c>
      <c r="N72" s="1195" t="s">
        <v>2921</v>
      </c>
      <c r="O72" s="1196">
        <f>IFERROR(VLOOKUP(P72,constant_ag_extr!$D$7:$E$594,2,FALSE),"")</f>
        <v>0</v>
      </c>
      <c r="P72" s="1197" t="str">
        <f t="shared" si="12"/>
        <v/>
      </c>
      <c r="Q72" s="1444">
        <f t="shared" si="13"/>
        <v>1</v>
      </c>
    </row>
    <row r="73" spans="1:17" ht="12">
      <c r="A73" s="143" t="s">
        <v>3682</v>
      </c>
      <c r="B73" s="935">
        <v>110</v>
      </c>
      <c r="C73" s="36" t="s">
        <v>3683</v>
      </c>
      <c r="D73" s="1132">
        <v>87792</v>
      </c>
      <c r="E73" s="1132">
        <v>37881</v>
      </c>
      <c r="F73" s="809">
        <f t="shared" si="9"/>
        <v>2.5576886158524021</v>
      </c>
      <c r="G73" s="809">
        <f t="shared" si="10"/>
        <v>1</v>
      </c>
      <c r="H73" s="809">
        <f t="shared" si="11"/>
        <v>2.5252766180478901</v>
      </c>
      <c r="I73" s="903">
        <f t="shared" si="7"/>
        <v>86679.466561168781</v>
      </c>
      <c r="J73" s="799">
        <f t="shared" si="8"/>
        <v>37400.957636272491</v>
      </c>
      <c r="L73" s="1451">
        <v>1152120</v>
      </c>
      <c r="M73" s="1132">
        <v>1283670</v>
      </c>
      <c r="N73" s="1195" t="s">
        <v>2921</v>
      </c>
      <c r="O73" s="1196" t="str">
        <f>IFERROR(VLOOKUP(P73,constant_ag_extr!$D$7:$E$594,2,FALSE),"")</f>
        <v>Mixed grain</v>
      </c>
      <c r="P73" s="1197">
        <f t="shared" si="12"/>
        <v>103</v>
      </c>
      <c r="Q73" s="1444">
        <f t="shared" si="13"/>
        <v>0.93923988207718645</v>
      </c>
    </row>
    <row r="74" spans="1:17" ht="12">
      <c r="A74" s="143" t="s">
        <v>7258</v>
      </c>
      <c r="B74" s="935">
        <v>111</v>
      </c>
      <c r="C74" s="36" t="s">
        <v>3397</v>
      </c>
      <c r="D74" s="1132">
        <v>192349</v>
      </c>
      <c r="E74" s="1132">
        <v>39965</v>
      </c>
      <c r="F74" s="809">
        <f t="shared" si="9"/>
        <v>2.5271554148595405</v>
      </c>
      <c r="G74" s="809">
        <f t="shared" si="10"/>
        <v>1</v>
      </c>
      <c r="H74" s="809">
        <f t="shared" si="11"/>
        <v>2.5252766180478901</v>
      </c>
      <c r="I74" s="903">
        <f t="shared" si="7"/>
        <v>192205.99942085109</v>
      </c>
      <c r="J74" s="799">
        <f t="shared" si="8"/>
        <v>39935.288287718235</v>
      </c>
      <c r="L74" s="1451">
        <v>627260</v>
      </c>
      <c r="M74" s="1132">
        <v>608605</v>
      </c>
      <c r="N74" s="1195" t="s">
        <v>2921</v>
      </c>
      <c r="O74" s="1196" t="str">
        <f>IFERROR(VLOOKUP(P74,constant_ag_extr!$D$7:$E$594,2,FALSE),"")</f>
        <v>Cereals, nes</v>
      </c>
      <c r="P74" s="1197">
        <f t="shared" si="12"/>
        <v>108</v>
      </c>
      <c r="Q74" s="1444">
        <f t="shared" si="13"/>
        <v>0.92802741472591088</v>
      </c>
    </row>
    <row r="75" spans="1:17" ht="12">
      <c r="A75" s="143" t="s">
        <v>3393</v>
      </c>
      <c r="B75" s="935">
        <v>112</v>
      </c>
      <c r="C75" s="36" t="s">
        <v>2023</v>
      </c>
      <c r="D75" s="1132"/>
      <c r="E75" s="1132"/>
      <c r="F75" s="809">
        <f t="shared" si="9"/>
        <v>7.2133814397750644</v>
      </c>
      <c r="G75" s="809">
        <f t="shared" si="10"/>
        <v>1</v>
      </c>
      <c r="H75" s="809">
        <f t="shared" si="11"/>
        <v>2.5252766180478901</v>
      </c>
      <c r="I75" s="903">
        <f t="shared" si="7"/>
        <v>0</v>
      </c>
      <c r="J75" s="799">
        <f t="shared" si="8"/>
        <v>0</v>
      </c>
      <c r="L75" s="1451"/>
      <c r="M75" s="1132"/>
      <c r="N75" s="1195" t="s">
        <v>2921</v>
      </c>
      <c r="O75" s="1196" t="str">
        <f>IFERROR(VLOOKUP(P75,constant_ag_extr!$D$7:$E$594,2,FALSE),"")</f>
        <v>Cereals, nes</v>
      </c>
      <c r="P75" s="1197">
        <f t="shared" si="12"/>
        <v>108</v>
      </c>
      <c r="Q75" s="1444">
        <f t="shared" si="13"/>
        <v>2.6489133551599902</v>
      </c>
    </row>
    <row r="76" spans="1:17" ht="12">
      <c r="A76" s="143" t="s">
        <v>276</v>
      </c>
      <c r="B76" s="935">
        <v>113</v>
      </c>
      <c r="C76" s="36" t="s">
        <v>3190</v>
      </c>
      <c r="D76" s="1132">
        <v>25572</v>
      </c>
      <c r="E76" s="1132">
        <v>130783</v>
      </c>
      <c r="F76" s="809">
        <f t="shared" si="9"/>
        <v>2.3146752655631802</v>
      </c>
      <c r="G76" s="809">
        <f t="shared" si="10"/>
        <v>1</v>
      </c>
      <c r="H76" s="809">
        <f t="shared" si="11"/>
        <v>2.5252766180478901</v>
      </c>
      <c r="I76" s="903">
        <f t="shared" si="7"/>
        <v>27898.675307703979</v>
      </c>
      <c r="J76" s="799">
        <f t="shared" si="8"/>
        <v>142682.32648081688</v>
      </c>
      <c r="L76" s="1451">
        <v>1042820</v>
      </c>
      <c r="M76" s="1132">
        <v>1128590</v>
      </c>
      <c r="N76" s="1195" t="s">
        <v>2921</v>
      </c>
      <c r="O76" s="1196" t="str">
        <f>IFERROR(VLOOKUP(P76,constant_ag_extr!$D$7:$E$594,2,FALSE),"")</f>
        <v>Cereals, nes</v>
      </c>
      <c r="P76" s="1197">
        <f t="shared" si="12"/>
        <v>108</v>
      </c>
      <c r="Q76" s="1444">
        <f t="shared" si="13"/>
        <v>0.85</v>
      </c>
    </row>
    <row r="77" spans="1:17" ht="12">
      <c r="A77" s="143" t="s">
        <v>256</v>
      </c>
      <c r="B77" s="935">
        <v>114</v>
      </c>
      <c r="C77" s="36" t="s">
        <v>257</v>
      </c>
      <c r="D77" s="1132">
        <v>158203</v>
      </c>
      <c r="E77" s="1132">
        <v>316956</v>
      </c>
      <c r="F77" s="809">
        <f t="shared" si="9"/>
        <v>0</v>
      </c>
      <c r="G77" s="809">
        <f t="shared" si="10"/>
        <v>1</v>
      </c>
      <c r="H77" s="809">
        <f t="shared" si="11"/>
        <v>2.5252766180478901</v>
      </c>
      <c r="I77" s="37">
        <f t="shared" si="7"/>
        <v>0</v>
      </c>
      <c r="J77" s="799">
        <f t="shared" si="8"/>
        <v>0</v>
      </c>
      <c r="L77" s="1451">
        <v>1477620</v>
      </c>
      <c r="M77" s="1132">
        <v>1751120</v>
      </c>
      <c r="N77" s="1195" t="s">
        <v>2921</v>
      </c>
      <c r="O77" s="1196">
        <f>IFERROR(VLOOKUP(P77,constant_ag_extr!$D$7:$E$594,2,FALSE),"")</f>
        <v>0</v>
      </c>
      <c r="P77" s="1197" t="str">
        <f t="shared" si="12"/>
        <v/>
      </c>
      <c r="Q77" s="1444">
        <f t="shared" si="13"/>
        <v>1</v>
      </c>
    </row>
    <row r="78" spans="1:17" ht="12">
      <c r="A78" s="143" t="s">
        <v>7267</v>
      </c>
      <c r="B78" s="935">
        <v>115</v>
      </c>
      <c r="C78" s="36" t="s">
        <v>4151</v>
      </c>
      <c r="D78" s="1132">
        <v>110515</v>
      </c>
      <c r="E78" s="1132">
        <v>219519</v>
      </c>
      <c r="F78" s="809">
        <f t="shared" si="9"/>
        <v>0</v>
      </c>
      <c r="G78" s="809">
        <f t="shared" si="10"/>
        <v>1</v>
      </c>
      <c r="H78" s="809">
        <f t="shared" si="11"/>
        <v>2.5252766180478901</v>
      </c>
      <c r="I78" s="903">
        <f t="shared" si="7"/>
        <v>0</v>
      </c>
      <c r="J78" s="799">
        <f t="shared" si="8"/>
        <v>0</v>
      </c>
      <c r="L78" s="1451">
        <v>2190310</v>
      </c>
      <c r="M78" s="1132">
        <v>2658710</v>
      </c>
      <c r="N78" s="1195" t="s">
        <v>2921</v>
      </c>
      <c r="O78" s="1196">
        <f>IFERROR(VLOOKUP(P78,constant_ag_extr!$D$7:$E$594,2,FALSE),"")</f>
        <v>0</v>
      </c>
      <c r="P78" s="1197" t="str">
        <f t="shared" si="12"/>
        <v/>
      </c>
      <c r="Q78" s="1444">
        <f t="shared" si="13"/>
        <v>1</v>
      </c>
    </row>
    <row r="79" spans="1:17" ht="12">
      <c r="A79" s="143" t="s">
        <v>3261</v>
      </c>
      <c r="B79" s="935">
        <v>116</v>
      </c>
      <c r="C79" s="36" t="s">
        <v>2081</v>
      </c>
      <c r="D79" s="1132">
        <v>390746</v>
      </c>
      <c r="E79" s="1132">
        <v>477169</v>
      </c>
      <c r="F79" s="809">
        <f t="shared" si="9"/>
        <v>19.368094585077234</v>
      </c>
      <c r="G79" s="809">
        <f t="shared" si="10"/>
        <v>1</v>
      </c>
      <c r="H79" s="809">
        <f t="shared" si="11"/>
        <v>2.5252766180478901</v>
      </c>
      <c r="I79" s="903">
        <f t="shared" si="7"/>
        <v>50946.763661305515</v>
      </c>
      <c r="J79" s="799">
        <f t="shared" si="8"/>
        <v>62214.881968085385</v>
      </c>
      <c r="L79" s="1451">
        <v>13026100</v>
      </c>
      <c r="M79" s="1132">
        <v>12218300</v>
      </c>
      <c r="N79" s="1195" t="s">
        <v>415</v>
      </c>
      <c r="O79" s="1196" t="str">
        <f>IFERROR(VLOOKUP(P79,constant_ag_extr!$D$7:$E$594,2,FALSE),"")</f>
        <v>Potatoes</v>
      </c>
      <c r="P79" s="1197">
        <f t="shared" si="12"/>
        <v>116</v>
      </c>
      <c r="Q79" s="1444">
        <f t="shared" si="13"/>
        <v>1</v>
      </c>
    </row>
    <row r="80" spans="1:17" ht="12">
      <c r="A80" s="143" t="s">
        <v>7263</v>
      </c>
      <c r="B80" s="935">
        <v>117</v>
      </c>
      <c r="C80" s="36" t="s">
        <v>3818</v>
      </c>
      <c r="D80" s="1132">
        <v>32178</v>
      </c>
      <c r="E80" s="1132">
        <v>74892</v>
      </c>
      <c r="F80" s="809">
        <f t="shared" si="9"/>
        <v>3.8736189170154471</v>
      </c>
      <c r="G80" s="809">
        <f t="shared" si="10"/>
        <v>1</v>
      </c>
      <c r="H80" s="809">
        <f t="shared" si="11"/>
        <v>2.5252766180478901</v>
      </c>
      <c r="I80" s="903">
        <f t="shared" si="7"/>
        <v>20977.373550765569</v>
      </c>
      <c r="J80" s="799">
        <f t="shared" si="8"/>
        <v>48823.340790724556</v>
      </c>
      <c r="L80" s="1451">
        <v>460963</v>
      </c>
      <c r="M80" s="1132">
        <v>417491</v>
      </c>
      <c r="N80" s="1195" t="s">
        <v>2921</v>
      </c>
      <c r="O80" s="1196" t="str">
        <f>IFERROR(VLOOKUP(P80,constant_ag_extr!$D$7:$E$594,2,FALSE),"")</f>
        <v>Potatoes</v>
      </c>
      <c r="P80" s="1197">
        <f t="shared" si="12"/>
        <v>116</v>
      </c>
      <c r="Q80" s="1444">
        <f t="shared" si="13"/>
        <v>0.2</v>
      </c>
    </row>
    <row r="81" spans="1:17" ht="12">
      <c r="A81" s="143" t="s">
        <v>7319</v>
      </c>
      <c r="B81" s="935">
        <v>118</v>
      </c>
      <c r="C81" s="36" t="s">
        <v>1870</v>
      </c>
      <c r="D81" s="1132">
        <v>796831</v>
      </c>
      <c r="E81" s="1132">
        <v>954191</v>
      </c>
      <c r="F81" s="809">
        <f t="shared" si="9"/>
        <v>21.553555969158701</v>
      </c>
      <c r="G81" s="809">
        <f t="shared" si="10"/>
        <v>1</v>
      </c>
      <c r="H81" s="809">
        <f t="shared" si="11"/>
        <v>2.5252766180478901</v>
      </c>
      <c r="I81" s="903">
        <f t="shared" si="7"/>
        <v>93359.012114522149</v>
      </c>
      <c r="J81" s="799">
        <f t="shared" si="8"/>
        <v>111795.76237441566</v>
      </c>
      <c r="L81" s="1451">
        <v>6213050</v>
      </c>
      <c r="M81" s="1132">
        <v>6323150</v>
      </c>
      <c r="N81" s="1195" t="s">
        <v>2921</v>
      </c>
      <c r="O81" s="1196" t="str">
        <f>IFERROR(VLOOKUP(P81,constant_ag_extr!$D$7:$E$594,2,FALSE),"")</f>
        <v>Potatoes</v>
      </c>
      <c r="P81" s="1197">
        <f t="shared" si="12"/>
        <v>116</v>
      </c>
      <c r="Q81" s="1444">
        <f t="shared" si="13"/>
        <v>1.1128382234236571</v>
      </c>
    </row>
    <row r="82" spans="1:17" ht="12">
      <c r="A82" s="143" t="s">
        <v>2079</v>
      </c>
      <c r="B82" s="935">
        <v>120</v>
      </c>
      <c r="C82" s="36" t="s">
        <v>2080</v>
      </c>
      <c r="D82" s="1132"/>
      <c r="E82" s="1132"/>
      <c r="F82" s="809">
        <f t="shared" si="9"/>
        <v>21.102034904495817</v>
      </c>
      <c r="G82" s="809">
        <f t="shared" si="10"/>
        <v>1</v>
      </c>
      <c r="H82" s="809">
        <f t="shared" si="11"/>
        <v>2.5252766180478901</v>
      </c>
      <c r="I82" s="903">
        <f t="shared" si="7"/>
        <v>0</v>
      </c>
      <c r="J82" s="799">
        <f t="shared" si="8"/>
        <v>0</v>
      </c>
      <c r="L82" s="1451">
        <v>0</v>
      </c>
      <c r="M82" s="1132">
        <v>0</v>
      </c>
      <c r="N82" s="1195" t="s">
        <v>2921</v>
      </c>
      <c r="O82" s="1196" t="str">
        <f>IFERROR(VLOOKUP(P82,constant_ag_extr!$D$7:$E$594,2,FALSE),"")</f>
        <v>Potatoes</v>
      </c>
      <c r="P82" s="1197">
        <f t="shared" si="12"/>
        <v>116</v>
      </c>
      <c r="Q82" s="1444">
        <f t="shared" si="13"/>
        <v>1.0895256015919372</v>
      </c>
    </row>
    <row r="83" spans="1:17" ht="12">
      <c r="A83" s="143" t="s">
        <v>4808</v>
      </c>
      <c r="B83" s="935">
        <v>121</v>
      </c>
      <c r="C83" s="36" t="s">
        <v>4809</v>
      </c>
      <c r="D83" s="1132"/>
      <c r="E83" s="1132"/>
      <c r="F83" s="809">
        <f t="shared" si="9"/>
        <v>3.8736189170154471</v>
      </c>
      <c r="G83" s="809">
        <f t="shared" si="10"/>
        <v>1</v>
      </c>
      <c r="H83" s="809">
        <f t="shared" si="11"/>
        <v>2.5252766180478901</v>
      </c>
      <c r="I83" s="903">
        <f t="shared" si="7"/>
        <v>0</v>
      </c>
      <c r="J83" s="799">
        <f t="shared" si="8"/>
        <v>0</v>
      </c>
      <c r="L83" s="1451"/>
      <c r="M83" s="1132"/>
      <c r="N83" s="1195" t="s">
        <v>2921</v>
      </c>
      <c r="O83" s="1196" t="str">
        <f>IFERROR(VLOOKUP(P83,constant_ag_extr!$D$7:$E$594,2,FALSE),"")</f>
        <v>Potatoes</v>
      </c>
      <c r="P83" s="1197">
        <f t="shared" si="12"/>
        <v>116</v>
      </c>
      <c r="Q83" s="1444">
        <f t="shared" si="13"/>
        <v>0.2</v>
      </c>
    </row>
    <row r="84" spans="1:17" ht="12">
      <c r="A84" s="143" t="s">
        <v>3917</v>
      </c>
      <c r="B84" s="935">
        <v>122</v>
      </c>
      <c r="C84" s="36" t="s">
        <v>3693</v>
      </c>
      <c r="D84" s="1132">
        <v>15220</v>
      </c>
      <c r="E84" s="1132">
        <v>128231</v>
      </c>
      <c r="F84" s="809">
        <f t="shared" si="9"/>
        <v>12.690258466741154</v>
      </c>
      <c r="G84" s="809">
        <f t="shared" si="10"/>
        <v>1</v>
      </c>
      <c r="H84" s="809">
        <f t="shared" si="11"/>
        <v>2.5252766180478901</v>
      </c>
      <c r="I84" s="903">
        <f t="shared" si="7"/>
        <v>3028.6782753416119</v>
      </c>
      <c r="J84" s="799">
        <f t="shared" si="8"/>
        <v>25517.111953044037</v>
      </c>
      <c r="L84" s="1451">
        <v>303549</v>
      </c>
      <c r="M84" s="1132">
        <v>256988</v>
      </c>
      <c r="N84" s="1195" t="s">
        <v>415</v>
      </c>
      <c r="O84" s="1196" t="str">
        <f>IFERROR(VLOOKUP(P84,constant_ag_extr!$D$7:$E$594,2,FALSE),"")</f>
        <v>Sweet potatoes</v>
      </c>
      <c r="P84" s="1197">
        <f t="shared" si="12"/>
        <v>122</v>
      </c>
      <c r="Q84" s="1444">
        <f t="shared" si="13"/>
        <v>1</v>
      </c>
    </row>
    <row r="85" spans="1:17" ht="12">
      <c r="A85" s="143" t="s">
        <v>4664</v>
      </c>
      <c r="B85" s="935">
        <v>125</v>
      </c>
      <c r="C85" s="36" t="s">
        <v>5481</v>
      </c>
      <c r="D85" s="1132"/>
      <c r="E85" s="1132"/>
      <c r="F85" s="809">
        <f t="shared" si="9"/>
        <v>10.916940120483599</v>
      </c>
      <c r="G85" s="809">
        <f t="shared" si="10"/>
        <v>1</v>
      </c>
      <c r="H85" s="809">
        <f t="shared" si="11"/>
        <v>2.5252766180478901</v>
      </c>
      <c r="I85" s="903">
        <f t="shared" si="7"/>
        <v>0</v>
      </c>
      <c r="J85" s="799">
        <f t="shared" si="8"/>
        <v>0</v>
      </c>
      <c r="L85" s="1451">
        <v>0</v>
      </c>
      <c r="M85" s="1132">
        <v>0</v>
      </c>
      <c r="N85" s="1195" t="s">
        <v>415</v>
      </c>
      <c r="O85" s="1196" t="str">
        <f>IFERROR(VLOOKUP(P85,constant_ag_extr!$D$7:$E$594,2,FALSE),"")</f>
        <v>Cassava</v>
      </c>
      <c r="P85" s="1197">
        <f t="shared" si="12"/>
        <v>125</v>
      </c>
      <c r="Q85" s="1444">
        <f t="shared" si="13"/>
        <v>1</v>
      </c>
    </row>
    <row r="86" spans="1:17" ht="12">
      <c r="A86" s="143" t="s">
        <v>2270</v>
      </c>
      <c r="B86" s="935">
        <v>126</v>
      </c>
      <c r="C86" s="36" t="s">
        <v>2271</v>
      </c>
      <c r="D86" s="1132"/>
      <c r="E86" s="1132"/>
      <c r="F86" s="809">
        <f t="shared" si="9"/>
        <v>3.2750820361450796</v>
      </c>
      <c r="G86" s="809">
        <f t="shared" si="10"/>
        <v>1</v>
      </c>
      <c r="H86" s="809">
        <f t="shared" si="11"/>
        <v>2.5252766180478901</v>
      </c>
      <c r="I86" s="903">
        <f t="shared" si="7"/>
        <v>0</v>
      </c>
      <c r="J86" s="799">
        <f t="shared" si="8"/>
        <v>0</v>
      </c>
      <c r="L86" s="1451"/>
      <c r="M86" s="1132"/>
      <c r="N86" s="1195" t="s">
        <v>2921</v>
      </c>
      <c r="O86" s="1196" t="str">
        <f>IFERROR(VLOOKUP(P86,constant_ag_extr!$D$7:$E$594,2,FALSE),"")</f>
        <v>Cassava</v>
      </c>
      <c r="P86" s="1197">
        <f t="shared" si="12"/>
        <v>125</v>
      </c>
      <c r="Q86" s="1444">
        <f t="shared" si="13"/>
        <v>0.3</v>
      </c>
    </row>
    <row r="87" spans="1:17" ht="12">
      <c r="A87" s="143" t="s">
        <v>4806</v>
      </c>
      <c r="B87" s="935">
        <v>127</v>
      </c>
      <c r="C87" s="36" t="s">
        <v>4807</v>
      </c>
      <c r="D87" s="1132"/>
      <c r="E87" s="1132"/>
      <c r="F87" s="809">
        <f t="shared" si="9"/>
        <v>2.1833880240967196</v>
      </c>
      <c r="G87" s="809">
        <f t="shared" si="10"/>
        <v>1</v>
      </c>
      <c r="H87" s="809">
        <f t="shared" si="11"/>
        <v>2.5252766180478901</v>
      </c>
      <c r="I87" s="903">
        <f t="shared" ref="I87:I150" si="14">IFERROR((D87/F87)*H87*G87,0)</f>
        <v>0</v>
      </c>
      <c r="J87" s="799">
        <f t="shared" ref="J87:J150" si="15">IFERROR((E87/F87)*H87*G87,0)</f>
        <v>0</v>
      </c>
      <c r="L87" s="1451"/>
      <c r="M87" s="1132"/>
      <c r="N87" s="1195" t="s">
        <v>2921</v>
      </c>
      <c r="O87" s="1196" t="str">
        <f>IFERROR(VLOOKUP(P87,constant_ag_extr!$D$7:$E$594,2,FALSE),"")</f>
        <v>Cassava</v>
      </c>
      <c r="P87" s="1197">
        <f t="shared" si="12"/>
        <v>125</v>
      </c>
      <c r="Q87" s="1444">
        <f t="shared" si="13"/>
        <v>0.2</v>
      </c>
    </row>
    <row r="88" spans="1:17" ht="12">
      <c r="A88" s="143" t="s">
        <v>4505</v>
      </c>
      <c r="B88" s="935">
        <v>128</v>
      </c>
      <c r="C88" s="36" t="s">
        <v>4506</v>
      </c>
      <c r="D88" s="1132">
        <v>93382</v>
      </c>
      <c r="E88" s="1132">
        <v>1175</v>
      </c>
      <c r="F88" s="809">
        <f t="shared" si="9"/>
        <v>3.8209290421692592</v>
      </c>
      <c r="G88" s="809">
        <f t="shared" si="10"/>
        <v>1</v>
      </c>
      <c r="H88" s="809">
        <f t="shared" si="11"/>
        <v>2.5252766180478901</v>
      </c>
      <c r="I88" s="37">
        <f t="shared" si="14"/>
        <v>61716.765358371689</v>
      </c>
      <c r="J88" s="799">
        <f t="shared" si="15"/>
        <v>776.56506924339521</v>
      </c>
      <c r="L88" s="1451">
        <v>8687070</v>
      </c>
      <c r="M88" s="1132">
        <v>7843380</v>
      </c>
      <c r="N88" s="1195" t="s">
        <v>2921</v>
      </c>
      <c r="O88" s="1196" t="str">
        <f>IFERROR(VLOOKUP(P88,constant_ag_extr!$D$7:$E$594,2,FALSE),"")</f>
        <v>Cassava</v>
      </c>
      <c r="P88" s="1197">
        <f t="shared" si="12"/>
        <v>125</v>
      </c>
      <c r="Q88" s="1444">
        <f t="shared" si="13"/>
        <v>0.35</v>
      </c>
    </row>
    <row r="89" spans="1:17" ht="12">
      <c r="A89" s="143" t="s">
        <v>7323</v>
      </c>
      <c r="B89" s="935">
        <v>129</v>
      </c>
      <c r="C89" s="36" t="s">
        <v>4508</v>
      </c>
      <c r="D89" s="1132">
        <v>62631</v>
      </c>
      <c r="E89" s="1132">
        <v>1323</v>
      </c>
      <c r="F89" s="809">
        <f t="shared" si="9"/>
        <v>2.7292350301208996</v>
      </c>
      <c r="G89" s="809">
        <f t="shared" si="10"/>
        <v>1</v>
      </c>
      <c r="H89" s="809">
        <f t="shared" si="11"/>
        <v>2.5252766180478901</v>
      </c>
      <c r="I89" s="37">
        <f t="shared" si="14"/>
        <v>57950.523908507508</v>
      </c>
      <c r="J89" s="799">
        <f t="shared" si="15"/>
        <v>1224.1309117043545</v>
      </c>
      <c r="L89" s="1451">
        <v>2705390</v>
      </c>
      <c r="M89" s="1132">
        <v>2957880</v>
      </c>
      <c r="N89" s="1195" t="s">
        <v>2921</v>
      </c>
      <c r="O89" s="1196" t="str">
        <f>IFERROR(VLOOKUP(P89,constant_ag_extr!$D$7:$E$594,2,FALSE),"")</f>
        <v>Cassava</v>
      </c>
      <c r="P89" s="1197">
        <f t="shared" si="12"/>
        <v>125</v>
      </c>
      <c r="Q89" s="1444">
        <f t="shared" si="13"/>
        <v>0.25</v>
      </c>
    </row>
    <row r="90" spans="1:17" ht="12">
      <c r="A90" s="143" t="s">
        <v>3934</v>
      </c>
      <c r="B90" s="935">
        <v>135</v>
      </c>
      <c r="C90" s="36" t="s">
        <v>545</v>
      </c>
      <c r="D90" s="1132"/>
      <c r="E90" s="1132"/>
      <c r="F90" s="937">
        <f t="shared" si="9"/>
        <v>9.7329759315193023</v>
      </c>
      <c r="G90" s="809">
        <f t="shared" si="10"/>
        <v>1</v>
      </c>
      <c r="H90" s="809">
        <f t="shared" si="11"/>
        <v>2.5252766180478901</v>
      </c>
      <c r="I90" s="903">
        <f t="shared" si="14"/>
        <v>0</v>
      </c>
      <c r="J90" s="799">
        <f t="shared" si="15"/>
        <v>0</v>
      </c>
      <c r="L90" s="1451"/>
      <c r="M90" s="1132"/>
      <c r="N90" s="1195" t="s">
        <v>415</v>
      </c>
      <c r="O90" s="1196" t="str">
        <f>IFERROR(VLOOKUP(P90,constant_ag_extr!$D$7:$E$594,2,FALSE),"")</f>
        <v>Yautia (cocoyam)</v>
      </c>
      <c r="P90" s="1197">
        <f t="shared" si="12"/>
        <v>135</v>
      </c>
      <c r="Q90" s="1444">
        <f t="shared" si="13"/>
        <v>1</v>
      </c>
    </row>
    <row r="91" spans="1:17" ht="12">
      <c r="A91" s="143" t="s">
        <v>741</v>
      </c>
      <c r="B91" s="935">
        <v>136</v>
      </c>
      <c r="C91" s="36" t="s">
        <v>4577</v>
      </c>
      <c r="D91" s="1132"/>
      <c r="E91" s="1132"/>
      <c r="F91" s="809">
        <f t="shared" si="9"/>
        <v>6.207707920355948</v>
      </c>
      <c r="G91" s="809">
        <f t="shared" si="10"/>
        <v>1</v>
      </c>
      <c r="H91" s="809">
        <f t="shared" si="11"/>
        <v>2.5252766180478901</v>
      </c>
      <c r="I91" s="903">
        <f t="shared" si="14"/>
        <v>0</v>
      </c>
      <c r="J91" s="799">
        <f t="shared" si="15"/>
        <v>0</v>
      </c>
      <c r="L91" s="1451"/>
      <c r="M91" s="1132"/>
      <c r="N91" s="1195" t="s">
        <v>415</v>
      </c>
      <c r="O91" s="1196" t="str">
        <f>IFERROR(VLOOKUP(P91,constant_ag_extr!$D$7:$E$594,2,FALSE),"")</f>
        <v>Taro (cocoyam)</v>
      </c>
      <c r="P91" s="1197">
        <f t="shared" si="12"/>
        <v>136</v>
      </c>
      <c r="Q91" s="1444">
        <f t="shared" si="13"/>
        <v>1</v>
      </c>
    </row>
    <row r="92" spans="1:17" ht="12">
      <c r="A92" s="143" t="s">
        <v>1217</v>
      </c>
      <c r="B92" s="935">
        <v>137</v>
      </c>
      <c r="C92" s="36" t="s">
        <v>1218</v>
      </c>
      <c r="D92" s="1132"/>
      <c r="E92" s="1132"/>
      <c r="F92" s="809">
        <f t="shared" si="9"/>
        <v>7.9037566097049385</v>
      </c>
      <c r="G92" s="809">
        <f t="shared" si="10"/>
        <v>1</v>
      </c>
      <c r="H92" s="809">
        <f t="shared" si="11"/>
        <v>2.5252766180478901</v>
      </c>
      <c r="I92" s="903">
        <f t="shared" si="14"/>
        <v>0</v>
      </c>
      <c r="J92" s="799">
        <f t="shared" si="15"/>
        <v>0</v>
      </c>
      <c r="L92" s="1451"/>
      <c r="M92" s="1132"/>
      <c r="N92" s="1195" t="s">
        <v>415</v>
      </c>
      <c r="O92" s="1196" t="str">
        <f>IFERROR(VLOOKUP(P92,constant_ag_extr!$D$7:$E$594,2,FALSE),"")</f>
        <v>Yams</v>
      </c>
      <c r="P92" s="1197">
        <f t="shared" si="12"/>
        <v>137</v>
      </c>
      <c r="Q92" s="1444">
        <f t="shared" si="13"/>
        <v>1</v>
      </c>
    </row>
    <row r="93" spans="1:17" ht="12">
      <c r="A93" s="143" t="s">
        <v>672</v>
      </c>
      <c r="B93" s="935">
        <v>149</v>
      </c>
      <c r="C93" s="36" t="s">
        <v>5567</v>
      </c>
      <c r="D93" s="1132">
        <v>53244</v>
      </c>
      <c r="E93" s="1132">
        <v>1283</v>
      </c>
      <c r="F93" s="809">
        <f t="shared" si="9"/>
        <v>7.5719741612125357</v>
      </c>
      <c r="G93" s="809">
        <f t="shared" si="10"/>
        <v>1</v>
      </c>
      <c r="H93" s="809">
        <f t="shared" si="11"/>
        <v>2.5252766180478901</v>
      </c>
      <c r="I93" s="903">
        <f t="shared" si="14"/>
        <v>17757.037384001163</v>
      </c>
      <c r="J93" s="799">
        <f t="shared" si="15"/>
        <v>427.88443700085446</v>
      </c>
      <c r="L93" s="1451">
        <v>148880</v>
      </c>
      <c r="M93" s="1132">
        <v>161957</v>
      </c>
      <c r="N93" s="1195" t="s">
        <v>415</v>
      </c>
      <c r="O93" s="1196" t="str">
        <f>IFERROR(VLOOKUP(P93,constant_ag_extr!$D$7:$E$594,2,FALSE),"")</f>
        <v>Roots and Tubers, nes</v>
      </c>
      <c r="P93" s="1197">
        <f t="shared" si="12"/>
        <v>149</v>
      </c>
      <c r="Q93" s="1444">
        <f t="shared" si="13"/>
        <v>1</v>
      </c>
    </row>
    <row r="94" spans="1:17" ht="12">
      <c r="A94" s="143" t="s">
        <v>7265</v>
      </c>
      <c r="B94" s="935">
        <v>150</v>
      </c>
      <c r="C94" s="36" t="s">
        <v>590</v>
      </c>
      <c r="D94" s="1132">
        <v>52135</v>
      </c>
      <c r="E94" s="1132">
        <v>2356</v>
      </c>
      <c r="F94" s="809">
        <f t="shared" si="9"/>
        <v>2.4332439828798256</v>
      </c>
      <c r="G94" s="809">
        <f t="shared" si="10"/>
        <v>1</v>
      </c>
      <c r="H94" s="809">
        <f t="shared" si="11"/>
        <v>2.5252766180478901</v>
      </c>
      <c r="I94" s="903">
        <f t="shared" si="14"/>
        <v>54106.903133531356</v>
      </c>
      <c r="J94" s="799">
        <f t="shared" si="15"/>
        <v>2445.1110344797139</v>
      </c>
      <c r="L94" s="1451">
        <v>87388</v>
      </c>
      <c r="M94" s="1132">
        <v>37377</v>
      </c>
      <c r="N94" s="1195" t="s">
        <v>2921</v>
      </c>
      <c r="O94" s="1196" t="str">
        <f>IFERROR(VLOOKUP(P94,constant_ag_extr!$D$7:$E$594,2,FALSE),"")</f>
        <v>Yautia (cocoyam)</v>
      </c>
      <c r="P94" s="1197">
        <f t="shared" si="12"/>
        <v>135</v>
      </c>
      <c r="Q94" s="1444">
        <f t="shared" si="13"/>
        <v>0.25</v>
      </c>
    </row>
    <row r="95" spans="1:17" ht="12">
      <c r="A95" s="143" t="s">
        <v>671</v>
      </c>
      <c r="B95" s="935">
        <v>151</v>
      </c>
      <c r="C95" s="36" t="s">
        <v>3410</v>
      </c>
      <c r="D95" s="1132"/>
      <c r="E95" s="1132"/>
      <c r="F95" s="809">
        <f t="shared" si="9"/>
        <v>2.9198927794557905</v>
      </c>
      <c r="G95" s="809">
        <f t="shared" si="10"/>
        <v>1</v>
      </c>
      <c r="H95" s="809">
        <f t="shared" si="11"/>
        <v>2.5252766180478901</v>
      </c>
      <c r="I95" s="903">
        <f t="shared" si="14"/>
        <v>0</v>
      </c>
      <c r="J95" s="799">
        <f t="shared" si="15"/>
        <v>0</v>
      </c>
      <c r="L95" s="1451"/>
      <c r="M95" s="1132"/>
      <c r="N95" s="1195" t="s">
        <v>2921</v>
      </c>
      <c r="O95" s="1196" t="str">
        <f>IFERROR(VLOOKUP(P95,constant_ag_extr!$D$7:$E$594,2,FALSE),"")</f>
        <v>Yautia (cocoyam)</v>
      </c>
      <c r="P95" s="1197">
        <f t="shared" si="12"/>
        <v>135</v>
      </c>
      <c r="Q95" s="1444">
        <f t="shared" si="13"/>
        <v>0.3</v>
      </c>
    </row>
    <row r="96" spans="1:17" ht="12">
      <c r="A96" s="143" t="s">
        <v>1060</v>
      </c>
      <c r="B96" s="935">
        <v>156</v>
      </c>
      <c r="C96" s="36" t="s">
        <v>1061</v>
      </c>
      <c r="D96" s="1132"/>
      <c r="E96" s="1132"/>
      <c r="F96" s="809">
        <f t="shared" si="9"/>
        <v>70.137040297510566</v>
      </c>
      <c r="G96" s="809">
        <f t="shared" si="10"/>
        <v>1</v>
      </c>
      <c r="H96" s="809">
        <f t="shared" si="11"/>
        <v>2.5252766180478901</v>
      </c>
      <c r="I96" s="903">
        <f t="shared" si="14"/>
        <v>0</v>
      </c>
      <c r="J96" s="799">
        <f t="shared" si="15"/>
        <v>0</v>
      </c>
      <c r="L96" s="1451"/>
      <c r="M96" s="1132"/>
      <c r="N96" s="1195" t="s">
        <v>415</v>
      </c>
      <c r="O96" s="1196" t="str">
        <f>IFERROR(VLOOKUP(P96,constant_ag_extr!$D$7:$E$594,2,FALSE),"")</f>
        <v>Sugar cane</v>
      </c>
      <c r="P96" s="1197">
        <f t="shared" si="12"/>
        <v>156</v>
      </c>
      <c r="Q96" s="1444">
        <f t="shared" si="13"/>
        <v>1</v>
      </c>
    </row>
    <row r="97" spans="1:17" ht="12">
      <c r="A97" s="143" t="s">
        <v>1059</v>
      </c>
      <c r="B97" s="935">
        <v>157</v>
      </c>
      <c r="C97" s="36" t="s">
        <v>3687</v>
      </c>
      <c r="D97" s="1132">
        <v>63245</v>
      </c>
      <c r="E97" s="1132">
        <v>4979</v>
      </c>
      <c r="F97" s="809">
        <f t="shared" si="9"/>
        <v>56.419011328590358</v>
      </c>
      <c r="G97" s="809">
        <f t="shared" si="10"/>
        <v>1</v>
      </c>
      <c r="H97" s="809">
        <f t="shared" si="11"/>
        <v>2.5252766180478901</v>
      </c>
      <c r="I97" s="903">
        <f t="shared" si="14"/>
        <v>2830.8032336522906</v>
      </c>
      <c r="J97" s="799">
        <f t="shared" si="15"/>
        <v>222.85665744888536</v>
      </c>
      <c r="L97" s="1451">
        <v>796758</v>
      </c>
      <c r="M97" s="1132">
        <v>598665</v>
      </c>
      <c r="N97" s="1195" t="s">
        <v>415</v>
      </c>
      <c r="O97" s="1196" t="str">
        <f>IFERROR(VLOOKUP(P97,constant_ag_extr!$D$7:$E$594,2,FALSE),"")</f>
        <v>Sugar beet</v>
      </c>
      <c r="P97" s="1197">
        <f t="shared" si="12"/>
        <v>157</v>
      </c>
      <c r="Q97" s="1444">
        <f t="shared" si="13"/>
        <v>1</v>
      </c>
    </row>
    <row r="98" spans="1:17" ht="12">
      <c r="A98" s="143" t="s">
        <v>2204</v>
      </c>
      <c r="B98" s="935">
        <v>160</v>
      </c>
      <c r="C98" s="36" t="s">
        <v>2205</v>
      </c>
      <c r="D98" s="1132">
        <v>24020</v>
      </c>
      <c r="E98" s="1132">
        <v>5537</v>
      </c>
      <c r="F98" s="809">
        <f t="shared" si="9"/>
        <v>0</v>
      </c>
      <c r="G98" s="809">
        <f t="shared" si="10"/>
        <v>1</v>
      </c>
      <c r="H98" s="809">
        <f t="shared" si="11"/>
        <v>2.5252766180478901</v>
      </c>
      <c r="I98" s="903">
        <f t="shared" si="14"/>
        <v>0</v>
      </c>
      <c r="J98" s="799">
        <f t="shared" si="15"/>
        <v>0</v>
      </c>
      <c r="L98" s="1451">
        <v>48300</v>
      </c>
      <c r="M98" s="1132">
        <v>45099</v>
      </c>
      <c r="N98" s="1195" t="s">
        <v>415</v>
      </c>
      <c r="O98" s="1196">
        <f>IFERROR(VLOOKUP(P98,constant_ag_extr!$D$7:$E$594,2,FALSE),"")</f>
        <v>0</v>
      </c>
      <c r="P98" s="1197" t="str">
        <f t="shared" si="12"/>
        <v/>
      </c>
      <c r="Q98" s="1444">
        <f t="shared" si="13"/>
        <v>1</v>
      </c>
    </row>
    <row r="99" spans="1:17" ht="12">
      <c r="A99" s="143" t="s">
        <v>679</v>
      </c>
      <c r="B99" s="935">
        <v>161</v>
      </c>
      <c r="C99" s="36" t="s">
        <v>1062</v>
      </c>
      <c r="D99" s="1132"/>
      <c r="E99" s="1132"/>
      <c r="F99" s="809">
        <f t="shared" si="9"/>
        <v>7.5622977983120085</v>
      </c>
      <c r="G99" s="809">
        <f t="shared" si="10"/>
        <v>1</v>
      </c>
      <c r="H99" s="809">
        <f t="shared" si="11"/>
        <v>2.5252766180478901</v>
      </c>
      <c r="I99" s="37">
        <f t="shared" si="14"/>
        <v>0</v>
      </c>
      <c r="J99" s="799">
        <f t="shared" si="15"/>
        <v>0</v>
      </c>
      <c r="L99" s="1451">
        <v>171</v>
      </c>
      <c r="M99" s="1132">
        <v>460</v>
      </c>
      <c r="N99" s="1195" t="s">
        <v>415</v>
      </c>
      <c r="O99" s="1196" t="str">
        <f>IFERROR(VLOOKUP(P99,constant_ag_extr!$D$7:$E$594,2,FALSE),"")</f>
        <v>Sugar crops, nes</v>
      </c>
      <c r="P99" s="1197">
        <f t="shared" si="12"/>
        <v>161</v>
      </c>
      <c r="Q99" s="1444">
        <f t="shared" si="13"/>
        <v>1</v>
      </c>
    </row>
    <row r="100" spans="1:17" ht="12">
      <c r="A100" s="143" t="s">
        <v>680</v>
      </c>
      <c r="B100" s="935">
        <v>162</v>
      </c>
      <c r="C100" s="36" t="s">
        <v>2153</v>
      </c>
      <c r="D100" s="1132">
        <v>1578910</v>
      </c>
      <c r="E100" s="1132">
        <v>40673</v>
      </c>
      <c r="F100" s="809">
        <f t="shared" si="9"/>
        <v>12.457752070133816</v>
      </c>
      <c r="G100" s="809">
        <f t="shared" si="10"/>
        <v>1</v>
      </c>
      <c r="H100" s="809">
        <f t="shared" si="11"/>
        <v>2.5252766180478901</v>
      </c>
      <c r="I100" s="903">
        <f t="shared" si="14"/>
        <v>320056.49835983332</v>
      </c>
      <c r="J100" s="799">
        <f t="shared" si="15"/>
        <v>8244.7118314466952</v>
      </c>
      <c r="L100" s="1451">
        <v>36238500</v>
      </c>
      <c r="M100" s="1132">
        <v>37255900</v>
      </c>
      <c r="N100" s="1195" t="s">
        <v>2921</v>
      </c>
      <c r="O100" s="1196" t="str">
        <f>IFERROR(VLOOKUP(P100,constant_ag_extr!$D$7:$E$594,2,FALSE),"")</f>
        <v>Sugar cane</v>
      </c>
      <c r="P100" s="1197">
        <f t="shared" si="12"/>
        <v>156</v>
      </c>
      <c r="Q100" s="1444">
        <f t="shared" si="13"/>
        <v>0.17762015644358448</v>
      </c>
    </row>
    <row r="101" spans="1:17" ht="12">
      <c r="A101" s="143" t="s">
        <v>7324</v>
      </c>
      <c r="B101" s="935">
        <v>163</v>
      </c>
      <c r="C101" s="36" t="s">
        <v>3689</v>
      </c>
      <c r="D101" s="1132"/>
      <c r="E101" s="1132"/>
      <c r="F101" s="809">
        <f t="shared" si="9"/>
        <v>6.3123336267759509</v>
      </c>
      <c r="G101" s="809">
        <f t="shared" si="10"/>
        <v>1</v>
      </c>
      <c r="H101" s="809">
        <f t="shared" si="11"/>
        <v>2.5252766180478901</v>
      </c>
      <c r="I101" s="903">
        <f t="shared" si="14"/>
        <v>0</v>
      </c>
      <c r="J101" s="799">
        <f t="shared" si="15"/>
        <v>0</v>
      </c>
      <c r="L101" s="1451">
        <v>34</v>
      </c>
      <c r="M101" s="1132">
        <v>3</v>
      </c>
      <c r="N101" s="1195" t="s">
        <v>2921</v>
      </c>
      <c r="O101" s="1196" t="str">
        <f>IFERROR(VLOOKUP(P101,constant_ag_extr!$D$7:$E$594,2,FALSE),"")</f>
        <v>Sugar cane</v>
      </c>
      <c r="P101" s="1197">
        <f t="shared" si="12"/>
        <v>156</v>
      </c>
      <c r="Q101" s="1444">
        <f t="shared" si="13"/>
        <v>0.09</v>
      </c>
    </row>
    <row r="102" spans="1:17" ht="12">
      <c r="A102" s="143" t="s">
        <v>681</v>
      </c>
      <c r="B102" s="935">
        <v>164</v>
      </c>
      <c r="C102" s="36" t="s">
        <v>2154</v>
      </c>
      <c r="D102" s="1132">
        <v>1339980</v>
      </c>
      <c r="E102" s="1132">
        <v>212896</v>
      </c>
      <c r="F102" s="809">
        <f t="shared" si="9"/>
        <v>11.647998185575119</v>
      </c>
      <c r="G102" s="809">
        <f t="shared" si="10"/>
        <v>1</v>
      </c>
      <c r="H102" s="809">
        <f t="shared" si="11"/>
        <v>2.5252766180478901</v>
      </c>
      <c r="I102" s="903">
        <f t="shared" si="14"/>
        <v>290506.58394180855</v>
      </c>
      <c r="J102" s="799">
        <f t="shared" si="15"/>
        <v>46155.681200372594</v>
      </c>
      <c r="L102" s="1451">
        <v>22226700</v>
      </c>
      <c r="M102" s="1132">
        <v>24758400</v>
      </c>
      <c r="N102" s="1195" t="s">
        <v>2921</v>
      </c>
      <c r="O102" s="1196" t="str">
        <f>IFERROR(VLOOKUP(P102,constant_ag_extr!$D$7:$E$594,2,FALSE),"")</f>
        <v>Sugar cane</v>
      </c>
      <c r="P102" s="1197">
        <f t="shared" si="12"/>
        <v>156</v>
      </c>
      <c r="Q102" s="1444">
        <f t="shared" si="13"/>
        <v>0.1660748462747515</v>
      </c>
    </row>
    <row r="103" spans="1:17" ht="12">
      <c r="A103" s="143" t="s">
        <v>783</v>
      </c>
      <c r="B103" s="935">
        <v>165</v>
      </c>
      <c r="C103" s="36" t="s">
        <v>258</v>
      </c>
      <c r="D103" s="1132">
        <v>1044480</v>
      </c>
      <c r="E103" s="1132">
        <v>175012</v>
      </c>
      <c r="F103" s="809">
        <f t="shared" si="9"/>
        <v>50.144527828232711</v>
      </c>
      <c r="G103" s="809">
        <f t="shared" si="10"/>
        <v>1</v>
      </c>
      <c r="H103" s="809">
        <f t="shared" si="11"/>
        <v>2.5252766180478901</v>
      </c>
      <c r="I103" s="903">
        <f t="shared" si="14"/>
        <v>52599.975236652244</v>
      </c>
      <c r="J103" s="799">
        <f t="shared" si="15"/>
        <v>8813.5980259238895</v>
      </c>
      <c r="L103" s="1451">
        <v>6922860</v>
      </c>
      <c r="M103" s="1132">
        <v>6859320</v>
      </c>
      <c r="N103" s="1195" t="s">
        <v>2921</v>
      </c>
      <c r="O103" s="1196" t="str">
        <f>IFERROR(VLOOKUP(P103,constant_ag_extr!$D$7:$E$594,2,FALSE),"")</f>
        <v>Sugar cane</v>
      </c>
      <c r="P103" s="1197">
        <f t="shared" si="12"/>
        <v>156</v>
      </c>
      <c r="Q103" s="1444">
        <f t="shared" si="13"/>
        <v>0.71495072525911152</v>
      </c>
    </row>
    <row r="104" spans="1:17" ht="12">
      <c r="A104" s="143" t="s">
        <v>7269</v>
      </c>
      <c r="B104" s="935">
        <v>166</v>
      </c>
      <c r="C104" s="36" t="s">
        <v>5209</v>
      </c>
      <c r="D104" s="1132">
        <v>94084</v>
      </c>
      <c r="E104" s="1132">
        <v>1322030</v>
      </c>
      <c r="F104" s="809">
        <f t="shared" si="9"/>
        <v>3.8832203593876899</v>
      </c>
      <c r="G104" s="809">
        <f t="shared" si="10"/>
        <v>1</v>
      </c>
      <c r="H104" s="809">
        <f t="shared" si="11"/>
        <v>2.5252766180478901</v>
      </c>
      <c r="I104" s="903">
        <f t="shared" si="14"/>
        <v>61183.271445836988</v>
      </c>
      <c r="J104" s="799">
        <f t="shared" si="15"/>
        <v>859722.37946451979</v>
      </c>
      <c r="L104" s="1451">
        <v>1824260</v>
      </c>
      <c r="M104" s="1132">
        <v>1930700</v>
      </c>
      <c r="N104" s="1195" t="s">
        <v>2921</v>
      </c>
      <c r="O104" s="1196" t="str">
        <f>IFERROR(VLOOKUP(P104,constant_ag_extr!$D$7:$E$594,2,FALSE),"")</f>
        <v>Maize</v>
      </c>
      <c r="P104" s="1197">
        <f t="shared" si="12"/>
        <v>56</v>
      </c>
      <c r="Q104" s="1444">
        <f t="shared" si="13"/>
        <v>0.71664540645483255</v>
      </c>
    </row>
    <row r="105" spans="1:17" ht="12">
      <c r="A105" s="143" t="s">
        <v>3379</v>
      </c>
      <c r="B105" s="935">
        <v>167</v>
      </c>
      <c r="C105" s="36" t="s">
        <v>2153</v>
      </c>
      <c r="D105" s="1132">
        <v>84440</v>
      </c>
      <c r="E105" s="1132">
        <v>79352</v>
      </c>
      <c r="F105" s="809">
        <f t="shared" si="9"/>
        <v>7.715074432726162</v>
      </c>
      <c r="G105" s="809">
        <f t="shared" si="10"/>
        <v>1</v>
      </c>
      <c r="H105" s="809">
        <f t="shared" si="11"/>
        <v>2.5252766180478901</v>
      </c>
      <c r="I105" s="903">
        <f t="shared" si="14"/>
        <v>27638.664991157624</v>
      </c>
      <c r="J105" s="799">
        <f t="shared" si="15"/>
        <v>25973.275040008761</v>
      </c>
      <c r="L105" s="1451">
        <v>1365930</v>
      </c>
      <c r="M105" s="1132">
        <v>984643</v>
      </c>
      <c r="N105" s="1195" t="s">
        <v>2921</v>
      </c>
      <c r="O105" s="1196" t="str">
        <f>IFERROR(VLOOKUP(P105,constant_ag_extr!$D$7:$E$594,2,FALSE),"")</f>
        <v>Sugar cane</v>
      </c>
      <c r="P105" s="1197">
        <f t="shared" si="12"/>
        <v>156</v>
      </c>
      <c r="Q105" s="1444">
        <f t="shared" si="13"/>
        <v>0.11</v>
      </c>
    </row>
    <row r="106" spans="1:17" ht="12">
      <c r="A106" s="143" t="s">
        <v>4593</v>
      </c>
      <c r="B106" s="935">
        <v>168</v>
      </c>
      <c r="C106" s="36" t="s">
        <v>3618</v>
      </c>
      <c r="D106" s="1132">
        <v>556678</v>
      </c>
      <c r="E106" s="1132">
        <v>149821</v>
      </c>
      <c r="F106" s="809">
        <f t="shared" si="9"/>
        <v>11.647998185575119</v>
      </c>
      <c r="G106" s="809">
        <f t="shared" si="10"/>
        <v>1</v>
      </c>
      <c r="H106" s="809">
        <f t="shared" si="11"/>
        <v>2.5252766180478901</v>
      </c>
      <c r="I106" s="903">
        <f t="shared" si="14"/>
        <v>120687.34170327772</v>
      </c>
      <c r="J106" s="799">
        <f t="shared" si="15"/>
        <v>32481.072040437688</v>
      </c>
      <c r="L106" s="1451">
        <v>3225850</v>
      </c>
      <c r="M106" s="1132">
        <v>3360730</v>
      </c>
      <c r="N106" s="1195" t="s">
        <v>2921</v>
      </c>
      <c r="O106" s="1196" t="str">
        <f>IFERROR(VLOOKUP(P106,constant_ag_extr!$D$7:$E$594,2,FALSE),"")</f>
        <v>Sugar cane</v>
      </c>
      <c r="P106" s="1197">
        <f t="shared" si="12"/>
        <v>156</v>
      </c>
      <c r="Q106" s="1444">
        <f t="shared" si="13"/>
        <v>0.1660748462747515</v>
      </c>
    </row>
    <row r="107" spans="1:17" ht="12">
      <c r="A107" s="143" t="s">
        <v>3636</v>
      </c>
      <c r="B107" s="935">
        <v>169</v>
      </c>
      <c r="C107" s="36" t="s">
        <v>3637</v>
      </c>
      <c r="D107" s="1132">
        <v>9353</v>
      </c>
      <c r="E107" s="1132">
        <v>383982</v>
      </c>
      <c r="F107" s="809">
        <f t="shared" si="9"/>
        <v>3.9493307930013253</v>
      </c>
      <c r="G107" s="809">
        <f t="shared" si="10"/>
        <v>1</v>
      </c>
      <c r="H107" s="809">
        <f t="shared" si="11"/>
        <v>2.5252766180478901</v>
      </c>
      <c r="I107" s="903">
        <f t="shared" si="14"/>
        <v>5980.4846558959762</v>
      </c>
      <c r="J107" s="799">
        <f t="shared" si="15"/>
        <v>245525.33509464868</v>
      </c>
      <c r="L107" s="1451">
        <v>2918280</v>
      </c>
      <c r="M107" s="1132">
        <v>3069130</v>
      </c>
      <c r="N107" s="1195" t="s">
        <v>2921</v>
      </c>
      <c r="O107" s="1196" t="str">
        <f>IFERROR(VLOOKUP(P107,constant_ag_extr!$D$7:$E$594,2,FALSE),"")</f>
        <v>Sugar beet</v>
      </c>
      <c r="P107" s="1197">
        <f t="shared" si="12"/>
        <v>157</v>
      </c>
      <c r="Q107" s="1444">
        <f t="shared" si="13"/>
        <v>7.0000000000000007E-2</v>
      </c>
    </row>
    <row r="108" spans="1:17" ht="12">
      <c r="A108" s="143" t="s">
        <v>1472</v>
      </c>
      <c r="B108" s="935">
        <v>170</v>
      </c>
      <c r="C108" s="36" t="s">
        <v>1473</v>
      </c>
      <c r="D108" s="1132"/>
      <c r="E108" s="1132"/>
      <c r="F108" s="809">
        <f t="shared" si="9"/>
        <v>56.422705581426577</v>
      </c>
      <c r="G108" s="809">
        <f t="shared" si="10"/>
        <v>1</v>
      </c>
      <c r="H108" s="809">
        <f t="shared" si="11"/>
        <v>2.5252766180478901</v>
      </c>
      <c r="I108" s="903">
        <f t="shared" si="14"/>
        <v>0</v>
      </c>
      <c r="J108" s="799">
        <f t="shared" si="15"/>
        <v>0</v>
      </c>
      <c r="L108" s="1451"/>
      <c r="M108" s="1132"/>
      <c r="N108" s="1195" t="s">
        <v>2921</v>
      </c>
      <c r="O108" s="1196" t="str">
        <f>IFERROR(VLOOKUP(P108,constant_ag_extr!$D$7:$E$594,2,FALSE),"")</f>
        <v>Sugar cane</v>
      </c>
      <c r="P108" s="1197">
        <f t="shared" si="12"/>
        <v>156</v>
      </c>
      <c r="Q108" s="1444">
        <f t="shared" si="13"/>
        <v>0.80446373759272016</v>
      </c>
    </row>
    <row r="109" spans="1:17" ht="12">
      <c r="A109" s="143" t="s">
        <v>404</v>
      </c>
      <c r="B109" s="935">
        <v>172</v>
      </c>
      <c r="C109" s="36" t="s">
        <v>405</v>
      </c>
      <c r="D109" s="1132">
        <v>213219</v>
      </c>
      <c r="E109" s="1132">
        <v>698169</v>
      </c>
      <c r="F109" s="809">
        <f t="shared" si="9"/>
        <v>3.8832203593876899</v>
      </c>
      <c r="G109" s="809">
        <f t="shared" si="10"/>
        <v>1</v>
      </c>
      <c r="H109" s="809">
        <f t="shared" si="11"/>
        <v>2.5252766180478901</v>
      </c>
      <c r="I109" s="903">
        <f t="shared" si="14"/>
        <v>138657.32701001145</v>
      </c>
      <c r="J109" s="799">
        <f t="shared" si="15"/>
        <v>454022.6121558242</v>
      </c>
      <c r="L109" s="1451">
        <v>4918890</v>
      </c>
      <c r="M109" s="1132">
        <v>3432520</v>
      </c>
      <c r="N109" s="1195" t="s">
        <v>2921</v>
      </c>
      <c r="O109" s="1196" t="str">
        <f>IFERROR(VLOOKUP(P109,constant_ag_extr!$D$7:$E$594,2,FALSE),"")</f>
        <v>Maize</v>
      </c>
      <c r="P109" s="1197">
        <f t="shared" si="12"/>
        <v>56</v>
      </c>
      <c r="Q109" s="1444">
        <f t="shared" si="13"/>
        <v>0.71664540645483255</v>
      </c>
    </row>
    <row r="110" spans="1:17" ht="12">
      <c r="A110" s="143" t="s">
        <v>815</v>
      </c>
      <c r="B110" s="935">
        <v>175</v>
      </c>
      <c r="C110" s="36" t="s">
        <v>3401</v>
      </c>
      <c r="D110" s="1132"/>
      <c r="E110" s="1132"/>
      <c r="F110" s="809">
        <f t="shared" si="9"/>
        <v>3.8832203593876899</v>
      </c>
      <c r="G110" s="809">
        <f t="shared" si="10"/>
        <v>1</v>
      </c>
      <c r="H110" s="809">
        <f t="shared" si="11"/>
        <v>2.5252766180478901</v>
      </c>
      <c r="I110" s="903">
        <f t="shared" si="14"/>
        <v>0</v>
      </c>
      <c r="J110" s="799">
        <f t="shared" si="15"/>
        <v>0</v>
      </c>
      <c r="L110" s="1451"/>
      <c r="M110" s="1132"/>
      <c r="N110" s="1195" t="s">
        <v>2921</v>
      </c>
      <c r="O110" s="1196" t="str">
        <f>IFERROR(VLOOKUP(P110,constant_ag_extr!$D$7:$E$594,2,FALSE),"")</f>
        <v>Maize</v>
      </c>
      <c r="P110" s="1197">
        <f t="shared" si="12"/>
        <v>56</v>
      </c>
      <c r="Q110" s="1444">
        <f t="shared" si="13"/>
        <v>0.71664540645483255</v>
      </c>
    </row>
    <row r="111" spans="1:17" ht="12">
      <c r="A111" s="143" t="s">
        <v>2030</v>
      </c>
      <c r="B111" s="935">
        <v>176</v>
      </c>
      <c r="C111" s="36" t="s">
        <v>2031</v>
      </c>
      <c r="D111" s="1132">
        <v>135233</v>
      </c>
      <c r="E111" s="1132">
        <v>453247</v>
      </c>
      <c r="F111" s="809">
        <f t="shared" si="9"/>
        <v>0.8088828446611217</v>
      </c>
      <c r="G111" s="809">
        <f t="shared" si="10"/>
        <v>1</v>
      </c>
      <c r="H111" s="809">
        <f t="shared" si="11"/>
        <v>2.5252766180478901</v>
      </c>
      <c r="I111" s="903">
        <f t="shared" si="14"/>
        <v>422188.12667678803</v>
      </c>
      <c r="J111" s="799">
        <f t="shared" si="15"/>
        <v>1415005.9663830143</v>
      </c>
      <c r="L111" s="1451">
        <v>3483640</v>
      </c>
      <c r="M111" s="1132">
        <v>4014070</v>
      </c>
      <c r="N111" s="1195" t="s">
        <v>415</v>
      </c>
      <c r="O111" s="1196" t="str">
        <f>IFERROR(VLOOKUP(P111,constant_ag_extr!$D$7:$E$594,2,FALSE),"")</f>
        <v>Beans, dry</v>
      </c>
      <c r="P111" s="1197">
        <f t="shared" si="12"/>
        <v>176</v>
      </c>
      <c r="Q111" s="1444">
        <f t="shared" si="13"/>
        <v>1</v>
      </c>
    </row>
    <row r="112" spans="1:17" ht="12">
      <c r="A112" s="143" t="s">
        <v>3910</v>
      </c>
      <c r="B112" s="935">
        <v>181</v>
      </c>
      <c r="C112" s="36" t="s">
        <v>3911</v>
      </c>
      <c r="D112" s="1132">
        <v>2600</v>
      </c>
      <c r="E112" s="1132">
        <v>6654</v>
      </c>
      <c r="F112" s="809">
        <f t="shared" si="9"/>
        <v>1.7765112287225062</v>
      </c>
      <c r="G112" s="809">
        <f t="shared" si="10"/>
        <v>1</v>
      </c>
      <c r="H112" s="809">
        <f t="shared" si="11"/>
        <v>2.5252766180478901</v>
      </c>
      <c r="I112" s="903">
        <f t="shared" si="14"/>
        <v>3695.85010258896</v>
      </c>
      <c r="J112" s="799">
        <f t="shared" si="15"/>
        <v>9458.5333010103623</v>
      </c>
      <c r="L112" s="1451">
        <v>563258</v>
      </c>
      <c r="M112" s="1132">
        <v>737683</v>
      </c>
      <c r="N112" s="1195" t="s">
        <v>415</v>
      </c>
      <c r="O112" s="1196" t="str">
        <f>IFERROR(VLOOKUP(P112,constant_ag_extr!$D$7:$E$594,2,FALSE),"")</f>
        <v>Broad beans, horse beans, dry</v>
      </c>
      <c r="P112" s="1197">
        <f t="shared" si="12"/>
        <v>181</v>
      </c>
      <c r="Q112" s="1444">
        <f t="shared" si="13"/>
        <v>1</v>
      </c>
    </row>
    <row r="113" spans="1:17" ht="12">
      <c r="A113" s="143" t="s">
        <v>5265</v>
      </c>
      <c r="B113" s="935">
        <v>187</v>
      </c>
      <c r="C113" s="36" t="s">
        <v>5266</v>
      </c>
      <c r="D113" s="1132">
        <v>145586</v>
      </c>
      <c r="E113" s="1132">
        <v>441451</v>
      </c>
      <c r="F113" s="809">
        <f t="shared" si="9"/>
        <v>1.6890847526927009</v>
      </c>
      <c r="G113" s="809">
        <f t="shared" si="10"/>
        <v>1</v>
      </c>
      <c r="H113" s="809">
        <f t="shared" si="11"/>
        <v>2.5252766180478901</v>
      </c>
      <c r="I113" s="903">
        <f t="shared" si="14"/>
        <v>217659.25074454013</v>
      </c>
      <c r="J113" s="799">
        <f t="shared" si="15"/>
        <v>659994.05094190361</v>
      </c>
      <c r="L113" s="1451">
        <v>4312720</v>
      </c>
      <c r="M113" s="1132">
        <v>4635400</v>
      </c>
      <c r="N113" s="1195" t="s">
        <v>415</v>
      </c>
      <c r="O113" s="1196" t="str">
        <f>IFERROR(VLOOKUP(P113,constant_ag_extr!$D$7:$E$594,2,FALSE),"")</f>
        <v>Peas, dry</v>
      </c>
      <c r="P113" s="1197">
        <f t="shared" si="12"/>
        <v>187</v>
      </c>
      <c r="Q113" s="1444">
        <f t="shared" si="13"/>
        <v>1</v>
      </c>
    </row>
    <row r="114" spans="1:17" ht="12">
      <c r="A114" s="143" t="s">
        <v>2630</v>
      </c>
      <c r="B114" s="935">
        <v>191</v>
      </c>
      <c r="C114" s="36" t="s">
        <v>1650</v>
      </c>
      <c r="D114" s="1132">
        <v>26803</v>
      </c>
      <c r="E114" s="1132">
        <v>53670</v>
      </c>
      <c r="F114" s="809">
        <f t="shared" si="9"/>
        <v>0.96330913584344435</v>
      </c>
      <c r="G114" s="809">
        <f t="shared" si="10"/>
        <v>1</v>
      </c>
      <c r="H114" s="809">
        <f t="shared" si="11"/>
        <v>2.5252766180478901</v>
      </c>
      <c r="I114" s="903">
        <f t="shared" si="14"/>
        <v>70262.999358222281</v>
      </c>
      <c r="J114" s="799">
        <f t="shared" si="15"/>
        <v>140693.77217310714</v>
      </c>
      <c r="L114" s="1451">
        <v>1614120</v>
      </c>
      <c r="M114" s="1132">
        <v>1629920</v>
      </c>
      <c r="N114" s="1195" t="s">
        <v>415</v>
      </c>
      <c r="O114" s="1196" t="str">
        <f>IFERROR(VLOOKUP(P114,constant_ag_extr!$D$7:$E$594,2,FALSE),"")</f>
        <v>Chick peas</v>
      </c>
      <c r="P114" s="1197">
        <f t="shared" si="12"/>
        <v>191</v>
      </c>
      <c r="Q114" s="1444">
        <f t="shared" si="13"/>
        <v>1</v>
      </c>
    </row>
    <row r="115" spans="1:17" ht="12">
      <c r="A115" s="143" t="s">
        <v>1097</v>
      </c>
      <c r="B115" s="935">
        <v>195</v>
      </c>
      <c r="C115" s="36" t="s">
        <v>1098</v>
      </c>
      <c r="D115" s="1132"/>
      <c r="E115" s="1132"/>
      <c r="F115" s="809">
        <f t="shared" si="9"/>
        <v>0.66234757931702537</v>
      </c>
      <c r="G115" s="809">
        <f t="shared" si="10"/>
        <v>1</v>
      </c>
      <c r="H115" s="809">
        <f t="shared" si="11"/>
        <v>2.5252766180478901</v>
      </c>
      <c r="I115" s="903">
        <f t="shared" si="14"/>
        <v>0</v>
      </c>
      <c r="J115" s="799">
        <f t="shared" si="15"/>
        <v>0</v>
      </c>
      <c r="L115" s="1451"/>
      <c r="M115" s="1132"/>
      <c r="N115" s="1195" t="s">
        <v>415</v>
      </c>
      <c r="O115" s="1196" t="str">
        <f>IFERROR(VLOOKUP(P115,constant_ag_extr!$D$7:$E$594,2,FALSE),"")</f>
        <v>Cow peas, dry</v>
      </c>
      <c r="P115" s="1197">
        <f t="shared" si="12"/>
        <v>195</v>
      </c>
      <c r="Q115" s="1444">
        <f t="shared" si="13"/>
        <v>1</v>
      </c>
    </row>
    <row r="116" spans="1:17" ht="12">
      <c r="A116" s="143" t="s">
        <v>5273</v>
      </c>
      <c r="B116" s="935">
        <v>197</v>
      </c>
      <c r="C116" s="36" t="s">
        <v>5274</v>
      </c>
      <c r="D116" s="1132"/>
      <c r="E116" s="1132"/>
      <c r="F116" s="809">
        <f t="shared" si="9"/>
        <v>0.70924121769949811</v>
      </c>
      <c r="G116" s="809">
        <f t="shared" si="10"/>
        <v>1</v>
      </c>
      <c r="H116" s="809">
        <f t="shared" si="11"/>
        <v>2.5252766180478901</v>
      </c>
      <c r="I116" s="903">
        <f t="shared" si="14"/>
        <v>0</v>
      </c>
      <c r="J116" s="799">
        <f t="shared" si="15"/>
        <v>0</v>
      </c>
      <c r="L116" s="1451"/>
      <c r="M116" s="1132"/>
      <c r="N116" s="1195" t="s">
        <v>415</v>
      </c>
      <c r="O116" s="1196" t="str">
        <f>IFERROR(VLOOKUP(P116,constant_ag_extr!$D$7:$E$594,2,FALSE),"")</f>
        <v>Pigeon peas</v>
      </c>
      <c r="P116" s="1197">
        <f t="shared" si="12"/>
        <v>197</v>
      </c>
      <c r="Q116" s="1444">
        <f t="shared" si="13"/>
        <v>1</v>
      </c>
    </row>
    <row r="117" spans="1:17" ht="12">
      <c r="A117" s="143" t="s">
        <v>575</v>
      </c>
      <c r="B117" s="935">
        <v>201</v>
      </c>
      <c r="C117" s="36" t="s">
        <v>576</v>
      </c>
      <c r="D117" s="1132">
        <v>29857</v>
      </c>
      <c r="E117" s="1132">
        <v>210816</v>
      </c>
      <c r="F117" s="809">
        <f t="shared" si="9"/>
        <v>1.1745089728340548</v>
      </c>
      <c r="G117" s="809">
        <f t="shared" si="10"/>
        <v>1</v>
      </c>
      <c r="H117" s="809">
        <f t="shared" si="11"/>
        <v>2.5252766180478901</v>
      </c>
      <c r="I117" s="903">
        <f t="shared" si="14"/>
        <v>64194.642807304168</v>
      </c>
      <c r="J117" s="799">
        <f t="shared" si="15"/>
        <v>453269.17701258115</v>
      </c>
      <c r="L117" s="1451">
        <v>2508620</v>
      </c>
      <c r="M117" s="1132">
        <v>2664670</v>
      </c>
      <c r="N117" s="1195" t="s">
        <v>415</v>
      </c>
      <c r="O117" s="1196" t="str">
        <f>IFERROR(VLOOKUP(P117,constant_ag_extr!$D$7:$E$594,2,FALSE),"")</f>
        <v>Lentils</v>
      </c>
      <c r="P117" s="1197">
        <f t="shared" si="12"/>
        <v>201</v>
      </c>
      <c r="Q117" s="1444">
        <f t="shared" si="13"/>
        <v>1</v>
      </c>
    </row>
    <row r="118" spans="1:17" ht="12">
      <c r="A118" s="143" t="s">
        <v>624</v>
      </c>
      <c r="B118" s="935">
        <v>203</v>
      </c>
      <c r="C118" s="36" t="s">
        <v>625</v>
      </c>
      <c r="D118" s="1132">
        <v>40</v>
      </c>
      <c r="E118" s="1132">
        <v>67</v>
      </c>
      <c r="F118" s="809">
        <f t="shared" si="9"/>
        <v>0.81427112450200034</v>
      </c>
      <c r="G118" s="809">
        <f t="shared" si="10"/>
        <v>1</v>
      </c>
      <c r="H118" s="809">
        <f t="shared" si="11"/>
        <v>2.5252766180478901</v>
      </c>
      <c r="I118" s="903">
        <f t="shared" si="14"/>
        <v>124.05089862874962</v>
      </c>
      <c r="J118" s="799">
        <f t="shared" si="15"/>
        <v>207.7852552031556</v>
      </c>
      <c r="L118" s="1451">
        <v>750</v>
      </c>
      <c r="M118" s="1132">
        <v>1727</v>
      </c>
      <c r="N118" s="1195" t="s">
        <v>415</v>
      </c>
      <c r="O118" s="1196" t="str">
        <f>IFERROR(VLOOKUP(P118,constant_ag_extr!$D$7:$E$594,2,FALSE),"")</f>
        <v>Bambara beans</v>
      </c>
      <c r="P118" s="1197">
        <f t="shared" si="12"/>
        <v>203</v>
      </c>
      <c r="Q118" s="1444">
        <f t="shared" si="13"/>
        <v>1</v>
      </c>
    </row>
    <row r="119" spans="1:17" ht="12">
      <c r="A119" s="143" t="s">
        <v>1209</v>
      </c>
      <c r="B119" s="935">
        <v>205</v>
      </c>
      <c r="C119" s="36" t="s">
        <v>1210</v>
      </c>
      <c r="D119" s="1132"/>
      <c r="E119" s="1132"/>
      <c r="F119" s="809">
        <f t="shared" si="9"/>
        <v>1.6027019606859472</v>
      </c>
      <c r="G119" s="809">
        <f t="shared" si="10"/>
        <v>1</v>
      </c>
      <c r="H119" s="809">
        <f t="shared" si="11"/>
        <v>2.5252766180478901</v>
      </c>
      <c r="I119" s="903">
        <f t="shared" si="14"/>
        <v>0</v>
      </c>
      <c r="J119" s="799">
        <f t="shared" si="15"/>
        <v>0</v>
      </c>
      <c r="L119" s="1451">
        <v>0</v>
      </c>
      <c r="M119" s="1132">
        <v>0</v>
      </c>
      <c r="N119" s="1195" t="s">
        <v>415</v>
      </c>
      <c r="O119" s="1196" t="str">
        <f>IFERROR(VLOOKUP(P119,constant_ag_extr!$D$7:$E$594,2,FALSE),"")</f>
        <v>Vetches</v>
      </c>
      <c r="P119" s="1197">
        <f t="shared" si="12"/>
        <v>205</v>
      </c>
      <c r="Q119" s="1444">
        <f t="shared" si="13"/>
        <v>1</v>
      </c>
    </row>
    <row r="120" spans="1:17" ht="12">
      <c r="A120" s="143" t="s">
        <v>3258</v>
      </c>
      <c r="B120" s="935">
        <v>210</v>
      </c>
      <c r="C120" s="36" t="s">
        <v>3259</v>
      </c>
      <c r="D120" s="1132"/>
      <c r="E120" s="1132"/>
      <c r="F120" s="809">
        <f t="shared" si="9"/>
        <v>1.1806996411366035</v>
      </c>
      <c r="G120" s="809">
        <f t="shared" si="10"/>
        <v>1</v>
      </c>
      <c r="H120" s="809">
        <f t="shared" si="11"/>
        <v>2.5252766180478901</v>
      </c>
      <c r="I120" s="37">
        <f t="shared" si="14"/>
        <v>0</v>
      </c>
      <c r="J120" s="799">
        <f t="shared" si="15"/>
        <v>0</v>
      </c>
      <c r="L120" s="1451"/>
      <c r="M120" s="1132"/>
      <c r="N120" s="1195" t="s">
        <v>415</v>
      </c>
      <c r="O120" s="1196" t="str">
        <f>IFERROR(VLOOKUP(P120,constant_ag_extr!$D$7:$E$594,2,FALSE),"")</f>
        <v>Lupins</v>
      </c>
      <c r="P120" s="1197">
        <f t="shared" si="12"/>
        <v>210</v>
      </c>
      <c r="Q120" s="1444">
        <f t="shared" si="13"/>
        <v>1</v>
      </c>
    </row>
    <row r="121" spans="1:17" ht="12">
      <c r="A121" s="143" t="s">
        <v>102</v>
      </c>
      <c r="B121" s="935">
        <v>211</v>
      </c>
      <c r="C121" s="36" t="s">
        <v>482</v>
      </c>
      <c r="D121" s="1132"/>
      <c r="E121" s="1132"/>
      <c r="F121" s="809">
        <f t="shared" si="9"/>
        <v>0.80665726040824914</v>
      </c>
      <c r="G121" s="809">
        <f t="shared" si="10"/>
        <v>1</v>
      </c>
      <c r="H121" s="809">
        <f t="shared" si="11"/>
        <v>2.5252766180478901</v>
      </c>
      <c r="I121" s="903">
        <f t="shared" si="14"/>
        <v>0</v>
      </c>
      <c r="J121" s="799">
        <f t="shared" si="15"/>
        <v>0</v>
      </c>
      <c r="L121" s="1451"/>
      <c r="M121" s="1132"/>
      <c r="N121" s="1195" t="s">
        <v>415</v>
      </c>
      <c r="O121" s="1196" t="str">
        <f>IFERROR(VLOOKUP(P121,constant_ag_extr!$D$7:$E$594,2,FALSE),"")</f>
        <v>Pulses, nes</v>
      </c>
      <c r="P121" s="1197">
        <f t="shared" si="12"/>
        <v>211</v>
      </c>
      <c r="Q121" s="1444">
        <f t="shared" si="13"/>
        <v>1</v>
      </c>
    </row>
    <row r="122" spans="1:17" ht="12">
      <c r="A122" s="143" t="s">
        <v>7264</v>
      </c>
      <c r="B122" s="935">
        <v>212</v>
      </c>
      <c r="C122" s="36" t="s">
        <v>588</v>
      </c>
      <c r="D122" s="1132">
        <v>14990</v>
      </c>
      <c r="E122" s="1132">
        <v>5397</v>
      </c>
      <c r="F122" s="809">
        <f t="shared" si="9"/>
        <v>0.64517793965744119</v>
      </c>
      <c r="G122" s="809">
        <f t="shared" si="10"/>
        <v>1</v>
      </c>
      <c r="H122" s="809">
        <f t="shared" si="11"/>
        <v>2.5252766180478901</v>
      </c>
      <c r="I122" s="903">
        <f t="shared" si="14"/>
        <v>58672.0254642254</v>
      </c>
      <c r="J122" s="799">
        <f t="shared" si="15"/>
        <v>21124.277613770813</v>
      </c>
      <c r="L122" s="1451">
        <v>68005</v>
      </c>
      <c r="M122" s="1132">
        <v>63650</v>
      </c>
      <c r="N122" s="1195" t="s">
        <v>2921</v>
      </c>
      <c r="O122" s="1196" t="str">
        <f>IFERROR(VLOOKUP(P122,constant_ag_extr!$D$7:$E$594,2,FALSE),"")</f>
        <v>Beans, dry</v>
      </c>
      <c r="P122" s="1197">
        <f t="shared" si="12"/>
        <v>176</v>
      </c>
      <c r="Q122" s="1444">
        <f t="shared" si="13"/>
        <v>0.7976160502300379</v>
      </c>
    </row>
    <row r="123" spans="1:17" ht="12">
      <c r="A123" s="143" t="s">
        <v>2687</v>
      </c>
      <c r="B123" s="935">
        <v>213</v>
      </c>
      <c r="C123" s="36" t="s">
        <v>4087</v>
      </c>
      <c r="D123" s="1132"/>
      <c r="E123" s="1132"/>
      <c r="F123" s="809">
        <f t="shared" si="9"/>
        <v>1.9118587673736507</v>
      </c>
      <c r="G123" s="809">
        <f t="shared" si="10"/>
        <v>1</v>
      </c>
      <c r="H123" s="809">
        <f t="shared" si="11"/>
        <v>2.5252766180478901</v>
      </c>
      <c r="I123" s="903">
        <f t="shared" si="14"/>
        <v>0</v>
      </c>
      <c r="J123" s="799">
        <f t="shared" si="15"/>
        <v>0</v>
      </c>
      <c r="L123" s="1451"/>
      <c r="M123" s="1132"/>
      <c r="N123" s="1195" t="s">
        <v>2921</v>
      </c>
      <c r="O123" s="1196" t="str">
        <f>IFERROR(VLOOKUP(P123,constant_ag_extr!$D$7:$E$594,2,FALSE),"")</f>
        <v>Beans, dry</v>
      </c>
      <c r="P123" s="1197">
        <f t="shared" si="12"/>
        <v>176</v>
      </c>
      <c r="Q123" s="1444">
        <f t="shared" si="13"/>
        <v>2.3635793242402321</v>
      </c>
    </row>
    <row r="124" spans="1:17" ht="12">
      <c r="A124" s="143" t="s">
        <v>323</v>
      </c>
      <c r="B124" s="935">
        <v>216</v>
      </c>
      <c r="C124" s="36" t="s">
        <v>324</v>
      </c>
      <c r="D124" s="1132"/>
      <c r="E124" s="1132"/>
      <c r="F124" s="809">
        <f t="shared" si="9"/>
        <v>0.49163162600394195</v>
      </c>
      <c r="G124" s="809">
        <f t="shared" si="10"/>
        <v>1</v>
      </c>
      <c r="H124" s="809">
        <f t="shared" si="11"/>
        <v>2.5252766180478901</v>
      </c>
      <c r="I124" s="903">
        <f t="shared" si="14"/>
        <v>0</v>
      </c>
      <c r="J124" s="799">
        <f t="shared" si="15"/>
        <v>0</v>
      </c>
      <c r="L124" s="1451"/>
      <c r="M124" s="1132"/>
      <c r="N124" s="1195" t="s">
        <v>415</v>
      </c>
      <c r="O124" s="1196" t="str">
        <f>IFERROR(VLOOKUP(P124,constant_ag_extr!$D$7:$E$594,2,FALSE),"")</f>
        <v>Brazil nuts, with shell</v>
      </c>
      <c r="P124" s="1197">
        <f t="shared" si="12"/>
        <v>216</v>
      </c>
      <c r="Q124" s="1444">
        <f t="shared" si="13"/>
        <v>1</v>
      </c>
    </row>
    <row r="125" spans="1:17" ht="12">
      <c r="A125" s="143" t="s">
        <v>4661</v>
      </c>
      <c r="B125" s="935">
        <v>217</v>
      </c>
      <c r="C125" s="36" t="s">
        <v>5480</v>
      </c>
      <c r="D125" s="1132">
        <v>275</v>
      </c>
      <c r="E125" s="1132">
        <v>422</v>
      </c>
      <c r="F125" s="809">
        <f t="shared" si="9"/>
        <v>0.80715132795187461</v>
      </c>
      <c r="G125" s="809">
        <f t="shared" si="10"/>
        <v>1</v>
      </c>
      <c r="H125" s="809">
        <f t="shared" si="11"/>
        <v>2.5252766180478901</v>
      </c>
      <c r="I125" s="903">
        <f t="shared" si="14"/>
        <v>860.37282714422486</v>
      </c>
      <c r="J125" s="799">
        <f t="shared" si="15"/>
        <v>1320.2812111085923</v>
      </c>
      <c r="L125" s="1451">
        <v>1227510</v>
      </c>
      <c r="M125" s="1132">
        <v>1335750</v>
      </c>
      <c r="N125" s="1195" t="s">
        <v>415</v>
      </c>
      <c r="O125" s="1196" t="str">
        <f>IFERROR(VLOOKUP(P125,constant_ag_extr!$D$7:$E$594,2,FALSE),"")</f>
        <v>Cashew nuts, with shell</v>
      </c>
      <c r="P125" s="1197">
        <f t="shared" si="12"/>
        <v>217</v>
      </c>
      <c r="Q125" s="1444">
        <f t="shared" si="13"/>
        <v>1</v>
      </c>
    </row>
    <row r="126" spans="1:17" ht="12">
      <c r="A126" s="143" t="s">
        <v>7244</v>
      </c>
      <c r="B126" s="935">
        <v>220</v>
      </c>
      <c r="C126" s="36" t="s">
        <v>1420</v>
      </c>
      <c r="D126" s="1132">
        <v>4422</v>
      </c>
      <c r="E126" s="1132">
        <v>170</v>
      </c>
      <c r="F126" s="809">
        <f t="shared" si="9"/>
        <v>3.6042720147650722</v>
      </c>
      <c r="G126" s="809">
        <f t="shared" si="10"/>
        <v>1</v>
      </c>
      <c r="H126" s="809">
        <f t="shared" si="11"/>
        <v>2.5252766180478901</v>
      </c>
      <c r="I126" s="903">
        <f t="shared" si="14"/>
        <v>3098.204896651127</v>
      </c>
      <c r="J126" s="799">
        <f t="shared" si="15"/>
        <v>119.10783184773669</v>
      </c>
      <c r="L126" s="1451">
        <v>124397</v>
      </c>
      <c r="M126" s="1132">
        <v>125094</v>
      </c>
      <c r="N126" s="1195" t="s">
        <v>415</v>
      </c>
      <c r="O126" s="1196" t="str">
        <f>IFERROR(VLOOKUP(P126,constant_ag_extr!$D$7:$E$594,2,FALSE),"")</f>
        <v>Chestnuts</v>
      </c>
      <c r="P126" s="1197">
        <f t="shared" si="12"/>
        <v>220</v>
      </c>
      <c r="Q126" s="1444">
        <f t="shared" si="13"/>
        <v>1</v>
      </c>
    </row>
    <row r="127" spans="1:17" ht="12">
      <c r="A127" s="143" t="s">
        <v>2773</v>
      </c>
      <c r="B127" s="935">
        <v>221</v>
      </c>
      <c r="C127" s="36" t="s">
        <v>971</v>
      </c>
      <c r="D127" s="1132"/>
      <c r="E127" s="1132"/>
      <c r="F127" s="809">
        <f t="shared" si="9"/>
        <v>1.7680094184757278</v>
      </c>
      <c r="G127" s="809">
        <f t="shared" si="10"/>
        <v>1</v>
      </c>
      <c r="H127" s="809">
        <f t="shared" si="11"/>
        <v>2.5252766180478901</v>
      </c>
      <c r="I127" s="903">
        <f t="shared" si="14"/>
        <v>0</v>
      </c>
      <c r="J127" s="799">
        <f t="shared" si="15"/>
        <v>0</v>
      </c>
      <c r="L127" s="1451"/>
      <c r="M127" s="1132"/>
      <c r="N127" s="1195" t="s">
        <v>415</v>
      </c>
      <c r="O127" s="1196" t="str">
        <f>IFERROR(VLOOKUP(P127,constant_ag_extr!$D$7:$E$594,2,FALSE),"")</f>
        <v>Almonds, with shell</v>
      </c>
      <c r="P127" s="1197">
        <f t="shared" si="12"/>
        <v>221</v>
      </c>
      <c r="Q127" s="1444">
        <f t="shared" si="13"/>
        <v>1</v>
      </c>
    </row>
    <row r="128" spans="1:17" ht="12">
      <c r="A128" s="143" t="s">
        <v>1211</v>
      </c>
      <c r="B128" s="935">
        <v>222</v>
      </c>
      <c r="C128" s="36" t="s">
        <v>4195</v>
      </c>
      <c r="D128" s="1132">
        <v>1023</v>
      </c>
      <c r="E128" s="1132">
        <v>156335</v>
      </c>
      <c r="F128" s="809">
        <f t="shared" si="9"/>
        <v>3.4335704837376975</v>
      </c>
      <c r="G128" s="809">
        <f t="shared" si="10"/>
        <v>1</v>
      </c>
      <c r="H128" s="809">
        <f t="shared" si="11"/>
        <v>2.5252766180478901</v>
      </c>
      <c r="I128" s="903">
        <f t="shared" si="14"/>
        <v>752.38239392447645</v>
      </c>
      <c r="J128" s="799">
        <f t="shared" si="15"/>
        <v>114979.180404871</v>
      </c>
      <c r="L128" s="1451">
        <v>253306</v>
      </c>
      <c r="M128" s="1132">
        <v>298061</v>
      </c>
      <c r="N128" s="1195" t="s">
        <v>415</v>
      </c>
      <c r="O128" s="1196" t="str">
        <f>IFERROR(VLOOKUP(P128,constant_ag_extr!$D$7:$E$594,2,FALSE),"")</f>
        <v>Walnuts, with shell</v>
      </c>
      <c r="P128" s="1197">
        <f t="shared" si="12"/>
        <v>222</v>
      </c>
      <c r="Q128" s="1444">
        <f t="shared" si="13"/>
        <v>1</v>
      </c>
    </row>
    <row r="129" spans="1:17" ht="12">
      <c r="A129" s="143" t="s">
        <v>5276</v>
      </c>
      <c r="B129" s="935">
        <v>223</v>
      </c>
      <c r="C129" s="36" t="s">
        <v>3861</v>
      </c>
      <c r="D129" s="1132">
        <v>201</v>
      </c>
      <c r="E129" s="1132">
        <v>136763</v>
      </c>
      <c r="F129" s="809">
        <f t="shared" si="9"/>
        <v>1.8143918510147621</v>
      </c>
      <c r="G129" s="809">
        <f t="shared" si="10"/>
        <v>1</v>
      </c>
      <c r="H129" s="809">
        <f t="shared" si="11"/>
        <v>2.5252766180478901</v>
      </c>
      <c r="I129" s="903">
        <f t="shared" si="14"/>
        <v>279.75246909521979</v>
      </c>
      <c r="J129" s="799">
        <f t="shared" si="15"/>
        <v>190347.19866104252</v>
      </c>
      <c r="L129" s="1451">
        <v>296992</v>
      </c>
      <c r="M129" s="1132">
        <v>299091</v>
      </c>
      <c r="N129" s="1195" t="s">
        <v>415</v>
      </c>
      <c r="O129" s="1196" t="str">
        <f>IFERROR(VLOOKUP(P129,constant_ag_extr!$D$7:$E$594,2,FALSE),"")</f>
        <v>Pistachios</v>
      </c>
      <c r="P129" s="1197">
        <f t="shared" si="12"/>
        <v>223</v>
      </c>
      <c r="Q129" s="1444">
        <f t="shared" si="13"/>
        <v>1</v>
      </c>
    </row>
    <row r="130" spans="1:17" ht="12">
      <c r="A130" s="143" t="s">
        <v>7292</v>
      </c>
      <c r="B130" s="935">
        <v>224</v>
      </c>
      <c r="C130" s="36" t="s">
        <v>572</v>
      </c>
      <c r="D130" s="1132">
        <v>663</v>
      </c>
      <c r="E130" s="1132">
        <v>2</v>
      </c>
      <c r="F130" s="809">
        <f t="shared" si="9"/>
        <v>0.56209667431662391</v>
      </c>
      <c r="G130" s="809">
        <f t="shared" si="10"/>
        <v>1</v>
      </c>
      <c r="H130" s="809">
        <f t="shared" si="11"/>
        <v>2.5252766180478901</v>
      </c>
      <c r="I130" s="903">
        <f t="shared" si="14"/>
        <v>2978.5950962994966</v>
      </c>
      <c r="J130" s="799">
        <f t="shared" si="15"/>
        <v>8.9852039104057209</v>
      </c>
      <c r="L130" s="1451">
        <v>6862</v>
      </c>
      <c r="M130" s="1132">
        <v>7449</v>
      </c>
      <c r="N130" s="1195" t="s">
        <v>415</v>
      </c>
      <c r="O130" s="1196" t="str">
        <f>IFERROR(VLOOKUP(P130,constant_ag_extr!$D$7:$E$594,2,FALSE),"")</f>
        <v>Kolanuts</v>
      </c>
      <c r="P130" s="1197">
        <f t="shared" si="12"/>
        <v>224</v>
      </c>
      <c r="Q130" s="1444">
        <f t="shared" si="13"/>
        <v>1</v>
      </c>
    </row>
    <row r="131" spans="1:17" ht="12">
      <c r="A131" s="143" t="s">
        <v>3781</v>
      </c>
      <c r="B131" s="935">
        <v>225</v>
      </c>
      <c r="C131" s="36" t="s">
        <v>1539</v>
      </c>
      <c r="D131" s="1132"/>
      <c r="E131" s="1132"/>
      <c r="F131" s="809">
        <f t="shared" si="9"/>
        <v>1.3734148213558319</v>
      </c>
      <c r="G131" s="809">
        <f t="shared" si="10"/>
        <v>1</v>
      </c>
      <c r="H131" s="809">
        <f t="shared" si="11"/>
        <v>2.5252766180478901</v>
      </c>
      <c r="I131" s="903">
        <f t="shared" si="14"/>
        <v>0</v>
      </c>
      <c r="J131" s="799">
        <f t="shared" si="15"/>
        <v>0</v>
      </c>
      <c r="L131" s="1451"/>
      <c r="M131" s="1132"/>
      <c r="N131" s="1195" t="s">
        <v>415</v>
      </c>
      <c r="O131" s="1196" t="str">
        <f>IFERROR(VLOOKUP(P131,constant_ag_extr!$D$7:$E$594,2,FALSE),"")</f>
        <v>Hazelnuts, with shell</v>
      </c>
      <c r="P131" s="1197">
        <f t="shared" si="12"/>
        <v>225</v>
      </c>
      <c r="Q131" s="1444">
        <f t="shared" si="13"/>
        <v>1</v>
      </c>
    </row>
    <row r="132" spans="1:17" ht="12">
      <c r="A132" s="143" t="s">
        <v>3937</v>
      </c>
      <c r="B132" s="935">
        <v>226</v>
      </c>
      <c r="C132" s="36" t="s">
        <v>3938</v>
      </c>
      <c r="D132" s="1132"/>
      <c r="E132" s="1132"/>
      <c r="F132" s="809">
        <f t="shared" si="9"/>
        <v>1.3431037042453022</v>
      </c>
      <c r="G132" s="809">
        <f t="shared" si="10"/>
        <v>1</v>
      </c>
      <c r="H132" s="809">
        <f t="shared" si="11"/>
        <v>2.5252766180478901</v>
      </c>
      <c r="I132" s="903">
        <f t="shared" si="14"/>
        <v>0</v>
      </c>
      <c r="J132" s="799">
        <f t="shared" si="15"/>
        <v>0</v>
      </c>
      <c r="L132" s="1451"/>
      <c r="M132" s="1132"/>
      <c r="N132" s="1195" t="s">
        <v>415</v>
      </c>
      <c r="O132" s="1196" t="str">
        <f>IFERROR(VLOOKUP(P132,constant_ag_extr!$D$7:$E$594,2,FALSE),"")</f>
        <v>Arecanuts</v>
      </c>
      <c r="P132" s="1197">
        <f t="shared" si="12"/>
        <v>226</v>
      </c>
      <c r="Q132" s="1444">
        <f t="shared" si="13"/>
        <v>1</v>
      </c>
    </row>
    <row r="133" spans="1:17" ht="12">
      <c r="A133" s="143" t="s">
        <v>7240</v>
      </c>
      <c r="B133" s="935">
        <v>229</v>
      </c>
      <c r="C133" s="36" t="s">
        <v>5064</v>
      </c>
      <c r="D133" s="1132">
        <v>8115</v>
      </c>
      <c r="E133" s="1132">
        <v>626</v>
      </c>
      <c r="F133" s="809">
        <f t="shared" si="9"/>
        <v>0.27039739430216808</v>
      </c>
      <c r="G133" s="809">
        <f t="shared" si="10"/>
        <v>1</v>
      </c>
      <c r="H133" s="809">
        <f t="shared" si="11"/>
        <v>2.5252766180478901</v>
      </c>
      <c r="I133" s="903">
        <f t="shared" si="14"/>
        <v>75787.04598224863</v>
      </c>
      <c r="J133" s="799">
        <f t="shared" si="15"/>
        <v>5846.2958453342762</v>
      </c>
      <c r="L133" s="1451">
        <v>32211</v>
      </c>
      <c r="M133" s="1132">
        <v>32514</v>
      </c>
      <c r="N133" s="1195" t="s">
        <v>2921</v>
      </c>
      <c r="O133" s="1196" t="str">
        <f>IFERROR(VLOOKUP(P133,constant_ag_extr!$D$7:$E$594,2,FALSE),"")</f>
        <v>Brazil nuts, with shell</v>
      </c>
      <c r="P133" s="1197">
        <f t="shared" si="12"/>
        <v>216</v>
      </c>
      <c r="Q133" s="1444">
        <f t="shared" si="13"/>
        <v>0.55000000000000004</v>
      </c>
    </row>
    <row r="134" spans="1:17" ht="12">
      <c r="A134" s="143" t="s">
        <v>7241</v>
      </c>
      <c r="B134" s="935">
        <v>230</v>
      </c>
      <c r="C134" s="36" t="s">
        <v>4504</v>
      </c>
      <c r="D134" s="1132">
        <v>131662</v>
      </c>
      <c r="E134" s="1132">
        <v>2045</v>
      </c>
      <c r="F134" s="809">
        <f t="shared" si="9"/>
        <v>0.24214539838556237</v>
      </c>
      <c r="G134" s="809">
        <f t="shared" si="10"/>
        <v>1</v>
      </c>
      <c r="H134" s="809">
        <f t="shared" si="11"/>
        <v>2.5252766180478901</v>
      </c>
      <c r="I134" s="903">
        <f t="shared" si="14"/>
        <v>1373071.602029854</v>
      </c>
      <c r="J134" s="799">
        <f t="shared" si="15"/>
        <v>21326.817351635633</v>
      </c>
      <c r="L134" s="1451">
        <v>408601</v>
      </c>
      <c r="M134" s="1132">
        <v>429119</v>
      </c>
      <c r="N134" s="1195" t="s">
        <v>2921</v>
      </c>
      <c r="O134" s="1196" t="str">
        <f>IFERROR(VLOOKUP(P134,constant_ag_extr!$D$7:$E$594,2,FALSE),"")</f>
        <v>Cashew nuts, with shell</v>
      </c>
      <c r="P134" s="1197">
        <f t="shared" si="12"/>
        <v>217</v>
      </c>
      <c r="Q134" s="1444">
        <f t="shared" si="13"/>
        <v>0.3</v>
      </c>
    </row>
    <row r="135" spans="1:17" ht="12">
      <c r="A135" s="143" t="s">
        <v>4597</v>
      </c>
      <c r="B135" s="935">
        <v>231</v>
      </c>
      <c r="C135" s="36" t="s">
        <v>4598</v>
      </c>
      <c r="D135" s="1132">
        <v>4260</v>
      </c>
      <c r="E135" s="1132">
        <v>481448</v>
      </c>
      <c r="F135" s="809">
        <f t="shared" ref="F135:F198" si="16">IFERROR(VLOOKUP(P135,crop_efp,4,FALSE)*Q135,0)</f>
        <v>0.88400470923786389</v>
      </c>
      <c r="G135" s="809">
        <f t="shared" ref="G135:G198" si="17">VLOOKUP("Crop Land",iyf,2,FALSE)</f>
        <v>1</v>
      </c>
      <c r="H135" s="809">
        <f t="shared" ref="H135:H198" si="18">VLOOKUP("Crop Land",eqf,2,FALSE)</f>
        <v>2.5252766180478901</v>
      </c>
      <c r="I135" s="903">
        <f t="shared" si="14"/>
        <v>12169.254621006081</v>
      </c>
      <c r="J135" s="799">
        <f t="shared" si="15"/>
        <v>1375320.0231864166</v>
      </c>
      <c r="L135" s="1451">
        <v>620935</v>
      </c>
      <c r="M135" s="1132">
        <v>687715</v>
      </c>
      <c r="N135" s="1436" t="s">
        <v>2921</v>
      </c>
      <c r="O135" s="1198" t="str">
        <f>IFERROR(VLOOKUP(P135,constant_ag_extr!$D$7:$E$594,2,FALSE),"")</f>
        <v>Almonds, with shell</v>
      </c>
      <c r="P135" s="1199">
        <f t="shared" ref="P135:P198" si="19">IFERROR(VLOOKUP(B135,constant_ag_extr,3,FALSE),"")</f>
        <v>221</v>
      </c>
      <c r="Q135" s="1247">
        <f t="shared" ref="Q135:Q198" si="20">IFERROR(VLOOKUP(B135,constant_ag_extr,14,FALSE),"")</f>
        <v>0.5</v>
      </c>
    </row>
    <row r="136" spans="1:17" ht="12">
      <c r="A136" s="143" t="s">
        <v>7339</v>
      </c>
      <c r="B136" s="935">
        <v>232</v>
      </c>
      <c r="C136" s="36" t="s">
        <v>266</v>
      </c>
      <c r="D136" s="1132">
        <v>1826</v>
      </c>
      <c r="E136" s="1132">
        <v>74537</v>
      </c>
      <c r="F136" s="809">
        <f t="shared" si="16"/>
        <v>1.8197923563809797</v>
      </c>
      <c r="G136" s="809">
        <f t="shared" si="17"/>
        <v>1</v>
      </c>
      <c r="H136" s="809">
        <f t="shared" si="18"/>
        <v>2.5252766180478901</v>
      </c>
      <c r="I136" s="903">
        <f t="shared" si="14"/>
        <v>2533.8907971487743</v>
      </c>
      <c r="J136" s="799">
        <f t="shared" si="15"/>
        <v>103432.97828427065</v>
      </c>
      <c r="L136" s="1451">
        <v>156953</v>
      </c>
      <c r="M136" s="1132">
        <v>196730</v>
      </c>
      <c r="N136" s="1436" t="s">
        <v>2921</v>
      </c>
      <c r="O136" s="1198" t="str">
        <f>IFERROR(VLOOKUP(P136,constant_ag_extr!$D$7:$E$594,2,FALSE),"")</f>
        <v>Walnuts, with shell</v>
      </c>
      <c r="P136" s="1199">
        <f t="shared" si="19"/>
        <v>222</v>
      </c>
      <c r="Q136" s="1247">
        <f t="shared" si="20"/>
        <v>0.53</v>
      </c>
    </row>
    <row r="137" spans="1:17" ht="12">
      <c r="A137" s="143" t="s">
        <v>7277</v>
      </c>
      <c r="B137" s="935">
        <v>233</v>
      </c>
      <c r="C137" s="36" t="s">
        <v>4896</v>
      </c>
      <c r="D137" s="1132">
        <v>4384</v>
      </c>
      <c r="E137" s="1132">
        <v>2112</v>
      </c>
      <c r="F137" s="809">
        <f t="shared" si="16"/>
        <v>0.68670741067791596</v>
      </c>
      <c r="G137" s="809">
        <f t="shared" si="17"/>
        <v>1</v>
      </c>
      <c r="H137" s="809">
        <f t="shared" si="18"/>
        <v>2.5252766180478901</v>
      </c>
      <c r="I137" s="903">
        <f t="shared" si="14"/>
        <v>16121.586168107418</v>
      </c>
      <c r="J137" s="799">
        <f t="shared" si="15"/>
        <v>7766.6035554386108</v>
      </c>
      <c r="L137" s="1451">
        <v>238248</v>
      </c>
      <c r="M137" s="1132">
        <v>236967</v>
      </c>
      <c r="N137" s="1436" t="s">
        <v>2921</v>
      </c>
      <c r="O137" s="1198" t="str">
        <f>IFERROR(VLOOKUP(P137,constant_ag_extr!$D$7:$E$594,2,FALSE),"")</f>
        <v>Hazelnuts, with shell</v>
      </c>
      <c r="P137" s="1199">
        <f t="shared" si="19"/>
        <v>225</v>
      </c>
      <c r="Q137" s="1247">
        <f t="shared" si="20"/>
        <v>0.5</v>
      </c>
    </row>
    <row r="138" spans="1:17" ht="12">
      <c r="A138" s="143" t="s">
        <v>915</v>
      </c>
      <c r="B138" s="935">
        <v>234</v>
      </c>
      <c r="C138" s="36" t="s">
        <v>803</v>
      </c>
      <c r="D138" s="1132">
        <v>59406</v>
      </c>
      <c r="E138" s="1132">
        <v>70505</v>
      </c>
      <c r="F138" s="809">
        <f t="shared" si="16"/>
        <v>1.3588291364473528</v>
      </c>
      <c r="G138" s="809">
        <f t="shared" si="17"/>
        <v>1</v>
      </c>
      <c r="H138" s="809">
        <f t="shared" si="18"/>
        <v>2.5252766180478901</v>
      </c>
      <c r="I138" s="903">
        <f t="shared" si="14"/>
        <v>110401.35860198732</v>
      </c>
      <c r="J138" s="799">
        <f t="shared" si="15"/>
        <v>131027.97340728405</v>
      </c>
      <c r="L138" s="1451">
        <v>392896</v>
      </c>
      <c r="M138" s="1132">
        <v>310183</v>
      </c>
      <c r="N138" s="1436" t="s">
        <v>415</v>
      </c>
      <c r="O138" s="1198" t="str">
        <f>IFERROR(VLOOKUP(P138,constant_ag_extr!$D$7:$E$594,2,FALSE),"")</f>
        <v>Nuts, nes</v>
      </c>
      <c r="P138" s="1199">
        <f t="shared" si="19"/>
        <v>234</v>
      </c>
      <c r="Q138" s="1247">
        <f t="shared" si="20"/>
        <v>1</v>
      </c>
    </row>
    <row r="139" spans="1:17" ht="12">
      <c r="A139" s="143" t="s">
        <v>7296</v>
      </c>
      <c r="B139" s="935">
        <v>235</v>
      </c>
      <c r="C139" s="36" t="s">
        <v>3029</v>
      </c>
      <c r="D139" s="1132">
        <v>59268</v>
      </c>
      <c r="E139" s="1132">
        <v>136369</v>
      </c>
      <c r="F139" s="809">
        <f t="shared" si="16"/>
        <v>0</v>
      </c>
      <c r="G139" s="809">
        <f t="shared" si="17"/>
        <v>1</v>
      </c>
      <c r="H139" s="809">
        <f t="shared" si="18"/>
        <v>2.5252766180478901</v>
      </c>
      <c r="I139" s="903">
        <f t="shared" si="14"/>
        <v>0</v>
      </c>
      <c r="J139" s="799">
        <f t="shared" si="15"/>
        <v>0</v>
      </c>
      <c r="L139" s="1451">
        <v>584489</v>
      </c>
      <c r="M139" s="1132">
        <v>656918</v>
      </c>
      <c r="N139" s="1436" t="s">
        <v>2921</v>
      </c>
      <c r="O139" s="1198" t="str">
        <f>IFERROR(VLOOKUP(P139,constant_ag_extr!$D$7:$E$594,2,FALSE),"")</f>
        <v>Nuts, prepared (exc. groundnuts)</v>
      </c>
      <c r="P139" s="1199">
        <f t="shared" si="19"/>
        <v>235</v>
      </c>
      <c r="Q139" s="1247">
        <f t="shared" si="20"/>
        <v>1</v>
      </c>
    </row>
    <row r="140" spans="1:17" ht="12">
      <c r="A140" s="143" t="s">
        <v>4047</v>
      </c>
      <c r="B140" s="935">
        <v>236</v>
      </c>
      <c r="C140" s="36" t="s">
        <v>4074</v>
      </c>
      <c r="D140" s="1132">
        <v>1245930</v>
      </c>
      <c r="E140" s="1132">
        <v>39175600</v>
      </c>
      <c r="F140" s="809">
        <f t="shared" si="16"/>
        <v>2.4713814220901331</v>
      </c>
      <c r="G140" s="809">
        <f t="shared" si="17"/>
        <v>1</v>
      </c>
      <c r="H140" s="809">
        <f t="shared" si="18"/>
        <v>2.5252766180478901</v>
      </c>
      <c r="I140" s="37">
        <f t="shared" si="14"/>
        <v>1273100.893533244</v>
      </c>
      <c r="J140" s="799">
        <f t="shared" si="15"/>
        <v>40029930.545617297</v>
      </c>
      <c r="L140" s="1451">
        <v>103016000</v>
      </c>
      <c r="M140" s="1132">
        <v>106169000</v>
      </c>
      <c r="N140" s="1436" t="s">
        <v>415</v>
      </c>
      <c r="O140" s="1198" t="str">
        <f>IFERROR(VLOOKUP(P140,constant_ag_extr!$D$7:$E$594,2,FALSE),"")</f>
        <v>Soybeans</v>
      </c>
      <c r="P140" s="1199">
        <f t="shared" si="19"/>
        <v>236</v>
      </c>
      <c r="Q140" s="1247">
        <f t="shared" si="20"/>
        <v>1</v>
      </c>
    </row>
    <row r="141" spans="1:17" ht="12">
      <c r="A141" s="143" t="s">
        <v>7314</v>
      </c>
      <c r="B141" s="935">
        <v>237</v>
      </c>
      <c r="C141" s="36" t="s">
        <v>4046</v>
      </c>
      <c r="D141" s="1132">
        <v>84587</v>
      </c>
      <c r="E141" s="1132">
        <v>813185</v>
      </c>
      <c r="F141" s="809">
        <f t="shared" si="16"/>
        <v>1.1301708174087226</v>
      </c>
      <c r="G141" s="809">
        <f t="shared" si="17"/>
        <v>1</v>
      </c>
      <c r="H141" s="809">
        <f t="shared" si="18"/>
        <v>2.5252766180478901</v>
      </c>
      <c r="I141" s="903">
        <f t="shared" si="14"/>
        <v>189002.91000308772</v>
      </c>
      <c r="J141" s="799">
        <f t="shared" si="15"/>
        <v>1816997.0724917646</v>
      </c>
      <c r="L141" s="1451">
        <v>9667710</v>
      </c>
      <c r="M141" s="1132">
        <v>10416900</v>
      </c>
      <c r="N141" s="1436" t="s">
        <v>2921</v>
      </c>
      <c r="O141" s="1198" t="str">
        <f>IFERROR(VLOOKUP(P141,constant_ag_extr!$D$7:$E$594,2,FALSE),"")</f>
        <v>Soybeans</v>
      </c>
      <c r="P141" s="1199">
        <f t="shared" si="19"/>
        <v>236</v>
      </c>
      <c r="Q141" s="1247">
        <f t="shared" si="20"/>
        <v>0.45730327472191562</v>
      </c>
    </row>
    <row r="142" spans="1:17" ht="12">
      <c r="A142" s="143" t="s">
        <v>7197</v>
      </c>
      <c r="B142" s="935">
        <v>238</v>
      </c>
      <c r="C142" s="36" t="s">
        <v>1520</v>
      </c>
      <c r="D142" s="1132">
        <v>151752</v>
      </c>
      <c r="E142" s="1132">
        <v>7535780</v>
      </c>
      <c r="F142" s="809">
        <f t="shared" si="16"/>
        <v>3.2197057414783172</v>
      </c>
      <c r="G142" s="809">
        <f t="shared" si="17"/>
        <v>1</v>
      </c>
      <c r="H142" s="809">
        <f t="shared" si="18"/>
        <v>2.5252766180478901</v>
      </c>
      <c r="I142" s="903">
        <f t="shared" si="14"/>
        <v>119021.98775657403</v>
      </c>
      <c r="J142" s="799">
        <f t="shared" si="15"/>
        <v>5910455.9735373212</v>
      </c>
      <c r="L142" s="1451">
        <v>62287600</v>
      </c>
      <c r="M142" s="1132">
        <v>62193100</v>
      </c>
      <c r="N142" s="1436" t="s">
        <v>2921</v>
      </c>
      <c r="O142" s="1198" t="str">
        <f>IFERROR(VLOOKUP(P142,constant_ag_extr!$D$7:$E$594,2,FALSE),"")</f>
        <v>Soybeans</v>
      </c>
      <c r="P142" s="1199">
        <f t="shared" si="19"/>
        <v>236</v>
      </c>
      <c r="Q142" s="1247">
        <f t="shared" si="20"/>
        <v>1.302795963706525</v>
      </c>
    </row>
    <row r="143" spans="1:17" ht="12">
      <c r="A143" s="143" t="s">
        <v>2140</v>
      </c>
      <c r="B143" s="935">
        <v>239</v>
      </c>
      <c r="C143" s="36" t="s">
        <v>2141</v>
      </c>
      <c r="D143" s="1132">
        <v>62643</v>
      </c>
      <c r="E143" s="1132">
        <v>25511</v>
      </c>
      <c r="F143" s="809">
        <f t="shared" si="16"/>
        <v>8.6498349773154661</v>
      </c>
      <c r="G143" s="809">
        <f t="shared" si="17"/>
        <v>1</v>
      </c>
      <c r="H143" s="809">
        <f t="shared" si="18"/>
        <v>2.5252766180478901</v>
      </c>
      <c r="I143" s="903">
        <f t="shared" si="14"/>
        <v>18288.314586259261</v>
      </c>
      <c r="J143" s="799">
        <f t="shared" si="15"/>
        <v>7447.8105041275157</v>
      </c>
      <c r="L143" s="1451">
        <v>330177</v>
      </c>
      <c r="M143" s="1132">
        <v>351240</v>
      </c>
      <c r="N143" s="1436" t="s">
        <v>2921</v>
      </c>
      <c r="O143" s="1198" t="str">
        <f>IFERROR(VLOOKUP(P143,constant_ag_extr!$D$7:$E$594,2,FALSE),"")</f>
        <v>Soybeans</v>
      </c>
      <c r="P143" s="1199">
        <f t="shared" si="19"/>
        <v>236</v>
      </c>
      <c r="Q143" s="1247">
        <f t="shared" si="20"/>
        <v>3.5</v>
      </c>
    </row>
    <row r="144" spans="1:17" ht="12">
      <c r="A144" s="143" t="s">
        <v>676</v>
      </c>
      <c r="B144" s="935">
        <v>240</v>
      </c>
      <c r="C144" s="36" t="e">
        <v>#N/A</v>
      </c>
      <c r="D144" s="1132"/>
      <c r="E144" s="1132"/>
      <c r="F144" s="809">
        <f t="shared" si="16"/>
        <v>11.121216399405599</v>
      </c>
      <c r="G144" s="809">
        <f t="shared" si="17"/>
        <v>1</v>
      </c>
      <c r="H144" s="809">
        <f t="shared" si="18"/>
        <v>2.5252766180478901</v>
      </c>
      <c r="I144" s="903">
        <f t="shared" si="14"/>
        <v>0</v>
      </c>
      <c r="J144" s="799">
        <f t="shared" si="15"/>
        <v>0</v>
      </c>
      <c r="L144" s="1451">
        <v>0</v>
      </c>
      <c r="M144" s="1132">
        <v>11816</v>
      </c>
      <c r="N144" s="1436" t="s">
        <v>2921</v>
      </c>
      <c r="O144" s="1198" t="str">
        <f>IFERROR(VLOOKUP(P144,constant_ag_extr!$D$7:$E$594,2,FALSE),"")</f>
        <v>Soybeans</v>
      </c>
      <c r="P144" s="1199">
        <f t="shared" si="19"/>
        <v>236</v>
      </c>
      <c r="Q144" s="1247">
        <f t="shared" si="20"/>
        <v>4.5</v>
      </c>
    </row>
    <row r="145" spans="1:17" ht="12">
      <c r="A145" s="143" t="s">
        <v>675</v>
      </c>
      <c r="B145" s="935">
        <v>241</v>
      </c>
      <c r="C145" s="36" t="s">
        <v>2152</v>
      </c>
      <c r="D145" s="1132"/>
      <c r="E145" s="1132"/>
      <c r="F145" s="809">
        <f t="shared" si="16"/>
        <v>9.2676803328379993</v>
      </c>
      <c r="G145" s="809">
        <f t="shared" si="17"/>
        <v>1</v>
      </c>
      <c r="H145" s="809">
        <f t="shared" si="18"/>
        <v>2.5252766180478901</v>
      </c>
      <c r="I145" s="903">
        <f t="shared" si="14"/>
        <v>0</v>
      </c>
      <c r="J145" s="799">
        <f t="shared" si="15"/>
        <v>0</v>
      </c>
      <c r="L145" s="1451"/>
      <c r="M145" s="1132"/>
      <c r="N145" s="1436" t="s">
        <v>2921</v>
      </c>
      <c r="O145" s="1198" t="str">
        <f>IFERROR(VLOOKUP(P145,constant_ag_extr!$D$7:$E$594,2,FALSE),"")</f>
        <v>Soybeans</v>
      </c>
      <c r="P145" s="1199">
        <f t="shared" si="19"/>
        <v>236</v>
      </c>
      <c r="Q145" s="1247">
        <f t="shared" si="20"/>
        <v>3.75</v>
      </c>
    </row>
    <row r="146" spans="1:17" ht="12">
      <c r="A146" s="143" t="s">
        <v>3780</v>
      </c>
      <c r="B146" s="935">
        <v>242</v>
      </c>
      <c r="C146" s="36" t="s">
        <v>1536</v>
      </c>
      <c r="D146" s="1132"/>
      <c r="E146" s="1132"/>
      <c r="F146" s="809">
        <f t="shared" si="16"/>
        <v>1.6354583300417411</v>
      </c>
      <c r="G146" s="809">
        <f t="shared" si="17"/>
        <v>1</v>
      </c>
      <c r="H146" s="809">
        <f t="shared" si="18"/>
        <v>2.5252766180478901</v>
      </c>
      <c r="I146" s="903">
        <f t="shared" si="14"/>
        <v>0</v>
      </c>
      <c r="J146" s="799">
        <f t="shared" si="15"/>
        <v>0</v>
      </c>
      <c r="L146" s="1451"/>
      <c r="M146" s="1132"/>
      <c r="N146" s="1436" t="s">
        <v>415</v>
      </c>
      <c r="O146" s="1198" t="str">
        <f>IFERROR(VLOOKUP(P146,constant_ag_extr!$D$7:$E$594,2,FALSE),"")</f>
        <v>Groundnuts, with shell</v>
      </c>
      <c r="P146" s="1199">
        <f t="shared" si="19"/>
        <v>242</v>
      </c>
      <c r="Q146" s="1247">
        <f t="shared" si="20"/>
        <v>1</v>
      </c>
    </row>
    <row r="147" spans="1:17" ht="12">
      <c r="A147" s="143" t="s">
        <v>7276</v>
      </c>
      <c r="B147" s="935">
        <v>243</v>
      </c>
      <c r="C147" s="36" t="s">
        <v>5442</v>
      </c>
      <c r="D147" s="1132">
        <v>6896</v>
      </c>
      <c r="E147" s="1132">
        <v>318046</v>
      </c>
      <c r="F147" s="809">
        <f t="shared" si="16"/>
        <v>1.1448208310292187</v>
      </c>
      <c r="G147" s="809">
        <f t="shared" si="17"/>
        <v>1</v>
      </c>
      <c r="H147" s="809">
        <f t="shared" si="18"/>
        <v>2.5252766180478901</v>
      </c>
      <c r="I147" s="903">
        <f t="shared" si="14"/>
        <v>15211.382502886858</v>
      </c>
      <c r="J147" s="799">
        <f t="shared" si="15"/>
        <v>701554.43148392602</v>
      </c>
      <c r="L147" s="1451">
        <v>1680200</v>
      </c>
      <c r="M147" s="1132">
        <v>1671320</v>
      </c>
      <c r="N147" s="1436" t="s">
        <v>2921</v>
      </c>
      <c r="O147" s="1198" t="str">
        <f>IFERROR(VLOOKUP(P147,constant_ag_extr!$D$7:$E$594,2,FALSE),"")</f>
        <v>Groundnuts, with shell</v>
      </c>
      <c r="P147" s="1199">
        <f t="shared" si="19"/>
        <v>242</v>
      </c>
      <c r="Q147" s="1247">
        <f t="shared" si="20"/>
        <v>0.7</v>
      </c>
    </row>
    <row r="148" spans="1:17" ht="12">
      <c r="A148" s="143" t="s">
        <v>7301</v>
      </c>
      <c r="B148" s="935">
        <v>244</v>
      </c>
      <c r="C148" s="36" t="s">
        <v>4560</v>
      </c>
      <c r="D148" s="1132">
        <v>19123</v>
      </c>
      <c r="E148" s="1132">
        <v>4608</v>
      </c>
      <c r="F148" s="809">
        <f t="shared" si="16"/>
        <v>0.62289821837688586</v>
      </c>
      <c r="G148" s="809">
        <f t="shared" si="17"/>
        <v>1</v>
      </c>
      <c r="H148" s="809">
        <f t="shared" si="18"/>
        <v>2.5252766180478901</v>
      </c>
      <c r="I148" s="903">
        <f t="shared" si="14"/>
        <v>77526.092292836373</v>
      </c>
      <c r="J148" s="799">
        <f t="shared" si="15"/>
        <v>18681.181471808293</v>
      </c>
      <c r="L148" s="1451">
        <v>208114</v>
      </c>
      <c r="M148" s="1132">
        <v>186308</v>
      </c>
      <c r="N148" s="1436" t="s">
        <v>2921</v>
      </c>
      <c r="O148" s="1198" t="str">
        <f>IFERROR(VLOOKUP(P148,constant_ag_extr!$D$7:$E$594,2,FALSE),"")</f>
        <v>Groundnuts, with shell</v>
      </c>
      <c r="P148" s="1199">
        <f t="shared" si="19"/>
        <v>242</v>
      </c>
      <c r="Q148" s="1247">
        <f t="shared" si="20"/>
        <v>0.38087073631584845</v>
      </c>
    </row>
    <row r="149" spans="1:17" ht="12">
      <c r="A149" s="143" t="s">
        <v>7198</v>
      </c>
      <c r="B149" s="935">
        <v>245</v>
      </c>
      <c r="C149" s="36" t="s">
        <v>1198</v>
      </c>
      <c r="D149" s="1132">
        <v>1402</v>
      </c>
      <c r="E149" s="1132">
        <v>8447</v>
      </c>
      <c r="F149" s="809">
        <f t="shared" si="16"/>
        <v>2.9479573797260974</v>
      </c>
      <c r="G149" s="809">
        <f t="shared" si="17"/>
        <v>1</v>
      </c>
      <c r="H149" s="809">
        <f t="shared" si="18"/>
        <v>2.5252766180478901</v>
      </c>
      <c r="I149" s="37">
        <f t="shared" si="14"/>
        <v>1200.9799879915813</v>
      </c>
      <c r="J149" s="799">
        <f t="shared" si="15"/>
        <v>7235.8615966939278</v>
      </c>
      <c r="L149" s="1451">
        <v>112356</v>
      </c>
      <c r="M149" s="1132">
        <v>122103</v>
      </c>
      <c r="N149" s="1436" t="s">
        <v>2921</v>
      </c>
      <c r="O149" s="1198" t="str">
        <f>IFERROR(VLOOKUP(P149,constant_ag_extr!$D$7:$E$594,2,FALSE),"")</f>
        <v>Groundnuts, with shell</v>
      </c>
      <c r="P149" s="1199">
        <f t="shared" si="19"/>
        <v>242</v>
      </c>
      <c r="Q149" s="1247">
        <f t="shared" si="20"/>
        <v>1.8025267446898863</v>
      </c>
    </row>
    <row r="150" spans="1:17" ht="12">
      <c r="A150" s="143" t="s">
        <v>3018</v>
      </c>
      <c r="B150" s="935">
        <v>246</v>
      </c>
      <c r="C150" s="36" t="s">
        <v>3019</v>
      </c>
      <c r="D150" s="1132"/>
      <c r="E150" s="1132"/>
      <c r="F150" s="809">
        <f t="shared" si="16"/>
        <v>1.1448208310292187</v>
      </c>
      <c r="G150" s="809">
        <f t="shared" si="17"/>
        <v>1</v>
      </c>
      <c r="H150" s="809">
        <f t="shared" si="18"/>
        <v>2.5252766180478901</v>
      </c>
      <c r="I150" s="903">
        <f t="shared" si="14"/>
        <v>0</v>
      </c>
      <c r="J150" s="799">
        <f t="shared" si="15"/>
        <v>0</v>
      </c>
      <c r="L150" s="1451"/>
      <c r="M150" s="1132"/>
      <c r="N150" s="1436" t="s">
        <v>2921</v>
      </c>
      <c r="O150" s="1198" t="str">
        <f>IFERROR(VLOOKUP(P150,constant_ag_extr!$D$7:$E$594,2,FALSE),"")</f>
        <v>Groundnuts, with shell</v>
      </c>
      <c r="P150" s="1199">
        <f t="shared" si="19"/>
        <v>242</v>
      </c>
      <c r="Q150" s="1247">
        <f t="shared" si="20"/>
        <v>0.7</v>
      </c>
    </row>
    <row r="151" spans="1:17" ht="12">
      <c r="A151" s="143" t="s">
        <v>5400</v>
      </c>
      <c r="B151" s="935">
        <v>247</v>
      </c>
      <c r="C151" s="36" t="s">
        <v>5401</v>
      </c>
      <c r="D151" s="1132">
        <v>15567</v>
      </c>
      <c r="E151" s="1132">
        <v>45891</v>
      </c>
      <c r="F151" s="809">
        <f t="shared" si="16"/>
        <v>0.97309770637483595</v>
      </c>
      <c r="G151" s="809">
        <f t="shared" si="17"/>
        <v>1</v>
      </c>
      <c r="H151" s="809">
        <f t="shared" si="18"/>
        <v>2.5252766180478901</v>
      </c>
      <c r="I151" s="903">
        <f t="shared" ref="I151:I214" si="21">IFERROR((D151/F151)*H151*G151,0)</f>
        <v>40397.773888091935</v>
      </c>
      <c r="J151" s="799">
        <f t="shared" ref="J151:J214" si="22">IFERROR((E151/F151)*H151*G151,0)</f>
        <v>119091.29835539457</v>
      </c>
      <c r="L151" s="1451">
        <v>93040</v>
      </c>
      <c r="M151" s="1132">
        <v>83641</v>
      </c>
      <c r="N151" s="1436" t="s">
        <v>2921</v>
      </c>
      <c r="O151" s="1198" t="str">
        <f>IFERROR(VLOOKUP(P151,constant_ag_extr!$D$7:$E$594,2,FALSE),"")</f>
        <v>Groundnuts, with shell</v>
      </c>
      <c r="P151" s="1199">
        <f t="shared" si="19"/>
        <v>242</v>
      </c>
      <c r="Q151" s="1247">
        <f t="shared" si="20"/>
        <v>0.59499999999999997</v>
      </c>
    </row>
    <row r="152" spans="1:17" ht="12">
      <c r="A152" s="143" t="s">
        <v>902</v>
      </c>
      <c r="B152" s="935">
        <v>249</v>
      </c>
      <c r="C152" s="36" t="s">
        <v>3649</v>
      </c>
      <c r="D152" s="1132">
        <v>43951</v>
      </c>
      <c r="E152" s="1132">
        <v>3744</v>
      </c>
      <c r="F152" s="809">
        <f t="shared" si="16"/>
        <v>5.116827112199843</v>
      </c>
      <c r="G152" s="809">
        <f t="shared" si="17"/>
        <v>1</v>
      </c>
      <c r="H152" s="809">
        <f t="shared" si="18"/>
        <v>2.5252766180478901</v>
      </c>
      <c r="I152" s="903">
        <f t="shared" si="21"/>
        <v>21690.870183047144</v>
      </c>
      <c r="J152" s="799">
        <f t="shared" si="22"/>
        <v>1847.7535884354968</v>
      </c>
      <c r="L152" s="1451">
        <v>472780</v>
      </c>
      <c r="M152" s="1132">
        <v>639178</v>
      </c>
      <c r="N152" s="1436" t="s">
        <v>415</v>
      </c>
      <c r="O152" s="1198" t="str">
        <f>IFERROR(VLOOKUP(P152,constant_ag_extr!$D$7:$E$594,2,FALSE),"")</f>
        <v>Coconuts</v>
      </c>
      <c r="P152" s="1199">
        <f t="shared" si="19"/>
        <v>249</v>
      </c>
      <c r="Q152" s="1247">
        <f t="shared" si="20"/>
        <v>1</v>
      </c>
    </row>
    <row r="153" spans="1:17" ht="12">
      <c r="A153" s="143" t="s">
        <v>7251</v>
      </c>
      <c r="B153" s="935">
        <v>250</v>
      </c>
      <c r="C153" s="36" t="s">
        <v>2837</v>
      </c>
      <c r="D153" s="1132">
        <v>39559</v>
      </c>
      <c r="E153" s="1132">
        <v>2082</v>
      </c>
      <c r="F153" s="809">
        <f t="shared" si="16"/>
        <v>1.0233654224399686</v>
      </c>
      <c r="G153" s="809">
        <f t="shared" si="17"/>
        <v>1</v>
      </c>
      <c r="H153" s="809">
        <f t="shared" si="18"/>
        <v>2.5252766180478901</v>
      </c>
      <c r="I153" s="37">
        <f t="shared" si="21"/>
        <v>97616.56544460445</v>
      </c>
      <c r="J153" s="799">
        <f t="shared" si="22"/>
        <v>5137.5840960506202</v>
      </c>
      <c r="L153" s="1451">
        <v>320580</v>
      </c>
      <c r="M153" s="1132">
        <v>329220</v>
      </c>
      <c r="N153" s="1436" t="s">
        <v>2921</v>
      </c>
      <c r="O153" s="1198" t="str">
        <f>IFERROR(VLOOKUP(P153,constant_ag_extr!$D$7:$E$594,2,FALSE),"")</f>
        <v>Coconuts</v>
      </c>
      <c r="P153" s="1199">
        <f t="shared" si="19"/>
        <v>249</v>
      </c>
      <c r="Q153" s="1247">
        <f t="shared" si="20"/>
        <v>0.2</v>
      </c>
    </row>
    <row r="154" spans="1:17" ht="12">
      <c r="A154" s="143" t="s">
        <v>904</v>
      </c>
      <c r="B154" s="935">
        <v>251</v>
      </c>
      <c r="C154" s="36" t="s">
        <v>905</v>
      </c>
      <c r="D154" s="1132">
        <v>16</v>
      </c>
      <c r="E154" s="1132">
        <v>41</v>
      </c>
      <c r="F154" s="809">
        <f t="shared" si="16"/>
        <v>1.0745336935619669</v>
      </c>
      <c r="G154" s="809">
        <f t="shared" si="17"/>
        <v>1</v>
      </c>
      <c r="H154" s="809">
        <f t="shared" si="18"/>
        <v>2.5252766180478901</v>
      </c>
      <c r="I154" s="903">
        <f t="shared" si="21"/>
        <v>37.601823126485492</v>
      </c>
      <c r="J154" s="799">
        <f t="shared" si="22"/>
        <v>96.354671761619073</v>
      </c>
      <c r="L154" s="1451">
        <v>78839</v>
      </c>
      <c r="M154" s="1132">
        <v>90561</v>
      </c>
      <c r="N154" s="1436" t="s">
        <v>2921</v>
      </c>
      <c r="O154" s="1198" t="str">
        <f>IFERROR(VLOOKUP(P154,constant_ag_extr!$D$7:$E$594,2,FALSE),"")</f>
        <v>Coconuts</v>
      </c>
      <c r="P154" s="1199">
        <f t="shared" si="19"/>
        <v>249</v>
      </c>
      <c r="Q154" s="1247">
        <f t="shared" si="20"/>
        <v>0.21</v>
      </c>
    </row>
    <row r="155" spans="1:17" ht="12">
      <c r="A155" s="143" t="s">
        <v>7299</v>
      </c>
      <c r="B155" s="935">
        <v>252</v>
      </c>
      <c r="C155" s="36" t="s">
        <v>3348</v>
      </c>
      <c r="D155" s="1132">
        <v>558517</v>
      </c>
      <c r="E155" s="1132">
        <v>25418</v>
      </c>
      <c r="F155" s="809">
        <f t="shared" si="16"/>
        <v>0.70369949358635131</v>
      </c>
      <c r="G155" s="809">
        <f t="shared" si="17"/>
        <v>1</v>
      </c>
      <c r="H155" s="809">
        <f t="shared" si="18"/>
        <v>2.5252766180478901</v>
      </c>
      <c r="I155" s="903">
        <f t="shared" si="21"/>
        <v>2004278.720870191</v>
      </c>
      <c r="J155" s="799">
        <f t="shared" si="22"/>
        <v>91214.334616633903</v>
      </c>
      <c r="L155" s="1451">
        <v>2220610</v>
      </c>
      <c r="M155" s="1132">
        <v>2206720</v>
      </c>
      <c r="N155" s="1436" t="s">
        <v>2921</v>
      </c>
      <c r="O155" s="1198" t="str">
        <f>IFERROR(VLOOKUP(P155,constant_ag_extr!$D$7:$E$594,2,FALSE),"")</f>
        <v>Coconuts</v>
      </c>
      <c r="P155" s="1199">
        <f t="shared" si="19"/>
        <v>249</v>
      </c>
      <c r="Q155" s="1247">
        <f t="shared" si="20"/>
        <v>0.13752653317297925</v>
      </c>
    </row>
    <row r="156" spans="1:17" ht="12">
      <c r="A156" s="143" t="s">
        <v>7199</v>
      </c>
      <c r="B156" s="935">
        <v>253</v>
      </c>
      <c r="C156" s="36" t="s">
        <v>1435</v>
      </c>
      <c r="D156" s="1132">
        <v>2130</v>
      </c>
      <c r="E156" s="1132">
        <v>205</v>
      </c>
      <c r="F156" s="809">
        <f t="shared" si="16"/>
        <v>5.6436105128895786</v>
      </c>
      <c r="G156" s="809">
        <f t="shared" si="17"/>
        <v>1</v>
      </c>
      <c r="H156" s="809">
        <f t="shared" si="18"/>
        <v>2.5252766180478901</v>
      </c>
      <c r="I156" s="903">
        <f t="shared" si="21"/>
        <v>953.08476447074872</v>
      </c>
      <c r="J156" s="799">
        <f t="shared" si="22"/>
        <v>91.728815359860803</v>
      </c>
      <c r="L156" s="1451">
        <v>1037390</v>
      </c>
      <c r="M156" s="1132">
        <v>1074610</v>
      </c>
      <c r="N156" s="1436" t="s">
        <v>2921</v>
      </c>
      <c r="O156" s="1198" t="str">
        <f>IFERROR(VLOOKUP(P156,constant_ag_extr!$D$7:$E$594,2,FALSE),"")</f>
        <v>Coconuts</v>
      </c>
      <c r="P156" s="1199">
        <f t="shared" si="19"/>
        <v>249</v>
      </c>
      <c r="Q156" s="1247">
        <f t="shared" si="20"/>
        <v>1.1029511822734341</v>
      </c>
    </row>
    <row r="157" spans="1:17" ht="12">
      <c r="A157" s="143" t="s">
        <v>805</v>
      </c>
      <c r="B157" s="935">
        <v>254</v>
      </c>
      <c r="C157" s="36" t="s">
        <v>806</v>
      </c>
      <c r="D157" s="1132"/>
      <c r="E157" s="1132"/>
      <c r="F157" s="809">
        <f t="shared" si="16"/>
        <v>14.572402155860942</v>
      </c>
      <c r="G157" s="809">
        <f t="shared" si="17"/>
        <v>1</v>
      </c>
      <c r="H157" s="809">
        <f t="shared" si="18"/>
        <v>2.5252766180478901</v>
      </c>
      <c r="I157" s="903">
        <f t="shared" si="21"/>
        <v>0</v>
      </c>
      <c r="J157" s="799">
        <f t="shared" si="22"/>
        <v>0</v>
      </c>
      <c r="L157" s="1451"/>
      <c r="M157" s="1132"/>
      <c r="N157" s="1436" t="s">
        <v>415</v>
      </c>
      <c r="O157" s="1198" t="str">
        <f>IFERROR(VLOOKUP(P157,constant_ag_extr!$D$7:$E$594,2,FALSE),"")</f>
        <v>Oil palm fruit</v>
      </c>
      <c r="P157" s="1199">
        <f t="shared" si="19"/>
        <v>254</v>
      </c>
      <c r="Q157" s="1247">
        <f t="shared" si="20"/>
        <v>1</v>
      </c>
    </row>
    <row r="158" spans="1:17" ht="12">
      <c r="A158" s="143" t="s">
        <v>3231</v>
      </c>
      <c r="B158" s="935">
        <v>256</v>
      </c>
      <c r="C158" s="36" t="s">
        <v>299</v>
      </c>
      <c r="D158" s="1132"/>
      <c r="E158" s="1132"/>
      <c r="F158" s="809">
        <f t="shared" si="16"/>
        <v>8.4679215649207382</v>
      </c>
      <c r="G158" s="809">
        <f t="shared" si="17"/>
        <v>1</v>
      </c>
      <c r="H158" s="809">
        <f t="shared" si="18"/>
        <v>2.5252766180478901</v>
      </c>
      <c r="I158" s="903">
        <f t="shared" si="21"/>
        <v>0</v>
      </c>
      <c r="J158" s="799">
        <f t="shared" si="22"/>
        <v>0</v>
      </c>
      <c r="L158" s="1451"/>
      <c r="M158" s="1132"/>
      <c r="N158" s="1436" t="s">
        <v>2921</v>
      </c>
      <c r="O158" s="1198" t="str">
        <f>IFERROR(VLOOKUP(P158,constant_ag_extr!$D$7:$E$594,2,FALSE),"")</f>
        <v>Oil palm fruit</v>
      </c>
      <c r="P158" s="1199">
        <f t="shared" si="19"/>
        <v>254</v>
      </c>
      <c r="Q158" s="1247">
        <f t="shared" si="20"/>
        <v>0.58109304659252659</v>
      </c>
    </row>
    <row r="159" spans="1:17" ht="12">
      <c r="A159" s="143" t="s">
        <v>7307</v>
      </c>
      <c r="B159" s="935">
        <v>257</v>
      </c>
      <c r="C159" s="36" t="s">
        <v>4168</v>
      </c>
      <c r="D159" s="1132">
        <v>1373180</v>
      </c>
      <c r="E159" s="1132">
        <v>98216</v>
      </c>
      <c r="F159" s="809">
        <f t="shared" si="16"/>
        <v>3.0875581776723227</v>
      </c>
      <c r="G159" s="809">
        <f t="shared" si="17"/>
        <v>1</v>
      </c>
      <c r="H159" s="809">
        <f t="shared" si="18"/>
        <v>2.5252766180478901</v>
      </c>
      <c r="I159" s="903">
        <f t="shared" si="21"/>
        <v>1123107.3705581909</v>
      </c>
      <c r="J159" s="799">
        <f t="shared" si="22"/>
        <v>80329.68256655593</v>
      </c>
      <c r="L159" s="1451">
        <v>43862800</v>
      </c>
      <c r="M159" s="1132">
        <v>41654500</v>
      </c>
      <c r="N159" s="1436" t="s">
        <v>2921</v>
      </c>
      <c r="O159" s="1198" t="str">
        <f>IFERROR(VLOOKUP(P159,constant_ag_extr!$D$7:$E$594,2,FALSE),"")</f>
        <v>Oil palm fruit</v>
      </c>
      <c r="P159" s="1199">
        <f t="shared" si="19"/>
        <v>254</v>
      </c>
      <c r="Q159" s="1247">
        <f t="shared" si="20"/>
        <v>0.21187709100043764</v>
      </c>
    </row>
    <row r="160" spans="1:17" ht="12">
      <c r="A160" s="143" t="s">
        <v>7308</v>
      </c>
      <c r="B160" s="935">
        <v>258</v>
      </c>
      <c r="C160" s="36" t="s">
        <v>3230</v>
      </c>
      <c r="D160" s="1132">
        <v>292119</v>
      </c>
      <c r="E160" s="1132">
        <v>5774</v>
      </c>
      <c r="F160" s="809">
        <f t="shared" si="16"/>
        <v>4.3815626472249454</v>
      </c>
      <c r="G160" s="809">
        <f t="shared" si="17"/>
        <v>1</v>
      </c>
      <c r="H160" s="809">
        <f t="shared" si="18"/>
        <v>2.5252766180478901</v>
      </c>
      <c r="I160" s="903">
        <f t="shared" si="21"/>
        <v>168360.31794609639</v>
      </c>
      <c r="J160" s="799">
        <f t="shared" si="22"/>
        <v>3327.7961235686844</v>
      </c>
      <c r="L160" s="1451">
        <v>3163000</v>
      </c>
      <c r="M160" s="1132">
        <v>3233270</v>
      </c>
      <c r="N160" s="1436" t="s">
        <v>2921</v>
      </c>
      <c r="O160" s="1198" t="str">
        <f>IFERROR(VLOOKUP(P160,constant_ag_extr!$D$7:$E$594,2,FALSE),"")</f>
        <v>Oil palm fruit</v>
      </c>
      <c r="P160" s="1199">
        <f t="shared" si="19"/>
        <v>254</v>
      </c>
      <c r="Q160" s="1247">
        <f t="shared" si="20"/>
        <v>0.30067538627889873</v>
      </c>
    </row>
    <row r="161" spans="1:17" ht="12">
      <c r="A161" s="143" t="s">
        <v>7200</v>
      </c>
      <c r="B161" s="935">
        <v>259</v>
      </c>
      <c r="C161" s="36" t="s">
        <v>3574</v>
      </c>
      <c r="D161" s="1132">
        <v>0</v>
      </c>
      <c r="E161" s="1132">
        <v>22</v>
      </c>
      <c r="F161" s="809">
        <f t="shared" si="16"/>
        <v>39.672375142723119</v>
      </c>
      <c r="G161" s="809">
        <f t="shared" si="17"/>
        <v>1</v>
      </c>
      <c r="H161" s="809">
        <f t="shared" si="18"/>
        <v>2.5252766180478901</v>
      </c>
      <c r="I161" s="903">
        <f t="shared" si="21"/>
        <v>0</v>
      </c>
      <c r="J161" s="799">
        <f t="shared" si="22"/>
        <v>1.4003720573116207</v>
      </c>
      <c r="L161" s="1451">
        <v>7375510</v>
      </c>
      <c r="M161" s="1132">
        <v>6761830</v>
      </c>
      <c r="N161" s="1436" t="s">
        <v>2921</v>
      </c>
      <c r="O161" s="1198" t="str">
        <f>IFERROR(VLOOKUP(P161,constant_ag_extr!$D$7:$E$594,2,FALSE),"")</f>
        <v>Oil palm fruit</v>
      </c>
      <c r="P161" s="1199">
        <f t="shared" si="19"/>
        <v>254</v>
      </c>
      <c r="Q161" s="1247">
        <f t="shared" si="20"/>
        <v>2.7224320821236123</v>
      </c>
    </row>
    <row r="162" spans="1:17" ht="12">
      <c r="A162" s="143" t="s">
        <v>3874</v>
      </c>
      <c r="B162" s="935">
        <v>260</v>
      </c>
      <c r="C162" s="36" t="s">
        <v>2981</v>
      </c>
      <c r="D162" s="1132">
        <v>9177</v>
      </c>
      <c r="E162" s="1132">
        <v>272</v>
      </c>
      <c r="F162" s="809">
        <f t="shared" si="16"/>
        <v>2.1138840221530404</v>
      </c>
      <c r="G162" s="809">
        <f t="shared" si="17"/>
        <v>1</v>
      </c>
      <c r="H162" s="809">
        <f t="shared" si="18"/>
        <v>2.5252766180478901</v>
      </c>
      <c r="I162" s="903">
        <f t="shared" si="21"/>
        <v>10962.977760824244</v>
      </c>
      <c r="J162" s="799">
        <f t="shared" si="22"/>
        <v>324.93515865143235</v>
      </c>
      <c r="L162" s="1451">
        <v>51760</v>
      </c>
      <c r="M162" s="1132">
        <v>68310</v>
      </c>
      <c r="N162" s="1436" t="s">
        <v>415</v>
      </c>
      <c r="O162" s="1198" t="str">
        <f>IFERROR(VLOOKUP(P162,constant_ag_extr!$D$7:$E$594,2,FALSE),"")</f>
        <v>Olives</v>
      </c>
      <c r="P162" s="1199">
        <f t="shared" si="19"/>
        <v>260</v>
      </c>
      <c r="Q162" s="1247">
        <f t="shared" si="20"/>
        <v>1</v>
      </c>
    </row>
    <row r="163" spans="1:17" ht="12">
      <c r="A163" s="143" t="s">
        <v>7306</v>
      </c>
      <c r="B163" s="935">
        <v>261</v>
      </c>
      <c r="C163" s="36" t="s">
        <v>3873</v>
      </c>
      <c r="D163" s="1132">
        <v>281406</v>
      </c>
      <c r="E163" s="1132">
        <v>12330</v>
      </c>
      <c r="F163" s="809">
        <f t="shared" si="16"/>
        <v>0.44801695888773607</v>
      </c>
      <c r="G163" s="809">
        <f t="shared" si="17"/>
        <v>1</v>
      </c>
      <c r="H163" s="809">
        <f t="shared" si="18"/>
        <v>2.5252766180478901</v>
      </c>
      <c r="I163" s="903">
        <f t="shared" si="21"/>
        <v>1586163.1527132737</v>
      </c>
      <c r="J163" s="799">
        <f t="shared" si="22"/>
        <v>69498.843922854037</v>
      </c>
      <c r="L163" s="1451">
        <v>1776190</v>
      </c>
      <c r="M163" s="1132">
        <v>1700640</v>
      </c>
      <c r="N163" s="1436" t="s">
        <v>2921</v>
      </c>
      <c r="O163" s="1198" t="str">
        <f>IFERROR(VLOOKUP(P163,constant_ag_extr!$D$7:$E$594,2,FALSE),"")</f>
        <v>Olives</v>
      </c>
      <c r="P163" s="1199">
        <f t="shared" si="19"/>
        <v>260</v>
      </c>
      <c r="Q163" s="1247">
        <f t="shared" si="20"/>
        <v>0.21194017940086435</v>
      </c>
    </row>
    <row r="164" spans="1:17" ht="12">
      <c r="A164" s="143" t="s">
        <v>4758</v>
      </c>
      <c r="B164" s="935">
        <v>262</v>
      </c>
      <c r="C164" s="36" t="s">
        <v>4759</v>
      </c>
      <c r="D164" s="1132">
        <v>135435</v>
      </c>
      <c r="E164" s="1132">
        <v>8685</v>
      </c>
      <c r="F164" s="809">
        <f t="shared" si="16"/>
        <v>2.1138840221530404</v>
      </c>
      <c r="G164" s="809">
        <f t="shared" si="17"/>
        <v>1</v>
      </c>
      <c r="H164" s="809">
        <f t="shared" si="18"/>
        <v>2.5252766180478901</v>
      </c>
      <c r="I164" s="903">
        <f t="shared" si="21"/>
        <v>161792.62210278213</v>
      </c>
      <c r="J164" s="799">
        <f t="shared" si="22"/>
        <v>10375.22740032239</v>
      </c>
      <c r="L164" s="1451">
        <v>1087150</v>
      </c>
      <c r="M164" s="1132">
        <v>1008820</v>
      </c>
      <c r="N164" s="1436" t="s">
        <v>2921</v>
      </c>
      <c r="O164" s="1198" t="str">
        <f>IFERROR(VLOOKUP(P164,constant_ag_extr!$D$7:$E$594,2,FALSE),"")</f>
        <v>Olives</v>
      </c>
      <c r="P164" s="1199">
        <f t="shared" si="19"/>
        <v>260</v>
      </c>
      <c r="Q164" s="1247">
        <f t="shared" si="20"/>
        <v>1</v>
      </c>
    </row>
    <row r="165" spans="1:17" ht="12">
      <c r="A165" s="143" t="s">
        <v>4053</v>
      </c>
      <c r="B165" s="935">
        <v>263</v>
      </c>
      <c r="C165" s="36" t="s">
        <v>1485</v>
      </c>
      <c r="D165" s="1132"/>
      <c r="E165" s="1132"/>
      <c r="F165" s="809">
        <f t="shared" si="16"/>
        <v>1.2793891836116147</v>
      </c>
      <c r="G165" s="809">
        <f t="shared" si="17"/>
        <v>1</v>
      </c>
      <c r="H165" s="809">
        <f t="shared" si="18"/>
        <v>2.5252766180478901</v>
      </c>
      <c r="I165" s="903">
        <f t="shared" si="21"/>
        <v>0</v>
      </c>
      <c r="J165" s="799">
        <f t="shared" si="22"/>
        <v>0</v>
      </c>
      <c r="L165" s="1451"/>
      <c r="M165" s="1132"/>
      <c r="N165" s="1436" t="s">
        <v>415</v>
      </c>
      <c r="O165" s="1198" t="str">
        <f>IFERROR(VLOOKUP(P165,constant_ag_extr!$D$7:$E$594,2,FALSE),"")</f>
        <v>Karite Nuts (Sheanuts)</v>
      </c>
      <c r="P165" s="1199">
        <f t="shared" si="19"/>
        <v>263</v>
      </c>
      <c r="Q165" s="1247">
        <f t="shared" si="20"/>
        <v>1</v>
      </c>
    </row>
    <row r="166" spans="1:17" ht="12">
      <c r="A166" s="143" t="s">
        <v>105</v>
      </c>
      <c r="B166" s="935">
        <v>264</v>
      </c>
      <c r="C166" s="36" t="e">
        <v>#N/A</v>
      </c>
      <c r="D166" s="1132"/>
      <c r="E166" s="1132"/>
      <c r="F166" s="809">
        <f t="shared" si="16"/>
        <v>1.2793891836116147</v>
      </c>
      <c r="G166" s="809">
        <f t="shared" si="17"/>
        <v>1</v>
      </c>
      <c r="H166" s="809">
        <f t="shared" si="18"/>
        <v>2.5252766180478901</v>
      </c>
      <c r="I166" s="903">
        <f t="shared" si="21"/>
        <v>0</v>
      </c>
      <c r="J166" s="799">
        <f t="shared" si="22"/>
        <v>0</v>
      </c>
      <c r="L166" s="1451">
        <v>0</v>
      </c>
      <c r="M166" s="1132">
        <v>0</v>
      </c>
      <c r="N166" s="1436" t="s">
        <v>2921</v>
      </c>
      <c r="O166" s="1198" t="str">
        <f>IFERROR(VLOOKUP(P166,constant_ag_extr!$D$7:$E$594,2,FALSE),"")</f>
        <v>Karite Nuts (Sheanuts)</v>
      </c>
      <c r="P166" s="1199">
        <f t="shared" si="19"/>
        <v>263</v>
      </c>
      <c r="Q166" s="1247">
        <f t="shared" si="20"/>
        <v>1</v>
      </c>
    </row>
    <row r="167" spans="1:17" ht="12">
      <c r="A167" s="143" t="s">
        <v>3879</v>
      </c>
      <c r="B167" s="935">
        <v>265</v>
      </c>
      <c r="C167" s="36" t="s">
        <v>5482</v>
      </c>
      <c r="D167" s="1132"/>
      <c r="E167" s="1132"/>
      <c r="F167" s="809">
        <f t="shared" si="16"/>
        <v>1.2260497781534769</v>
      </c>
      <c r="G167" s="809">
        <f t="shared" si="17"/>
        <v>1</v>
      </c>
      <c r="H167" s="809">
        <f t="shared" si="18"/>
        <v>2.5252766180478901</v>
      </c>
      <c r="I167" s="903">
        <f t="shared" si="21"/>
        <v>0</v>
      </c>
      <c r="J167" s="799">
        <f t="shared" si="22"/>
        <v>0</v>
      </c>
      <c r="L167" s="1451"/>
      <c r="M167" s="1132"/>
      <c r="N167" s="1436" t="s">
        <v>415</v>
      </c>
      <c r="O167" s="1198" t="str">
        <f>IFERROR(VLOOKUP(P167,constant_ag_extr!$D$7:$E$594,2,FALSE),"")</f>
        <v>Castor oil seed</v>
      </c>
      <c r="P167" s="1199">
        <f t="shared" si="19"/>
        <v>265</v>
      </c>
      <c r="Q167" s="1247">
        <f t="shared" si="20"/>
        <v>1</v>
      </c>
    </row>
    <row r="168" spans="1:17" ht="12">
      <c r="A168" s="143" t="s">
        <v>7298</v>
      </c>
      <c r="B168" s="935">
        <v>266</v>
      </c>
      <c r="C168" s="36" t="s">
        <v>3044</v>
      </c>
      <c r="D168" s="1132">
        <v>53287</v>
      </c>
      <c r="E168" s="1132">
        <v>9802</v>
      </c>
      <c r="F168" s="809">
        <f t="shared" si="16"/>
        <v>0.49041991126139078</v>
      </c>
      <c r="G168" s="809">
        <f t="shared" si="17"/>
        <v>1</v>
      </c>
      <c r="H168" s="809">
        <f t="shared" si="18"/>
        <v>2.5252766180478901</v>
      </c>
      <c r="I168" s="37">
        <f t="shared" si="21"/>
        <v>274386.11699066171</v>
      </c>
      <c r="J168" s="799">
        <f t="shared" si="22"/>
        <v>50472.586535974369</v>
      </c>
      <c r="L168" s="1451">
        <v>581980</v>
      </c>
      <c r="M168" s="1132">
        <v>707304</v>
      </c>
      <c r="N168" s="1436" t="s">
        <v>2921</v>
      </c>
      <c r="O168" s="1198" t="str">
        <f>IFERROR(VLOOKUP(P168,constant_ag_extr!$D$7:$E$594,2,FALSE),"")</f>
        <v>Castor oil seed</v>
      </c>
      <c r="P168" s="1199">
        <f t="shared" si="19"/>
        <v>265</v>
      </c>
      <c r="Q168" s="1247">
        <f t="shared" si="20"/>
        <v>0.4</v>
      </c>
    </row>
    <row r="169" spans="1:17" ht="12">
      <c r="A169" s="143" t="s">
        <v>3916</v>
      </c>
      <c r="B169" s="935">
        <v>267</v>
      </c>
      <c r="C169" s="36" t="s">
        <v>3690</v>
      </c>
      <c r="D169" s="1132">
        <v>50601</v>
      </c>
      <c r="E169" s="1132">
        <v>141869</v>
      </c>
      <c r="F169" s="809">
        <f t="shared" si="16"/>
        <v>1.7244425675629544</v>
      </c>
      <c r="G169" s="809">
        <f t="shared" si="17"/>
        <v>1</v>
      </c>
      <c r="H169" s="809">
        <f t="shared" si="18"/>
        <v>2.5252766180478901</v>
      </c>
      <c r="I169" s="903">
        <f t="shared" si="21"/>
        <v>74100.190144590801</v>
      </c>
      <c r="J169" s="799">
        <f t="shared" si="22"/>
        <v>207753.20400037454</v>
      </c>
      <c r="L169" s="1451">
        <v>4720450</v>
      </c>
      <c r="M169" s="1132">
        <v>5295520</v>
      </c>
      <c r="N169" s="1436" t="s">
        <v>415</v>
      </c>
      <c r="O169" s="1198" t="str">
        <f>IFERROR(VLOOKUP(P169,constant_ag_extr!$D$7:$E$594,2,FALSE),"")</f>
        <v>Sunflower seed</v>
      </c>
      <c r="P169" s="1199">
        <f t="shared" si="19"/>
        <v>267</v>
      </c>
      <c r="Q169" s="1247">
        <f t="shared" si="20"/>
        <v>1</v>
      </c>
    </row>
    <row r="170" spans="1:17" ht="12">
      <c r="A170" s="143" t="s">
        <v>7315</v>
      </c>
      <c r="B170" s="935">
        <v>268</v>
      </c>
      <c r="C170" s="36" t="s">
        <v>3170</v>
      </c>
      <c r="D170" s="1132">
        <v>27885</v>
      </c>
      <c r="E170" s="1132">
        <v>33694</v>
      </c>
      <c r="F170" s="809">
        <f t="shared" si="16"/>
        <v>0.84775140786752246</v>
      </c>
      <c r="G170" s="809">
        <f t="shared" si="17"/>
        <v>1</v>
      </c>
      <c r="H170" s="809">
        <f t="shared" si="18"/>
        <v>2.5252766180478901</v>
      </c>
      <c r="I170" s="903">
        <f t="shared" si="21"/>
        <v>83063.664466682298</v>
      </c>
      <c r="J170" s="799">
        <f t="shared" si="22"/>
        <v>100367.47751624147</v>
      </c>
      <c r="L170" s="1451">
        <v>8201610</v>
      </c>
      <c r="M170" s="1132">
        <v>8479690</v>
      </c>
      <c r="N170" s="1436" t="s">
        <v>2921</v>
      </c>
      <c r="O170" s="1198" t="str">
        <f>IFERROR(VLOOKUP(P170,constant_ag_extr!$D$7:$E$594,2,FALSE),"")</f>
        <v>Sunflower seed</v>
      </c>
      <c r="P170" s="1199">
        <f t="shared" si="19"/>
        <v>267</v>
      </c>
      <c r="Q170" s="1247">
        <f t="shared" si="20"/>
        <v>0.49160895457689602</v>
      </c>
    </row>
    <row r="171" spans="1:17" ht="12">
      <c r="A171" s="143" t="s">
        <v>7201</v>
      </c>
      <c r="B171" s="935">
        <v>269</v>
      </c>
      <c r="C171" s="36" t="s">
        <v>3620</v>
      </c>
      <c r="D171" s="1132">
        <v>922</v>
      </c>
      <c r="E171" s="1132">
        <v>6284</v>
      </c>
      <c r="F171" s="809">
        <f t="shared" si="16"/>
        <v>4.8823461072804504</v>
      </c>
      <c r="G171" s="809">
        <f t="shared" si="17"/>
        <v>1</v>
      </c>
      <c r="H171" s="809">
        <f t="shared" si="18"/>
        <v>2.5252766180478901</v>
      </c>
      <c r="I171" s="903">
        <f t="shared" si="21"/>
        <v>476.88242305645554</v>
      </c>
      <c r="J171" s="799">
        <f t="shared" si="22"/>
        <v>3250.2485319813086</v>
      </c>
      <c r="L171" s="1451">
        <v>6409620</v>
      </c>
      <c r="M171" s="1132">
        <v>6657000</v>
      </c>
      <c r="N171" s="1436" t="s">
        <v>2921</v>
      </c>
      <c r="O171" s="1198" t="str">
        <f>IFERROR(VLOOKUP(P171,constant_ag_extr!$D$7:$E$594,2,FALSE),"")</f>
        <v>Sunflower seed</v>
      </c>
      <c r="P171" s="1199">
        <f t="shared" si="19"/>
        <v>267</v>
      </c>
      <c r="Q171" s="1247">
        <f t="shared" si="20"/>
        <v>2.8312604891100324</v>
      </c>
    </row>
    <row r="172" spans="1:17" ht="12">
      <c r="A172" s="143" t="s">
        <v>5561</v>
      </c>
      <c r="B172" s="935">
        <v>270</v>
      </c>
      <c r="C172" s="36" t="s">
        <v>4680</v>
      </c>
      <c r="D172" s="1132">
        <v>589579</v>
      </c>
      <c r="E172" s="1132">
        <v>126351</v>
      </c>
      <c r="F172" s="809">
        <f t="shared" si="16"/>
        <v>1.9909744057839034</v>
      </c>
      <c r="G172" s="809">
        <f t="shared" si="17"/>
        <v>1</v>
      </c>
      <c r="H172" s="809">
        <f t="shared" si="18"/>
        <v>2.5252766180478901</v>
      </c>
      <c r="I172" s="903">
        <f t="shared" si="21"/>
        <v>747799.69991922332</v>
      </c>
      <c r="J172" s="799">
        <f t="shared" si="22"/>
        <v>160258.82856155626</v>
      </c>
      <c r="L172" s="1451">
        <v>20560000</v>
      </c>
      <c r="M172" s="1132">
        <v>21215800</v>
      </c>
      <c r="N172" s="1436" t="s">
        <v>415</v>
      </c>
      <c r="O172" s="1198" t="str">
        <f>IFERROR(VLOOKUP(P172,constant_ag_extr!$D$7:$E$594,2,FALSE),"")</f>
        <v>Rapeseed</v>
      </c>
      <c r="P172" s="1199">
        <f t="shared" si="19"/>
        <v>270</v>
      </c>
      <c r="Q172" s="1247">
        <f t="shared" si="20"/>
        <v>1</v>
      </c>
    </row>
    <row r="173" spans="1:17" ht="12">
      <c r="A173" s="143" t="s">
        <v>7310</v>
      </c>
      <c r="B173" s="935">
        <v>271</v>
      </c>
      <c r="C173" s="36" t="s">
        <v>5563</v>
      </c>
      <c r="D173" s="1132">
        <v>1271530</v>
      </c>
      <c r="E173" s="1132">
        <v>138493</v>
      </c>
      <c r="F173" s="809">
        <f t="shared" si="16"/>
        <v>0.99997191748996161</v>
      </c>
      <c r="G173" s="809">
        <f t="shared" si="17"/>
        <v>1</v>
      </c>
      <c r="H173" s="809">
        <f t="shared" si="18"/>
        <v>2.5252766180478901</v>
      </c>
      <c r="I173" s="903">
        <f t="shared" si="21"/>
        <v>3211055.1526349913</v>
      </c>
      <c r="J173" s="799">
        <f t="shared" si="22"/>
        <v>349742.95632338827</v>
      </c>
      <c r="L173" s="1451">
        <v>6398140</v>
      </c>
      <c r="M173" s="1132">
        <v>7166830</v>
      </c>
      <c r="N173" s="1436" t="s">
        <v>2921</v>
      </c>
      <c r="O173" s="1198" t="str">
        <f>IFERROR(VLOOKUP(P173,constant_ag_extr!$D$7:$E$594,2,FALSE),"")</f>
        <v>Rapeseed</v>
      </c>
      <c r="P173" s="1199">
        <f t="shared" si="19"/>
        <v>270</v>
      </c>
      <c r="Q173" s="1247">
        <f t="shared" si="20"/>
        <v>0.50225252247592012</v>
      </c>
    </row>
    <row r="174" spans="1:17" ht="12">
      <c r="A174" s="143" t="s">
        <v>7202</v>
      </c>
      <c r="B174" s="935">
        <v>272</v>
      </c>
      <c r="C174" s="36" t="s">
        <v>516</v>
      </c>
      <c r="D174" s="1132">
        <v>3135230</v>
      </c>
      <c r="E174" s="1132">
        <v>59709</v>
      </c>
      <c r="F174" s="809">
        <f t="shared" si="16"/>
        <v>4.9077363668480078</v>
      </c>
      <c r="G174" s="809">
        <f t="shared" si="17"/>
        <v>1</v>
      </c>
      <c r="H174" s="809">
        <f t="shared" si="18"/>
        <v>2.5252766180478901</v>
      </c>
      <c r="I174" s="903">
        <f t="shared" si="21"/>
        <v>1613233.1525964146</v>
      </c>
      <c r="J174" s="799">
        <f t="shared" si="22"/>
        <v>30723.276540598086</v>
      </c>
      <c r="L174" s="1451">
        <v>10034200</v>
      </c>
      <c r="M174" s="1132">
        <v>10601600</v>
      </c>
      <c r="N174" s="1436" t="s">
        <v>2921</v>
      </c>
      <c r="O174" s="1198" t="str">
        <f>IFERROR(VLOOKUP(P174,constant_ag_extr!$D$7:$E$594,2,FALSE),"")</f>
        <v>Rapeseed</v>
      </c>
      <c r="P174" s="1199">
        <f t="shared" si="19"/>
        <v>270</v>
      </c>
      <c r="Q174" s="1247">
        <f t="shared" si="20"/>
        <v>2.464992193064226</v>
      </c>
    </row>
    <row r="175" spans="1:17" ht="12">
      <c r="A175" s="143" t="s">
        <v>634</v>
      </c>
      <c r="B175" s="935">
        <v>273</v>
      </c>
      <c r="C175" s="36" t="s">
        <v>4755</v>
      </c>
      <c r="D175" s="1132"/>
      <c r="E175" s="1132"/>
      <c r="F175" s="809">
        <f t="shared" si="16"/>
        <v>15.008717837365316</v>
      </c>
      <c r="G175" s="809">
        <f t="shared" si="17"/>
        <v>1</v>
      </c>
      <c r="H175" s="809">
        <f t="shared" si="18"/>
        <v>2.5252766180478901</v>
      </c>
      <c r="I175" s="37">
        <f t="shared" si="21"/>
        <v>0</v>
      </c>
      <c r="J175" s="799">
        <f t="shared" si="22"/>
        <v>0</v>
      </c>
      <c r="L175" s="1451"/>
      <c r="M175" s="1132"/>
      <c r="N175" s="1436" t="s">
        <v>2921</v>
      </c>
      <c r="O175" s="1198" t="str">
        <f>IFERROR(VLOOKUP(P175,constant_ag_extr!$D$7:$E$594,2,FALSE),"")</f>
        <v>Olives</v>
      </c>
      <c r="P175" s="1199">
        <f t="shared" si="19"/>
        <v>260</v>
      </c>
      <c r="Q175" s="1247">
        <f t="shared" si="20"/>
        <v>7.100066834356686</v>
      </c>
    </row>
    <row r="176" spans="1:17" ht="12">
      <c r="A176" s="143" t="s">
        <v>7305</v>
      </c>
      <c r="B176" s="935">
        <v>274</v>
      </c>
      <c r="C176" s="36" t="s">
        <v>4755</v>
      </c>
      <c r="D176" s="1132">
        <v>9208</v>
      </c>
      <c r="E176" s="1132">
        <v>835</v>
      </c>
      <c r="F176" s="809">
        <f t="shared" si="16"/>
        <v>0.75043589186826587</v>
      </c>
      <c r="G176" s="809">
        <f t="shared" si="17"/>
        <v>1</v>
      </c>
      <c r="H176" s="809">
        <f t="shared" si="18"/>
        <v>2.5252766180478901</v>
      </c>
      <c r="I176" s="903">
        <f t="shared" si="21"/>
        <v>30985.654272339681</v>
      </c>
      <c r="J176" s="799">
        <f t="shared" si="22"/>
        <v>2809.8415852957901</v>
      </c>
      <c r="L176" s="1451">
        <v>153926</v>
      </c>
      <c r="M176" s="1132">
        <v>182802</v>
      </c>
      <c r="N176" s="1436" t="s">
        <v>2921</v>
      </c>
      <c r="O176" s="1198" t="str">
        <f>IFERROR(VLOOKUP(P176,constant_ag_extr!$D$7:$E$594,2,FALSE),"")</f>
        <v>Olives</v>
      </c>
      <c r="P176" s="1199">
        <f t="shared" si="19"/>
        <v>260</v>
      </c>
      <c r="Q176" s="1247">
        <f t="shared" si="20"/>
        <v>0.35500334171783432</v>
      </c>
    </row>
    <row r="177" spans="1:17" ht="12">
      <c r="A177" s="143" t="s">
        <v>3699</v>
      </c>
      <c r="B177" s="935">
        <v>275</v>
      </c>
      <c r="C177" s="36" t="s">
        <v>3700</v>
      </c>
      <c r="D177" s="1132"/>
      <c r="E177" s="1132"/>
      <c r="F177" s="809">
        <f t="shared" si="16"/>
        <v>2.6887916926557209</v>
      </c>
      <c r="G177" s="809">
        <f t="shared" si="17"/>
        <v>1</v>
      </c>
      <c r="H177" s="809">
        <f t="shared" si="18"/>
        <v>2.5252766180478901</v>
      </c>
      <c r="I177" s="903">
        <f t="shared" si="21"/>
        <v>0</v>
      </c>
      <c r="J177" s="799">
        <f t="shared" si="22"/>
        <v>0</v>
      </c>
      <c r="L177" s="1451"/>
      <c r="M177" s="1132"/>
      <c r="N177" s="1436" t="s">
        <v>415</v>
      </c>
      <c r="O177" s="1198" t="str">
        <f>IFERROR(VLOOKUP(P177,constant_ag_extr!$D$7:$E$594,2,FALSE),"")</f>
        <v>Tung Nuts</v>
      </c>
      <c r="P177" s="1199">
        <f t="shared" si="19"/>
        <v>275</v>
      </c>
      <c r="Q177" s="1247">
        <f t="shared" si="20"/>
        <v>1</v>
      </c>
    </row>
    <row r="178" spans="1:17" ht="12">
      <c r="A178" s="143" t="s">
        <v>4756</v>
      </c>
      <c r="B178" s="935">
        <v>276</v>
      </c>
      <c r="C178" s="36" t="s">
        <v>4757</v>
      </c>
      <c r="D178" s="1132"/>
      <c r="E178" s="1132"/>
      <c r="F178" s="809">
        <f t="shared" si="16"/>
        <v>1.3443958463278605</v>
      </c>
      <c r="G178" s="809">
        <f t="shared" si="17"/>
        <v>1</v>
      </c>
      <c r="H178" s="809">
        <f t="shared" si="18"/>
        <v>2.5252766180478901</v>
      </c>
      <c r="I178" s="903">
        <f t="shared" si="21"/>
        <v>0</v>
      </c>
      <c r="J178" s="799">
        <f t="shared" si="22"/>
        <v>0</v>
      </c>
      <c r="L178" s="1451"/>
      <c r="M178" s="1132"/>
      <c r="N178" s="1436" t="s">
        <v>2921</v>
      </c>
      <c r="O178" s="1198" t="str">
        <f>IFERROR(VLOOKUP(P178,constant_ag_extr!$D$7:$E$594,2,FALSE),"")</f>
        <v>Tung Nuts</v>
      </c>
      <c r="P178" s="1199">
        <f t="shared" si="19"/>
        <v>275</v>
      </c>
      <c r="Q178" s="1247">
        <f t="shared" si="20"/>
        <v>0.5</v>
      </c>
    </row>
    <row r="179" spans="1:17" ht="12">
      <c r="A179" s="143" t="s">
        <v>936</v>
      </c>
      <c r="B179" s="935">
        <v>278</v>
      </c>
      <c r="C179" s="36" t="s">
        <v>937</v>
      </c>
      <c r="D179" s="1132"/>
      <c r="E179" s="1132"/>
      <c r="F179" s="809">
        <f t="shared" si="16"/>
        <v>0.17774110327036202</v>
      </c>
      <c r="G179" s="809">
        <f t="shared" si="17"/>
        <v>1</v>
      </c>
      <c r="H179" s="809">
        <f t="shared" si="18"/>
        <v>2.5252766180478901</v>
      </c>
      <c r="I179" s="903">
        <f t="shared" si="21"/>
        <v>0</v>
      </c>
      <c r="J179" s="799">
        <f t="shared" si="22"/>
        <v>0</v>
      </c>
      <c r="L179" s="1451"/>
      <c r="M179" s="1132"/>
      <c r="N179" s="1436" t="s">
        <v>2921</v>
      </c>
      <c r="O179" s="1198" t="str">
        <f>IFERROR(VLOOKUP(P179,constant_ag_extr!$D$7:$E$594,2,FALSE),"")</f>
        <v>Jojoba seed</v>
      </c>
      <c r="P179" s="1199">
        <f t="shared" si="19"/>
        <v>277</v>
      </c>
      <c r="Q179" s="1247">
        <f t="shared" si="20"/>
        <v>0.43</v>
      </c>
    </row>
    <row r="180" spans="1:17" ht="12">
      <c r="A180" s="143" t="s">
        <v>5322</v>
      </c>
      <c r="B180" s="935">
        <v>280</v>
      </c>
      <c r="C180" s="36" t="s">
        <v>5323</v>
      </c>
      <c r="D180" s="1132"/>
      <c r="E180" s="1132"/>
      <c r="F180" s="809">
        <f t="shared" si="16"/>
        <v>0.80043463365784162</v>
      </c>
      <c r="G180" s="809">
        <f t="shared" si="17"/>
        <v>1</v>
      </c>
      <c r="H180" s="809">
        <f t="shared" si="18"/>
        <v>2.5252766180478901</v>
      </c>
      <c r="I180" s="903">
        <f t="shared" si="21"/>
        <v>0</v>
      </c>
      <c r="J180" s="799">
        <f t="shared" si="22"/>
        <v>0</v>
      </c>
      <c r="L180" s="1451"/>
      <c r="M180" s="1132"/>
      <c r="N180" s="1436" t="s">
        <v>415</v>
      </c>
      <c r="O180" s="1198" t="str">
        <f>IFERROR(VLOOKUP(P180,constant_ag_extr!$D$7:$E$594,2,FALSE),"")</f>
        <v>Safflower seed</v>
      </c>
      <c r="P180" s="1199">
        <f t="shared" si="19"/>
        <v>280</v>
      </c>
      <c r="Q180" s="1247">
        <f t="shared" si="20"/>
        <v>1</v>
      </c>
    </row>
    <row r="181" spans="1:17" ht="12">
      <c r="A181" s="143" t="s">
        <v>7312</v>
      </c>
      <c r="B181" s="935">
        <v>281</v>
      </c>
      <c r="C181" s="36" t="s">
        <v>2295</v>
      </c>
      <c r="D181" s="1132">
        <v>30970</v>
      </c>
      <c r="E181" s="1132">
        <v>16531</v>
      </c>
      <c r="F181" s="809">
        <f t="shared" si="16"/>
        <v>1.7695197356747066</v>
      </c>
      <c r="G181" s="809">
        <f t="shared" si="17"/>
        <v>1</v>
      </c>
      <c r="H181" s="809">
        <f t="shared" si="18"/>
        <v>2.5252766180478901</v>
      </c>
      <c r="I181" s="903">
        <f t="shared" si="21"/>
        <v>44197.199547550124</v>
      </c>
      <c r="J181" s="799">
        <f t="shared" si="22"/>
        <v>23591.343420101748</v>
      </c>
      <c r="L181" s="1451">
        <v>76687</v>
      </c>
      <c r="M181" s="1132">
        <v>39382</v>
      </c>
      <c r="N181" s="1436" t="s">
        <v>2921</v>
      </c>
      <c r="O181" s="1198" t="str">
        <f>IFERROR(VLOOKUP(P181,constant_ag_extr!$D$7:$E$594,2,FALSE),"")</f>
        <v>Safflower seed</v>
      </c>
      <c r="P181" s="1199">
        <f t="shared" si="19"/>
        <v>280</v>
      </c>
      <c r="Q181" s="1247">
        <f t="shared" si="20"/>
        <v>2.2106986145618426</v>
      </c>
    </row>
    <row r="182" spans="1:17" ht="12">
      <c r="A182" s="143" t="s">
        <v>7203</v>
      </c>
      <c r="B182" s="935">
        <v>282</v>
      </c>
      <c r="C182" s="36" t="s">
        <v>5477</v>
      </c>
      <c r="D182" s="1132"/>
      <c r="E182" s="1132"/>
      <c r="F182" s="809">
        <f t="shared" si="16"/>
        <v>0.57994900578374708</v>
      </c>
      <c r="G182" s="809">
        <f t="shared" si="17"/>
        <v>1</v>
      </c>
      <c r="H182" s="809">
        <f t="shared" si="18"/>
        <v>2.5252766180478901</v>
      </c>
      <c r="I182" s="903">
        <f t="shared" si="21"/>
        <v>0</v>
      </c>
      <c r="J182" s="799">
        <f t="shared" si="22"/>
        <v>0</v>
      </c>
      <c r="L182" s="1451">
        <v>0</v>
      </c>
      <c r="M182" s="1132">
        <v>24</v>
      </c>
      <c r="N182" s="1436" t="s">
        <v>2921</v>
      </c>
      <c r="O182" s="1198" t="str">
        <f>IFERROR(VLOOKUP(P182,constant_ag_extr!$D$7:$E$594,2,FALSE),"")</f>
        <v>Safflower seed</v>
      </c>
      <c r="P182" s="1199">
        <f t="shared" si="19"/>
        <v>280</v>
      </c>
      <c r="Q182" s="1247">
        <f t="shared" si="20"/>
        <v>0.72454261896875316</v>
      </c>
    </row>
    <row r="183" spans="1:17" ht="12">
      <c r="A183" s="143" t="s">
        <v>2804</v>
      </c>
      <c r="B183" s="935">
        <v>289</v>
      </c>
      <c r="C183" s="36" t="s">
        <v>2086</v>
      </c>
      <c r="D183" s="1132">
        <v>34494</v>
      </c>
      <c r="E183" s="1132">
        <v>2088</v>
      </c>
      <c r="F183" s="809">
        <f t="shared" si="16"/>
        <v>0.4579559059182261</v>
      </c>
      <c r="G183" s="809">
        <f t="shared" si="17"/>
        <v>1</v>
      </c>
      <c r="H183" s="809">
        <f t="shared" si="18"/>
        <v>2.5252766180478901</v>
      </c>
      <c r="I183" s="903">
        <f t="shared" si="21"/>
        <v>190208.0321211055</v>
      </c>
      <c r="J183" s="799">
        <f t="shared" si="22"/>
        <v>11513.72328720555</v>
      </c>
      <c r="L183" s="1451">
        <v>1492590</v>
      </c>
      <c r="M183" s="1132">
        <v>1593080</v>
      </c>
      <c r="N183" s="1436" t="s">
        <v>415</v>
      </c>
      <c r="O183" s="1198" t="str">
        <f>IFERROR(VLOOKUP(P183,constant_ag_extr!$D$7:$E$594,2,FALSE),"")</f>
        <v>Sesame seed</v>
      </c>
      <c r="P183" s="1199">
        <f t="shared" si="19"/>
        <v>289</v>
      </c>
      <c r="Q183" s="1247">
        <f t="shared" si="20"/>
        <v>1</v>
      </c>
    </row>
    <row r="184" spans="1:17" ht="12">
      <c r="A184" s="143" t="s">
        <v>7313</v>
      </c>
      <c r="B184" s="935">
        <v>290</v>
      </c>
      <c r="C184" s="36" t="s">
        <v>2803</v>
      </c>
      <c r="D184" s="1132">
        <v>13411</v>
      </c>
      <c r="E184" s="1132">
        <v>1249</v>
      </c>
      <c r="F184" s="809">
        <f t="shared" si="16"/>
        <v>0.49556032067752664</v>
      </c>
      <c r="G184" s="809">
        <f t="shared" si="17"/>
        <v>1</v>
      </c>
      <c r="H184" s="809">
        <f t="shared" si="18"/>
        <v>2.5252766180478901</v>
      </c>
      <c r="I184" s="903">
        <f t="shared" si="21"/>
        <v>68339.782891290073</v>
      </c>
      <c r="J184" s="799">
        <f t="shared" si="22"/>
        <v>6364.6550466946001</v>
      </c>
      <c r="L184" s="1451">
        <v>54164</v>
      </c>
      <c r="M184" s="1132">
        <v>64727</v>
      </c>
      <c r="N184" s="1436" t="s">
        <v>2921</v>
      </c>
      <c r="O184" s="1198" t="str">
        <f>IFERROR(VLOOKUP(P184,constant_ag_extr!$D$7:$E$594,2,FALSE),"")</f>
        <v>Sesame seed</v>
      </c>
      <c r="P184" s="1199">
        <f t="shared" si="19"/>
        <v>289</v>
      </c>
      <c r="Q184" s="1247">
        <f t="shared" si="20"/>
        <v>1.0821136145933126</v>
      </c>
    </row>
    <row r="185" spans="1:17" ht="12">
      <c r="A185" s="143" t="s">
        <v>7204</v>
      </c>
      <c r="B185" s="935">
        <v>291</v>
      </c>
      <c r="C185" s="36" t="s">
        <v>1364</v>
      </c>
      <c r="D185" s="1132"/>
      <c r="E185" s="1132"/>
      <c r="F185" s="809">
        <f t="shared" si="16"/>
        <v>0.38756400401662522</v>
      </c>
      <c r="G185" s="809">
        <f t="shared" si="17"/>
        <v>1</v>
      </c>
      <c r="H185" s="809">
        <f t="shared" si="18"/>
        <v>2.5252766180478901</v>
      </c>
      <c r="I185" s="903">
        <f t="shared" si="21"/>
        <v>0</v>
      </c>
      <c r="J185" s="799">
        <f t="shared" si="22"/>
        <v>0</v>
      </c>
      <c r="L185" s="1451">
        <v>0</v>
      </c>
      <c r="M185" s="1132">
        <v>9753</v>
      </c>
      <c r="N185" s="1436" t="s">
        <v>2921</v>
      </c>
      <c r="O185" s="1198" t="str">
        <f>IFERROR(VLOOKUP(P185,constant_ag_extr!$D$7:$E$594,2,FALSE),"")</f>
        <v>Sesame seed</v>
      </c>
      <c r="P185" s="1199">
        <f t="shared" si="19"/>
        <v>289</v>
      </c>
      <c r="Q185" s="1247">
        <f t="shared" si="20"/>
        <v>0.84629109267526237</v>
      </c>
    </row>
    <row r="186" spans="1:17" ht="12">
      <c r="A186" s="143" t="s">
        <v>799</v>
      </c>
      <c r="B186" s="935">
        <v>292</v>
      </c>
      <c r="C186" s="36" t="s">
        <v>800</v>
      </c>
      <c r="D186" s="1132">
        <v>60908</v>
      </c>
      <c r="E186" s="1132">
        <v>2842</v>
      </c>
      <c r="F186" s="809">
        <f t="shared" si="16"/>
        <v>0.79848479111987769</v>
      </c>
      <c r="G186" s="809">
        <f t="shared" si="17"/>
        <v>1</v>
      </c>
      <c r="H186" s="809">
        <f t="shared" si="18"/>
        <v>2.5252766180478901</v>
      </c>
      <c r="I186" s="903">
        <f t="shared" si="21"/>
        <v>192626.77256049233</v>
      </c>
      <c r="J186" s="799">
        <f t="shared" si="22"/>
        <v>8988.0686874781495</v>
      </c>
      <c r="L186" s="1451">
        <v>253813</v>
      </c>
      <c r="M186" s="1132">
        <v>234464</v>
      </c>
      <c r="N186" s="1436" t="s">
        <v>415</v>
      </c>
      <c r="O186" s="1198" t="str">
        <f>IFERROR(VLOOKUP(P186,constant_ag_extr!$D$7:$E$594,2,FALSE),"")</f>
        <v>Mustard seed</v>
      </c>
      <c r="P186" s="1199">
        <f t="shared" si="19"/>
        <v>292</v>
      </c>
      <c r="Q186" s="1247">
        <f t="shared" si="20"/>
        <v>1</v>
      </c>
    </row>
    <row r="187" spans="1:17" ht="12">
      <c r="A187" s="143" t="s">
        <v>797</v>
      </c>
      <c r="B187" s="935">
        <v>293</v>
      </c>
      <c r="C187" s="36" t="s">
        <v>798</v>
      </c>
      <c r="D187" s="1132"/>
      <c r="E187" s="1132"/>
      <c r="F187" s="809">
        <f t="shared" si="16"/>
        <v>3.3244912442247827</v>
      </c>
      <c r="G187" s="809">
        <f t="shared" si="17"/>
        <v>1</v>
      </c>
      <c r="H187" s="809">
        <f t="shared" si="18"/>
        <v>2.5252766180478901</v>
      </c>
      <c r="I187" s="903">
        <f t="shared" si="21"/>
        <v>0</v>
      </c>
      <c r="J187" s="799">
        <f t="shared" si="22"/>
        <v>0</v>
      </c>
      <c r="L187" s="1451"/>
      <c r="M187" s="1132"/>
      <c r="N187" s="1436" t="s">
        <v>2921</v>
      </c>
      <c r="O187" s="1198" t="str">
        <f>IFERROR(VLOOKUP(P187,constant_ag_extr!$D$7:$E$594,2,FALSE),"")</f>
        <v>Mustard seed</v>
      </c>
      <c r="P187" s="1199">
        <f t="shared" si="19"/>
        <v>292</v>
      </c>
      <c r="Q187" s="1247">
        <f t="shared" si="20"/>
        <v>4.1634997700609579</v>
      </c>
    </row>
    <row r="188" spans="1:17" ht="12">
      <c r="A188" s="143" t="s">
        <v>7205</v>
      </c>
      <c r="B188" s="935">
        <v>294</v>
      </c>
      <c r="C188" s="36" t="s">
        <v>1362</v>
      </c>
      <c r="D188" s="1132"/>
      <c r="E188" s="1132"/>
      <c r="F188" s="809">
        <f t="shared" si="16"/>
        <v>0.52443666810131051</v>
      </c>
      <c r="G188" s="809">
        <f t="shared" si="17"/>
        <v>1</v>
      </c>
      <c r="H188" s="809">
        <f t="shared" si="18"/>
        <v>2.5252766180478901</v>
      </c>
      <c r="I188" s="903">
        <f t="shared" si="21"/>
        <v>0</v>
      </c>
      <c r="J188" s="799">
        <f t="shared" si="22"/>
        <v>0</v>
      </c>
      <c r="L188" s="1451">
        <v>0</v>
      </c>
      <c r="M188" s="1132">
        <v>0</v>
      </c>
      <c r="N188" s="1436" t="s">
        <v>2921</v>
      </c>
      <c r="O188" s="1198" t="str">
        <f>IFERROR(VLOOKUP(P188,constant_ag_extr!$D$7:$E$594,2,FALSE),"")</f>
        <v>Mustard seed</v>
      </c>
      <c r="P188" s="1199">
        <f t="shared" si="19"/>
        <v>292</v>
      </c>
      <c r="Q188" s="1247">
        <f t="shared" si="20"/>
        <v>0.65678980230266659</v>
      </c>
    </row>
    <row r="189" spans="1:17" ht="12">
      <c r="A189" s="143" t="s">
        <v>7262</v>
      </c>
      <c r="B189" s="935">
        <v>295</v>
      </c>
      <c r="C189" s="36" t="s">
        <v>5224</v>
      </c>
      <c r="D189" s="1132">
        <v>17017</v>
      </c>
      <c r="E189" s="1132">
        <v>38075</v>
      </c>
      <c r="F189" s="809">
        <f t="shared" si="16"/>
        <v>0.63878783289590224</v>
      </c>
      <c r="G189" s="809">
        <f t="shared" si="17"/>
        <v>1</v>
      </c>
      <c r="H189" s="809">
        <f t="shared" si="18"/>
        <v>2.5252766180478901</v>
      </c>
      <c r="I189" s="903">
        <f t="shared" si="21"/>
        <v>67272.152029739475</v>
      </c>
      <c r="J189" s="799">
        <f t="shared" si="22"/>
        <v>150519.31530424461</v>
      </c>
      <c r="L189" s="1451">
        <v>170982</v>
      </c>
      <c r="M189" s="1132">
        <v>163800</v>
      </c>
      <c r="N189" s="1436" t="s">
        <v>2921</v>
      </c>
      <c r="O189" s="1198" t="str">
        <f>IFERROR(VLOOKUP(P189,constant_ag_extr!$D$7:$E$594,2,FALSE),"")</f>
        <v>Mustard seed</v>
      </c>
      <c r="P189" s="1199">
        <f t="shared" si="19"/>
        <v>292</v>
      </c>
      <c r="Q189" s="1247">
        <f t="shared" si="20"/>
        <v>0.8</v>
      </c>
    </row>
    <row r="190" spans="1:17" ht="12.75" customHeight="1">
      <c r="A190" s="143" t="s">
        <v>3821</v>
      </c>
      <c r="B190" s="935">
        <v>296</v>
      </c>
      <c r="C190" s="36" t="s">
        <v>2334</v>
      </c>
      <c r="D190" s="1132">
        <v>5381</v>
      </c>
      <c r="E190" s="1132">
        <v>404</v>
      </c>
      <c r="F190" s="809">
        <f t="shared" si="16"/>
        <v>0.72952035079127109</v>
      </c>
      <c r="G190" s="809">
        <f t="shared" si="17"/>
        <v>1</v>
      </c>
      <c r="H190" s="809">
        <f t="shared" si="18"/>
        <v>2.5252766180478901</v>
      </c>
      <c r="I190" s="903">
        <f t="shared" si="21"/>
        <v>18626.64073315703</v>
      </c>
      <c r="J190" s="799">
        <f t="shared" si="22"/>
        <v>1398.4692169105076</v>
      </c>
      <c r="L190" s="1451">
        <v>82648</v>
      </c>
      <c r="M190" s="1132">
        <v>94321</v>
      </c>
      <c r="N190" s="1436" t="s">
        <v>415</v>
      </c>
      <c r="O190" s="1198" t="str">
        <f>IFERROR(VLOOKUP(P190,constant_ag_extr!$D$7:$E$594,2,FALSE),"")</f>
        <v>Poppy seed</v>
      </c>
      <c r="P190" s="1199">
        <f t="shared" si="19"/>
        <v>296</v>
      </c>
      <c r="Q190" s="1247">
        <f t="shared" si="20"/>
        <v>1</v>
      </c>
    </row>
    <row r="191" spans="1:17" ht="12.75" customHeight="1">
      <c r="A191" s="143" t="s">
        <v>7309</v>
      </c>
      <c r="B191" s="935">
        <v>297</v>
      </c>
      <c r="C191" s="36" t="s">
        <v>547</v>
      </c>
      <c r="D191" s="1132">
        <v>0</v>
      </c>
      <c r="E191" s="1132"/>
      <c r="F191" s="809">
        <f t="shared" si="16"/>
        <v>0.29180814031650842</v>
      </c>
      <c r="G191" s="809">
        <f t="shared" si="17"/>
        <v>1</v>
      </c>
      <c r="H191" s="809">
        <f t="shared" si="18"/>
        <v>2.5252766180478901</v>
      </c>
      <c r="I191" s="903">
        <f t="shared" si="21"/>
        <v>0</v>
      </c>
      <c r="J191" s="799">
        <f t="shared" si="22"/>
        <v>0</v>
      </c>
      <c r="L191" s="1451">
        <v>0</v>
      </c>
      <c r="M191" s="1132">
        <v>0</v>
      </c>
      <c r="N191" s="1436" t="s">
        <v>2921</v>
      </c>
      <c r="O191" s="1198" t="str">
        <f>IFERROR(VLOOKUP(P191,constant_ag_extr!$D$7:$E$594,2,FALSE),"")</f>
        <v>Poppy seed</v>
      </c>
      <c r="P191" s="1199">
        <f t="shared" si="19"/>
        <v>296</v>
      </c>
      <c r="Q191" s="1247">
        <f t="shared" si="20"/>
        <v>0.4</v>
      </c>
    </row>
    <row r="192" spans="1:17" ht="12.75" customHeight="1">
      <c r="A192" s="143" t="s">
        <v>2897</v>
      </c>
      <c r="B192" s="935">
        <v>299</v>
      </c>
      <c r="C192" s="36" t="s">
        <v>2898</v>
      </c>
      <c r="D192" s="1132"/>
      <c r="E192" s="1132"/>
      <c r="F192" s="809">
        <f t="shared" si="16"/>
        <v>0.82126571450520736</v>
      </c>
      <c r="G192" s="809">
        <f t="shared" si="17"/>
        <v>1</v>
      </c>
      <c r="H192" s="809">
        <f t="shared" si="18"/>
        <v>2.5252766180478901</v>
      </c>
      <c r="I192" s="903">
        <f t="shared" si="21"/>
        <v>0</v>
      </c>
      <c r="J192" s="799">
        <f t="shared" si="22"/>
        <v>0</v>
      </c>
      <c r="L192" s="1451"/>
      <c r="M192" s="1132"/>
      <c r="N192" s="1436" t="s">
        <v>415</v>
      </c>
      <c r="O192" s="1198" t="str">
        <f>IFERROR(VLOOKUP(P192,constant_ag_extr!$D$7:$E$594,2,FALSE),"")</f>
        <v>Melonseed</v>
      </c>
      <c r="P192" s="1199">
        <f t="shared" si="19"/>
        <v>299</v>
      </c>
      <c r="Q192" s="1247">
        <f t="shared" si="20"/>
        <v>1</v>
      </c>
    </row>
    <row r="193" spans="1:17" ht="12.75" customHeight="1">
      <c r="A193" s="143" t="s">
        <v>3382</v>
      </c>
      <c r="B193" s="935">
        <v>306</v>
      </c>
      <c r="C193" s="36" t="s">
        <v>3407</v>
      </c>
      <c r="D193" s="1132">
        <v>0</v>
      </c>
      <c r="E193" s="1132"/>
      <c r="F193" s="809">
        <f t="shared" si="16"/>
        <v>0.36558635194627426</v>
      </c>
      <c r="G193" s="809">
        <f t="shared" si="17"/>
        <v>1</v>
      </c>
      <c r="H193" s="809">
        <f t="shared" si="18"/>
        <v>2.5252766180478901</v>
      </c>
      <c r="I193" s="903">
        <f t="shared" si="21"/>
        <v>0</v>
      </c>
      <c r="J193" s="799">
        <f t="shared" si="22"/>
        <v>0</v>
      </c>
      <c r="L193" s="1451">
        <v>0</v>
      </c>
      <c r="M193" s="1132"/>
      <c r="N193" s="1436" t="s">
        <v>2921</v>
      </c>
      <c r="O193" s="1198" t="str">
        <f>IFERROR(VLOOKUP(P193,constant_ag_extr!$D$7:$E$594,2,FALSE),"")</f>
        <v>Tallowtree seed</v>
      </c>
      <c r="P193" s="1199">
        <f t="shared" si="19"/>
        <v>305</v>
      </c>
      <c r="Q193" s="1247">
        <f t="shared" si="20"/>
        <v>0.15</v>
      </c>
    </row>
    <row r="194" spans="1:17" ht="12.75" customHeight="1">
      <c r="A194" s="143" t="s">
        <v>4734</v>
      </c>
      <c r="B194" s="935">
        <v>311</v>
      </c>
      <c r="C194" s="36" t="s">
        <v>4735</v>
      </c>
      <c r="D194" s="1132"/>
      <c r="E194" s="1132"/>
      <c r="F194" s="809">
        <f t="shared" si="16"/>
        <v>1.3469558851688905</v>
      </c>
      <c r="G194" s="809">
        <f t="shared" si="17"/>
        <v>1</v>
      </c>
      <c r="H194" s="809">
        <f t="shared" si="18"/>
        <v>2.5252766180478901</v>
      </c>
      <c r="I194" s="903">
        <f t="shared" si="21"/>
        <v>0</v>
      </c>
      <c r="J194" s="799">
        <f t="shared" si="22"/>
        <v>0</v>
      </c>
      <c r="L194" s="1451">
        <v>0</v>
      </c>
      <c r="M194" s="1132">
        <v>0</v>
      </c>
      <c r="N194" s="1436" t="s">
        <v>415</v>
      </c>
      <c r="O194" s="1198" t="str">
        <f>IFERROR(VLOOKUP(P194,constant_ag_extr!$D$7:$E$594,2,FALSE),"")</f>
        <v>Kapok Fruit</v>
      </c>
      <c r="P194" s="1199">
        <f t="shared" si="19"/>
        <v>310</v>
      </c>
      <c r="Q194" s="1247">
        <f t="shared" si="20"/>
        <v>0.76939680957128653</v>
      </c>
    </row>
    <row r="195" spans="1:17" ht="12.75" customHeight="1">
      <c r="A195" s="143" t="s">
        <v>5076</v>
      </c>
      <c r="B195" s="935">
        <v>312</v>
      </c>
      <c r="C195" s="36" t="s">
        <v>1017</v>
      </c>
      <c r="D195" s="1132"/>
      <c r="E195" s="1132"/>
      <c r="F195" s="809">
        <f t="shared" si="16"/>
        <v>0.94286911961822328</v>
      </c>
      <c r="G195" s="809">
        <f t="shared" si="17"/>
        <v>1</v>
      </c>
      <c r="H195" s="809">
        <f t="shared" si="18"/>
        <v>2.5252766180478901</v>
      </c>
      <c r="I195" s="903">
        <f t="shared" si="21"/>
        <v>0</v>
      </c>
      <c r="J195" s="799">
        <f t="shared" si="22"/>
        <v>0</v>
      </c>
      <c r="L195" s="1451">
        <v>0</v>
      </c>
      <c r="M195" s="1132">
        <v>0</v>
      </c>
      <c r="N195" s="1436" t="s">
        <v>2921</v>
      </c>
      <c r="O195" s="1198" t="str">
        <f>IFERROR(VLOOKUP(P195,constant_ag_extr!$D$7:$E$594,2,FALSE),"")</f>
        <v>Kapok Fruit</v>
      </c>
      <c r="P195" s="1199">
        <f t="shared" si="19"/>
        <v>310</v>
      </c>
      <c r="Q195" s="1247">
        <f t="shared" si="20"/>
        <v>0.53857776669990054</v>
      </c>
    </row>
    <row r="196" spans="1:17" ht="12.75" customHeight="1">
      <c r="A196" s="143" t="s">
        <v>7302</v>
      </c>
      <c r="B196" s="935">
        <v>313</v>
      </c>
      <c r="C196" s="36" t="s">
        <v>3756</v>
      </c>
      <c r="D196" s="1132">
        <v>0</v>
      </c>
      <c r="E196" s="1132"/>
      <c r="F196" s="809">
        <f t="shared" si="16"/>
        <v>8.8349174200259473</v>
      </c>
      <c r="G196" s="809">
        <f t="shared" si="17"/>
        <v>1</v>
      </c>
      <c r="H196" s="809">
        <f t="shared" si="18"/>
        <v>2.5252766180478901</v>
      </c>
      <c r="I196" s="903">
        <f t="shared" si="21"/>
        <v>0</v>
      </c>
      <c r="J196" s="799">
        <f t="shared" si="22"/>
        <v>0</v>
      </c>
      <c r="L196" s="1451">
        <v>0</v>
      </c>
      <c r="M196" s="1132">
        <v>0</v>
      </c>
      <c r="N196" s="1436" t="s">
        <v>2921</v>
      </c>
      <c r="O196" s="1198" t="str">
        <f>IFERROR(VLOOKUP(P196,constant_ag_extr!$D$7:$E$594,2,FALSE),"")</f>
        <v>Kapok Fruit</v>
      </c>
      <c r="P196" s="1199">
        <f t="shared" si="19"/>
        <v>310</v>
      </c>
      <c r="Q196" s="1247">
        <f t="shared" si="20"/>
        <v>5.0466072056557527</v>
      </c>
    </row>
    <row r="197" spans="1:17" ht="12.75" customHeight="1">
      <c r="A197" s="143" t="s">
        <v>7206</v>
      </c>
      <c r="B197" s="935">
        <v>314</v>
      </c>
      <c r="C197" s="36" t="s">
        <v>150</v>
      </c>
      <c r="D197" s="1132"/>
      <c r="E197" s="1132"/>
      <c r="F197" s="809">
        <f t="shared" si="16"/>
        <v>0.77074622049253194</v>
      </c>
      <c r="G197" s="809">
        <f t="shared" si="17"/>
        <v>1</v>
      </c>
      <c r="H197" s="809">
        <f t="shared" si="18"/>
        <v>2.5252766180478901</v>
      </c>
      <c r="I197" s="903">
        <f t="shared" si="21"/>
        <v>0</v>
      </c>
      <c r="J197" s="799">
        <f t="shared" si="22"/>
        <v>0</v>
      </c>
      <c r="L197" s="1451">
        <v>0</v>
      </c>
      <c r="M197" s="1132">
        <v>0</v>
      </c>
      <c r="N197" s="1436" t="s">
        <v>2921</v>
      </c>
      <c r="O197" s="1198" t="str">
        <f>IFERROR(VLOOKUP(P197,constant_ag_extr!$D$7:$E$594,2,FALSE),"")</f>
        <v>Kapok Fruit</v>
      </c>
      <c r="P197" s="1199">
        <f t="shared" si="19"/>
        <v>310</v>
      </c>
      <c r="Q197" s="1247">
        <f t="shared" si="20"/>
        <v>0.44025917223096422</v>
      </c>
    </row>
    <row r="198" spans="1:17" ht="12.75" customHeight="1">
      <c r="A198" s="143" t="s">
        <v>2151</v>
      </c>
      <c r="B198" s="935">
        <v>328</v>
      </c>
      <c r="C198" s="36" t="s">
        <v>1322</v>
      </c>
      <c r="D198" s="1132"/>
      <c r="E198" s="1132"/>
      <c r="F198" s="809">
        <f t="shared" si="16"/>
        <v>2.252202188311498</v>
      </c>
      <c r="G198" s="809">
        <f t="shared" si="17"/>
        <v>1</v>
      </c>
      <c r="H198" s="809">
        <f t="shared" si="18"/>
        <v>2.5252766180478901</v>
      </c>
      <c r="I198" s="903">
        <f t="shared" si="21"/>
        <v>0</v>
      </c>
      <c r="J198" s="799">
        <f t="shared" si="22"/>
        <v>0</v>
      </c>
      <c r="L198" s="1451"/>
      <c r="M198" s="1132"/>
      <c r="N198" s="1436" t="s">
        <v>415</v>
      </c>
      <c r="O198" s="1198" t="str">
        <f>IFERROR(VLOOKUP(P198,constant_ag_extr!$D$7:$E$594,2,FALSE),"")</f>
        <v>Seed Cotton</v>
      </c>
      <c r="P198" s="1199">
        <f t="shared" si="19"/>
        <v>328</v>
      </c>
      <c r="Q198" s="1247">
        <f t="shared" si="20"/>
        <v>1</v>
      </c>
    </row>
    <row r="199" spans="1:17" ht="12.75" customHeight="1">
      <c r="A199" s="143" t="s">
        <v>907</v>
      </c>
      <c r="B199" s="935">
        <v>329</v>
      </c>
      <c r="C199" s="36" t="s">
        <v>3652</v>
      </c>
      <c r="D199" s="1132">
        <v>181098</v>
      </c>
      <c r="E199" s="1132">
        <v>211242</v>
      </c>
      <c r="F199" s="809">
        <f t="shared" ref="F199:F262" si="23">IFERROR(VLOOKUP(P199,crop_efp,4,FALSE)*Q199,0)</f>
        <v>8.104203027165207</v>
      </c>
      <c r="G199" s="809">
        <f t="shared" ref="G199:G262" si="24">VLOOKUP("Crop Land",iyf,2,FALSE)</f>
        <v>1</v>
      </c>
      <c r="H199" s="809">
        <f t="shared" ref="H199:H262" si="25">VLOOKUP("Crop Land",eqf,2,FALSE)</f>
        <v>2.5252766180478901</v>
      </c>
      <c r="I199" s="903">
        <f t="shared" si="21"/>
        <v>56430.292212855013</v>
      </c>
      <c r="J199" s="799">
        <f t="shared" si="22"/>
        <v>65823.188481528879</v>
      </c>
      <c r="L199" s="1451">
        <v>1222520</v>
      </c>
      <c r="M199" s="1132">
        <v>1288130</v>
      </c>
      <c r="N199" s="1436" t="s">
        <v>2921</v>
      </c>
      <c r="O199" s="1198" t="str">
        <f>IFERROR(VLOOKUP(P199,constant_ag_extr!$D$7:$E$594,2,FALSE),"")</f>
        <v>Seed Cotton</v>
      </c>
      <c r="P199" s="1199">
        <f t="shared" ref="P199:P262" si="26">IFERROR(VLOOKUP(B199,constant_ag_extr,3,FALSE),"")</f>
        <v>328</v>
      </c>
      <c r="Q199" s="1247">
        <f t="shared" ref="Q199:Q262" si="27">IFERROR(VLOOKUP(B199,constant_ag_extr,14,FALSE),"")</f>
        <v>3.5983461295013752</v>
      </c>
    </row>
    <row r="200" spans="1:17" ht="12.75" customHeight="1">
      <c r="A200" s="143" t="s">
        <v>7300</v>
      </c>
      <c r="B200" s="935">
        <v>331</v>
      </c>
      <c r="C200" s="36" t="s">
        <v>1096</v>
      </c>
      <c r="D200" s="1132">
        <v>11653</v>
      </c>
      <c r="E200" s="1132">
        <v>92718</v>
      </c>
      <c r="F200" s="809">
        <f t="shared" si="23"/>
        <v>3.3236486216403152</v>
      </c>
      <c r="G200" s="809">
        <f t="shared" si="24"/>
        <v>1</v>
      </c>
      <c r="H200" s="809">
        <f t="shared" si="25"/>
        <v>2.5252766180478901</v>
      </c>
      <c r="I200" s="903">
        <f t="shared" si="21"/>
        <v>8853.8385912735193</v>
      </c>
      <c r="J200" s="799">
        <f t="shared" si="22"/>
        <v>70446.254741757337</v>
      </c>
      <c r="L200" s="1451">
        <v>141854</v>
      </c>
      <c r="M200" s="1132">
        <v>212424</v>
      </c>
      <c r="N200" s="1436" t="s">
        <v>2921</v>
      </c>
      <c r="O200" s="1198" t="str">
        <f>IFERROR(VLOOKUP(P200,constant_ag_extr!$D$7:$E$594,2,FALSE),"")</f>
        <v>Seed Cotton</v>
      </c>
      <c r="P200" s="1199">
        <f t="shared" si="26"/>
        <v>328</v>
      </c>
      <c r="Q200" s="1247">
        <f t="shared" si="27"/>
        <v>1.4757327911718676</v>
      </c>
    </row>
    <row r="201" spans="1:17" ht="12.75" customHeight="1">
      <c r="A201" s="143" t="s">
        <v>7207</v>
      </c>
      <c r="B201" s="935">
        <v>332</v>
      </c>
      <c r="C201" s="36" t="s">
        <v>1662</v>
      </c>
      <c r="D201" s="1132">
        <v>0</v>
      </c>
      <c r="E201" s="1132">
        <v>97846</v>
      </c>
      <c r="F201" s="809">
        <f t="shared" si="23"/>
        <v>13.257101957135472</v>
      </c>
      <c r="G201" s="809">
        <f t="shared" si="24"/>
        <v>1</v>
      </c>
      <c r="H201" s="809">
        <f t="shared" si="25"/>
        <v>2.5252766180478901</v>
      </c>
      <c r="I201" s="903">
        <f t="shared" si="21"/>
        <v>0</v>
      </c>
      <c r="J201" s="799">
        <f t="shared" si="22"/>
        <v>18638.177240276989</v>
      </c>
      <c r="L201" s="1451">
        <v>568494</v>
      </c>
      <c r="M201" s="1132">
        <v>652319</v>
      </c>
      <c r="N201" s="1436" t="s">
        <v>2921</v>
      </c>
      <c r="O201" s="1198" t="str">
        <f>IFERROR(VLOOKUP(P201,constant_ag_extr!$D$7:$E$594,2,FALSE),"")</f>
        <v>Seed Cotton</v>
      </c>
      <c r="P201" s="1199">
        <f t="shared" si="26"/>
        <v>328</v>
      </c>
      <c r="Q201" s="1247">
        <f t="shared" si="27"/>
        <v>5.8862841115852369</v>
      </c>
    </row>
    <row r="202" spans="1:17" ht="12.75" customHeight="1">
      <c r="A202" s="143" t="s">
        <v>261</v>
      </c>
      <c r="B202" s="935">
        <v>333</v>
      </c>
      <c r="C202" s="36" t="s">
        <v>1020</v>
      </c>
      <c r="D202" s="1132">
        <v>164580</v>
      </c>
      <c r="E202" s="1132">
        <v>17943</v>
      </c>
      <c r="F202" s="809">
        <f t="shared" si="23"/>
        <v>0.9932571743373888</v>
      </c>
      <c r="G202" s="809">
        <f t="shared" si="24"/>
        <v>1</v>
      </c>
      <c r="H202" s="809">
        <f t="shared" si="25"/>
        <v>2.5252766180478901</v>
      </c>
      <c r="I202" s="903">
        <f t="shared" si="21"/>
        <v>418431.43602318212</v>
      </c>
      <c r="J202" s="799">
        <f t="shared" si="22"/>
        <v>45618.636873034127</v>
      </c>
      <c r="L202" s="1451">
        <v>1225980</v>
      </c>
      <c r="M202" s="1132">
        <v>1305360</v>
      </c>
      <c r="N202" s="1436" t="s">
        <v>415</v>
      </c>
      <c r="O202" s="1198" t="str">
        <f>IFERROR(VLOOKUP(P202,constant_ag_extr!$D$7:$E$594,2,FALSE),"")</f>
        <v>Linseed</v>
      </c>
      <c r="P202" s="1199">
        <f t="shared" si="26"/>
        <v>333</v>
      </c>
      <c r="Q202" s="1247">
        <f t="shared" si="27"/>
        <v>1</v>
      </c>
    </row>
    <row r="203" spans="1:17" ht="12.75" customHeight="1">
      <c r="A203" s="143" t="s">
        <v>7303</v>
      </c>
      <c r="B203" s="935">
        <v>334</v>
      </c>
      <c r="C203" s="36" t="s">
        <v>3257</v>
      </c>
      <c r="D203" s="1132">
        <v>2496</v>
      </c>
      <c r="E203" s="1132">
        <v>30444</v>
      </c>
      <c r="F203" s="809">
        <f t="shared" si="23"/>
        <v>0.55913513564085393</v>
      </c>
      <c r="G203" s="809">
        <f t="shared" si="24"/>
        <v>1</v>
      </c>
      <c r="H203" s="809">
        <f t="shared" si="25"/>
        <v>2.5252766180478901</v>
      </c>
      <c r="I203" s="903">
        <f t="shared" si="21"/>
        <v>11272.928558537522</v>
      </c>
      <c r="J203" s="799">
        <f t="shared" si="22"/>
        <v>137497.21035100814</v>
      </c>
      <c r="L203" s="1451">
        <v>271110</v>
      </c>
      <c r="M203" s="1132">
        <v>165963</v>
      </c>
      <c r="N203" s="1436" t="s">
        <v>2921</v>
      </c>
      <c r="O203" s="1198" t="str">
        <f>IFERROR(VLOOKUP(P203,constant_ag_extr!$D$7:$E$594,2,FALSE),"")</f>
        <v>Linseed</v>
      </c>
      <c r="P203" s="1199">
        <f t="shared" si="26"/>
        <v>333</v>
      </c>
      <c r="Q203" s="1247">
        <f t="shared" si="27"/>
        <v>0.56293088042767803</v>
      </c>
    </row>
    <row r="204" spans="1:17" ht="12.75" customHeight="1">
      <c r="A204" s="143" t="s">
        <v>7208</v>
      </c>
      <c r="B204" s="935">
        <v>335</v>
      </c>
      <c r="C204" s="36" t="s">
        <v>1200</v>
      </c>
      <c r="D204" s="1132">
        <v>2834</v>
      </c>
      <c r="E204" s="1132">
        <v>5012</v>
      </c>
      <c r="F204" s="809">
        <f t="shared" si="23"/>
        <v>1.6543168127902488</v>
      </c>
      <c r="G204" s="809">
        <f t="shared" si="24"/>
        <v>1</v>
      </c>
      <c r="H204" s="809">
        <f t="shared" si="25"/>
        <v>2.5252766180478901</v>
      </c>
      <c r="I204" s="903">
        <f t="shared" si="21"/>
        <v>4326.0359081263305</v>
      </c>
      <c r="J204" s="799">
        <f t="shared" si="22"/>
        <v>7650.7028833906734</v>
      </c>
      <c r="L204" s="1451">
        <v>145994</v>
      </c>
      <c r="M204" s="1132">
        <v>158971</v>
      </c>
      <c r="N204" s="1436" t="s">
        <v>2921</v>
      </c>
      <c r="O204" s="1198" t="str">
        <f>IFERROR(VLOOKUP(P204,constant_ag_extr!$D$7:$E$594,2,FALSE),"")</f>
        <v>Linseed</v>
      </c>
      <c r="P204" s="1199">
        <f t="shared" si="26"/>
        <v>333</v>
      </c>
      <c r="Q204" s="1247">
        <f t="shared" si="27"/>
        <v>1.6655473079203873</v>
      </c>
    </row>
    <row r="205" spans="1:17" ht="12.75" customHeight="1">
      <c r="A205" s="143" t="s">
        <v>4172</v>
      </c>
      <c r="B205" s="935">
        <v>336</v>
      </c>
      <c r="C205" s="36" t="s">
        <v>69</v>
      </c>
      <c r="D205" s="1132"/>
      <c r="E205" s="1132"/>
      <c r="F205" s="809">
        <f t="shared" si="23"/>
        <v>3.0625903267075234</v>
      </c>
      <c r="G205" s="809">
        <f t="shared" si="24"/>
        <v>1</v>
      </c>
      <c r="H205" s="809">
        <f t="shared" si="25"/>
        <v>2.5252766180478901</v>
      </c>
      <c r="I205" s="903">
        <f t="shared" si="21"/>
        <v>0</v>
      </c>
      <c r="J205" s="799">
        <f t="shared" si="22"/>
        <v>0</v>
      </c>
      <c r="L205" s="1451"/>
      <c r="M205" s="1132"/>
      <c r="N205" s="1436" t="s">
        <v>415</v>
      </c>
      <c r="O205" s="1198" t="str">
        <f>IFERROR(VLOOKUP(P205,constant_ag_extr!$D$7:$E$594,2,FALSE),"")</f>
        <v>Hempseed</v>
      </c>
      <c r="P205" s="1199">
        <f t="shared" si="26"/>
        <v>336</v>
      </c>
      <c r="Q205" s="1247">
        <f t="shared" si="27"/>
        <v>1</v>
      </c>
    </row>
    <row r="206" spans="1:17" ht="12.75" customHeight="1">
      <c r="A206" s="143" t="s">
        <v>7209</v>
      </c>
      <c r="B206" s="935">
        <v>338</v>
      </c>
      <c r="C206" s="36" t="s">
        <v>148</v>
      </c>
      <c r="D206" s="1132"/>
      <c r="E206" s="1132"/>
      <c r="F206" s="809">
        <f t="shared" si="23"/>
        <v>1.9294319058257399</v>
      </c>
      <c r="G206" s="809">
        <f t="shared" si="24"/>
        <v>1</v>
      </c>
      <c r="H206" s="809">
        <f t="shared" si="25"/>
        <v>2.5252766180478901</v>
      </c>
      <c r="I206" s="903">
        <f t="shared" si="21"/>
        <v>0</v>
      </c>
      <c r="J206" s="799">
        <f t="shared" si="22"/>
        <v>0</v>
      </c>
      <c r="L206" s="1451">
        <v>0</v>
      </c>
      <c r="M206" s="1132">
        <v>0</v>
      </c>
      <c r="N206" s="1436" t="s">
        <v>2921</v>
      </c>
      <c r="O206" s="1198" t="str">
        <f>IFERROR(VLOOKUP(P206,constant_ag_extr!$D$7:$E$594,2,FALSE),"")</f>
        <v>Hempseed</v>
      </c>
      <c r="P206" s="1199">
        <f t="shared" si="26"/>
        <v>336</v>
      </c>
      <c r="Q206" s="1247">
        <f t="shared" si="27"/>
        <v>0.63</v>
      </c>
    </row>
    <row r="207" spans="1:17" ht="12.75" customHeight="1">
      <c r="A207" s="143" t="s">
        <v>6002</v>
      </c>
      <c r="B207" s="935">
        <v>339</v>
      </c>
      <c r="C207" s="36" t="s">
        <v>5551</v>
      </c>
      <c r="D207" s="1132">
        <v>55921</v>
      </c>
      <c r="E207" s="1132">
        <v>20283</v>
      </c>
      <c r="F207" s="809">
        <f t="shared" si="23"/>
        <v>0.83133558330358814</v>
      </c>
      <c r="G207" s="809">
        <f t="shared" si="24"/>
        <v>1</v>
      </c>
      <c r="H207" s="809">
        <f t="shared" si="25"/>
        <v>2.5252766180478901</v>
      </c>
      <c r="I207" s="903">
        <f t="shared" si="21"/>
        <v>169866.41326801793</v>
      </c>
      <c r="J207" s="799">
        <f t="shared" si="22"/>
        <v>61611.92504274258</v>
      </c>
      <c r="L207" s="1451">
        <v>416629</v>
      </c>
      <c r="M207" s="1132">
        <v>683806</v>
      </c>
      <c r="N207" s="1436" t="s">
        <v>415</v>
      </c>
      <c r="O207" s="1198" t="str">
        <f>IFERROR(VLOOKUP(P207,constant_ag_extr!$D$7:$E$594,2,FALSE),"")</f>
        <v>Oilseeds, Nes</v>
      </c>
      <c r="P207" s="1199">
        <f t="shared" si="26"/>
        <v>339</v>
      </c>
      <c r="Q207" s="1247">
        <f t="shared" si="27"/>
        <v>1</v>
      </c>
    </row>
    <row r="208" spans="1:17" ht="12.75" customHeight="1">
      <c r="A208" s="143" t="s">
        <v>7316</v>
      </c>
      <c r="B208" s="935">
        <v>340</v>
      </c>
      <c r="C208" s="36" t="s">
        <v>3407</v>
      </c>
      <c r="D208" s="1132">
        <v>37488</v>
      </c>
      <c r="E208" s="1132">
        <v>117844</v>
      </c>
      <c r="F208" s="809">
        <f t="shared" si="23"/>
        <v>0.3672955645976006</v>
      </c>
      <c r="G208" s="809">
        <f t="shared" si="24"/>
        <v>1</v>
      </c>
      <c r="H208" s="809">
        <f t="shared" si="25"/>
        <v>2.5252766180478901</v>
      </c>
      <c r="I208" s="903">
        <f t="shared" si="21"/>
        <v>257742.20813446146</v>
      </c>
      <c r="J208" s="799">
        <f t="shared" si="22"/>
        <v>810215.87642438838</v>
      </c>
      <c r="L208" s="1451">
        <v>702010</v>
      </c>
      <c r="M208" s="1132">
        <v>456629</v>
      </c>
      <c r="N208" s="1436" t="s">
        <v>2921</v>
      </c>
      <c r="O208" s="1198" t="str">
        <f>IFERROR(VLOOKUP(P208,constant_ag_extr!$D$7:$E$594,2,FALSE),"")</f>
        <v>Oilseeds, Nes</v>
      </c>
      <c r="P208" s="1199">
        <f t="shared" si="26"/>
        <v>339</v>
      </c>
      <c r="Q208" s="1247">
        <f t="shared" si="27"/>
        <v>0.44181383784635997</v>
      </c>
    </row>
    <row r="209" spans="1:17" ht="12.75" customHeight="1">
      <c r="A209" s="143" t="s">
        <v>3571</v>
      </c>
      <c r="B209" s="935">
        <v>341</v>
      </c>
      <c r="C209" s="36" t="s">
        <v>3572</v>
      </c>
      <c r="D209" s="1132"/>
      <c r="E209" s="1132"/>
      <c r="F209" s="809">
        <f t="shared" si="23"/>
        <v>3.5651780642760662</v>
      </c>
      <c r="G209" s="809">
        <f t="shared" si="24"/>
        <v>1</v>
      </c>
      <c r="H209" s="809">
        <f t="shared" si="25"/>
        <v>2.5252766180478901</v>
      </c>
      <c r="I209" s="903">
        <f t="shared" si="21"/>
        <v>0</v>
      </c>
      <c r="J209" s="799">
        <f t="shared" si="22"/>
        <v>0</v>
      </c>
      <c r="L209" s="1451"/>
      <c r="M209" s="1132"/>
      <c r="N209" s="1436" t="s">
        <v>2921</v>
      </c>
      <c r="O209" s="1198" t="str">
        <f>IFERROR(VLOOKUP(P209,constant_ag_extr!$D$7:$E$594,2,FALSE),"")</f>
        <v>Oilseeds, Nes</v>
      </c>
      <c r="P209" s="1199">
        <f t="shared" si="26"/>
        <v>339</v>
      </c>
      <c r="Q209" s="1247">
        <f t="shared" si="27"/>
        <v>4.2884944851135165</v>
      </c>
    </row>
    <row r="210" spans="1:17" ht="12.75" customHeight="1">
      <c r="A210" s="143" t="s">
        <v>5225</v>
      </c>
      <c r="B210" s="935">
        <v>343</v>
      </c>
      <c r="C210" s="36" t="s">
        <v>5226</v>
      </c>
      <c r="D210" s="1132"/>
      <c r="E210" s="1132"/>
      <c r="F210" s="809">
        <f t="shared" si="23"/>
        <v>0.70663524580804993</v>
      </c>
      <c r="G210" s="809">
        <f t="shared" si="24"/>
        <v>1</v>
      </c>
      <c r="H210" s="809">
        <f t="shared" si="25"/>
        <v>2.5252766180478901</v>
      </c>
      <c r="I210" s="903">
        <f t="shared" si="21"/>
        <v>0</v>
      </c>
      <c r="J210" s="799">
        <f t="shared" si="22"/>
        <v>0</v>
      </c>
      <c r="L210" s="1451"/>
      <c r="M210" s="1132"/>
      <c r="N210" s="1436" t="s">
        <v>2921</v>
      </c>
      <c r="O210" s="1198" t="str">
        <f>IFERROR(VLOOKUP(P210,constant_ag_extr!$D$7:$E$594,2,FALSE),"")</f>
        <v>Oilseeds, Nes</v>
      </c>
      <c r="P210" s="1199">
        <f t="shared" si="26"/>
        <v>339</v>
      </c>
      <c r="Q210" s="1247">
        <f t="shared" si="27"/>
        <v>0.85</v>
      </c>
    </row>
    <row r="211" spans="1:17" ht="12.75" customHeight="1">
      <c r="A211" s="143" t="s">
        <v>3914</v>
      </c>
      <c r="B211" s="935">
        <v>358</v>
      </c>
      <c r="C211" s="36" t="s">
        <v>3915</v>
      </c>
      <c r="D211" s="1132">
        <v>327069</v>
      </c>
      <c r="E211" s="1132">
        <v>240443</v>
      </c>
      <c r="F211" s="809">
        <f t="shared" si="23"/>
        <v>28.991075351394933</v>
      </c>
      <c r="G211" s="809">
        <f t="shared" si="24"/>
        <v>1</v>
      </c>
      <c r="H211" s="809">
        <f t="shared" si="25"/>
        <v>2.5252766180478901</v>
      </c>
      <c r="I211" s="903">
        <f t="shared" si="21"/>
        <v>28489.446775507913</v>
      </c>
      <c r="J211" s="799">
        <f t="shared" si="22"/>
        <v>20943.862154601778</v>
      </c>
      <c r="L211" s="1451">
        <v>2558060</v>
      </c>
      <c r="M211" s="1132">
        <v>2020960</v>
      </c>
      <c r="N211" s="1436" t="s">
        <v>415</v>
      </c>
      <c r="O211" s="1198" t="str">
        <f>IFERROR(VLOOKUP(P211,constant_ag_extr!$D$7:$E$594,2,FALSE),"")</f>
        <v>Cabbages and other brassicas</v>
      </c>
      <c r="P211" s="1199">
        <f t="shared" si="26"/>
        <v>358</v>
      </c>
      <c r="Q211" s="1247">
        <f t="shared" si="27"/>
        <v>1</v>
      </c>
    </row>
    <row r="212" spans="1:17" ht="12.75" customHeight="1">
      <c r="A212" s="143" t="s">
        <v>2198</v>
      </c>
      <c r="B212" s="935">
        <v>366</v>
      </c>
      <c r="C212" s="36" t="s">
        <v>2199</v>
      </c>
      <c r="D212" s="1132">
        <v>3209</v>
      </c>
      <c r="E212" s="1132">
        <v>2416</v>
      </c>
      <c r="F212" s="809">
        <f t="shared" si="23"/>
        <v>13.603401689077652</v>
      </c>
      <c r="G212" s="809">
        <f t="shared" si="24"/>
        <v>1</v>
      </c>
      <c r="H212" s="809">
        <f t="shared" si="25"/>
        <v>2.5252766180478901</v>
      </c>
      <c r="I212" s="903">
        <f t="shared" si="21"/>
        <v>595.70487239395243</v>
      </c>
      <c r="J212" s="799">
        <f t="shared" si="22"/>
        <v>448.495784264191</v>
      </c>
      <c r="L212" s="1451">
        <v>61161</v>
      </c>
      <c r="M212" s="1132">
        <v>45688</v>
      </c>
      <c r="N212" s="1436" t="s">
        <v>415</v>
      </c>
      <c r="O212" s="1198" t="str">
        <f>IFERROR(VLOOKUP(P212,constant_ag_extr!$D$7:$E$594,2,FALSE),"")</f>
        <v>Artichokes</v>
      </c>
      <c r="P212" s="1199">
        <f t="shared" si="26"/>
        <v>366</v>
      </c>
      <c r="Q212" s="1247">
        <f t="shared" si="27"/>
        <v>1</v>
      </c>
    </row>
    <row r="213" spans="1:17" ht="12.75" customHeight="1">
      <c r="A213" s="143" t="s">
        <v>2200</v>
      </c>
      <c r="B213" s="935">
        <v>367</v>
      </c>
      <c r="C213" s="36" t="s">
        <v>2460</v>
      </c>
      <c r="D213" s="1132">
        <v>182805</v>
      </c>
      <c r="E213" s="1132">
        <v>36462</v>
      </c>
      <c r="F213" s="809">
        <f t="shared" si="23"/>
        <v>5.3444305177421016</v>
      </c>
      <c r="G213" s="809">
        <f t="shared" si="24"/>
        <v>1</v>
      </c>
      <c r="H213" s="809">
        <f t="shared" si="25"/>
        <v>2.5252766180478901</v>
      </c>
      <c r="I213" s="903">
        <f t="shared" si="21"/>
        <v>86376.498044037406</v>
      </c>
      <c r="J213" s="799">
        <f t="shared" si="22"/>
        <v>17228.521493841483</v>
      </c>
      <c r="L213" s="1451">
        <v>336163</v>
      </c>
      <c r="M213" s="1132">
        <v>330537</v>
      </c>
      <c r="N213" s="1436" t="s">
        <v>415</v>
      </c>
      <c r="O213" s="1198" t="str">
        <f>IFERROR(VLOOKUP(P213,constant_ag_extr!$D$7:$E$594,2,FALSE),"")</f>
        <v>Asparagus</v>
      </c>
      <c r="P213" s="1199">
        <f t="shared" si="26"/>
        <v>367</v>
      </c>
      <c r="Q213" s="1247">
        <f t="shared" si="27"/>
        <v>1</v>
      </c>
    </row>
    <row r="214" spans="1:17" ht="12.75" customHeight="1">
      <c r="A214" s="143" t="s">
        <v>577</v>
      </c>
      <c r="B214" s="935">
        <v>372</v>
      </c>
      <c r="C214" s="36" t="s">
        <v>4678</v>
      </c>
      <c r="D214" s="1132">
        <v>189554</v>
      </c>
      <c r="E214" s="1132">
        <v>362478</v>
      </c>
      <c r="F214" s="809">
        <f t="shared" si="23"/>
        <v>21.507389621125196</v>
      </c>
      <c r="G214" s="809">
        <f t="shared" si="24"/>
        <v>1</v>
      </c>
      <c r="H214" s="809">
        <f t="shared" si="25"/>
        <v>2.5252766180478901</v>
      </c>
      <c r="I214" s="903">
        <f t="shared" si="21"/>
        <v>22256.363626168735</v>
      </c>
      <c r="J214" s="799">
        <f t="shared" si="22"/>
        <v>42560.126267377062</v>
      </c>
      <c r="L214" s="1451">
        <v>2028690</v>
      </c>
      <c r="M214" s="1132">
        <v>2068510</v>
      </c>
      <c r="N214" s="1436" t="s">
        <v>415</v>
      </c>
      <c r="O214" s="1198" t="str">
        <f>IFERROR(VLOOKUP(P214,constant_ag_extr!$D$7:$E$594,2,FALSE),"")</f>
        <v>Lettuce and chicory</v>
      </c>
      <c r="P214" s="1199">
        <f t="shared" si="26"/>
        <v>372</v>
      </c>
      <c r="Q214" s="1247">
        <f t="shared" si="27"/>
        <v>1</v>
      </c>
    </row>
    <row r="215" spans="1:17" ht="12.75" customHeight="1">
      <c r="A215" s="143" t="s">
        <v>4048</v>
      </c>
      <c r="B215" s="935">
        <v>373</v>
      </c>
      <c r="C215" s="36" t="s">
        <v>531</v>
      </c>
      <c r="D215" s="1132">
        <v>6423</v>
      </c>
      <c r="E215" s="1132">
        <v>33487</v>
      </c>
      <c r="F215" s="809">
        <f t="shared" si="23"/>
        <v>25.303268875751417</v>
      </c>
      <c r="G215" s="809">
        <f t="shared" si="24"/>
        <v>1</v>
      </c>
      <c r="H215" s="809">
        <f t="shared" si="25"/>
        <v>2.5252766180478901</v>
      </c>
      <c r="I215" s="903">
        <f t="shared" ref="I215:I278" si="28">IFERROR((D215/F215)*H215*G215,0)</f>
        <v>641.01803594496744</v>
      </c>
      <c r="J215" s="799">
        <f t="shared" ref="J215:J278" si="29">IFERROR((E215/F215)*H215*G215,0)</f>
        <v>3342.0163427820526</v>
      </c>
      <c r="L215" s="1451">
        <v>165829</v>
      </c>
      <c r="M215" s="1132">
        <v>152436</v>
      </c>
      <c r="N215" s="1436" t="s">
        <v>415</v>
      </c>
      <c r="O215" s="1198" t="str">
        <f>IFERROR(VLOOKUP(P215,constant_ag_extr!$D$7:$E$594,2,FALSE),"")</f>
        <v>Spinach</v>
      </c>
      <c r="P215" s="1199">
        <f t="shared" si="26"/>
        <v>373</v>
      </c>
      <c r="Q215" s="1247">
        <f t="shared" si="27"/>
        <v>1</v>
      </c>
    </row>
    <row r="216" spans="1:17" ht="12.75" customHeight="1">
      <c r="A216" s="143" t="s">
        <v>4580</v>
      </c>
      <c r="B216" s="935">
        <v>388</v>
      </c>
      <c r="C216" s="36" t="s">
        <v>3696</v>
      </c>
      <c r="D216" s="1132">
        <v>1537400</v>
      </c>
      <c r="E216" s="1132">
        <v>211764</v>
      </c>
      <c r="F216" s="809">
        <f t="shared" si="23"/>
        <v>33.956094574904412</v>
      </c>
      <c r="G216" s="809">
        <f t="shared" si="24"/>
        <v>1</v>
      </c>
      <c r="H216" s="809">
        <f t="shared" si="25"/>
        <v>2.5252766180478901</v>
      </c>
      <c r="I216" s="903">
        <f t="shared" si="28"/>
        <v>114334.71137331921</v>
      </c>
      <c r="J216" s="799">
        <f t="shared" si="29"/>
        <v>15748.650851606328</v>
      </c>
      <c r="L216" s="1451">
        <v>7167490</v>
      </c>
      <c r="M216" s="1132">
        <v>7682640</v>
      </c>
      <c r="N216" s="1436" t="s">
        <v>415</v>
      </c>
      <c r="O216" s="1198" t="str">
        <f>IFERROR(VLOOKUP(P216,constant_ag_extr!$D$7:$E$594,2,FALSE),"")</f>
        <v>Tomatoes</v>
      </c>
      <c r="P216" s="1199">
        <f t="shared" si="26"/>
        <v>388</v>
      </c>
      <c r="Q216" s="1247">
        <f t="shared" si="27"/>
        <v>1</v>
      </c>
    </row>
    <row r="217" spans="1:17" ht="12.75" customHeight="1">
      <c r="A217" s="143" t="s">
        <v>3697</v>
      </c>
      <c r="B217" s="935">
        <v>389</v>
      </c>
      <c r="C217" s="36" t="s">
        <v>3698</v>
      </c>
      <c r="D217" s="1132"/>
      <c r="E217" s="1132"/>
      <c r="F217" s="809">
        <f t="shared" si="23"/>
        <v>6.7912189149808828</v>
      </c>
      <c r="G217" s="809">
        <f t="shared" si="24"/>
        <v>1</v>
      </c>
      <c r="H217" s="809">
        <f t="shared" si="25"/>
        <v>2.5252766180478901</v>
      </c>
      <c r="I217" s="903">
        <f t="shared" si="28"/>
        <v>0</v>
      </c>
      <c r="J217" s="799">
        <f t="shared" si="29"/>
        <v>0</v>
      </c>
      <c r="L217" s="1451"/>
      <c r="M217" s="1132"/>
      <c r="N217" s="1436" t="s">
        <v>2921</v>
      </c>
      <c r="O217" s="1198" t="str">
        <f>IFERROR(VLOOKUP(P217,constant_ag_extr!$D$7:$E$594,2,FALSE),"")</f>
        <v>Tomatoes</v>
      </c>
      <c r="P217" s="1199">
        <f t="shared" si="26"/>
        <v>388</v>
      </c>
      <c r="Q217" s="1247">
        <f t="shared" si="27"/>
        <v>0.2</v>
      </c>
    </row>
    <row r="218" spans="1:17" ht="12.75" customHeight="1">
      <c r="A218" s="143" t="s">
        <v>7291</v>
      </c>
      <c r="B218" s="935">
        <v>390</v>
      </c>
      <c r="C218" s="36" t="s">
        <v>1377</v>
      </c>
      <c r="D218" s="1132">
        <v>630</v>
      </c>
      <c r="E218" s="1132">
        <v>22886</v>
      </c>
      <c r="F218" s="809">
        <f t="shared" si="23"/>
        <v>27.164875659923531</v>
      </c>
      <c r="G218" s="809">
        <f t="shared" si="24"/>
        <v>1</v>
      </c>
      <c r="H218" s="809">
        <f t="shared" si="25"/>
        <v>2.5252766180478901</v>
      </c>
      <c r="I218" s="903">
        <f t="shared" si="28"/>
        <v>58.565490572712939</v>
      </c>
      <c r="J218" s="799">
        <f t="shared" si="29"/>
        <v>2127.5076464239814</v>
      </c>
      <c r="L218" s="1451">
        <v>106560</v>
      </c>
      <c r="M218" s="1132">
        <v>97635</v>
      </c>
      <c r="N218" s="1436" t="s">
        <v>2921</v>
      </c>
      <c r="O218" s="1198" t="str">
        <f>IFERROR(VLOOKUP(P218,constant_ag_extr!$D$7:$E$594,2,FALSE),"")</f>
        <v>Tomatoes</v>
      </c>
      <c r="P218" s="1199">
        <f t="shared" si="26"/>
        <v>388</v>
      </c>
      <c r="Q218" s="1247">
        <f t="shared" si="27"/>
        <v>0.8</v>
      </c>
    </row>
    <row r="219" spans="1:17" ht="12.75" customHeight="1">
      <c r="A219" s="143" t="s">
        <v>7327</v>
      </c>
      <c r="B219" s="935">
        <v>391</v>
      </c>
      <c r="C219" s="36" t="s">
        <v>5211</v>
      </c>
      <c r="D219" s="1132">
        <v>8941</v>
      </c>
      <c r="E219" s="1132">
        <v>475904</v>
      </c>
      <c r="F219" s="809">
        <f t="shared" si="23"/>
        <v>8.4890236437261031</v>
      </c>
      <c r="G219" s="809">
        <f t="shared" si="24"/>
        <v>1</v>
      </c>
      <c r="H219" s="809">
        <f t="shared" si="25"/>
        <v>2.5252766180478901</v>
      </c>
      <c r="I219" s="903">
        <f t="shared" si="28"/>
        <v>2659.7285140857211</v>
      </c>
      <c r="J219" s="799">
        <f t="shared" si="29"/>
        <v>141569.78400262288</v>
      </c>
      <c r="L219" s="1451">
        <v>2935830</v>
      </c>
      <c r="M219" s="1132">
        <v>3210460</v>
      </c>
      <c r="N219" s="1436" t="s">
        <v>2921</v>
      </c>
      <c r="O219" s="1198" t="str">
        <f>IFERROR(VLOOKUP(P219,constant_ag_extr!$D$7:$E$594,2,FALSE),"")</f>
        <v>Tomatoes</v>
      </c>
      <c r="P219" s="1199">
        <f t="shared" si="26"/>
        <v>388</v>
      </c>
      <c r="Q219" s="1247">
        <f t="shared" si="27"/>
        <v>0.25</v>
      </c>
    </row>
    <row r="220" spans="1:17" ht="12.75" customHeight="1">
      <c r="A220" s="143" t="s">
        <v>7328</v>
      </c>
      <c r="B220" s="935">
        <v>392</v>
      </c>
      <c r="C220" s="36" t="s">
        <v>4811</v>
      </c>
      <c r="D220" s="1132">
        <v>16565</v>
      </c>
      <c r="E220" s="1132">
        <v>67396</v>
      </c>
      <c r="F220" s="809">
        <f t="shared" si="23"/>
        <v>27.164875659923531</v>
      </c>
      <c r="G220" s="809">
        <f t="shared" si="24"/>
        <v>1</v>
      </c>
      <c r="H220" s="809">
        <f t="shared" si="25"/>
        <v>2.5252766180478901</v>
      </c>
      <c r="I220" s="903">
        <f t="shared" si="28"/>
        <v>1539.9005576777615</v>
      </c>
      <c r="J220" s="799">
        <f t="shared" si="29"/>
        <v>6265.206035934224</v>
      </c>
      <c r="L220" s="1451">
        <v>1407170</v>
      </c>
      <c r="M220" s="1132">
        <v>1562290</v>
      </c>
      <c r="N220" s="1436" t="s">
        <v>2921</v>
      </c>
      <c r="O220" s="1198" t="str">
        <f>IFERROR(VLOOKUP(P220,constant_ag_extr!$D$7:$E$594,2,FALSE),"")</f>
        <v>Tomatoes</v>
      </c>
      <c r="P220" s="1199">
        <f t="shared" si="26"/>
        <v>388</v>
      </c>
      <c r="Q220" s="1247">
        <f t="shared" si="27"/>
        <v>0.8</v>
      </c>
    </row>
    <row r="221" spans="1:17" ht="12.75" customHeight="1">
      <c r="A221" s="143" t="s">
        <v>3880</v>
      </c>
      <c r="B221" s="935">
        <v>393</v>
      </c>
      <c r="C221" s="36" t="s">
        <v>3881</v>
      </c>
      <c r="D221" s="1132">
        <v>19909</v>
      </c>
      <c r="E221" s="1132">
        <v>129038</v>
      </c>
      <c r="F221" s="809">
        <f t="shared" si="23"/>
        <v>17.667241513792462</v>
      </c>
      <c r="G221" s="809">
        <f t="shared" si="24"/>
        <v>1</v>
      </c>
      <c r="H221" s="809">
        <f t="shared" si="25"/>
        <v>2.5252766180478901</v>
      </c>
      <c r="I221" s="903">
        <f t="shared" si="28"/>
        <v>2845.7035666527895</v>
      </c>
      <c r="J221" s="799">
        <f t="shared" si="29"/>
        <v>18444.115567519348</v>
      </c>
      <c r="L221" s="1451">
        <v>932076</v>
      </c>
      <c r="M221" s="1132">
        <v>1187030</v>
      </c>
      <c r="N221" s="1436" t="s">
        <v>415</v>
      </c>
      <c r="O221" s="1198" t="str">
        <f>IFERROR(VLOOKUP(P221,constant_ag_extr!$D$7:$E$594,2,FALSE),"")</f>
        <v>Cauliflowers and broccoli</v>
      </c>
      <c r="P221" s="1199">
        <f t="shared" si="26"/>
        <v>393</v>
      </c>
      <c r="Q221" s="1247">
        <f t="shared" si="27"/>
        <v>1</v>
      </c>
    </row>
    <row r="222" spans="1:17" ht="12.75" customHeight="1">
      <c r="A222" s="143" t="s">
        <v>483</v>
      </c>
      <c r="B222" s="935">
        <v>394</v>
      </c>
      <c r="C222" s="36" t="s">
        <v>484</v>
      </c>
      <c r="D222" s="1132">
        <v>349096</v>
      </c>
      <c r="E222" s="1132">
        <v>50287</v>
      </c>
      <c r="F222" s="809">
        <f t="shared" si="23"/>
        <v>13.616892965323396</v>
      </c>
      <c r="G222" s="809">
        <f t="shared" si="24"/>
        <v>1</v>
      </c>
      <c r="H222" s="809">
        <f t="shared" si="25"/>
        <v>2.5252766180478901</v>
      </c>
      <c r="I222" s="903">
        <f t="shared" si="28"/>
        <v>64740.463812047696</v>
      </c>
      <c r="J222" s="799">
        <f t="shared" si="29"/>
        <v>9325.8121081778154</v>
      </c>
      <c r="L222" s="1451">
        <v>1210850</v>
      </c>
      <c r="M222" s="1132">
        <v>1179520</v>
      </c>
      <c r="N222" s="1436" t="s">
        <v>415</v>
      </c>
      <c r="O222" s="1198" t="str">
        <f>IFERROR(VLOOKUP(P222,constant_ag_extr!$D$7:$E$594,2,FALSE),"")</f>
        <v>Pumpkins, squash and gourds</v>
      </c>
      <c r="P222" s="1199">
        <f t="shared" si="26"/>
        <v>394</v>
      </c>
      <c r="Q222" s="1247">
        <f t="shared" si="27"/>
        <v>1</v>
      </c>
    </row>
    <row r="223" spans="1:17" ht="12.75" customHeight="1">
      <c r="A223" s="143" t="s">
        <v>2574</v>
      </c>
      <c r="B223" s="935">
        <v>397</v>
      </c>
      <c r="C223" s="36" t="s">
        <v>2575</v>
      </c>
      <c r="D223" s="1132">
        <v>720131</v>
      </c>
      <c r="E223" s="1132">
        <v>49352</v>
      </c>
      <c r="F223" s="809">
        <f t="shared" si="23"/>
        <v>33.34405775396953</v>
      </c>
      <c r="G223" s="809">
        <f t="shared" si="24"/>
        <v>1</v>
      </c>
      <c r="H223" s="809">
        <f t="shared" si="25"/>
        <v>2.5252766180478901</v>
      </c>
      <c r="I223" s="903">
        <f t="shared" si="28"/>
        <v>54538.352519946478</v>
      </c>
      <c r="J223" s="799">
        <f t="shared" si="29"/>
        <v>3737.6210350122387</v>
      </c>
      <c r="L223" s="1451">
        <v>2454040</v>
      </c>
      <c r="M223" s="1132">
        <v>2431880</v>
      </c>
      <c r="N223" s="1436" t="s">
        <v>415</v>
      </c>
      <c r="O223" s="1198" t="str">
        <f>IFERROR(VLOOKUP(P223,constant_ag_extr!$D$7:$E$594,2,FALSE),"")</f>
        <v>Cucumbers and gherkins</v>
      </c>
      <c r="P223" s="1199">
        <f t="shared" si="26"/>
        <v>397</v>
      </c>
      <c r="Q223" s="1247">
        <f t="shared" si="27"/>
        <v>1</v>
      </c>
    </row>
    <row r="224" spans="1:17" ht="12.75" customHeight="1">
      <c r="A224" s="143" t="s">
        <v>823</v>
      </c>
      <c r="B224" s="935">
        <v>399</v>
      </c>
      <c r="C224" s="36" t="s">
        <v>824</v>
      </c>
      <c r="D224" s="1132">
        <v>66190</v>
      </c>
      <c r="E224" s="1132">
        <v>19185</v>
      </c>
      <c r="F224" s="809">
        <f t="shared" si="23"/>
        <v>26.206066374423969</v>
      </c>
      <c r="G224" s="809">
        <f t="shared" si="24"/>
        <v>1</v>
      </c>
      <c r="H224" s="809">
        <f t="shared" si="25"/>
        <v>2.5252766180478901</v>
      </c>
      <c r="I224" s="903">
        <f t="shared" si="28"/>
        <v>6378.2201021866986</v>
      </c>
      <c r="J224" s="799">
        <f t="shared" si="29"/>
        <v>1848.7105704857504</v>
      </c>
      <c r="L224" s="1451">
        <v>417575</v>
      </c>
      <c r="M224" s="1132">
        <v>419608</v>
      </c>
      <c r="N224" s="1436" t="s">
        <v>415</v>
      </c>
      <c r="O224" s="1198" t="str">
        <f>IFERROR(VLOOKUP(P224,constant_ag_extr!$D$7:$E$594,2,FALSE),"")</f>
        <v>Eggplants (aubergines)</v>
      </c>
      <c r="P224" s="1199">
        <f t="shared" si="26"/>
        <v>399</v>
      </c>
      <c r="Q224" s="1247">
        <f t="shared" si="27"/>
        <v>1</v>
      </c>
    </row>
    <row r="225" spans="1:17" s="889" customFormat="1" ht="12.75" customHeight="1">
      <c r="A225" s="143" t="s">
        <v>2633</v>
      </c>
      <c r="B225" s="935">
        <v>401</v>
      </c>
      <c r="C225" s="36" t="s">
        <v>2634</v>
      </c>
      <c r="D225" s="1132">
        <v>905822</v>
      </c>
      <c r="E225" s="1132">
        <v>118605</v>
      </c>
      <c r="F225" s="809">
        <f t="shared" si="23"/>
        <v>15.946954268336334</v>
      </c>
      <c r="G225" s="809">
        <f t="shared" si="24"/>
        <v>1</v>
      </c>
      <c r="H225" s="809">
        <f t="shared" si="25"/>
        <v>2.5252766180478901</v>
      </c>
      <c r="I225" s="903">
        <f t="shared" si="28"/>
        <v>143441.25393619845</v>
      </c>
      <c r="J225" s="799">
        <f t="shared" si="29"/>
        <v>18781.670044559323</v>
      </c>
      <c r="L225" s="1451">
        <v>2927070</v>
      </c>
      <c r="M225" s="1132">
        <v>3002740</v>
      </c>
      <c r="N225" s="1436" t="s">
        <v>415</v>
      </c>
      <c r="O225" s="1198" t="str">
        <f>IFERROR(VLOOKUP(P225,constant_ag_extr!$D$7:$E$594,2,FALSE),"")</f>
        <v>Chillies and peppers, green</v>
      </c>
      <c r="P225" s="1199">
        <f t="shared" si="26"/>
        <v>401</v>
      </c>
      <c r="Q225" s="1247">
        <f t="shared" si="27"/>
        <v>1</v>
      </c>
    </row>
    <row r="226" spans="1:17" ht="12.75" customHeight="1">
      <c r="A226" s="143" t="s">
        <v>7317</v>
      </c>
      <c r="B226" s="935">
        <v>402</v>
      </c>
      <c r="C226" s="36" t="s">
        <v>3505</v>
      </c>
      <c r="D226" s="1132"/>
      <c r="E226" s="1132"/>
      <c r="F226" s="809">
        <f t="shared" si="23"/>
        <v>18.451009625352974</v>
      </c>
      <c r="G226" s="809">
        <f t="shared" si="24"/>
        <v>1</v>
      </c>
      <c r="H226" s="809">
        <f t="shared" si="25"/>
        <v>2.5252766180478901</v>
      </c>
      <c r="I226" s="903">
        <f t="shared" si="28"/>
        <v>0</v>
      </c>
      <c r="J226" s="799">
        <f t="shared" si="29"/>
        <v>0</v>
      </c>
      <c r="L226" s="1451">
        <v>569067</v>
      </c>
      <c r="M226" s="1132">
        <v>277185</v>
      </c>
      <c r="N226" s="1436" t="s">
        <v>415</v>
      </c>
      <c r="O226" s="1198" t="str">
        <f>IFERROR(VLOOKUP(P226,constant_ag_extr!$D$7:$E$594,2,FALSE),"")</f>
        <v>Onions (inc. shallots), green</v>
      </c>
      <c r="P226" s="1199">
        <f t="shared" si="26"/>
        <v>402</v>
      </c>
      <c r="Q226" s="1247">
        <f t="shared" si="27"/>
        <v>1</v>
      </c>
    </row>
    <row r="227" spans="1:17" ht="12.75" customHeight="1">
      <c r="A227" s="143" t="s">
        <v>2495</v>
      </c>
      <c r="B227" s="935">
        <v>403</v>
      </c>
      <c r="C227" s="36" t="s">
        <v>3225</v>
      </c>
      <c r="D227" s="1132">
        <v>436952</v>
      </c>
      <c r="E227" s="1132">
        <v>358003</v>
      </c>
      <c r="F227" s="809">
        <f t="shared" si="23"/>
        <v>19.146494516507591</v>
      </c>
      <c r="G227" s="809">
        <f t="shared" si="24"/>
        <v>1</v>
      </c>
      <c r="H227" s="809">
        <f t="shared" si="25"/>
        <v>2.5252766180478901</v>
      </c>
      <c r="I227" s="903">
        <f t="shared" si="28"/>
        <v>57630.636660821576</v>
      </c>
      <c r="J227" s="799">
        <f t="shared" si="29"/>
        <v>47217.86561563766</v>
      </c>
      <c r="L227" s="1451">
        <v>6754400</v>
      </c>
      <c r="M227" s="1132">
        <v>7007820</v>
      </c>
      <c r="N227" s="1436" t="s">
        <v>415</v>
      </c>
      <c r="O227" s="1198" t="str">
        <f>IFERROR(VLOOKUP(P227,constant_ag_extr!$D$7:$E$594,2,FALSE),"")</f>
        <v>Onions, dry</v>
      </c>
      <c r="P227" s="1199">
        <f t="shared" si="26"/>
        <v>403</v>
      </c>
      <c r="Q227" s="1247">
        <f t="shared" si="27"/>
        <v>1</v>
      </c>
    </row>
    <row r="228" spans="1:17" ht="12.75" customHeight="1">
      <c r="A228" s="143" t="s">
        <v>5231</v>
      </c>
      <c r="B228" s="935">
        <v>406</v>
      </c>
      <c r="C228" s="36" t="s">
        <v>5232</v>
      </c>
      <c r="D228" s="1132">
        <v>73026</v>
      </c>
      <c r="E228" s="1132">
        <v>8444</v>
      </c>
      <c r="F228" s="809">
        <f t="shared" si="23"/>
        <v>16.547339301789894</v>
      </c>
      <c r="G228" s="809">
        <f t="shared" si="24"/>
        <v>1</v>
      </c>
      <c r="H228" s="809">
        <f t="shared" si="25"/>
        <v>2.5252766180478901</v>
      </c>
      <c r="I228" s="903">
        <f t="shared" si="28"/>
        <v>11144.441226851366</v>
      </c>
      <c r="J228" s="799">
        <f t="shared" si="29"/>
        <v>1288.6322915062162</v>
      </c>
      <c r="L228" s="1451">
        <v>1830640</v>
      </c>
      <c r="M228" s="1132">
        <v>1970510</v>
      </c>
      <c r="N228" s="1436" t="s">
        <v>415</v>
      </c>
      <c r="O228" s="1198" t="str">
        <f>IFERROR(VLOOKUP(P228,constant_ag_extr!$D$7:$E$594,2,FALSE),"")</f>
        <v>Garlic</v>
      </c>
      <c r="P228" s="1199">
        <f t="shared" si="26"/>
        <v>406</v>
      </c>
      <c r="Q228" s="1247">
        <f t="shared" si="27"/>
        <v>1</v>
      </c>
    </row>
    <row r="229" spans="1:17" ht="12.75" customHeight="1">
      <c r="A229" s="143" t="s">
        <v>7093</v>
      </c>
      <c r="B229" s="935">
        <v>407</v>
      </c>
      <c r="C229" s="36" t="s">
        <v>573</v>
      </c>
      <c r="D229" s="1132">
        <v>10333</v>
      </c>
      <c r="E229" s="1132">
        <v>5605</v>
      </c>
      <c r="F229" s="809">
        <f t="shared" si="23"/>
        <v>16.563645348831379</v>
      </c>
      <c r="G229" s="809">
        <f t="shared" si="24"/>
        <v>1</v>
      </c>
      <c r="H229" s="809">
        <f t="shared" si="25"/>
        <v>2.5252766180478901</v>
      </c>
      <c r="I229" s="903">
        <f t="shared" si="28"/>
        <v>1575.3587296005371</v>
      </c>
      <c r="J229" s="799">
        <f t="shared" si="29"/>
        <v>854.53263131820484</v>
      </c>
      <c r="L229" s="1451">
        <v>334219</v>
      </c>
      <c r="M229" s="1132">
        <v>285832</v>
      </c>
      <c r="N229" s="1436" t="s">
        <v>415</v>
      </c>
      <c r="O229" s="1198" t="str">
        <f>IFERROR(VLOOKUP(P229,constant_ag_extr!$D$7:$E$594,2,FALSE),"")</f>
        <v>Leeks, other alliaceous vegetables</v>
      </c>
      <c r="P229" s="1199">
        <f t="shared" si="26"/>
        <v>407</v>
      </c>
      <c r="Q229" s="1247">
        <f t="shared" si="27"/>
        <v>1</v>
      </c>
    </row>
    <row r="230" spans="1:17" ht="12.75" customHeight="1">
      <c r="A230" s="143" t="s">
        <v>3205</v>
      </c>
      <c r="B230" s="935">
        <v>414</v>
      </c>
      <c r="C230" s="36" t="s">
        <v>3206</v>
      </c>
      <c r="D230" s="1132">
        <v>63697</v>
      </c>
      <c r="E230" s="1132">
        <v>24492</v>
      </c>
      <c r="F230" s="809">
        <f t="shared" si="23"/>
        <v>13.725870299008896</v>
      </c>
      <c r="G230" s="809">
        <f t="shared" si="24"/>
        <v>1</v>
      </c>
      <c r="H230" s="809">
        <f t="shared" si="25"/>
        <v>2.5252766180478901</v>
      </c>
      <c r="I230" s="37">
        <f t="shared" si="28"/>
        <v>11718.932296148181</v>
      </c>
      <c r="J230" s="799">
        <f t="shared" si="29"/>
        <v>4506.0221014688486</v>
      </c>
      <c r="L230" s="1451">
        <v>588171</v>
      </c>
      <c r="M230" s="1132">
        <v>542692</v>
      </c>
      <c r="N230" s="1436" t="s">
        <v>415</v>
      </c>
      <c r="O230" s="1198" t="str">
        <f>IFERROR(VLOOKUP(P230,constant_ag_extr!$D$7:$E$594,2,FALSE),"")</f>
        <v>Beans, green</v>
      </c>
      <c r="P230" s="1199">
        <f t="shared" si="26"/>
        <v>414</v>
      </c>
      <c r="Q230" s="1247">
        <f t="shared" si="27"/>
        <v>1</v>
      </c>
    </row>
    <row r="231" spans="1:17" ht="12.75" customHeight="1">
      <c r="A231" s="143" t="s">
        <v>5267</v>
      </c>
      <c r="B231" s="935">
        <v>417</v>
      </c>
      <c r="C231" s="36" t="s">
        <v>5268</v>
      </c>
      <c r="D231" s="1132">
        <v>41846</v>
      </c>
      <c r="E231" s="1132">
        <v>15000</v>
      </c>
      <c r="F231" s="809">
        <f t="shared" si="23"/>
        <v>7.5150502337741685</v>
      </c>
      <c r="G231" s="809">
        <f t="shared" si="24"/>
        <v>1</v>
      </c>
      <c r="H231" s="809">
        <f t="shared" si="25"/>
        <v>2.5252766180478901</v>
      </c>
      <c r="I231" s="903">
        <f t="shared" si="28"/>
        <v>14061.479573871273</v>
      </c>
      <c r="J231" s="799">
        <f t="shared" si="29"/>
        <v>5040.438598864147</v>
      </c>
      <c r="L231" s="1451">
        <v>304636</v>
      </c>
      <c r="M231" s="1132">
        <v>299709</v>
      </c>
      <c r="N231" s="1436" t="s">
        <v>415</v>
      </c>
      <c r="O231" s="1198" t="str">
        <f>IFERROR(VLOOKUP(P231,constant_ag_extr!$D$7:$E$594,2,FALSE),"")</f>
        <v>Peas, green</v>
      </c>
      <c r="P231" s="1199">
        <f t="shared" si="26"/>
        <v>417</v>
      </c>
      <c r="Q231" s="1247">
        <f t="shared" si="27"/>
        <v>1</v>
      </c>
    </row>
    <row r="232" spans="1:17" ht="12.75" customHeight="1">
      <c r="A232" s="143" t="s">
        <v>817</v>
      </c>
      <c r="B232" s="935">
        <v>420</v>
      </c>
      <c r="C232" s="36" t="s">
        <v>1018</v>
      </c>
      <c r="D232" s="1132"/>
      <c r="E232" s="1132"/>
      <c r="F232" s="809">
        <f t="shared" si="23"/>
        <v>6.7919326468400794</v>
      </c>
      <c r="G232" s="809">
        <f t="shared" si="24"/>
        <v>1</v>
      </c>
      <c r="H232" s="809">
        <f t="shared" si="25"/>
        <v>2.5252766180478901</v>
      </c>
      <c r="I232" s="903">
        <f t="shared" si="28"/>
        <v>0</v>
      </c>
      <c r="J232" s="799">
        <f t="shared" si="29"/>
        <v>0</v>
      </c>
      <c r="L232" s="1451"/>
      <c r="M232" s="1132"/>
      <c r="N232" s="1436" t="s">
        <v>415</v>
      </c>
      <c r="O232" s="1198" t="str">
        <f>IFERROR(VLOOKUP(P232,constant_ag_extr!$D$7:$E$594,2,FALSE),"")</f>
        <v>Leguminous vegetables, nes</v>
      </c>
      <c r="P232" s="1199">
        <f t="shared" si="26"/>
        <v>420</v>
      </c>
      <c r="Q232" s="1247">
        <f t="shared" si="27"/>
        <v>1</v>
      </c>
    </row>
    <row r="233" spans="1:17" ht="12.75" customHeight="1">
      <c r="A233" s="143" t="s">
        <v>527</v>
      </c>
      <c r="B233" s="935">
        <v>423</v>
      </c>
      <c r="C233" s="36" t="s">
        <v>1058</v>
      </c>
      <c r="D233" s="1132"/>
      <c r="E233" s="1132"/>
      <c r="F233" s="809">
        <f t="shared" si="23"/>
        <v>9.2417808030586119</v>
      </c>
      <c r="G233" s="809">
        <f t="shared" si="24"/>
        <v>1</v>
      </c>
      <c r="H233" s="809">
        <f t="shared" si="25"/>
        <v>2.5252766180478901</v>
      </c>
      <c r="I233" s="903">
        <f t="shared" si="28"/>
        <v>0</v>
      </c>
      <c r="J233" s="799">
        <f t="shared" si="29"/>
        <v>0</v>
      </c>
      <c r="L233" s="1451"/>
      <c r="M233" s="1132"/>
      <c r="N233" s="1436" t="s">
        <v>415</v>
      </c>
      <c r="O233" s="1198" t="str">
        <f>IFERROR(VLOOKUP(P233,constant_ag_extr!$D$7:$E$594,2,FALSE),"")</f>
        <v>String beans</v>
      </c>
      <c r="P233" s="1199">
        <f t="shared" si="26"/>
        <v>423</v>
      </c>
      <c r="Q233" s="1247">
        <f t="shared" si="27"/>
        <v>1</v>
      </c>
    </row>
    <row r="234" spans="1:17" ht="12.75" customHeight="1">
      <c r="A234" s="143" t="s">
        <v>767</v>
      </c>
      <c r="B234" s="935">
        <v>426</v>
      </c>
      <c r="C234" s="36" t="s">
        <v>4660</v>
      </c>
      <c r="D234" s="1132">
        <v>161333</v>
      </c>
      <c r="E234" s="1132">
        <v>120381</v>
      </c>
      <c r="F234" s="809">
        <f t="shared" si="23"/>
        <v>30.700998065453142</v>
      </c>
      <c r="G234" s="809">
        <f t="shared" si="24"/>
        <v>1</v>
      </c>
      <c r="H234" s="809">
        <f t="shared" si="25"/>
        <v>2.5252766180478901</v>
      </c>
      <c r="I234" s="903">
        <f t="shared" si="28"/>
        <v>13270.267362348923</v>
      </c>
      <c r="J234" s="799">
        <f t="shared" si="29"/>
        <v>9901.8059253031042</v>
      </c>
      <c r="L234" s="1451">
        <v>2351990</v>
      </c>
      <c r="M234" s="1132">
        <v>2371110</v>
      </c>
      <c r="N234" s="1436" t="s">
        <v>415</v>
      </c>
      <c r="O234" s="1198" t="str">
        <f>IFERROR(VLOOKUP(P234,constant_ag_extr!$D$7:$E$594,2,FALSE),"")</f>
        <v>Carrots and turnips</v>
      </c>
      <c r="P234" s="1199">
        <f t="shared" si="26"/>
        <v>426</v>
      </c>
      <c r="Q234" s="1247">
        <f t="shared" si="27"/>
        <v>1</v>
      </c>
    </row>
    <row r="235" spans="1:17" ht="12.75" customHeight="1">
      <c r="A235" s="143" t="s">
        <v>807</v>
      </c>
      <c r="B235" s="935">
        <v>430</v>
      </c>
      <c r="C235" s="36" t="s">
        <v>808</v>
      </c>
      <c r="D235" s="1132"/>
      <c r="E235" s="1132"/>
      <c r="F235" s="809">
        <f t="shared" si="23"/>
        <v>8.0302641869041942</v>
      </c>
      <c r="G235" s="809">
        <f t="shared" si="24"/>
        <v>1</v>
      </c>
      <c r="H235" s="809">
        <f t="shared" si="25"/>
        <v>2.5252766180478901</v>
      </c>
      <c r="I235" s="903">
        <f t="shared" si="28"/>
        <v>0</v>
      </c>
      <c r="J235" s="799">
        <f t="shared" si="29"/>
        <v>0</v>
      </c>
      <c r="L235" s="1451"/>
      <c r="M235" s="1132"/>
      <c r="N235" s="1436" t="s">
        <v>415</v>
      </c>
      <c r="O235" s="1198" t="str">
        <f>IFERROR(VLOOKUP(P235,constant_ag_extr!$D$7:$E$594,2,FALSE),"")</f>
        <v>Okra</v>
      </c>
      <c r="P235" s="1199">
        <f t="shared" si="26"/>
        <v>430</v>
      </c>
      <c r="Q235" s="1247">
        <f t="shared" si="27"/>
        <v>1</v>
      </c>
    </row>
    <row r="236" spans="1:17" ht="12.75" customHeight="1">
      <c r="A236" s="143" t="s">
        <v>1195</v>
      </c>
      <c r="B236" s="935">
        <v>446</v>
      </c>
      <c r="C236" s="36" t="s">
        <v>1196</v>
      </c>
      <c r="D236" s="1132">
        <v>48147</v>
      </c>
      <c r="E236" s="1132">
        <v>72042</v>
      </c>
      <c r="F236" s="809">
        <f t="shared" si="23"/>
        <v>8.7830620283400798</v>
      </c>
      <c r="G236" s="809">
        <f t="shared" si="24"/>
        <v>1</v>
      </c>
      <c r="H236" s="809">
        <f t="shared" si="25"/>
        <v>2.5252766180478901</v>
      </c>
      <c r="I236" s="903">
        <f t="shared" si="28"/>
        <v>13843.064404741561</v>
      </c>
      <c r="J236" s="799">
        <f t="shared" si="29"/>
        <v>20713.274884133829</v>
      </c>
      <c r="L236" s="1451">
        <v>163293</v>
      </c>
      <c r="M236" s="1132">
        <v>115180</v>
      </c>
      <c r="N236" s="1436" t="s">
        <v>415</v>
      </c>
      <c r="O236" s="1198" t="str">
        <f>IFERROR(VLOOKUP(P236,constant_ag_extr!$D$7:$E$594,2,FALSE),"")</f>
        <v>Maize, green</v>
      </c>
      <c r="P236" s="1199">
        <f t="shared" si="26"/>
        <v>446</v>
      </c>
      <c r="Q236" s="1247">
        <f t="shared" si="27"/>
        <v>1</v>
      </c>
    </row>
    <row r="237" spans="1:17" ht="12.75" customHeight="1">
      <c r="A237" s="143" t="s">
        <v>5172</v>
      </c>
      <c r="B237" s="935">
        <v>447</v>
      </c>
      <c r="C237" s="36" t="s">
        <v>5173</v>
      </c>
      <c r="D237" s="1132">
        <v>22237</v>
      </c>
      <c r="E237" s="1132">
        <v>70174</v>
      </c>
      <c r="F237" s="809">
        <f t="shared" si="23"/>
        <v>3.0740717099190276</v>
      </c>
      <c r="G237" s="809">
        <f t="shared" si="24"/>
        <v>1</v>
      </c>
      <c r="H237" s="809">
        <f t="shared" si="25"/>
        <v>2.5252766180478901</v>
      </c>
      <c r="I237" s="37">
        <f t="shared" si="28"/>
        <v>18267.165328101622</v>
      </c>
      <c r="J237" s="799">
        <f t="shared" si="29"/>
        <v>57646.267919872436</v>
      </c>
      <c r="L237" s="1451">
        <v>322702</v>
      </c>
      <c r="M237" s="1132">
        <v>328566</v>
      </c>
      <c r="N237" s="1436" t="s">
        <v>2921</v>
      </c>
      <c r="O237" s="1198" t="str">
        <f>IFERROR(VLOOKUP(P237,constant_ag_extr!$D$7:$E$594,2,FALSE),"")</f>
        <v>Maize, green</v>
      </c>
      <c r="P237" s="1199">
        <f t="shared" si="26"/>
        <v>446</v>
      </c>
      <c r="Q237" s="1247">
        <f t="shared" si="27"/>
        <v>0.35</v>
      </c>
    </row>
    <row r="238" spans="1:17" ht="12.75" customHeight="1">
      <c r="A238" s="143" t="s">
        <v>4918</v>
      </c>
      <c r="B238" s="935">
        <v>448</v>
      </c>
      <c r="C238" s="36" t="s">
        <v>4919</v>
      </c>
      <c r="D238" s="1132">
        <v>8344</v>
      </c>
      <c r="E238" s="1132">
        <v>102954</v>
      </c>
      <c r="F238" s="809">
        <f t="shared" si="23"/>
        <v>3.9523779127530361</v>
      </c>
      <c r="G238" s="809">
        <f t="shared" si="24"/>
        <v>1</v>
      </c>
      <c r="H238" s="809">
        <f t="shared" si="25"/>
        <v>2.5252766180478901</v>
      </c>
      <c r="I238" s="903">
        <f t="shared" si="28"/>
        <v>5331.1977159376984</v>
      </c>
      <c r="J238" s="799">
        <f t="shared" si="29"/>
        <v>65779.977186798875</v>
      </c>
      <c r="L238" s="1451">
        <v>716451</v>
      </c>
      <c r="M238" s="1132">
        <v>725997</v>
      </c>
      <c r="N238" s="1436" t="s">
        <v>2921</v>
      </c>
      <c r="O238" s="1198" t="str">
        <f>IFERROR(VLOOKUP(P238,constant_ag_extr!$D$7:$E$594,2,FALSE),"")</f>
        <v>Maize, green</v>
      </c>
      <c r="P238" s="1199">
        <f t="shared" si="26"/>
        <v>446</v>
      </c>
      <c r="Q238" s="1247">
        <f t="shared" si="27"/>
        <v>0.45</v>
      </c>
    </row>
    <row r="239" spans="1:17" ht="12.75" customHeight="1">
      <c r="A239" s="143" t="s">
        <v>796</v>
      </c>
      <c r="B239" s="935">
        <v>449</v>
      </c>
      <c r="C239" s="36" t="s">
        <v>4069</v>
      </c>
      <c r="D239" s="1132">
        <v>44771</v>
      </c>
      <c r="E239" s="1132">
        <v>9511</v>
      </c>
      <c r="F239" s="809">
        <f t="shared" si="23"/>
        <v>300.68622327135466</v>
      </c>
      <c r="G239" s="809">
        <f t="shared" si="24"/>
        <v>1</v>
      </c>
      <c r="H239" s="809">
        <f t="shared" si="25"/>
        <v>2.5252766180478901</v>
      </c>
      <c r="I239" s="903">
        <f t="shared" si="28"/>
        <v>376.00378971999555</v>
      </c>
      <c r="J239" s="799">
        <f t="shared" si="29"/>
        <v>79.876974917399167</v>
      </c>
      <c r="L239" s="1451">
        <v>629782</v>
      </c>
      <c r="M239" s="1132">
        <v>586549</v>
      </c>
      <c r="N239" s="1436" t="s">
        <v>415</v>
      </c>
      <c r="O239" s="1198" t="str">
        <f>IFERROR(VLOOKUP(P239,constant_ag_extr!$D$7:$E$594,2,FALSE),"")</f>
        <v>Mushrooms and truffles</v>
      </c>
      <c r="P239" s="1199">
        <f t="shared" si="26"/>
        <v>449</v>
      </c>
      <c r="Q239" s="1247">
        <f t="shared" si="27"/>
        <v>1</v>
      </c>
    </row>
    <row r="240" spans="1:17" ht="12.75" customHeight="1">
      <c r="A240" s="143" t="s">
        <v>3196</v>
      </c>
      <c r="B240" s="935">
        <v>450</v>
      </c>
      <c r="C240" s="36" t="s">
        <v>3197</v>
      </c>
      <c r="D240" s="1132"/>
      <c r="E240" s="1132"/>
      <c r="F240" s="809">
        <f t="shared" si="23"/>
        <v>149.8333316181687</v>
      </c>
      <c r="G240" s="809">
        <f t="shared" si="24"/>
        <v>1</v>
      </c>
      <c r="H240" s="809">
        <f t="shared" si="25"/>
        <v>2.5252766180478901</v>
      </c>
      <c r="I240" s="903">
        <f t="shared" si="28"/>
        <v>0</v>
      </c>
      <c r="J240" s="799">
        <f t="shared" si="29"/>
        <v>0</v>
      </c>
      <c r="L240" s="1451"/>
      <c r="M240" s="1132"/>
      <c r="N240" s="1436" t="s">
        <v>2921</v>
      </c>
      <c r="O240" s="1198" t="str">
        <f>IFERROR(VLOOKUP(P240,constant_ag_extr!$D$7:$E$594,2,FALSE),"")</f>
        <v>Mushrooms and truffles</v>
      </c>
      <c r="P240" s="1199">
        <f t="shared" si="26"/>
        <v>449</v>
      </c>
      <c r="Q240" s="1247">
        <f t="shared" si="27"/>
        <v>0.49830461132551268</v>
      </c>
    </row>
    <row r="241" spans="1:17" ht="12.75" customHeight="1">
      <c r="A241" s="143" t="s">
        <v>7295</v>
      </c>
      <c r="B241" s="935">
        <v>451</v>
      </c>
      <c r="C241" s="36" t="s">
        <v>1205</v>
      </c>
      <c r="D241" s="1132">
        <v>38635</v>
      </c>
      <c r="E241" s="1132">
        <v>1749</v>
      </c>
      <c r="F241" s="809">
        <f t="shared" si="23"/>
        <v>691.62180229426576</v>
      </c>
      <c r="G241" s="809">
        <f t="shared" si="24"/>
        <v>1</v>
      </c>
      <c r="H241" s="809">
        <f t="shared" si="25"/>
        <v>2.5252766180478901</v>
      </c>
      <c r="I241" s="903">
        <f t="shared" si="28"/>
        <v>141.06562548294198</v>
      </c>
      <c r="J241" s="799">
        <f t="shared" si="29"/>
        <v>6.3860173151201112</v>
      </c>
      <c r="L241" s="1451">
        <v>519283</v>
      </c>
      <c r="M241" s="1132">
        <v>650685</v>
      </c>
      <c r="N241" s="1436" t="s">
        <v>2921</v>
      </c>
      <c r="O241" s="1198" t="str">
        <f>IFERROR(VLOOKUP(P241,constant_ag_extr!$D$7:$E$594,2,FALSE),"")</f>
        <v>Mushrooms and truffles</v>
      </c>
      <c r="P241" s="1199">
        <f t="shared" si="26"/>
        <v>449</v>
      </c>
      <c r="Q241" s="1247">
        <f t="shared" si="27"/>
        <v>2.300144631734959</v>
      </c>
    </row>
    <row r="242" spans="1:17" ht="12.75" customHeight="1">
      <c r="A242" s="143" t="s">
        <v>4652</v>
      </c>
      <c r="B242" s="935">
        <v>459</v>
      </c>
      <c r="C242" s="36" t="s">
        <v>4653</v>
      </c>
      <c r="D242" s="1132"/>
      <c r="E242" s="1132"/>
      <c r="F242" s="809">
        <f t="shared" si="23"/>
        <v>26.035088524680226</v>
      </c>
      <c r="G242" s="809">
        <f t="shared" si="24"/>
        <v>1</v>
      </c>
      <c r="H242" s="809">
        <f t="shared" si="25"/>
        <v>2.5252766180478901</v>
      </c>
      <c r="I242" s="903">
        <f t="shared" si="28"/>
        <v>0</v>
      </c>
      <c r="J242" s="799">
        <f t="shared" si="29"/>
        <v>0</v>
      </c>
      <c r="L242" s="1451"/>
      <c r="M242" s="1132"/>
      <c r="N242" s="1436" t="s">
        <v>415</v>
      </c>
      <c r="O242" s="1198" t="str">
        <f>IFERROR(VLOOKUP(P242,constant_ag_extr!$D$7:$E$594,2,FALSE),"")</f>
        <v>Chicory roots</v>
      </c>
      <c r="P242" s="1199">
        <f t="shared" si="26"/>
        <v>459</v>
      </c>
      <c r="Q242" s="1247">
        <f t="shared" si="27"/>
        <v>1</v>
      </c>
    </row>
    <row r="243" spans="1:17" ht="12.75" customHeight="1">
      <c r="A243" s="143" t="s">
        <v>7332</v>
      </c>
      <c r="B243" s="935">
        <v>460</v>
      </c>
      <c r="C243" s="36" t="s">
        <v>134</v>
      </c>
      <c r="D243" s="1132">
        <v>23075</v>
      </c>
      <c r="E243" s="1132">
        <v>2891</v>
      </c>
      <c r="F243" s="809">
        <f t="shared" si="23"/>
        <v>13.993541302789145</v>
      </c>
      <c r="G243" s="809">
        <f t="shared" si="24"/>
        <v>1</v>
      </c>
      <c r="H243" s="809">
        <f t="shared" si="25"/>
        <v>2.5252766180478901</v>
      </c>
      <c r="I243" s="903">
        <f t="shared" si="28"/>
        <v>4164.1180527934512</v>
      </c>
      <c r="J243" s="799">
        <f t="shared" si="29"/>
        <v>521.71030511921413</v>
      </c>
      <c r="L243" s="1451">
        <v>215073</v>
      </c>
      <c r="M243" s="1132">
        <v>285655</v>
      </c>
      <c r="N243" s="1436" t="s">
        <v>2921</v>
      </c>
      <c r="O243" s="1198" t="str">
        <f>IFERROR(VLOOKUP(P243,constant_ag_extr!$D$7:$E$594,2,FALSE),"")</f>
        <v>Vegetables fresh nes</v>
      </c>
      <c r="P243" s="1199">
        <f t="shared" si="26"/>
        <v>463</v>
      </c>
      <c r="Q243" s="1247">
        <f t="shared" si="27"/>
        <v>1</v>
      </c>
    </row>
    <row r="244" spans="1:17" ht="12.75" customHeight="1">
      <c r="A244" s="143" t="s">
        <v>5614</v>
      </c>
      <c r="B244" s="935">
        <v>461</v>
      </c>
      <c r="C244" s="36" t="s">
        <v>766</v>
      </c>
      <c r="D244" s="1132"/>
      <c r="E244" s="1132"/>
      <c r="F244" s="809">
        <f t="shared" si="23"/>
        <v>1.7550552207676358</v>
      </c>
      <c r="G244" s="809">
        <f t="shared" si="24"/>
        <v>1</v>
      </c>
      <c r="H244" s="809">
        <f t="shared" si="25"/>
        <v>2.5252766180478901</v>
      </c>
      <c r="I244" s="903">
        <f t="shared" si="28"/>
        <v>0</v>
      </c>
      <c r="J244" s="799">
        <f t="shared" si="29"/>
        <v>0</v>
      </c>
      <c r="L244" s="1451"/>
      <c r="M244" s="1132"/>
      <c r="N244" s="1436" t="s">
        <v>415</v>
      </c>
      <c r="O244" s="1198" t="str">
        <f>IFERROR(VLOOKUP(P244,constant_ag_extr!$D$7:$E$594,2,FALSE),"")</f>
        <v>Carobs</v>
      </c>
      <c r="P244" s="1199">
        <f t="shared" si="26"/>
        <v>461</v>
      </c>
      <c r="Q244" s="1247">
        <f t="shared" si="27"/>
        <v>1</v>
      </c>
    </row>
    <row r="245" spans="1:17" ht="12.75" customHeight="1">
      <c r="A245" s="143" t="s">
        <v>7331</v>
      </c>
      <c r="B245" s="935">
        <v>463</v>
      </c>
      <c r="C245" s="36" t="s">
        <v>827</v>
      </c>
      <c r="D245" s="1132">
        <v>295801</v>
      </c>
      <c r="E245" s="1132">
        <v>207497</v>
      </c>
      <c r="F245" s="809">
        <f t="shared" si="23"/>
        <v>13.993541302789145</v>
      </c>
      <c r="G245" s="809">
        <f t="shared" si="24"/>
        <v>1</v>
      </c>
      <c r="H245" s="809">
        <f t="shared" si="25"/>
        <v>2.5252766180478901</v>
      </c>
      <c r="I245" s="903">
        <f t="shared" si="28"/>
        <v>53380.294003655705</v>
      </c>
      <c r="J245" s="799">
        <f t="shared" si="29"/>
        <v>37444.940567734891</v>
      </c>
      <c r="L245" s="1451">
        <v>2625760</v>
      </c>
      <c r="M245" s="1132">
        <v>2883010</v>
      </c>
      <c r="N245" s="1436" t="s">
        <v>415</v>
      </c>
      <c r="O245" s="1198" t="str">
        <f>IFERROR(VLOOKUP(P245,constant_ag_extr!$D$7:$E$594,2,FALSE),"")</f>
        <v>Vegetables fresh nes</v>
      </c>
      <c r="P245" s="1199">
        <f t="shared" si="26"/>
        <v>463</v>
      </c>
      <c r="Q245" s="1247">
        <f t="shared" si="27"/>
        <v>1</v>
      </c>
    </row>
    <row r="246" spans="1:17" ht="12.75" customHeight="1">
      <c r="A246" s="143" t="s">
        <v>3386</v>
      </c>
      <c r="B246" s="935">
        <v>464</v>
      </c>
      <c r="C246" s="36" t="s">
        <v>2157</v>
      </c>
      <c r="D246" s="1132"/>
      <c r="E246" s="1132"/>
      <c r="F246" s="809">
        <f t="shared" si="23"/>
        <v>3.4983853256972863</v>
      </c>
      <c r="G246" s="809">
        <f t="shared" si="24"/>
        <v>1</v>
      </c>
      <c r="H246" s="809">
        <f t="shared" si="25"/>
        <v>2.5252766180478901</v>
      </c>
      <c r="I246" s="903">
        <f t="shared" si="28"/>
        <v>0</v>
      </c>
      <c r="J246" s="799">
        <f t="shared" si="29"/>
        <v>0</v>
      </c>
      <c r="L246" s="1451">
        <v>0</v>
      </c>
      <c r="M246" s="1132">
        <v>0</v>
      </c>
      <c r="N246" s="1436" t="s">
        <v>2921</v>
      </c>
      <c r="O246" s="1198" t="str">
        <f>IFERROR(VLOOKUP(P246,constant_ag_extr!$D$7:$E$594,2,FALSE),"")</f>
        <v>Vegetables fresh nes</v>
      </c>
      <c r="P246" s="1199">
        <f t="shared" si="26"/>
        <v>463</v>
      </c>
      <c r="Q246" s="1247">
        <f t="shared" si="27"/>
        <v>0.25</v>
      </c>
    </row>
    <row r="247" spans="1:17" ht="12.75" customHeight="1">
      <c r="A247" s="143" t="s">
        <v>7329</v>
      </c>
      <c r="B247" s="935">
        <v>465</v>
      </c>
      <c r="C247" s="36"/>
      <c r="D247" s="1132"/>
      <c r="E247" s="1132"/>
      <c r="F247" s="809">
        <f t="shared" si="23"/>
        <v>0</v>
      </c>
      <c r="G247" s="809">
        <f t="shared" si="24"/>
        <v>1</v>
      </c>
      <c r="H247" s="809">
        <f t="shared" si="25"/>
        <v>2.5252766180478901</v>
      </c>
      <c r="I247" s="37">
        <f t="shared" si="28"/>
        <v>0</v>
      </c>
      <c r="J247" s="799">
        <f t="shared" si="29"/>
        <v>0</v>
      </c>
      <c r="L247" s="1451"/>
      <c r="M247" s="1132"/>
      <c r="N247" s="1436"/>
      <c r="O247" s="1198">
        <f>IFERROR(VLOOKUP(P247,constant_ag_extr!$D$7:$E$594,2,FALSE),"")</f>
        <v>0</v>
      </c>
      <c r="P247" s="1199" t="str">
        <f t="shared" si="26"/>
        <v/>
      </c>
      <c r="Q247" s="1247" t="str">
        <f t="shared" si="27"/>
        <v/>
      </c>
    </row>
    <row r="248" spans="1:17" ht="12.75" customHeight="1">
      <c r="A248" s="143" t="s">
        <v>1378</v>
      </c>
      <c r="B248" s="935">
        <v>466</v>
      </c>
      <c r="C248" s="36" t="s">
        <v>1379</v>
      </c>
      <c r="D248" s="1132"/>
      <c r="E248" s="1132"/>
      <c r="F248" s="809">
        <f t="shared" si="23"/>
        <v>6.9967706513945727</v>
      </c>
      <c r="G248" s="809">
        <f t="shared" si="24"/>
        <v>1</v>
      </c>
      <c r="H248" s="809">
        <f t="shared" si="25"/>
        <v>2.5252766180478901</v>
      </c>
      <c r="I248" s="903">
        <f t="shared" si="28"/>
        <v>0</v>
      </c>
      <c r="J248" s="799">
        <f t="shared" si="29"/>
        <v>0</v>
      </c>
      <c r="L248" s="1451"/>
      <c r="M248" s="1132"/>
      <c r="N248" s="1436" t="s">
        <v>2921</v>
      </c>
      <c r="O248" s="1198" t="str">
        <f>IFERROR(VLOOKUP(P248,constant_ag_extr!$D$7:$E$594,2,FALSE),"")</f>
        <v>Vegetables fresh nes</v>
      </c>
      <c r="P248" s="1199">
        <f t="shared" si="26"/>
        <v>463</v>
      </c>
      <c r="Q248" s="1247">
        <f t="shared" si="27"/>
        <v>0.5</v>
      </c>
    </row>
    <row r="249" spans="1:17" ht="12.75" customHeight="1">
      <c r="A249" s="143" t="s">
        <v>7330</v>
      </c>
      <c r="B249" s="935">
        <v>469</v>
      </c>
      <c r="C249" s="36" t="s">
        <v>2155</v>
      </c>
      <c r="D249" s="1132">
        <v>83765</v>
      </c>
      <c r="E249" s="1132">
        <v>60334</v>
      </c>
      <c r="F249" s="809">
        <f t="shared" si="23"/>
        <v>3.4983853256972863</v>
      </c>
      <c r="G249" s="809">
        <f t="shared" si="24"/>
        <v>1</v>
      </c>
      <c r="H249" s="809">
        <f t="shared" si="25"/>
        <v>2.5252766180478901</v>
      </c>
      <c r="I249" s="903">
        <f t="shared" si="28"/>
        <v>60464.979188254547</v>
      </c>
      <c r="J249" s="799">
        <f t="shared" si="29"/>
        <v>43551.531717831429</v>
      </c>
      <c r="L249" s="1451">
        <v>670243</v>
      </c>
      <c r="M249" s="1132">
        <v>628240</v>
      </c>
      <c r="N249" s="1436" t="s">
        <v>2921</v>
      </c>
      <c r="O249" s="1198" t="str">
        <f>IFERROR(VLOOKUP(P249,constant_ag_extr!$D$7:$E$594,2,FALSE),"")</f>
        <v>Vegetables fresh nes</v>
      </c>
      <c r="P249" s="1199">
        <f t="shared" si="26"/>
        <v>463</v>
      </c>
      <c r="Q249" s="1247">
        <f t="shared" si="27"/>
        <v>0.25</v>
      </c>
    </row>
    <row r="250" spans="1:17" ht="12.75" customHeight="1">
      <c r="A250" s="143" t="s">
        <v>4683</v>
      </c>
      <c r="B250" s="935">
        <v>471</v>
      </c>
      <c r="C250" s="36" t="s">
        <v>4319</v>
      </c>
      <c r="D250" s="1132">
        <v>242366</v>
      </c>
      <c r="E250" s="1132">
        <v>116960</v>
      </c>
      <c r="F250" s="809">
        <f t="shared" si="23"/>
        <v>13.993541302789145</v>
      </c>
      <c r="G250" s="809">
        <f t="shared" si="24"/>
        <v>1</v>
      </c>
      <c r="H250" s="809">
        <f t="shared" si="25"/>
        <v>2.5252766180478901</v>
      </c>
      <c r="I250" s="903">
        <f t="shared" si="28"/>
        <v>43737.405676417664</v>
      </c>
      <c r="J250" s="799">
        <f t="shared" si="29"/>
        <v>21106.619608005287</v>
      </c>
      <c r="L250" s="1451">
        <v>1326480</v>
      </c>
      <c r="M250" s="1132">
        <v>1415190</v>
      </c>
      <c r="N250" s="1436" t="s">
        <v>2921</v>
      </c>
      <c r="O250" s="1198" t="str">
        <f>IFERROR(VLOOKUP(P250,constant_ag_extr!$D$7:$E$594,2,FALSE),"")</f>
        <v>Vegetables fresh nes</v>
      </c>
      <c r="P250" s="1199">
        <f t="shared" si="26"/>
        <v>463</v>
      </c>
      <c r="Q250" s="1247">
        <f t="shared" si="27"/>
        <v>1</v>
      </c>
    </row>
    <row r="251" spans="1:17" ht="12.75" customHeight="1">
      <c r="A251" s="143" t="s">
        <v>7335</v>
      </c>
      <c r="B251" s="935">
        <v>472</v>
      </c>
      <c r="C251" s="36" t="s">
        <v>2156</v>
      </c>
      <c r="D251" s="1132">
        <v>358148</v>
      </c>
      <c r="E251" s="1132">
        <v>170849</v>
      </c>
      <c r="F251" s="809">
        <f t="shared" si="23"/>
        <v>13.993541302789145</v>
      </c>
      <c r="G251" s="809">
        <f t="shared" si="24"/>
        <v>1</v>
      </c>
      <c r="H251" s="809">
        <f t="shared" si="25"/>
        <v>2.5252766180478901</v>
      </c>
      <c r="I251" s="903">
        <f t="shared" si="28"/>
        <v>64631.443223049573</v>
      </c>
      <c r="J251" s="799">
        <f t="shared" si="29"/>
        <v>30831.43684514445</v>
      </c>
      <c r="L251" s="1451">
        <v>3866960</v>
      </c>
      <c r="M251" s="1132">
        <v>4171100</v>
      </c>
      <c r="N251" s="1436" t="s">
        <v>2921</v>
      </c>
      <c r="O251" s="1198" t="str">
        <f>IFERROR(VLOOKUP(P251,constant_ag_extr!$D$7:$E$594,2,FALSE),"")</f>
        <v>Vegetables fresh nes</v>
      </c>
      <c r="P251" s="1199">
        <f t="shared" si="26"/>
        <v>463</v>
      </c>
      <c r="Q251" s="1247">
        <f t="shared" si="27"/>
        <v>1</v>
      </c>
    </row>
    <row r="252" spans="1:17" ht="12.75" customHeight="1">
      <c r="A252" s="143" t="s">
        <v>7333</v>
      </c>
      <c r="B252" s="935">
        <v>473</v>
      </c>
      <c r="C252" s="36" t="s">
        <v>4682</v>
      </c>
      <c r="D252" s="1132">
        <v>643376</v>
      </c>
      <c r="E252" s="1132">
        <v>90867</v>
      </c>
      <c r="F252" s="809">
        <f t="shared" si="23"/>
        <v>6.9967706513945727</v>
      </c>
      <c r="G252" s="809">
        <f t="shared" si="24"/>
        <v>1</v>
      </c>
      <c r="H252" s="809">
        <f t="shared" si="25"/>
        <v>2.5252766180478901</v>
      </c>
      <c r="I252" s="903">
        <f t="shared" si="28"/>
        <v>232207.46403761985</v>
      </c>
      <c r="J252" s="799">
        <f t="shared" si="29"/>
        <v>32795.745621077571</v>
      </c>
      <c r="L252" s="1451">
        <v>4500310</v>
      </c>
      <c r="M252" s="1132">
        <v>4657100</v>
      </c>
      <c r="N252" s="1436" t="s">
        <v>2921</v>
      </c>
      <c r="O252" s="1198" t="str">
        <f>IFERROR(VLOOKUP(P252,constant_ag_extr!$D$7:$E$594,2,FALSE),"")</f>
        <v>Vegetables fresh nes</v>
      </c>
      <c r="P252" s="1199">
        <f t="shared" si="26"/>
        <v>463</v>
      </c>
      <c r="Q252" s="1247">
        <f t="shared" si="27"/>
        <v>0.5</v>
      </c>
    </row>
    <row r="253" spans="1:17" ht="12.75" customHeight="1">
      <c r="A253" s="143" t="s">
        <v>7337</v>
      </c>
      <c r="B253" s="935">
        <v>474</v>
      </c>
      <c r="C253" s="36" t="s">
        <v>4942</v>
      </c>
      <c r="D253" s="1132">
        <v>18979</v>
      </c>
      <c r="E253" s="1132">
        <v>9396</v>
      </c>
      <c r="F253" s="809">
        <f t="shared" si="23"/>
        <v>6.9967706513945727</v>
      </c>
      <c r="G253" s="809">
        <f t="shared" si="24"/>
        <v>1</v>
      </c>
      <c r="H253" s="809">
        <f t="shared" si="25"/>
        <v>2.5252766180478901</v>
      </c>
      <c r="I253" s="903">
        <f t="shared" si="28"/>
        <v>6849.9065242874885</v>
      </c>
      <c r="J253" s="799">
        <f t="shared" si="29"/>
        <v>3391.2072133518755</v>
      </c>
      <c r="L253" s="1451">
        <v>461454</v>
      </c>
      <c r="M253" s="1132">
        <v>484325</v>
      </c>
      <c r="N253" s="1436" t="s">
        <v>2921</v>
      </c>
      <c r="O253" s="1198" t="str">
        <f>IFERROR(VLOOKUP(P253,constant_ag_extr!$D$7:$E$594,2,FALSE),"")</f>
        <v>Vegetables fresh nes</v>
      </c>
      <c r="P253" s="1199">
        <f t="shared" si="26"/>
        <v>463</v>
      </c>
      <c r="Q253" s="1247">
        <f t="shared" si="27"/>
        <v>0.5</v>
      </c>
    </row>
    <row r="254" spans="1:17" ht="12.75" customHeight="1">
      <c r="A254" s="143" t="s">
        <v>7336</v>
      </c>
      <c r="B254" s="935">
        <v>475</v>
      </c>
      <c r="C254" s="36" t="s">
        <v>3811</v>
      </c>
      <c r="D254" s="1132">
        <v>47615</v>
      </c>
      <c r="E254" s="1132">
        <v>49077</v>
      </c>
      <c r="F254" s="809">
        <f t="shared" si="23"/>
        <v>6.9967706513945727</v>
      </c>
      <c r="G254" s="809">
        <f t="shared" si="24"/>
        <v>1</v>
      </c>
      <c r="H254" s="809">
        <f t="shared" si="25"/>
        <v>2.5252766180478901</v>
      </c>
      <c r="I254" s="903">
        <f t="shared" si="28"/>
        <v>17185.220462297741</v>
      </c>
      <c r="J254" s="799">
        <f t="shared" si="29"/>
        <v>17712.885952497869</v>
      </c>
      <c r="L254" s="1451">
        <v>515764</v>
      </c>
      <c r="M254" s="1132">
        <v>586335</v>
      </c>
      <c r="N254" s="1436" t="s">
        <v>2921</v>
      </c>
      <c r="O254" s="1198" t="str">
        <f>IFERROR(VLOOKUP(P254,constant_ag_extr!$D$7:$E$594,2,FALSE),"")</f>
        <v>Vegetables fresh nes</v>
      </c>
      <c r="P254" s="1199">
        <f t="shared" si="26"/>
        <v>463</v>
      </c>
      <c r="Q254" s="1247">
        <f t="shared" si="27"/>
        <v>0.5</v>
      </c>
    </row>
    <row r="255" spans="1:17" ht="12.75" customHeight="1">
      <c r="A255" s="143" t="s">
        <v>7334</v>
      </c>
      <c r="B255" s="935">
        <v>476</v>
      </c>
      <c r="C255" s="36" t="s">
        <v>2782</v>
      </c>
      <c r="D255" s="1132">
        <v>343</v>
      </c>
      <c r="E255" s="1132">
        <v>1049</v>
      </c>
      <c r="F255" s="809">
        <f t="shared" si="23"/>
        <v>6.9967706513945727</v>
      </c>
      <c r="G255" s="809">
        <f t="shared" si="24"/>
        <v>1</v>
      </c>
      <c r="H255" s="809">
        <f t="shared" si="25"/>
        <v>2.5252766180478901</v>
      </c>
      <c r="I255" s="903">
        <f t="shared" si="28"/>
        <v>123.79566562150843</v>
      </c>
      <c r="J255" s="799">
        <f t="shared" si="29"/>
        <v>378.60540302321385</v>
      </c>
      <c r="L255" s="1451">
        <v>37200</v>
      </c>
      <c r="M255" s="1132">
        <v>43362</v>
      </c>
      <c r="N255" s="1436" t="s">
        <v>2921</v>
      </c>
      <c r="O255" s="1198" t="str">
        <f>IFERROR(VLOOKUP(P255,constant_ag_extr!$D$7:$E$594,2,FALSE),"")</f>
        <v>Vegetables fresh nes</v>
      </c>
      <c r="P255" s="1199">
        <f t="shared" si="26"/>
        <v>463</v>
      </c>
      <c r="Q255" s="1247">
        <f t="shared" si="27"/>
        <v>0.5</v>
      </c>
    </row>
    <row r="256" spans="1:17" ht="12.75" customHeight="1">
      <c r="A256" s="143" t="s">
        <v>626</v>
      </c>
      <c r="B256" s="935">
        <v>486</v>
      </c>
      <c r="C256" s="36" t="s">
        <v>974</v>
      </c>
      <c r="D256" s="1132">
        <v>4547930</v>
      </c>
      <c r="E256" s="1132">
        <v>547224</v>
      </c>
      <c r="F256" s="809">
        <f t="shared" si="23"/>
        <v>20.952050157328827</v>
      </c>
      <c r="G256" s="809">
        <f t="shared" si="24"/>
        <v>1</v>
      </c>
      <c r="H256" s="809">
        <f t="shared" si="25"/>
        <v>2.5252766180478901</v>
      </c>
      <c r="I256" s="903">
        <f t="shared" si="28"/>
        <v>548145.94291629619</v>
      </c>
      <c r="J256" s="799">
        <f t="shared" si="29"/>
        <v>65954.976322508752</v>
      </c>
      <c r="L256" s="1451">
        <v>19664200</v>
      </c>
      <c r="M256" s="1132">
        <v>20098100</v>
      </c>
      <c r="N256" s="1436" t="s">
        <v>415</v>
      </c>
      <c r="O256" s="1198" t="str">
        <f>IFERROR(VLOOKUP(P256,constant_ag_extr!$D$7:$E$594,2,FALSE),"")</f>
        <v>Bananas</v>
      </c>
      <c r="P256" s="1199">
        <f t="shared" si="26"/>
        <v>486</v>
      </c>
      <c r="Q256" s="1247">
        <f t="shared" si="27"/>
        <v>1</v>
      </c>
    </row>
    <row r="257" spans="1:17" ht="12.75" customHeight="1">
      <c r="A257" s="143" t="s">
        <v>5277</v>
      </c>
      <c r="B257" s="935">
        <v>489</v>
      </c>
      <c r="C257" s="36" t="s">
        <v>5278</v>
      </c>
      <c r="D257" s="1132">
        <v>307850</v>
      </c>
      <c r="E257" s="1132">
        <v>15755</v>
      </c>
      <c r="F257" s="809">
        <f t="shared" si="23"/>
        <v>6.8668852748069256</v>
      </c>
      <c r="G257" s="809">
        <f t="shared" si="24"/>
        <v>1</v>
      </c>
      <c r="H257" s="809">
        <f t="shared" si="25"/>
        <v>2.5252766180478901</v>
      </c>
      <c r="I257" s="37">
        <f t="shared" si="28"/>
        <v>113210.92107336847</v>
      </c>
      <c r="J257" s="799">
        <f t="shared" si="29"/>
        <v>5793.8543495563426</v>
      </c>
      <c r="L257" s="1451">
        <v>1138880</v>
      </c>
      <c r="M257" s="1132">
        <v>858786</v>
      </c>
      <c r="N257" s="1436" t="s">
        <v>415</v>
      </c>
      <c r="O257" s="1198" t="str">
        <f>IFERROR(VLOOKUP(P257,constant_ag_extr!$D$7:$E$594,2,FALSE),"")</f>
        <v>Plantains</v>
      </c>
      <c r="P257" s="1199">
        <f t="shared" si="26"/>
        <v>489</v>
      </c>
      <c r="Q257" s="1247">
        <f t="shared" si="27"/>
        <v>1</v>
      </c>
    </row>
    <row r="258" spans="1:17" ht="12.75" customHeight="1">
      <c r="A258" s="143" t="s">
        <v>3226</v>
      </c>
      <c r="B258" s="935">
        <v>490</v>
      </c>
      <c r="C258" s="36" t="s">
        <v>2982</v>
      </c>
      <c r="D258" s="1132">
        <v>139361</v>
      </c>
      <c r="E258" s="1132">
        <v>694937</v>
      </c>
      <c r="F258" s="809">
        <f t="shared" si="23"/>
        <v>17.325295994095207</v>
      </c>
      <c r="G258" s="809">
        <f t="shared" si="24"/>
        <v>1</v>
      </c>
      <c r="H258" s="809">
        <f t="shared" si="25"/>
        <v>2.5252766180478901</v>
      </c>
      <c r="I258" s="903">
        <f t="shared" si="28"/>
        <v>20312.788588876912</v>
      </c>
      <c r="J258" s="799">
        <f t="shared" si="29"/>
        <v>101291.66957461812</v>
      </c>
      <c r="L258" s="1451">
        <v>6881990</v>
      </c>
      <c r="M258" s="1132">
        <v>7131000</v>
      </c>
      <c r="N258" s="1436" t="s">
        <v>415</v>
      </c>
      <c r="O258" s="1198" t="str">
        <f>IFERROR(VLOOKUP(P258,constant_ag_extr!$D$7:$E$594,2,FALSE),"")</f>
        <v>Oranges</v>
      </c>
      <c r="P258" s="1199">
        <f t="shared" si="26"/>
        <v>490</v>
      </c>
      <c r="Q258" s="1247">
        <f t="shared" si="27"/>
        <v>1</v>
      </c>
    </row>
    <row r="259" spans="1:17" ht="12.75" customHeight="1">
      <c r="A259" s="143" t="s">
        <v>7286</v>
      </c>
      <c r="B259" s="935">
        <v>491</v>
      </c>
      <c r="C259" s="36" t="s">
        <v>3409</v>
      </c>
      <c r="D259" s="1132">
        <v>208610</v>
      </c>
      <c r="E259" s="1132">
        <v>391372</v>
      </c>
      <c r="F259" s="809">
        <f t="shared" si="23"/>
        <v>9.5289127967523637</v>
      </c>
      <c r="G259" s="809">
        <f t="shared" si="24"/>
        <v>1</v>
      </c>
      <c r="H259" s="809">
        <f t="shared" si="25"/>
        <v>2.5252766180478901</v>
      </c>
      <c r="I259" s="903">
        <f t="shared" si="28"/>
        <v>55284.16163809508</v>
      </c>
      <c r="J259" s="799">
        <f t="shared" si="29"/>
        <v>103718.2920695295</v>
      </c>
      <c r="L259" s="1451">
        <v>3109810</v>
      </c>
      <c r="M259" s="1132">
        <v>3485330</v>
      </c>
      <c r="N259" s="1436" t="s">
        <v>2921</v>
      </c>
      <c r="O259" s="1198" t="str">
        <f>IFERROR(VLOOKUP(P259,constant_ag_extr!$D$7:$E$594,2,FALSE),"")</f>
        <v>Oranges</v>
      </c>
      <c r="P259" s="1199">
        <f t="shared" si="26"/>
        <v>490</v>
      </c>
      <c r="Q259" s="1247">
        <f t="shared" si="27"/>
        <v>0.55000000000000004</v>
      </c>
    </row>
    <row r="260" spans="1:17" ht="12.75" customHeight="1">
      <c r="A260" s="143" t="s">
        <v>7285</v>
      </c>
      <c r="B260" s="935">
        <v>492</v>
      </c>
      <c r="C260" s="36" t="s">
        <v>3408</v>
      </c>
      <c r="D260" s="1132">
        <v>293833</v>
      </c>
      <c r="E260" s="1132">
        <v>98644</v>
      </c>
      <c r="F260" s="809">
        <f t="shared" si="23"/>
        <v>1.7325295994095207</v>
      </c>
      <c r="G260" s="809">
        <f t="shared" si="24"/>
        <v>1</v>
      </c>
      <c r="H260" s="809">
        <f t="shared" si="25"/>
        <v>2.5252766180478901</v>
      </c>
      <c r="I260" s="37">
        <f t="shared" si="28"/>
        <v>428281.05491747835</v>
      </c>
      <c r="J260" s="799">
        <f t="shared" si="29"/>
        <v>143780.16213726756</v>
      </c>
      <c r="L260" s="1451">
        <v>1990540</v>
      </c>
      <c r="M260" s="1132">
        <v>1941220</v>
      </c>
      <c r="N260" s="1436" t="s">
        <v>2921</v>
      </c>
      <c r="O260" s="1198" t="str">
        <f>IFERROR(VLOOKUP(P260,constant_ag_extr!$D$7:$E$594,2,FALSE),"")</f>
        <v>Oranges</v>
      </c>
      <c r="P260" s="1199">
        <f t="shared" si="26"/>
        <v>490</v>
      </c>
      <c r="Q260" s="1247">
        <f t="shared" si="27"/>
        <v>0.1</v>
      </c>
    </row>
    <row r="261" spans="1:17" ht="12.75" customHeight="1">
      <c r="A261" s="143" t="s">
        <v>7325</v>
      </c>
      <c r="B261" s="935">
        <v>495</v>
      </c>
      <c r="C261" s="36" t="s">
        <v>3694</v>
      </c>
      <c r="D261" s="1132">
        <v>154900</v>
      </c>
      <c r="E261" s="1132">
        <v>44586</v>
      </c>
      <c r="F261" s="809">
        <f t="shared" si="23"/>
        <v>9.8284228167128393</v>
      </c>
      <c r="G261" s="809">
        <f t="shared" si="24"/>
        <v>1</v>
      </c>
      <c r="H261" s="809">
        <f t="shared" si="25"/>
        <v>2.5252766180478901</v>
      </c>
      <c r="I261" s="903">
        <f t="shared" si="28"/>
        <v>39799.401738237917</v>
      </c>
      <c r="J261" s="799">
        <f t="shared" si="29"/>
        <v>11455.752910917208</v>
      </c>
      <c r="L261" s="1451">
        <v>4322810</v>
      </c>
      <c r="M261" s="1132">
        <v>4812640</v>
      </c>
      <c r="N261" s="1436" t="s">
        <v>415</v>
      </c>
      <c r="O261" s="1198" t="str">
        <f>IFERROR(VLOOKUP(P261,constant_ag_extr!$D$7:$E$594,2,FALSE),"")</f>
        <v>Tangerines, mandarins, clem.</v>
      </c>
      <c r="P261" s="1199">
        <f t="shared" si="26"/>
        <v>495</v>
      </c>
      <c r="Q261" s="1247">
        <f t="shared" si="27"/>
        <v>1</v>
      </c>
    </row>
    <row r="262" spans="1:17" ht="12.75" customHeight="1">
      <c r="A262" s="143" t="s">
        <v>3380</v>
      </c>
      <c r="B262" s="935">
        <v>496</v>
      </c>
      <c r="C262" s="36" t="s">
        <v>3396</v>
      </c>
      <c r="D262" s="1132"/>
      <c r="E262" s="1132"/>
      <c r="F262" s="809">
        <f t="shared" si="23"/>
        <v>4.422790267520778</v>
      </c>
      <c r="G262" s="809">
        <f t="shared" si="24"/>
        <v>1</v>
      </c>
      <c r="H262" s="809">
        <f t="shared" si="25"/>
        <v>2.5252766180478901</v>
      </c>
      <c r="I262" s="903">
        <f t="shared" si="28"/>
        <v>0</v>
      </c>
      <c r="J262" s="799">
        <f t="shared" si="29"/>
        <v>0</v>
      </c>
      <c r="L262" s="1451"/>
      <c r="M262" s="1132"/>
      <c r="N262" s="1436" t="s">
        <v>2921</v>
      </c>
      <c r="O262" s="1198" t="str">
        <f>IFERROR(VLOOKUP(P262,constant_ag_extr!$D$7:$E$594,2,FALSE),"")</f>
        <v>Tangerines, mandarins, clem.</v>
      </c>
      <c r="P262" s="1199">
        <f t="shared" si="26"/>
        <v>495</v>
      </c>
      <c r="Q262" s="1247">
        <f t="shared" si="27"/>
        <v>0.45</v>
      </c>
    </row>
    <row r="263" spans="1:17" ht="12.75" customHeight="1">
      <c r="A263" s="143" t="s">
        <v>574</v>
      </c>
      <c r="B263" s="935">
        <v>497</v>
      </c>
      <c r="C263" s="36" t="s">
        <v>1019</v>
      </c>
      <c r="D263" s="1132">
        <v>486652</v>
      </c>
      <c r="E263" s="1132">
        <v>141882</v>
      </c>
      <c r="F263" s="809">
        <f t="shared" ref="F263:F326" si="30">IFERROR(VLOOKUP(P263,crop_efp,4,FALSE)*Q263,0)</f>
        <v>14.993584267379131</v>
      </c>
      <c r="G263" s="809">
        <f t="shared" ref="G263:G326" si="31">VLOOKUP("Crop Land",iyf,2,FALSE)</f>
        <v>1</v>
      </c>
      <c r="H263" s="809">
        <f t="shared" ref="H263:H326" si="32">VLOOKUP("Crop Land",eqf,2,FALSE)</f>
        <v>2.5252766180478901</v>
      </c>
      <c r="I263" s="903">
        <f t="shared" si="28"/>
        <v>81963.78496367755</v>
      </c>
      <c r="J263" s="799">
        <f t="shared" si="29"/>
        <v>23896.307296007202</v>
      </c>
      <c r="L263" s="1451">
        <v>2581760</v>
      </c>
      <c r="M263" s="1132">
        <v>2690090</v>
      </c>
      <c r="N263" s="1436" t="s">
        <v>415</v>
      </c>
      <c r="O263" s="1198" t="str">
        <f>IFERROR(VLOOKUP(P263,constant_ag_extr!$D$7:$E$594,2,FALSE),"")</f>
        <v>Lemons and limes</v>
      </c>
      <c r="P263" s="1199">
        <f t="shared" ref="P263:P326" si="33">IFERROR(VLOOKUP(B263,constant_ag_extr,3,FALSE),"")</f>
        <v>497</v>
      </c>
      <c r="Q263" s="1247">
        <f t="shared" ref="Q263:Q326" si="34">IFERROR(VLOOKUP(B263,constant_ag_extr,14,FALSE),"")</f>
        <v>1</v>
      </c>
    </row>
    <row r="264" spans="1:17" ht="12.75" customHeight="1">
      <c r="A264" s="143" t="s">
        <v>5156</v>
      </c>
      <c r="B264" s="935">
        <v>498</v>
      </c>
      <c r="C264" s="36" t="s">
        <v>3402</v>
      </c>
      <c r="D264" s="1132"/>
      <c r="E264" s="1132"/>
      <c r="F264" s="809">
        <f t="shared" si="30"/>
        <v>5.8474978642778614</v>
      </c>
      <c r="G264" s="809">
        <f t="shared" si="31"/>
        <v>1</v>
      </c>
      <c r="H264" s="809">
        <f t="shared" si="32"/>
        <v>2.5252766180478901</v>
      </c>
      <c r="I264" s="37">
        <f t="shared" si="28"/>
        <v>0</v>
      </c>
      <c r="J264" s="799">
        <f t="shared" si="29"/>
        <v>0</v>
      </c>
      <c r="L264" s="1451"/>
      <c r="M264" s="1132"/>
      <c r="N264" s="1436" t="s">
        <v>2921</v>
      </c>
      <c r="O264" s="1198" t="str">
        <f>IFERROR(VLOOKUP(P264,constant_ag_extr!$D$7:$E$594,2,FALSE),"")</f>
        <v>Lemons and limes</v>
      </c>
      <c r="P264" s="1199">
        <f t="shared" si="33"/>
        <v>497</v>
      </c>
      <c r="Q264" s="1247">
        <f t="shared" si="34"/>
        <v>0.39</v>
      </c>
    </row>
    <row r="265" spans="1:17" ht="12.75" customHeight="1">
      <c r="A265" s="143" t="s">
        <v>7284</v>
      </c>
      <c r="B265" s="935">
        <v>499</v>
      </c>
      <c r="C265" s="36" t="s">
        <v>3402</v>
      </c>
      <c r="D265" s="1132">
        <v>145734</v>
      </c>
      <c r="E265" s="1132">
        <v>1278</v>
      </c>
      <c r="F265" s="809">
        <f t="shared" si="30"/>
        <v>1.7992301120854957</v>
      </c>
      <c r="G265" s="809">
        <f t="shared" si="31"/>
        <v>1</v>
      </c>
      <c r="H265" s="809">
        <f t="shared" si="32"/>
        <v>2.5252766180478901</v>
      </c>
      <c r="I265" s="903">
        <f t="shared" si="28"/>
        <v>204542.29849900588</v>
      </c>
      <c r="J265" s="799">
        <f t="shared" si="29"/>
        <v>1793.7135979368541</v>
      </c>
      <c r="L265" s="1451">
        <v>154979</v>
      </c>
      <c r="M265" s="1132">
        <v>86959</v>
      </c>
      <c r="N265" s="1436" t="s">
        <v>2921</v>
      </c>
      <c r="O265" s="1198" t="str">
        <f>IFERROR(VLOOKUP(P265,constant_ag_extr!$D$7:$E$594,2,FALSE),"")</f>
        <v>Lemons and limes</v>
      </c>
      <c r="P265" s="1199">
        <f t="shared" si="33"/>
        <v>497</v>
      </c>
      <c r="Q265" s="1247">
        <f t="shared" si="34"/>
        <v>0.12</v>
      </c>
    </row>
    <row r="266" spans="1:17" ht="12.75" customHeight="1">
      <c r="A266" s="143" t="s">
        <v>4934</v>
      </c>
      <c r="B266" s="935">
        <v>507</v>
      </c>
      <c r="C266" s="36" t="s">
        <v>2486</v>
      </c>
      <c r="D266" s="1132">
        <v>12224</v>
      </c>
      <c r="E266" s="1132">
        <v>161251</v>
      </c>
      <c r="F266" s="809">
        <f t="shared" si="30"/>
        <v>24.295343074388811</v>
      </c>
      <c r="G266" s="809">
        <f t="shared" si="31"/>
        <v>1</v>
      </c>
      <c r="H266" s="809">
        <f t="shared" si="32"/>
        <v>2.5252766180478901</v>
      </c>
      <c r="I266" s="903">
        <f t="shared" si="28"/>
        <v>1270.5719480684454</v>
      </c>
      <c r="J266" s="799">
        <f t="shared" si="29"/>
        <v>16760.552781248767</v>
      </c>
      <c r="L266" s="1451">
        <v>1165680</v>
      </c>
      <c r="M266" s="1132">
        <v>1135490</v>
      </c>
      <c r="N266" s="1436" t="s">
        <v>415</v>
      </c>
      <c r="O266" s="1198" t="str">
        <f>IFERROR(VLOOKUP(P266,constant_ag_extr!$D$7:$E$594,2,FALSE),"")</f>
        <v>Grapefruit (inc. pomelos)</v>
      </c>
      <c r="P266" s="1199">
        <f t="shared" si="33"/>
        <v>507</v>
      </c>
      <c r="Q266" s="1247">
        <f t="shared" si="34"/>
        <v>1</v>
      </c>
    </row>
    <row r="267" spans="1:17" ht="12.75" customHeight="1">
      <c r="A267" s="143" t="s">
        <v>7282</v>
      </c>
      <c r="B267" s="935">
        <v>509</v>
      </c>
      <c r="C267" s="36" t="s">
        <v>5236</v>
      </c>
      <c r="D267" s="1132">
        <v>2016</v>
      </c>
      <c r="E267" s="1132">
        <v>26145</v>
      </c>
      <c r="F267" s="809">
        <f t="shared" si="30"/>
        <v>11.41881124496274</v>
      </c>
      <c r="G267" s="809">
        <f t="shared" si="31"/>
        <v>1</v>
      </c>
      <c r="H267" s="809">
        <f t="shared" si="32"/>
        <v>2.5252766180478901</v>
      </c>
      <c r="I267" s="903">
        <f t="shared" si="28"/>
        <v>445.83954956172488</v>
      </c>
      <c r="J267" s="799">
        <f t="shared" si="29"/>
        <v>5781.9816583786187</v>
      </c>
      <c r="L267" s="1451">
        <v>143607</v>
      </c>
      <c r="M267" s="1132">
        <v>130023</v>
      </c>
      <c r="N267" s="1436" t="s">
        <v>2921</v>
      </c>
      <c r="O267" s="1198" t="str">
        <f>IFERROR(VLOOKUP(P267,constant_ag_extr!$D$7:$E$594,2,FALSE),"")</f>
        <v>Grapefruit (inc. pomelos)</v>
      </c>
      <c r="P267" s="1199">
        <f t="shared" si="33"/>
        <v>507</v>
      </c>
      <c r="Q267" s="1247">
        <f t="shared" si="34"/>
        <v>0.47</v>
      </c>
    </row>
    <row r="268" spans="1:17" ht="12.75" customHeight="1">
      <c r="A268" s="143" t="s">
        <v>7283</v>
      </c>
      <c r="B268" s="935">
        <v>510</v>
      </c>
      <c r="C268" s="36" t="s">
        <v>3400</v>
      </c>
      <c r="D268" s="1132">
        <v>882</v>
      </c>
      <c r="E268" s="1132">
        <v>36848</v>
      </c>
      <c r="F268" s="809">
        <f t="shared" si="30"/>
        <v>3.4013480304144337</v>
      </c>
      <c r="G268" s="809">
        <f t="shared" si="31"/>
        <v>1</v>
      </c>
      <c r="H268" s="809">
        <f t="shared" si="32"/>
        <v>2.5252766180478901</v>
      </c>
      <c r="I268" s="903">
        <f t="shared" si="28"/>
        <v>654.82683841878327</v>
      </c>
      <c r="J268" s="799">
        <f t="shared" si="29"/>
        <v>27357.210138384722</v>
      </c>
      <c r="L268" s="1451">
        <v>145606</v>
      </c>
      <c r="M268" s="1132">
        <v>142717</v>
      </c>
      <c r="N268" s="1436" t="s">
        <v>2921</v>
      </c>
      <c r="O268" s="1198" t="str">
        <f>IFERROR(VLOOKUP(P268,constant_ag_extr!$D$7:$E$594,2,FALSE),"")</f>
        <v>Grapefruit (inc. pomelos)</v>
      </c>
      <c r="P268" s="1199">
        <f t="shared" si="33"/>
        <v>507</v>
      </c>
      <c r="Q268" s="1247">
        <f t="shared" si="34"/>
        <v>0.14000000000000001</v>
      </c>
    </row>
    <row r="269" spans="1:17" ht="12.75" customHeight="1">
      <c r="A269" s="143" t="s">
        <v>1942</v>
      </c>
      <c r="B269" s="935">
        <v>512</v>
      </c>
      <c r="C269" s="36" t="s">
        <v>5485</v>
      </c>
      <c r="D269" s="1132"/>
      <c r="E269" s="1132"/>
      <c r="F269" s="809">
        <f t="shared" si="30"/>
        <v>8.6533843116112443</v>
      </c>
      <c r="G269" s="809">
        <f t="shared" si="31"/>
        <v>1</v>
      </c>
      <c r="H269" s="809">
        <f t="shared" si="32"/>
        <v>2.5252766180478901</v>
      </c>
      <c r="I269" s="903">
        <f t="shared" si="28"/>
        <v>0</v>
      </c>
      <c r="J269" s="799">
        <f t="shared" si="29"/>
        <v>0</v>
      </c>
      <c r="L269" s="1451"/>
      <c r="M269" s="1132"/>
      <c r="N269" s="1436" t="s">
        <v>415</v>
      </c>
      <c r="O269" s="1198" t="str">
        <f>IFERROR(VLOOKUP(P269,constant_ag_extr!$D$7:$E$594,2,FALSE),"")</f>
        <v>Citrus fruit, nes</v>
      </c>
      <c r="P269" s="1199">
        <f t="shared" si="33"/>
        <v>512</v>
      </c>
      <c r="Q269" s="1247">
        <f t="shared" si="34"/>
        <v>1</v>
      </c>
    </row>
    <row r="270" spans="1:17" ht="12.75" customHeight="1">
      <c r="A270" s="143" t="s">
        <v>7279</v>
      </c>
      <c r="B270" s="935">
        <v>513</v>
      </c>
      <c r="C270" s="36" t="s">
        <v>3396</v>
      </c>
      <c r="D270" s="1132">
        <v>22675</v>
      </c>
      <c r="E270" s="1132">
        <v>17047</v>
      </c>
      <c r="F270" s="809">
        <f t="shared" si="30"/>
        <v>3.3748198815283854</v>
      </c>
      <c r="G270" s="809">
        <f t="shared" si="31"/>
        <v>1</v>
      </c>
      <c r="H270" s="809">
        <f t="shared" si="32"/>
        <v>2.5252766180478901</v>
      </c>
      <c r="I270" s="903">
        <f t="shared" si="28"/>
        <v>16967.023226230303</v>
      </c>
      <c r="J270" s="799">
        <f t="shared" si="29"/>
        <v>12755.75942392714</v>
      </c>
      <c r="L270" s="1451">
        <v>143512</v>
      </c>
      <c r="M270" s="1132">
        <v>180056</v>
      </c>
      <c r="N270" s="1436" t="s">
        <v>2921</v>
      </c>
      <c r="O270" s="1198" t="str">
        <f>IFERROR(VLOOKUP(P270,constant_ag_extr!$D$7:$E$594,2,FALSE),"")</f>
        <v>Citrus fruit, nes</v>
      </c>
      <c r="P270" s="1199">
        <f t="shared" si="33"/>
        <v>512</v>
      </c>
      <c r="Q270" s="1247">
        <f t="shared" si="34"/>
        <v>0.39</v>
      </c>
    </row>
    <row r="271" spans="1:17" ht="12.75" customHeight="1">
      <c r="A271" s="143" t="s">
        <v>7278</v>
      </c>
      <c r="B271" s="935">
        <v>514</v>
      </c>
      <c r="C271" s="36" t="s">
        <v>3396</v>
      </c>
      <c r="D271" s="1132">
        <v>10805</v>
      </c>
      <c r="E271" s="1132">
        <v>9869</v>
      </c>
      <c r="F271" s="809">
        <f t="shared" si="30"/>
        <v>1.0384061173933492</v>
      </c>
      <c r="G271" s="809">
        <f t="shared" si="31"/>
        <v>1</v>
      </c>
      <c r="H271" s="809">
        <f t="shared" si="32"/>
        <v>2.5252766180478901</v>
      </c>
      <c r="I271" s="903">
        <f t="shared" si="28"/>
        <v>26276.437899365377</v>
      </c>
      <c r="J271" s="799">
        <f t="shared" si="29"/>
        <v>24000.200428397675</v>
      </c>
      <c r="L271" s="1451">
        <v>182349</v>
      </c>
      <c r="M271" s="1132">
        <v>160415</v>
      </c>
      <c r="N271" s="1436" t="s">
        <v>2921</v>
      </c>
      <c r="O271" s="1198" t="str">
        <f>IFERROR(VLOOKUP(P271,constant_ag_extr!$D$7:$E$594,2,FALSE),"")</f>
        <v>Citrus fruit, nes</v>
      </c>
      <c r="P271" s="1199">
        <f t="shared" si="33"/>
        <v>512</v>
      </c>
      <c r="Q271" s="1247">
        <f t="shared" si="34"/>
        <v>0.12</v>
      </c>
    </row>
    <row r="272" spans="1:17" ht="12.75" customHeight="1">
      <c r="A272" s="143" t="s">
        <v>786</v>
      </c>
      <c r="B272" s="935">
        <v>515</v>
      </c>
      <c r="C272" s="36" t="s">
        <v>972</v>
      </c>
      <c r="D272" s="1132">
        <v>198746</v>
      </c>
      <c r="E272" s="1132">
        <v>890463</v>
      </c>
      <c r="F272" s="809">
        <f t="shared" si="30"/>
        <v>15.367107687153055</v>
      </c>
      <c r="G272" s="809">
        <f t="shared" si="31"/>
        <v>1</v>
      </c>
      <c r="H272" s="809">
        <f t="shared" si="32"/>
        <v>2.5252766180478901</v>
      </c>
      <c r="I272" s="37">
        <f t="shared" si="28"/>
        <v>32659.927746203419</v>
      </c>
      <c r="J272" s="799">
        <f t="shared" si="29"/>
        <v>146329.77388560039</v>
      </c>
      <c r="L272" s="1451">
        <v>8613230</v>
      </c>
      <c r="M272" s="1132">
        <v>8584800</v>
      </c>
      <c r="N272" s="1436" t="s">
        <v>415</v>
      </c>
      <c r="O272" s="1198" t="str">
        <f>IFERROR(VLOOKUP(P272,constant_ag_extr!$D$7:$E$594,2,FALSE),"")</f>
        <v>Apples</v>
      </c>
      <c r="P272" s="1199">
        <f t="shared" si="33"/>
        <v>515</v>
      </c>
      <c r="Q272" s="1247">
        <f t="shared" si="34"/>
        <v>1</v>
      </c>
    </row>
    <row r="273" spans="1:17" ht="12.75" customHeight="1">
      <c r="A273" s="143" t="s">
        <v>1941</v>
      </c>
      <c r="B273" s="935">
        <v>517</v>
      </c>
      <c r="C273" s="36" t="s">
        <v>2024</v>
      </c>
      <c r="D273" s="1132">
        <v>42618</v>
      </c>
      <c r="E273" s="1132">
        <v>26427</v>
      </c>
      <c r="F273" s="809">
        <f t="shared" si="30"/>
        <v>3.380763691173672</v>
      </c>
      <c r="G273" s="809">
        <f t="shared" si="31"/>
        <v>1</v>
      </c>
      <c r="H273" s="809">
        <f t="shared" si="32"/>
        <v>2.5252766180478901</v>
      </c>
      <c r="I273" s="903">
        <f t="shared" si="28"/>
        <v>31833.706445954715</v>
      </c>
      <c r="J273" s="799">
        <f t="shared" si="29"/>
        <v>19739.766301732725</v>
      </c>
      <c r="L273" s="1451">
        <v>1088740</v>
      </c>
      <c r="M273" s="1132">
        <v>1159810</v>
      </c>
      <c r="N273" s="1436" t="s">
        <v>2921</v>
      </c>
      <c r="O273" s="1198" t="str">
        <f>IFERROR(VLOOKUP(P273,constant_ag_extr!$D$7:$E$594,2,FALSE),"")</f>
        <v>Apples</v>
      </c>
      <c r="P273" s="1199">
        <f t="shared" si="33"/>
        <v>515</v>
      </c>
      <c r="Q273" s="1247">
        <f t="shared" si="34"/>
        <v>0.22</v>
      </c>
    </row>
    <row r="274" spans="1:17" ht="12.75" customHeight="1">
      <c r="A274" s="143" t="s">
        <v>3388</v>
      </c>
      <c r="B274" s="935">
        <v>518</v>
      </c>
      <c r="C274" s="36" t="s">
        <v>2021</v>
      </c>
      <c r="D274" s="1132"/>
      <c r="E274" s="1132"/>
      <c r="F274" s="809">
        <f t="shared" si="30"/>
        <v>9.9886199966494864</v>
      </c>
      <c r="G274" s="809">
        <f t="shared" si="31"/>
        <v>1</v>
      </c>
      <c r="H274" s="809">
        <f t="shared" si="32"/>
        <v>2.5252766180478901</v>
      </c>
      <c r="I274" s="903">
        <f t="shared" si="28"/>
        <v>0</v>
      </c>
      <c r="J274" s="799">
        <f t="shared" si="29"/>
        <v>0</v>
      </c>
      <c r="L274" s="1451"/>
      <c r="M274" s="1132"/>
      <c r="N274" s="1436" t="s">
        <v>2921</v>
      </c>
      <c r="O274" s="1198" t="str">
        <f>IFERROR(VLOOKUP(P274,constant_ag_extr!$D$7:$E$594,2,FALSE),"")</f>
        <v>Apples</v>
      </c>
      <c r="P274" s="1199">
        <f t="shared" si="33"/>
        <v>515</v>
      </c>
      <c r="Q274" s="1247">
        <f t="shared" si="34"/>
        <v>0.65</v>
      </c>
    </row>
    <row r="275" spans="1:17" ht="12.75" customHeight="1">
      <c r="A275" s="143" t="s">
        <v>3387</v>
      </c>
      <c r="B275" s="935">
        <v>519</v>
      </c>
      <c r="C275" s="36" t="s">
        <v>4564</v>
      </c>
      <c r="D275" s="1132"/>
      <c r="E275" s="1132"/>
      <c r="F275" s="809">
        <f t="shared" si="30"/>
        <v>3.380763691173672</v>
      </c>
      <c r="G275" s="809">
        <f t="shared" si="31"/>
        <v>1</v>
      </c>
      <c r="H275" s="809">
        <f t="shared" si="32"/>
        <v>2.5252766180478901</v>
      </c>
      <c r="I275" s="903">
        <f t="shared" si="28"/>
        <v>0</v>
      </c>
      <c r="J275" s="799">
        <f t="shared" si="29"/>
        <v>0</v>
      </c>
      <c r="L275" s="1451"/>
      <c r="M275" s="1132"/>
      <c r="N275" s="1436" t="s">
        <v>2921</v>
      </c>
      <c r="O275" s="1198" t="str">
        <f>IFERROR(VLOOKUP(P275,constant_ag_extr!$D$7:$E$594,2,FALSE),"")</f>
        <v>Apples</v>
      </c>
      <c r="P275" s="1199">
        <f t="shared" si="33"/>
        <v>515</v>
      </c>
      <c r="Q275" s="1247">
        <f t="shared" si="34"/>
        <v>0.22</v>
      </c>
    </row>
    <row r="276" spans="1:17" ht="12.75" customHeight="1">
      <c r="A276" s="143" t="s">
        <v>2623</v>
      </c>
      <c r="B276" s="935">
        <v>521</v>
      </c>
      <c r="C276" s="36" t="s">
        <v>5264</v>
      </c>
      <c r="D276" s="1132">
        <v>80972</v>
      </c>
      <c r="E276" s="1132">
        <v>197869</v>
      </c>
      <c r="F276" s="809">
        <f t="shared" si="30"/>
        <v>14.150280487313289</v>
      </c>
      <c r="G276" s="809">
        <f t="shared" si="31"/>
        <v>1</v>
      </c>
      <c r="H276" s="809">
        <f t="shared" si="32"/>
        <v>2.5252766180478901</v>
      </c>
      <c r="I276" s="903">
        <f t="shared" si="28"/>
        <v>14450.363616459854</v>
      </c>
      <c r="J276" s="799">
        <f t="shared" si="29"/>
        <v>35311.947320373649</v>
      </c>
      <c r="L276" s="1451">
        <v>2516340</v>
      </c>
      <c r="M276" s="1132">
        <v>2488360</v>
      </c>
      <c r="N276" s="1436" t="s">
        <v>415</v>
      </c>
      <c r="O276" s="1198" t="str">
        <f>IFERROR(VLOOKUP(P276,constant_ag_extr!$D$7:$E$594,2,FALSE),"")</f>
        <v>Pears</v>
      </c>
      <c r="P276" s="1199">
        <f t="shared" si="33"/>
        <v>521</v>
      </c>
      <c r="Q276" s="1247">
        <f t="shared" si="34"/>
        <v>1</v>
      </c>
    </row>
    <row r="277" spans="1:17" ht="12.75" customHeight="1">
      <c r="A277" s="143" t="s">
        <v>485</v>
      </c>
      <c r="B277" s="935">
        <v>523</v>
      </c>
      <c r="C277" s="36" t="s">
        <v>5556</v>
      </c>
      <c r="D277" s="1132">
        <v>267</v>
      </c>
      <c r="E277" s="1132">
        <v>381</v>
      </c>
      <c r="F277" s="809">
        <f t="shared" si="30"/>
        <v>8.1862143016210105</v>
      </c>
      <c r="G277" s="809">
        <f t="shared" si="31"/>
        <v>1</v>
      </c>
      <c r="H277" s="809">
        <f t="shared" si="32"/>
        <v>2.5252766180478901</v>
      </c>
      <c r="I277" s="903">
        <f t="shared" si="28"/>
        <v>82.363939200232494</v>
      </c>
      <c r="J277" s="799">
        <f t="shared" si="29"/>
        <v>117.53056492617446</v>
      </c>
      <c r="L277" s="1451">
        <v>21452</v>
      </c>
      <c r="M277" s="1132">
        <v>33546</v>
      </c>
      <c r="N277" s="1436" t="s">
        <v>415</v>
      </c>
      <c r="O277" s="1198" t="str">
        <f>IFERROR(VLOOKUP(P277,constant_ag_extr!$D$7:$E$594,2,FALSE),"")</f>
        <v>Quinces</v>
      </c>
      <c r="P277" s="1199">
        <f t="shared" si="33"/>
        <v>523</v>
      </c>
      <c r="Q277" s="1247">
        <f t="shared" si="34"/>
        <v>1</v>
      </c>
    </row>
    <row r="278" spans="1:17" ht="12.75" customHeight="1">
      <c r="A278" s="143" t="s">
        <v>2956</v>
      </c>
      <c r="B278" s="935">
        <v>526</v>
      </c>
      <c r="C278" s="36" t="s">
        <v>973</v>
      </c>
      <c r="D278" s="1132">
        <v>519</v>
      </c>
      <c r="E278" s="1132">
        <v>7984</v>
      </c>
      <c r="F278" s="809">
        <f t="shared" si="30"/>
        <v>8.0867885700252238</v>
      </c>
      <c r="G278" s="809">
        <f t="shared" si="31"/>
        <v>1</v>
      </c>
      <c r="H278" s="809">
        <f t="shared" si="32"/>
        <v>2.5252766180478901</v>
      </c>
      <c r="I278" s="903">
        <f t="shared" si="28"/>
        <v>162.06910239063748</v>
      </c>
      <c r="J278" s="799">
        <f t="shared" si="29"/>
        <v>2493.1786387029861</v>
      </c>
      <c r="L278" s="1451">
        <v>344185</v>
      </c>
      <c r="M278" s="1132">
        <v>358474</v>
      </c>
      <c r="N278" s="1436" t="s">
        <v>415</v>
      </c>
      <c r="O278" s="1198" t="str">
        <f>IFERROR(VLOOKUP(P278,constant_ag_extr!$D$7:$E$594,2,FALSE),"")</f>
        <v>Apricots</v>
      </c>
      <c r="P278" s="1199">
        <f t="shared" si="33"/>
        <v>526</v>
      </c>
      <c r="Q278" s="1247">
        <f t="shared" si="34"/>
        <v>1</v>
      </c>
    </row>
    <row r="279" spans="1:17" ht="12.75" customHeight="1">
      <c r="A279" s="143" t="s">
        <v>3198</v>
      </c>
      <c r="B279" s="935">
        <v>527</v>
      </c>
      <c r="C279" s="36" t="s">
        <v>3199</v>
      </c>
      <c r="D279" s="1132">
        <v>15832</v>
      </c>
      <c r="E279" s="1132">
        <v>1631</v>
      </c>
      <c r="F279" s="809">
        <f t="shared" si="30"/>
        <v>2.3451686853073146</v>
      </c>
      <c r="G279" s="809">
        <f t="shared" si="31"/>
        <v>1</v>
      </c>
      <c r="H279" s="809">
        <f t="shared" si="32"/>
        <v>2.5252766180478901</v>
      </c>
      <c r="I279" s="903">
        <f t="shared" ref="I279:I342" si="35">IFERROR((D279/F279)*H279*G279,0)</f>
        <v>17047.890698615196</v>
      </c>
      <c r="J279" s="799">
        <f t="shared" ref="J279:J342" si="36">IFERROR((E279/F279)*H279*G279,0)</f>
        <v>1756.2600890248473</v>
      </c>
      <c r="L279" s="1451">
        <v>158173</v>
      </c>
      <c r="M279" s="1132">
        <v>147273</v>
      </c>
      <c r="N279" s="1436" t="s">
        <v>2921</v>
      </c>
      <c r="O279" s="1198" t="str">
        <f>IFERROR(VLOOKUP(P279,constant_ag_extr!$D$7:$E$594,2,FALSE),"")</f>
        <v>Apricots</v>
      </c>
      <c r="P279" s="1199">
        <f t="shared" si="33"/>
        <v>526</v>
      </c>
      <c r="Q279" s="1247">
        <f t="shared" si="34"/>
        <v>0.28999999999999998</v>
      </c>
    </row>
    <row r="280" spans="1:17" ht="12.75" customHeight="1">
      <c r="A280" s="143" t="s">
        <v>7243</v>
      </c>
      <c r="B280" s="935">
        <v>530</v>
      </c>
      <c r="C280" s="36" t="s">
        <v>4044</v>
      </c>
      <c r="D280" s="1132">
        <v>1734</v>
      </c>
      <c r="E280" s="1132">
        <v>759</v>
      </c>
      <c r="F280" s="809">
        <f t="shared" si="30"/>
        <v>5.8251092667086795</v>
      </c>
      <c r="G280" s="809">
        <f t="shared" si="31"/>
        <v>1</v>
      </c>
      <c r="H280" s="809">
        <f t="shared" si="32"/>
        <v>2.5252766180478901</v>
      </c>
      <c r="I280" s="903">
        <f t="shared" si="35"/>
        <v>751.71631212493651</v>
      </c>
      <c r="J280" s="799">
        <f t="shared" si="36"/>
        <v>329.0384549612611</v>
      </c>
      <c r="L280" s="1451">
        <v>71888</v>
      </c>
      <c r="M280" s="1132">
        <v>71176</v>
      </c>
      <c r="N280" s="1436" t="s">
        <v>415</v>
      </c>
      <c r="O280" s="1198" t="str">
        <f>IFERROR(VLOOKUP(P280,constant_ag_extr!$D$7:$E$594,2,FALSE),"")</f>
        <v>Sour cherries</v>
      </c>
      <c r="P280" s="1199">
        <f t="shared" si="33"/>
        <v>530</v>
      </c>
      <c r="Q280" s="1247">
        <f t="shared" si="34"/>
        <v>1</v>
      </c>
    </row>
    <row r="281" spans="1:17" ht="12.75" customHeight="1">
      <c r="A281" s="143" t="s">
        <v>3882</v>
      </c>
      <c r="B281" s="935">
        <v>531</v>
      </c>
      <c r="C281" s="36" t="s">
        <v>3883</v>
      </c>
      <c r="D281" s="1132">
        <v>8510</v>
      </c>
      <c r="E281" s="1132">
        <v>69795</v>
      </c>
      <c r="F281" s="809">
        <f t="shared" si="30"/>
        <v>5.6184667699775179</v>
      </c>
      <c r="G281" s="809">
        <f t="shared" si="31"/>
        <v>1</v>
      </c>
      <c r="H281" s="809">
        <f t="shared" si="32"/>
        <v>2.5252766180478901</v>
      </c>
      <c r="I281" s="903">
        <f t="shared" si="35"/>
        <v>3824.9054233836</v>
      </c>
      <c r="J281" s="799">
        <f t="shared" si="36"/>
        <v>31370.067453003328</v>
      </c>
      <c r="L281" s="1451">
        <v>370135</v>
      </c>
      <c r="M281" s="1132">
        <v>360811</v>
      </c>
      <c r="N281" s="1436" t="s">
        <v>415</v>
      </c>
      <c r="O281" s="1198" t="str">
        <f>IFERROR(VLOOKUP(P281,constant_ag_extr!$D$7:$E$594,2,FALSE),"")</f>
        <v>Cherries</v>
      </c>
      <c r="P281" s="1199">
        <f t="shared" si="33"/>
        <v>531</v>
      </c>
      <c r="Q281" s="1247">
        <f t="shared" si="34"/>
        <v>1</v>
      </c>
    </row>
    <row r="282" spans="1:17" ht="12.75" customHeight="1">
      <c r="A282" s="143" t="s">
        <v>4466</v>
      </c>
      <c r="B282" s="935">
        <v>534</v>
      </c>
      <c r="C282" s="36" t="s">
        <v>2622</v>
      </c>
      <c r="D282" s="1132">
        <v>36969</v>
      </c>
      <c r="E282" s="1132">
        <v>105372</v>
      </c>
      <c r="F282" s="809">
        <f t="shared" si="30"/>
        <v>13.956081850815581</v>
      </c>
      <c r="G282" s="809">
        <f t="shared" si="31"/>
        <v>1</v>
      </c>
      <c r="H282" s="809">
        <f t="shared" si="32"/>
        <v>2.5252766180478901</v>
      </c>
      <c r="I282" s="903">
        <f t="shared" si="35"/>
        <v>6689.33818893852</v>
      </c>
      <c r="J282" s="799">
        <f t="shared" si="36"/>
        <v>19066.486614320911</v>
      </c>
      <c r="L282" s="1451">
        <v>1785870</v>
      </c>
      <c r="M282" s="1132">
        <v>1883900</v>
      </c>
      <c r="N282" s="1436" t="s">
        <v>415</v>
      </c>
      <c r="O282" s="1198" t="str">
        <f>IFERROR(VLOOKUP(P282,constant_ag_extr!$D$7:$E$594,2,FALSE),"")</f>
        <v>Peaches and nectarines</v>
      </c>
      <c r="P282" s="1199">
        <f t="shared" si="33"/>
        <v>534</v>
      </c>
      <c r="Q282" s="1247">
        <f t="shared" si="34"/>
        <v>1</v>
      </c>
    </row>
    <row r="283" spans="1:17" ht="12.75" customHeight="1">
      <c r="A283" s="143" t="s">
        <v>3820</v>
      </c>
      <c r="B283" s="935">
        <v>536</v>
      </c>
      <c r="C283" s="36" t="s">
        <v>3862</v>
      </c>
      <c r="D283" s="1132">
        <v>30340</v>
      </c>
      <c r="E283" s="1132">
        <v>59213</v>
      </c>
      <c r="F283" s="809">
        <f t="shared" si="30"/>
        <v>4.2981710571362646</v>
      </c>
      <c r="G283" s="809">
        <f t="shared" si="31"/>
        <v>1</v>
      </c>
      <c r="H283" s="809">
        <f t="shared" si="32"/>
        <v>2.5252766180478901</v>
      </c>
      <c r="I283" s="37">
        <f t="shared" si="35"/>
        <v>17825.463801484995</v>
      </c>
      <c r="J283" s="799">
        <f t="shared" si="36"/>
        <v>34789.030589233058</v>
      </c>
      <c r="L283" s="1451">
        <v>690668</v>
      </c>
      <c r="M283" s="1132">
        <v>724763</v>
      </c>
      <c r="N283" s="1436" t="s">
        <v>415</v>
      </c>
      <c r="O283" s="1198" t="str">
        <f>IFERROR(VLOOKUP(P283,constant_ag_extr!$D$7:$E$594,2,FALSE),"")</f>
        <v>Plums and sloes</v>
      </c>
      <c r="P283" s="1199">
        <f t="shared" si="33"/>
        <v>536</v>
      </c>
      <c r="Q283" s="1247">
        <f t="shared" si="34"/>
        <v>1</v>
      </c>
    </row>
    <row r="284" spans="1:17" ht="12.75" customHeight="1">
      <c r="A284" s="143" t="s">
        <v>3814</v>
      </c>
      <c r="B284" s="935">
        <v>537</v>
      </c>
      <c r="C284" s="36" t="s">
        <v>3815</v>
      </c>
      <c r="D284" s="1132">
        <v>1235</v>
      </c>
      <c r="E284" s="1132">
        <v>72756</v>
      </c>
      <c r="F284" s="809">
        <f t="shared" si="30"/>
        <v>1.5043598699976926</v>
      </c>
      <c r="G284" s="809">
        <f t="shared" si="31"/>
        <v>1</v>
      </c>
      <c r="H284" s="809">
        <f t="shared" si="32"/>
        <v>2.5252766180478901</v>
      </c>
      <c r="I284" s="903">
        <f t="shared" si="35"/>
        <v>2073.1187300907782</v>
      </c>
      <c r="J284" s="799">
        <f t="shared" si="36"/>
        <v>122131.0334627406</v>
      </c>
      <c r="L284" s="1451">
        <v>221515</v>
      </c>
      <c r="M284" s="1132">
        <v>238838</v>
      </c>
      <c r="N284" s="1436" t="s">
        <v>2921</v>
      </c>
      <c r="O284" s="1198" t="str">
        <f>IFERROR(VLOOKUP(P284,constant_ag_extr!$D$7:$E$594,2,FALSE),"")</f>
        <v>Plums and sloes</v>
      </c>
      <c r="P284" s="1199">
        <f t="shared" si="33"/>
        <v>536</v>
      </c>
      <c r="Q284" s="1247">
        <f t="shared" si="34"/>
        <v>0.35</v>
      </c>
    </row>
    <row r="285" spans="1:17" ht="12.75" customHeight="1">
      <c r="A285" s="143" t="s">
        <v>7290</v>
      </c>
      <c r="B285" s="935">
        <v>538</v>
      </c>
      <c r="C285" s="36" t="s">
        <v>3399</v>
      </c>
      <c r="D285" s="1132"/>
      <c r="E285" s="1132"/>
      <c r="F285" s="809">
        <f t="shared" si="30"/>
        <v>0.85963421142725294</v>
      </c>
      <c r="G285" s="809">
        <f t="shared" si="31"/>
        <v>1</v>
      </c>
      <c r="H285" s="809">
        <f t="shared" si="32"/>
        <v>2.5252766180478901</v>
      </c>
      <c r="I285" s="903">
        <f t="shared" si="35"/>
        <v>0</v>
      </c>
      <c r="J285" s="799">
        <f t="shared" si="36"/>
        <v>0</v>
      </c>
      <c r="L285" s="1451">
        <v>0</v>
      </c>
      <c r="M285" s="1132">
        <v>0</v>
      </c>
      <c r="N285" s="1436" t="s">
        <v>2921</v>
      </c>
      <c r="O285" s="1198" t="str">
        <f>IFERROR(VLOOKUP(P285,constant_ag_extr!$D$7:$E$594,2,FALSE),"")</f>
        <v>Plums and sloes</v>
      </c>
      <c r="P285" s="1199">
        <f t="shared" si="33"/>
        <v>536</v>
      </c>
      <c r="Q285" s="1247">
        <f t="shared" si="34"/>
        <v>0.2</v>
      </c>
    </row>
    <row r="286" spans="1:17" ht="12.75" customHeight="1">
      <c r="A286" s="143" t="s">
        <v>7289</v>
      </c>
      <c r="B286" s="935">
        <v>539</v>
      </c>
      <c r="C286" s="36" t="s">
        <v>3399</v>
      </c>
      <c r="D286" s="1132"/>
      <c r="E286" s="1132"/>
      <c r="F286" s="809">
        <f t="shared" si="30"/>
        <v>0.42981710571362647</v>
      </c>
      <c r="G286" s="809">
        <f t="shared" si="31"/>
        <v>1</v>
      </c>
      <c r="H286" s="809">
        <f t="shared" si="32"/>
        <v>2.5252766180478901</v>
      </c>
      <c r="I286" s="903">
        <f t="shared" si="35"/>
        <v>0</v>
      </c>
      <c r="J286" s="799">
        <f t="shared" si="36"/>
        <v>0</v>
      </c>
      <c r="L286" s="1451">
        <v>0</v>
      </c>
      <c r="M286" s="1132">
        <v>0</v>
      </c>
      <c r="N286" s="1436" t="s">
        <v>2921</v>
      </c>
      <c r="O286" s="1198" t="str">
        <f>IFERROR(VLOOKUP(P286,constant_ag_extr!$D$7:$E$594,2,FALSE),"")</f>
        <v>Plums and sloes</v>
      </c>
      <c r="P286" s="1199">
        <f t="shared" si="33"/>
        <v>536</v>
      </c>
      <c r="Q286" s="1247">
        <f t="shared" si="34"/>
        <v>0.1</v>
      </c>
    </row>
    <row r="287" spans="1:17" ht="12.75" customHeight="1">
      <c r="A287" s="143" t="s">
        <v>678</v>
      </c>
      <c r="B287" s="935">
        <v>541</v>
      </c>
      <c r="C287" s="36" t="s">
        <v>524</v>
      </c>
      <c r="D287" s="1132"/>
      <c r="E287" s="1132"/>
      <c r="F287" s="809">
        <f t="shared" si="30"/>
        <v>5.4805821547528151</v>
      </c>
      <c r="G287" s="809">
        <f t="shared" si="31"/>
        <v>1</v>
      </c>
      <c r="H287" s="809">
        <f t="shared" si="32"/>
        <v>2.5252766180478901</v>
      </c>
      <c r="I287" s="903">
        <f t="shared" si="35"/>
        <v>0</v>
      </c>
      <c r="J287" s="799">
        <f t="shared" si="36"/>
        <v>0</v>
      </c>
      <c r="L287" s="1451"/>
      <c r="M287" s="1132"/>
      <c r="N287" s="1436" t="s">
        <v>415</v>
      </c>
      <c r="O287" s="1198" t="str">
        <f>IFERROR(VLOOKUP(P287,constant_ag_extr!$D$7:$E$594,2,FALSE),"")</f>
        <v>Stone fruit, nes</v>
      </c>
      <c r="P287" s="1199">
        <f t="shared" si="33"/>
        <v>541</v>
      </c>
      <c r="Q287" s="1247">
        <f t="shared" si="34"/>
        <v>1</v>
      </c>
    </row>
    <row r="288" spans="1:17" ht="12.75" customHeight="1">
      <c r="A288" s="143" t="s">
        <v>525</v>
      </c>
      <c r="B288" s="935">
        <v>544</v>
      </c>
      <c r="C288" s="36" t="s">
        <v>526</v>
      </c>
      <c r="D288" s="1132">
        <v>149944</v>
      </c>
      <c r="E288" s="1132">
        <v>153729</v>
      </c>
      <c r="F288" s="809">
        <f t="shared" si="30"/>
        <v>21.228465256604192</v>
      </c>
      <c r="G288" s="809">
        <f t="shared" si="31"/>
        <v>1</v>
      </c>
      <c r="H288" s="809">
        <f t="shared" si="32"/>
        <v>2.5252766180478901</v>
      </c>
      <c r="I288" s="37">
        <f t="shared" si="35"/>
        <v>17836.903075165763</v>
      </c>
      <c r="J288" s="799">
        <f t="shared" si="36"/>
        <v>18287.155690405467</v>
      </c>
      <c r="L288" s="1451">
        <v>887968</v>
      </c>
      <c r="M288" s="1132">
        <v>839151</v>
      </c>
      <c r="N288" s="1436" t="s">
        <v>415</v>
      </c>
      <c r="O288" s="1198" t="str">
        <f>IFERROR(VLOOKUP(P288,constant_ag_extr!$D$7:$E$594,2,FALSE),"")</f>
        <v>Strawberries</v>
      </c>
      <c r="P288" s="1199">
        <f t="shared" si="33"/>
        <v>544</v>
      </c>
      <c r="Q288" s="1247">
        <f t="shared" si="34"/>
        <v>1</v>
      </c>
    </row>
    <row r="289" spans="1:17" ht="12.75" customHeight="1">
      <c r="A289" s="143" t="s">
        <v>3737</v>
      </c>
      <c r="B289" s="935">
        <v>547</v>
      </c>
      <c r="C289" s="36" t="s">
        <v>2083</v>
      </c>
      <c r="D289" s="1132"/>
      <c r="E289" s="1132"/>
      <c r="F289" s="809">
        <f t="shared" si="30"/>
        <v>5.9808364734715891</v>
      </c>
      <c r="G289" s="809">
        <f t="shared" si="31"/>
        <v>1</v>
      </c>
      <c r="H289" s="809">
        <f t="shared" si="32"/>
        <v>2.5252766180478901</v>
      </c>
      <c r="I289" s="903">
        <f t="shared" si="35"/>
        <v>0</v>
      </c>
      <c r="J289" s="799">
        <f t="shared" si="36"/>
        <v>0</v>
      </c>
      <c r="L289" s="1451"/>
      <c r="M289" s="1132"/>
      <c r="N289" s="1436" t="s">
        <v>415</v>
      </c>
      <c r="O289" s="1198" t="str">
        <f>IFERROR(VLOOKUP(P289,constant_ag_extr!$D$7:$E$594,2,FALSE),"")</f>
        <v>Raspberries</v>
      </c>
      <c r="P289" s="1199">
        <f t="shared" si="33"/>
        <v>547</v>
      </c>
      <c r="Q289" s="1247">
        <f t="shared" si="34"/>
        <v>1</v>
      </c>
    </row>
    <row r="290" spans="1:17" ht="12.75" customHeight="1">
      <c r="A290" s="143" t="s">
        <v>5235</v>
      </c>
      <c r="B290" s="935">
        <v>549</v>
      </c>
      <c r="C290" s="36" t="s">
        <v>4933</v>
      </c>
      <c r="D290" s="1132"/>
      <c r="E290" s="1132"/>
      <c r="F290" s="809">
        <f t="shared" si="30"/>
        <v>5.2882419280813338</v>
      </c>
      <c r="G290" s="809">
        <f t="shared" si="31"/>
        <v>1</v>
      </c>
      <c r="H290" s="809">
        <f t="shared" si="32"/>
        <v>2.5252766180478901</v>
      </c>
      <c r="I290" s="903">
        <f t="shared" si="35"/>
        <v>0</v>
      </c>
      <c r="J290" s="799">
        <f t="shared" si="36"/>
        <v>0</v>
      </c>
      <c r="L290" s="1451">
        <v>841</v>
      </c>
      <c r="M290" s="1132">
        <v>876</v>
      </c>
      <c r="N290" s="1436" t="s">
        <v>415</v>
      </c>
      <c r="O290" s="1198" t="str">
        <f>IFERROR(VLOOKUP(P290,constant_ag_extr!$D$7:$E$594,2,FALSE),"")</f>
        <v>Gooseberries</v>
      </c>
      <c r="P290" s="1199">
        <f t="shared" si="33"/>
        <v>549</v>
      </c>
      <c r="Q290" s="1247">
        <f t="shared" si="34"/>
        <v>1</v>
      </c>
    </row>
    <row r="291" spans="1:17" ht="12.75" customHeight="1">
      <c r="A291" s="143" t="s">
        <v>819</v>
      </c>
      <c r="B291" s="935">
        <v>550</v>
      </c>
      <c r="C291" s="36" t="s">
        <v>820</v>
      </c>
      <c r="D291" s="1132">
        <v>69</v>
      </c>
      <c r="E291" s="1132">
        <v>4</v>
      </c>
      <c r="F291" s="809">
        <f t="shared" si="30"/>
        <v>6.0008674752692821</v>
      </c>
      <c r="G291" s="809">
        <f t="shared" si="31"/>
        <v>1</v>
      </c>
      <c r="H291" s="809">
        <f t="shared" si="32"/>
        <v>2.5252766180478901</v>
      </c>
      <c r="I291" s="903">
        <f t="shared" si="35"/>
        <v>29.036483035727333</v>
      </c>
      <c r="J291" s="799">
        <f t="shared" si="36"/>
        <v>1.683274378882744</v>
      </c>
      <c r="L291" s="1451">
        <v>22780</v>
      </c>
      <c r="M291" s="1132">
        <v>12689</v>
      </c>
      <c r="N291" s="1436" t="s">
        <v>415</v>
      </c>
      <c r="O291" s="1198" t="str">
        <f>IFERROR(VLOOKUP(P291,constant_ag_extr!$D$7:$E$594,2,FALSE),"")</f>
        <v>Currants</v>
      </c>
      <c r="P291" s="1199">
        <f t="shared" si="33"/>
        <v>550</v>
      </c>
      <c r="Q291" s="1247">
        <f t="shared" si="34"/>
        <v>1</v>
      </c>
    </row>
    <row r="292" spans="1:17" ht="12.75" customHeight="1">
      <c r="A292" s="143" t="s">
        <v>3392</v>
      </c>
      <c r="B292" s="935">
        <v>552</v>
      </c>
      <c r="C292" s="36" t="s">
        <v>5548</v>
      </c>
      <c r="D292" s="1132">
        <v>103502</v>
      </c>
      <c r="E292" s="1132">
        <v>48862</v>
      </c>
      <c r="F292" s="809">
        <f t="shared" si="30"/>
        <v>4.6946549930182053</v>
      </c>
      <c r="G292" s="809">
        <f t="shared" si="31"/>
        <v>1</v>
      </c>
      <c r="H292" s="809">
        <f t="shared" si="32"/>
        <v>2.5252766180478901</v>
      </c>
      <c r="I292" s="903">
        <f t="shared" si="35"/>
        <v>55674.204155555322</v>
      </c>
      <c r="J292" s="799">
        <f t="shared" si="36"/>
        <v>26283.095625676262</v>
      </c>
      <c r="L292" s="1451">
        <v>156914</v>
      </c>
      <c r="M292" s="1132">
        <v>118937</v>
      </c>
      <c r="N292" s="1436" t="s">
        <v>415</v>
      </c>
      <c r="O292" s="1198" t="str">
        <f>IFERROR(VLOOKUP(P292,constant_ag_extr!$D$7:$E$594,2,FALSE),"")</f>
        <v>Blueberries</v>
      </c>
      <c r="P292" s="1199">
        <f t="shared" si="33"/>
        <v>552</v>
      </c>
      <c r="Q292" s="1247">
        <f t="shared" si="34"/>
        <v>1</v>
      </c>
    </row>
    <row r="293" spans="1:17" ht="12.75" customHeight="1">
      <c r="A293" s="143" t="s">
        <v>585</v>
      </c>
      <c r="B293" s="935">
        <v>554</v>
      </c>
      <c r="C293" s="36" t="s">
        <v>5549</v>
      </c>
      <c r="D293" s="1132">
        <v>59202</v>
      </c>
      <c r="E293" s="1132">
        <v>11115</v>
      </c>
      <c r="F293" s="809">
        <f t="shared" si="30"/>
        <v>20.857815811600453</v>
      </c>
      <c r="G293" s="809">
        <f t="shared" si="31"/>
        <v>1</v>
      </c>
      <c r="H293" s="809">
        <f t="shared" si="32"/>
        <v>2.5252766180478901</v>
      </c>
      <c r="I293" s="903">
        <f t="shared" si="35"/>
        <v>7167.6453417775056</v>
      </c>
      <c r="J293" s="799">
        <f t="shared" si="36"/>
        <v>1345.7041649582275</v>
      </c>
      <c r="L293" s="1451">
        <v>135258</v>
      </c>
      <c r="M293" s="1132">
        <v>160215</v>
      </c>
      <c r="N293" s="1436" t="s">
        <v>415</v>
      </c>
      <c r="O293" s="1198" t="str">
        <f>IFERROR(VLOOKUP(P293,constant_ag_extr!$D$7:$E$594,2,FALSE),"")</f>
        <v>Cranberries</v>
      </c>
      <c r="P293" s="1199">
        <f t="shared" si="33"/>
        <v>554</v>
      </c>
      <c r="Q293" s="1247">
        <f t="shared" si="34"/>
        <v>1</v>
      </c>
    </row>
    <row r="294" spans="1:17" ht="12.75" customHeight="1">
      <c r="A294" s="143" t="s">
        <v>1419</v>
      </c>
      <c r="B294" s="935">
        <v>558</v>
      </c>
      <c r="C294" s="36" t="s">
        <v>2681</v>
      </c>
      <c r="D294" s="1132"/>
      <c r="E294" s="1132"/>
      <c r="F294" s="809">
        <f t="shared" si="30"/>
        <v>7.393799606690898</v>
      </c>
      <c r="G294" s="809">
        <f t="shared" si="31"/>
        <v>1</v>
      </c>
      <c r="H294" s="809">
        <f t="shared" si="32"/>
        <v>2.5252766180478901</v>
      </c>
      <c r="I294" s="903">
        <f t="shared" si="35"/>
        <v>0</v>
      </c>
      <c r="J294" s="799">
        <f t="shared" si="36"/>
        <v>0</v>
      </c>
      <c r="L294" s="1451"/>
      <c r="M294" s="1132"/>
      <c r="N294" s="1436" t="s">
        <v>415</v>
      </c>
      <c r="O294" s="1198" t="str">
        <f>IFERROR(VLOOKUP(P294,constant_ag_extr!$D$7:$E$594,2,FALSE),"")</f>
        <v>Berries Nes</v>
      </c>
      <c r="P294" s="1199">
        <f t="shared" si="33"/>
        <v>558</v>
      </c>
      <c r="Q294" s="1247">
        <f t="shared" si="34"/>
        <v>1</v>
      </c>
    </row>
    <row r="295" spans="1:17" ht="12.75" customHeight="1">
      <c r="A295" s="143" t="s">
        <v>4935</v>
      </c>
      <c r="B295" s="935">
        <v>560</v>
      </c>
      <c r="C295" s="36" t="s">
        <v>2487</v>
      </c>
      <c r="D295" s="1132">
        <v>495313</v>
      </c>
      <c r="E295" s="1132">
        <v>474264</v>
      </c>
      <c r="F295" s="809">
        <f t="shared" si="30"/>
        <v>10.700874228417304</v>
      </c>
      <c r="G295" s="809">
        <f t="shared" si="31"/>
        <v>1</v>
      </c>
      <c r="H295" s="809">
        <f t="shared" si="32"/>
        <v>2.5252766180478901</v>
      </c>
      <c r="I295" s="903">
        <f t="shared" si="35"/>
        <v>116887.86456283326</v>
      </c>
      <c r="J295" s="799">
        <f t="shared" si="36"/>
        <v>111920.55568706566</v>
      </c>
      <c r="L295" s="1451">
        <v>4043160</v>
      </c>
      <c r="M295" s="1132">
        <v>4281270</v>
      </c>
      <c r="N295" s="1436" t="s">
        <v>415</v>
      </c>
      <c r="O295" s="1198" t="str">
        <f>IFERROR(VLOOKUP(P295,constant_ag_extr!$D$7:$E$594,2,FALSE),"")</f>
        <v>Grapes</v>
      </c>
      <c r="P295" s="1199">
        <f t="shared" si="33"/>
        <v>560</v>
      </c>
      <c r="Q295" s="1247">
        <f t="shared" si="34"/>
        <v>1</v>
      </c>
    </row>
    <row r="296" spans="1:17" ht="12.75" customHeight="1">
      <c r="A296" s="143" t="s">
        <v>5559</v>
      </c>
      <c r="B296" s="935">
        <v>561</v>
      </c>
      <c r="C296" s="36" t="s">
        <v>5560</v>
      </c>
      <c r="D296" s="1132">
        <v>15786</v>
      </c>
      <c r="E296" s="1132">
        <v>133503</v>
      </c>
      <c r="F296" s="809">
        <f t="shared" si="30"/>
        <v>2.6752185571043259</v>
      </c>
      <c r="G296" s="809">
        <f t="shared" si="31"/>
        <v>1</v>
      </c>
      <c r="H296" s="809">
        <f t="shared" si="32"/>
        <v>2.5252766180478901</v>
      </c>
      <c r="I296" s="903">
        <f t="shared" si="35"/>
        <v>14901.218663664275</v>
      </c>
      <c r="J296" s="799">
        <f t="shared" si="36"/>
        <v>126020.35951192016</v>
      </c>
      <c r="L296" s="1451">
        <v>799961</v>
      </c>
      <c r="M296" s="1132">
        <v>787794</v>
      </c>
      <c r="N296" s="1436" t="s">
        <v>2921</v>
      </c>
      <c r="O296" s="1198" t="str">
        <f>IFERROR(VLOOKUP(P296,constant_ag_extr!$D$7:$E$594,2,FALSE),"")</f>
        <v>Grapes</v>
      </c>
      <c r="P296" s="1199">
        <f t="shared" si="33"/>
        <v>560</v>
      </c>
      <c r="Q296" s="1247">
        <f t="shared" si="34"/>
        <v>0.25</v>
      </c>
    </row>
    <row r="297" spans="1:17" ht="12.75" customHeight="1">
      <c r="A297" s="143" t="s">
        <v>7281</v>
      </c>
      <c r="B297" s="935">
        <v>562</v>
      </c>
      <c r="C297" s="36" t="s">
        <v>3317</v>
      </c>
      <c r="D297" s="1132">
        <v>245239</v>
      </c>
      <c r="E297" s="1132">
        <v>73747</v>
      </c>
      <c r="F297" s="809">
        <f t="shared" si="30"/>
        <v>8.0256556713129772</v>
      </c>
      <c r="G297" s="809">
        <f t="shared" si="31"/>
        <v>1</v>
      </c>
      <c r="H297" s="809">
        <f t="shared" si="32"/>
        <v>2.5252766180478901</v>
      </c>
      <c r="I297" s="903">
        <f t="shared" si="35"/>
        <v>77164.575443607479</v>
      </c>
      <c r="J297" s="799">
        <f t="shared" si="36"/>
        <v>23204.530866785957</v>
      </c>
      <c r="L297" s="1451">
        <v>888465</v>
      </c>
      <c r="M297" s="1132">
        <v>769589</v>
      </c>
      <c r="N297" s="1436" t="s">
        <v>2921</v>
      </c>
      <c r="O297" s="1198" t="str">
        <f>IFERROR(VLOOKUP(P297,constant_ag_extr!$D$7:$E$594,2,FALSE),"")</f>
        <v>Grapes</v>
      </c>
      <c r="P297" s="1199">
        <f t="shared" si="33"/>
        <v>560</v>
      </c>
      <c r="Q297" s="1247">
        <f t="shared" si="34"/>
        <v>0.75</v>
      </c>
    </row>
    <row r="298" spans="1:17" ht="12.75" customHeight="1">
      <c r="A298" s="143" t="s">
        <v>914</v>
      </c>
      <c r="B298" s="935">
        <v>563</v>
      </c>
      <c r="C298" s="36" t="e">
        <v>#N/A</v>
      </c>
      <c r="D298" s="1132"/>
      <c r="E298" s="1132"/>
      <c r="F298" s="809">
        <f t="shared" si="30"/>
        <v>9.2027518364388801</v>
      </c>
      <c r="G298" s="809">
        <f t="shared" si="31"/>
        <v>1</v>
      </c>
      <c r="H298" s="809">
        <f t="shared" si="32"/>
        <v>2.5252766180478901</v>
      </c>
      <c r="I298" s="37">
        <f t="shared" si="35"/>
        <v>0</v>
      </c>
      <c r="J298" s="799">
        <f t="shared" si="36"/>
        <v>0</v>
      </c>
      <c r="L298" s="1451"/>
      <c r="M298" s="1132"/>
      <c r="N298" s="1436" t="s">
        <v>2921</v>
      </c>
      <c r="O298" s="1198" t="str">
        <f>IFERROR(VLOOKUP(P298,constant_ag_extr!$D$7:$E$594,2,FALSE),"")</f>
        <v>Grapes</v>
      </c>
      <c r="P298" s="1199">
        <f t="shared" si="33"/>
        <v>560</v>
      </c>
      <c r="Q298" s="1247">
        <f t="shared" si="34"/>
        <v>0.86</v>
      </c>
    </row>
    <row r="299" spans="1:17" ht="12.75" customHeight="1">
      <c r="A299" s="143" t="s">
        <v>1215</v>
      </c>
      <c r="B299" s="935">
        <v>564</v>
      </c>
      <c r="C299" s="36" t="s">
        <v>1216</v>
      </c>
      <c r="D299" s="1132">
        <v>1096570</v>
      </c>
      <c r="E299" s="1132">
        <v>414318</v>
      </c>
      <c r="F299" s="809">
        <f t="shared" si="30"/>
        <v>7.7629593829178765</v>
      </c>
      <c r="G299" s="809">
        <f t="shared" si="31"/>
        <v>1</v>
      </c>
      <c r="H299" s="809">
        <f t="shared" si="32"/>
        <v>2.5252766180478901</v>
      </c>
      <c r="I299" s="903">
        <f t="shared" si="35"/>
        <v>356712.23362912051</v>
      </c>
      <c r="J299" s="799">
        <f t="shared" si="36"/>
        <v>134776.89450992635</v>
      </c>
      <c r="L299" s="1451">
        <v>10039900</v>
      </c>
      <c r="M299" s="1132">
        <v>10298100</v>
      </c>
      <c r="N299" s="1436" t="s">
        <v>2921</v>
      </c>
      <c r="O299" s="1198" t="str">
        <f>IFERROR(VLOOKUP(P299,constant_ag_extr!$D$7:$E$594,2,FALSE),"")</f>
        <v>Grapes</v>
      </c>
      <c r="P299" s="1199">
        <f t="shared" si="33"/>
        <v>560</v>
      </c>
      <c r="Q299" s="1247">
        <f t="shared" si="34"/>
        <v>0.72545095075526789</v>
      </c>
    </row>
    <row r="300" spans="1:17" ht="12.75" customHeight="1">
      <c r="A300" s="143" t="s">
        <v>7338</v>
      </c>
      <c r="B300" s="935">
        <v>565</v>
      </c>
      <c r="C300" s="36" t="s">
        <v>3679</v>
      </c>
      <c r="D300" s="1132">
        <v>12772</v>
      </c>
      <c r="E300" s="1132">
        <v>2842</v>
      </c>
      <c r="F300" s="809">
        <f t="shared" si="30"/>
        <v>5.4340715680425138</v>
      </c>
      <c r="G300" s="809">
        <f t="shared" si="31"/>
        <v>1</v>
      </c>
      <c r="H300" s="809">
        <f t="shared" si="32"/>
        <v>2.5252766180478901</v>
      </c>
      <c r="I300" s="903">
        <f t="shared" si="35"/>
        <v>5935.2977894853002</v>
      </c>
      <c r="J300" s="799">
        <f t="shared" si="36"/>
        <v>1320.7106418507067</v>
      </c>
      <c r="L300" s="1451">
        <v>261682</v>
      </c>
      <c r="M300" s="1132">
        <v>272703</v>
      </c>
      <c r="N300" s="1436" t="s">
        <v>2921</v>
      </c>
      <c r="O300" s="1198" t="str">
        <f>IFERROR(VLOOKUP(P300,constant_ag_extr!$D$7:$E$594,2,FALSE),"")</f>
        <v>Grapes</v>
      </c>
      <c r="P300" s="1199">
        <f t="shared" si="33"/>
        <v>560</v>
      </c>
      <c r="Q300" s="1247">
        <f t="shared" si="34"/>
        <v>0.50781566552868751</v>
      </c>
    </row>
    <row r="301" spans="1:17" ht="12.75" customHeight="1">
      <c r="A301" s="143" t="s">
        <v>1022</v>
      </c>
      <c r="B301" s="935">
        <v>566</v>
      </c>
      <c r="C301" s="36" t="s">
        <v>1023</v>
      </c>
      <c r="D301" s="1132"/>
      <c r="E301" s="1132"/>
      <c r="F301" s="809">
        <f t="shared" si="30"/>
        <v>61.003295771267489</v>
      </c>
      <c r="G301" s="809">
        <f t="shared" si="31"/>
        <v>1</v>
      </c>
      <c r="H301" s="809">
        <f t="shared" si="32"/>
        <v>2.5252766180478901</v>
      </c>
      <c r="I301" s="903">
        <f t="shared" si="35"/>
        <v>0</v>
      </c>
      <c r="J301" s="799">
        <f t="shared" si="36"/>
        <v>0</v>
      </c>
      <c r="L301" s="1451"/>
      <c r="M301" s="1132"/>
      <c r="N301" s="1436" t="s">
        <v>2921</v>
      </c>
      <c r="O301" s="1198" t="str">
        <f>IFERROR(VLOOKUP(P301,constant_ag_extr!$D$7:$E$594,2,FALSE),"")</f>
        <v>Grapes</v>
      </c>
      <c r="P301" s="1199">
        <f t="shared" si="33"/>
        <v>560</v>
      </c>
      <c r="Q301" s="1247">
        <f t="shared" si="34"/>
        <v>5.7007768215111607</v>
      </c>
    </row>
    <row r="302" spans="1:17" ht="12.75" customHeight="1">
      <c r="A302" s="143" t="s">
        <v>1212</v>
      </c>
      <c r="B302" s="935">
        <v>567</v>
      </c>
      <c r="C302" s="36" t="s">
        <v>1213</v>
      </c>
      <c r="D302" s="1132">
        <v>590970</v>
      </c>
      <c r="E302" s="1132">
        <v>215467</v>
      </c>
      <c r="F302" s="809">
        <f t="shared" si="30"/>
        <v>30.889934526578379</v>
      </c>
      <c r="G302" s="809">
        <f t="shared" si="31"/>
        <v>1</v>
      </c>
      <c r="H302" s="809">
        <f t="shared" si="32"/>
        <v>2.5252766180478901</v>
      </c>
      <c r="I302" s="903">
        <f t="shared" si="35"/>
        <v>48312.265656753014</v>
      </c>
      <c r="J302" s="799">
        <f t="shared" si="36"/>
        <v>17614.59793942772</v>
      </c>
      <c r="L302" s="1451">
        <v>2596460</v>
      </c>
      <c r="M302" s="1132">
        <v>2815440</v>
      </c>
      <c r="N302" s="1436" t="s">
        <v>415</v>
      </c>
      <c r="O302" s="1198" t="str">
        <f>IFERROR(VLOOKUP(P302,constant_ag_extr!$D$7:$E$594,2,FALSE),"")</f>
        <v>Watermelons</v>
      </c>
      <c r="P302" s="1199">
        <f t="shared" si="33"/>
        <v>567</v>
      </c>
      <c r="Q302" s="1247">
        <f t="shared" si="34"/>
        <v>1</v>
      </c>
    </row>
    <row r="303" spans="1:17" ht="12.75" customHeight="1">
      <c r="A303" s="143" t="s">
        <v>7294</v>
      </c>
      <c r="B303" s="935">
        <v>568</v>
      </c>
      <c r="C303" s="36" t="s">
        <v>3228</v>
      </c>
      <c r="D303" s="1132">
        <v>634398</v>
      </c>
      <c r="E303" s="1132">
        <v>196733</v>
      </c>
      <c r="F303" s="809">
        <f t="shared" si="30"/>
        <v>24.643961183344821</v>
      </c>
      <c r="G303" s="809">
        <f t="shared" si="31"/>
        <v>1</v>
      </c>
      <c r="H303" s="809">
        <f t="shared" si="32"/>
        <v>2.5252766180478901</v>
      </c>
      <c r="I303" s="903">
        <f t="shared" si="35"/>
        <v>65007.018312423286</v>
      </c>
      <c r="J303" s="799">
        <f t="shared" si="36"/>
        <v>20159.309666263085</v>
      </c>
      <c r="L303" s="1451">
        <v>1994050</v>
      </c>
      <c r="M303" s="1132">
        <v>2143170</v>
      </c>
      <c r="N303" s="1436" t="s">
        <v>415</v>
      </c>
      <c r="O303" s="1198" t="str">
        <f>IFERROR(VLOOKUP(P303,constant_ag_extr!$D$7:$E$594,2,FALSE),"")</f>
        <v>Other melons (inc.cantaloupes)</v>
      </c>
      <c r="P303" s="1199">
        <f t="shared" si="33"/>
        <v>568</v>
      </c>
      <c r="Q303" s="1247">
        <f t="shared" si="34"/>
        <v>1</v>
      </c>
    </row>
    <row r="304" spans="1:17" ht="12.75" customHeight="1">
      <c r="A304" s="143" t="s">
        <v>825</v>
      </c>
      <c r="B304" s="935">
        <v>569</v>
      </c>
      <c r="C304" s="36" t="s">
        <v>853</v>
      </c>
      <c r="D304" s="1132">
        <v>2196</v>
      </c>
      <c r="E304" s="1132"/>
      <c r="F304" s="809">
        <f t="shared" si="30"/>
        <v>3.0922661482623393</v>
      </c>
      <c r="G304" s="809">
        <f t="shared" si="31"/>
        <v>1</v>
      </c>
      <c r="H304" s="809">
        <f t="shared" si="32"/>
        <v>2.5252766180478901</v>
      </c>
      <c r="I304" s="903">
        <f t="shared" si="35"/>
        <v>1793.3473987513642</v>
      </c>
      <c r="J304" s="799">
        <f t="shared" si="36"/>
        <v>0</v>
      </c>
      <c r="L304" s="1451">
        <v>53420</v>
      </c>
      <c r="M304" s="1132">
        <v>22630</v>
      </c>
      <c r="N304" s="1436" t="s">
        <v>415</v>
      </c>
      <c r="O304" s="1198" t="str">
        <f>IFERROR(VLOOKUP(P304,constant_ag_extr!$D$7:$E$594,2,FALSE),"")</f>
        <v>Figs</v>
      </c>
      <c r="P304" s="1199">
        <f t="shared" si="33"/>
        <v>569</v>
      </c>
      <c r="Q304" s="1247">
        <f t="shared" si="34"/>
        <v>1</v>
      </c>
    </row>
    <row r="305" spans="1:17" ht="12.75" customHeight="1">
      <c r="A305" s="143" t="s">
        <v>2261</v>
      </c>
      <c r="B305" s="935">
        <v>570</v>
      </c>
      <c r="C305" s="36" t="s">
        <v>2262</v>
      </c>
      <c r="D305" s="1132">
        <v>7043</v>
      </c>
      <c r="E305" s="1132">
        <v>4596</v>
      </c>
      <c r="F305" s="809">
        <f t="shared" si="30"/>
        <v>1.0822931518918186</v>
      </c>
      <c r="G305" s="809">
        <f t="shared" si="31"/>
        <v>1</v>
      </c>
      <c r="H305" s="809">
        <f t="shared" si="32"/>
        <v>2.5252766180478901</v>
      </c>
      <c r="I305" s="903">
        <f t="shared" si="35"/>
        <v>16433.18465964853</v>
      </c>
      <c r="J305" s="799">
        <f t="shared" si="36"/>
        <v>10723.685460136965</v>
      </c>
      <c r="L305" s="1451">
        <v>84468</v>
      </c>
      <c r="M305" s="1132">
        <v>110048</v>
      </c>
      <c r="N305" s="1436" t="s">
        <v>2921</v>
      </c>
      <c r="O305" s="1198" t="str">
        <f>IFERROR(VLOOKUP(P305,constant_ag_extr!$D$7:$E$594,2,FALSE),"")</f>
        <v>Figs</v>
      </c>
      <c r="P305" s="1199">
        <f t="shared" si="33"/>
        <v>569</v>
      </c>
      <c r="Q305" s="1247">
        <f t="shared" si="34"/>
        <v>0.35</v>
      </c>
    </row>
    <row r="306" spans="1:17" ht="12.75" customHeight="1">
      <c r="A306" s="143" t="s">
        <v>5160</v>
      </c>
      <c r="B306" s="935">
        <v>571</v>
      </c>
      <c r="C306" s="36" t="s">
        <v>1537</v>
      </c>
      <c r="D306" s="1132">
        <v>424451</v>
      </c>
      <c r="E306" s="1132"/>
      <c r="F306" s="809">
        <f t="shared" si="30"/>
        <v>8.1086486108834421</v>
      </c>
      <c r="G306" s="809">
        <f t="shared" si="31"/>
        <v>1</v>
      </c>
      <c r="H306" s="809">
        <f t="shared" si="32"/>
        <v>2.5252766180478901</v>
      </c>
      <c r="I306" s="37">
        <f t="shared" si="35"/>
        <v>132186.78441292892</v>
      </c>
      <c r="J306" s="799">
        <f t="shared" si="36"/>
        <v>0</v>
      </c>
      <c r="L306" s="1451">
        <v>1189100</v>
      </c>
      <c r="M306" s="1132">
        <v>1648190</v>
      </c>
      <c r="N306" s="1436" t="s">
        <v>415</v>
      </c>
      <c r="O306" s="1198" t="str">
        <f>IFERROR(VLOOKUP(P306,constant_ag_extr!$D$7:$E$594,2,FALSE),"")</f>
        <v>Mangoes, mangosteens, guavas</v>
      </c>
      <c r="P306" s="1199">
        <f t="shared" si="33"/>
        <v>571</v>
      </c>
      <c r="Q306" s="1247">
        <f t="shared" si="34"/>
        <v>1</v>
      </c>
    </row>
    <row r="307" spans="1:17" ht="12.75" customHeight="1">
      <c r="A307" s="143" t="s">
        <v>2461</v>
      </c>
      <c r="B307" s="935">
        <v>572</v>
      </c>
      <c r="C307" s="36" t="s">
        <v>2462</v>
      </c>
      <c r="D307" s="1132">
        <v>571793</v>
      </c>
      <c r="E307" s="1132">
        <v>43211</v>
      </c>
      <c r="F307" s="809">
        <f t="shared" si="30"/>
        <v>9.0603961518842535</v>
      </c>
      <c r="G307" s="809">
        <f t="shared" si="31"/>
        <v>1</v>
      </c>
      <c r="H307" s="809">
        <f t="shared" si="32"/>
        <v>2.5252766180478901</v>
      </c>
      <c r="I307" s="37">
        <f t="shared" si="35"/>
        <v>159367.81008887431</v>
      </c>
      <c r="J307" s="799">
        <f t="shared" si="36"/>
        <v>12043.593471326769</v>
      </c>
      <c r="L307" s="1451">
        <v>1283310</v>
      </c>
      <c r="M307" s="1132">
        <v>1216990</v>
      </c>
      <c r="N307" s="1436" t="s">
        <v>415</v>
      </c>
      <c r="O307" s="1198" t="str">
        <f>IFERROR(VLOOKUP(P307,constant_ag_extr!$D$7:$E$594,2,FALSE),"")</f>
        <v>Avocados</v>
      </c>
      <c r="P307" s="1199">
        <f t="shared" si="33"/>
        <v>572</v>
      </c>
      <c r="Q307" s="1247">
        <f t="shared" si="34"/>
        <v>1</v>
      </c>
    </row>
    <row r="308" spans="1:17" ht="12.75" customHeight="1">
      <c r="A308" s="143" t="s">
        <v>5275</v>
      </c>
      <c r="B308" s="935">
        <v>574</v>
      </c>
      <c r="C308" s="36" t="s">
        <v>2986</v>
      </c>
      <c r="D308" s="1132">
        <v>968717</v>
      </c>
      <c r="E308" s="1132">
        <v>113611</v>
      </c>
      <c r="F308" s="809">
        <f t="shared" si="30"/>
        <v>23.938175467763685</v>
      </c>
      <c r="G308" s="809">
        <f t="shared" si="31"/>
        <v>1</v>
      </c>
      <c r="H308" s="809">
        <f t="shared" si="32"/>
        <v>2.5252766180478901</v>
      </c>
      <c r="I308" s="37">
        <f t="shared" si="35"/>
        <v>102191.51383946433</v>
      </c>
      <c r="J308" s="799">
        <f t="shared" si="36"/>
        <v>11985.007054501346</v>
      </c>
      <c r="L308" s="1451">
        <v>2984860</v>
      </c>
      <c r="M308" s="1132">
        <v>3410610</v>
      </c>
      <c r="N308" s="1436" t="s">
        <v>415</v>
      </c>
      <c r="O308" s="1198" t="str">
        <f>IFERROR(VLOOKUP(P308,constant_ag_extr!$D$7:$E$594,2,FALSE),"")</f>
        <v>Pineapples</v>
      </c>
      <c r="P308" s="1199">
        <f t="shared" si="33"/>
        <v>574</v>
      </c>
      <c r="Q308" s="1247">
        <f t="shared" si="34"/>
        <v>1</v>
      </c>
    </row>
    <row r="309" spans="1:17" ht="12.75" customHeight="1">
      <c r="A309" s="143" t="s">
        <v>7318</v>
      </c>
      <c r="B309" s="935">
        <v>575</v>
      </c>
      <c r="C309" s="36" t="s">
        <v>3813</v>
      </c>
      <c r="D309" s="1132">
        <v>340432</v>
      </c>
      <c r="E309" s="1132">
        <v>4540</v>
      </c>
      <c r="F309" s="809">
        <f t="shared" si="30"/>
        <v>15.816131801512787</v>
      </c>
      <c r="G309" s="809">
        <f t="shared" si="31"/>
        <v>1</v>
      </c>
      <c r="H309" s="809">
        <f t="shared" si="32"/>
        <v>2.5252766180478901</v>
      </c>
      <c r="I309" s="903">
        <f t="shared" si="35"/>
        <v>54354.944712401288</v>
      </c>
      <c r="J309" s="799">
        <f t="shared" si="36"/>
        <v>724.8773587509454</v>
      </c>
      <c r="L309" s="1451">
        <v>1106290</v>
      </c>
      <c r="M309" s="1132">
        <v>1103530</v>
      </c>
      <c r="N309" s="1436" t="s">
        <v>2921</v>
      </c>
      <c r="O309" s="1198" t="str">
        <f>IFERROR(VLOOKUP(P309,constant_ag_extr!$D$7:$E$594,2,FALSE),"")</f>
        <v>Pineapples</v>
      </c>
      <c r="P309" s="1199">
        <f t="shared" si="33"/>
        <v>574</v>
      </c>
      <c r="Q309" s="1247">
        <f t="shared" si="34"/>
        <v>0.66070748887322517</v>
      </c>
    </row>
    <row r="310" spans="1:17" ht="12.75" customHeight="1">
      <c r="A310" s="143" t="s">
        <v>7287</v>
      </c>
      <c r="B310" s="935">
        <v>576</v>
      </c>
      <c r="C310" s="36" t="s">
        <v>3627</v>
      </c>
      <c r="D310" s="1132">
        <v>119263</v>
      </c>
      <c r="E310" s="1132">
        <v>2407</v>
      </c>
      <c r="F310" s="809">
        <f t="shared" si="30"/>
        <v>22.480867121099475</v>
      </c>
      <c r="G310" s="809">
        <f t="shared" si="31"/>
        <v>1</v>
      </c>
      <c r="H310" s="809">
        <f t="shared" si="32"/>
        <v>2.5252766180478901</v>
      </c>
      <c r="I310" s="903">
        <f t="shared" si="35"/>
        <v>13396.817110118485</v>
      </c>
      <c r="J310" s="799">
        <f t="shared" si="36"/>
        <v>270.37839718986766</v>
      </c>
      <c r="L310" s="1451">
        <v>372972</v>
      </c>
      <c r="M310" s="1132">
        <v>318068</v>
      </c>
      <c r="N310" s="1436" t="s">
        <v>2921</v>
      </c>
      <c r="O310" s="1198" t="str">
        <f>IFERROR(VLOOKUP(P310,constant_ag_extr!$D$7:$E$594,2,FALSE),"")</f>
        <v>Pineapples</v>
      </c>
      <c r="P310" s="1199">
        <f t="shared" si="33"/>
        <v>574</v>
      </c>
      <c r="Q310" s="1247">
        <f t="shared" si="34"/>
        <v>0.93912199580011047</v>
      </c>
    </row>
    <row r="311" spans="1:17" ht="12.75" customHeight="1">
      <c r="A311" s="143" t="s">
        <v>821</v>
      </c>
      <c r="B311" s="935">
        <v>577</v>
      </c>
      <c r="C311" s="36" t="s">
        <v>822</v>
      </c>
      <c r="D311" s="1132">
        <v>23875</v>
      </c>
      <c r="E311" s="1132">
        <v>7134</v>
      </c>
      <c r="F311" s="809">
        <f t="shared" si="30"/>
        <v>7.2501022812534943</v>
      </c>
      <c r="G311" s="809">
        <f t="shared" si="31"/>
        <v>1</v>
      </c>
      <c r="H311" s="809">
        <f t="shared" si="32"/>
        <v>2.5252766180478901</v>
      </c>
      <c r="I311" s="37">
        <f t="shared" si="35"/>
        <v>8315.8798203146816</v>
      </c>
      <c r="J311" s="799">
        <f t="shared" si="36"/>
        <v>2484.8371366753904</v>
      </c>
      <c r="L311" s="1451">
        <v>799678</v>
      </c>
      <c r="M311" s="1132">
        <v>825271</v>
      </c>
      <c r="N311" s="1436" t="s">
        <v>415</v>
      </c>
      <c r="O311" s="1198" t="str">
        <f>IFERROR(VLOOKUP(P311,constant_ag_extr!$D$7:$E$594,2,FALSE),"")</f>
        <v>Dates</v>
      </c>
      <c r="P311" s="1199">
        <f t="shared" si="33"/>
        <v>577</v>
      </c>
      <c r="Q311" s="1247">
        <f t="shared" si="34"/>
        <v>1</v>
      </c>
    </row>
    <row r="312" spans="1:17" ht="12.75" customHeight="1">
      <c r="A312" s="143" t="s">
        <v>7288</v>
      </c>
      <c r="B312" s="935">
        <v>580</v>
      </c>
      <c r="C312" s="36" t="s">
        <v>1778</v>
      </c>
      <c r="D312" s="1132">
        <v>165545</v>
      </c>
      <c r="E312" s="1132">
        <v>2716</v>
      </c>
      <c r="F312" s="809">
        <f t="shared" si="30"/>
        <v>1.9150540374210949</v>
      </c>
      <c r="G312" s="809">
        <f t="shared" si="31"/>
        <v>1</v>
      </c>
      <c r="H312" s="809">
        <f t="shared" si="32"/>
        <v>2.5252766180478901</v>
      </c>
      <c r="I312" s="37">
        <f t="shared" si="35"/>
        <v>218295.10267903475</v>
      </c>
      <c r="J312" s="799">
        <f t="shared" si="36"/>
        <v>3581.4400850298007</v>
      </c>
      <c r="L312" s="1451">
        <v>450111</v>
      </c>
      <c r="M312" s="1132">
        <v>428847</v>
      </c>
      <c r="N312" s="1436" t="s">
        <v>2921</v>
      </c>
      <c r="O312" s="1198" t="str">
        <f>IFERROR(VLOOKUP(P312,constant_ag_extr!$D$7:$E$594,2,FALSE),"")</f>
        <v>Pineapples</v>
      </c>
      <c r="P312" s="1199">
        <f t="shared" si="33"/>
        <v>574</v>
      </c>
      <c r="Q312" s="1247">
        <f t="shared" si="34"/>
        <v>0.08</v>
      </c>
    </row>
    <row r="313" spans="1:17" ht="12.75" customHeight="1">
      <c r="A313" s="143" t="s">
        <v>5158</v>
      </c>
      <c r="B313" s="935">
        <v>583</v>
      </c>
      <c r="C313" s="36" t="e">
        <v>#N/A</v>
      </c>
      <c r="D313" s="1132"/>
      <c r="E313" s="1132"/>
      <c r="F313" s="809">
        <f t="shared" si="30"/>
        <v>8.2787019383655895</v>
      </c>
      <c r="G313" s="809">
        <f t="shared" si="31"/>
        <v>1</v>
      </c>
      <c r="H313" s="809">
        <f t="shared" si="32"/>
        <v>2.5252766180478901</v>
      </c>
      <c r="I313" s="903">
        <f t="shared" si="35"/>
        <v>0</v>
      </c>
      <c r="J313" s="799">
        <f t="shared" si="36"/>
        <v>0</v>
      </c>
      <c r="L313" s="1451"/>
      <c r="M313" s="1132"/>
      <c r="N313" s="1436" t="s">
        <v>2921</v>
      </c>
      <c r="O313" s="1198" t="str">
        <f>IFERROR(VLOOKUP(P313,constant_ag_extr!$D$7:$E$594,2,FALSE),"")</f>
        <v>Mangoes, mangosteens, guavas</v>
      </c>
      <c r="P313" s="1199">
        <f t="shared" si="33"/>
        <v>571</v>
      </c>
      <c r="Q313" s="1247">
        <f t="shared" si="34"/>
        <v>1.0209718456974324</v>
      </c>
    </row>
    <row r="314" spans="1:17" ht="12.75" customHeight="1">
      <c r="A314" s="143" t="s">
        <v>5159</v>
      </c>
      <c r="B314" s="935">
        <v>584</v>
      </c>
      <c r="C314" s="36" t="e">
        <v>#N/A</v>
      </c>
      <c r="D314" s="1132"/>
      <c r="E314" s="1132"/>
      <c r="F314" s="809">
        <f t="shared" si="30"/>
        <v>4.9440013691764566</v>
      </c>
      <c r="G314" s="809">
        <f t="shared" si="31"/>
        <v>1</v>
      </c>
      <c r="H314" s="809">
        <f t="shared" si="32"/>
        <v>2.5252766180478901</v>
      </c>
      <c r="I314" s="903">
        <f t="shared" si="35"/>
        <v>0</v>
      </c>
      <c r="J314" s="799">
        <f t="shared" si="36"/>
        <v>0</v>
      </c>
      <c r="L314" s="1451"/>
      <c r="M314" s="1132"/>
      <c r="N314" s="1436" t="s">
        <v>2921</v>
      </c>
      <c r="O314" s="1198" t="str">
        <f>IFERROR(VLOOKUP(P314,constant_ag_extr!$D$7:$E$594,2,FALSE),"")</f>
        <v>Mangoes, mangosteens, guavas</v>
      </c>
      <c r="P314" s="1199">
        <f t="shared" si="33"/>
        <v>571</v>
      </c>
      <c r="Q314" s="1247">
        <f t="shared" si="34"/>
        <v>0.60971952373674321</v>
      </c>
    </row>
    <row r="315" spans="1:17" ht="12.75" customHeight="1">
      <c r="A315" s="143" t="s">
        <v>5271</v>
      </c>
      <c r="B315" s="935">
        <v>587</v>
      </c>
      <c r="C315" s="36" t="s">
        <v>5272</v>
      </c>
      <c r="D315" s="1132">
        <v>1035</v>
      </c>
      <c r="E315" s="1132">
        <v>5441</v>
      </c>
      <c r="F315" s="809">
        <f t="shared" si="30"/>
        <v>5.6160248506230142</v>
      </c>
      <c r="G315" s="809">
        <f t="shared" si="31"/>
        <v>1</v>
      </c>
      <c r="H315" s="809">
        <f t="shared" si="32"/>
        <v>2.5252766180478901</v>
      </c>
      <c r="I315" s="37">
        <f t="shared" si="35"/>
        <v>465.39347121827984</v>
      </c>
      <c r="J315" s="799">
        <f t="shared" si="36"/>
        <v>2446.575726472136</v>
      </c>
      <c r="L315" s="1451">
        <v>322920</v>
      </c>
      <c r="M315" s="1132">
        <v>624496</v>
      </c>
      <c r="N315" s="1436" t="s">
        <v>415</v>
      </c>
      <c r="O315" s="1198" t="str">
        <f>IFERROR(VLOOKUP(P315,constant_ag_extr!$D$7:$E$594,2,FALSE),"")</f>
        <v>Persimmons</v>
      </c>
      <c r="P315" s="1199">
        <f t="shared" si="33"/>
        <v>587</v>
      </c>
      <c r="Q315" s="1247">
        <f t="shared" si="34"/>
        <v>1</v>
      </c>
    </row>
    <row r="316" spans="1:17" ht="12.75" customHeight="1">
      <c r="A316" s="143" t="s">
        <v>4662</v>
      </c>
      <c r="B316" s="935">
        <v>591</v>
      </c>
      <c r="C316" s="36" t="s">
        <v>4663</v>
      </c>
      <c r="D316" s="1132">
        <v>0</v>
      </c>
      <c r="E316" s="1132"/>
      <c r="F316" s="809">
        <f t="shared" si="30"/>
        <v>2.8620531416036692</v>
      </c>
      <c r="G316" s="809">
        <f t="shared" si="31"/>
        <v>1</v>
      </c>
      <c r="H316" s="809">
        <f t="shared" si="32"/>
        <v>2.5252766180478901</v>
      </c>
      <c r="I316" s="903">
        <f t="shared" si="35"/>
        <v>0</v>
      </c>
      <c r="J316" s="799">
        <f t="shared" si="36"/>
        <v>0</v>
      </c>
      <c r="L316" s="1451">
        <v>0</v>
      </c>
      <c r="M316" s="1132"/>
      <c r="N316" s="1436" t="s">
        <v>415</v>
      </c>
      <c r="O316" s="1198" t="str">
        <f>IFERROR(VLOOKUP(P316,constant_ag_extr!$D$7:$E$594,2,FALSE),"")</f>
        <v>Cashewapple</v>
      </c>
      <c r="P316" s="1199">
        <f t="shared" si="33"/>
        <v>591</v>
      </c>
      <c r="Q316" s="1247">
        <f t="shared" si="34"/>
        <v>1</v>
      </c>
    </row>
    <row r="317" spans="1:17" ht="12.75" customHeight="1">
      <c r="A317" s="143" t="s">
        <v>569</v>
      </c>
      <c r="B317" s="935">
        <v>592</v>
      </c>
      <c r="C317" s="36" t="s">
        <v>570</v>
      </c>
      <c r="D317" s="1132">
        <v>60772</v>
      </c>
      <c r="E317" s="1132">
        <v>14947</v>
      </c>
      <c r="F317" s="809">
        <f t="shared" si="30"/>
        <v>13.266905639535601</v>
      </c>
      <c r="G317" s="809">
        <f t="shared" si="31"/>
        <v>1</v>
      </c>
      <c r="H317" s="809">
        <f t="shared" si="32"/>
        <v>2.5252766180478901</v>
      </c>
      <c r="I317" s="903">
        <f t="shared" si="35"/>
        <v>11567.588916489674</v>
      </c>
      <c r="J317" s="799">
        <f t="shared" si="36"/>
        <v>2845.0725915680109</v>
      </c>
      <c r="L317" s="1451">
        <v>1293850</v>
      </c>
      <c r="M317" s="1132">
        <v>1276830</v>
      </c>
      <c r="N317" s="1436" t="s">
        <v>415</v>
      </c>
      <c r="O317" s="1198" t="str">
        <f>IFERROR(VLOOKUP(P317,constant_ag_extr!$D$7:$E$594,2,FALSE),"")</f>
        <v>Kiwi fruit</v>
      </c>
      <c r="P317" s="1199">
        <f t="shared" si="33"/>
        <v>592</v>
      </c>
      <c r="Q317" s="1247">
        <f t="shared" si="34"/>
        <v>1</v>
      </c>
    </row>
    <row r="318" spans="1:17" ht="12.75" customHeight="1">
      <c r="A318" s="143" t="s">
        <v>948</v>
      </c>
      <c r="B318" s="935">
        <v>600</v>
      </c>
      <c r="C318" s="36" t="s">
        <v>949</v>
      </c>
      <c r="D318" s="1132">
        <v>155078</v>
      </c>
      <c r="E318" s="1132">
        <v>15060</v>
      </c>
      <c r="F318" s="809">
        <f t="shared" si="30"/>
        <v>27.93704604932022</v>
      </c>
      <c r="G318" s="809">
        <f t="shared" si="31"/>
        <v>1</v>
      </c>
      <c r="H318" s="809">
        <f t="shared" si="32"/>
        <v>2.5252766180478901</v>
      </c>
      <c r="I318" s="37">
        <f t="shared" si="35"/>
        <v>14017.76145846886</v>
      </c>
      <c r="J318" s="799">
        <f t="shared" si="36"/>
        <v>1361.2987500776451</v>
      </c>
      <c r="L318" s="1451">
        <v>272802</v>
      </c>
      <c r="M318" s="1132">
        <v>293387</v>
      </c>
      <c r="N318" s="1436" t="s">
        <v>415</v>
      </c>
      <c r="O318" s="1198" t="str">
        <f>IFERROR(VLOOKUP(P318,constant_ag_extr!$D$7:$E$594,2,FALSE),"")</f>
        <v>Papayas</v>
      </c>
      <c r="P318" s="1199">
        <f t="shared" si="33"/>
        <v>600</v>
      </c>
      <c r="Q318" s="1247">
        <f t="shared" si="34"/>
        <v>1</v>
      </c>
    </row>
    <row r="319" spans="1:17" ht="12.75" customHeight="1">
      <c r="A319" s="143" t="s">
        <v>813</v>
      </c>
      <c r="B319" s="935">
        <v>603</v>
      </c>
      <c r="C319" s="36" t="s">
        <v>5550</v>
      </c>
      <c r="D319" s="1132">
        <v>5582</v>
      </c>
      <c r="E319" s="1132">
        <v>27971</v>
      </c>
      <c r="F319" s="809">
        <f t="shared" si="30"/>
        <v>7.0031273093842303</v>
      </c>
      <c r="G319" s="809">
        <f t="shared" si="31"/>
        <v>1</v>
      </c>
      <c r="H319" s="809">
        <f t="shared" si="32"/>
        <v>2.5252766180478901</v>
      </c>
      <c r="I319" s="903">
        <f t="shared" si="35"/>
        <v>2012.8284777936958</v>
      </c>
      <c r="J319" s="799">
        <f t="shared" si="36"/>
        <v>10086.138543956909</v>
      </c>
      <c r="L319" s="1451">
        <v>976575</v>
      </c>
      <c r="M319" s="1132">
        <v>841345</v>
      </c>
      <c r="N319" s="1436" t="s">
        <v>415</v>
      </c>
      <c r="O319" s="1198" t="str">
        <f>IFERROR(VLOOKUP(P319,constant_ag_extr!$D$7:$E$594,2,FALSE),"")</f>
        <v>Fruit, tropical fresh nes</v>
      </c>
      <c r="P319" s="1199">
        <f t="shared" si="33"/>
        <v>603</v>
      </c>
      <c r="Q319" s="1247">
        <f t="shared" si="34"/>
        <v>1</v>
      </c>
    </row>
    <row r="320" spans="1:17" ht="12.75" customHeight="1">
      <c r="A320" s="143" t="s">
        <v>3765</v>
      </c>
      <c r="B320" s="935">
        <v>604</v>
      </c>
      <c r="C320" s="36" t="s">
        <v>3766</v>
      </c>
      <c r="D320" s="1132"/>
      <c r="E320" s="1132"/>
      <c r="F320" s="809">
        <f t="shared" si="30"/>
        <v>2.4510945582844803</v>
      </c>
      <c r="G320" s="809">
        <f t="shared" si="31"/>
        <v>1</v>
      </c>
      <c r="H320" s="809">
        <f t="shared" si="32"/>
        <v>2.5252766180478901</v>
      </c>
      <c r="I320" s="903">
        <f t="shared" si="35"/>
        <v>0</v>
      </c>
      <c r="J320" s="799">
        <f t="shared" si="36"/>
        <v>0</v>
      </c>
      <c r="L320" s="1451"/>
      <c r="M320" s="1132"/>
      <c r="N320" s="1436" t="s">
        <v>2921</v>
      </c>
      <c r="O320" s="1198" t="str">
        <f>IFERROR(VLOOKUP(P320,constant_ag_extr!$D$7:$E$594,2,FALSE),"")</f>
        <v>Fruit, tropical fresh nes</v>
      </c>
      <c r="P320" s="1199">
        <f t="shared" si="33"/>
        <v>603</v>
      </c>
      <c r="Q320" s="1247">
        <f t="shared" si="34"/>
        <v>0.35</v>
      </c>
    </row>
    <row r="321" spans="1:17" ht="12.75" customHeight="1">
      <c r="A321" s="143" t="s">
        <v>7272</v>
      </c>
      <c r="B321" s="935">
        <v>619</v>
      </c>
      <c r="C321" s="36" t="s">
        <v>289</v>
      </c>
      <c r="D321" s="1132">
        <v>141699</v>
      </c>
      <c r="E321" s="1132">
        <v>40256</v>
      </c>
      <c r="F321" s="809">
        <f t="shared" si="30"/>
        <v>6.6049730166503302</v>
      </c>
      <c r="G321" s="809">
        <f t="shared" si="31"/>
        <v>1</v>
      </c>
      <c r="H321" s="809">
        <f t="shared" si="32"/>
        <v>2.5252766180478901</v>
      </c>
      <c r="I321" s="903">
        <f t="shared" si="35"/>
        <v>54175.720415318028</v>
      </c>
      <c r="J321" s="799">
        <f t="shared" si="36"/>
        <v>15391.059930126836</v>
      </c>
      <c r="L321" s="1451">
        <v>2523810</v>
      </c>
      <c r="M321" s="1132">
        <v>2379250</v>
      </c>
      <c r="N321" s="1436" t="s">
        <v>415</v>
      </c>
      <c r="O321" s="1198" t="str">
        <f>IFERROR(VLOOKUP(P321,constant_ag_extr!$D$7:$E$594,2,FALSE),"")</f>
        <v>Fruit Fresh Nes</v>
      </c>
      <c r="P321" s="1199">
        <f t="shared" si="33"/>
        <v>619</v>
      </c>
      <c r="Q321" s="1247">
        <f t="shared" si="34"/>
        <v>1</v>
      </c>
    </row>
    <row r="322" spans="1:17" ht="12.75" customHeight="1">
      <c r="A322" s="143" t="s">
        <v>7271</v>
      </c>
      <c r="B322" s="935">
        <v>620</v>
      </c>
      <c r="C322" s="36" t="s">
        <v>287</v>
      </c>
      <c r="D322" s="1132">
        <v>20834</v>
      </c>
      <c r="E322" s="1132">
        <v>32111</v>
      </c>
      <c r="F322" s="809">
        <f t="shared" si="30"/>
        <v>1.6512432541625826</v>
      </c>
      <c r="G322" s="809">
        <f t="shared" si="31"/>
        <v>1</v>
      </c>
      <c r="H322" s="809">
        <f t="shared" si="32"/>
        <v>2.5252766180478901</v>
      </c>
      <c r="I322" s="903">
        <f t="shared" si="35"/>
        <v>31861.818619262966</v>
      </c>
      <c r="J322" s="799">
        <f t="shared" si="36"/>
        <v>49107.941714656481</v>
      </c>
      <c r="L322" s="1451">
        <v>493622</v>
      </c>
      <c r="M322" s="1132">
        <v>558447</v>
      </c>
      <c r="N322" s="1436" t="s">
        <v>2921</v>
      </c>
      <c r="O322" s="1198" t="str">
        <f>IFERROR(VLOOKUP(P322,constant_ag_extr!$D$7:$E$594,2,FALSE),"")</f>
        <v>Fruit Fresh Nes</v>
      </c>
      <c r="P322" s="1199">
        <f t="shared" si="33"/>
        <v>619</v>
      </c>
      <c r="Q322" s="1247">
        <f t="shared" si="34"/>
        <v>0.25</v>
      </c>
    </row>
    <row r="323" spans="1:17" ht="12.75" customHeight="1">
      <c r="A323" s="143" t="s">
        <v>7280</v>
      </c>
      <c r="B323" s="935">
        <v>622</v>
      </c>
      <c r="C323" s="36" t="s">
        <v>3399</v>
      </c>
      <c r="D323" s="1132">
        <v>368894</v>
      </c>
      <c r="E323" s="1132">
        <v>265771</v>
      </c>
      <c r="F323" s="809">
        <f t="shared" si="30"/>
        <v>3.3024865083251651</v>
      </c>
      <c r="G323" s="809">
        <f t="shared" si="31"/>
        <v>1</v>
      </c>
      <c r="H323" s="809">
        <f t="shared" si="32"/>
        <v>2.5252766180478901</v>
      </c>
      <c r="I323" s="903">
        <f t="shared" si="35"/>
        <v>282078.18272377824</v>
      </c>
      <c r="J323" s="799">
        <f t="shared" si="36"/>
        <v>203224.2343347446</v>
      </c>
      <c r="L323" s="1451">
        <v>3205410</v>
      </c>
      <c r="M323" s="1132">
        <v>3304260</v>
      </c>
      <c r="N323" s="1436" t="s">
        <v>2921</v>
      </c>
      <c r="O323" s="1198" t="str">
        <f>IFERROR(VLOOKUP(P323,constant_ag_extr!$D$7:$E$594,2,FALSE),"")</f>
        <v>Fruit Fresh Nes</v>
      </c>
      <c r="P323" s="1199">
        <f t="shared" si="33"/>
        <v>619</v>
      </c>
      <c r="Q323" s="1247">
        <f t="shared" si="34"/>
        <v>0.5</v>
      </c>
    </row>
    <row r="324" spans="1:17" ht="12.75" customHeight="1">
      <c r="A324" s="143" t="s">
        <v>7273</v>
      </c>
      <c r="B324" s="935">
        <v>623</v>
      </c>
      <c r="C324" s="36" t="e">
        <v>#N/A</v>
      </c>
      <c r="D324" s="1132">
        <v>1412640</v>
      </c>
      <c r="E324" s="1132">
        <v>456807</v>
      </c>
      <c r="F324" s="809">
        <f t="shared" si="30"/>
        <v>1.6512432541625826</v>
      </c>
      <c r="G324" s="809">
        <f t="shared" si="31"/>
        <v>1</v>
      </c>
      <c r="H324" s="809">
        <f t="shared" si="32"/>
        <v>2.5252766180478901</v>
      </c>
      <c r="I324" s="903">
        <f t="shared" si="35"/>
        <v>2160376.2817661338</v>
      </c>
      <c r="J324" s="799">
        <f t="shared" si="36"/>
        <v>698603.33003790234</v>
      </c>
      <c r="L324" s="1451">
        <v>7447610</v>
      </c>
      <c r="M324" s="1132">
        <v>7464420</v>
      </c>
      <c r="N324" s="1436" t="s">
        <v>2921</v>
      </c>
      <c r="O324" s="1198" t="str">
        <f>IFERROR(VLOOKUP(P324,constant_ag_extr!$D$7:$E$594,2,FALSE),"")</f>
        <v>Fruit Fresh Nes</v>
      </c>
      <c r="P324" s="1199">
        <f t="shared" si="33"/>
        <v>619</v>
      </c>
      <c r="Q324" s="1247">
        <f t="shared" si="34"/>
        <v>0.25</v>
      </c>
    </row>
    <row r="325" spans="1:17" ht="12.75" customHeight="1">
      <c r="A325" s="143" t="s">
        <v>2272</v>
      </c>
      <c r="B325" s="935">
        <v>624</v>
      </c>
      <c r="C325" s="36" t="s">
        <v>2273</v>
      </c>
      <c r="D325" s="1132"/>
      <c r="E325" s="1132"/>
      <c r="F325" s="809">
        <f t="shared" si="30"/>
        <v>3.3024865083251651</v>
      </c>
      <c r="G325" s="809">
        <f t="shared" si="31"/>
        <v>1</v>
      </c>
      <c r="H325" s="809">
        <f t="shared" si="32"/>
        <v>2.5252766180478901</v>
      </c>
      <c r="I325" s="903">
        <f t="shared" si="35"/>
        <v>0</v>
      </c>
      <c r="J325" s="799">
        <f t="shared" si="36"/>
        <v>0</v>
      </c>
      <c r="L325" s="1451"/>
      <c r="M325" s="1132"/>
      <c r="N325" s="1436" t="s">
        <v>2921</v>
      </c>
      <c r="O325" s="1198" t="str">
        <f>IFERROR(VLOOKUP(P325,constant_ag_extr!$D$7:$E$594,2,FALSE),"")</f>
        <v>Fruit Fresh Nes</v>
      </c>
      <c r="P325" s="1199">
        <f t="shared" si="33"/>
        <v>619</v>
      </c>
      <c r="Q325" s="1247">
        <f t="shared" si="34"/>
        <v>0.5</v>
      </c>
    </row>
    <row r="326" spans="1:17" ht="12.75" customHeight="1">
      <c r="A326" s="143" t="s">
        <v>2496</v>
      </c>
      <c r="B326" s="935">
        <v>625</v>
      </c>
      <c r="C326" s="36" t="s">
        <v>91</v>
      </c>
      <c r="D326" s="1132"/>
      <c r="E326" s="1132"/>
      <c r="F326" s="809">
        <f t="shared" si="30"/>
        <v>0.66049730166503307</v>
      </c>
      <c r="G326" s="809">
        <f t="shared" si="31"/>
        <v>1</v>
      </c>
      <c r="H326" s="809">
        <f t="shared" si="32"/>
        <v>2.5252766180478901</v>
      </c>
      <c r="I326" s="903">
        <f t="shared" si="35"/>
        <v>0</v>
      </c>
      <c r="J326" s="799">
        <f t="shared" si="36"/>
        <v>0</v>
      </c>
      <c r="L326" s="1451"/>
      <c r="M326" s="1132"/>
      <c r="N326" s="1436" t="s">
        <v>2921</v>
      </c>
      <c r="O326" s="1198" t="str">
        <f>IFERROR(VLOOKUP(P326,constant_ag_extr!$D$7:$E$594,2,FALSE),"")</f>
        <v>Fruit Fresh Nes</v>
      </c>
      <c r="P326" s="1199">
        <f t="shared" si="33"/>
        <v>619</v>
      </c>
      <c r="Q326" s="1247">
        <f t="shared" si="34"/>
        <v>0.1</v>
      </c>
    </row>
    <row r="327" spans="1:17" ht="12.75" customHeight="1">
      <c r="A327" s="143" t="s">
        <v>7270</v>
      </c>
      <c r="B327" s="935">
        <v>626</v>
      </c>
      <c r="C327" s="36" t="s">
        <v>3976</v>
      </c>
      <c r="D327" s="1132">
        <v>2180</v>
      </c>
      <c r="E327" s="1132">
        <v>6563</v>
      </c>
      <c r="F327" s="809">
        <f t="shared" ref="F327:F390" si="37">IFERROR(VLOOKUP(P327,crop_efp,4,FALSE)*Q327,0)</f>
        <v>3.3024865083251651</v>
      </c>
      <c r="G327" s="809">
        <f t="shared" ref="G327:G390" si="38">VLOOKUP("Crop Land",iyf,2,FALSE)</f>
        <v>1</v>
      </c>
      <c r="H327" s="809">
        <f t="shared" ref="H327:H390" si="39">VLOOKUP("Crop Land",eqf,2,FALSE)</f>
        <v>2.5252766180478901</v>
      </c>
      <c r="I327" s="903">
        <f t="shared" si="35"/>
        <v>1666.9570075355973</v>
      </c>
      <c r="J327" s="799">
        <f t="shared" si="36"/>
        <v>5018.4581836954703</v>
      </c>
      <c r="L327" s="1451">
        <v>134317</v>
      </c>
      <c r="M327" s="1132">
        <v>166896</v>
      </c>
      <c r="N327" s="1436" t="s">
        <v>2921</v>
      </c>
      <c r="O327" s="1198" t="str">
        <f>IFERROR(VLOOKUP(P327,constant_ag_extr!$D$7:$E$594,2,FALSE),"")</f>
        <v>Fruit Fresh Nes</v>
      </c>
      <c r="P327" s="1199">
        <f t="shared" ref="P327:P390" si="40">IFERROR(VLOOKUP(B327,constant_ag_extr,3,FALSE),"")</f>
        <v>619</v>
      </c>
      <c r="Q327" s="1247">
        <f t="shared" ref="Q327:Q390" si="41">IFERROR(VLOOKUP(B327,constant_ag_extr,14,FALSE),"")</f>
        <v>0.5</v>
      </c>
    </row>
    <row r="328" spans="1:17" ht="12.75" customHeight="1">
      <c r="A328" s="143" t="s">
        <v>7257</v>
      </c>
      <c r="B328" s="935">
        <v>628</v>
      </c>
      <c r="C328" s="36" t="s">
        <v>3033</v>
      </c>
      <c r="D328" s="1132">
        <v>16706</v>
      </c>
      <c r="E328" s="1132">
        <v>183505</v>
      </c>
      <c r="F328" s="809">
        <f t="shared" si="37"/>
        <v>5.2839784133202645</v>
      </c>
      <c r="G328" s="809">
        <f t="shared" si="38"/>
        <v>1</v>
      </c>
      <c r="H328" s="809">
        <f t="shared" si="39"/>
        <v>2.5252766180478901</v>
      </c>
      <c r="I328" s="903">
        <f t="shared" si="35"/>
        <v>7983.9976398766303</v>
      </c>
      <c r="J328" s="799">
        <f t="shared" si="36"/>
        <v>87699.239010269433</v>
      </c>
      <c r="L328" s="1451">
        <v>609015</v>
      </c>
      <c r="M328" s="1132">
        <v>568784</v>
      </c>
      <c r="N328" s="1436" t="s">
        <v>2921</v>
      </c>
      <c r="O328" s="1198" t="str">
        <f>IFERROR(VLOOKUP(P328,constant_ag_extr!$D$7:$E$594,2,FALSE),"")</f>
        <v>Fruit Fresh Nes</v>
      </c>
      <c r="P328" s="1199">
        <f t="shared" si="40"/>
        <v>619</v>
      </c>
      <c r="Q328" s="1247">
        <f t="shared" si="41"/>
        <v>0.8</v>
      </c>
    </row>
    <row r="329" spans="1:17" ht="12.75" customHeight="1">
      <c r="A329" s="143" t="s">
        <v>7210</v>
      </c>
      <c r="B329" s="935">
        <v>629</v>
      </c>
      <c r="C329" s="36"/>
      <c r="D329" s="1132"/>
      <c r="E329" s="1132"/>
      <c r="F329" s="809">
        <f t="shared" si="37"/>
        <v>0</v>
      </c>
      <c r="G329" s="809">
        <f t="shared" si="38"/>
        <v>1</v>
      </c>
      <c r="H329" s="809">
        <f t="shared" si="39"/>
        <v>2.5252766180478901</v>
      </c>
      <c r="I329" s="903">
        <f t="shared" si="35"/>
        <v>0</v>
      </c>
      <c r="J329" s="799">
        <f t="shared" si="36"/>
        <v>0</v>
      </c>
      <c r="L329" s="1451"/>
      <c r="M329" s="1132"/>
      <c r="N329" s="1436"/>
      <c r="O329" s="1198">
        <f>IFERROR(VLOOKUP(P329,constant_ag_extr!$D$7:$E$594,2,FALSE),"")</f>
        <v>0</v>
      </c>
      <c r="P329" s="1199" t="str">
        <f t="shared" si="40"/>
        <v/>
      </c>
      <c r="Q329" s="1247" t="str">
        <f t="shared" si="41"/>
        <v/>
      </c>
    </row>
    <row r="330" spans="1:17" ht="12.75" customHeight="1">
      <c r="A330" s="143" t="s">
        <v>5478</v>
      </c>
      <c r="B330" s="935">
        <v>630</v>
      </c>
      <c r="C330" s="36" t="s">
        <v>5479</v>
      </c>
      <c r="D330" s="1132"/>
      <c r="E330" s="1132"/>
      <c r="F330" s="809">
        <f t="shared" si="37"/>
        <v>35.068520148755283</v>
      </c>
      <c r="G330" s="809">
        <f t="shared" si="38"/>
        <v>1</v>
      </c>
      <c r="H330" s="809">
        <f t="shared" si="39"/>
        <v>2.5252766180478901</v>
      </c>
      <c r="I330" s="903">
        <f t="shared" si="35"/>
        <v>0</v>
      </c>
      <c r="J330" s="799">
        <f t="shared" si="36"/>
        <v>0</v>
      </c>
      <c r="L330" s="1451">
        <v>0</v>
      </c>
      <c r="M330" s="1132">
        <v>0</v>
      </c>
      <c r="N330" s="1436" t="s">
        <v>2921</v>
      </c>
      <c r="O330" s="1198" t="str">
        <f>IFERROR(VLOOKUP(P330,constant_ag_extr!$D$7:$E$594,2,FALSE),"")</f>
        <v>Sugar cane</v>
      </c>
      <c r="P330" s="1199">
        <f t="shared" si="40"/>
        <v>156</v>
      </c>
      <c r="Q330" s="1247">
        <f t="shared" si="41"/>
        <v>0.5</v>
      </c>
    </row>
    <row r="331" spans="1:17" s="889" customFormat="1" ht="12.75" customHeight="1">
      <c r="A331" s="143" t="s">
        <v>267</v>
      </c>
      <c r="B331" s="935">
        <v>631</v>
      </c>
      <c r="C331" s="36" t="s">
        <v>268</v>
      </c>
      <c r="D331" s="1132">
        <v>680298</v>
      </c>
      <c r="E331" s="1132">
        <v>218293</v>
      </c>
      <c r="F331" s="809">
        <f t="shared" si="37"/>
        <v>0</v>
      </c>
      <c r="G331" s="809">
        <f t="shared" si="38"/>
        <v>1</v>
      </c>
      <c r="H331" s="809">
        <f t="shared" si="39"/>
        <v>2.5252766180478901</v>
      </c>
      <c r="I331" s="903">
        <f t="shared" si="35"/>
        <v>0</v>
      </c>
      <c r="J331" s="799">
        <f t="shared" si="36"/>
        <v>0</v>
      </c>
      <c r="L331" s="1451">
        <v>21909000</v>
      </c>
      <c r="M331" s="1132">
        <v>20093100</v>
      </c>
      <c r="N331" s="1436" t="s">
        <v>415</v>
      </c>
      <c r="O331" s="1198">
        <f>IFERROR(VLOOKUP(P331,constant_ag_extr!$D$7:$E$594,2,FALSE),"")</f>
        <v>0</v>
      </c>
      <c r="P331" s="1199" t="str">
        <f t="shared" si="40"/>
        <v/>
      </c>
      <c r="Q331" s="1247">
        <f t="shared" si="41"/>
        <v>1</v>
      </c>
    </row>
    <row r="332" spans="1:17" ht="12.75" customHeight="1">
      <c r="A332" s="143" t="s">
        <v>2683</v>
      </c>
      <c r="B332" s="935">
        <v>633</v>
      </c>
      <c r="C332" s="36" t="s">
        <v>2684</v>
      </c>
      <c r="D332" s="1132">
        <v>1571360</v>
      </c>
      <c r="E332" s="1132">
        <v>1034870</v>
      </c>
      <c r="F332" s="809">
        <f t="shared" si="37"/>
        <v>0</v>
      </c>
      <c r="G332" s="809">
        <f t="shared" si="38"/>
        <v>1</v>
      </c>
      <c r="H332" s="809">
        <f t="shared" si="39"/>
        <v>2.5252766180478901</v>
      </c>
      <c r="I332" s="903">
        <f t="shared" si="35"/>
        <v>0</v>
      </c>
      <c r="J332" s="799">
        <f t="shared" si="36"/>
        <v>0</v>
      </c>
      <c r="L332" s="1451">
        <v>17257900</v>
      </c>
      <c r="M332" s="1132">
        <v>18106000</v>
      </c>
      <c r="N332" s="1436" t="s">
        <v>415</v>
      </c>
      <c r="O332" s="1198">
        <f>IFERROR(VLOOKUP(P332,constant_ag_extr!$D$7:$E$594,2,FALSE),"")</f>
        <v>0</v>
      </c>
      <c r="P332" s="1199" t="str">
        <f t="shared" si="40"/>
        <v/>
      </c>
      <c r="Q332" s="1247">
        <f t="shared" si="41"/>
        <v>1</v>
      </c>
    </row>
    <row r="333" spans="1:17" ht="12.75" customHeight="1">
      <c r="A333" s="143" t="s">
        <v>7239</v>
      </c>
      <c r="B333" s="935">
        <v>634</v>
      </c>
      <c r="C333" s="36" t="s">
        <v>2682</v>
      </c>
      <c r="D333" s="1132">
        <v>695922</v>
      </c>
      <c r="E333" s="1132">
        <v>361997</v>
      </c>
      <c r="F333" s="809">
        <f t="shared" si="37"/>
        <v>0</v>
      </c>
      <c r="G333" s="809">
        <f t="shared" si="38"/>
        <v>1</v>
      </c>
      <c r="H333" s="809">
        <f t="shared" si="39"/>
        <v>2.5252766180478901</v>
      </c>
      <c r="I333" s="903">
        <f t="shared" si="35"/>
        <v>0</v>
      </c>
      <c r="J333" s="799">
        <f t="shared" si="36"/>
        <v>0</v>
      </c>
      <c r="L333" s="1451">
        <v>4474430</v>
      </c>
      <c r="M333" s="1132">
        <v>4786980</v>
      </c>
      <c r="N333" s="1436" t="s">
        <v>415</v>
      </c>
      <c r="O333" s="1198" t="str">
        <f>IFERROR(VLOOKUP(P333,constant_ag_extr!$D$7:$E$594,2,FALSE),"")</f>
        <v>Beverages, distilled alcoholic</v>
      </c>
      <c r="P333" s="1199">
        <f t="shared" si="40"/>
        <v>634</v>
      </c>
      <c r="Q333" s="1247">
        <f t="shared" si="41"/>
        <v>1</v>
      </c>
    </row>
    <row r="334" spans="1:17" ht="12.75" customHeight="1">
      <c r="A334" s="143" t="s">
        <v>4591</v>
      </c>
      <c r="B334" s="935">
        <v>635</v>
      </c>
      <c r="C334" s="36" t="s">
        <v>4592</v>
      </c>
      <c r="D334" s="1132">
        <v>30886</v>
      </c>
      <c r="E334" s="1132">
        <v>151550</v>
      </c>
      <c r="F334" s="809">
        <f t="shared" si="37"/>
        <v>0</v>
      </c>
      <c r="G334" s="809">
        <f t="shared" si="38"/>
        <v>1</v>
      </c>
      <c r="H334" s="809">
        <f t="shared" si="39"/>
        <v>2.5252766180478901</v>
      </c>
      <c r="I334" s="903">
        <f t="shared" si="35"/>
        <v>0</v>
      </c>
      <c r="J334" s="799">
        <f t="shared" si="36"/>
        <v>0</v>
      </c>
      <c r="L334" s="1451">
        <v>1930530</v>
      </c>
      <c r="M334" s="1132">
        <v>1609190</v>
      </c>
      <c r="N334" s="1436" t="s">
        <v>415</v>
      </c>
      <c r="O334" s="1198">
        <f>IFERROR(VLOOKUP(P334,constant_ag_extr!$D$7:$E$594,2,FALSE),"")</f>
        <v>0</v>
      </c>
      <c r="P334" s="1199" t="str">
        <f t="shared" si="40"/>
        <v/>
      </c>
      <c r="Q334" s="1247">
        <f t="shared" si="41"/>
        <v>1</v>
      </c>
    </row>
    <row r="335" spans="1:17" ht="12.75" customHeight="1">
      <c r="A335" s="143" t="s">
        <v>1191</v>
      </c>
      <c r="B335" s="935">
        <v>636</v>
      </c>
      <c r="C335" s="36" t="s">
        <v>1192</v>
      </c>
      <c r="D335" s="1132"/>
      <c r="E335" s="1132"/>
      <c r="F335" s="809">
        <f t="shared" si="37"/>
        <v>38.610704090611534</v>
      </c>
      <c r="G335" s="809">
        <f t="shared" si="38"/>
        <v>1</v>
      </c>
      <c r="H335" s="809">
        <f t="shared" si="39"/>
        <v>2.5252766180478901</v>
      </c>
      <c r="I335" s="903">
        <f t="shared" si="35"/>
        <v>0</v>
      </c>
      <c r="J335" s="799">
        <f t="shared" si="36"/>
        <v>0</v>
      </c>
      <c r="L335" s="1451"/>
      <c r="M335" s="1132"/>
      <c r="N335" s="1436" t="s">
        <v>415</v>
      </c>
      <c r="O335" s="1198" t="str">
        <f>IFERROR(VLOOKUP(P335,constant_ag_extr!$D$7:$E$594,2,FALSE),"")</f>
        <v>Maize for forage and silage</v>
      </c>
      <c r="P335" s="1199">
        <f t="shared" si="40"/>
        <v>636</v>
      </c>
      <c r="Q335" s="1247">
        <f t="shared" si="41"/>
        <v>1</v>
      </c>
    </row>
    <row r="336" spans="1:17" ht="12.75" customHeight="1">
      <c r="A336" s="143" t="s">
        <v>7087</v>
      </c>
      <c r="B336" s="935">
        <v>639</v>
      </c>
      <c r="C336" s="36" t="s">
        <v>413</v>
      </c>
      <c r="D336" s="1132"/>
      <c r="E336" s="1132"/>
      <c r="F336" s="809">
        <f t="shared" si="37"/>
        <v>14.07022622118332</v>
      </c>
      <c r="G336" s="809">
        <f t="shared" si="38"/>
        <v>1</v>
      </c>
      <c r="H336" s="809">
        <f t="shared" si="39"/>
        <v>2.5252766180478901</v>
      </c>
      <c r="I336" s="903">
        <f t="shared" si="35"/>
        <v>0</v>
      </c>
      <c r="J336" s="799">
        <f t="shared" si="36"/>
        <v>0</v>
      </c>
      <c r="L336" s="1451">
        <v>0</v>
      </c>
      <c r="M336" s="1132">
        <v>0</v>
      </c>
      <c r="N336" s="1436" t="s">
        <v>415</v>
      </c>
      <c r="O336" s="1198" t="str">
        <f>IFERROR(VLOOKUP(P336,constant_ag_extr!$D$7:$E$594,2,FALSE),"")</f>
        <v>Forage and silage, grasses nes</v>
      </c>
      <c r="P336" s="1199">
        <f t="shared" si="40"/>
        <v>639</v>
      </c>
      <c r="Q336" s="1247">
        <f t="shared" si="41"/>
        <v>1</v>
      </c>
    </row>
    <row r="337" spans="1:17" ht="12.75" customHeight="1">
      <c r="A337" s="143" t="s">
        <v>7268</v>
      </c>
      <c r="B337" s="935">
        <v>640</v>
      </c>
      <c r="C337" s="36" t="s">
        <v>2638</v>
      </c>
      <c r="D337" s="1132"/>
      <c r="E337" s="1132"/>
      <c r="F337" s="809">
        <f t="shared" si="37"/>
        <v>33.224614611079616</v>
      </c>
      <c r="G337" s="809">
        <f t="shared" si="38"/>
        <v>1</v>
      </c>
      <c r="H337" s="809">
        <f t="shared" si="39"/>
        <v>2.5252766180478901</v>
      </c>
      <c r="I337" s="903">
        <f t="shared" si="35"/>
        <v>0</v>
      </c>
      <c r="J337" s="799">
        <f t="shared" si="36"/>
        <v>0</v>
      </c>
      <c r="L337" s="1451">
        <v>0</v>
      </c>
      <c r="M337" s="1132">
        <v>0</v>
      </c>
      <c r="N337" s="1436" t="s">
        <v>415</v>
      </c>
      <c r="O337" s="1198" t="str">
        <f>IFERROR(VLOOKUP(P337,constant_ag_extr!$D$7:$E$594,2,FALSE),"")</f>
        <v>Clover for forage and silage</v>
      </c>
      <c r="P337" s="1199">
        <f t="shared" si="40"/>
        <v>640</v>
      </c>
      <c r="Q337" s="1247">
        <f t="shared" si="41"/>
        <v>1</v>
      </c>
    </row>
    <row r="338" spans="1:17" ht="12.75" customHeight="1">
      <c r="A338" s="143" t="s">
        <v>2427</v>
      </c>
      <c r="B338" s="935">
        <v>641</v>
      </c>
      <c r="C338" s="36" t="s">
        <v>2772</v>
      </c>
      <c r="D338" s="1132"/>
      <c r="E338" s="1132"/>
      <c r="F338" s="809">
        <f t="shared" si="37"/>
        <v>21.91931311479096</v>
      </c>
      <c r="G338" s="809">
        <f t="shared" si="38"/>
        <v>1</v>
      </c>
      <c r="H338" s="809">
        <f t="shared" si="39"/>
        <v>2.5252766180478901</v>
      </c>
      <c r="I338" s="903">
        <f t="shared" si="35"/>
        <v>0</v>
      </c>
      <c r="J338" s="799">
        <f t="shared" si="36"/>
        <v>0</v>
      </c>
      <c r="L338" s="1451"/>
      <c r="M338" s="1132"/>
      <c r="N338" s="1436" t="s">
        <v>415</v>
      </c>
      <c r="O338" s="1198" t="str">
        <f>IFERROR(VLOOKUP(P338,constant_ag_extr!$D$7:$E$594,2,FALSE),"")</f>
        <v>Alfalfa for forage and silage</v>
      </c>
      <c r="P338" s="1199">
        <f t="shared" si="40"/>
        <v>641</v>
      </c>
      <c r="Q338" s="1247">
        <f t="shared" si="41"/>
        <v>1</v>
      </c>
    </row>
    <row r="339" spans="1:17" ht="12.75" customHeight="1">
      <c r="A339" s="143" t="s">
        <v>7088</v>
      </c>
      <c r="B339" s="935">
        <v>643</v>
      </c>
      <c r="C339" s="36" t="s">
        <v>3876</v>
      </c>
      <c r="D339" s="1132"/>
      <c r="E339" s="1132"/>
      <c r="F339" s="809">
        <f t="shared" si="37"/>
        <v>19.63611322232855</v>
      </c>
      <c r="G339" s="809">
        <f t="shared" si="38"/>
        <v>1</v>
      </c>
      <c r="H339" s="809">
        <f t="shared" si="39"/>
        <v>2.5252766180478901</v>
      </c>
      <c r="I339" s="903">
        <f t="shared" si="35"/>
        <v>0</v>
      </c>
      <c r="J339" s="799">
        <f t="shared" si="36"/>
        <v>0</v>
      </c>
      <c r="L339" s="1451">
        <v>0</v>
      </c>
      <c r="M339" s="1132">
        <v>0</v>
      </c>
      <c r="N339" s="1436" t="s">
        <v>2921</v>
      </c>
      <c r="O339" s="1198" t="str">
        <f>IFERROR(VLOOKUP(P339,constant_ag_extr!$D$7:$E$594,2,FALSE),"")</f>
        <v>Forage and silage, legumes</v>
      </c>
      <c r="P339" s="1199">
        <f t="shared" si="40"/>
        <v>643</v>
      </c>
      <c r="Q339" s="1247">
        <f t="shared" si="41"/>
        <v>1</v>
      </c>
    </row>
    <row r="340" spans="1:17" ht="12.75" customHeight="1">
      <c r="A340" s="664" t="s">
        <v>7789</v>
      </c>
      <c r="B340" s="935">
        <v>645</v>
      </c>
      <c r="C340" s="36"/>
      <c r="D340" s="1132"/>
      <c r="E340" s="1132"/>
      <c r="F340" s="809">
        <f t="shared" si="37"/>
        <v>13.289187240645054</v>
      </c>
      <c r="G340" s="809">
        <f t="shared" si="38"/>
        <v>1</v>
      </c>
      <c r="H340" s="809">
        <f t="shared" si="39"/>
        <v>2.5252766180478901</v>
      </c>
      <c r="I340" s="903">
        <f t="shared" si="35"/>
        <v>0</v>
      </c>
      <c r="J340" s="799">
        <f t="shared" si="36"/>
        <v>0</v>
      </c>
      <c r="L340" s="1451"/>
      <c r="M340" s="1132"/>
      <c r="N340" s="1436"/>
      <c r="O340" s="1198" t="str">
        <f>IFERROR(VLOOKUP(P340,constant_ag_extr!$D$7:$E$594,2,FALSE),"")</f>
        <v>Mixed grasses and legumes</v>
      </c>
      <c r="P340" s="1199">
        <f t="shared" si="40"/>
        <v>645</v>
      </c>
      <c r="Q340" s="1247">
        <f t="shared" si="41"/>
        <v>1</v>
      </c>
    </row>
    <row r="341" spans="1:17" ht="12.75" customHeight="1">
      <c r="A341" s="143" t="s">
        <v>2463</v>
      </c>
      <c r="B341" s="935">
        <v>646</v>
      </c>
      <c r="C341" s="36" t="s">
        <v>2464</v>
      </c>
      <c r="D341" s="1132"/>
      <c r="E341" s="1132"/>
      <c r="F341" s="809">
        <f t="shared" si="37"/>
        <v>23.721932538204896</v>
      </c>
      <c r="G341" s="809">
        <f t="shared" si="38"/>
        <v>1</v>
      </c>
      <c r="H341" s="809">
        <f t="shared" si="39"/>
        <v>2.5252766180478901</v>
      </c>
      <c r="I341" s="903">
        <f t="shared" si="35"/>
        <v>0</v>
      </c>
      <c r="J341" s="799">
        <f t="shared" si="36"/>
        <v>0</v>
      </c>
      <c r="L341" s="1451">
        <v>0</v>
      </c>
      <c r="M341" s="1132">
        <v>0</v>
      </c>
      <c r="N341" s="1436" t="s">
        <v>415</v>
      </c>
      <c r="O341" s="1198" t="str">
        <f>IFERROR(VLOOKUP(P341,constant_ag_extr!$D$7:$E$594,2,FALSE),"")</f>
        <v>Turnips for Fodder</v>
      </c>
      <c r="P341" s="1199">
        <f t="shared" si="40"/>
        <v>646</v>
      </c>
      <c r="Q341" s="1247">
        <f t="shared" si="41"/>
        <v>1</v>
      </c>
    </row>
    <row r="342" spans="1:17" ht="12.75" customHeight="1">
      <c r="A342" s="143" t="s">
        <v>3638</v>
      </c>
      <c r="B342" s="935">
        <v>647</v>
      </c>
      <c r="C342" s="36" t="s">
        <v>3639</v>
      </c>
      <c r="D342" s="1132"/>
      <c r="E342" s="1132"/>
      <c r="F342" s="809">
        <f t="shared" si="37"/>
        <v>56.74773981415585</v>
      </c>
      <c r="G342" s="809">
        <f t="shared" si="38"/>
        <v>1</v>
      </c>
      <c r="H342" s="809">
        <f t="shared" si="39"/>
        <v>2.5252766180478901</v>
      </c>
      <c r="I342" s="903">
        <f t="shared" si="35"/>
        <v>0</v>
      </c>
      <c r="J342" s="799">
        <f t="shared" si="36"/>
        <v>0</v>
      </c>
      <c r="L342" s="1451"/>
      <c r="M342" s="1132"/>
      <c r="N342" s="1436" t="s">
        <v>415</v>
      </c>
      <c r="O342" s="1198" t="str">
        <f>IFERROR(VLOOKUP(P342,constant_ag_extr!$D$7:$E$594,2,FALSE),"")</f>
        <v>Beets for Fodder</v>
      </c>
      <c r="P342" s="1199">
        <f t="shared" si="40"/>
        <v>647</v>
      </c>
      <c r="Q342" s="1247">
        <f t="shared" si="41"/>
        <v>1</v>
      </c>
    </row>
    <row r="343" spans="1:17" ht="12.75" customHeight="1">
      <c r="A343" s="143" t="s">
        <v>3691</v>
      </c>
      <c r="B343" s="935">
        <v>649</v>
      </c>
      <c r="C343" s="36" t="s">
        <v>3692</v>
      </c>
      <c r="D343" s="1132"/>
      <c r="E343" s="1132"/>
      <c r="F343" s="809">
        <f t="shared" si="37"/>
        <v>37.423850538139796</v>
      </c>
      <c r="G343" s="809">
        <f t="shared" si="38"/>
        <v>1</v>
      </c>
      <c r="H343" s="809">
        <f t="shared" si="39"/>
        <v>2.5252766180478901</v>
      </c>
      <c r="I343" s="903">
        <f t="shared" ref="I343:I406" si="42">IFERROR((D343/F343)*H343*G343,0)</f>
        <v>0</v>
      </c>
      <c r="J343" s="799">
        <f t="shared" ref="J343:J406" si="43">IFERROR((E343/F343)*H343*G343,0)</f>
        <v>0</v>
      </c>
      <c r="L343" s="1451"/>
      <c r="M343" s="1132"/>
      <c r="N343" s="1436" t="s">
        <v>415</v>
      </c>
      <c r="O343" s="1198" t="str">
        <f>IFERROR(VLOOKUP(P343,constant_ag_extr!$D$7:$E$594,2,FALSE),"")</f>
        <v>Swedes for Fodder</v>
      </c>
      <c r="P343" s="1199">
        <f t="shared" si="40"/>
        <v>649</v>
      </c>
      <c r="Q343" s="1247">
        <f t="shared" si="41"/>
        <v>1</v>
      </c>
    </row>
    <row r="344" spans="1:17" ht="12.75" customHeight="1">
      <c r="A344" s="143" t="s">
        <v>7212</v>
      </c>
      <c r="B344" s="935">
        <v>650</v>
      </c>
      <c r="C344" s="36"/>
      <c r="D344" s="1132"/>
      <c r="E344" s="1132"/>
      <c r="F344" s="809">
        <f t="shared" si="37"/>
        <v>0</v>
      </c>
      <c r="G344" s="809">
        <f t="shared" si="38"/>
        <v>1</v>
      </c>
      <c r="H344" s="809">
        <f t="shared" si="39"/>
        <v>2.5252766180478901</v>
      </c>
      <c r="I344" s="37">
        <f t="shared" si="42"/>
        <v>0</v>
      </c>
      <c r="J344" s="799">
        <f t="shared" si="43"/>
        <v>0</v>
      </c>
      <c r="L344" s="1451"/>
      <c r="M344" s="1132"/>
      <c r="N344" s="1436"/>
      <c r="O344" s="1198">
        <f>IFERROR(VLOOKUP(P344,constant_ag_extr!$D$7:$E$594,2,FALSE),"")</f>
        <v>0</v>
      </c>
      <c r="P344" s="1199" t="str">
        <f t="shared" si="40"/>
        <v/>
      </c>
      <c r="Q344" s="1247" t="str">
        <f t="shared" si="41"/>
        <v/>
      </c>
    </row>
    <row r="345" spans="1:17" ht="12.75" customHeight="1">
      <c r="A345" s="143" t="s">
        <v>2040</v>
      </c>
      <c r="B345" s="935">
        <v>651</v>
      </c>
      <c r="C345" s="36" t="s">
        <v>826</v>
      </c>
      <c r="D345" s="1132">
        <v>226674</v>
      </c>
      <c r="E345" s="1132">
        <v>4279820</v>
      </c>
      <c r="F345" s="809">
        <f t="shared" si="37"/>
        <v>13.499056885970038</v>
      </c>
      <c r="G345" s="809">
        <f t="shared" si="38"/>
        <v>1</v>
      </c>
      <c r="H345" s="809">
        <f t="shared" si="39"/>
        <v>2.5252766180478901</v>
      </c>
      <c r="I345" s="903">
        <f t="shared" si="42"/>
        <v>42404.040293682629</v>
      </c>
      <c r="J345" s="799">
        <f t="shared" si="43"/>
        <v>800628.47847441165</v>
      </c>
      <c r="L345" s="1451">
        <v>6933150</v>
      </c>
      <c r="M345" s="1132">
        <v>5805300</v>
      </c>
      <c r="N345" s="1436" t="s">
        <v>415</v>
      </c>
      <c r="O345" s="1198" t="str">
        <f>IFERROR(VLOOKUP(P345,constant_ag_extr!$D$7:$E$594,2,FALSE),"")</f>
        <v>Forage Products</v>
      </c>
      <c r="P345" s="1199">
        <f t="shared" si="40"/>
        <v>651</v>
      </c>
      <c r="Q345" s="1247">
        <f t="shared" si="41"/>
        <v>1</v>
      </c>
    </row>
    <row r="346" spans="1:17" ht="12.75" customHeight="1">
      <c r="A346" s="143" t="s">
        <v>7213</v>
      </c>
      <c r="B346" s="935">
        <v>652</v>
      </c>
      <c r="C346" s="36" t="s">
        <v>4940</v>
      </c>
      <c r="D346" s="1132">
        <v>21676</v>
      </c>
      <c r="E346" s="1132">
        <v>197761</v>
      </c>
      <c r="F346" s="809">
        <f t="shared" si="37"/>
        <v>0</v>
      </c>
      <c r="G346" s="809">
        <f t="shared" si="38"/>
        <v>1</v>
      </c>
      <c r="H346" s="809">
        <f t="shared" si="39"/>
        <v>2.5252766180478901</v>
      </c>
      <c r="I346" s="903">
        <f t="shared" si="42"/>
        <v>0</v>
      </c>
      <c r="J346" s="799">
        <f t="shared" si="43"/>
        <v>0</v>
      </c>
      <c r="L346" s="1451">
        <v>3437370</v>
      </c>
      <c r="M346" s="1132">
        <v>3726090</v>
      </c>
      <c r="N346" s="1436" t="s">
        <v>2921</v>
      </c>
      <c r="O346" s="1198">
        <f>IFERROR(VLOOKUP(P346,constant_ag_extr!$D$7:$E$594,2,FALSE),"")</f>
        <v>0</v>
      </c>
      <c r="P346" s="1199" t="str">
        <f t="shared" si="40"/>
        <v/>
      </c>
      <c r="Q346" s="1247">
        <f t="shared" si="41"/>
        <v>1</v>
      </c>
    </row>
    <row r="347" spans="1:17" ht="12.75" customHeight="1">
      <c r="A347" s="143" t="s">
        <v>2178</v>
      </c>
      <c r="B347" s="935">
        <v>653</v>
      </c>
      <c r="C347" s="36" t="s">
        <v>4936</v>
      </c>
      <c r="D347" s="1132">
        <v>145</v>
      </c>
      <c r="E347" s="1132">
        <v>1565</v>
      </c>
      <c r="F347" s="809">
        <f t="shared" si="37"/>
        <v>0</v>
      </c>
      <c r="G347" s="809">
        <f t="shared" si="38"/>
        <v>1</v>
      </c>
      <c r="H347" s="809">
        <f t="shared" si="39"/>
        <v>2.5252766180478901</v>
      </c>
      <c r="I347" s="37">
        <f t="shared" si="42"/>
        <v>0</v>
      </c>
      <c r="J347" s="799">
        <f t="shared" si="43"/>
        <v>0</v>
      </c>
      <c r="L347" s="1451">
        <v>11915200</v>
      </c>
      <c r="M347" s="1132">
        <v>12660100</v>
      </c>
      <c r="N347" s="1436" t="s">
        <v>2921</v>
      </c>
      <c r="O347" s="1198">
        <f>IFERROR(VLOOKUP(P347,constant_ag_extr!$D$7:$E$594,2,FALSE),"")</f>
        <v>0</v>
      </c>
      <c r="P347" s="1199" t="str">
        <f t="shared" si="40"/>
        <v/>
      </c>
      <c r="Q347" s="1247">
        <f t="shared" si="41"/>
        <v>1</v>
      </c>
    </row>
    <row r="348" spans="1:17" ht="12.75" customHeight="1">
      <c r="A348" s="143" t="s">
        <v>7215</v>
      </c>
      <c r="B348" s="935">
        <v>654</v>
      </c>
      <c r="C348" s="36" t="s">
        <v>3195</v>
      </c>
      <c r="D348" s="1132">
        <v>435901</v>
      </c>
      <c r="E348" s="1132">
        <v>9712450</v>
      </c>
      <c r="F348" s="809">
        <f t="shared" si="37"/>
        <v>0</v>
      </c>
      <c r="G348" s="809">
        <f t="shared" si="38"/>
        <v>1</v>
      </c>
      <c r="H348" s="809">
        <f t="shared" si="39"/>
        <v>2.5252766180478901</v>
      </c>
      <c r="I348" s="903">
        <f t="shared" si="42"/>
        <v>0</v>
      </c>
      <c r="J348" s="799">
        <f t="shared" si="43"/>
        <v>0</v>
      </c>
      <c r="L348" s="1451">
        <v>10680900</v>
      </c>
      <c r="M348" s="1132">
        <v>11807500</v>
      </c>
      <c r="N348" s="1436" t="s">
        <v>2921</v>
      </c>
      <c r="O348" s="1198" t="str">
        <f>IFERROR(VLOOKUP(P348,constant_ag_extr!$D$7:$E$594,2,FALSE),"")</f>
        <v>Dregs from brewing, distillation</v>
      </c>
      <c r="P348" s="1199">
        <f t="shared" si="40"/>
        <v>654</v>
      </c>
      <c r="Q348" s="1247">
        <f t="shared" si="41"/>
        <v>1</v>
      </c>
    </row>
    <row r="349" spans="1:17" s="889" customFormat="1" ht="12.75" customHeight="1">
      <c r="A349" s="143" t="s">
        <v>4796</v>
      </c>
      <c r="B349" s="935">
        <v>655</v>
      </c>
      <c r="C349" s="36" t="s">
        <v>4194</v>
      </c>
      <c r="D349" s="1132"/>
      <c r="E349" s="1132"/>
      <c r="F349" s="809">
        <f t="shared" si="37"/>
        <v>22.03626023161608</v>
      </c>
      <c r="G349" s="809">
        <f t="shared" si="38"/>
        <v>1</v>
      </c>
      <c r="H349" s="809">
        <f t="shared" si="39"/>
        <v>2.5252766180478901</v>
      </c>
      <c r="I349" s="903">
        <f t="shared" si="42"/>
        <v>0</v>
      </c>
      <c r="J349" s="799">
        <f t="shared" si="43"/>
        <v>0</v>
      </c>
      <c r="L349" s="1451"/>
      <c r="M349" s="1132"/>
      <c r="N349" s="1436" t="s">
        <v>415</v>
      </c>
      <c r="O349" s="1198" t="str">
        <f>IFERROR(VLOOKUP(P349,constant_ag_extr!$D$7:$E$594,2,FALSE),"")</f>
        <v>Vegetables Roots Fodder</v>
      </c>
      <c r="P349" s="1199">
        <f t="shared" si="40"/>
        <v>655</v>
      </c>
      <c r="Q349" s="1247">
        <f t="shared" si="41"/>
        <v>1</v>
      </c>
    </row>
    <row r="350" spans="1:17" ht="12.75" customHeight="1">
      <c r="A350" s="143" t="s">
        <v>903</v>
      </c>
      <c r="B350" s="935">
        <v>656</v>
      </c>
      <c r="C350" s="36" t="s">
        <v>3650</v>
      </c>
      <c r="D350" s="1132">
        <v>1423820</v>
      </c>
      <c r="E350" s="1132">
        <v>37809</v>
      </c>
      <c r="F350" s="809">
        <f t="shared" si="37"/>
        <v>0.8725263389670167</v>
      </c>
      <c r="G350" s="809">
        <f t="shared" si="38"/>
        <v>1</v>
      </c>
      <c r="H350" s="809">
        <f t="shared" si="39"/>
        <v>2.5252766180478901</v>
      </c>
      <c r="I350" s="903">
        <f t="shared" si="42"/>
        <v>4120837.6111209472</v>
      </c>
      <c r="J350" s="799">
        <f t="shared" si="43"/>
        <v>109427.27959915713</v>
      </c>
      <c r="L350" s="1451">
        <v>6671480</v>
      </c>
      <c r="M350" s="1132">
        <v>6965990</v>
      </c>
      <c r="N350" s="1436" t="s">
        <v>415</v>
      </c>
      <c r="O350" s="1198" t="str">
        <f>IFERROR(VLOOKUP(P350,constant_ag_extr!$D$7:$E$594,2,FALSE),"")</f>
        <v>Coffee, green</v>
      </c>
      <c r="P350" s="1199">
        <f t="shared" si="40"/>
        <v>656</v>
      </c>
      <c r="Q350" s="1247">
        <f t="shared" si="41"/>
        <v>1</v>
      </c>
    </row>
    <row r="351" spans="1:17" ht="12.75" customHeight="1">
      <c r="A351" s="143" t="s">
        <v>7254</v>
      </c>
      <c r="B351" s="935">
        <v>657</v>
      </c>
      <c r="C351" s="36" t="s">
        <v>3526</v>
      </c>
      <c r="D351" s="1132">
        <v>69517</v>
      </c>
      <c r="E351" s="1132">
        <v>98089</v>
      </c>
      <c r="F351" s="809">
        <f t="shared" si="37"/>
        <v>0.8725263389670167</v>
      </c>
      <c r="G351" s="809">
        <f t="shared" si="38"/>
        <v>1</v>
      </c>
      <c r="H351" s="809">
        <f t="shared" si="39"/>
        <v>2.5252766180478901</v>
      </c>
      <c r="I351" s="903">
        <f t="shared" si="42"/>
        <v>201196.96886705823</v>
      </c>
      <c r="J351" s="799">
        <f t="shared" si="43"/>
        <v>283890.40780242067</v>
      </c>
      <c r="L351" s="1451">
        <v>849075</v>
      </c>
      <c r="M351" s="1132">
        <v>914453</v>
      </c>
      <c r="N351" s="1436" t="s">
        <v>2921</v>
      </c>
      <c r="O351" s="1198" t="str">
        <f>IFERROR(VLOOKUP(P351,constant_ag_extr!$D$7:$E$594,2,FALSE),"")</f>
        <v>Coffee, green</v>
      </c>
      <c r="P351" s="1199">
        <f t="shared" si="40"/>
        <v>656</v>
      </c>
      <c r="Q351" s="1247">
        <f t="shared" si="41"/>
        <v>1</v>
      </c>
    </row>
    <row r="352" spans="1:17" ht="12.75" customHeight="1">
      <c r="A352" s="143" t="s">
        <v>7255</v>
      </c>
      <c r="B352" s="935">
        <v>658</v>
      </c>
      <c r="C352" s="36" t="s">
        <v>3528</v>
      </c>
      <c r="D352" s="1132">
        <v>64</v>
      </c>
      <c r="E352" s="1132">
        <v>1311</v>
      </c>
      <c r="F352" s="809">
        <f t="shared" si="37"/>
        <v>0.8725263389670167</v>
      </c>
      <c r="G352" s="809">
        <f t="shared" si="38"/>
        <v>1</v>
      </c>
      <c r="H352" s="809">
        <f t="shared" si="39"/>
        <v>2.5252766180478901</v>
      </c>
      <c r="I352" s="903">
        <f t="shared" si="42"/>
        <v>185.22959862323933</v>
      </c>
      <c r="J352" s="799">
        <f t="shared" si="43"/>
        <v>3794.3125592979181</v>
      </c>
      <c r="L352" s="1451">
        <v>18406</v>
      </c>
      <c r="M352" s="1132">
        <v>13853</v>
      </c>
      <c r="N352" s="1436" t="s">
        <v>2921</v>
      </c>
      <c r="O352" s="1198" t="str">
        <f>IFERROR(VLOOKUP(P352,constant_ag_extr!$D$7:$E$594,2,FALSE),"")</f>
        <v>Coffee, green</v>
      </c>
      <c r="P352" s="1199">
        <f t="shared" si="40"/>
        <v>656</v>
      </c>
      <c r="Q352" s="1247">
        <f t="shared" si="41"/>
        <v>1</v>
      </c>
    </row>
    <row r="353" spans="1:17" ht="12.75" customHeight="1">
      <c r="A353" s="143" t="s">
        <v>7252</v>
      </c>
      <c r="B353" s="935">
        <v>659</v>
      </c>
      <c r="C353" s="36" t="s">
        <v>2840</v>
      </c>
      <c r="D353" s="1132">
        <v>48978</v>
      </c>
      <c r="E353" s="1132">
        <v>43690</v>
      </c>
      <c r="F353" s="809">
        <f t="shared" si="37"/>
        <v>0.8725263389670167</v>
      </c>
      <c r="G353" s="809">
        <f t="shared" si="38"/>
        <v>1</v>
      </c>
      <c r="H353" s="809">
        <f t="shared" si="39"/>
        <v>2.5252766180478901</v>
      </c>
      <c r="I353" s="903">
        <f t="shared" si="42"/>
        <v>141752.73877139087</v>
      </c>
      <c r="J353" s="799">
        <f t="shared" si="43"/>
        <v>126448.14318514572</v>
      </c>
      <c r="L353" s="1451">
        <v>899629</v>
      </c>
      <c r="M353" s="1132">
        <v>905135</v>
      </c>
      <c r="N353" s="1436" t="s">
        <v>2921</v>
      </c>
      <c r="O353" s="1198" t="str">
        <f>IFERROR(VLOOKUP(P353,constant_ag_extr!$D$7:$E$594,2,FALSE),"")</f>
        <v>Coffee, green</v>
      </c>
      <c r="P353" s="1199">
        <f t="shared" si="40"/>
        <v>656</v>
      </c>
      <c r="Q353" s="1247">
        <f t="shared" si="41"/>
        <v>1</v>
      </c>
    </row>
    <row r="354" spans="1:17" ht="12.75" customHeight="1">
      <c r="A354" s="143" t="s">
        <v>7253</v>
      </c>
      <c r="B354" s="935">
        <v>660</v>
      </c>
      <c r="C354" s="36" t="s">
        <v>2114</v>
      </c>
      <c r="D354" s="1132">
        <v>20</v>
      </c>
      <c r="E354" s="1132">
        <v>102</v>
      </c>
      <c r="F354" s="809">
        <f t="shared" si="37"/>
        <v>0.8725263389670167</v>
      </c>
      <c r="G354" s="809">
        <f t="shared" si="38"/>
        <v>1</v>
      </c>
      <c r="H354" s="809">
        <f t="shared" si="39"/>
        <v>2.5252766180478901</v>
      </c>
      <c r="I354" s="903">
        <f t="shared" si="42"/>
        <v>57.884249569762289</v>
      </c>
      <c r="J354" s="799">
        <f t="shared" si="43"/>
        <v>295.20967280578765</v>
      </c>
      <c r="L354" s="1451">
        <v>4220</v>
      </c>
      <c r="M354" s="1132">
        <v>4625</v>
      </c>
      <c r="N354" s="1436" t="s">
        <v>2921</v>
      </c>
      <c r="O354" s="1198" t="str">
        <f>IFERROR(VLOOKUP(P354,constant_ag_extr!$D$7:$E$594,2,FALSE),"")</f>
        <v>Coffee, green</v>
      </c>
      <c r="P354" s="1199">
        <f t="shared" si="40"/>
        <v>656</v>
      </c>
      <c r="Q354" s="1247">
        <f t="shared" si="41"/>
        <v>1</v>
      </c>
    </row>
    <row r="355" spans="1:17" ht="12.75" customHeight="1">
      <c r="A355" s="143" t="s">
        <v>7247</v>
      </c>
      <c r="B355" s="935">
        <v>661</v>
      </c>
      <c r="C355" s="36" t="s">
        <v>3648</v>
      </c>
      <c r="D355" s="1132">
        <v>445203</v>
      </c>
      <c r="E355" s="1132">
        <v>17230</v>
      </c>
      <c r="F355" s="809">
        <f t="shared" si="37"/>
        <v>0.45433852304233202</v>
      </c>
      <c r="G355" s="809">
        <f t="shared" si="38"/>
        <v>1</v>
      </c>
      <c r="H355" s="809">
        <f t="shared" si="39"/>
        <v>2.5252766180478901</v>
      </c>
      <c r="I355" s="903">
        <f t="shared" si="42"/>
        <v>2474500.1120673721</v>
      </c>
      <c r="J355" s="799">
        <f t="shared" si="43"/>
        <v>95766.733222644078</v>
      </c>
      <c r="L355" s="1451">
        <v>2943230</v>
      </c>
      <c r="M355" s="1132">
        <v>2724970</v>
      </c>
      <c r="N355" s="1436" t="s">
        <v>415</v>
      </c>
      <c r="O355" s="1198" t="str">
        <f>IFERROR(VLOOKUP(P355,constant_ag_extr!$D$7:$E$594,2,FALSE),"")</f>
        <v>Cocoa beans</v>
      </c>
      <c r="P355" s="1199">
        <f t="shared" si="40"/>
        <v>661</v>
      </c>
      <c r="Q355" s="1247">
        <f t="shared" si="41"/>
        <v>1</v>
      </c>
    </row>
    <row r="356" spans="1:17" ht="12.75" customHeight="1">
      <c r="A356" s="143" t="s">
        <v>7249</v>
      </c>
      <c r="B356" s="935">
        <v>662</v>
      </c>
      <c r="C356" s="36" t="s">
        <v>2831</v>
      </c>
      <c r="D356" s="1132">
        <v>18379</v>
      </c>
      <c r="E356" s="1132">
        <v>24809</v>
      </c>
      <c r="F356" s="809">
        <f t="shared" si="37"/>
        <v>0.37197689642124843</v>
      </c>
      <c r="G356" s="809">
        <f t="shared" si="38"/>
        <v>1</v>
      </c>
      <c r="H356" s="809">
        <f t="shared" si="39"/>
        <v>2.5252766180478901</v>
      </c>
      <c r="I356" s="903">
        <f t="shared" si="42"/>
        <v>124771.34846176692</v>
      </c>
      <c r="J356" s="799">
        <f t="shared" si="43"/>
        <v>168423.33010435692</v>
      </c>
      <c r="L356" s="1451">
        <v>679347</v>
      </c>
      <c r="M356" s="1132">
        <v>543970</v>
      </c>
      <c r="N356" s="1436" t="s">
        <v>2921</v>
      </c>
      <c r="O356" s="1198" t="str">
        <f>IFERROR(VLOOKUP(P356,constant_ag_extr!$D$7:$E$594,2,FALSE),"")</f>
        <v>Cocoa beans</v>
      </c>
      <c r="P356" s="1199">
        <f t="shared" si="40"/>
        <v>661</v>
      </c>
      <c r="Q356" s="1247">
        <f t="shared" si="41"/>
        <v>0.81872189470182843</v>
      </c>
    </row>
    <row r="357" spans="1:17" ht="12.75" customHeight="1">
      <c r="A357" s="143" t="s">
        <v>2832</v>
      </c>
      <c r="B357" s="935">
        <v>663</v>
      </c>
      <c r="C357" s="36" t="s">
        <v>2833</v>
      </c>
      <c r="D357" s="1132"/>
      <c r="E357" s="1132"/>
      <c r="F357" s="809">
        <f t="shared" si="37"/>
        <v>3.9737099513215388</v>
      </c>
      <c r="G357" s="809">
        <f t="shared" si="38"/>
        <v>1</v>
      </c>
      <c r="H357" s="809">
        <f t="shared" si="39"/>
        <v>2.5252766180478901</v>
      </c>
      <c r="I357" s="903">
        <f t="shared" si="42"/>
        <v>0</v>
      </c>
      <c r="J357" s="799">
        <f t="shared" si="43"/>
        <v>0</v>
      </c>
      <c r="L357" s="1451"/>
      <c r="M357" s="1132"/>
      <c r="N357" s="1436" t="s">
        <v>2921</v>
      </c>
      <c r="O357" s="1198" t="str">
        <f>IFERROR(VLOOKUP(P357,constant_ag_extr!$D$7:$E$594,2,FALSE),"")</f>
        <v>Cocoa beans</v>
      </c>
      <c r="P357" s="1199">
        <f t="shared" si="40"/>
        <v>661</v>
      </c>
      <c r="Q357" s="1247">
        <f t="shared" si="41"/>
        <v>8.7461435687048201</v>
      </c>
    </row>
    <row r="358" spans="1:17" ht="12.75" customHeight="1">
      <c r="A358" s="143" t="s">
        <v>7248</v>
      </c>
      <c r="B358" s="935">
        <v>664</v>
      </c>
      <c r="C358" s="36" t="s">
        <v>2830</v>
      </c>
      <c r="D358" s="1132">
        <v>80664</v>
      </c>
      <c r="E358" s="1132">
        <v>17778</v>
      </c>
      <c r="F358" s="809">
        <f t="shared" si="37"/>
        <v>0.36245081294293163</v>
      </c>
      <c r="G358" s="809">
        <f t="shared" si="38"/>
        <v>1</v>
      </c>
      <c r="H358" s="809">
        <f t="shared" si="39"/>
        <v>2.5252766180478901</v>
      </c>
      <c r="I358" s="903">
        <f t="shared" si="42"/>
        <v>562004.29367029085</v>
      </c>
      <c r="J358" s="799">
        <f t="shared" si="43"/>
        <v>123863.338451731</v>
      </c>
      <c r="L358" s="1451">
        <v>823479</v>
      </c>
      <c r="M358" s="1132">
        <v>825813</v>
      </c>
      <c r="N358" s="1436" t="s">
        <v>2921</v>
      </c>
      <c r="O358" s="1198" t="str">
        <f>IFERROR(VLOOKUP(P358,constant_ag_extr!$D$7:$E$594,2,FALSE),"")</f>
        <v>Cocoa beans</v>
      </c>
      <c r="P358" s="1199">
        <f t="shared" si="40"/>
        <v>661</v>
      </c>
      <c r="Q358" s="1247">
        <f t="shared" si="41"/>
        <v>0.79775496586971351</v>
      </c>
    </row>
    <row r="359" spans="1:17" ht="12.75" customHeight="1">
      <c r="A359" s="143" t="s">
        <v>7250</v>
      </c>
      <c r="B359" s="935">
        <v>665</v>
      </c>
      <c r="C359" s="36" t="s">
        <v>2835</v>
      </c>
      <c r="D359" s="1132">
        <v>150039</v>
      </c>
      <c r="E359" s="1132">
        <v>26761</v>
      </c>
      <c r="F359" s="809">
        <f t="shared" si="37"/>
        <v>0.38085346691661631</v>
      </c>
      <c r="G359" s="809">
        <f t="shared" si="38"/>
        <v>1</v>
      </c>
      <c r="H359" s="809">
        <f t="shared" si="39"/>
        <v>2.5252766180478901</v>
      </c>
      <c r="I359" s="903">
        <f t="shared" si="42"/>
        <v>994844.50427292858</v>
      </c>
      <c r="J359" s="799">
        <f t="shared" si="43"/>
        <v>177440.7572620975</v>
      </c>
      <c r="L359" s="1451">
        <v>963253</v>
      </c>
      <c r="M359" s="1132">
        <v>860864</v>
      </c>
      <c r="N359" s="1436" t="s">
        <v>2921</v>
      </c>
      <c r="O359" s="1198" t="str">
        <f>IFERROR(VLOOKUP(P359,constant_ag_extr!$D$7:$E$594,2,FALSE),"")</f>
        <v>Cocoa beans</v>
      </c>
      <c r="P359" s="1199">
        <f t="shared" si="40"/>
        <v>661</v>
      </c>
      <c r="Q359" s="1247">
        <f t="shared" si="41"/>
        <v>0.83825924415643516</v>
      </c>
    </row>
    <row r="360" spans="1:17" ht="12.75" customHeight="1">
      <c r="A360" s="143" t="s">
        <v>7245</v>
      </c>
      <c r="B360" s="935">
        <v>666</v>
      </c>
      <c r="C360" s="36" t="s">
        <v>4713</v>
      </c>
      <c r="D360" s="1132">
        <v>605127</v>
      </c>
      <c r="E360" s="1132">
        <v>339542</v>
      </c>
      <c r="F360" s="809">
        <f t="shared" si="37"/>
        <v>1.790011294508097</v>
      </c>
      <c r="G360" s="809">
        <f t="shared" si="38"/>
        <v>1</v>
      </c>
      <c r="H360" s="809">
        <f t="shared" si="39"/>
        <v>2.5252766180478901</v>
      </c>
      <c r="I360" s="903">
        <f t="shared" si="42"/>
        <v>853689.06259856734</v>
      </c>
      <c r="J360" s="799">
        <f t="shared" si="43"/>
        <v>479012.32583051623</v>
      </c>
      <c r="L360" s="1451">
        <v>5339590</v>
      </c>
      <c r="M360" s="1132">
        <v>5350630</v>
      </c>
      <c r="N360" s="1436" t="s">
        <v>2921</v>
      </c>
      <c r="O360" s="1198" t="str">
        <f>IFERROR(VLOOKUP(P360,constant_ag_extr!$D$7:$E$594,2,FALSE),"")</f>
        <v>Cocoa beans</v>
      </c>
      <c r="P360" s="1199">
        <f t="shared" si="40"/>
        <v>661</v>
      </c>
      <c r="Q360" s="1247">
        <f t="shared" si="41"/>
        <v>3.9398184475352456</v>
      </c>
    </row>
    <row r="361" spans="1:17" ht="12.75" customHeight="1">
      <c r="A361" s="143" t="s">
        <v>4578</v>
      </c>
      <c r="B361" s="935">
        <v>667</v>
      </c>
      <c r="C361" s="36" t="s">
        <v>1962</v>
      </c>
      <c r="D361" s="1132">
        <v>130160</v>
      </c>
      <c r="E361" s="1132">
        <v>13671</v>
      </c>
      <c r="F361" s="809">
        <f t="shared" si="37"/>
        <v>1.506008616232168</v>
      </c>
      <c r="G361" s="809">
        <f t="shared" si="38"/>
        <v>1</v>
      </c>
      <c r="H361" s="809">
        <f t="shared" si="39"/>
        <v>2.5252766180478901</v>
      </c>
      <c r="I361" s="903">
        <f t="shared" si="42"/>
        <v>218252.40643539728</v>
      </c>
      <c r="J361" s="799">
        <f t="shared" si="43"/>
        <v>22923.545239538384</v>
      </c>
      <c r="L361" s="1451">
        <v>1893350</v>
      </c>
      <c r="M361" s="1132">
        <v>2051370</v>
      </c>
      <c r="N361" s="1436" t="s">
        <v>415</v>
      </c>
      <c r="O361" s="1198" t="str">
        <f>IFERROR(VLOOKUP(P361,constant_ag_extr!$D$7:$E$594,2,FALSE),"")</f>
        <v>Tea</v>
      </c>
      <c r="P361" s="1199">
        <f t="shared" si="40"/>
        <v>667</v>
      </c>
      <c r="Q361" s="1247">
        <f t="shared" si="41"/>
        <v>1</v>
      </c>
    </row>
    <row r="362" spans="1:17" ht="12.75" customHeight="1">
      <c r="A362" s="143" t="s">
        <v>2895</v>
      </c>
      <c r="B362" s="935">
        <v>671</v>
      </c>
      <c r="C362" s="36" t="s">
        <v>2896</v>
      </c>
      <c r="D362" s="1132">
        <v>1650</v>
      </c>
      <c r="E362" s="1132">
        <v>133</v>
      </c>
      <c r="F362" s="809">
        <f t="shared" si="37"/>
        <v>3.1404052735857344</v>
      </c>
      <c r="G362" s="809">
        <f t="shared" si="38"/>
        <v>1</v>
      </c>
      <c r="H362" s="809">
        <f t="shared" si="39"/>
        <v>2.5252766180478901</v>
      </c>
      <c r="I362" s="903">
        <f t="shared" si="42"/>
        <v>1326.8053186719583</v>
      </c>
      <c r="J362" s="799">
        <f t="shared" si="43"/>
        <v>106.94854992931543</v>
      </c>
      <c r="L362" s="1451">
        <v>76065</v>
      </c>
      <c r="M362" s="1132">
        <v>75722</v>
      </c>
      <c r="N362" s="1436" t="s">
        <v>415</v>
      </c>
      <c r="O362" s="1198" t="str">
        <f>IFERROR(VLOOKUP(P362,constant_ag_extr!$D$7:$E$594,2,FALSE),"")</f>
        <v>Maté</v>
      </c>
      <c r="P362" s="1199">
        <f t="shared" si="40"/>
        <v>671</v>
      </c>
      <c r="Q362" s="1247">
        <f t="shared" si="41"/>
        <v>1</v>
      </c>
    </row>
    <row r="363" spans="1:17" ht="12.75" customHeight="1">
      <c r="A363" s="143" t="s">
        <v>7326</v>
      </c>
      <c r="B363" s="935">
        <v>672</v>
      </c>
      <c r="C363" s="36" t="s">
        <v>5496</v>
      </c>
      <c r="D363" s="1132">
        <v>74519</v>
      </c>
      <c r="E363" s="1132">
        <v>26129</v>
      </c>
      <c r="F363" s="809">
        <f t="shared" si="37"/>
        <v>0</v>
      </c>
      <c r="G363" s="809">
        <f t="shared" si="38"/>
        <v>1</v>
      </c>
      <c r="H363" s="809">
        <f t="shared" si="39"/>
        <v>2.5252766180478901</v>
      </c>
      <c r="I363" s="903">
        <f t="shared" si="42"/>
        <v>0</v>
      </c>
      <c r="J363" s="799">
        <f t="shared" si="43"/>
        <v>0</v>
      </c>
      <c r="L363" s="1451">
        <v>226765</v>
      </c>
      <c r="M363" s="1132">
        <v>218113</v>
      </c>
      <c r="N363" s="1436" t="s">
        <v>2921</v>
      </c>
      <c r="O363" s="1198" t="str">
        <f>IFERROR(VLOOKUP(P363,constant_ag_extr!$D$7:$E$594,2,FALSE),"")</f>
        <v>Tea, mate extracts</v>
      </c>
      <c r="P363" s="1199">
        <f t="shared" si="40"/>
        <v>672</v>
      </c>
      <c r="Q363" s="1247">
        <f t="shared" si="41"/>
        <v>1</v>
      </c>
    </row>
    <row r="364" spans="1:17" ht="12.75" customHeight="1">
      <c r="A364" s="143" t="s">
        <v>6050</v>
      </c>
      <c r="B364" s="935">
        <v>674</v>
      </c>
      <c r="C364" s="36"/>
      <c r="D364" s="1132"/>
      <c r="E364" s="1132"/>
      <c r="F364" s="809">
        <f t="shared" si="37"/>
        <v>1.0041577754182593</v>
      </c>
      <c r="G364" s="809">
        <f t="shared" si="38"/>
        <v>1</v>
      </c>
      <c r="H364" s="809">
        <f t="shared" si="39"/>
        <v>2.5252766180478901</v>
      </c>
      <c r="I364" s="903">
        <f t="shared" si="42"/>
        <v>0</v>
      </c>
      <c r="J364" s="799">
        <f t="shared" si="43"/>
        <v>0</v>
      </c>
      <c r="L364" s="1451"/>
      <c r="M364" s="1132"/>
      <c r="N364" s="1200" t="s">
        <v>415</v>
      </c>
      <c r="O364" s="1198" t="str">
        <f>IFERROR(VLOOKUP(P364,constant_ag_extr!$D$7:$E$594,2,FALSE),"")</f>
        <v>Tea nes</v>
      </c>
      <c r="P364" s="1199">
        <f t="shared" si="40"/>
        <v>674</v>
      </c>
      <c r="Q364" s="1247">
        <f t="shared" si="41"/>
        <v>1</v>
      </c>
    </row>
    <row r="365" spans="1:17" ht="12.75" customHeight="1">
      <c r="A365" s="143" t="s">
        <v>3782</v>
      </c>
      <c r="B365" s="935">
        <v>677</v>
      </c>
      <c r="C365" s="36" t="s">
        <v>3783</v>
      </c>
      <c r="D365" s="1132">
        <v>3646</v>
      </c>
      <c r="E365" s="1132">
        <v>6209</v>
      </c>
      <c r="F365" s="809">
        <f t="shared" si="37"/>
        <v>1.4419535876740421</v>
      </c>
      <c r="G365" s="809">
        <f t="shared" si="38"/>
        <v>1</v>
      </c>
      <c r="H365" s="809">
        <f t="shared" si="39"/>
        <v>2.5252766180478901</v>
      </c>
      <c r="I365" s="903">
        <f t="shared" si="42"/>
        <v>6385.1975736988234</v>
      </c>
      <c r="J365" s="799">
        <f t="shared" si="43"/>
        <v>10873.749790207348</v>
      </c>
      <c r="L365" s="1451">
        <v>43244</v>
      </c>
      <c r="M365" s="1132">
        <v>38126</v>
      </c>
      <c r="N365" s="1436" t="s">
        <v>415</v>
      </c>
      <c r="O365" s="1198" t="str">
        <f>IFERROR(VLOOKUP(P365,constant_ag_extr!$D$7:$E$594,2,FALSE),"")</f>
        <v>Hops</v>
      </c>
      <c r="P365" s="1199">
        <f t="shared" si="40"/>
        <v>677</v>
      </c>
      <c r="Q365" s="1247">
        <f t="shared" si="41"/>
        <v>1</v>
      </c>
    </row>
    <row r="366" spans="1:17" ht="12.75" customHeight="1">
      <c r="A366" s="143" t="s">
        <v>5269</v>
      </c>
      <c r="B366" s="935">
        <v>687</v>
      </c>
      <c r="C366" s="36" t="s">
        <v>5270</v>
      </c>
      <c r="D366" s="1132">
        <v>71741</v>
      </c>
      <c r="E366" s="1132">
        <v>9730</v>
      </c>
      <c r="F366" s="809">
        <f t="shared" si="37"/>
        <v>0.97246547287201834</v>
      </c>
      <c r="G366" s="809">
        <f t="shared" si="38"/>
        <v>1</v>
      </c>
      <c r="H366" s="809">
        <f t="shared" si="39"/>
        <v>2.5252766180478901</v>
      </c>
      <c r="I366" s="37">
        <f t="shared" si="42"/>
        <v>186295.42632534789</v>
      </c>
      <c r="J366" s="799">
        <f t="shared" si="43"/>
        <v>25266.646661541308</v>
      </c>
      <c r="L366" s="1451">
        <v>364291</v>
      </c>
      <c r="M366" s="1132">
        <v>384632</v>
      </c>
      <c r="N366" s="1436" t="s">
        <v>415</v>
      </c>
      <c r="O366" s="1198" t="str">
        <f>IFERROR(VLOOKUP(P366,constant_ag_extr!$D$7:$E$594,2,FALSE),"")</f>
        <v>Pepper (Piper spp.)</v>
      </c>
      <c r="P366" s="1199">
        <f t="shared" si="40"/>
        <v>687</v>
      </c>
      <c r="Q366" s="1247">
        <f t="shared" si="41"/>
        <v>1</v>
      </c>
    </row>
    <row r="367" spans="1:17" ht="12.75" customHeight="1">
      <c r="A367" s="143" t="s">
        <v>2631</v>
      </c>
      <c r="B367" s="935">
        <v>689</v>
      </c>
      <c r="C367" s="36" t="s">
        <v>2632</v>
      </c>
      <c r="D367" s="1132">
        <v>115245</v>
      </c>
      <c r="E367" s="1132">
        <v>5342</v>
      </c>
      <c r="F367" s="809">
        <f t="shared" si="37"/>
        <v>1.7345982345579045</v>
      </c>
      <c r="G367" s="809">
        <f t="shared" si="38"/>
        <v>1</v>
      </c>
      <c r="H367" s="809">
        <f t="shared" si="39"/>
        <v>2.5252766180478901</v>
      </c>
      <c r="I367" s="903">
        <f t="shared" si="42"/>
        <v>167776.89383565093</v>
      </c>
      <c r="J367" s="799">
        <f t="shared" si="43"/>
        <v>7777.0329894576544</v>
      </c>
      <c r="L367" s="1451">
        <v>563780</v>
      </c>
      <c r="M367" s="1132">
        <v>581350</v>
      </c>
      <c r="N367" s="1436" t="s">
        <v>415</v>
      </c>
      <c r="O367" s="1198" t="str">
        <f>IFERROR(VLOOKUP(P367,constant_ag_extr!$D$7:$E$594,2,FALSE),"")</f>
        <v>Chillies and peppers, dry</v>
      </c>
      <c r="P367" s="1199">
        <f t="shared" si="40"/>
        <v>689</v>
      </c>
      <c r="Q367" s="1247">
        <f t="shared" si="41"/>
        <v>1</v>
      </c>
    </row>
    <row r="368" spans="1:17" ht="12.75" customHeight="1">
      <c r="A368" s="143" t="s">
        <v>4583</v>
      </c>
      <c r="B368" s="935">
        <v>692</v>
      </c>
      <c r="C368" s="36" t="s">
        <v>4584</v>
      </c>
      <c r="D368" s="1132">
        <v>1806</v>
      </c>
      <c r="E368" s="1132">
        <v>225</v>
      </c>
      <c r="F368" s="809">
        <f t="shared" si="37"/>
        <v>9.9665029481692688E-2</v>
      </c>
      <c r="G368" s="809">
        <f t="shared" si="38"/>
        <v>1</v>
      </c>
      <c r="H368" s="809">
        <f t="shared" si="39"/>
        <v>2.5252766180478901</v>
      </c>
      <c r="I368" s="903">
        <f t="shared" si="42"/>
        <v>45759.777485765233</v>
      </c>
      <c r="J368" s="799">
        <f t="shared" si="43"/>
        <v>5700.9689558677619</v>
      </c>
      <c r="L368" s="1451">
        <v>7665</v>
      </c>
      <c r="M368" s="1132">
        <v>5187</v>
      </c>
      <c r="N368" s="1436" t="s">
        <v>415</v>
      </c>
      <c r="O368" s="1198" t="str">
        <f>IFERROR(VLOOKUP(P368,constant_ag_extr!$D$7:$E$594,2,FALSE),"")</f>
        <v>Vanilla</v>
      </c>
      <c r="P368" s="1199">
        <f t="shared" si="40"/>
        <v>692</v>
      </c>
      <c r="Q368" s="1247">
        <f t="shared" si="41"/>
        <v>1</v>
      </c>
    </row>
    <row r="369" spans="1:17" ht="12.75" customHeight="1">
      <c r="A369" s="143" t="s">
        <v>2635</v>
      </c>
      <c r="B369" s="935">
        <v>693</v>
      </c>
      <c r="C369" s="36" t="s">
        <v>2636</v>
      </c>
      <c r="D369" s="1132">
        <v>28005</v>
      </c>
      <c r="E369" s="1132">
        <v>1908</v>
      </c>
      <c r="F369" s="809">
        <f t="shared" si="37"/>
        <v>0.85769306300664994</v>
      </c>
      <c r="G369" s="809">
        <f t="shared" si="38"/>
        <v>1</v>
      </c>
      <c r="H369" s="809">
        <f t="shared" si="39"/>
        <v>2.5252766180478901</v>
      </c>
      <c r="I369" s="903">
        <f t="shared" si="42"/>
        <v>82454.172405825841</v>
      </c>
      <c r="J369" s="799">
        <f t="shared" si="43"/>
        <v>5617.6597375581405</v>
      </c>
      <c r="L369" s="1451">
        <v>142594</v>
      </c>
      <c r="M369" s="1132">
        <v>149687</v>
      </c>
      <c r="N369" s="1436" t="s">
        <v>415</v>
      </c>
      <c r="O369" s="1198" t="str">
        <f>IFERROR(VLOOKUP(P369,constant_ag_extr!$D$7:$E$594,2,FALSE),"")</f>
        <v>Cinnamon (canella)</v>
      </c>
      <c r="P369" s="1199">
        <f t="shared" si="40"/>
        <v>693</v>
      </c>
      <c r="Q369" s="1247">
        <f t="shared" si="41"/>
        <v>1</v>
      </c>
    </row>
    <row r="370" spans="1:17" ht="12.75" customHeight="1">
      <c r="A370" s="143" t="s">
        <v>2639</v>
      </c>
      <c r="B370" s="935">
        <v>698</v>
      </c>
      <c r="C370" s="36" t="s">
        <v>3345</v>
      </c>
      <c r="D370" s="1132">
        <v>1970</v>
      </c>
      <c r="E370" s="1132">
        <v>353</v>
      </c>
      <c r="F370" s="809">
        <f t="shared" si="37"/>
        <v>0.31225965565927488</v>
      </c>
      <c r="G370" s="809">
        <f t="shared" si="38"/>
        <v>1</v>
      </c>
      <c r="H370" s="809">
        <f t="shared" si="39"/>
        <v>2.5252766180478901</v>
      </c>
      <c r="I370" s="903">
        <f t="shared" si="42"/>
        <v>15931.596821405064</v>
      </c>
      <c r="J370" s="799">
        <f t="shared" si="43"/>
        <v>2854.7480598761358</v>
      </c>
      <c r="L370" s="1451">
        <v>41734</v>
      </c>
      <c r="M370" s="1132">
        <v>42613</v>
      </c>
      <c r="N370" s="1436" t="s">
        <v>415</v>
      </c>
      <c r="O370" s="1198" t="str">
        <f>IFERROR(VLOOKUP(P370,constant_ag_extr!$D$7:$E$594,2,FALSE),"")</f>
        <v>Cloves</v>
      </c>
      <c r="P370" s="1199">
        <f t="shared" si="40"/>
        <v>698</v>
      </c>
      <c r="Q370" s="1247">
        <f t="shared" si="41"/>
        <v>1</v>
      </c>
    </row>
    <row r="371" spans="1:17" ht="12.75" customHeight="1">
      <c r="A371" s="143" t="s">
        <v>802</v>
      </c>
      <c r="B371" s="935">
        <v>702</v>
      </c>
      <c r="C371" s="36" t="s">
        <v>4679</v>
      </c>
      <c r="D371" s="1132">
        <v>3347</v>
      </c>
      <c r="E371" s="1132">
        <v>528</v>
      </c>
      <c r="F371" s="809">
        <f t="shared" si="37"/>
        <v>0.2782925771592657</v>
      </c>
      <c r="G371" s="809">
        <f t="shared" si="38"/>
        <v>1</v>
      </c>
      <c r="H371" s="809">
        <f t="shared" si="39"/>
        <v>2.5252766180478901</v>
      </c>
      <c r="I371" s="37">
        <f t="shared" si="42"/>
        <v>30371.276614284918</v>
      </c>
      <c r="J371" s="799">
        <f t="shared" si="43"/>
        <v>4791.1664333260942</v>
      </c>
      <c r="L371" s="1451">
        <v>80334</v>
      </c>
      <c r="M371" s="1132">
        <v>87083</v>
      </c>
      <c r="N371" s="1436" t="s">
        <v>415</v>
      </c>
      <c r="O371" s="1198" t="str">
        <f>IFERROR(VLOOKUP(P371,constant_ag_extr!$D$7:$E$594,2,FALSE),"")</f>
        <v>Nutmeg, mace and cardamoms</v>
      </c>
      <c r="P371" s="1199">
        <f t="shared" si="40"/>
        <v>702</v>
      </c>
      <c r="Q371" s="1247">
        <f t="shared" si="41"/>
        <v>1</v>
      </c>
    </row>
    <row r="372" spans="1:17" ht="12.75" customHeight="1">
      <c r="A372" s="143" t="s">
        <v>785</v>
      </c>
      <c r="B372" s="935">
        <v>711</v>
      </c>
      <c r="C372" s="36" t="s">
        <v>4675</v>
      </c>
      <c r="D372" s="1132">
        <v>28217</v>
      </c>
      <c r="E372" s="1132">
        <v>2704</v>
      </c>
      <c r="F372" s="809">
        <f t="shared" si="37"/>
        <v>0.87415858137906099</v>
      </c>
      <c r="G372" s="809">
        <f t="shared" si="38"/>
        <v>1</v>
      </c>
      <c r="H372" s="809">
        <f t="shared" si="39"/>
        <v>2.5252766180478901</v>
      </c>
      <c r="I372" s="903">
        <f t="shared" si="42"/>
        <v>81513.505500392406</v>
      </c>
      <c r="J372" s="799">
        <f t="shared" si="43"/>
        <v>7811.3378060410778</v>
      </c>
      <c r="L372" s="1451">
        <v>406832</v>
      </c>
      <c r="M372" s="1132">
        <v>394543</v>
      </c>
      <c r="N372" s="1436" t="s">
        <v>415</v>
      </c>
      <c r="O372" s="1198" t="str">
        <f>IFERROR(VLOOKUP(P372,constant_ag_extr!$D$7:$E$594,2,FALSE),"")</f>
        <v>Anise, badian, fennel, corian.</v>
      </c>
      <c r="P372" s="1199">
        <f t="shared" si="40"/>
        <v>711</v>
      </c>
      <c r="Q372" s="1247">
        <f t="shared" si="41"/>
        <v>1</v>
      </c>
    </row>
    <row r="373" spans="1:17" ht="12.75" customHeight="1">
      <c r="A373" s="143" t="s">
        <v>5233</v>
      </c>
      <c r="B373" s="935">
        <v>720</v>
      </c>
      <c r="C373" s="36" t="s">
        <v>5234</v>
      </c>
      <c r="D373" s="1132">
        <v>57533</v>
      </c>
      <c r="E373" s="1132">
        <v>1883</v>
      </c>
      <c r="F373" s="809">
        <f t="shared" si="37"/>
        <v>6.3059620858386811</v>
      </c>
      <c r="G373" s="809">
        <f t="shared" si="38"/>
        <v>1</v>
      </c>
      <c r="H373" s="809">
        <f t="shared" si="39"/>
        <v>2.5252766180478901</v>
      </c>
      <c r="I373" s="903">
        <f t="shared" si="42"/>
        <v>23039.583443170417</v>
      </c>
      <c r="J373" s="799">
        <f t="shared" si="43"/>
        <v>754.06350483183371</v>
      </c>
      <c r="L373" s="1451">
        <v>618927</v>
      </c>
      <c r="M373" s="1132">
        <v>602653</v>
      </c>
      <c r="N373" s="1436" t="s">
        <v>415</v>
      </c>
      <c r="O373" s="1198" t="str">
        <f>IFERROR(VLOOKUP(P373,constant_ag_extr!$D$7:$E$594,2,FALSE),"")</f>
        <v>Ginger</v>
      </c>
      <c r="P373" s="1199">
        <f t="shared" si="40"/>
        <v>720</v>
      </c>
      <c r="Q373" s="1247">
        <f t="shared" si="41"/>
        <v>1</v>
      </c>
    </row>
    <row r="374" spans="1:17" ht="12.75" customHeight="1">
      <c r="A374" s="143" t="s">
        <v>677</v>
      </c>
      <c r="B374" s="935">
        <v>723</v>
      </c>
      <c r="C374" s="36" t="s">
        <v>721</v>
      </c>
      <c r="D374" s="1132">
        <v>29897</v>
      </c>
      <c r="E374" s="1132">
        <v>10350</v>
      </c>
      <c r="F374" s="809">
        <f t="shared" si="37"/>
        <v>2.1137307691957981</v>
      </c>
      <c r="G374" s="809">
        <f t="shared" si="38"/>
        <v>1</v>
      </c>
      <c r="H374" s="809">
        <f t="shared" si="39"/>
        <v>2.5252766180478901</v>
      </c>
      <c r="I374" s="903">
        <f t="shared" si="42"/>
        <v>35717.980809118017</v>
      </c>
      <c r="J374" s="799">
        <f t="shared" si="43"/>
        <v>12365.157085138022</v>
      </c>
      <c r="L374" s="1451">
        <v>380536</v>
      </c>
      <c r="M374" s="1132">
        <v>493790</v>
      </c>
      <c r="N374" s="1436" t="s">
        <v>415</v>
      </c>
      <c r="O374" s="1198" t="str">
        <f>IFERROR(VLOOKUP(P374,constant_ag_extr!$D$7:$E$594,2,FALSE),"")</f>
        <v>Spices, nes</v>
      </c>
      <c r="P374" s="1199">
        <f t="shared" si="40"/>
        <v>723</v>
      </c>
      <c r="Q374" s="1247">
        <f t="shared" si="41"/>
        <v>1</v>
      </c>
    </row>
    <row r="375" spans="1:17" ht="12.75" customHeight="1">
      <c r="A375" s="143" t="s">
        <v>4953</v>
      </c>
      <c r="B375" s="935">
        <v>737</v>
      </c>
      <c r="C375" s="36" t="s">
        <v>4954</v>
      </c>
      <c r="D375" s="1132">
        <v>0</v>
      </c>
      <c r="E375" s="1132"/>
      <c r="F375" s="809">
        <f t="shared" si="37"/>
        <v>0</v>
      </c>
      <c r="G375" s="809">
        <f t="shared" si="38"/>
        <v>1</v>
      </c>
      <c r="H375" s="809">
        <f t="shared" si="39"/>
        <v>2.5252766180478901</v>
      </c>
      <c r="I375" s="903">
        <f t="shared" si="42"/>
        <v>0</v>
      </c>
      <c r="J375" s="799">
        <f t="shared" si="43"/>
        <v>0</v>
      </c>
      <c r="L375" s="1451">
        <v>1341</v>
      </c>
      <c r="M375" s="1132">
        <v>432</v>
      </c>
      <c r="N375" s="1436" t="s">
        <v>2921</v>
      </c>
      <c r="O375" s="1198" t="str">
        <f>IFERROR(VLOOKUP(P375,constant_ag_extr!$D$7:$E$594,2,FALSE),"")</f>
        <v>Oil Citronella</v>
      </c>
      <c r="P375" s="1199">
        <f t="shared" si="40"/>
        <v>737</v>
      </c>
      <c r="Q375" s="1247">
        <f t="shared" si="41"/>
        <v>1</v>
      </c>
    </row>
    <row r="376" spans="1:17" ht="12.75" customHeight="1">
      <c r="A376" s="143" t="s">
        <v>2983</v>
      </c>
      <c r="B376" s="935">
        <v>748</v>
      </c>
      <c r="C376" s="36" t="s">
        <v>2984</v>
      </c>
      <c r="D376" s="1132"/>
      <c r="E376" s="1132"/>
      <c r="F376" s="809">
        <f t="shared" si="37"/>
        <v>23.79578772592825</v>
      </c>
      <c r="G376" s="809">
        <f t="shared" si="38"/>
        <v>1</v>
      </c>
      <c r="H376" s="809">
        <f t="shared" si="39"/>
        <v>2.5252766180478901</v>
      </c>
      <c r="I376" s="37">
        <f t="shared" si="42"/>
        <v>0</v>
      </c>
      <c r="J376" s="799">
        <f t="shared" si="43"/>
        <v>0</v>
      </c>
      <c r="L376" s="1451">
        <v>0</v>
      </c>
      <c r="M376" s="1132">
        <v>0</v>
      </c>
      <c r="N376" s="1436" t="s">
        <v>415</v>
      </c>
      <c r="O376" s="1198" t="str">
        <f>IFERROR(VLOOKUP(P376,constant_ag_extr!$D$7:$E$594,2,FALSE),"")</f>
        <v>Peppermint</v>
      </c>
      <c r="P376" s="1199">
        <f t="shared" si="40"/>
        <v>748</v>
      </c>
      <c r="Q376" s="1247">
        <f t="shared" si="41"/>
        <v>1</v>
      </c>
    </row>
    <row r="377" spans="1:17" ht="12.75" customHeight="1">
      <c r="A377" s="143" t="s">
        <v>4955</v>
      </c>
      <c r="B377" s="935">
        <v>753</v>
      </c>
      <c r="C377" s="36" t="s">
        <v>3042</v>
      </c>
      <c r="D377" s="1132">
        <v>59871</v>
      </c>
      <c r="E377" s="1132">
        <v>36077</v>
      </c>
      <c r="F377" s="809">
        <f t="shared" si="37"/>
        <v>0</v>
      </c>
      <c r="G377" s="809">
        <f t="shared" si="38"/>
        <v>1</v>
      </c>
      <c r="H377" s="809">
        <f t="shared" si="39"/>
        <v>2.5252766180478901</v>
      </c>
      <c r="I377" s="903">
        <f t="shared" si="42"/>
        <v>0</v>
      </c>
      <c r="J377" s="799">
        <f t="shared" si="43"/>
        <v>0</v>
      </c>
      <c r="L377" s="1451">
        <v>241944</v>
      </c>
      <c r="M377" s="1132">
        <v>274198</v>
      </c>
      <c r="N377" s="1436" t="s">
        <v>2921</v>
      </c>
      <c r="O377" s="1198">
        <f>IFERROR(VLOOKUP(P377,constant_ag_extr!$D$7:$E$594,2,FALSE),"")</f>
        <v>0</v>
      </c>
      <c r="P377" s="1199" t="str">
        <f t="shared" si="40"/>
        <v/>
      </c>
      <c r="Q377" s="1247">
        <f t="shared" si="41"/>
        <v>1</v>
      </c>
    </row>
    <row r="378" spans="1:17" ht="12.75" customHeight="1">
      <c r="A378" s="143" t="s">
        <v>3732</v>
      </c>
      <c r="B378" s="935">
        <v>754</v>
      </c>
      <c r="C378" s="36" t="s">
        <v>3733</v>
      </c>
      <c r="D378" s="1132">
        <v>0</v>
      </c>
      <c r="E378" s="1132">
        <v>0</v>
      </c>
      <c r="F378" s="809">
        <f t="shared" si="37"/>
        <v>0.29763794852690056</v>
      </c>
      <c r="G378" s="809">
        <f t="shared" si="38"/>
        <v>1</v>
      </c>
      <c r="H378" s="809">
        <f t="shared" si="39"/>
        <v>2.5252766180478901</v>
      </c>
      <c r="I378" s="903">
        <f t="shared" si="42"/>
        <v>0</v>
      </c>
      <c r="J378" s="799">
        <f t="shared" si="43"/>
        <v>0</v>
      </c>
      <c r="L378" s="1451">
        <v>6001</v>
      </c>
      <c r="M378" s="1132">
        <v>1065</v>
      </c>
      <c r="N378" s="1436" t="s">
        <v>415</v>
      </c>
      <c r="O378" s="1198" t="str">
        <f>IFERROR(VLOOKUP(P378,constant_ag_extr!$D$7:$E$594,2,FALSE),"")</f>
        <v>Pyrethrum,Dried</v>
      </c>
      <c r="P378" s="1199">
        <f t="shared" si="40"/>
        <v>754</v>
      </c>
      <c r="Q378" s="1247">
        <f t="shared" si="41"/>
        <v>1</v>
      </c>
    </row>
    <row r="379" spans="1:17" ht="12.75" customHeight="1">
      <c r="A379" s="143" t="s">
        <v>3730</v>
      </c>
      <c r="B379" s="935">
        <v>755</v>
      </c>
      <c r="C379" s="36" t="s">
        <v>3731</v>
      </c>
      <c r="D379" s="1132">
        <v>0</v>
      </c>
      <c r="E379" s="1132">
        <v>0</v>
      </c>
      <c r="F379" s="809">
        <f t="shared" si="37"/>
        <v>0</v>
      </c>
      <c r="G379" s="809">
        <f t="shared" si="38"/>
        <v>1</v>
      </c>
      <c r="H379" s="809">
        <f t="shared" si="39"/>
        <v>2.5252766180478901</v>
      </c>
      <c r="I379" s="903">
        <f t="shared" si="42"/>
        <v>0</v>
      </c>
      <c r="J379" s="799">
        <f t="shared" si="43"/>
        <v>0</v>
      </c>
      <c r="L379" s="1451">
        <v>0</v>
      </c>
      <c r="M379" s="1132">
        <v>0</v>
      </c>
      <c r="N379" s="1436" t="s">
        <v>415</v>
      </c>
      <c r="O379" s="1198">
        <f>IFERROR(VLOOKUP(P379,constant_ag_extr!$D$7:$E$594,2,FALSE),"")</f>
        <v>0</v>
      </c>
      <c r="P379" s="1199" t="str">
        <f t="shared" si="40"/>
        <v/>
      </c>
      <c r="Q379" s="1247">
        <f t="shared" si="41"/>
        <v>1</v>
      </c>
    </row>
    <row r="380" spans="1:17" ht="12.75" customHeight="1">
      <c r="A380" s="143" t="s">
        <v>906</v>
      </c>
      <c r="B380" s="935">
        <v>767</v>
      </c>
      <c r="C380" s="36" t="s">
        <v>3651</v>
      </c>
      <c r="D380" s="1132">
        <v>2248</v>
      </c>
      <c r="E380" s="1132">
        <v>2789330</v>
      </c>
      <c r="F380" s="809">
        <f t="shared" si="37"/>
        <v>1.0654507281655385</v>
      </c>
      <c r="G380" s="809">
        <f t="shared" si="38"/>
        <v>1</v>
      </c>
      <c r="H380" s="809">
        <f t="shared" si="39"/>
        <v>2.5252766180478901</v>
      </c>
      <c r="I380" s="903">
        <f t="shared" si="42"/>
        <v>5328.094192723338</v>
      </c>
      <c r="J380" s="799">
        <f t="shared" si="43"/>
        <v>6611126.7680555983</v>
      </c>
      <c r="L380" s="1451">
        <v>9406660</v>
      </c>
      <c r="M380" s="1132">
        <v>9624590</v>
      </c>
      <c r="N380" s="1436" t="s">
        <v>2921</v>
      </c>
      <c r="O380" s="1198" t="str">
        <f>IFERROR(VLOOKUP(P380,constant_ag_extr!$D$7:$E$594,2,FALSE),"")</f>
        <v>Seed Cotton</v>
      </c>
      <c r="P380" s="1199">
        <f t="shared" si="40"/>
        <v>328</v>
      </c>
      <c r="Q380" s="1247">
        <f t="shared" si="41"/>
        <v>0.47307063890401385</v>
      </c>
    </row>
    <row r="381" spans="1:17" ht="12.75" customHeight="1">
      <c r="A381" s="143" t="s">
        <v>7256</v>
      </c>
      <c r="B381" s="935">
        <v>768</v>
      </c>
      <c r="C381" s="36" t="s">
        <v>3096</v>
      </c>
      <c r="D381" s="1132">
        <v>299</v>
      </c>
      <c r="E381" s="1132">
        <v>19436</v>
      </c>
      <c r="F381" s="809">
        <f t="shared" si="37"/>
        <v>1.0654507281655385</v>
      </c>
      <c r="G381" s="809">
        <f t="shared" si="38"/>
        <v>1</v>
      </c>
      <c r="H381" s="809">
        <f t="shared" si="39"/>
        <v>2.5252766180478901</v>
      </c>
      <c r="I381" s="903">
        <f t="shared" si="42"/>
        <v>708.67445001079966</v>
      </c>
      <c r="J381" s="799">
        <f t="shared" si="43"/>
        <v>46066.209399364234</v>
      </c>
      <c r="L381" s="1451">
        <v>94173</v>
      </c>
      <c r="M381" s="1132">
        <v>301989</v>
      </c>
      <c r="N381" s="1436" t="s">
        <v>2921</v>
      </c>
      <c r="O381" s="1198" t="str">
        <f>IFERROR(VLOOKUP(P381,constant_ag_extr!$D$7:$E$594,2,FALSE),"")</f>
        <v>Seed Cotton</v>
      </c>
      <c r="P381" s="1199">
        <f t="shared" si="40"/>
        <v>328</v>
      </c>
      <c r="Q381" s="1247">
        <f t="shared" si="41"/>
        <v>0.47307063890401385</v>
      </c>
    </row>
    <row r="382" spans="1:17" ht="12.75" customHeight="1">
      <c r="A382" s="143" t="s">
        <v>1427</v>
      </c>
      <c r="B382" s="935">
        <v>769</v>
      </c>
      <c r="C382" s="36" t="s">
        <v>517</v>
      </c>
      <c r="D382" s="1132">
        <v>12163</v>
      </c>
      <c r="E382" s="1132">
        <v>28168</v>
      </c>
      <c r="F382" s="809">
        <f t="shared" si="37"/>
        <v>1.853177572689364</v>
      </c>
      <c r="G382" s="809">
        <f t="shared" si="38"/>
        <v>1</v>
      </c>
      <c r="H382" s="809">
        <f t="shared" si="39"/>
        <v>2.5252766180478901</v>
      </c>
      <c r="I382" s="903">
        <f t="shared" si="42"/>
        <v>16574.202039765903</v>
      </c>
      <c r="J382" s="799">
        <f t="shared" si="43"/>
        <v>38383.797011931762</v>
      </c>
      <c r="L382" s="1451">
        <v>600187</v>
      </c>
      <c r="M382" s="1132">
        <v>603755</v>
      </c>
      <c r="N382" s="1436" t="s">
        <v>2921</v>
      </c>
      <c r="O382" s="1198" t="str">
        <f>IFERROR(VLOOKUP(P382,constant_ag_extr!$D$7:$E$594,2,FALSE),"")</f>
        <v>Seed Cotton</v>
      </c>
      <c r="P382" s="1199">
        <f t="shared" si="40"/>
        <v>328</v>
      </c>
      <c r="Q382" s="1247">
        <f t="shared" si="41"/>
        <v>0.82282913244068578</v>
      </c>
    </row>
    <row r="383" spans="1:17" ht="12.75" customHeight="1">
      <c r="A383" s="143" t="s">
        <v>5471</v>
      </c>
      <c r="B383" s="935">
        <v>770</v>
      </c>
      <c r="C383" s="36" t="s">
        <v>5472</v>
      </c>
      <c r="D383" s="1132">
        <v>0</v>
      </c>
      <c r="E383" s="1132">
        <v>54585</v>
      </c>
      <c r="F383" s="809">
        <f t="shared" si="37"/>
        <v>2.7186508902047288</v>
      </c>
      <c r="G383" s="809">
        <f t="shared" si="38"/>
        <v>1</v>
      </c>
      <c r="H383" s="809">
        <f t="shared" si="39"/>
        <v>2.5252766180478901</v>
      </c>
      <c r="I383" s="903">
        <f t="shared" si="42"/>
        <v>0</v>
      </c>
      <c r="J383" s="799">
        <f t="shared" si="43"/>
        <v>50702.436525700366</v>
      </c>
      <c r="L383" s="1451">
        <v>225674</v>
      </c>
      <c r="M383" s="1132">
        <v>244129</v>
      </c>
      <c r="N383" s="1436" t="s">
        <v>2921</v>
      </c>
      <c r="O383" s="1198" t="str">
        <f>IFERROR(VLOOKUP(P383,constant_ag_extr!$D$7:$E$594,2,FALSE),"")</f>
        <v>Seed Cotton</v>
      </c>
      <c r="P383" s="1199">
        <f t="shared" si="40"/>
        <v>328</v>
      </c>
      <c r="Q383" s="1247">
        <f t="shared" si="41"/>
        <v>1.2071078273140889</v>
      </c>
    </row>
    <row r="384" spans="1:17" ht="12.75" customHeight="1">
      <c r="A384" s="143" t="s">
        <v>2264</v>
      </c>
      <c r="B384" s="935">
        <v>771</v>
      </c>
      <c r="C384" s="36" t="s">
        <v>2265</v>
      </c>
      <c r="D384" s="1132">
        <v>484</v>
      </c>
      <c r="E384" s="1132">
        <v>421</v>
      </c>
      <c r="F384" s="809">
        <f t="shared" si="37"/>
        <v>0.58792799248975947</v>
      </c>
      <c r="G384" s="809">
        <f t="shared" si="38"/>
        <v>1</v>
      </c>
      <c r="H384" s="809">
        <f t="shared" si="39"/>
        <v>2.5252766180478901</v>
      </c>
      <c r="I384" s="903">
        <f t="shared" si="42"/>
        <v>2078.8836366835649</v>
      </c>
      <c r="J384" s="799">
        <f t="shared" si="43"/>
        <v>1808.2851467846713</v>
      </c>
      <c r="L384" s="1451">
        <v>12637</v>
      </c>
      <c r="M384" s="1132">
        <v>4857</v>
      </c>
      <c r="N384" s="1436" t="s">
        <v>2921</v>
      </c>
      <c r="O384" s="1198" t="str">
        <f>IFERROR(VLOOKUP(P384,constant_ag_extr!$D$7:$E$594,2,FALSE),"")</f>
        <v>Flax fibre and tow</v>
      </c>
      <c r="P384" s="1199">
        <f t="shared" si="40"/>
        <v>773</v>
      </c>
      <c r="Q384" s="1247">
        <f t="shared" si="41"/>
        <v>0.40656607254211946</v>
      </c>
    </row>
    <row r="385" spans="1:17" ht="12.75" customHeight="1">
      <c r="A385" s="143" t="s">
        <v>4471</v>
      </c>
      <c r="B385" s="935">
        <v>773</v>
      </c>
      <c r="C385" s="36" t="s">
        <v>4676</v>
      </c>
      <c r="D385" s="1132">
        <v>78</v>
      </c>
      <c r="E385" s="1132">
        <v>98</v>
      </c>
      <c r="F385" s="809">
        <f t="shared" si="37"/>
        <v>1.4460822783702674</v>
      </c>
      <c r="G385" s="809">
        <f t="shared" si="38"/>
        <v>1</v>
      </c>
      <c r="H385" s="809">
        <f t="shared" si="39"/>
        <v>2.5252766180478901</v>
      </c>
      <c r="I385" s="37">
        <f t="shared" si="42"/>
        <v>136.21049033926485</v>
      </c>
      <c r="J385" s="799">
        <f t="shared" si="43"/>
        <v>171.13625709292251</v>
      </c>
      <c r="L385" s="1451">
        <v>191577</v>
      </c>
      <c r="M385" s="1132">
        <v>223608</v>
      </c>
      <c r="N385" s="1436" t="s">
        <v>415</v>
      </c>
      <c r="O385" s="1198" t="str">
        <f>IFERROR(VLOOKUP(P385,constant_ag_extr!$D$7:$E$594,2,FALSE),"")</f>
        <v>Flax fibre and tow</v>
      </c>
      <c r="P385" s="1199">
        <f t="shared" si="40"/>
        <v>773</v>
      </c>
      <c r="Q385" s="1247">
        <f t="shared" si="41"/>
        <v>1</v>
      </c>
    </row>
    <row r="386" spans="1:17" ht="12.75" customHeight="1">
      <c r="A386" s="143" t="s">
        <v>2266</v>
      </c>
      <c r="B386" s="935">
        <v>774</v>
      </c>
      <c r="C386" s="36" t="s">
        <v>2267</v>
      </c>
      <c r="D386" s="1132">
        <v>15628</v>
      </c>
      <c r="E386" s="1132">
        <v>99</v>
      </c>
      <c r="F386" s="809">
        <f t="shared" si="37"/>
        <v>0.72755554035749859</v>
      </c>
      <c r="G386" s="809">
        <f t="shared" si="38"/>
        <v>1</v>
      </c>
      <c r="H386" s="809">
        <f t="shared" si="39"/>
        <v>2.5252766180478901</v>
      </c>
      <c r="I386" s="903">
        <f t="shared" si="42"/>
        <v>54243.31311869403</v>
      </c>
      <c r="J386" s="799">
        <f t="shared" si="43"/>
        <v>343.61965694591174</v>
      </c>
      <c r="L386" s="1451">
        <v>156903</v>
      </c>
      <c r="M386" s="1132">
        <v>204433</v>
      </c>
      <c r="N386" s="1436" t="s">
        <v>2921</v>
      </c>
      <c r="O386" s="1198" t="str">
        <f>IFERROR(VLOOKUP(P386,constant_ag_extr!$D$7:$E$594,2,FALSE),"")</f>
        <v>Flax fibre and tow</v>
      </c>
      <c r="P386" s="1199">
        <f t="shared" si="40"/>
        <v>773</v>
      </c>
      <c r="Q386" s="1247">
        <f t="shared" si="41"/>
        <v>0.5031218148786476</v>
      </c>
    </row>
    <row r="387" spans="1:17" ht="12.75" customHeight="1">
      <c r="A387" s="143" t="s">
        <v>4897</v>
      </c>
      <c r="B387" s="935">
        <v>777</v>
      </c>
      <c r="C387" s="36" t="s">
        <v>4677</v>
      </c>
      <c r="D387" s="1132"/>
      <c r="E387" s="1132"/>
      <c r="F387" s="809">
        <f t="shared" si="37"/>
        <v>1.3779587627419616</v>
      </c>
      <c r="G387" s="809">
        <f t="shared" si="38"/>
        <v>1</v>
      </c>
      <c r="H387" s="809">
        <f t="shared" si="39"/>
        <v>2.5252766180478901</v>
      </c>
      <c r="I387" s="903">
        <f t="shared" si="42"/>
        <v>0</v>
      </c>
      <c r="J387" s="799">
        <f t="shared" si="43"/>
        <v>0</v>
      </c>
      <c r="L387" s="1451"/>
      <c r="M387" s="1132"/>
      <c r="N387" s="1436" t="s">
        <v>415</v>
      </c>
      <c r="O387" s="1198" t="str">
        <f>IFERROR(VLOOKUP(P387,constant_ag_extr!$D$7:$E$594,2,FALSE),"")</f>
        <v>Hemp Tow Waste</v>
      </c>
      <c r="P387" s="1199">
        <f t="shared" si="40"/>
        <v>777</v>
      </c>
      <c r="Q387" s="1247">
        <f t="shared" si="41"/>
        <v>1</v>
      </c>
    </row>
    <row r="388" spans="1:17" ht="12.75" customHeight="1">
      <c r="A388" s="143" t="s">
        <v>5339</v>
      </c>
      <c r="B388" s="935">
        <v>778</v>
      </c>
      <c r="C388" s="36" t="s">
        <v>4733</v>
      </c>
      <c r="D388" s="1132">
        <v>0</v>
      </c>
      <c r="E388" s="1132"/>
      <c r="F388" s="809">
        <f t="shared" si="37"/>
        <v>4.0631481287951647</v>
      </c>
      <c r="G388" s="809">
        <f t="shared" si="38"/>
        <v>1</v>
      </c>
      <c r="H388" s="809">
        <f t="shared" si="39"/>
        <v>2.5252766180478901</v>
      </c>
      <c r="I388" s="903">
        <f t="shared" si="42"/>
        <v>0</v>
      </c>
      <c r="J388" s="799">
        <f t="shared" si="43"/>
        <v>0</v>
      </c>
      <c r="L388" s="1451">
        <v>0</v>
      </c>
      <c r="M388" s="1132">
        <v>0</v>
      </c>
      <c r="N388" s="1436" t="s">
        <v>415</v>
      </c>
      <c r="O388" s="1198" t="str">
        <f>IFERROR(VLOOKUP(P388,constant_ag_extr!$D$7:$E$594,2,FALSE),"")</f>
        <v>Kapok Fruit</v>
      </c>
      <c r="P388" s="1199">
        <f t="shared" si="40"/>
        <v>310</v>
      </c>
      <c r="Q388" s="1247">
        <f t="shared" si="41"/>
        <v>2.3209172932330753</v>
      </c>
    </row>
    <row r="389" spans="1:17" ht="12.75" customHeight="1">
      <c r="A389" s="143" t="s">
        <v>816</v>
      </c>
      <c r="B389" s="935">
        <v>780</v>
      </c>
      <c r="C389" s="36" t="s">
        <v>568</v>
      </c>
      <c r="D389" s="1132">
        <v>2443</v>
      </c>
      <c r="E389" s="1132">
        <v>966</v>
      </c>
      <c r="F389" s="809">
        <f t="shared" si="37"/>
        <v>2.2365155195366264</v>
      </c>
      <c r="G389" s="809">
        <f t="shared" si="38"/>
        <v>1</v>
      </c>
      <c r="H389" s="809">
        <f t="shared" si="39"/>
        <v>2.5252766180478901</v>
      </c>
      <c r="I389" s="903">
        <f t="shared" si="42"/>
        <v>2758.4207326087208</v>
      </c>
      <c r="J389" s="799">
        <f t="shared" si="43"/>
        <v>1090.7222381088925</v>
      </c>
      <c r="L389" s="1451">
        <v>354515</v>
      </c>
      <c r="M389" s="1132">
        <v>340431</v>
      </c>
      <c r="N389" s="1436" t="s">
        <v>415</v>
      </c>
      <c r="O389" s="1198" t="str">
        <f>IFERROR(VLOOKUP(P389,constant_ag_extr!$D$7:$E$594,2,FALSE),"")</f>
        <v>Jute</v>
      </c>
      <c r="P389" s="1199">
        <f t="shared" si="40"/>
        <v>780</v>
      </c>
      <c r="Q389" s="1247">
        <f t="shared" si="41"/>
        <v>1</v>
      </c>
    </row>
    <row r="390" spans="1:17" ht="12.75" customHeight="1">
      <c r="A390" s="143" t="s">
        <v>5179</v>
      </c>
      <c r="B390" s="935">
        <v>782</v>
      </c>
      <c r="C390" s="36" t="s">
        <v>5552</v>
      </c>
      <c r="D390" s="1132"/>
      <c r="E390" s="1132"/>
      <c r="F390" s="809">
        <f t="shared" si="37"/>
        <v>1.3480586766389215</v>
      </c>
      <c r="G390" s="809">
        <f t="shared" si="38"/>
        <v>1</v>
      </c>
      <c r="H390" s="809">
        <f t="shared" si="39"/>
        <v>2.5252766180478901</v>
      </c>
      <c r="I390" s="903">
        <f t="shared" si="42"/>
        <v>0</v>
      </c>
      <c r="J390" s="799">
        <f t="shared" si="43"/>
        <v>0</v>
      </c>
      <c r="L390" s="1451"/>
      <c r="M390" s="1132"/>
      <c r="N390" s="1436" t="s">
        <v>415</v>
      </c>
      <c r="O390" s="1198" t="str">
        <f>IFERROR(VLOOKUP(P390,constant_ag_extr!$D$7:$E$594,2,FALSE),"")</f>
        <v>Other Bastfibres</v>
      </c>
      <c r="P390" s="1199">
        <f t="shared" si="40"/>
        <v>782</v>
      </c>
      <c r="Q390" s="1247">
        <f t="shared" si="41"/>
        <v>1</v>
      </c>
    </row>
    <row r="391" spans="1:17" ht="12.75" customHeight="1">
      <c r="A391" s="143" t="s">
        <v>3735</v>
      </c>
      <c r="B391" s="935">
        <v>788</v>
      </c>
      <c r="C391" s="36" t="s">
        <v>3736</v>
      </c>
      <c r="D391" s="1132"/>
      <c r="E391" s="1132"/>
      <c r="F391" s="809">
        <f t="shared" ref="F391:F426" si="44">IFERROR(VLOOKUP(P391,crop_efp,4,FALSE)*Q391,0)</f>
        <v>1.864891447926142</v>
      </c>
      <c r="G391" s="809">
        <f t="shared" ref="G391:G426" si="45">VLOOKUP("Crop Land",iyf,2,FALSE)</f>
        <v>1</v>
      </c>
      <c r="H391" s="809">
        <f t="shared" ref="H391:H426" si="46">VLOOKUP("Crop Land",eqf,2,FALSE)</f>
        <v>2.5252766180478901</v>
      </c>
      <c r="I391" s="903">
        <f t="shared" si="42"/>
        <v>0</v>
      </c>
      <c r="J391" s="799">
        <f t="shared" si="43"/>
        <v>0</v>
      </c>
      <c r="L391" s="1451"/>
      <c r="M391" s="1132"/>
      <c r="N391" s="1436" t="s">
        <v>415</v>
      </c>
      <c r="O391" s="1198" t="str">
        <f>IFERROR(VLOOKUP(P391,constant_ag_extr!$D$7:$E$594,2,FALSE),"")</f>
        <v>Ramie</v>
      </c>
      <c r="P391" s="1199">
        <f t="shared" ref="P391:P426" si="47">IFERROR(VLOOKUP(B391,constant_ag_extr,3,FALSE),"")</f>
        <v>788</v>
      </c>
      <c r="Q391" s="1247">
        <f t="shared" ref="Q391:Q426" si="48">IFERROR(VLOOKUP(B391,constant_ag_extr,14,FALSE),"")</f>
        <v>1</v>
      </c>
    </row>
    <row r="392" spans="1:17" ht="12.75" customHeight="1">
      <c r="A392" s="143" t="s">
        <v>674</v>
      </c>
      <c r="B392" s="935">
        <v>789</v>
      </c>
      <c r="C392" s="36" t="s">
        <v>5554</v>
      </c>
      <c r="D392" s="1132"/>
      <c r="E392" s="1132"/>
      <c r="F392" s="809">
        <f t="shared" si="44"/>
        <v>0.88957366159020745</v>
      </c>
      <c r="G392" s="809">
        <f t="shared" si="45"/>
        <v>1</v>
      </c>
      <c r="H392" s="809">
        <f t="shared" si="46"/>
        <v>2.5252766180478901</v>
      </c>
      <c r="I392" s="903">
        <f t="shared" si="42"/>
        <v>0</v>
      </c>
      <c r="J392" s="799">
        <f t="shared" si="43"/>
        <v>0</v>
      </c>
      <c r="L392" s="1451"/>
      <c r="M392" s="1132"/>
      <c r="N392" s="1436" t="s">
        <v>415</v>
      </c>
      <c r="O392" s="1198" t="str">
        <f>IFERROR(VLOOKUP(P392,constant_ag_extr!$D$7:$E$594,2,FALSE),"")</f>
        <v>Sisal</v>
      </c>
      <c r="P392" s="1199">
        <f t="shared" si="47"/>
        <v>789</v>
      </c>
      <c r="Q392" s="1247">
        <f t="shared" si="48"/>
        <v>1</v>
      </c>
    </row>
    <row r="393" spans="1:17" ht="12.75" customHeight="1">
      <c r="A393" s="143" t="s">
        <v>3377</v>
      </c>
      <c r="B393" s="935">
        <v>800</v>
      </c>
      <c r="C393" s="36" t="s">
        <v>5547</v>
      </c>
      <c r="D393" s="1132"/>
      <c r="E393" s="1132"/>
      <c r="F393" s="809">
        <f t="shared" si="44"/>
        <v>0.74954588586740389</v>
      </c>
      <c r="G393" s="1446">
        <f t="shared" si="45"/>
        <v>1</v>
      </c>
      <c r="H393" s="809">
        <f t="shared" si="46"/>
        <v>2.5252766180478901</v>
      </c>
      <c r="I393" s="929">
        <f t="shared" si="42"/>
        <v>0</v>
      </c>
      <c r="J393" s="798">
        <f t="shared" si="43"/>
        <v>0</v>
      </c>
      <c r="L393" s="1451"/>
      <c r="M393" s="1132"/>
      <c r="N393" s="1436" t="s">
        <v>415</v>
      </c>
      <c r="O393" s="1198" t="str">
        <f>IFERROR(VLOOKUP(P393,constant_ag_extr!$D$7:$E$594,2,FALSE),"")</f>
        <v>Agave Fibres Nes</v>
      </c>
      <c r="P393" s="1199">
        <f t="shared" si="47"/>
        <v>800</v>
      </c>
      <c r="Q393" s="1247">
        <f t="shared" si="48"/>
        <v>1</v>
      </c>
    </row>
    <row r="394" spans="1:17" s="889" customFormat="1" ht="12.75" customHeight="1">
      <c r="A394" s="143" t="s">
        <v>4266</v>
      </c>
      <c r="B394" s="935">
        <v>809</v>
      </c>
      <c r="C394" s="36" t="s">
        <v>2203</v>
      </c>
      <c r="D394" s="1132">
        <v>0</v>
      </c>
      <c r="E394" s="1132">
        <v>0</v>
      </c>
      <c r="F394" s="809">
        <f t="shared" si="44"/>
        <v>0.61243493580580355</v>
      </c>
      <c r="G394" s="809">
        <f t="shared" si="45"/>
        <v>1</v>
      </c>
      <c r="H394" s="809">
        <f t="shared" si="46"/>
        <v>2.5252766180478901</v>
      </c>
      <c r="I394" s="903">
        <f t="shared" si="42"/>
        <v>0</v>
      </c>
      <c r="J394" s="799">
        <f t="shared" si="43"/>
        <v>0</v>
      </c>
      <c r="L394" s="1451">
        <v>7974</v>
      </c>
      <c r="M394" s="1132">
        <v>6070</v>
      </c>
      <c r="N394" s="1436" t="s">
        <v>415</v>
      </c>
      <c r="O394" s="1198" t="str">
        <f>IFERROR(VLOOKUP(P394,constant_ag_extr!$D$7:$E$594,2,FALSE),"")</f>
        <v>Manila Fibre (Abaca)</v>
      </c>
      <c r="P394" s="1199">
        <f t="shared" si="47"/>
        <v>809</v>
      </c>
      <c r="Q394" s="1247">
        <f t="shared" si="48"/>
        <v>1</v>
      </c>
    </row>
    <row r="395" spans="1:17" ht="12.75" customHeight="1">
      <c r="A395" s="143" t="s">
        <v>3529</v>
      </c>
      <c r="B395" s="935">
        <v>813</v>
      </c>
      <c r="C395" s="36" t="s">
        <v>3530</v>
      </c>
      <c r="D395" s="1132"/>
      <c r="E395" s="1132"/>
      <c r="F395" s="809">
        <f t="shared" si="44"/>
        <v>0</v>
      </c>
      <c r="G395" s="809">
        <f t="shared" si="45"/>
        <v>1</v>
      </c>
      <c r="H395" s="809">
        <f t="shared" si="46"/>
        <v>2.5252766180478901</v>
      </c>
      <c r="I395" s="903">
        <f t="shared" si="42"/>
        <v>0</v>
      </c>
      <c r="J395" s="799">
        <f t="shared" si="43"/>
        <v>0</v>
      </c>
      <c r="L395" s="1451"/>
      <c r="M395" s="1132"/>
      <c r="N395" s="1436" t="s">
        <v>415</v>
      </c>
      <c r="O395" s="1198">
        <f>IFERROR(VLOOKUP(P395,constant_ag_extr!$D$7:$E$594,2,FALSE),"")</f>
        <v>0</v>
      </c>
      <c r="P395" s="1199" t="str">
        <f t="shared" si="47"/>
        <v/>
      </c>
      <c r="Q395" s="1247">
        <f t="shared" si="48"/>
        <v>1</v>
      </c>
    </row>
    <row r="396" spans="1:17" ht="12.75" customHeight="1">
      <c r="A396" s="143" t="s">
        <v>2259</v>
      </c>
      <c r="B396" s="935">
        <v>821</v>
      </c>
      <c r="C396" s="36" t="s">
        <v>2260</v>
      </c>
      <c r="D396" s="1132"/>
      <c r="E396" s="1132"/>
      <c r="F396" s="809">
        <f t="shared" si="44"/>
        <v>0.39139244456027084</v>
      </c>
      <c r="G396" s="809">
        <f t="shared" si="45"/>
        <v>1</v>
      </c>
      <c r="H396" s="809">
        <f t="shared" si="46"/>
        <v>2.5252766180478901</v>
      </c>
      <c r="I396" s="903">
        <f t="shared" si="42"/>
        <v>0</v>
      </c>
      <c r="J396" s="799">
        <f t="shared" si="43"/>
        <v>0</v>
      </c>
      <c r="L396" s="1451"/>
      <c r="M396" s="1132"/>
      <c r="N396" s="1436" t="s">
        <v>415</v>
      </c>
      <c r="O396" s="1198" t="str">
        <f>IFERROR(VLOOKUP(P396,constant_ag_extr!$D$7:$E$594,2,FALSE),"")</f>
        <v>Fibre Crops Nes</v>
      </c>
      <c r="P396" s="1199">
        <f t="shared" si="47"/>
        <v>821</v>
      </c>
      <c r="Q396" s="1247">
        <f t="shared" si="48"/>
        <v>1</v>
      </c>
    </row>
    <row r="397" spans="1:17" ht="12.75" customHeight="1">
      <c r="A397" s="143" t="s">
        <v>4579</v>
      </c>
      <c r="B397" s="935">
        <v>826</v>
      </c>
      <c r="C397" s="36" t="s">
        <v>3695</v>
      </c>
      <c r="D397" s="1132">
        <v>199731</v>
      </c>
      <c r="E397" s="1132">
        <v>171844</v>
      </c>
      <c r="F397" s="809">
        <f t="shared" si="44"/>
        <v>1.7403612135844093</v>
      </c>
      <c r="G397" s="809">
        <f t="shared" si="45"/>
        <v>1</v>
      </c>
      <c r="H397" s="809">
        <f t="shared" si="46"/>
        <v>2.5252766180478901</v>
      </c>
      <c r="I397" s="903">
        <f t="shared" si="42"/>
        <v>289811.11522275396</v>
      </c>
      <c r="J397" s="799">
        <f t="shared" si="43"/>
        <v>249346.87797256775</v>
      </c>
      <c r="L397" s="1451">
        <v>2502940</v>
      </c>
      <c r="M397" s="1132">
        <v>2597400</v>
      </c>
      <c r="N397" s="1436" t="s">
        <v>415</v>
      </c>
      <c r="O397" s="1198" t="str">
        <f>IFERROR(VLOOKUP(P397,constant_ag_extr!$D$7:$E$594,2,FALSE),"")</f>
        <v>Tobacco, unmanufactured</v>
      </c>
      <c r="P397" s="1199">
        <f t="shared" si="47"/>
        <v>826</v>
      </c>
      <c r="Q397" s="1247">
        <f t="shared" si="48"/>
        <v>1</v>
      </c>
    </row>
    <row r="398" spans="1:17" ht="12.75" customHeight="1">
      <c r="A398" s="143" t="s">
        <v>4481</v>
      </c>
      <c r="B398" s="935">
        <v>828</v>
      </c>
      <c r="C398" s="36" t="s">
        <v>4714</v>
      </c>
      <c r="D398" s="1132">
        <v>13651</v>
      </c>
      <c r="E398" s="1132">
        <v>22551</v>
      </c>
      <c r="F398" s="809">
        <f t="shared" si="44"/>
        <v>0</v>
      </c>
      <c r="G398" s="809">
        <f t="shared" si="45"/>
        <v>1</v>
      </c>
      <c r="H398" s="809">
        <f t="shared" si="46"/>
        <v>2.5252766180478901</v>
      </c>
      <c r="I398" s="903">
        <f t="shared" si="42"/>
        <v>0</v>
      </c>
      <c r="J398" s="799">
        <f t="shared" si="43"/>
        <v>0</v>
      </c>
      <c r="L398" s="1451">
        <v>1026390</v>
      </c>
      <c r="M398" s="1132">
        <v>1183460</v>
      </c>
      <c r="N398" s="1436" t="s">
        <v>2921</v>
      </c>
      <c r="O398" s="1198">
        <f>IFERROR(VLOOKUP(P398,constant_ag_extr!$D$7:$E$594,2,FALSE),"")</f>
        <v>0</v>
      </c>
      <c r="P398" s="1199" t="str">
        <f t="shared" si="47"/>
        <v/>
      </c>
      <c r="Q398" s="1247">
        <f t="shared" si="48"/>
        <v>1</v>
      </c>
    </row>
    <row r="399" spans="1:17" ht="12.75" customHeight="1">
      <c r="A399" s="143" t="s">
        <v>7246</v>
      </c>
      <c r="B399" s="935">
        <v>829</v>
      </c>
      <c r="C399" s="36" t="s">
        <v>2874</v>
      </c>
      <c r="D399" s="1132">
        <v>18780</v>
      </c>
      <c r="E399" s="1132">
        <v>1823</v>
      </c>
      <c r="F399" s="809">
        <f t="shared" si="44"/>
        <v>0</v>
      </c>
      <c r="G399" s="809">
        <f t="shared" si="45"/>
        <v>1</v>
      </c>
      <c r="H399" s="809">
        <f t="shared" si="46"/>
        <v>2.5252766180478901</v>
      </c>
      <c r="I399" s="903">
        <f t="shared" si="42"/>
        <v>0</v>
      </c>
      <c r="J399" s="799">
        <f t="shared" si="43"/>
        <v>0</v>
      </c>
      <c r="L399" s="1451">
        <v>48463</v>
      </c>
      <c r="M399" s="1132">
        <v>50520</v>
      </c>
      <c r="N399" s="1436" t="s">
        <v>2921</v>
      </c>
      <c r="O399" s="1198">
        <f>IFERROR(VLOOKUP(P399,constant_ag_extr!$D$7:$E$594,2,FALSE),"")</f>
        <v>0</v>
      </c>
      <c r="P399" s="1199" t="str">
        <f t="shared" si="47"/>
        <v/>
      </c>
      <c r="Q399" s="1247">
        <f t="shared" si="48"/>
        <v>1</v>
      </c>
    </row>
    <row r="400" spans="1:17" ht="12.75" customHeight="1">
      <c r="A400" s="143" t="s">
        <v>3381</v>
      </c>
      <c r="B400" s="935">
        <v>831</v>
      </c>
      <c r="C400" s="36" t="e">
        <v>#N/A</v>
      </c>
      <c r="D400" s="1132">
        <v>6431</v>
      </c>
      <c r="E400" s="1132">
        <v>22373</v>
      </c>
      <c r="F400" s="809">
        <f t="shared" si="44"/>
        <v>0</v>
      </c>
      <c r="G400" s="809">
        <f t="shared" si="45"/>
        <v>1</v>
      </c>
      <c r="H400" s="809">
        <f t="shared" si="46"/>
        <v>2.5252766180478901</v>
      </c>
      <c r="I400" s="903">
        <f t="shared" si="42"/>
        <v>0</v>
      </c>
      <c r="J400" s="799">
        <f t="shared" si="43"/>
        <v>0</v>
      </c>
      <c r="L400" s="1451">
        <v>517248</v>
      </c>
      <c r="M400" s="1132">
        <v>541250</v>
      </c>
      <c r="N400" s="1436" t="s">
        <v>2921</v>
      </c>
      <c r="O400" s="1198">
        <f>IFERROR(VLOOKUP(P400,constant_ag_extr!$D$7:$E$594,2,FALSE),"")</f>
        <v>0</v>
      </c>
      <c r="P400" s="1199" t="str">
        <f t="shared" si="47"/>
        <v/>
      </c>
      <c r="Q400" s="1247">
        <f t="shared" si="48"/>
        <v>1</v>
      </c>
    </row>
    <row r="401" spans="1:17" ht="12.75" customHeight="1">
      <c r="A401" s="143" t="s">
        <v>7322</v>
      </c>
      <c r="B401" s="935">
        <v>836</v>
      </c>
      <c r="C401" s="36" t="s">
        <v>2976</v>
      </c>
      <c r="D401" s="1132">
        <v>45939</v>
      </c>
      <c r="E401" s="1132">
        <v>5398</v>
      </c>
      <c r="F401" s="809">
        <f t="shared" si="44"/>
        <v>1.1492489613641417</v>
      </c>
      <c r="G401" s="809">
        <f t="shared" si="45"/>
        <v>1</v>
      </c>
      <c r="H401" s="809">
        <f t="shared" si="46"/>
        <v>2.5252766180478901</v>
      </c>
      <c r="I401" s="903">
        <f t="shared" si="42"/>
        <v>100943.03885104357</v>
      </c>
      <c r="J401" s="799">
        <f t="shared" si="43"/>
        <v>11861.175117393352</v>
      </c>
      <c r="L401" s="1451">
        <v>1094300</v>
      </c>
      <c r="M401" s="1132">
        <v>1253100</v>
      </c>
      <c r="N401" s="1436" t="s">
        <v>415</v>
      </c>
      <c r="O401" s="1198" t="str">
        <f>IFERROR(VLOOKUP(P401,constant_ag_extr!$D$7:$E$594,2,FALSE),"")</f>
        <v>Natural rubber</v>
      </c>
      <c r="P401" s="1199">
        <f t="shared" si="47"/>
        <v>836</v>
      </c>
      <c r="Q401" s="1247">
        <f t="shared" si="48"/>
        <v>1</v>
      </c>
    </row>
    <row r="402" spans="1:17" ht="12.75" customHeight="1">
      <c r="A402" s="143" t="s">
        <v>7321</v>
      </c>
      <c r="B402" s="935">
        <v>837</v>
      </c>
      <c r="C402" s="36" t="s">
        <v>518</v>
      </c>
      <c r="D402" s="1132">
        <v>881396</v>
      </c>
      <c r="E402" s="1132">
        <v>27135</v>
      </c>
      <c r="F402" s="809">
        <f t="shared" si="44"/>
        <v>0</v>
      </c>
      <c r="G402" s="809">
        <f t="shared" si="45"/>
        <v>1</v>
      </c>
      <c r="H402" s="809">
        <f t="shared" si="46"/>
        <v>2.5252766180478901</v>
      </c>
      <c r="I402" s="903">
        <f t="shared" si="42"/>
        <v>0</v>
      </c>
      <c r="J402" s="799">
        <f t="shared" si="43"/>
        <v>0</v>
      </c>
      <c r="L402" s="1451">
        <v>7494690</v>
      </c>
      <c r="M402" s="1132">
        <v>7648370</v>
      </c>
      <c r="N402" s="1436" t="s">
        <v>2921</v>
      </c>
      <c r="O402" s="1198">
        <f>IFERROR(VLOOKUP(P402,constant_ag_extr!$D$7:$E$594,2,FALSE),"")</f>
        <v>0</v>
      </c>
      <c r="P402" s="1199" t="str">
        <f t="shared" si="47"/>
        <v/>
      </c>
      <c r="Q402" s="1247">
        <f t="shared" si="48"/>
        <v>1</v>
      </c>
    </row>
    <row r="403" spans="1:17" ht="12.75" customHeight="1">
      <c r="A403" s="143" t="s">
        <v>5443</v>
      </c>
      <c r="B403" s="935">
        <v>839</v>
      </c>
      <c r="C403" s="36" t="s">
        <v>5444</v>
      </c>
      <c r="D403" s="1132"/>
      <c r="E403" s="1132"/>
      <c r="F403" s="809">
        <f t="shared" si="44"/>
        <v>0</v>
      </c>
      <c r="G403" s="809">
        <f t="shared" si="45"/>
        <v>1</v>
      </c>
      <c r="H403" s="809">
        <f t="shared" si="46"/>
        <v>2.5252766180478901</v>
      </c>
      <c r="I403" s="903">
        <f t="shared" si="42"/>
        <v>0</v>
      </c>
      <c r="J403" s="799">
        <f t="shared" si="43"/>
        <v>0</v>
      </c>
      <c r="L403" s="1451"/>
      <c r="M403" s="1132"/>
      <c r="N403" s="1436" t="s">
        <v>415</v>
      </c>
      <c r="O403" s="1198">
        <f>IFERROR(VLOOKUP(P403,constant_ag_extr!$D$7:$E$594,2,FALSE),"")</f>
        <v>0</v>
      </c>
      <c r="P403" s="1199" t="str">
        <f t="shared" si="47"/>
        <v/>
      </c>
      <c r="Q403" s="1247">
        <f t="shared" si="48"/>
        <v>1</v>
      </c>
    </row>
    <row r="404" spans="1:17" ht="12.75" customHeight="1">
      <c r="A404" s="143" t="s">
        <v>3531</v>
      </c>
      <c r="B404" s="935">
        <v>840</v>
      </c>
      <c r="C404" s="36" t="s">
        <v>3532</v>
      </c>
      <c r="D404" s="1132"/>
      <c r="E404" s="1132"/>
      <c r="F404" s="809">
        <f t="shared" si="44"/>
        <v>0</v>
      </c>
      <c r="G404" s="809">
        <f t="shared" si="45"/>
        <v>1</v>
      </c>
      <c r="H404" s="809">
        <f t="shared" si="46"/>
        <v>2.5252766180478901</v>
      </c>
      <c r="I404" s="903">
        <f t="shared" si="42"/>
        <v>0</v>
      </c>
      <c r="J404" s="799">
        <f t="shared" si="43"/>
        <v>0</v>
      </c>
      <c r="L404" s="1451"/>
      <c r="M404" s="1132"/>
      <c r="N404" s="1436" t="s">
        <v>415</v>
      </c>
      <c r="O404" s="1198">
        <f>IFERROR(VLOOKUP(P404,constant_ag_extr!$D$7:$E$594,2,FALSE),"")</f>
        <v>0</v>
      </c>
      <c r="P404" s="1199" t="str">
        <f t="shared" si="47"/>
        <v/>
      </c>
      <c r="Q404" s="1247">
        <f t="shared" si="48"/>
        <v>1</v>
      </c>
    </row>
    <row r="405" spans="1:17" ht="12.75" customHeight="1">
      <c r="A405" s="143" t="s">
        <v>2826</v>
      </c>
      <c r="B405" s="935">
        <v>841</v>
      </c>
      <c r="C405" s="36" t="s">
        <v>2827</v>
      </c>
      <c r="D405" s="1132"/>
      <c r="E405" s="1132"/>
      <c r="F405" s="809">
        <f t="shared" si="44"/>
        <v>0</v>
      </c>
      <c r="G405" s="809">
        <f t="shared" si="45"/>
        <v>1</v>
      </c>
      <c r="H405" s="809">
        <f t="shared" si="46"/>
        <v>2.5252766180478901</v>
      </c>
      <c r="I405" s="903">
        <f t="shared" si="42"/>
        <v>0</v>
      </c>
      <c r="J405" s="799">
        <f t="shared" si="43"/>
        <v>0</v>
      </c>
      <c r="L405" s="1451"/>
      <c r="M405" s="1132"/>
      <c r="N405" s="1436" t="s">
        <v>2921</v>
      </c>
      <c r="O405" s="1198">
        <f>IFERROR(VLOOKUP(P405,constant_ag_extr!$D$7:$E$594,2,FALSE),"")</f>
        <v>0</v>
      </c>
      <c r="P405" s="1199" t="str">
        <f t="shared" si="47"/>
        <v/>
      </c>
      <c r="Q405" s="1247">
        <f t="shared" si="48"/>
        <v>1</v>
      </c>
    </row>
    <row r="406" spans="1:17" ht="12.75" customHeight="1">
      <c r="A406" s="143" t="s">
        <v>5486</v>
      </c>
      <c r="B406" s="935">
        <v>842</v>
      </c>
      <c r="C406" s="36" t="s">
        <v>3647</v>
      </c>
      <c r="D406" s="1132"/>
      <c r="E406" s="1132"/>
      <c r="F406" s="809">
        <f t="shared" si="44"/>
        <v>0</v>
      </c>
      <c r="G406" s="809">
        <f t="shared" si="45"/>
        <v>1</v>
      </c>
      <c r="H406" s="809">
        <f t="shared" si="46"/>
        <v>2.5252766180478901</v>
      </c>
      <c r="I406" s="903">
        <f t="shared" si="42"/>
        <v>0</v>
      </c>
      <c r="J406" s="799">
        <f t="shared" si="43"/>
        <v>0</v>
      </c>
      <c r="L406" s="1451"/>
      <c r="M406" s="1132"/>
      <c r="N406" s="1436" t="s">
        <v>2921</v>
      </c>
      <c r="O406" s="1198">
        <f>IFERROR(VLOOKUP(P406,constant_ag_extr!$D$7:$E$594,2,FALSE),"")</f>
        <v>0</v>
      </c>
      <c r="P406" s="1199" t="str">
        <f t="shared" si="47"/>
        <v/>
      </c>
      <c r="Q406" s="1247">
        <f t="shared" si="48"/>
        <v>1</v>
      </c>
    </row>
    <row r="407" spans="1:17" ht="12.75" customHeight="1">
      <c r="A407" s="143" t="s">
        <v>7216</v>
      </c>
      <c r="B407" s="935">
        <v>845</v>
      </c>
      <c r="C407" s="36" t="s">
        <v>2875</v>
      </c>
      <c r="D407" s="1132">
        <v>246650</v>
      </c>
      <c r="E407" s="1132">
        <v>962537</v>
      </c>
      <c r="F407" s="809">
        <f t="shared" si="44"/>
        <v>0</v>
      </c>
      <c r="G407" s="809">
        <f t="shared" si="45"/>
        <v>1</v>
      </c>
      <c r="H407" s="809">
        <f t="shared" si="46"/>
        <v>2.5252766180478901</v>
      </c>
      <c r="I407" s="903">
        <f t="shared" ref="I407:I426" si="49">IFERROR((D407/F407)*H407*G407,0)</f>
        <v>0</v>
      </c>
      <c r="J407" s="799">
        <f t="shared" ref="J407:J426" si="50">IFERROR((E407/F407)*H407*G407,0)</f>
        <v>0</v>
      </c>
      <c r="L407" s="1451">
        <v>1941280</v>
      </c>
      <c r="M407" s="1132">
        <v>1834730</v>
      </c>
      <c r="N407" s="1436" t="s">
        <v>2921</v>
      </c>
      <c r="O407" s="1198">
        <f>IFERROR(VLOOKUP(P407,constant_ag_extr!$D$7:$E$594,2,FALSE),"")</f>
        <v>0</v>
      </c>
      <c r="P407" s="1199" t="str">
        <f t="shared" si="47"/>
        <v/>
      </c>
      <c r="Q407" s="1247">
        <f t="shared" si="48"/>
        <v>1</v>
      </c>
    </row>
    <row r="408" spans="1:17" ht="12.75" customHeight="1">
      <c r="A408" s="143" t="s">
        <v>7217</v>
      </c>
      <c r="B408" s="935">
        <v>846</v>
      </c>
      <c r="C408" s="36" t="s">
        <v>407</v>
      </c>
      <c r="D408" s="1132">
        <v>86162</v>
      </c>
      <c r="E408" s="1132">
        <v>2042450</v>
      </c>
      <c r="F408" s="809">
        <f t="shared" si="44"/>
        <v>0.36982481816183121</v>
      </c>
      <c r="G408" s="809">
        <f t="shared" si="45"/>
        <v>1</v>
      </c>
      <c r="H408" s="809">
        <f t="shared" si="46"/>
        <v>2.5252766180478901</v>
      </c>
      <c r="I408" s="903">
        <f t="shared" si="49"/>
        <v>588340.40680587979</v>
      </c>
      <c r="J408" s="799">
        <f t="shared" si="50"/>
        <v>13946471.343291348</v>
      </c>
      <c r="L408" s="1451">
        <v>4670370</v>
      </c>
      <c r="M408" s="1132">
        <v>5024330</v>
      </c>
      <c r="N408" s="1436" t="s">
        <v>2921</v>
      </c>
      <c r="O408" s="1198" t="str">
        <f>IFERROR(VLOOKUP(P408,constant_ag_extr!$D$7:$E$594,2,FALSE),"")</f>
        <v>Wheat</v>
      </c>
      <c r="P408" s="1199">
        <f t="shared" si="47"/>
        <v>15</v>
      </c>
      <c r="Q408" s="1247">
        <f t="shared" si="48"/>
        <v>0.13580786044347012</v>
      </c>
    </row>
    <row r="409" spans="1:17" s="889" customFormat="1" ht="12.75" customHeight="1">
      <c r="A409" s="143" t="s">
        <v>2257</v>
      </c>
      <c r="B409" s="935">
        <v>850</v>
      </c>
      <c r="C409" s="36" t="s">
        <v>2258</v>
      </c>
      <c r="D409" s="1132"/>
      <c r="E409" s="1132">
        <v>0</v>
      </c>
      <c r="F409" s="809">
        <f t="shared" si="44"/>
        <v>0</v>
      </c>
      <c r="G409" s="809">
        <f t="shared" si="45"/>
        <v>1</v>
      </c>
      <c r="H409" s="809">
        <f t="shared" si="46"/>
        <v>2.5252766180478901</v>
      </c>
      <c r="I409" s="903">
        <f t="shared" si="49"/>
        <v>0</v>
      </c>
      <c r="J409" s="799">
        <f t="shared" si="50"/>
        <v>0</v>
      </c>
      <c r="L409" s="1451">
        <v>540192</v>
      </c>
      <c r="M409" s="1132">
        <v>1433930</v>
      </c>
      <c r="N409" s="1436" t="s">
        <v>415</v>
      </c>
      <c r="O409" s="1198">
        <f>IFERROR(VLOOKUP(P409,constant_ag_extr!$D$7:$E$594,2,FALSE),"")</f>
        <v>0</v>
      </c>
      <c r="P409" s="1199" t="str">
        <f t="shared" si="47"/>
        <v/>
      </c>
      <c r="Q409" s="1247">
        <f t="shared" si="48"/>
        <v>1</v>
      </c>
    </row>
    <row r="410" spans="1:17" ht="12.75" customHeight="1">
      <c r="A410" s="143" t="s">
        <v>550</v>
      </c>
      <c r="B410" s="935">
        <v>852</v>
      </c>
      <c r="C410" s="36" t="s">
        <v>551</v>
      </c>
      <c r="D410" s="1132"/>
      <c r="E410" s="1132"/>
      <c r="F410" s="809">
        <f t="shared" si="44"/>
        <v>0</v>
      </c>
      <c r="G410" s="809">
        <f t="shared" si="45"/>
        <v>1</v>
      </c>
      <c r="H410" s="809">
        <f t="shared" si="46"/>
        <v>2.5252766180478901</v>
      </c>
      <c r="I410" s="903">
        <f t="shared" si="49"/>
        <v>0</v>
      </c>
      <c r="J410" s="799">
        <f t="shared" si="50"/>
        <v>0</v>
      </c>
      <c r="L410" s="1451"/>
      <c r="M410" s="1132"/>
      <c r="N410" s="1436" t="s">
        <v>2921</v>
      </c>
      <c r="O410" s="1198">
        <f>IFERROR(VLOOKUP(P410,constant_ag_extr!$D$7:$E$594,2,FALSE),"")</f>
        <v>0</v>
      </c>
      <c r="P410" s="1199" t="str">
        <f t="shared" si="47"/>
        <v/>
      </c>
      <c r="Q410" s="1247">
        <f t="shared" si="48"/>
        <v>1</v>
      </c>
    </row>
    <row r="411" spans="1:17" ht="12.75" customHeight="1">
      <c r="A411" s="143" t="s">
        <v>3680</v>
      </c>
      <c r="B411" s="935">
        <v>853</v>
      </c>
      <c r="C411" s="36" t="s">
        <v>3681</v>
      </c>
      <c r="D411" s="1132"/>
      <c r="E411" s="1132"/>
      <c r="F411" s="809">
        <f t="shared" si="44"/>
        <v>0</v>
      </c>
      <c r="G411" s="809">
        <f t="shared" si="45"/>
        <v>1</v>
      </c>
      <c r="H411" s="809">
        <f t="shared" si="46"/>
        <v>2.5252766180478901</v>
      </c>
      <c r="I411" s="903">
        <f t="shared" si="49"/>
        <v>0</v>
      </c>
      <c r="J411" s="799">
        <f t="shared" si="50"/>
        <v>0</v>
      </c>
      <c r="L411" s="1451">
        <v>0</v>
      </c>
      <c r="M411" s="1132">
        <v>0</v>
      </c>
      <c r="N411" s="1436" t="s">
        <v>2921</v>
      </c>
      <c r="O411" s="1198">
        <f>IFERROR(VLOOKUP(P411,constant_ag_extr!$D$7:$E$594,2,FALSE),"")</f>
        <v>0</v>
      </c>
      <c r="P411" s="1199" t="str">
        <f t="shared" si="47"/>
        <v/>
      </c>
      <c r="Q411" s="1247">
        <f t="shared" si="48"/>
        <v>1</v>
      </c>
    </row>
    <row r="412" spans="1:17" ht="12.75" customHeight="1">
      <c r="A412" s="143" t="s">
        <v>4179</v>
      </c>
      <c r="B412" s="935">
        <v>854</v>
      </c>
      <c r="C412" s="36" t="s">
        <v>4180</v>
      </c>
      <c r="D412" s="1132"/>
      <c r="E412" s="1132"/>
      <c r="F412" s="809">
        <f t="shared" si="44"/>
        <v>0</v>
      </c>
      <c r="G412" s="809">
        <f t="shared" si="45"/>
        <v>1</v>
      </c>
      <c r="H412" s="809">
        <f t="shared" si="46"/>
        <v>2.5252766180478901</v>
      </c>
      <c r="I412" s="903">
        <f t="shared" si="49"/>
        <v>0</v>
      </c>
      <c r="J412" s="799">
        <f t="shared" si="50"/>
        <v>0</v>
      </c>
      <c r="L412" s="1451"/>
      <c r="M412" s="1132"/>
      <c r="N412" s="1436" t="s">
        <v>415</v>
      </c>
      <c r="O412" s="1198">
        <f>IFERROR(VLOOKUP(P412,constant_ag_extr!$D$7:$E$594,2,FALSE),"")</f>
        <v>0</v>
      </c>
      <c r="P412" s="1199" t="str">
        <f t="shared" si="47"/>
        <v/>
      </c>
      <c r="Q412" s="1247">
        <f t="shared" si="48"/>
        <v>1</v>
      </c>
    </row>
    <row r="413" spans="1:17" ht="12.75" customHeight="1">
      <c r="A413" s="143" t="s">
        <v>851</v>
      </c>
      <c r="B413" s="935">
        <v>855</v>
      </c>
      <c r="C413" s="36" t="s">
        <v>852</v>
      </c>
      <c r="D413" s="1132"/>
      <c r="E413" s="1132"/>
      <c r="F413" s="809">
        <f t="shared" si="44"/>
        <v>0</v>
      </c>
      <c r="G413" s="809">
        <f t="shared" si="45"/>
        <v>1</v>
      </c>
      <c r="H413" s="809">
        <f t="shared" si="46"/>
        <v>2.5252766180478901</v>
      </c>
      <c r="I413" s="903">
        <f t="shared" si="49"/>
        <v>0</v>
      </c>
      <c r="J413" s="799">
        <f t="shared" si="50"/>
        <v>0</v>
      </c>
      <c r="L413" s="1451">
        <v>0</v>
      </c>
      <c r="M413" s="1132">
        <v>0</v>
      </c>
      <c r="N413" s="1436" t="s">
        <v>415</v>
      </c>
      <c r="O413" s="1198">
        <f>IFERROR(VLOOKUP(P413,constant_ag_extr!$D$7:$E$594,2,FALSE),"")</f>
        <v>0</v>
      </c>
      <c r="P413" s="1199" t="str">
        <f t="shared" si="47"/>
        <v/>
      </c>
      <c r="Q413" s="1247">
        <f t="shared" si="48"/>
        <v>1</v>
      </c>
    </row>
    <row r="414" spans="1:17" ht="12.75" customHeight="1">
      <c r="A414" s="143" t="s">
        <v>4893</v>
      </c>
      <c r="B414" s="935">
        <v>857</v>
      </c>
      <c r="C414" s="36" t="s">
        <v>4894</v>
      </c>
      <c r="D414" s="1132"/>
      <c r="E414" s="1132"/>
      <c r="F414" s="809">
        <f t="shared" si="44"/>
        <v>0</v>
      </c>
      <c r="G414" s="809">
        <f t="shared" si="45"/>
        <v>1</v>
      </c>
      <c r="H414" s="809">
        <f t="shared" si="46"/>
        <v>2.5252766180478901</v>
      </c>
      <c r="I414" s="903">
        <f t="shared" si="49"/>
        <v>0</v>
      </c>
      <c r="J414" s="799">
        <f t="shared" si="50"/>
        <v>0</v>
      </c>
      <c r="L414" s="1451"/>
      <c r="M414" s="1132"/>
      <c r="N414" s="1436" t="s">
        <v>2921</v>
      </c>
      <c r="O414" s="1198">
        <f>IFERROR(VLOOKUP(P414,constant_ag_extr!$D$7:$E$594,2,FALSE),"")</f>
        <v>0</v>
      </c>
      <c r="P414" s="1199" t="str">
        <f t="shared" si="47"/>
        <v/>
      </c>
      <c r="Q414" s="1247">
        <f t="shared" si="48"/>
        <v>1</v>
      </c>
    </row>
    <row r="415" spans="1:17" ht="12.75" customHeight="1">
      <c r="A415" s="143" t="s">
        <v>1538</v>
      </c>
      <c r="B415" s="935">
        <v>858</v>
      </c>
      <c r="C415" s="36" t="s">
        <v>5053</v>
      </c>
      <c r="D415" s="1132"/>
      <c r="E415" s="1132"/>
      <c r="F415" s="809">
        <f t="shared" si="44"/>
        <v>0</v>
      </c>
      <c r="G415" s="809">
        <f t="shared" si="45"/>
        <v>1</v>
      </c>
      <c r="H415" s="809">
        <f t="shared" si="46"/>
        <v>2.5252766180478901</v>
      </c>
      <c r="I415" s="903">
        <f t="shared" si="49"/>
        <v>0</v>
      </c>
      <c r="J415" s="799">
        <f t="shared" si="50"/>
        <v>0</v>
      </c>
      <c r="L415" s="1451">
        <v>0</v>
      </c>
      <c r="M415" s="1132">
        <v>0</v>
      </c>
      <c r="N415" s="1436" t="s">
        <v>2921</v>
      </c>
      <c r="O415" s="1198">
        <f>IFERROR(VLOOKUP(P415,constant_ag_extr!$D$7:$E$594,2,FALSE),"")</f>
        <v>0</v>
      </c>
      <c r="P415" s="1199" t="str">
        <f t="shared" si="47"/>
        <v/>
      </c>
      <c r="Q415" s="1247">
        <f t="shared" si="48"/>
        <v>1</v>
      </c>
    </row>
    <row r="416" spans="1:17" ht="12.75" customHeight="1">
      <c r="A416" s="143" t="s">
        <v>4891</v>
      </c>
      <c r="B416" s="935">
        <v>859</v>
      </c>
      <c r="C416" s="36" t="s">
        <v>4892</v>
      </c>
      <c r="D416" s="1132"/>
      <c r="E416" s="1132"/>
      <c r="F416" s="809">
        <f t="shared" si="44"/>
        <v>0</v>
      </c>
      <c r="G416" s="809">
        <f t="shared" si="45"/>
        <v>1</v>
      </c>
      <c r="H416" s="809">
        <f t="shared" si="46"/>
        <v>2.5252766180478901</v>
      </c>
      <c r="I416" s="903">
        <f t="shared" si="49"/>
        <v>0</v>
      </c>
      <c r="J416" s="799">
        <f t="shared" si="50"/>
        <v>0</v>
      </c>
      <c r="L416" s="1451">
        <v>71139</v>
      </c>
      <c r="M416" s="1132">
        <v>48652</v>
      </c>
      <c r="N416" s="1436" t="s">
        <v>2921</v>
      </c>
      <c r="O416" s="1198">
        <f>IFERROR(VLOOKUP(P416,constant_ag_extr!$D$7:$E$594,2,FALSE),"")</f>
        <v>0</v>
      </c>
      <c r="P416" s="1199" t="str">
        <f t="shared" si="47"/>
        <v/>
      </c>
      <c r="Q416" s="1247">
        <f t="shared" si="48"/>
        <v>1</v>
      </c>
    </row>
    <row r="417" spans="1:17" ht="12.75" customHeight="1">
      <c r="A417" s="143" t="s">
        <v>4595</v>
      </c>
      <c r="B417" s="935">
        <v>862</v>
      </c>
      <c r="C417" s="36" t="s">
        <v>4596</v>
      </c>
      <c r="D417" s="1132">
        <v>41741</v>
      </c>
      <c r="E417" s="1132">
        <v>241928</v>
      </c>
      <c r="F417" s="809">
        <f t="shared" si="44"/>
        <v>21.91931311479096</v>
      </c>
      <c r="G417" s="809">
        <f t="shared" si="45"/>
        <v>1</v>
      </c>
      <c r="H417" s="809">
        <f t="shared" si="46"/>
        <v>2.5252766180478901</v>
      </c>
      <c r="I417" s="903">
        <f t="shared" si="49"/>
        <v>4808.8902586463291</v>
      </c>
      <c r="J417" s="799">
        <f t="shared" si="50"/>
        <v>27872.001209692851</v>
      </c>
      <c r="L417" s="1451">
        <v>1327140</v>
      </c>
      <c r="M417" s="1132">
        <v>1248770</v>
      </c>
      <c r="N417" s="1436" t="s">
        <v>2921</v>
      </c>
      <c r="O417" s="1198" t="str">
        <f>IFERROR(VLOOKUP(P417,constant_ag_extr!$D$7:$E$594,2,FALSE),"")</f>
        <v>Alfalfa for forage and silage</v>
      </c>
      <c r="P417" s="1199">
        <f t="shared" si="47"/>
        <v>641</v>
      </c>
      <c r="Q417" s="1247">
        <f t="shared" si="48"/>
        <v>1</v>
      </c>
    </row>
    <row r="418" spans="1:17" ht="12.75" customHeight="1">
      <c r="A418" s="143" t="s">
        <v>1431</v>
      </c>
      <c r="B418" s="935">
        <v>1222</v>
      </c>
      <c r="C418" s="36" t="s">
        <v>3194</v>
      </c>
      <c r="D418" s="1132"/>
      <c r="E418" s="1132"/>
      <c r="F418" s="809">
        <f t="shared" si="44"/>
        <v>0</v>
      </c>
      <c r="G418" s="809">
        <f t="shared" si="45"/>
        <v>1</v>
      </c>
      <c r="H418" s="809">
        <f t="shared" si="46"/>
        <v>2.5252766180478901</v>
      </c>
      <c r="I418" s="903">
        <f t="shared" si="49"/>
        <v>0</v>
      </c>
      <c r="J418" s="799">
        <f t="shared" si="50"/>
        <v>0</v>
      </c>
      <c r="L418" s="1451"/>
      <c r="M418" s="1132"/>
      <c r="N418" s="1436" t="s">
        <v>2921</v>
      </c>
      <c r="O418" s="1198">
        <f>IFERROR(VLOOKUP(P418,constant_ag_extr!$D$7:$E$594,2,FALSE),"")</f>
        <v>0</v>
      </c>
      <c r="P418" s="1199" t="str">
        <f t="shared" si="47"/>
        <v/>
      </c>
      <c r="Q418" s="1247">
        <f t="shared" si="48"/>
        <v>1</v>
      </c>
    </row>
    <row r="419" spans="1:17" ht="12.75" customHeight="1">
      <c r="A419" s="143" t="s">
        <v>4148</v>
      </c>
      <c r="B419" s="935">
        <v>1232</v>
      </c>
      <c r="C419" s="36" t="s">
        <v>4149</v>
      </c>
      <c r="D419" s="1132">
        <v>0</v>
      </c>
      <c r="E419" s="1132">
        <v>0</v>
      </c>
      <c r="F419" s="809">
        <f t="shared" si="44"/>
        <v>0</v>
      </c>
      <c r="G419" s="809">
        <f t="shared" si="45"/>
        <v>1</v>
      </c>
      <c r="H419" s="809">
        <f t="shared" si="46"/>
        <v>2.5252766180478901</v>
      </c>
      <c r="I419" s="903">
        <f t="shared" si="49"/>
        <v>0</v>
      </c>
      <c r="J419" s="799">
        <f t="shared" si="50"/>
        <v>0</v>
      </c>
      <c r="L419" s="1451">
        <v>14855100</v>
      </c>
      <c r="M419" s="1132">
        <v>14155200</v>
      </c>
      <c r="N419" s="1436" t="s">
        <v>2921</v>
      </c>
      <c r="O419" s="1198">
        <f>IFERROR(VLOOKUP(P419,constant_ag_extr!$D$7:$E$594,2,FALSE),"")</f>
        <v>0</v>
      </c>
      <c r="P419" s="1199" t="str">
        <f t="shared" si="47"/>
        <v/>
      </c>
      <c r="Q419" s="1247">
        <f t="shared" si="48"/>
        <v>1</v>
      </c>
    </row>
    <row r="420" spans="1:17" ht="12.75" customHeight="1">
      <c r="A420" s="143" t="s">
        <v>7293</v>
      </c>
      <c r="B420" s="935">
        <v>1241</v>
      </c>
      <c r="C420" s="36" t="s">
        <v>3403</v>
      </c>
      <c r="D420" s="1132">
        <v>115675</v>
      </c>
      <c r="E420" s="1132">
        <v>91699</v>
      </c>
      <c r="F420" s="809">
        <f t="shared" si="44"/>
        <v>0</v>
      </c>
      <c r="G420" s="809">
        <f t="shared" si="45"/>
        <v>1</v>
      </c>
      <c r="H420" s="809">
        <f t="shared" si="46"/>
        <v>2.5252766180478901</v>
      </c>
      <c r="I420" s="903">
        <f t="shared" si="49"/>
        <v>0</v>
      </c>
      <c r="J420" s="799">
        <f t="shared" si="50"/>
        <v>0</v>
      </c>
      <c r="L420" s="1451">
        <v>124543</v>
      </c>
      <c r="M420" s="1132">
        <v>93148</v>
      </c>
      <c r="N420" s="1436" t="s">
        <v>2921</v>
      </c>
      <c r="O420" s="1198">
        <f>IFERROR(VLOOKUP(P420,constant_ag_extr!$D$7:$E$594,2,FALSE),"")</f>
        <v>0</v>
      </c>
      <c r="P420" s="1199" t="str">
        <f t="shared" si="47"/>
        <v/>
      </c>
      <c r="Q420" s="1247">
        <f t="shared" si="48"/>
        <v>1</v>
      </c>
    </row>
    <row r="421" spans="1:17" ht="12.75" customHeight="1">
      <c r="A421" s="143" t="s">
        <v>5161</v>
      </c>
      <c r="B421" s="935">
        <v>1242</v>
      </c>
      <c r="C421" s="36" t="s">
        <v>3404</v>
      </c>
      <c r="D421" s="1132">
        <v>6104</v>
      </c>
      <c r="E421" s="1132">
        <v>26260</v>
      </c>
      <c r="F421" s="809">
        <f t="shared" si="44"/>
        <v>0</v>
      </c>
      <c r="G421" s="809">
        <f t="shared" si="45"/>
        <v>1</v>
      </c>
      <c r="H421" s="809">
        <f t="shared" si="46"/>
        <v>2.5252766180478901</v>
      </c>
      <c r="I421" s="903">
        <f t="shared" si="49"/>
        <v>0</v>
      </c>
      <c r="J421" s="799">
        <f t="shared" si="50"/>
        <v>0</v>
      </c>
      <c r="L421" s="1451">
        <v>1202740</v>
      </c>
      <c r="M421" s="1132">
        <v>1719640</v>
      </c>
      <c r="N421" s="1436" t="s">
        <v>2921</v>
      </c>
      <c r="O421" s="1198">
        <f>IFERROR(VLOOKUP(P421,constant_ag_extr!$D$7:$E$594,2,FALSE),"")</f>
        <v>0</v>
      </c>
      <c r="P421" s="1199" t="str">
        <f t="shared" si="47"/>
        <v/>
      </c>
      <c r="Q421" s="1247">
        <f t="shared" si="48"/>
        <v>1</v>
      </c>
    </row>
    <row r="422" spans="1:17" ht="12.75" customHeight="1">
      <c r="A422" s="143" t="s">
        <v>2176</v>
      </c>
      <c r="B422" s="935">
        <v>1259</v>
      </c>
      <c r="C422" s="36" t="s">
        <v>2177</v>
      </c>
      <c r="D422" s="1132"/>
      <c r="E422" s="1132"/>
      <c r="F422" s="809">
        <f t="shared" si="44"/>
        <v>0</v>
      </c>
      <c r="G422" s="809">
        <f t="shared" si="45"/>
        <v>1</v>
      </c>
      <c r="H422" s="809">
        <f t="shared" si="46"/>
        <v>2.5252766180478901</v>
      </c>
      <c r="I422" s="903">
        <f t="shared" si="49"/>
        <v>0</v>
      </c>
      <c r="J422" s="799">
        <f t="shared" si="50"/>
        <v>0</v>
      </c>
      <c r="L422" s="1451"/>
      <c r="M422" s="1132"/>
      <c r="N422" s="1436" t="s">
        <v>2921</v>
      </c>
      <c r="O422" s="1198">
        <f>IFERROR(VLOOKUP(P422,constant_ag_extr!$D$7:$E$594,2,FALSE),"")</f>
        <v>0</v>
      </c>
      <c r="P422" s="1199" t="str">
        <f t="shared" si="47"/>
        <v/>
      </c>
      <c r="Q422" s="1247">
        <f t="shared" si="48"/>
        <v>1</v>
      </c>
    </row>
    <row r="423" spans="1:17" ht="12.75" customHeight="1">
      <c r="A423" s="143" t="s">
        <v>7297</v>
      </c>
      <c r="B423" s="935">
        <v>1274</v>
      </c>
      <c r="C423" s="36" t="s">
        <v>112</v>
      </c>
      <c r="D423" s="1132">
        <v>20576</v>
      </c>
      <c r="E423" s="1132">
        <v>273334</v>
      </c>
      <c r="F423" s="809">
        <f t="shared" si="44"/>
        <v>0</v>
      </c>
      <c r="G423" s="809">
        <f t="shared" si="45"/>
        <v>1</v>
      </c>
      <c r="H423" s="809">
        <f t="shared" si="46"/>
        <v>2.5252766180478901</v>
      </c>
      <c r="I423" s="903">
        <f t="shared" si="49"/>
        <v>0</v>
      </c>
      <c r="J423" s="799">
        <f t="shared" si="50"/>
        <v>0</v>
      </c>
      <c r="L423" s="1451">
        <v>2262980</v>
      </c>
      <c r="M423" s="1132">
        <v>1919070</v>
      </c>
      <c r="N423" s="1436" t="s">
        <v>2921</v>
      </c>
      <c r="O423" s="1198">
        <f>IFERROR(VLOOKUP(P423,constant_ag_extr!$D$7:$E$594,2,FALSE),"")</f>
        <v>0</v>
      </c>
      <c r="P423" s="1199" t="str">
        <f t="shared" si="47"/>
        <v/>
      </c>
      <c r="Q423" s="1247">
        <f t="shared" si="48"/>
        <v>1</v>
      </c>
    </row>
    <row r="424" spans="1:17" ht="12.75" customHeight="1">
      <c r="A424" s="143" t="s">
        <v>630</v>
      </c>
      <c r="B424" s="935">
        <v>1275</v>
      </c>
      <c r="C424" s="36" t="s">
        <v>3406</v>
      </c>
      <c r="D424" s="1132"/>
      <c r="E424" s="1132"/>
      <c r="F424" s="809">
        <f t="shared" si="44"/>
        <v>0</v>
      </c>
      <c r="G424" s="809">
        <f t="shared" si="45"/>
        <v>1</v>
      </c>
      <c r="H424" s="809">
        <f t="shared" si="46"/>
        <v>2.5252766180478901</v>
      </c>
      <c r="I424" s="903">
        <f t="shared" si="49"/>
        <v>0</v>
      </c>
      <c r="J424" s="799">
        <f t="shared" si="50"/>
        <v>0</v>
      </c>
      <c r="L424" s="1451"/>
      <c r="M424" s="1132"/>
      <c r="N424" s="1436" t="s">
        <v>2921</v>
      </c>
      <c r="O424" s="1198">
        <f>IFERROR(VLOOKUP(P424,constant_ag_extr!$D$7:$E$594,2,FALSE),"")</f>
        <v>0</v>
      </c>
      <c r="P424" s="1199" t="str">
        <f t="shared" si="47"/>
        <v/>
      </c>
      <c r="Q424" s="1247">
        <f t="shared" si="48"/>
        <v>1</v>
      </c>
    </row>
    <row r="425" spans="1:17" ht="12.75" customHeight="1">
      <c r="A425" s="143" t="s">
        <v>1429</v>
      </c>
      <c r="B425" s="935">
        <v>1293</v>
      </c>
      <c r="C425" s="36" t="s">
        <v>1430</v>
      </c>
      <c r="D425" s="1132">
        <v>0</v>
      </c>
      <c r="E425" s="1132">
        <v>0</v>
      </c>
      <c r="F425" s="809">
        <f t="shared" si="44"/>
        <v>0</v>
      </c>
      <c r="G425" s="809">
        <f t="shared" si="45"/>
        <v>1</v>
      </c>
      <c r="H425" s="809">
        <f t="shared" si="46"/>
        <v>2.5252766180478901</v>
      </c>
      <c r="I425" s="903">
        <f t="shared" si="49"/>
        <v>0</v>
      </c>
      <c r="J425" s="799">
        <f t="shared" si="50"/>
        <v>0</v>
      </c>
      <c r="L425" s="1451">
        <v>0</v>
      </c>
      <c r="M425" s="1132">
        <v>0</v>
      </c>
      <c r="N425" s="1436" t="s">
        <v>2921</v>
      </c>
      <c r="O425" s="1198">
        <f>IFERROR(VLOOKUP(P425,constant_ag_extr!$D$7:$E$594,2,FALSE),"")</f>
        <v>0</v>
      </c>
      <c r="P425" s="1199" t="str">
        <f t="shared" si="47"/>
        <v/>
      </c>
      <c r="Q425" s="1247">
        <f t="shared" si="48"/>
        <v>1</v>
      </c>
    </row>
    <row r="426" spans="1:17" ht="12.75" customHeight="1">
      <c r="A426" s="145" t="s">
        <v>269</v>
      </c>
      <c r="B426" s="938">
        <v>1296</v>
      </c>
      <c r="C426" s="146" t="s">
        <v>270</v>
      </c>
      <c r="D426" s="1133">
        <v>10100</v>
      </c>
      <c r="E426" s="1133">
        <v>2971</v>
      </c>
      <c r="F426" s="936">
        <f t="shared" si="44"/>
        <v>0</v>
      </c>
      <c r="G426" s="810">
        <f t="shared" si="45"/>
        <v>1</v>
      </c>
      <c r="H426" s="810">
        <f t="shared" si="46"/>
        <v>2.5252766180478901</v>
      </c>
      <c r="I426" s="804">
        <f t="shared" si="49"/>
        <v>0</v>
      </c>
      <c r="J426" s="70">
        <f t="shared" si="50"/>
        <v>0</v>
      </c>
      <c r="L426" s="1452">
        <v>80373</v>
      </c>
      <c r="M426" s="1133">
        <v>77385</v>
      </c>
      <c r="N426" s="1437" t="s">
        <v>2921</v>
      </c>
      <c r="O426" s="1201">
        <f>IFERROR(VLOOKUP(P426,constant_ag_extr!$D$7:$E$594,2,FALSE),"")</f>
        <v>0</v>
      </c>
      <c r="P426" s="1202" t="str">
        <f t="shared" si="47"/>
        <v/>
      </c>
      <c r="Q426" s="1445">
        <f t="shared" si="48"/>
        <v>1</v>
      </c>
    </row>
  </sheetData>
  <sortState ref="A7:P429">
    <sortCondition ref="B7:B429"/>
  </sortState>
  <phoneticPr fontId="5" type="noConversion"/>
  <hyperlinks>
    <hyperlink ref="E2" location="eqf" tooltip="Go to eqf" display="eqf"/>
    <hyperlink ref="C3" location="ef_crop!A1" tooltip="Go to ef_crop" display="ef_crop"/>
    <hyperlink ref="D2" location="constant_ag_extr!A1" tooltip="Go to crop_trade_yield_w" display="constant_ag_extr"/>
    <hyperlink ref="F2" location="iyf" display="iyf"/>
    <hyperlink ref="C2" location="crop_efp!A1" tooltip="Go to crop_trade_yield_w" display="crop_efp"/>
  </hyperlinks>
  <pageMargins left="0.75" right="0.75" top="1" bottom="1" header="0.5" footer="0.5"/>
  <pageSetup orientation="portrait" verticalDpi="0"/>
  <headerFooter alignWithMargins="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enableFormatConditionsCalculation="0">
    <tabColor theme="5"/>
  </sheetPr>
  <dimension ref="A1:E8"/>
  <sheetViews>
    <sheetView workbookViewId="0">
      <selection activeCell="A65536" sqref="A65536"/>
    </sheetView>
  </sheetViews>
  <sheetFormatPr baseColWidth="10" defaultColWidth="9.1640625" defaultRowHeight="12" x14ac:dyDescent="0"/>
  <cols>
    <col min="1" max="1" width="50.6640625" style="154" customWidth="1"/>
    <col min="2" max="2" width="21.6640625" style="154" customWidth="1"/>
    <col min="3" max="5" width="21.6640625" style="124" customWidth="1"/>
    <col min="6" max="16384" width="9.1640625" style="124"/>
  </cols>
  <sheetData>
    <row r="1" spans="1:5" s="53" customFormat="1" ht="12.75" customHeight="1">
      <c r="B1" s="125"/>
      <c r="C1" s="125"/>
      <c r="D1" s="125"/>
      <c r="E1" s="125"/>
    </row>
    <row r="2" spans="1:5" s="53" customFormat="1" ht="12.75" customHeight="1">
      <c r="B2" s="54" t="s">
        <v>1005</v>
      </c>
      <c r="C2" s="1064" t="s">
        <v>0</v>
      </c>
      <c r="D2" s="1064" t="s">
        <v>2118</v>
      </c>
      <c r="E2" s="1064" t="s">
        <v>6349</v>
      </c>
    </row>
    <row r="3" spans="1:5" s="53" customFormat="1" ht="12.75" customHeight="1">
      <c r="B3" s="54" t="s">
        <v>1006</v>
      </c>
      <c r="C3" s="1064" t="s">
        <v>4</v>
      </c>
      <c r="D3" s="1064" t="s">
        <v>2118</v>
      </c>
      <c r="E3" s="1064"/>
    </row>
    <row r="4" spans="1:5" s="53" customFormat="1" ht="12.75" customHeight="1"/>
    <row r="5" spans="1:5">
      <c r="A5" s="177" t="s">
        <v>2036</v>
      </c>
      <c r="B5" s="178" t="s">
        <v>2655</v>
      </c>
      <c r="C5" s="179" t="s">
        <v>3983</v>
      </c>
      <c r="D5" s="179" t="s">
        <v>3982</v>
      </c>
      <c r="E5" s="180" t="s">
        <v>3984</v>
      </c>
    </row>
    <row r="6" spans="1:5">
      <c r="A6" s="664" t="s">
        <v>7771</v>
      </c>
      <c r="B6" s="181" t="s">
        <v>732</v>
      </c>
      <c r="C6" s="126">
        <f>SUM(ef_crop!B3:B6)</f>
        <v>477400551.76082325</v>
      </c>
      <c r="D6" s="126">
        <f>SUM(ef_crop!C3:C6)</f>
        <v>57678636.692756668</v>
      </c>
      <c r="E6" s="118">
        <f>SUM(ef_crop!D3:D6)</f>
        <v>161744054.57846355</v>
      </c>
    </row>
    <row r="7" spans="1:5">
      <c r="A7" s="664" t="s">
        <v>6388</v>
      </c>
      <c r="B7" s="181" t="s">
        <v>548</v>
      </c>
      <c r="C7" s="676">
        <f>(IF(bioproductive_area!$D$7&gt;0,bioproductive_area!$D$7,(IF(bioproductive_area!$D$13&gt;0,bioproductive_area!$D$13,)))*1000/SUM(INDEX(tbl_prodstat_crop_n,,10)))</f>
        <v>0.93910817432110483</v>
      </c>
      <c r="D7" s="676">
        <f>((bioproductive_area!$E$13*1000)/SUM(INDEX(tbl_prodstat_crop_w,,12)))</f>
        <v>1.0080204486754887</v>
      </c>
      <c r="E7" s="155">
        <f>(C8+D8)/(C6+D6)</f>
        <v>-5.3463455968524906E-2</v>
      </c>
    </row>
    <row r="8" spans="1:5">
      <c r="A8" s="665" t="s">
        <v>6389</v>
      </c>
      <c r="B8" s="182" t="s">
        <v>732</v>
      </c>
      <c r="C8" s="147">
        <f>C6*(C7-1)</f>
        <v>-29069791.176828422</v>
      </c>
      <c r="D8" s="147">
        <f>D6*(D7-1)</f>
        <v>462608.5452664129</v>
      </c>
      <c r="E8" s="121">
        <f>E6*E7</f>
        <v>-8647396.1401263755</v>
      </c>
    </row>
  </sheetData>
  <phoneticPr fontId="5" type="noConversion"/>
  <hyperlinks>
    <hyperlink ref="C3" location="yf_crop!A1" tooltip="Go to ef_crop" display="yf_crop"/>
    <hyperlink ref="C2" location="ef_crop!A1" tooltip="Go to ef_crop" display="ef_crop"/>
    <hyperlink ref="E2" location="bioproductive_area!A1" display="bioproductive_area"/>
    <hyperlink ref="D2" location="crop_efp!A1" display="crop_efp"/>
    <hyperlink ref="D3" location="crop_efp!A1" display="crop_efp"/>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2" enableFormatConditionsCalculation="0">
    <tabColor rgb="FFFFA25D"/>
  </sheetPr>
  <dimension ref="A1:F331"/>
  <sheetViews>
    <sheetView workbookViewId="0">
      <pane ySplit="5" topLeftCell="A6" activePane="bottomLeft" state="frozen"/>
      <selection pane="bottomLeft" activeCell="A65536" sqref="A65536"/>
    </sheetView>
  </sheetViews>
  <sheetFormatPr baseColWidth="10" defaultColWidth="11.5" defaultRowHeight="12" x14ac:dyDescent="0"/>
  <cols>
    <col min="1" max="1" width="51.6640625" style="619" customWidth="1"/>
    <col min="2" max="2" width="16.5" style="619" customWidth="1"/>
    <col min="3" max="3" width="14.1640625" style="619" customWidth="1"/>
    <col min="4" max="4" width="14.5" style="619" customWidth="1"/>
    <col min="5" max="5" width="25.6640625" style="619" customWidth="1"/>
    <col min="6" max="6" width="22.6640625" style="619" customWidth="1"/>
    <col min="7" max="16384" width="11.5" style="619"/>
  </cols>
  <sheetData>
    <row r="1" spans="1:6">
      <c r="A1" s="53"/>
      <c r="C1" s="618"/>
      <c r="D1" s="618"/>
      <c r="E1" s="618"/>
      <c r="F1" s="618"/>
    </row>
    <row r="2" spans="1:6">
      <c r="A2" s="53"/>
      <c r="B2" s="54" t="s">
        <v>1005</v>
      </c>
      <c r="C2" s="1338"/>
      <c r="D2" s="1338"/>
      <c r="E2" s="1338"/>
      <c r="F2" s="1338"/>
    </row>
    <row r="3" spans="1:6">
      <c r="A3" s="53"/>
      <c r="B3" s="54" t="s">
        <v>1006</v>
      </c>
      <c r="C3" s="1338" t="s">
        <v>2118</v>
      </c>
      <c r="D3" s="1338" t="s">
        <v>5</v>
      </c>
      <c r="E3" s="1064" t="s">
        <v>3</v>
      </c>
      <c r="F3" s="1064" t="s">
        <v>2</v>
      </c>
    </row>
    <row r="4" spans="1:6">
      <c r="A4" s="83"/>
      <c r="C4" s="618"/>
      <c r="D4" s="618"/>
      <c r="E4" s="618"/>
      <c r="F4" s="618"/>
    </row>
    <row r="5" spans="1:6">
      <c r="A5" s="922" t="s">
        <v>5970</v>
      </c>
      <c r="B5" s="923" t="s">
        <v>2037</v>
      </c>
      <c r="C5" s="1022" t="s">
        <v>7127</v>
      </c>
      <c r="D5" s="183" t="s">
        <v>7083</v>
      </c>
      <c r="F5" s="797"/>
    </row>
    <row r="6" spans="1:6">
      <c r="A6" s="909" t="s">
        <v>1214</v>
      </c>
      <c r="B6" s="910">
        <v>15</v>
      </c>
      <c r="C6" s="1203">
        <v>0.14000000000000001</v>
      </c>
      <c r="D6" s="1354">
        <v>1.0381831951302016</v>
      </c>
    </row>
    <row r="7" spans="1:6">
      <c r="A7" s="911" t="s">
        <v>7181</v>
      </c>
      <c r="B7" s="911">
        <v>17</v>
      </c>
      <c r="C7" s="1204">
        <v>0.115</v>
      </c>
      <c r="D7" s="1205">
        <v>1</v>
      </c>
    </row>
    <row r="8" spans="1:6">
      <c r="A8" s="911" t="s">
        <v>7182</v>
      </c>
      <c r="B8" s="911">
        <v>26</v>
      </c>
      <c r="C8" s="1204">
        <v>0.9</v>
      </c>
      <c r="D8" s="1205">
        <v>1</v>
      </c>
    </row>
    <row r="9" spans="1:6">
      <c r="A9" s="909" t="s">
        <v>2286</v>
      </c>
      <c r="B9" s="910">
        <v>27</v>
      </c>
      <c r="C9" s="1204">
        <v>0.14000000000000001</v>
      </c>
      <c r="D9" s="1205">
        <v>1</v>
      </c>
    </row>
    <row r="10" spans="1:6">
      <c r="A10" s="912" t="s">
        <v>7183</v>
      </c>
      <c r="B10" s="912">
        <v>30</v>
      </c>
      <c r="C10" s="1204">
        <v>0.12</v>
      </c>
      <c r="D10" s="1205">
        <v>1</v>
      </c>
    </row>
    <row r="11" spans="1:6">
      <c r="A11" s="911" t="s">
        <v>7184</v>
      </c>
      <c r="B11" s="911">
        <v>35</v>
      </c>
      <c r="C11" s="1204">
        <v>9.7000000000000003E-2</v>
      </c>
      <c r="D11" s="1205">
        <v>1</v>
      </c>
    </row>
    <row r="12" spans="1:6">
      <c r="A12" s="911" t="s">
        <v>7185</v>
      </c>
      <c r="B12" s="911">
        <v>37</v>
      </c>
      <c r="C12" s="1204">
        <v>0.1</v>
      </c>
      <c r="D12" s="1205">
        <v>1</v>
      </c>
    </row>
    <row r="13" spans="1:6">
      <c r="A13" s="909" t="s">
        <v>627</v>
      </c>
      <c r="B13" s="910">
        <v>44</v>
      </c>
      <c r="C13" s="1204">
        <v>0.14000000000000001</v>
      </c>
      <c r="D13" s="1355">
        <v>0.99815209796853166</v>
      </c>
    </row>
    <row r="14" spans="1:6">
      <c r="A14" s="909" t="s">
        <v>2175</v>
      </c>
      <c r="B14" s="910">
        <v>56</v>
      </c>
      <c r="C14" s="1204">
        <v>0.14000000000000001</v>
      </c>
      <c r="D14" s="1205">
        <v>1</v>
      </c>
    </row>
    <row r="15" spans="1:6">
      <c r="A15" s="911" t="s">
        <v>7186</v>
      </c>
      <c r="B15" s="911">
        <v>59</v>
      </c>
      <c r="C15" s="1204">
        <v>0.12</v>
      </c>
      <c r="D15" s="1205">
        <v>1</v>
      </c>
    </row>
    <row r="16" spans="1:6">
      <c r="A16" s="911" t="s">
        <v>7187</v>
      </c>
      <c r="B16" s="911">
        <v>61</v>
      </c>
      <c r="C16" s="1204">
        <v>0.12</v>
      </c>
      <c r="D16" s="1205">
        <v>1</v>
      </c>
    </row>
    <row r="17" spans="1:4">
      <c r="A17" s="912" t="s">
        <v>7188</v>
      </c>
      <c r="B17" s="912">
        <v>66</v>
      </c>
      <c r="C17" s="1204">
        <v>0.9</v>
      </c>
      <c r="D17" s="1205">
        <v>1</v>
      </c>
    </row>
    <row r="18" spans="1:4">
      <c r="A18" s="913" t="s">
        <v>5182</v>
      </c>
      <c r="B18" s="910">
        <v>68</v>
      </c>
      <c r="C18" s="1204">
        <v>0.14000000000000001</v>
      </c>
      <c r="D18" s="1205">
        <v>1</v>
      </c>
    </row>
    <row r="19" spans="1:4">
      <c r="A19" s="909" t="s">
        <v>5568</v>
      </c>
      <c r="B19" s="910">
        <v>71</v>
      </c>
      <c r="C19" s="1204">
        <v>0.14000000000000001</v>
      </c>
      <c r="D19" s="1355">
        <v>0.86407721861505915</v>
      </c>
    </row>
    <row r="20" spans="1:4">
      <c r="A20" s="909" t="s">
        <v>804</v>
      </c>
      <c r="B20" s="910">
        <v>75</v>
      </c>
      <c r="C20" s="1204">
        <v>0.14000000000000001</v>
      </c>
      <c r="D20" s="1355">
        <v>1.2761289567149765</v>
      </c>
    </row>
    <row r="21" spans="1:4">
      <c r="A21" s="909" t="s">
        <v>2899</v>
      </c>
      <c r="B21" s="910">
        <v>79</v>
      </c>
      <c r="C21" s="1204">
        <v>0.14000000000000001</v>
      </c>
      <c r="D21" s="1355">
        <v>0.93564502879811484</v>
      </c>
    </row>
    <row r="22" spans="1:4">
      <c r="A22" s="914" t="s">
        <v>7189</v>
      </c>
      <c r="B22" s="915">
        <v>81</v>
      </c>
      <c r="C22" s="1204">
        <v>0.12</v>
      </c>
      <c r="D22" s="1205">
        <v>1</v>
      </c>
    </row>
    <row r="23" spans="1:4">
      <c r="A23" s="912" t="s">
        <v>7190</v>
      </c>
      <c r="B23" s="912">
        <v>82</v>
      </c>
      <c r="C23" s="1204">
        <v>0.9</v>
      </c>
      <c r="D23" s="1205">
        <v>1</v>
      </c>
    </row>
    <row r="24" spans="1:4">
      <c r="A24" s="909" t="s">
        <v>2805</v>
      </c>
      <c r="B24" s="910">
        <v>83</v>
      </c>
      <c r="C24" s="1204">
        <v>0.14000000000000001</v>
      </c>
      <c r="D24" s="1355">
        <v>0.87241711551891887</v>
      </c>
    </row>
    <row r="25" spans="1:4">
      <c r="A25" s="911" t="s">
        <v>7191</v>
      </c>
      <c r="B25" s="911">
        <v>85</v>
      </c>
      <c r="C25" s="1204">
        <v>0.12</v>
      </c>
      <c r="D25" s="1205">
        <v>1</v>
      </c>
    </row>
    <row r="26" spans="1:4">
      <c r="A26" s="909" t="s">
        <v>3912</v>
      </c>
      <c r="B26" s="910">
        <v>89</v>
      </c>
      <c r="C26" s="1204">
        <v>0.14000000000000001</v>
      </c>
      <c r="D26" s="1205">
        <v>1</v>
      </c>
    </row>
    <row r="27" spans="1:4">
      <c r="A27" s="914" t="s">
        <v>7192</v>
      </c>
      <c r="B27" s="915">
        <v>91</v>
      </c>
      <c r="C27" s="1204">
        <v>0.12</v>
      </c>
      <c r="D27" s="1205">
        <v>1</v>
      </c>
    </row>
    <row r="28" spans="1:4">
      <c r="A28" s="909" t="s">
        <v>5557</v>
      </c>
      <c r="B28" s="910">
        <v>92</v>
      </c>
      <c r="C28" s="1204">
        <v>0.14000000000000001</v>
      </c>
      <c r="D28" s="1205">
        <v>1</v>
      </c>
    </row>
    <row r="29" spans="1:4">
      <c r="A29" s="909" t="s">
        <v>4472</v>
      </c>
      <c r="B29" s="910">
        <v>94</v>
      </c>
      <c r="C29" s="1204">
        <v>0.14000000000000001</v>
      </c>
      <c r="D29" s="1205">
        <v>1</v>
      </c>
    </row>
    <row r="30" spans="1:4">
      <c r="A30" s="914" t="s">
        <v>7193</v>
      </c>
      <c r="B30" s="915">
        <v>96</v>
      </c>
      <c r="C30" s="1204">
        <v>0.12</v>
      </c>
      <c r="D30" s="1205">
        <v>1</v>
      </c>
    </row>
    <row r="31" spans="1:4">
      <c r="A31" s="909" t="s">
        <v>4581</v>
      </c>
      <c r="B31" s="910">
        <v>97</v>
      </c>
      <c r="C31" s="1204">
        <v>0.14000000000000001</v>
      </c>
      <c r="D31" s="1355">
        <v>1.0153963872541969</v>
      </c>
    </row>
    <row r="32" spans="1:4">
      <c r="A32" s="912" t="s">
        <v>7194</v>
      </c>
      <c r="B32" s="912">
        <v>99</v>
      </c>
      <c r="C32" s="1204">
        <v>0.12</v>
      </c>
      <c r="D32" s="1205">
        <v>1</v>
      </c>
    </row>
    <row r="33" spans="1:4">
      <c r="A33" s="909" t="s">
        <v>5971</v>
      </c>
      <c r="B33" s="910">
        <v>101</v>
      </c>
      <c r="C33" s="1204">
        <v>0.14000000000000001</v>
      </c>
      <c r="D33" s="1205">
        <v>1</v>
      </c>
    </row>
    <row r="34" spans="1:4">
      <c r="A34" s="909" t="s">
        <v>5972</v>
      </c>
      <c r="B34" s="910">
        <v>103</v>
      </c>
      <c r="C34" s="1204">
        <v>0.14000000000000001</v>
      </c>
      <c r="D34" s="1205">
        <v>1</v>
      </c>
    </row>
    <row r="35" spans="1:4">
      <c r="A35" s="909" t="s">
        <v>5973</v>
      </c>
      <c r="B35" s="910">
        <v>108</v>
      </c>
      <c r="C35" s="1204">
        <v>0.14000000000000001</v>
      </c>
      <c r="D35" s="1205">
        <v>1</v>
      </c>
    </row>
    <row r="36" spans="1:4">
      <c r="A36" s="909" t="s">
        <v>3261</v>
      </c>
      <c r="B36" s="910">
        <v>116</v>
      </c>
      <c r="C36" s="1204">
        <v>0.78</v>
      </c>
      <c r="D36" s="1205">
        <v>1</v>
      </c>
    </row>
    <row r="37" spans="1:4">
      <c r="A37" s="911" t="s">
        <v>7195</v>
      </c>
      <c r="B37" s="911">
        <v>120</v>
      </c>
      <c r="C37" s="1204">
        <v>0.78</v>
      </c>
      <c r="D37" s="1205">
        <v>1</v>
      </c>
    </row>
    <row r="38" spans="1:4">
      <c r="A38" s="909" t="s">
        <v>4870</v>
      </c>
      <c r="B38" s="910">
        <v>122</v>
      </c>
      <c r="C38" s="1204">
        <v>0.7</v>
      </c>
      <c r="D38" s="1205">
        <v>1</v>
      </c>
    </row>
    <row r="39" spans="1:4">
      <c r="A39" s="909" t="s">
        <v>4664</v>
      </c>
      <c r="B39" s="910">
        <v>125</v>
      </c>
      <c r="C39" s="1204">
        <v>0.7</v>
      </c>
      <c r="D39" s="1205">
        <v>1</v>
      </c>
    </row>
    <row r="40" spans="1:4">
      <c r="A40" s="909" t="s">
        <v>5974</v>
      </c>
      <c r="B40" s="910">
        <v>135</v>
      </c>
      <c r="C40" s="1204">
        <v>0.74</v>
      </c>
      <c r="D40" s="1205">
        <v>1</v>
      </c>
    </row>
    <row r="41" spans="1:4">
      <c r="A41" s="909" t="s">
        <v>5975</v>
      </c>
      <c r="B41" s="910">
        <v>136</v>
      </c>
      <c r="C41" s="1204">
        <v>0.74</v>
      </c>
      <c r="D41" s="1205">
        <v>1</v>
      </c>
    </row>
    <row r="42" spans="1:4">
      <c r="A42" s="909" t="s">
        <v>1217</v>
      </c>
      <c r="B42" s="910">
        <v>137</v>
      </c>
      <c r="C42" s="1204">
        <v>0.74</v>
      </c>
      <c r="D42" s="1205">
        <v>1</v>
      </c>
    </row>
    <row r="43" spans="1:4">
      <c r="A43" s="909" t="s">
        <v>2501</v>
      </c>
      <c r="B43" s="910">
        <v>149</v>
      </c>
      <c r="C43" s="1204">
        <v>0.75</v>
      </c>
      <c r="D43" s="1205">
        <v>1</v>
      </c>
    </row>
    <row r="44" spans="1:4">
      <c r="A44" s="909" t="s">
        <v>416</v>
      </c>
      <c r="B44" s="910">
        <v>156</v>
      </c>
      <c r="C44" s="1204">
        <v>0.83</v>
      </c>
      <c r="D44" s="1205">
        <v>1</v>
      </c>
    </row>
    <row r="45" spans="1:4">
      <c r="A45" s="909" t="s">
        <v>5976</v>
      </c>
      <c r="B45" s="910">
        <v>157</v>
      </c>
      <c r="C45" s="1204">
        <v>0.77</v>
      </c>
      <c r="D45" s="1205">
        <v>1</v>
      </c>
    </row>
    <row r="46" spans="1:4">
      <c r="A46" s="909" t="s">
        <v>5977</v>
      </c>
      <c r="B46" s="910">
        <v>161</v>
      </c>
      <c r="C46" s="1204">
        <v>0.7</v>
      </c>
      <c r="D46" s="1205">
        <v>1</v>
      </c>
    </row>
    <row r="47" spans="1:4">
      <c r="A47" s="911" t="s">
        <v>7196</v>
      </c>
      <c r="B47" s="911">
        <v>169</v>
      </c>
      <c r="C47" s="1204">
        <v>0.13</v>
      </c>
      <c r="D47" s="1205">
        <v>1</v>
      </c>
    </row>
    <row r="48" spans="1:4">
      <c r="A48" s="909" t="s">
        <v>5978</v>
      </c>
      <c r="B48" s="910">
        <v>176</v>
      </c>
      <c r="C48" s="1204">
        <v>0.1</v>
      </c>
      <c r="D48" s="1205">
        <v>1</v>
      </c>
    </row>
    <row r="49" spans="1:4">
      <c r="A49" s="909" t="s">
        <v>5979</v>
      </c>
      <c r="B49" s="910">
        <v>181</v>
      </c>
      <c r="C49" s="1204">
        <v>0.1</v>
      </c>
      <c r="D49" s="1205">
        <v>1</v>
      </c>
    </row>
    <row r="50" spans="1:4">
      <c r="A50" s="909" t="s">
        <v>5980</v>
      </c>
      <c r="B50" s="910">
        <v>187</v>
      </c>
      <c r="C50" s="1204">
        <v>0.11</v>
      </c>
      <c r="D50" s="1205">
        <v>1</v>
      </c>
    </row>
    <row r="51" spans="1:4">
      <c r="A51" s="909" t="s">
        <v>5981</v>
      </c>
      <c r="B51" s="910">
        <v>191</v>
      </c>
      <c r="C51" s="1204">
        <v>0.11</v>
      </c>
      <c r="D51" s="1205">
        <v>1</v>
      </c>
    </row>
    <row r="52" spans="1:4">
      <c r="A52" s="909" t="s">
        <v>5982</v>
      </c>
      <c r="B52" s="910">
        <v>195</v>
      </c>
      <c r="C52" s="1204">
        <v>0.11</v>
      </c>
      <c r="D52" s="1205">
        <v>1</v>
      </c>
    </row>
    <row r="53" spans="1:4">
      <c r="A53" s="909" t="s">
        <v>5983</v>
      </c>
      <c r="B53" s="910">
        <v>197</v>
      </c>
      <c r="C53" s="1204">
        <v>0.11</v>
      </c>
      <c r="D53" s="1205">
        <v>1</v>
      </c>
    </row>
    <row r="54" spans="1:4">
      <c r="A54" s="909" t="s">
        <v>575</v>
      </c>
      <c r="B54" s="910">
        <v>201</v>
      </c>
      <c r="C54" s="1204">
        <v>0.11</v>
      </c>
      <c r="D54" s="1205">
        <v>1</v>
      </c>
    </row>
    <row r="55" spans="1:4">
      <c r="A55" s="909" t="s">
        <v>5984</v>
      </c>
      <c r="B55" s="910">
        <v>203</v>
      </c>
      <c r="C55" s="1204">
        <v>0.1</v>
      </c>
      <c r="D55" s="1205">
        <v>1</v>
      </c>
    </row>
    <row r="56" spans="1:4">
      <c r="A56" s="909" t="s">
        <v>1209</v>
      </c>
      <c r="B56" s="910">
        <v>205</v>
      </c>
      <c r="C56" s="1204">
        <v>0.1</v>
      </c>
      <c r="D56" s="1205">
        <v>1</v>
      </c>
    </row>
    <row r="57" spans="1:4">
      <c r="A57" s="909" t="s">
        <v>3258</v>
      </c>
      <c r="B57" s="910">
        <v>210</v>
      </c>
      <c r="C57" s="1204">
        <v>0.15</v>
      </c>
      <c r="D57" s="1205">
        <v>1</v>
      </c>
    </row>
    <row r="58" spans="1:4">
      <c r="A58" s="909" t="s">
        <v>5073</v>
      </c>
      <c r="B58" s="910">
        <v>211</v>
      </c>
      <c r="C58" s="1204">
        <v>0.1</v>
      </c>
      <c r="D58" s="1205">
        <v>1</v>
      </c>
    </row>
    <row r="59" spans="1:4">
      <c r="A59" s="909" t="s">
        <v>5985</v>
      </c>
      <c r="B59" s="910">
        <v>216</v>
      </c>
      <c r="C59" s="1204">
        <v>0.05</v>
      </c>
      <c r="D59" s="1205">
        <v>1</v>
      </c>
    </row>
    <row r="60" spans="1:4">
      <c r="A60" s="909" t="s">
        <v>5986</v>
      </c>
      <c r="B60" s="910">
        <v>217</v>
      </c>
      <c r="C60" s="1204">
        <v>0.05</v>
      </c>
      <c r="D60" s="1205">
        <v>1</v>
      </c>
    </row>
    <row r="61" spans="1:4">
      <c r="A61" s="909" t="s">
        <v>3884</v>
      </c>
      <c r="B61" s="910">
        <v>220</v>
      </c>
      <c r="C61" s="1204">
        <v>0.08</v>
      </c>
      <c r="D61" s="1205">
        <v>1</v>
      </c>
    </row>
    <row r="62" spans="1:4">
      <c r="A62" s="909" t="s">
        <v>5987</v>
      </c>
      <c r="B62" s="910">
        <v>221</v>
      </c>
      <c r="C62" s="1204">
        <v>0.04</v>
      </c>
      <c r="D62" s="1205">
        <v>1</v>
      </c>
    </row>
    <row r="63" spans="1:4">
      <c r="A63" s="909" t="s">
        <v>5988</v>
      </c>
      <c r="B63" s="910">
        <v>222</v>
      </c>
      <c r="C63" s="1204">
        <v>0.04</v>
      </c>
      <c r="D63" s="1205">
        <v>1</v>
      </c>
    </row>
    <row r="64" spans="1:4">
      <c r="A64" s="909" t="s">
        <v>5276</v>
      </c>
      <c r="B64" s="910">
        <v>223</v>
      </c>
      <c r="C64" s="1204">
        <v>0.05</v>
      </c>
      <c r="D64" s="1205">
        <v>1</v>
      </c>
    </row>
    <row r="65" spans="1:4">
      <c r="A65" s="909" t="s">
        <v>571</v>
      </c>
      <c r="B65" s="910">
        <v>224</v>
      </c>
      <c r="C65" s="1204">
        <v>0.05</v>
      </c>
      <c r="D65" s="1205">
        <v>1</v>
      </c>
    </row>
    <row r="66" spans="1:4">
      <c r="A66" s="909" t="s">
        <v>5989</v>
      </c>
      <c r="B66" s="910">
        <v>225</v>
      </c>
      <c r="C66" s="1204">
        <v>0.06</v>
      </c>
      <c r="D66" s="1205">
        <v>1</v>
      </c>
    </row>
    <row r="67" spans="1:4">
      <c r="A67" s="909" t="s">
        <v>5990</v>
      </c>
      <c r="B67" s="910">
        <v>226</v>
      </c>
      <c r="C67" s="1204">
        <v>0.05</v>
      </c>
      <c r="D67" s="1205">
        <v>1</v>
      </c>
    </row>
    <row r="68" spans="1:4">
      <c r="A68" s="909" t="s">
        <v>5991</v>
      </c>
      <c r="B68" s="910">
        <v>234</v>
      </c>
      <c r="C68" s="1204">
        <v>0.05</v>
      </c>
      <c r="D68" s="1205">
        <v>1</v>
      </c>
    </row>
    <row r="69" spans="1:4">
      <c r="A69" s="909" t="s">
        <v>4047</v>
      </c>
      <c r="B69" s="910">
        <v>236</v>
      </c>
      <c r="C69" s="1204">
        <v>0.1</v>
      </c>
      <c r="D69" s="1205">
        <v>1</v>
      </c>
    </row>
    <row r="70" spans="1:4">
      <c r="A70" s="911" t="s">
        <v>7197</v>
      </c>
      <c r="B70" s="911">
        <v>238</v>
      </c>
      <c r="C70" s="1204">
        <v>0.1</v>
      </c>
      <c r="D70" s="1205">
        <v>1</v>
      </c>
    </row>
    <row r="71" spans="1:4">
      <c r="A71" s="909" t="s">
        <v>5992</v>
      </c>
      <c r="B71" s="910">
        <v>242</v>
      </c>
      <c r="C71" s="1204">
        <v>0.06</v>
      </c>
      <c r="D71" s="1205">
        <v>1</v>
      </c>
    </row>
    <row r="72" spans="1:4">
      <c r="A72" s="911" t="s">
        <v>7198</v>
      </c>
      <c r="B72" s="911">
        <v>245</v>
      </c>
      <c r="C72" s="1204">
        <v>0.05</v>
      </c>
      <c r="D72" s="1205">
        <v>1</v>
      </c>
    </row>
    <row r="73" spans="1:4">
      <c r="A73" s="909" t="s">
        <v>902</v>
      </c>
      <c r="B73" s="910">
        <v>249</v>
      </c>
      <c r="C73" s="1204">
        <v>0.4</v>
      </c>
      <c r="D73" s="1205">
        <v>1</v>
      </c>
    </row>
    <row r="74" spans="1:4">
      <c r="A74" s="911" t="s">
        <v>7199</v>
      </c>
      <c r="B74" s="911">
        <v>253</v>
      </c>
      <c r="C74" s="1204">
        <v>0.1</v>
      </c>
      <c r="D74" s="1205">
        <v>1</v>
      </c>
    </row>
    <row r="75" spans="1:4">
      <c r="A75" s="909" t="s">
        <v>5993</v>
      </c>
      <c r="B75" s="910">
        <v>254</v>
      </c>
      <c r="C75" s="1204">
        <v>0.6</v>
      </c>
      <c r="D75" s="1205">
        <v>1</v>
      </c>
    </row>
    <row r="76" spans="1:4">
      <c r="A76" s="911" t="s">
        <v>7200</v>
      </c>
      <c r="B76" s="911">
        <v>259</v>
      </c>
      <c r="C76" s="1204">
        <v>0.1</v>
      </c>
      <c r="D76" s="1205">
        <v>1</v>
      </c>
    </row>
    <row r="77" spans="1:4">
      <c r="A77" s="909" t="s">
        <v>3874</v>
      </c>
      <c r="B77" s="910">
        <v>260</v>
      </c>
      <c r="C77" s="1204">
        <v>0.6</v>
      </c>
      <c r="D77" s="1205">
        <v>1</v>
      </c>
    </row>
    <row r="78" spans="1:4">
      <c r="A78" s="909" t="s">
        <v>4053</v>
      </c>
      <c r="B78" s="910">
        <v>263</v>
      </c>
      <c r="C78" s="1204">
        <v>0.05</v>
      </c>
      <c r="D78" s="1205">
        <v>1</v>
      </c>
    </row>
    <row r="79" spans="1:4">
      <c r="A79" s="909" t="s">
        <v>5994</v>
      </c>
      <c r="B79" s="910">
        <v>265</v>
      </c>
      <c r="C79" s="1204">
        <v>0.8</v>
      </c>
      <c r="D79" s="1205">
        <v>1</v>
      </c>
    </row>
    <row r="80" spans="1:4">
      <c r="A80" s="909" t="s">
        <v>4622</v>
      </c>
      <c r="B80" s="910">
        <v>267</v>
      </c>
      <c r="C80" s="1204">
        <v>7.0000000000000007E-2</v>
      </c>
      <c r="D80" s="1205">
        <v>1</v>
      </c>
    </row>
    <row r="81" spans="1:4">
      <c r="A81" s="911" t="s">
        <v>7201</v>
      </c>
      <c r="B81" s="911">
        <v>269</v>
      </c>
      <c r="C81" s="1204">
        <v>0.1</v>
      </c>
      <c r="D81" s="1205">
        <v>1</v>
      </c>
    </row>
    <row r="82" spans="1:4">
      <c r="A82" s="909" t="s">
        <v>2614</v>
      </c>
      <c r="B82" s="910">
        <v>270</v>
      </c>
      <c r="C82" s="1204">
        <v>0.12</v>
      </c>
      <c r="D82" s="1205">
        <v>1</v>
      </c>
    </row>
    <row r="83" spans="1:4">
      <c r="A83" s="911" t="s">
        <v>7202</v>
      </c>
      <c r="B83" s="911">
        <v>272</v>
      </c>
      <c r="C83" s="1204">
        <v>0.1</v>
      </c>
      <c r="D83" s="1205">
        <v>1</v>
      </c>
    </row>
    <row r="84" spans="1:4">
      <c r="A84" s="909" t="s">
        <v>3699</v>
      </c>
      <c r="B84" s="910">
        <v>275</v>
      </c>
      <c r="C84" s="1204">
        <v>0.05</v>
      </c>
      <c r="D84" s="1205">
        <v>1</v>
      </c>
    </row>
    <row r="85" spans="1:4">
      <c r="A85" s="909" t="s">
        <v>5995</v>
      </c>
      <c r="B85" s="910">
        <v>277</v>
      </c>
      <c r="C85" s="1204">
        <v>0.05</v>
      </c>
      <c r="D85" s="1205">
        <v>1</v>
      </c>
    </row>
    <row r="86" spans="1:4">
      <c r="A86" s="909" t="s">
        <v>5996</v>
      </c>
      <c r="B86" s="910">
        <v>280</v>
      </c>
      <c r="C86" s="1204">
        <v>0.05</v>
      </c>
      <c r="D86" s="1205">
        <v>1</v>
      </c>
    </row>
    <row r="87" spans="1:4">
      <c r="A87" s="914" t="s">
        <v>7203</v>
      </c>
      <c r="B87" s="915">
        <v>282</v>
      </c>
      <c r="C87" s="1204">
        <v>0.1</v>
      </c>
      <c r="D87" s="1205">
        <v>1</v>
      </c>
    </row>
    <row r="88" spans="1:4">
      <c r="A88" s="909" t="s">
        <v>5997</v>
      </c>
      <c r="B88" s="910">
        <v>289</v>
      </c>
      <c r="C88" s="1204">
        <v>0.06</v>
      </c>
      <c r="D88" s="1205">
        <v>1</v>
      </c>
    </row>
    <row r="89" spans="1:4">
      <c r="A89" s="914" t="s">
        <v>7204</v>
      </c>
      <c r="B89" s="915">
        <v>291</v>
      </c>
      <c r="C89" s="1204">
        <v>0.1</v>
      </c>
      <c r="D89" s="1205">
        <v>1</v>
      </c>
    </row>
    <row r="90" spans="1:4">
      <c r="A90" s="909" t="s">
        <v>5998</v>
      </c>
      <c r="B90" s="910">
        <v>292</v>
      </c>
      <c r="C90" s="1204">
        <v>0.1</v>
      </c>
      <c r="D90" s="1205">
        <v>1</v>
      </c>
    </row>
    <row r="91" spans="1:4">
      <c r="A91" s="911" t="s">
        <v>7205</v>
      </c>
      <c r="B91" s="911">
        <v>294</v>
      </c>
      <c r="C91" s="1204">
        <v>0.1</v>
      </c>
      <c r="D91" s="1205">
        <v>1</v>
      </c>
    </row>
    <row r="92" spans="1:4">
      <c r="A92" s="909" t="s">
        <v>5999</v>
      </c>
      <c r="B92" s="910">
        <v>296</v>
      </c>
      <c r="C92" s="1204">
        <v>0.05</v>
      </c>
      <c r="D92" s="1205">
        <v>1</v>
      </c>
    </row>
    <row r="93" spans="1:4">
      <c r="A93" s="909" t="s">
        <v>2897</v>
      </c>
      <c r="B93" s="910">
        <v>299</v>
      </c>
      <c r="C93" s="1204">
        <v>0.1</v>
      </c>
      <c r="D93" s="1205">
        <v>1</v>
      </c>
    </row>
    <row r="94" spans="1:4">
      <c r="A94" s="909" t="s">
        <v>6000</v>
      </c>
      <c r="B94" s="910">
        <v>305</v>
      </c>
      <c r="C94" s="1204">
        <v>0.1</v>
      </c>
      <c r="D94" s="1205">
        <v>1</v>
      </c>
    </row>
    <row r="95" spans="1:4">
      <c r="A95" s="909" t="s">
        <v>6001</v>
      </c>
      <c r="B95" s="910">
        <v>310</v>
      </c>
      <c r="C95" s="1204">
        <v>0.5</v>
      </c>
      <c r="D95" s="1205">
        <v>1</v>
      </c>
    </row>
    <row r="96" spans="1:4">
      <c r="A96" s="911" t="s">
        <v>7206</v>
      </c>
      <c r="B96" s="911">
        <v>314</v>
      </c>
      <c r="C96" s="1204">
        <v>0.1</v>
      </c>
      <c r="D96" s="1205">
        <v>1</v>
      </c>
    </row>
    <row r="97" spans="1:4">
      <c r="A97" s="909" t="s">
        <v>2151</v>
      </c>
      <c r="B97" s="910">
        <v>328</v>
      </c>
      <c r="C97" s="1204">
        <v>0.1</v>
      </c>
      <c r="D97" s="1205">
        <v>1</v>
      </c>
    </row>
    <row r="98" spans="1:4">
      <c r="A98" s="911" t="s">
        <v>7207</v>
      </c>
      <c r="B98" s="911">
        <v>332</v>
      </c>
      <c r="C98" s="1204">
        <v>0.1</v>
      </c>
      <c r="D98" s="1205">
        <v>1</v>
      </c>
    </row>
    <row r="99" spans="1:4">
      <c r="A99" s="909" t="s">
        <v>261</v>
      </c>
      <c r="B99" s="910">
        <v>333</v>
      </c>
      <c r="C99" s="1204">
        <v>0.1</v>
      </c>
      <c r="D99" s="1205">
        <v>1</v>
      </c>
    </row>
    <row r="100" spans="1:4">
      <c r="A100" s="911" t="s">
        <v>7208</v>
      </c>
      <c r="B100" s="911">
        <v>335</v>
      </c>
      <c r="C100" s="1204">
        <v>0.1</v>
      </c>
      <c r="D100" s="1205">
        <v>1</v>
      </c>
    </row>
    <row r="101" spans="1:4">
      <c r="A101" s="909" t="s">
        <v>4172</v>
      </c>
      <c r="B101" s="910">
        <v>336</v>
      </c>
      <c r="C101" s="1204">
        <v>0.05</v>
      </c>
      <c r="D101" s="1205">
        <v>1</v>
      </c>
    </row>
    <row r="102" spans="1:4">
      <c r="A102" s="914" t="s">
        <v>7209</v>
      </c>
      <c r="B102" s="915">
        <v>338</v>
      </c>
      <c r="C102" s="1204">
        <v>0.1</v>
      </c>
      <c r="D102" s="1205">
        <v>1</v>
      </c>
    </row>
    <row r="103" spans="1:4">
      <c r="A103" s="909" t="s">
        <v>6002</v>
      </c>
      <c r="B103" s="910">
        <v>339</v>
      </c>
      <c r="C103" s="1204">
        <v>0.1</v>
      </c>
      <c r="D103" s="1205">
        <v>1</v>
      </c>
    </row>
    <row r="104" spans="1:4">
      <c r="A104" s="909" t="s">
        <v>6003</v>
      </c>
      <c r="B104" s="910">
        <v>358</v>
      </c>
      <c r="C104" s="1204">
        <v>0.92</v>
      </c>
      <c r="D104" s="1205">
        <v>1</v>
      </c>
    </row>
    <row r="105" spans="1:4">
      <c r="A105" s="909" t="s">
        <v>2198</v>
      </c>
      <c r="B105" s="910">
        <v>366</v>
      </c>
      <c r="C105" s="1204">
        <v>0.85</v>
      </c>
      <c r="D105" s="1205">
        <v>1</v>
      </c>
    </row>
    <row r="106" spans="1:4">
      <c r="A106" s="909" t="s">
        <v>2200</v>
      </c>
      <c r="B106" s="910">
        <v>367</v>
      </c>
      <c r="C106" s="1204">
        <v>0.92</v>
      </c>
      <c r="D106" s="1205">
        <v>1</v>
      </c>
    </row>
    <row r="107" spans="1:4">
      <c r="A107" s="909" t="s">
        <v>6004</v>
      </c>
      <c r="B107" s="910">
        <v>372</v>
      </c>
      <c r="C107" s="1204">
        <v>0.95</v>
      </c>
      <c r="D107" s="1205">
        <v>1</v>
      </c>
    </row>
    <row r="108" spans="1:4">
      <c r="A108" s="909" t="s">
        <v>4048</v>
      </c>
      <c r="B108" s="910">
        <v>373</v>
      </c>
      <c r="C108" s="1204">
        <v>0.9</v>
      </c>
      <c r="D108" s="1205">
        <v>1</v>
      </c>
    </row>
    <row r="109" spans="1:4">
      <c r="A109" s="909" t="s">
        <v>4580</v>
      </c>
      <c r="B109" s="910">
        <v>388</v>
      </c>
      <c r="C109" s="1204">
        <v>0.94</v>
      </c>
      <c r="D109" s="1205">
        <v>1</v>
      </c>
    </row>
    <row r="110" spans="1:4">
      <c r="A110" s="909" t="s">
        <v>6005</v>
      </c>
      <c r="B110" s="910">
        <v>393</v>
      </c>
      <c r="C110" s="1204">
        <v>0.91</v>
      </c>
      <c r="D110" s="1205">
        <v>1</v>
      </c>
    </row>
    <row r="111" spans="1:4">
      <c r="A111" s="909" t="s">
        <v>6006</v>
      </c>
      <c r="B111" s="910">
        <v>394</v>
      </c>
      <c r="C111" s="1204">
        <v>0.91</v>
      </c>
      <c r="D111" s="1205">
        <v>1</v>
      </c>
    </row>
    <row r="112" spans="1:4">
      <c r="A112" s="909" t="s">
        <v>6007</v>
      </c>
      <c r="B112" s="910">
        <v>397</v>
      </c>
      <c r="C112" s="1204">
        <v>0.95</v>
      </c>
      <c r="D112" s="1205">
        <v>1</v>
      </c>
    </row>
    <row r="113" spans="1:4">
      <c r="A113" s="909" t="s">
        <v>6008</v>
      </c>
      <c r="B113" s="910">
        <v>399</v>
      </c>
      <c r="C113" s="1204">
        <v>0.92</v>
      </c>
      <c r="D113" s="1205">
        <v>1</v>
      </c>
    </row>
    <row r="114" spans="1:4">
      <c r="A114" s="909" t="s">
        <v>6009</v>
      </c>
      <c r="B114" s="910">
        <v>401</v>
      </c>
      <c r="C114" s="1204">
        <v>0.8</v>
      </c>
      <c r="D114" s="1205">
        <v>1</v>
      </c>
    </row>
    <row r="115" spans="1:4">
      <c r="A115" s="909" t="s">
        <v>6010</v>
      </c>
      <c r="B115" s="910">
        <v>402</v>
      </c>
      <c r="C115" s="1204">
        <v>0.89</v>
      </c>
      <c r="D115" s="1205">
        <v>1</v>
      </c>
    </row>
    <row r="116" spans="1:4">
      <c r="A116" s="909" t="s">
        <v>6011</v>
      </c>
      <c r="B116" s="910">
        <v>403</v>
      </c>
      <c r="C116" s="1204">
        <v>0.89</v>
      </c>
      <c r="D116" s="1205">
        <v>1</v>
      </c>
    </row>
    <row r="117" spans="1:4">
      <c r="A117" s="909" t="s">
        <v>5231</v>
      </c>
      <c r="B117" s="910">
        <v>406</v>
      </c>
      <c r="C117" s="1204">
        <v>0.61</v>
      </c>
      <c r="D117" s="1205">
        <v>1</v>
      </c>
    </row>
    <row r="118" spans="1:4">
      <c r="A118" s="909" t="s">
        <v>6012</v>
      </c>
      <c r="B118" s="910">
        <v>407</v>
      </c>
      <c r="C118" s="1204">
        <v>0.85</v>
      </c>
      <c r="D118" s="1205">
        <v>1</v>
      </c>
    </row>
    <row r="119" spans="1:4">
      <c r="A119" s="909" t="s">
        <v>6013</v>
      </c>
      <c r="B119" s="910">
        <v>414</v>
      </c>
      <c r="C119" s="1204">
        <v>0.8</v>
      </c>
      <c r="D119" s="1205">
        <v>1</v>
      </c>
    </row>
    <row r="120" spans="1:4">
      <c r="A120" s="909" t="s">
        <v>6014</v>
      </c>
      <c r="B120" s="910">
        <v>417</v>
      </c>
      <c r="C120" s="1204">
        <v>0.78</v>
      </c>
      <c r="D120" s="1205">
        <v>1</v>
      </c>
    </row>
    <row r="121" spans="1:4">
      <c r="A121" s="909" t="s">
        <v>6015</v>
      </c>
      <c r="B121" s="910">
        <v>420</v>
      </c>
      <c r="C121" s="1204">
        <v>0.8</v>
      </c>
      <c r="D121" s="1205">
        <v>1</v>
      </c>
    </row>
    <row r="122" spans="1:4">
      <c r="A122" s="909" t="s">
        <v>6016</v>
      </c>
      <c r="B122" s="910">
        <v>423</v>
      </c>
      <c r="C122" s="1204">
        <v>0.8</v>
      </c>
      <c r="D122" s="1205">
        <v>1</v>
      </c>
    </row>
    <row r="123" spans="1:4">
      <c r="A123" s="909" t="s">
        <v>6017</v>
      </c>
      <c r="B123" s="910">
        <v>426</v>
      </c>
      <c r="C123" s="1204">
        <v>0.88</v>
      </c>
      <c r="D123" s="1205">
        <v>1</v>
      </c>
    </row>
    <row r="124" spans="1:4">
      <c r="A124" s="909" t="s">
        <v>807</v>
      </c>
      <c r="B124" s="910">
        <v>430</v>
      </c>
      <c r="C124" s="1204">
        <v>0.89</v>
      </c>
      <c r="D124" s="1205">
        <v>1</v>
      </c>
    </row>
    <row r="125" spans="1:4">
      <c r="A125" s="909" t="s">
        <v>6018</v>
      </c>
      <c r="B125" s="910">
        <v>446</v>
      </c>
      <c r="C125" s="1204">
        <v>0.72</v>
      </c>
      <c r="D125" s="1205">
        <v>1</v>
      </c>
    </row>
    <row r="126" spans="1:4">
      <c r="A126" s="909" t="s">
        <v>6019</v>
      </c>
      <c r="B126" s="910">
        <v>449</v>
      </c>
      <c r="C126" s="1204">
        <v>0.9</v>
      </c>
      <c r="D126" s="1205">
        <v>1</v>
      </c>
    </row>
    <row r="127" spans="1:4">
      <c r="A127" s="909" t="s">
        <v>6020</v>
      </c>
      <c r="B127" s="910">
        <v>459</v>
      </c>
      <c r="C127" s="1204">
        <v>0.9</v>
      </c>
      <c r="D127" s="1205">
        <v>1</v>
      </c>
    </row>
    <row r="128" spans="1:4">
      <c r="A128" s="909" t="s">
        <v>5614</v>
      </c>
      <c r="B128" s="910">
        <v>461</v>
      </c>
      <c r="C128" s="1204">
        <v>0.7</v>
      </c>
      <c r="D128" s="1205">
        <v>1</v>
      </c>
    </row>
    <row r="129" spans="1:4">
      <c r="A129" s="909" t="s">
        <v>6021</v>
      </c>
      <c r="B129" s="910">
        <v>463</v>
      </c>
      <c r="C129" s="1204">
        <v>0.95</v>
      </c>
      <c r="D129" s="1205">
        <v>1</v>
      </c>
    </row>
    <row r="130" spans="1:4">
      <c r="A130" s="909" t="s">
        <v>626</v>
      </c>
      <c r="B130" s="910">
        <v>486</v>
      </c>
      <c r="C130" s="1204">
        <v>0.75</v>
      </c>
      <c r="D130" s="1205">
        <v>1</v>
      </c>
    </row>
    <row r="131" spans="1:4">
      <c r="A131" s="909" t="s">
        <v>5277</v>
      </c>
      <c r="B131" s="910">
        <v>489</v>
      </c>
      <c r="C131" s="1204">
        <v>0.66</v>
      </c>
      <c r="D131" s="1205">
        <v>1</v>
      </c>
    </row>
    <row r="132" spans="1:4">
      <c r="A132" s="909" t="s">
        <v>3226</v>
      </c>
      <c r="B132" s="910">
        <v>490</v>
      </c>
      <c r="C132" s="1204">
        <v>0.86</v>
      </c>
      <c r="D132" s="1205">
        <v>1</v>
      </c>
    </row>
    <row r="133" spans="1:4">
      <c r="A133" s="909" t="s">
        <v>6022</v>
      </c>
      <c r="B133" s="910">
        <v>495</v>
      </c>
      <c r="C133" s="1204">
        <v>0.87</v>
      </c>
      <c r="D133" s="1205">
        <v>1</v>
      </c>
    </row>
    <row r="134" spans="1:4">
      <c r="A134" s="909" t="s">
        <v>6023</v>
      </c>
      <c r="B134" s="910">
        <v>497</v>
      </c>
      <c r="C134" s="1204">
        <v>0.87</v>
      </c>
      <c r="D134" s="1205">
        <v>1</v>
      </c>
    </row>
    <row r="135" spans="1:4">
      <c r="A135" s="909" t="s">
        <v>6024</v>
      </c>
      <c r="B135" s="910">
        <v>507</v>
      </c>
      <c r="C135" s="1204">
        <v>0.88</v>
      </c>
      <c r="D135" s="1205">
        <v>1</v>
      </c>
    </row>
    <row r="136" spans="1:4">
      <c r="A136" s="909" t="s">
        <v>6025</v>
      </c>
      <c r="B136" s="910">
        <v>512</v>
      </c>
      <c r="C136" s="1204">
        <v>0.86</v>
      </c>
      <c r="D136" s="1205">
        <v>1</v>
      </c>
    </row>
    <row r="137" spans="1:4">
      <c r="A137" s="909" t="s">
        <v>786</v>
      </c>
      <c r="B137" s="910">
        <v>515</v>
      </c>
      <c r="C137" s="1204">
        <v>0.85</v>
      </c>
      <c r="D137" s="1205">
        <v>1</v>
      </c>
    </row>
    <row r="138" spans="1:4">
      <c r="A138" s="909" t="s">
        <v>2623</v>
      </c>
      <c r="B138" s="910">
        <v>521</v>
      </c>
      <c r="C138" s="1204">
        <v>0.83</v>
      </c>
      <c r="D138" s="1205">
        <v>1</v>
      </c>
    </row>
    <row r="139" spans="1:4">
      <c r="A139" s="909" t="s">
        <v>485</v>
      </c>
      <c r="B139" s="910">
        <v>523</v>
      </c>
      <c r="C139" s="1204">
        <v>0.84</v>
      </c>
      <c r="D139" s="1205">
        <v>1</v>
      </c>
    </row>
    <row r="140" spans="1:4">
      <c r="A140" s="909" t="s">
        <v>2956</v>
      </c>
      <c r="B140" s="910">
        <v>526</v>
      </c>
      <c r="C140" s="1204">
        <v>0.85</v>
      </c>
      <c r="D140" s="1205">
        <v>1</v>
      </c>
    </row>
    <row r="141" spans="1:4">
      <c r="A141" s="909" t="s">
        <v>6026</v>
      </c>
      <c r="B141" s="910">
        <v>530</v>
      </c>
      <c r="C141" s="1204">
        <v>0.9</v>
      </c>
      <c r="D141" s="1205">
        <v>1</v>
      </c>
    </row>
    <row r="142" spans="1:4">
      <c r="A142" s="909" t="s">
        <v>3882</v>
      </c>
      <c r="B142" s="910">
        <v>531</v>
      </c>
      <c r="C142" s="1204">
        <v>0.8</v>
      </c>
      <c r="D142" s="1205">
        <v>1</v>
      </c>
    </row>
    <row r="143" spans="1:4">
      <c r="A143" s="909" t="s">
        <v>6027</v>
      </c>
      <c r="B143" s="910">
        <v>534</v>
      </c>
      <c r="C143" s="1204">
        <v>0.89</v>
      </c>
      <c r="D143" s="1205">
        <v>1</v>
      </c>
    </row>
    <row r="144" spans="1:4">
      <c r="A144" s="909" t="s">
        <v>6028</v>
      </c>
      <c r="B144" s="910">
        <v>536</v>
      </c>
      <c r="C144" s="1204">
        <v>0.81</v>
      </c>
      <c r="D144" s="1205">
        <v>1</v>
      </c>
    </row>
    <row r="145" spans="1:4">
      <c r="A145" s="909" t="s">
        <v>6029</v>
      </c>
      <c r="B145" s="910">
        <v>541</v>
      </c>
      <c r="C145" s="1204">
        <v>0.89</v>
      </c>
      <c r="D145" s="1205">
        <v>1</v>
      </c>
    </row>
    <row r="146" spans="1:4">
      <c r="A146" s="913" t="s">
        <v>7090</v>
      </c>
      <c r="B146" s="910">
        <v>542</v>
      </c>
      <c r="C146" s="1204">
        <v>0.84</v>
      </c>
      <c r="D146" s="1205">
        <v>1</v>
      </c>
    </row>
    <row r="147" spans="1:4">
      <c r="A147" s="909" t="s">
        <v>525</v>
      </c>
      <c r="B147" s="910">
        <v>544</v>
      </c>
      <c r="C147" s="1204">
        <v>0.9</v>
      </c>
      <c r="D147" s="1205">
        <v>1</v>
      </c>
    </row>
    <row r="148" spans="1:4">
      <c r="A148" s="909" t="s">
        <v>3737</v>
      </c>
      <c r="B148" s="910">
        <v>547</v>
      </c>
      <c r="C148" s="1204">
        <v>0.84</v>
      </c>
      <c r="D148" s="1205">
        <v>1</v>
      </c>
    </row>
    <row r="149" spans="1:4">
      <c r="A149" s="909" t="s">
        <v>5235</v>
      </c>
      <c r="B149" s="910">
        <v>549</v>
      </c>
      <c r="C149" s="1204">
        <v>0.89</v>
      </c>
      <c r="D149" s="1205">
        <v>1</v>
      </c>
    </row>
    <row r="150" spans="1:4">
      <c r="A150" s="909" t="s">
        <v>819</v>
      </c>
      <c r="B150" s="910">
        <v>550</v>
      </c>
      <c r="C150" s="1204">
        <v>0.84</v>
      </c>
      <c r="D150" s="1205">
        <v>1</v>
      </c>
    </row>
    <row r="151" spans="1:4">
      <c r="A151" s="909" t="s">
        <v>3392</v>
      </c>
      <c r="B151" s="910">
        <v>552</v>
      </c>
      <c r="C151" s="1204">
        <v>0.83</v>
      </c>
      <c r="D151" s="1205">
        <v>1</v>
      </c>
    </row>
    <row r="152" spans="1:4">
      <c r="A152" s="909" t="s">
        <v>585</v>
      </c>
      <c r="B152" s="910">
        <v>554</v>
      </c>
      <c r="C152" s="1204">
        <v>0.88</v>
      </c>
      <c r="D152" s="1205">
        <v>1</v>
      </c>
    </row>
    <row r="153" spans="1:4">
      <c r="A153" s="909" t="s">
        <v>6030</v>
      </c>
      <c r="B153" s="910">
        <v>558</v>
      </c>
      <c r="C153" s="1204">
        <v>0.85</v>
      </c>
      <c r="D153" s="1205">
        <v>1</v>
      </c>
    </row>
    <row r="154" spans="1:4">
      <c r="A154" s="909" t="s">
        <v>4935</v>
      </c>
      <c r="B154" s="910">
        <v>560</v>
      </c>
      <c r="C154" s="1204">
        <v>0.81</v>
      </c>
      <c r="D154" s="1205">
        <v>1</v>
      </c>
    </row>
    <row r="155" spans="1:4">
      <c r="A155" s="909" t="s">
        <v>1212</v>
      </c>
      <c r="B155" s="910">
        <v>567</v>
      </c>
      <c r="C155" s="1204">
        <v>0.93</v>
      </c>
      <c r="D155" s="1205">
        <v>1</v>
      </c>
    </row>
    <row r="156" spans="1:4">
      <c r="A156" s="909" t="s">
        <v>6031</v>
      </c>
      <c r="B156" s="910">
        <v>568</v>
      </c>
      <c r="C156" s="1204">
        <v>0.9</v>
      </c>
      <c r="D156" s="1205">
        <v>1</v>
      </c>
    </row>
    <row r="157" spans="1:4">
      <c r="A157" s="909" t="s">
        <v>825</v>
      </c>
      <c r="B157" s="910">
        <v>569</v>
      </c>
      <c r="C157" s="1204">
        <v>0.77</v>
      </c>
      <c r="D157" s="1205">
        <v>1</v>
      </c>
    </row>
    <row r="158" spans="1:4">
      <c r="A158" s="909" t="s">
        <v>6032</v>
      </c>
      <c r="B158" s="910">
        <v>571</v>
      </c>
      <c r="C158" s="1204">
        <v>0.82</v>
      </c>
      <c r="D158" s="1205">
        <v>1</v>
      </c>
    </row>
    <row r="159" spans="1:4">
      <c r="A159" s="909" t="s">
        <v>2461</v>
      </c>
      <c r="B159" s="910">
        <v>572</v>
      </c>
      <c r="C159" s="1204">
        <v>0.74</v>
      </c>
      <c r="D159" s="1205">
        <v>1</v>
      </c>
    </row>
    <row r="160" spans="1:4">
      <c r="A160" s="909" t="s">
        <v>5275</v>
      </c>
      <c r="B160" s="910">
        <v>574</v>
      </c>
      <c r="C160" s="1204">
        <v>0.85</v>
      </c>
      <c r="D160" s="1205">
        <v>1</v>
      </c>
    </row>
    <row r="161" spans="1:4">
      <c r="A161" s="909" t="s">
        <v>821</v>
      </c>
      <c r="B161" s="910">
        <v>577</v>
      </c>
      <c r="C161" s="1204">
        <v>0.22</v>
      </c>
      <c r="D161" s="1205">
        <v>1</v>
      </c>
    </row>
    <row r="162" spans="1:4">
      <c r="A162" s="909" t="s">
        <v>5271</v>
      </c>
      <c r="B162" s="910">
        <v>587</v>
      </c>
      <c r="C162" s="1204">
        <v>0.78</v>
      </c>
      <c r="D162" s="1205">
        <v>1</v>
      </c>
    </row>
    <row r="163" spans="1:4">
      <c r="A163" s="909" t="s">
        <v>4662</v>
      </c>
      <c r="B163" s="910">
        <v>591</v>
      </c>
      <c r="C163" s="1204">
        <v>0.86</v>
      </c>
      <c r="D163" s="1205">
        <v>1</v>
      </c>
    </row>
    <row r="164" spans="1:4">
      <c r="A164" s="909" t="s">
        <v>6033</v>
      </c>
      <c r="B164" s="910">
        <v>592</v>
      </c>
      <c r="C164" s="1204">
        <v>0.9</v>
      </c>
      <c r="D164" s="1205">
        <v>1</v>
      </c>
    </row>
    <row r="165" spans="1:4">
      <c r="A165" s="909" t="s">
        <v>948</v>
      </c>
      <c r="B165" s="910">
        <v>600</v>
      </c>
      <c r="C165" s="1204">
        <v>0.89</v>
      </c>
      <c r="D165" s="1205">
        <v>1</v>
      </c>
    </row>
    <row r="166" spans="1:4">
      <c r="A166" s="909" t="s">
        <v>6034</v>
      </c>
      <c r="B166" s="910">
        <v>603</v>
      </c>
      <c r="C166" s="1204">
        <v>0.85</v>
      </c>
      <c r="D166" s="1205">
        <v>1</v>
      </c>
    </row>
    <row r="167" spans="1:4">
      <c r="A167" s="909" t="s">
        <v>6035</v>
      </c>
      <c r="B167" s="910">
        <v>619</v>
      </c>
      <c r="C167" s="1204">
        <v>0.85</v>
      </c>
      <c r="D167" s="1205">
        <v>1</v>
      </c>
    </row>
    <row r="168" spans="1:4">
      <c r="A168" s="912" t="s">
        <v>7210</v>
      </c>
      <c r="B168" s="912">
        <v>629</v>
      </c>
      <c r="C168" s="1204">
        <v>0.13</v>
      </c>
      <c r="D168" s="1205">
        <v>1</v>
      </c>
    </row>
    <row r="169" spans="1:4">
      <c r="A169" s="911" t="s">
        <v>7211</v>
      </c>
      <c r="B169" s="911">
        <v>635</v>
      </c>
      <c r="C169" s="1204">
        <v>0.14000000000000001</v>
      </c>
      <c r="D169" s="1205">
        <v>1</v>
      </c>
    </row>
    <row r="170" spans="1:4">
      <c r="A170" s="909" t="s">
        <v>6036</v>
      </c>
      <c r="B170" s="910">
        <v>636</v>
      </c>
      <c r="C170" s="1204">
        <v>0.8</v>
      </c>
      <c r="D170" s="1205">
        <v>1</v>
      </c>
    </row>
    <row r="171" spans="1:4">
      <c r="A171" s="909" t="s">
        <v>6037</v>
      </c>
      <c r="B171" s="910">
        <v>637</v>
      </c>
      <c r="C171" s="1204">
        <v>0.8</v>
      </c>
      <c r="D171" s="1205">
        <v>1</v>
      </c>
    </row>
    <row r="172" spans="1:4">
      <c r="A172" s="909" t="s">
        <v>6038</v>
      </c>
      <c r="B172" s="910">
        <v>638</v>
      </c>
      <c r="C172" s="1204">
        <v>0.84</v>
      </c>
      <c r="D172" s="1205">
        <v>1</v>
      </c>
    </row>
    <row r="173" spans="1:4">
      <c r="A173" s="909" t="s">
        <v>6039</v>
      </c>
      <c r="B173" s="910">
        <v>639</v>
      </c>
      <c r="C173" s="1204">
        <v>0.8</v>
      </c>
      <c r="D173" s="1205">
        <v>1</v>
      </c>
    </row>
    <row r="174" spans="1:4">
      <c r="A174" s="909" t="s">
        <v>6040</v>
      </c>
      <c r="B174" s="910">
        <v>640</v>
      </c>
      <c r="C174" s="1204">
        <v>0.8</v>
      </c>
      <c r="D174" s="1205">
        <v>1</v>
      </c>
    </row>
    <row r="175" spans="1:4">
      <c r="A175" s="909" t="s">
        <v>6041</v>
      </c>
      <c r="B175" s="910">
        <v>641</v>
      </c>
      <c r="C175" s="1204">
        <v>0.8</v>
      </c>
      <c r="D175" s="1205">
        <v>1</v>
      </c>
    </row>
    <row r="176" spans="1:4">
      <c r="A176" s="909" t="s">
        <v>6042</v>
      </c>
      <c r="B176" s="910">
        <v>642</v>
      </c>
      <c r="C176" s="1204">
        <v>0.8</v>
      </c>
      <c r="D176" s="1205">
        <v>1</v>
      </c>
    </row>
    <row r="177" spans="1:4">
      <c r="A177" s="909" t="s">
        <v>6043</v>
      </c>
      <c r="B177" s="910">
        <v>643</v>
      </c>
      <c r="C177" s="1204">
        <v>0.8</v>
      </c>
      <c r="D177" s="1205">
        <v>1</v>
      </c>
    </row>
    <row r="178" spans="1:4">
      <c r="A178" s="909" t="s">
        <v>6044</v>
      </c>
      <c r="B178" s="910">
        <v>644</v>
      </c>
      <c r="C178" s="1204">
        <v>0.92</v>
      </c>
      <c r="D178" s="1205">
        <v>1</v>
      </c>
    </row>
    <row r="179" spans="1:4">
      <c r="A179" s="909" t="s">
        <v>6045</v>
      </c>
      <c r="B179" s="910">
        <v>645</v>
      </c>
      <c r="C179" s="1204">
        <v>0.8</v>
      </c>
      <c r="D179" s="1205">
        <v>1</v>
      </c>
    </row>
    <row r="180" spans="1:4">
      <c r="A180" s="909" t="s">
        <v>2463</v>
      </c>
      <c r="B180" s="910">
        <v>646</v>
      </c>
      <c r="C180" s="1204">
        <v>0.88</v>
      </c>
      <c r="D180" s="1205">
        <v>1</v>
      </c>
    </row>
    <row r="181" spans="1:4">
      <c r="A181" s="909" t="s">
        <v>3638</v>
      </c>
      <c r="B181" s="910">
        <v>647</v>
      </c>
      <c r="C181" s="1204">
        <v>0.88</v>
      </c>
      <c r="D181" s="1205">
        <v>1</v>
      </c>
    </row>
    <row r="182" spans="1:4">
      <c r="A182" s="909" t="s">
        <v>6046</v>
      </c>
      <c r="B182" s="910">
        <v>648</v>
      </c>
      <c r="C182" s="1204">
        <v>0.89</v>
      </c>
      <c r="D182" s="1205">
        <v>1</v>
      </c>
    </row>
    <row r="183" spans="1:4">
      <c r="A183" s="909" t="s">
        <v>3691</v>
      </c>
      <c r="B183" s="910">
        <v>649</v>
      </c>
      <c r="C183" s="1204">
        <v>0.88</v>
      </c>
      <c r="D183" s="1205">
        <v>1</v>
      </c>
    </row>
    <row r="184" spans="1:4">
      <c r="A184" s="911" t="s">
        <v>7212</v>
      </c>
      <c r="B184" s="911">
        <v>650</v>
      </c>
      <c r="C184" s="1204">
        <v>0.88</v>
      </c>
      <c r="D184" s="1205">
        <v>1</v>
      </c>
    </row>
    <row r="185" spans="1:4">
      <c r="A185" s="909" t="s">
        <v>6047</v>
      </c>
      <c r="B185" s="910">
        <v>651</v>
      </c>
      <c r="C185" s="1204">
        <v>0.8</v>
      </c>
      <c r="D185" s="1205">
        <v>1</v>
      </c>
    </row>
    <row r="186" spans="1:4">
      <c r="A186" s="911" t="s">
        <v>7213</v>
      </c>
      <c r="B186" s="911">
        <v>652</v>
      </c>
      <c r="C186" s="1204">
        <v>0.14000000000000001</v>
      </c>
      <c r="D186" s="1205">
        <v>1</v>
      </c>
    </row>
    <row r="187" spans="1:4">
      <c r="A187" s="911" t="s">
        <v>7214</v>
      </c>
      <c r="B187" s="911">
        <v>653</v>
      </c>
      <c r="C187" s="1204">
        <v>0.25</v>
      </c>
      <c r="D187" s="1205">
        <v>1</v>
      </c>
    </row>
    <row r="188" spans="1:4">
      <c r="A188" s="911" t="s">
        <v>7215</v>
      </c>
      <c r="B188" s="911">
        <v>654</v>
      </c>
      <c r="C188" s="1204">
        <v>0.6</v>
      </c>
      <c r="D188" s="1205">
        <v>1</v>
      </c>
    </row>
    <row r="189" spans="1:4">
      <c r="A189" s="909" t="s">
        <v>6048</v>
      </c>
      <c r="B189" s="910">
        <v>655</v>
      </c>
      <c r="C189" s="1204">
        <v>0.88</v>
      </c>
      <c r="D189" s="1205">
        <v>1</v>
      </c>
    </row>
    <row r="190" spans="1:4">
      <c r="A190" s="909" t="s">
        <v>6049</v>
      </c>
      <c r="B190" s="910">
        <v>656</v>
      </c>
      <c r="C190" s="1204">
        <v>0.1</v>
      </c>
      <c r="D190" s="1205">
        <v>1</v>
      </c>
    </row>
    <row r="191" spans="1:4">
      <c r="A191" s="909" t="s">
        <v>4837</v>
      </c>
      <c r="B191" s="910">
        <v>661</v>
      </c>
      <c r="C191" s="1204">
        <v>0.1</v>
      </c>
      <c r="D191" s="1205">
        <v>1</v>
      </c>
    </row>
    <row r="192" spans="1:4">
      <c r="A192" s="909" t="s">
        <v>4578</v>
      </c>
      <c r="B192" s="910">
        <v>667</v>
      </c>
      <c r="C192" s="1204">
        <v>0.1</v>
      </c>
      <c r="D192" s="1205">
        <v>1</v>
      </c>
    </row>
    <row r="193" spans="1:4">
      <c r="A193" s="909" t="s">
        <v>1331</v>
      </c>
      <c r="B193" s="910">
        <v>671</v>
      </c>
      <c r="C193" s="1204">
        <v>0.1</v>
      </c>
      <c r="D193" s="1205">
        <v>1</v>
      </c>
    </row>
    <row r="194" spans="1:4">
      <c r="A194" s="909" t="s">
        <v>6050</v>
      </c>
      <c r="B194" s="910">
        <v>674</v>
      </c>
      <c r="C194" s="1204">
        <v>0.1</v>
      </c>
      <c r="D194" s="1205">
        <v>1</v>
      </c>
    </row>
    <row r="195" spans="1:4">
      <c r="A195" s="912" t="s">
        <v>6050</v>
      </c>
      <c r="B195" s="912">
        <v>674</v>
      </c>
      <c r="C195" s="1204">
        <v>0.1</v>
      </c>
      <c r="D195" s="1205">
        <v>1</v>
      </c>
    </row>
    <row r="196" spans="1:4">
      <c r="A196" s="909" t="s">
        <v>3782</v>
      </c>
      <c r="B196" s="910">
        <v>677</v>
      </c>
      <c r="C196" s="1204">
        <v>0.8</v>
      </c>
      <c r="D196" s="1205">
        <v>1</v>
      </c>
    </row>
    <row r="197" spans="1:4">
      <c r="A197" s="909" t="s">
        <v>6051</v>
      </c>
      <c r="B197" s="910">
        <v>687</v>
      </c>
      <c r="C197" s="1204">
        <v>0.93</v>
      </c>
      <c r="D197" s="1205">
        <v>1</v>
      </c>
    </row>
    <row r="198" spans="1:4">
      <c r="A198" s="909" t="s">
        <v>6052</v>
      </c>
      <c r="B198" s="910">
        <v>689</v>
      </c>
      <c r="C198" s="1204">
        <v>0.8</v>
      </c>
      <c r="D198" s="1205">
        <v>1</v>
      </c>
    </row>
    <row r="199" spans="1:4">
      <c r="A199" s="909" t="s">
        <v>4583</v>
      </c>
      <c r="B199" s="910">
        <v>692</v>
      </c>
      <c r="C199" s="1204">
        <v>0.05</v>
      </c>
      <c r="D199" s="1205">
        <v>1</v>
      </c>
    </row>
    <row r="200" spans="1:4">
      <c r="A200" s="909" t="s">
        <v>6053</v>
      </c>
      <c r="B200" s="910">
        <v>693</v>
      </c>
      <c r="C200" s="1204">
        <v>0.05</v>
      </c>
      <c r="D200" s="1205">
        <v>1</v>
      </c>
    </row>
    <row r="201" spans="1:4">
      <c r="A201" s="909" t="s">
        <v>6054</v>
      </c>
      <c r="B201" s="910">
        <v>698</v>
      </c>
      <c r="C201" s="1204">
        <v>0.05</v>
      </c>
      <c r="D201" s="1205">
        <v>1</v>
      </c>
    </row>
    <row r="202" spans="1:4">
      <c r="A202" s="911" t="s">
        <v>6054</v>
      </c>
      <c r="B202" s="911">
        <v>698</v>
      </c>
      <c r="C202" s="1204">
        <v>0.05</v>
      </c>
      <c r="D202" s="1205">
        <v>1</v>
      </c>
    </row>
    <row r="203" spans="1:4">
      <c r="A203" s="909" t="s">
        <v>6055</v>
      </c>
      <c r="B203" s="910">
        <v>702</v>
      </c>
      <c r="C203" s="1204">
        <v>0.05</v>
      </c>
      <c r="D203" s="1205">
        <v>1</v>
      </c>
    </row>
    <row r="204" spans="1:4">
      <c r="A204" s="909" t="s">
        <v>6056</v>
      </c>
      <c r="B204" s="910">
        <v>711</v>
      </c>
      <c r="C204" s="1204">
        <v>0.05</v>
      </c>
      <c r="D204" s="1205">
        <v>1</v>
      </c>
    </row>
    <row r="205" spans="1:4">
      <c r="A205" s="909" t="s">
        <v>5233</v>
      </c>
      <c r="B205" s="910">
        <v>720</v>
      </c>
      <c r="C205" s="1204">
        <v>0.87</v>
      </c>
      <c r="D205" s="1205">
        <v>1</v>
      </c>
    </row>
    <row r="206" spans="1:4">
      <c r="A206" s="909" t="s">
        <v>6057</v>
      </c>
      <c r="B206" s="910">
        <v>723</v>
      </c>
      <c r="C206" s="1204">
        <v>0.05</v>
      </c>
      <c r="D206" s="1205">
        <v>1</v>
      </c>
    </row>
    <row r="207" spans="1:4">
      <c r="A207" s="909" t="s">
        <v>2983</v>
      </c>
      <c r="B207" s="910">
        <v>748</v>
      </c>
      <c r="C207" s="1204">
        <v>0.8</v>
      </c>
      <c r="D207" s="1205">
        <v>1</v>
      </c>
    </row>
    <row r="208" spans="1:4">
      <c r="A208" s="909" t="s">
        <v>6058</v>
      </c>
      <c r="B208" s="910">
        <v>754</v>
      </c>
      <c r="C208" s="1204">
        <v>0.05</v>
      </c>
      <c r="D208" s="1205">
        <v>1</v>
      </c>
    </row>
    <row r="209" spans="1:4">
      <c r="A209" s="909" t="s">
        <v>6059</v>
      </c>
      <c r="B209" s="910">
        <v>773</v>
      </c>
      <c r="C209" s="1204">
        <v>0.1</v>
      </c>
      <c r="D209" s="1205">
        <v>1</v>
      </c>
    </row>
    <row r="210" spans="1:4">
      <c r="A210" s="909" t="s">
        <v>6060</v>
      </c>
      <c r="B210" s="910">
        <v>777</v>
      </c>
      <c r="C210" s="1204">
        <v>0.1</v>
      </c>
      <c r="D210" s="1205">
        <v>1</v>
      </c>
    </row>
    <row r="211" spans="1:4">
      <c r="A211" s="909" t="s">
        <v>816</v>
      </c>
      <c r="B211" s="910">
        <v>780</v>
      </c>
      <c r="C211" s="1204">
        <v>0.13</v>
      </c>
      <c r="D211" s="1205">
        <v>1</v>
      </c>
    </row>
    <row r="212" spans="1:4">
      <c r="A212" s="909" t="s">
        <v>6061</v>
      </c>
      <c r="B212" s="910">
        <v>782</v>
      </c>
      <c r="C212" s="1204">
        <v>0.13</v>
      </c>
      <c r="D212" s="1205">
        <v>1</v>
      </c>
    </row>
    <row r="213" spans="1:4">
      <c r="A213" s="909" t="s">
        <v>3735</v>
      </c>
      <c r="B213" s="910">
        <v>788</v>
      </c>
      <c r="C213" s="1204">
        <v>0.1</v>
      </c>
      <c r="D213" s="1205">
        <v>1</v>
      </c>
    </row>
    <row r="214" spans="1:4">
      <c r="A214" s="909" t="s">
        <v>674</v>
      </c>
      <c r="B214" s="910">
        <v>789</v>
      </c>
      <c r="C214" s="1204">
        <v>0.08</v>
      </c>
      <c r="D214" s="1205">
        <v>1</v>
      </c>
    </row>
    <row r="215" spans="1:4">
      <c r="A215" s="909" t="s">
        <v>6062</v>
      </c>
      <c r="B215" s="910">
        <v>800</v>
      </c>
      <c r="C215" s="1204">
        <v>0.1</v>
      </c>
      <c r="D215" s="1205">
        <v>1</v>
      </c>
    </row>
    <row r="216" spans="1:4">
      <c r="A216" s="909" t="s">
        <v>6063</v>
      </c>
      <c r="B216" s="910">
        <v>809</v>
      </c>
      <c r="C216" s="1204">
        <v>0.1</v>
      </c>
      <c r="D216" s="1205">
        <v>1</v>
      </c>
    </row>
    <row r="217" spans="1:4">
      <c r="A217" s="909" t="s">
        <v>6064</v>
      </c>
      <c r="B217" s="910">
        <v>821</v>
      </c>
      <c r="C217" s="1204">
        <v>0.1</v>
      </c>
      <c r="D217" s="1205">
        <v>1</v>
      </c>
    </row>
    <row r="218" spans="1:4">
      <c r="A218" s="909" t="s">
        <v>6065</v>
      </c>
      <c r="B218" s="910">
        <v>826</v>
      </c>
      <c r="C218" s="1204">
        <v>0.1</v>
      </c>
      <c r="D218" s="1205">
        <v>1</v>
      </c>
    </row>
    <row r="219" spans="1:4">
      <c r="A219" s="909" t="s">
        <v>6066</v>
      </c>
      <c r="B219" s="910">
        <v>836</v>
      </c>
      <c r="C219" s="1204">
        <v>0.65</v>
      </c>
      <c r="D219" s="1205">
        <v>1</v>
      </c>
    </row>
    <row r="220" spans="1:4">
      <c r="A220" s="909" t="s">
        <v>6067</v>
      </c>
      <c r="B220" s="910">
        <v>839</v>
      </c>
      <c r="C220" s="1204">
        <v>0.65</v>
      </c>
      <c r="D220" s="1205">
        <v>1</v>
      </c>
    </row>
    <row r="221" spans="1:4">
      <c r="A221" s="911" t="s">
        <v>7216</v>
      </c>
      <c r="B221" s="911">
        <v>845</v>
      </c>
      <c r="C221" s="1204">
        <v>0.1</v>
      </c>
      <c r="D221" s="1205">
        <v>1</v>
      </c>
    </row>
    <row r="222" spans="1:4">
      <c r="A222" s="911" t="s">
        <v>7217</v>
      </c>
      <c r="B222" s="911">
        <v>846</v>
      </c>
      <c r="C222" s="1204">
        <v>0.1</v>
      </c>
      <c r="D222" s="1205">
        <v>1</v>
      </c>
    </row>
    <row r="223" spans="1:4">
      <c r="A223" s="911" t="s">
        <v>7218</v>
      </c>
      <c r="B223" s="911">
        <v>850</v>
      </c>
      <c r="C223" s="1204">
        <v>0.1</v>
      </c>
      <c r="D223" s="1205">
        <v>1</v>
      </c>
    </row>
    <row r="224" spans="1:4">
      <c r="A224" s="911" t="s">
        <v>3680</v>
      </c>
      <c r="B224" s="911">
        <v>853</v>
      </c>
      <c r="C224" s="1204">
        <v>0</v>
      </c>
      <c r="D224" s="1205">
        <v>1</v>
      </c>
    </row>
    <row r="225" spans="1:4">
      <c r="A225" s="916" t="s">
        <v>5052</v>
      </c>
      <c r="B225" s="917">
        <v>858</v>
      </c>
      <c r="C225" s="1204">
        <v>0.14000000000000001</v>
      </c>
      <c r="D225" s="1205">
        <v>1</v>
      </c>
    </row>
    <row r="226" spans="1:4">
      <c r="A226" s="911" t="s">
        <v>5054</v>
      </c>
      <c r="B226" s="911">
        <v>859</v>
      </c>
      <c r="C226" s="1204">
        <v>0.14000000000000001</v>
      </c>
      <c r="D226" s="1205">
        <v>1</v>
      </c>
    </row>
    <row r="227" spans="1:4">
      <c r="A227" s="911" t="s">
        <v>7219</v>
      </c>
      <c r="B227" s="911">
        <v>862</v>
      </c>
      <c r="C227" s="1204">
        <v>0.1</v>
      </c>
      <c r="D227" s="1205">
        <v>1</v>
      </c>
    </row>
    <row r="228" spans="1:4">
      <c r="A228" s="911" t="s">
        <v>7220</v>
      </c>
      <c r="B228" s="911">
        <v>2511</v>
      </c>
      <c r="C228" s="1204">
        <v>0.14000000000000001</v>
      </c>
      <c r="D228" s="1205">
        <v>1</v>
      </c>
    </row>
    <row r="229" spans="1:4">
      <c r="A229" s="911" t="s">
        <v>7221</v>
      </c>
      <c r="B229" s="911">
        <v>2513</v>
      </c>
      <c r="C229" s="1204">
        <v>0.14000000000000001</v>
      </c>
      <c r="D229" s="1205">
        <v>1</v>
      </c>
    </row>
    <row r="230" spans="1:4">
      <c r="A230" s="911" t="s">
        <v>7222</v>
      </c>
      <c r="B230" s="911">
        <v>2514</v>
      </c>
      <c r="C230" s="1204">
        <v>0.14000000000000001</v>
      </c>
      <c r="D230" s="1205">
        <v>1</v>
      </c>
    </row>
    <row r="231" spans="1:4">
      <c r="A231" s="911" t="s">
        <v>7223</v>
      </c>
      <c r="B231" s="911">
        <v>2515</v>
      </c>
      <c r="C231" s="1204">
        <v>0.14000000000000001</v>
      </c>
      <c r="D231" s="1205">
        <v>1</v>
      </c>
    </row>
    <row r="232" spans="1:4">
      <c r="A232" s="911" t="s">
        <v>804</v>
      </c>
      <c r="B232" s="911">
        <v>2516</v>
      </c>
      <c r="C232" s="1204">
        <v>0.14000000000000001</v>
      </c>
      <c r="D232" s="1205">
        <v>1</v>
      </c>
    </row>
    <row r="233" spans="1:4">
      <c r="A233" s="911" t="s">
        <v>7224</v>
      </c>
      <c r="B233" s="911">
        <v>2517</v>
      </c>
      <c r="C233" s="1204">
        <v>0.12</v>
      </c>
      <c r="D233" s="1205">
        <v>1</v>
      </c>
    </row>
    <row r="234" spans="1:4">
      <c r="A234" s="911" t="s">
        <v>7225</v>
      </c>
      <c r="B234" s="911">
        <v>2518</v>
      </c>
      <c r="C234" s="1204">
        <v>0.11</v>
      </c>
      <c r="D234" s="1205">
        <v>1</v>
      </c>
    </row>
    <row r="235" spans="1:4">
      <c r="A235" s="911" t="s">
        <v>4836</v>
      </c>
      <c r="B235" s="911">
        <v>2520</v>
      </c>
      <c r="C235" s="1204">
        <v>0.14000000000000001</v>
      </c>
      <c r="D235" s="1205">
        <v>1</v>
      </c>
    </row>
    <row r="236" spans="1:4">
      <c r="A236" s="911" t="s">
        <v>7226</v>
      </c>
      <c r="B236" s="911">
        <v>2531</v>
      </c>
      <c r="C236" s="1204">
        <v>0.78</v>
      </c>
      <c r="D236" s="1205">
        <v>1</v>
      </c>
    </row>
    <row r="237" spans="1:4">
      <c r="A237" s="911" t="s">
        <v>7227</v>
      </c>
      <c r="B237" s="911">
        <v>2532</v>
      </c>
      <c r="C237" s="1204">
        <v>0.7</v>
      </c>
      <c r="D237" s="1205">
        <v>1</v>
      </c>
    </row>
    <row r="238" spans="1:4">
      <c r="A238" s="911" t="s">
        <v>4870</v>
      </c>
      <c r="B238" s="911">
        <v>2533</v>
      </c>
      <c r="C238" s="1204">
        <v>0.7</v>
      </c>
      <c r="D238" s="1205">
        <v>1</v>
      </c>
    </row>
    <row r="239" spans="1:4">
      <c r="A239" s="911" t="s">
        <v>4864</v>
      </c>
      <c r="B239" s="911">
        <v>2534</v>
      </c>
      <c r="C239" s="1204">
        <v>0.75</v>
      </c>
      <c r="D239" s="1205">
        <v>1</v>
      </c>
    </row>
    <row r="240" spans="1:4">
      <c r="A240" s="911" t="s">
        <v>1217</v>
      </c>
      <c r="B240" s="911">
        <v>2535</v>
      </c>
      <c r="C240" s="1204">
        <v>0.74</v>
      </c>
      <c r="D240" s="1205">
        <v>1</v>
      </c>
    </row>
    <row r="241" spans="1:4">
      <c r="A241" s="911" t="s">
        <v>416</v>
      </c>
      <c r="B241" s="911">
        <v>2536</v>
      </c>
      <c r="C241" s="1204">
        <v>0.83</v>
      </c>
      <c r="D241" s="1205">
        <v>1</v>
      </c>
    </row>
    <row r="242" spans="1:4">
      <c r="A242" s="911" t="s">
        <v>4869</v>
      </c>
      <c r="B242" s="911">
        <v>2537</v>
      </c>
      <c r="C242" s="1204">
        <v>0.77</v>
      </c>
      <c r="D242" s="1205">
        <v>1</v>
      </c>
    </row>
    <row r="243" spans="1:4">
      <c r="A243" s="911" t="s">
        <v>7228</v>
      </c>
      <c r="B243" s="911">
        <v>2541</v>
      </c>
      <c r="C243" s="1204">
        <v>0</v>
      </c>
      <c r="D243" s="1205">
        <v>1</v>
      </c>
    </row>
    <row r="244" spans="1:4">
      <c r="A244" s="911" t="s">
        <v>4868</v>
      </c>
      <c r="B244" s="911">
        <v>2542</v>
      </c>
      <c r="C244" s="1204">
        <v>0</v>
      </c>
      <c r="D244" s="1205">
        <v>1</v>
      </c>
    </row>
    <row r="245" spans="1:4">
      <c r="A245" s="911" t="s">
        <v>4871</v>
      </c>
      <c r="B245" s="911">
        <v>2543</v>
      </c>
      <c r="C245" s="1204">
        <v>0</v>
      </c>
      <c r="D245" s="1205">
        <v>1</v>
      </c>
    </row>
    <row r="246" spans="1:4">
      <c r="A246" s="472" t="s">
        <v>783</v>
      </c>
      <c r="B246" s="911">
        <v>2544</v>
      </c>
      <c r="C246" s="1204">
        <v>0.24</v>
      </c>
      <c r="D246" s="1205">
        <v>1</v>
      </c>
    </row>
    <row r="247" spans="1:4">
      <c r="A247" s="911" t="s">
        <v>4832</v>
      </c>
      <c r="B247" s="911">
        <v>2546</v>
      </c>
      <c r="C247" s="1204">
        <v>0.8</v>
      </c>
      <c r="D247" s="1205">
        <v>1</v>
      </c>
    </row>
    <row r="248" spans="1:4">
      <c r="A248" s="911" t="s">
        <v>4624</v>
      </c>
      <c r="B248" s="911">
        <v>2547</v>
      </c>
      <c r="C248" s="1204">
        <v>0.78</v>
      </c>
      <c r="D248" s="1205">
        <v>1</v>
      </c>
    </row>
    <row r="249" spans="1:4">
      <c r="A249" s="911" t="s">
        <v>7229</v>
      </c>
      <c r="B249" s="911">
        <v>2549</v>
      </c>
      <c r="C249" s="1204">
        <v>0.1</v>
      </c>
      <c r="D249" s="1205">
        <v>1</v>
      </c>
    </row>
    <row r="250" spans="1:4">
      <c r="A250" s="911" t="s">
        <v>4867</v>
      </c>
      <c r="B250" s="911">
        <v>2555</v>
      </c>
      <c r="C250" s="1204">
        <v>0.1</v>
      </c>
      <c r="D250" s="1205">
        <v>1</v>
      </c>
    </row>
    <row r="251" spans="1:4">
      <c r="A251" s="911" t="s">
        <v>4848</v>
      </c>
      <c r="B251" s="911">
        <v>2556</v>
      </c>
      <c r="C251" s="1204">
        <v>0.1</v>
      </c>
      <c r="D251" s="1205">
        <v>1</v>
      </c>
    </row>
    <row r="252" spans="1:4">
      <c r="A252" s="911" t="s">
        <v>3916</v>
      </c>
      <c r="B252" s="911">
        <v>2557</v>
      </c>
      <c r="C252" s="1204">
        <v>7.0000000000000007E-2</v>
      </c>
      <c r="D252" s="1205">
        <v>1</v>
      </c>
    </row>
    <row r="253" spans="1:4">
      <c r="A253" s="911" t="s">
        <v>4862</v>
      </c>
      <c r="B253" s="911">
        <v>2558</v>
      </c>
      <c r="C253" s="1204">
        <v>0.14000000000000001</v>
      </c>
      <c r="D253" s="1205">
        <v>1</v>
      </c>
    </row>
    <row r="254" spans="1:4">
      <c r="A254" s="911" t="s">
        <v>907</v>
      </c>
      <c r="B254" s="911">
        <v>2559</v>
      </c>
      <c r="C254" s="1204">
        <v>0.1</v>
      </c>
      <c r="D254" s="1205">
        <v>1</v>
      </c>
    </row>
    <row r="255" spans="1:4">
      <c r="A255" s="911" t="s">
        <v>4839</v>
      </c>
      <c r="B255" s="911">
        <v>2560</v>
      </c>
      <c r="C255" s="1204">
        <v>0.1</v>
      </c>
      <c r="D255" s="1205">
        <v>1</v>
      </c>
    </row>
    <row r="256" spans="1:4">
      <c r="A256" s="911" t="s">
        <v>2804</v>
      </c>
      <c r="B256" s="911">
        <v>2561</v>
      </c>
      <c r="C256" s="1204">
        <v>0.1</v>
      </c>
      <c r="D256" s="1205">
        <v>1</v>
      </c>
    </row>
    <row r="257" spans="1:4">
      <c r="A257" s="911" t="s">
        <v>3231</v>
      </c>
      <c r="B257" s="911">
        <v>2562</v>
      </c>
      <c r="C257" s="1204">
        <v>0.1</v>
      </c>
      <c r="D257" s="1205">
        <v>1</v>
      </c>
    </row>
    <row r="258" spans="1:4">
      <c r="A258" s="911" t="s">
        <v>4854</v>
      </c>
      <c r="B258" s="911">
        <v>2570</v>
      </c>
      <c r="C258" s="1204">
        <v>0.1</v>
      </c>
      <c r="D258" s="1205">
        <v>1</v>
      </c>
    </row>
    <row r="259" spans="1:4">
      <c r="A259" s="911" t="s">
        <v>4866</v>
      </c>
      <c r="B259" s="911">
        <v>2571</v>
      </c>
      <c r="C259" s="1204">
        <v>0.01</v>
      </c>
      <c r="D259" s="1205">
        <v>1</v>
      </c>
    </row>
    <row r="260" spans="1:4">
      <c r="A260" s="911" t="s">
        <v>4847</v>
      </c>
      <c r="B260" s="911">
        <v>2572</v>
      </c>
      <c r="C260" s="1204">
        <v>0.1</v>
      </c>
      <c r="D260" s="1205">
        <v>1</v>
      </c>
    </row>
    <row r="261" spans="1:4">
      <c r="A261" s="943" t="s">
        <v>7747</v>
      </c>
      <c r="B261" s="911">
        <v>2573</v>
      </c>
      <c r="C261" s="1204">
        <v>0</v>
      </c>
      <c r="D261" s="1205">
        <v>1</v>
      </c>
    </row>
    <row r="262" spans="1:4">
      <c r="A262" s="911" t="s">
        <v>4861</v>
      </c>
      <c r="B262" s="911">
        <v>2574</v>
      </c>
      <c r="C262" s="1204">
        <v>0.01</v>
      </c>
      <c r="D262" s="1205">
        <v>1</v>
      </c>
    </row>
    <row r="263" spans="1:4">
      <c r="A263" s="943" t="s">
        <v>7748</v>
      </c>
      <c r="B263" s="911">
        <v>2575</v>
      </c>
      <c r="C263" s="1204">
        <v>0.1</v>
      </c>
      <c r="D263" s="1205">
        <v>1</v>
      </c>
    </row>
    <row r="264" spans="1:4">
      <c r="A264" s="911" t="s">
        <v>4858</v>
      </c>
      <c r="B264" s="911">
        <v>2576</v>
      </c>
      <c r="C264" s="1204">
        <v>0.1</v>
      </c>
      <c r="D264" s="1205">
        <v>1</v>
      </c>
    </row>
    <row r="265" spans="1:4">
      <c r="A265" s="911" t="s">
        <v>4857</v>
      </c>
      <c r="B265" s="911">
        <v>2577</v>
      </c>
      <c r="C265" s="1204">
        <v>0.01</v>
      </c>
      <c r="D265" s="1205">
        <v>1</v>
      </c>
    </row>
    <row r="266" spans="1:4">
      <c r="A266" s="911" t="s">
        <v>4838</v>
      </c>
      <c r="B266" s="911">
        <v>2578</v>
      </c>
      <c r="C266" s="1204">
        <v>0.1</v>
      </c>
      <c r="D266" s="1205">
        <v>1</v>
      </c>
    </row>
    <row r="267" spans="1:4">
      <c r="A267" s="911" t="s">
        <v>4865</v>
      </c>
      <c r="B267" s="911">
        <v>2579</v>
      </c>
      <c r="C267" s="1204">
        <v>0.01</v>
      </c>
      <c r="D267" s="1205">
        <v>1</v>
      </c>
    </row>
    <row r="268" spans="1:4">
      <c r="A268" s="16" t="s">
        <v>7749</v>
      </c>
      <c r="B268" s="911">
        <v>2580</v>
      </c>
      <c r="C268" s="1204">
        <v>0.01</v>
      </c>
      <c r="D268" s="1205">
        <v>1</v>
      </c>
    </row>
    <row r="269" spans="1:4">
      <c r="A269" s="911" t="s">
        <v>4853</v>
      </c>
      <c r="B269" s="911">
        <v>2586</v>
      </c>
      <c r="C269" s="1204">
        <v>0.1</v>
      </c>
      <c r="D269" s="1205">
        <v>1</v>
      </c>
    </row>
    <row r="270" spans="1:4">
      <c r="A270" s="943" t="s">
        <v>7750</v>
      </c>
      <c r="B270" s="911">
        <v>2590</v>
      </c>
      <c r="C270" s="1204">
        <v>0.1</v>
      </c>
      <c r="D270" s="1205">
        <v>1</v>
      </c>
    </row>
    <row r="271" spans="1:4">
      <c r="A271" s="943" t="s">
        <v>7751</v>
      </c>
      <c r="B271" s="911">
        <v>2591</v>
      </c>
      <c r="C271" s="1204">
        <v>0.1</v>
      </c>
      <c r="D271" s="1205">
        <v>1</v>
      </c>
    </row>
    <row r="272" spans="1:4">
      <c r="A272" s="943" t="s">
        <v>7752</v>
      </c>
      <c r="B272" s="911">
        <v>2592</v>
      </c>
      <c r="C272" s="1204">
        <v>0.1</v>
      </c>
      <c r="D272" s="1205">
        <v>1</v>
      </c>
    </row>
    <row r="273" spans="1:4">
      <c r="A273" s="943" t="s">
        <v>7753</v>
      </c>
      <c r="B273" s="911">
        <v>2593</v>
      </c>
      <c r="C273" s="1204">
        <v>0.1</v>
      </c>
      <c r="D273" s="1205">
        <v>1</v>
      </c>
    </row>
    <row r="274" spans="1:4">
      <c r="A274" s="943" t="s">
        <v>7754</v>
      </c>
      <c r="B274" s="911">
        <v>2594</v>
      </c>
      <c r="C274" s="1204">
        <v>0.1</v>
      </c>
      <c r="D274" s="1205">
        <v>1</v>
      </c>
    </row>
    <row r="275" spans="1:4">
      <c r="A275" s="943" t="s">
        <v>7755</v>
      </c>
      <c r="B275" s="911">
        <v>2595</v>
      </c>
      <c r="C275" s="1204">
        <v>0.1</v>
      </c>
      <c r="D275" s="1205">
        <v>1</v>
      </c>
    </row>
    <row r="276" spans="1:4">
      <c r="A276" s="943" t="s">
        <v>7756</v>
      </c>
      <c r="B276" s="911">
        <v>2596</v>
      </c>
      <c r="C276" s="1204">
        <v>0.1</v>
      </c>
      <c r="D276" s="1205">
        <v>1</v>
      </c>
    </row>
    <row r="277" spans="1:4">
      <c r="A277" s="943" t="s">
        <v>7757</v>
      </c>
      <c r="B277" s="911">
        <v>2597</v>
      </c>
      <c r="C277" s="1204">
        <v>0.1</v>
      </c>
      <c r="D277" s="1205">
        <v>1</v>
      </c>
    </row>
    <row r="278" spans="1:4">
      <c r="A278" s="943" t="s">
        <v>7758</v>
      </c>
      <c r="B278" s="911">
        <v>2598</v>
      </c>
      <c r="C278" s="1204">
        <v>0.1</v>
      </c>
      <c r="D278" s="1205">
        <v>1</v>
      </c>
    </row>
    <row r="279" spans="1:4">
      <c r="A279" s="943" t="s">
        <v>7759</v>
      </c>
      <c r="B279" s="911">
        <v>2600</v>
      </c>
      <c r="C279" s="1204">
        <v>0.1</v>
      </c>
      <c r="D279" s="1205">
        <v>1</v>
      </c>
    </row>
    <row r="280" spans="1:4">
      <c r="A280" s="911" t="s">
        <v>7230</v>
      </c>
      <c r="B280" s="911">
        <v>2601</v>
      </c>
      <c r="C280" s="1204">
        <v>0.94</v>
      </c>
      <c r="D280" s="1205">
        <v>1</v>
      </c>
    </row>
    <row r="281" spans="1:4">
      <c r="A281" s="911" t="s">
        <v>4855</v>
      </c>
      <c r="B281" s="911">
        <v>2602</v>
      </c>
      <c r="C281" s="1204">
        <v>0.89</v>
      </c>
      <c r="D281" s="1205">
        <v>1</v>
      </c>
    </row>
    <row r="282" spans="1:4">
      <c r="A282" s="911" t="s">
        <v>4872</v>
      </c>
      <c r="B282" s="911">
        <v>2605</v>
      </c>
      <c r="C282" s="1204">
        <v>0.95</v>
      </c>
      <c r="D282" s="1205">
        <v>1</v>
      </c>
    </row>
    <row r="283" spans="1:4">
      <c r="A283" s="911" t="s">
        <v>4856</v>
      </c>
      <c r="B283" s="911">
        <v>2611</v>
      </c>
      <c r="C283" s="1204">
        <v>0.85</v>
      </c>
      <c r="D283" s="1205">
        <v>1</v>
      </c>
    </row>
    <row r="284" spans="1:4">
      <c r="A284" s="943" t="s">
        <v>7760</v>
      </c>
      <c r="B284" s="911">
        <v>2613</v>
      </c>
      <c r="C284" s="1204">
        <v>0.85</v>
      </c>
      <c r="D284" s="1205">
        <v>1</v>
      </c>
    </row>
    <row r="285" spans="1:4">
      <c r="A285" s="911" t="s">
        <v>626</v>
      </c>
      <c r="B285" s="911">
        <v>2615</v>
      </c>
      <c r="C285" s="1204">
        <v>0.75</v>
      </c>
      <c r="D285" s="1205">
        <v>1</v>
      </c>
    </row>
    <row r="286" spans="1:4">
      <c r="A286" s="911" t="s">
        <v>5277</v>
      </c>
      <c r="B286" s="911">
        <v>2616</v>
      </c>
      <c r="C286" s="1204">
        <v>0.66</v>
      </c>
      <c r="D286" s="1205">
        <v>1</v>
      </c>
    </row>
    <row r="287" spans="1:4">
      <c r="A287" s="911" t="s">
        <v>7231</v>
      </c>
      <c r="B287" s="911">
        <v>2617</v>
      </c>
      <c r="C287" s="1204">
        <v>0.85</v>
      </c>
      <c r="D287" s="1205">
        <v>1</v>
      </c>
    </row>
    <row r="288" spans="1:4">
      <c r="A288" s="911" t="s">
        <v>821</v>
      </c>
      <c r="B288" s="911">
        <v>2619</v>
      </c>
      <c r="C288" s="1204">
        <v>0.22</v>
      </c>
      <c r="D288" s="1205">
        <v>1</v>
      </c>
    </row>
    <row r="289" spans="1:4">
      <c r="A289" s="943" t="s">
        <v>7761</v>
      </c>
      <c r="B289" s="911">
        <v>2620</v>
      </c>
      <c r="C289" s="1204">
        <v>0.81</v>
      </c>
      <c r="D289" s="1205">
        <v>1</v>
      </c>
    </row>
    <row r="290" spans="1:4">
      <c r="A290" s="911" t="s">
        <v>4846</v>
      </c>
      <c r="B290" s="911">
        <v>2625</v>
      </c>
      <c r="C290" s="1204">
        <v>0.85</v>
      </c>
      <c r="D290" s="1205">
        <v>1</v>
      </c>
    </row>
    <row r="291" spans="1:4">
      <c r="A291" s="911" t="s">
        <v>7232</v>
      </c>
      <c r="B291" s="911">
        <v>2633</v>
      </c>
      <c r="C291" s="1204">
        <v>0.4</v>
      </c>
      <c r="D291" s="1205">
        <v>1</v>
      </c>
    </row>
    <row r="292" spans="1:4">
      <c r="A292" s="943" t="s">
        <v>7762</v>
      </c>
      <c r="B292" s="911">
        <v>2635</v>
      </c>
      <c r="C292" s="1204">
        <v>0.15</v>
      </c>
      <c r="D292" s="1205">
        <v>1</v>
      </c>
    </row>
    <row r="293" spans="1:4">
      <c r="A293" s="943" t="s">
        <v>2639</v>
      </c>
      <c r="B293" s="911">
        <v>2642</v>
      </c>
      <c r="C293" s="1204">
        <v>0.05</v>
      </c>
      <c r="D293" s="1205">
        <v>1</v>
      </c>
    </row>
    <row r="294" spans="1:4">
      <c r="A294" s="945" t="s">
        <v>906</v>
      </c>
      <c r="B294" s="911">
        <v>2661</v>
      </c>
      <c r="C294" s="1204">
        <v>0.1</v>
      </c>
      <c r="D294" s="1205">
        <v>1</v>
      </c>
    </row>
    <row r="295" spans="1:4">
      <c r="A295" s="945" t="s">
        <v>7763</v>
      </c>
      <c r="B295" s="911">
        <v>2664</v>
      </c>
      <c r="C295" s="1204">
        <v>0.1</v>
      </c>
      <c r="D295" s="1205">
        <v>1</v>
      </c>
    </row>
    <row r="296" spans="1:4">
      <c r="A296" s="918" t="s">
        <v>4833</v>
      </c>
      <c r="B296" s="918">
        <v>2731</v>
      </c>
      <c r="C296" s="1204">
        <v>0.55000000000000004</v>
      </c>
      <c r="D296" s="1205">
        <v>1</v>
      </c>
    </row>
    <row r="297" spans="1:4">
      <c r="A297" s="918" t="s">
        <v>4852</v>
      </c>
      <c r="B297" s="918">
        <v>2732</v>
      </c>
      <c r="C297" s="1204">
        <v>0.5</v>
      </c>
      <c r="D297" s="1205">
        <v>1</v>
      </c>
    </row>
    <row r="298" spans="1:4">
      <c r="A298" s="919" t="s">
        <v>4860</v>
      </c>
      <c r="B298" s="918">
        <v>2734</v>
      </c>
      <c r="C298" s="1204">
        <v>0.5</v>
      </c>
      <c r="D298" s="1205">
        <v>1</v>
      </c>
    </row>
    <row r="299" spans="1:4">
      <c r="A299" s="918" t="s">
        <v>4850</v>
      </c>
      <c r="B299" s="918">
        <v>2735</v>
      </c>
      <c r="C299" s="1204">
        <v>0.5</v>
      </c>
      <c r="D299" s="1205">
        <v>1</v>
      </c>
    </row>
    <row r="300" spans="1:4">
      <c r="A300" s="918" t="s">
        <v>7233</v>
      </c>
      <c r="B300" s="918">
        <v>2736</v>
      </c>
      <c r="C300" s="1204">
        <v>0.5</v>
      </c>
      <c r="D300" s="1205">
        <v>1</v>
      </c>
    </row>
    <row r="301" spans="1:4">
      <c r="A301" s="918" t="s">
        <v>4842</v>
      </c>
      <c r="B301" s="918">
        <v>2737</v>
      </c>
      <c r="C301" s="1204">
        <v>0</v>
      </c>
      <c r="D301" s="1205">
        <v>1</v>
      </c>
    </row>
    <row r="302" spans="1:4">
      <c r="A302" s="918" t="s">
        <v>4834</v>
      </c>
      <c r="B302" s="918">
        <v>2740</v>
      </c>
      <c r="C302" s="1204">
        <v>0.155</v>
      </c>
      <c r="D302" s="1205">
        <v>1</v>
      </c>
    </row>
    <row r="303" spans="1:4">
      <c r="A303" s="943" t="s">
        <v>7768</v>
      </c>
      <c r="B303" s="911">
        <v>2741</v>
      </c>
      <c r="C303" s="1204">
        <v>0.4</v>
      </c>
      <c r="D303" s="1205">
        <v>1</v>
      </c>
    </row>
    <row r="304" spans="1:4">
      <c r="A304" s="943" t="s">
        <v>7766</v>
      </c>
      <c r="B304" s="911">
        <v>2742</v>
      </c>
      <c r="C304" s="1204">
        <v>0.93</v>
      </c>
      <c r="D304" s="1205">
        <v>1</v>
      </c>
    </row>
    <row r="305" spans="1:4">
      <c r="A305" s="918" t="s">
        <v>2524</v>
      </c>
      <c r="B305" s="918">
        <v>2744</v>
      </c>
      <c r="C305" s="1204">
        <v>0.73</v>
      </c>
      <c r="D305" s="1205">
        <v>1</v>
      </c>
    </row>
    <row r="306" spans="1:4">
      <c r="A306" s="943" t="s">
        <v>7769</v>
      </c>
      <c r="B306" s="911">
        <v>2745</v>
      </c>
      <c r="C306" s="1204">
        <v>0.17</v>
      </c>
      <c r="D306" s="1205">
        <v>1</v>
      </c>
    </row>
    <row r="307" spans="1:4">
      <c r="A307" s="943" t="s">
        <v>7770</v>
      </c>
      <c r="B307" s="911">
        <v>2748</v>
      </c>
      <c r="C307" s="1204">
        <v>0.2</v>
      </c>
      <c r="D307" s="1205">
        <v>1</v>
      </c>
    </row>
    <row r="308" spans="1:4">
      <c r="A308" s="943" t="s">
        <v>7767</v>
      </c>
      <c r="B308" s="911">
        <v>2749</v>
      </c>
      <c r="C308" s="1204">
        <v>0.5</v>
      </c>
      <c r="D308" s="1205">
        <v>1</v>
      </c>
    </row>
    <row r="309" spans="1:4">
      <c r="A309" s="918" t="s">
        <v>4845</v>
      </c>
      <c r="B309" s="918">
        <v>2761</v>
      </c>
      <c r="C309" s="1204">
        <v>0.74</v>
      </c>
      <c r="D309" s="1205">
        <v>1</v>
      </c>
    </row>
    <row r="310" spans="1:4">
      <c r="A310" s="918" t="s">
        <v>4841</v>
      </c>
      <c r="B310" s="918">
        <v>2762</v>
      </c>
      <c r="C310" s="1204">
        <v>0.78</v>
      </c>
      <c r="D310" s="1205">
        <v>1</v>
      </c>
    </row>
    <row r="311" spans="1:4">
      <c r="A311" s="918" t="s">
        <v>4859</v>
      </c>
      <c r="B311" s="918">
        <v>2763</v>
      </c>
      <c r="C311" s="1204">
        <v>0.71</v>
      </c>
      <c r="D311" s="1205">
        <v>1</v>
      </c>
    </row>
    <row r="312" spans="1:4">
      <c r="A312" s="918" t="s">
        <v>4849</v>
      </c>
      <c r="B312" s="918">
        <v>2764</v>
      </c>
      <c r="C312" s="1204">
        <v>0.71</v>
      </c>
      <c r="D312" s="1205">
        <v>1</v>
      </c>
    </row>
    <row r="313" spans="1:4">
      <c r="A313" s="918" t="s">
        <v>4840</v>
      </c>
      <c r="B313" s="918">
        <v>2765</v>
      </c>
      <c r="C313" s="1204">
        <v>0.73</v>
      </c>
      <c r="D313" s="1205">
        <v>1</v>
      </c>
    </row>
    <row r="314" spans="1:4">
      <c r="A314" s="918" t="s">
        <v>4835</v>
      </c>
      <c r="B314" s="918">
        <v>2766</v>
      </c>
      <c r="C314" s="1204">
        <v>0.78</v>
      </c>
      <c r="D314" s="1205">
        <v>1</v>
      </c>
    </row>
    <row r="315" spans="1:4">
      <c r="A315" s="918" t="s">
        <v>4851</v>
      </c>
      <c r="B315" s="918">
        <v>2767</v>
      </c>
      <c r="C315" s="1204">
        <v>0.82</v>
      </c>
      <c r="D315" s="1205">
        <v>1</v>
      </c>
    </row>
    <row r="316" spans="1:4">
      <c r="A316" s="918" t="s">
        <v>4831</v>
      </c>
      <c r="B316" s="918">
        <v>2775</v>
      </c>
      <c r="C316" s="1204">
        <v>0.9</v>
      </c>
      <c r="D316" s="1205">
        <v>1</v>
      </c>
    </row>
    <row r="317" spans="1:4">
      <c r="A317" s="918" t="s">
        <v>4843</v>
      </c>
      <c r="B317" s="918">
        <v>2781</v>
      </c>
      <c r="C317" s="1204">
        <v>0</v>
      </c>
      <c r="D317" s="1205">
        <v>1</v>
      </c>
    </row>
    <row r="318" spans="1:4">
      <c r="A318" s="918" t="s">
        <v>4844</v>
      </c>
      <c r="B318" s="918">
        <v>2782</v>
      </c>
      <c r="C318" s="1204">
        <v>0</v>
      </c>
      <c r="D318" s="1205">
        <v>1</v>
      </c>
    </row>
    <row r="319" spans="1:4">
      <c r="A319" s="911" t="s">
        <v>4863</v>
      </c>
      <c r="B319" s="911">
        <v>2805</v>
      </c>
      <c r="C319" s="1204">
        <v>0.14000000000000001</v>
      </c>
      <c r="D319" s="1205">
        <v>1</v>
      </c>
    </row>
    <row r="320" spans="1:4">
      <c r="A320" s="943" t="s">
        <v>7764</v>
      </c>
      <c r="B320" s="911">
        <v>2815</v>
      </c>
      <c r="C320" s="1204">
        <v>0</v>
      </c>
      <c r="D320" s="1205">
        <v>1</v>
      </c>
    </row>
    <row r="321" spans="1:4">
      <c r="A321" s="943" t="s">
        <v>7765</v>
      </c>
      <c r="B321" s="911">
        <v>2820</v>
      </c>
      <c r="C321" s="1204">
        <v>0.1</v>
      </c>
      <c r="D321" s="1205">
        <v>1</v>
      </c>
    </row>
    <row r="322" spans="1:4">
      <c r="A322" s="918" t="s">
        <v>7234</v>
      </c>
      <c r="B322" s="918">
        <v>2848</v>
      </c>
      <c r="C322" s="1204">
        <v>0.87</v>
      </c>
      <c r="D322" s="1205">
        <v>1</v>
      </c>
    </row>
    <row r="323" spans="1:4">
      <c r="A323" s="946" t="s">
        <v>4626</v>
      </c>
      <c r="B323" s="947">
        <v>2855</v>
      </c>
      <c r="C323" s="1206">
        <v>0.1</v>
      </c>
      <c r="D323" s="1207">
        <v>1</v>
      </c>
    </row>
    <row r="324" spans="1:4">
      <c r="A324" s="920"/>
      <c r="B324" s="921"/>
      <c r="C324" s="921"/>
      <c r="D324" s="921"/>
    </row>
    <row r="325" spans="1:4">
      <c r="B325" s="856"/>
      <c r="C325" s="856"/>
      <c r="D325" s="856"/>
    </row>
    <row r="326" spans="1:4">
      <c r="A326" s="924" t="s">
        <v>7235</v>
      </c>
      <c r="B326" s="921"/>
      <c r="C326" s="921"/>
      <c r="D326" s="921"/>
    </row>
    <row r="327" spans="1:4">
      <c r="A327" s="924" t="s">
        <v>7788</v>
      </c>
      <c r="B327" s="856"/>
      <c r="C327" s="856"/>
      <c r="D327" s="856"/>
    </row>
    <row r="328" spans="1:4">
      <c r="A328" s="920" t="s">
        <v>6368</v>
      </c>
    </row>
    <row r="329" spans="1:4">
      <c r="A329" s="625" t="s">
        <v>7827</v>
      </c>
    </row>
    <row r="330" spans="1:4" ht="14">
      <c r="A330" s="1542" t="s">
        <v>7825</v>
      </c>
    </row>
    <row r="331" spans="1:4" ht="14">
      <c r="A331" s="1542" t="s">
        <v>7826</v>
      </c>
    </row>
  </sheetData>
  <sortState ref="A6:D323">
    <sortCondition ref="B6:B323"/>
  </sortState>
  <hyperlinks>
    <hyperlink ref="D3" location="residue_supply_n!A1" display="residue_supply_n"/>
    <hyperlink ref="C3" location="crop_efp!A1" display="crop_efp"/>
    <hyperlink ref="E3" location="grass_supply_n!A1" tooltip="Go to grass_supply_n" display="grass_supply_n"/>
    <hyperlink ref="F3" location="market_feed_supply_n!A1" tooltip="Go to market_feed_supply_n" display="market_feed_supply_n"/>
  </hyperlinks>
  <pageMargins left="0.75" right="0.75" top="1" bottom="1" header="0.4921259845" footer="0.492125984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rgb="FFF1DD93"/>
  </sheetPr>
  <dimension ref="A1:H12"/>
  <sheetViews>
    <sheetView workbookViewId="0">
      <selection activeCell="A65536" sqref="A65536"/>
    </sheetView>
  </sheetViews>
  <sheetFormatPr baseColWidth="10" defaultColWidth="9.1640625" defaultRowHeight="12" x14ac:dyDescent="0"/>
  <cols>
    <col min="1" max="1" width="50.6640625" style="124" customWidth="1"/>
    <col min="2" max="8" width="21.6640625" style="124" customWidth="1"/>
    <col min="9" max="16384" width="9.1640625" style="124"/>
  </cols>
  <sheetData>
    <row r="1" spans="1:8" s="53" customFormat="1" ht="12.75" customHeight="1">
      <c r="B1" s="185"/>
      <c r="C1" s="185"/>
      <c r="D1" s="185"/>
      <c r="E1" s="185"/>
      <c r="F1" s="185"/>
      <c r="G1" s="185"/>
      <c r="H1" s="185"/>
    </row>
    <row r="2" spans="1:8" s="53" customFormat="1" ht="12.75" customHeight="1">
      <c r="B2" s="54" t="s">
        <v>1005</v>
      </c>
      <c r="C2" s="1064" t="s">
        <v>5</v>
      </c>
      <c r="D2" s="1064" t="s">
        <v>3</v>
      </c>
      <c r="E2" s="1064" t="s">
        <v>1814</v>
      </c>
      <c r="F2" s="1064" t="s">
        <v>2</v>
      </c>
      <c r="G2" s="1064" t="s">
        <v>1818</v>
      </c>
      <c r="H2" s="1064" t="s">
        <v>1819</v>
      </c>
    </row>
    <row r="3" spans="1:8" s="53" customFormat="1" ht="12.75" customHeight="1">
      <c r="B3" s="54" t="s">
        <v>1006</v>
      </c>
      <c r="C3" s="1064" t="s">
        <v>1820</v>
      </c>
      <c r="D3" s="1064" t="s">
        <v>1817</v>
      </c>
      <c r="E3" s="1064"/>
      <c r="F3" s="1064"/>
      <c r="G3" s="1064"/>
      <c r="H3" s="1064"/>
    </row>
    <row r="4" spans="1:8" s="53" customFormat="1" ht="12.75" customHeight="1">
      <c r="H4" s="122"/>
    </row>
    <row r="5" spans="1:8">
      <c r="A5" s="374" t="s">
        <v>6351</v>
      </c>
      <c r="B5" s="369" t="s">
        <v>4873</v>
      </c>
      <c r="C5" s="369" t="s">
        <v>7772</v>
      </c>
      <c r="D5" s="369" t="s">
        <v>2312</v>
      </c>
      <c r="E5" s="370" t="s">
        <v>2311</v>
      </c>
    </row>
    <row r="6" spans="1:8">
      <c r="A6" s="414"/>
      <c r="B6" s="925" t="s">
        <v>7798</v>
      </c>
      <c r="C6" s="372" t="s">
        <v>732</v>
      </c>
      <c r="D6" s="435" t="s">
        <v>732</v>
      </c>
      <c r="E6" s="436" t="s">
        <v>732</v>
      </c>
    </row>
    <row r="7" spans="1:8">
      <c r="A7" s="187" t="s">
        <v>193</v>
      </c>
      <c r="B7" s="188">
        <f>market_feed_supply_n!H103</f>
        <v>154862684.92999995</v>
      </c>
      <c r="C7" s="188">
        <f>market_feed_supply_n!I103+market_feed_supply_n!J103-market_feed_supply_n!K103</f>
        <v>100975020.22871022</v>
      </c>
      <c r="D7" s="188">
        <f>market_feed_supply_n!L103+market_feed_supply_n!M103-market_feed_supply_n!N103</f>
        <v>12354900.736699363</v>
      </c>
      <c r="E7" s="189">
        <f>market_feed_supply_n!O103</f>
        <v>1176914.1030653527</v>
      </c>
    </row>
    <row r="8" spans="1:8">
      <c r="A8" s="187" t="s">
        <v>3099</v>
      </c>
      <c r="B8" s="188">
        <f>residue_supply_n!G54</f>
        <v>16468112.933314918</v>
      </c>
      <c r="C8" s="188">
        <v>0</v>
      </c>
      <c r="D8" s="202"/>
      <c r="E8" s="413"/>
    </row>
    <row r="9" spans="1:8">
      <c r="A9" s="187" t="s">
        <v>194</v>
      </c>
      <c r="B9" s="188">
        <f>grass_supply_n!H36</f>
        <v>136597988.39999998</v>
      </c>
      <c r="C9" s="188">
        <f>grass_supply_n!K36+grass_supply_n!L36-grass_supply_n!M36</f>
        <v>90816009.8271451</v>
      </c>
      <c r="D9" s="202"/>
      <c r="E9" s="413"/>
    </row>
    <row r="10" spans="1:8">
      <c r="A10" s="190" t="s">
        <v>6350</v>
      </c>
      <c r="B10" s="188">
        <f>SUM(B7:B9)</f>
        <v>307928786.26331484</v>
      </c>
      <c r="C10" s="188">
        <f>SUM(C7:C9)*IF(B10&gt;B11,B11/B10,1)</f>
        <v>191791030.05585533</v>
      </c>
      <c r="D10" s="188">
        <f>D7+D12</f>
        <v>101119451.10527827</v>
      </c>
      <c r="E10" s="189">
        <f>E7</f>
        <v>1176914.1030653527</v>
      </c>
    </row>
    <row r="11" spans="1:8">
      <c r="A11" s="472" t="s">
        <v>6358</v>
      </c>
      <c r="B11" s="37">
        <f>feed_demand_n!H22-feed_demand_n!K22</f>
        <v>615289209.95120001</v>
      </c>
      <c r="C11" s="202"/>
      <c r="D11" s="426"/>
      <c r="E11" s="425"/>
    </row>
    <row r="12" spans="1:8">
      <c r="A12" s="128" t="s">
        <v>1086</v>
      </c>
      <c r="B12" s="38">
        <f>MAX(B11-B10,0)+feed_demand_n!K22</f>
        <v>311736043.68788517</v>
      </c>
      <c r="C12" s="412"/>
      <c r="D12" s="111">
        <f>MIN(B12*feed_intensity_w!K24,biocap!F4)</f>
        <v>88764550.368578911</v>
      </c>
      <c r="E12" s="437"/>
    </row>
  </sheetData>
  <phoneticPr fontId="5" type="noConversion"/>
  <hyperlinks>
    <hyperlink ref="C2" location="residue_supply_n!A1" tooltip="Go to residue_supply_n" display="residue_supply_n"/>
    <hyperlink ref="D2" location="grass_supply_n!A1" tooltip="Go to grass_supply_n" display="grass_supply_n"/>
    <hyperlink ref="E2" location="feed_demand_n!A1" tooltip="Go to feed_demand_n" display="feed_demand_n"/>
    <hyperlink ref="F2" location="market_feed_supply_n!A1" tooltip="Go to market_feed_supply_n" display="market_feed_supply_n"/>
    <hyperlink ref="C3" location="livestock_feed_ef_n!A1" tooltip="Go to livesstock_feed_ef_n" display="livestock_feed_ef_n"/>
    <hyperlink ref="G2" location="feed_intensity_w!A1" display="feed_intensity_w"/>
    <hyperlink ref="H2" location="biocap!A1" display="biocap"/>
    <hyperlink ref="D3" location="ef_grazing!A1" display="ef_grazing"/>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enableFormatConditionsCalculation="0">
    <tabColor theme="6"/>
  </sheetPr>
  <dimension ref="A1:Q26"/>
  <sheetViews>
    <sheetView workbookViewId="0">
      <selection activeCell="A65536" sqref="A65536"/>
    </sheetView>
  </sheetViews>
  <sheetFormatPr baseColWidth="10" defaultColWidth="9.1640625" defaultRowHeight="12" x14ac:dyDescent="0"/>
  <cols>
    <col min="1" max="1" width="50.6640625" style="196" customWidth="1"/>
    <col min="2" max="2" width="14.83203125" style="196" customWidth="1"/>
    <col min="3" max="4" width="21.6640625" style="196" customWidth="1"/>
    <col min="5" max="5" width="21.6640625" style="197" customWidth="1"/>
    <col min="6" max="18" width="21.6640625" style="198" customWidth="1"/>
    <col min="19" max="16384" width="9.1640625" style="198"/>
  </cols>
  <sheetData>
    <row r="1" spans="1:17" s="53" customFormat="1" ht="12.75" customHeight="1">
      <c r="B1" s="123"/>
      <c r="C1" s="123"/>
      <c r="D1" s="123"/>
      <c r="E1" s="123"/>
      <c r="F1" s="123"/>
      <c r="G1" s="123"/>
      <c r="H1" s="123"/>
      <c r="I1" s="123"/>
      <c r="J1" s="185"/>
      <c r="K1" s="185"/>
      <c r="L1" s="185"/>
      <c r="M1" s="185"/>
      <c r="N1" s="185"/>
      <c r="O1" s="185"/>
      <c r="P1" s="125"/>
      <c r="Q1" s="125"/>
    </row>
    <row r="2" spans="1:17" s="53" customFormat="1" ht="12.75" customHeight="1">
      <c r="B2" s="876" t="s">
        <v>1005</v>
      </c>
      <c r="C2" s="1064" t="s">
        <v>1821</v>
      </c>
      <c r="D2" s="1064" t="s">
        <v>1822</v>
      </c>
      <c r="E2" s="1064" t="s">
        <v>1818</v>
      </c>
      <c r="F2" s="1064" t="s">
        <v>1816</v>
      </c>
      <c r="G2" s="1064" t="s">
        <v>5</v>
      </c>
      <c r="H2" s="1064" t="s">
        <v>6353</v>
      </c>
      <c r="I2" s="1042"/>
    </row>
    <row r="3" spans="1:17" s="53" customFormat="1" ht="12.75" customHeight="1">
      <c r="B3" s="876" t="s">
        <v>1006</v>
      </c>
      <c r="C3" s="1064" t="s">
        <v>1820</v>
      </c>
      <c r="D3" s="1064" t="s">
        <v>5261</v>
      </c>
      <c r="E3" s="1064"/>
      <c r="F3" s="1064"/>
      <c r="G3" s="1064"/>
      <c r="H3" s="1064"/>
      <c r="I3" s="1042"/>
    </row>
    <row r="4" spans="1:17" s="53" customFormat="1" ht="12.75" customHeight="1">
      <c r="B4" s="1042"/>
      <c r="C4" s="1042"/>
      <c r="D4" s="1042"/>
      <c r="E4" s="1042"/>
      <c r="F4" s="1042"/>
      <c r="G4" s="1042"/>
      <c r="H4" s="1042"/>
      <c r="I4" s="1042"/>
      <c r="P4" s="83"/>
    </row>
    <row r="5" spans="1:17" s="199" customFormat="1">
      <c r="A5" s="374" t="s">
        <v>2036</v>
      </c>
      <c r="B5" s="369" t="s">
        <v>2019</v>
      </c>
      <c r="C5" s="369" t="s">
        <v>2018</v>
      </c>
      <c r="D5" s="369" t="s">
        <v>192</v>
      </c>
      <c r="E5" s="369" t="s">
        <v>7787</v>
      </c>
      <c r="F5" s="327" t="s">
        <v>3209</v>
      </c>
      <c r="G5" s="369" t="s">
        <v>1319</v>
      </c>
      <c r="H5" s="369" t="s">
        <v>1318</v>
      </c>
      <c r="I5" s="369" t="s">
        <v>3070</v>
      </c>
      <c r="J5" s="369" t="s">
        <v>3071</v>
      </c>
      <c r="K5" s="369" t="s">
        <v>157</v>
      </c>
      <c r="L5" s="369" t="s">
        <v>5617</v>
      </c>
      <c r="M5" s="369" t="s">
        <v>5618</v>
      </c>
      <c r="N5" s="369" t="s">
        <v>2313</v>
      </c>
      <c r="O5" s="369" t="s">
        <v>6370</v>
      </c>
      <c r="P5" s="369" t="s">
        <v>6371</v>
      </c>
      <c r="Q5" s="370" t="s">
        <v>6372</v>
      </c>
    </row>
    <row r="6" spans="1:17" s="200" customFormat="1">
      <c r="A6" s="1046" t="s">
        <v>548</v>
      </c>
      <c r="B6" s="925" t="s">
        <v>548</v>
      </c>
      <c r="C6" s="925" t="s">
        <v>548</v>
      </c>
      <c r="D6" s="925" t="s">
        <v>548</v>
      </c>
      <c r="E6" s="925" t="s">
        <v>548</v>
      </c>
      <c r="F6" s="1047" t="s">
        <v>3208</v>
      </c>
      <c r="G6" s="661" t="s">
        <v>1320</v>
      </c>
      <c r="H6" s="925" t="s">
        <v>2987</v>
      </c>
      <c r="I6" s="925" t="s">
        <v>2987</v>
      </c>
      <c r="J6" s="925" t="s">
        <v>2987</v>
      </c>
      <c r="K6" s="925" t="s">
        <v>2987</v>
      </c>
      <c r="L6" s="925" t="s">
        <v>2987</v>
      </c>
      <c r="M6" s="925" t="s">
        <v>2987</v>
      </c>
      <c r="N6" s="925" t="s">
        <v>2987</v>
      </c>
      <c r="O6" s="834" t="s">
        <v>732</v>
      </c>
      <c r="P6" s="925" t="s">
        <v>732</v>
      </c>
      <c r="Q6" s="1048" t="s">
        <v>732</v>
      </c>
    </row>
    <row r="7" spans="1:17">
      <c r="A7" s="1049" t="s">
        <v>3389</v>
      </c>
      <c r="B7" s="1050">
        <v>1107</v>
      </c>
      <c r="C7" s="1051" t="s">
        <v>5170</v>
      </c>
      <c r="D7" s="1052" t="s">
        <v>3389</v>
      </c>
      <c r="E7" s="1053">
        <v>1107</v>
      </c>
      <c r="F7" s="1054">
        <f t="shared" ref="F7:F20" si="0">VLOOKUP(B7,resourcestat_livestock,3,FALSE)</f>
        <v>52000</v>
      </c>
      <c r="G7" s="1055">
        <f>VLOOKUP(E7,constant_livestock_demand,MATCH(residue_supply_n!$C$56,livestock_demand_headings,0),FALSE)</f>
        <v>6</v>
      </c>
      <c r="H7" s="1043">
        <f>IF(ISERROR(F7*G7*365/1000),0,(F7*G7*365/1000))</f>
        <v>113880</v>
      </c>
      <c r="I7" s="1056">
        <f>VLOOKUP(B7,feed_mix_w!$B$7:$E$27,4,FALSE)</f>
        <v>0.69</v>
      </c>
      <c r="J7" s="1043">
        <f>IF(I7=0,H7,0)</f>
        <v>0</v>
      </c>
      <c r="K7" s="1043">
        <f>IF(VLOOKUP(B7,feed_mix_w!$B$7:$E$27,4,FALSE)=1,H7,0)</f>
        <v>0</v>
      </c>
      <c r="L7" s="1043">
        <f>VLOOKUP(B7,feed_mix_w!$B$7:$F$27,5,FALSE)*H7</f>
        <v>35302.800000000003</v>
      </c>
      <c r="M7" s="1043">
        <f>VLOOKUP(B7,feed_mix_w!$B$7:$F$27,4,FALSE)*H7</f>
        <v>78577.2</v>
      </c>
      <c r="N7" s="1043">
        <f>VLOOKUP(B7,feed_mix_w!$B$7:$H$27,6,FALSE)*H7</f>
        <v>0</v>
      </c>
      <c r="O7" s="1044">
        <f>IFERROR(L7*VLOOKUP($B7,livestock_intensity_w,7,FALSE)/VLOOKUP($B7,feed_mix_w!$B$7:$I$27,7,FALSE),0)</f>
        <v>16249.783153522792</v>
      </c>
      <c r="P7" s="1043">
        <f>M7*feed_intensity_w!$K$24</f>
        <v>27593.566254691785</v>
      </c>
      <c r="Q7" s="1045">
        <f>IFERROR(N7*VLOOKUP($B7,livestock_intensity_w,10,FALSE)/VLOOKUP($B7,feed_mix_w!$B$7:$Y$27,24,FALSE),0)</f>
        <v>0</v>
      </c>
    </row>
    <row r="8" spans="1:17">
      <c r="A8" s="1057" t="s">
        <v>2276</v>
      </c>
      <c r="B8" s="1050">
        <v>946</v>
      </c>
      <c r="C8" s="1058" t="s">
        <v>2277</v>
      </c>
      <c r="D8" s="996" t="s">
        <v>4916</v>
      </c>
      <c r="E8" s="941">
        <v>866</v>
      </c>
      <c r="F8" s="1059">
        <f t="shared" si="0"/>
        <v>0</v>
      </c>
      <c r="G8" s="1060">
        <f>VLOOKUP(E8,constant_livestock_demand,MATCH(residue_supply_n!$C$56,livestock_demand_headings,0),FALSE)</f>
        <v>14.3</v>
      </c>
      <c r="H8" s="1044">
        <f t="shared" ref="H8:H21" si="1">IF(ISERROR(F8*G8*365/1000),0,(F8*G8*365/1000))</f>
        <v>0</v>
      </c>
      <c r="I8" s="1061">
        <f>VLOOKUP(B8,feed_mix_w!$B$7:$E$27,4,FALSE)</f>
        <v>0.69</v>
      </c>
      <c r="J8" s="1044">
        <f t="shared" ref="J8:J21" si="2">IF(I8=0,H8,0)</f>
        <v>0</v>
      </c>
      <c r="K8" s="1044">
        <f>IF(VLOOKUP(B8,feed_mix_w!$B$7:$E$27,4,FALSE)=1,H8,0)</f>
        <v>0</v>
      </c>
      <c r="L8" s="1044">
        <f>VLOOKUP(B8,feed_mix_w!$B$7:$F$27,5,FALSE)*H8</f>
        <v>0</v>
      </c>
      <c r="M8" s="1044">
        <f>VLOOKUP(B8,feed_mix_w!$B$7:$F$27,4,FALSE)*H8</f>
        <v>0</v>
      </c>
      <c r="N8" s="1044">
        <f>VLOOKUP(B8,feed_mix_w!$B$7:$H$27,6,FALSE)*H8</f>
        <v>0</v>
      </c>
      <c r="O8" s="1044">
        <f>IFERROR(L8*VLOOKUP($B8,livestock_intensity_w,7,FALSE)/VLOOKUP($B8,feed_mix_w!$B$7:$I$27,7,FALSE),0)</f>
        <v>0</v>
      </c>
      <c r="P8" s="1044">
        <f>M8*feed_intensity_w!$K$24</f>
        <v>0</v>
      </c>
      <c r="Q8" s="1045">
        <f>IFERROR(N8*VLOOKUP($B8,livestock_intensity_w,10,FALSE)/VLOOKUP($B8,feed_mix_w!$B$7:$Y$27,24,FALSE),0)</f>
        <v>0</v>
      </c>
    </row>
    <row r="9" spans="1:17">
      <c r="A9" s="1057" t="s">
        <v>5071</v>
      </c>
      <c r="B9" s="1050">
        <v>1126</v>
      </c>
      <c r="C9" s="1058" t="s">
        <v>5072</v>
      </c>
      <c r="D9" s="1062" t="s">
        <v>5071</v>
      </c>
      <c r="E9" s="1053">
        <v>1126</v>
      </c>
      <c r="F9" s="1059">
        <f t="shared" si="0"/>
        <v>0</v>
      </c>
      <c r="G9" s="1060">
        <f>VLOOKUP(E9,constant_livestock_demand,MATCH(residue_supply_n!$C$56,livestock_demand_headings,0),FALSE)</f>
        <v>10</v>
      </c>
      <c r="H9" s="1044">
        <f t="shared" si="1"/>
        <v>0</v>
      </c>
      <c r="I9" s="1061">
        <f>VLOOKUP(B9,feed_mix_w!$B$7:$E$27,4,FALSE)</f>
        <v>0.69</v>
      </c>
      <c r="J9" s="1044">
        <f t="shared" si="2"/>
        <v>0</v>
      </c>
      <c r="K9" s="1044">
        <f>IF(VLOOKUP(B9,feed_mix_w!$B$7:$E$27,4,FALSE)=1,H9,0)</f>
        <v>0</v>
      </c>
      <c r="L9" s="1044">
        <f>VLOOKUP(B9,feed_mix_w!$B$7:$F$27,5,FALSE)*H9</f>
        <v>0</v>
      </c>
      <c r="M9" s="1044">
        <f>VLOOKUP(B9,feed_mix_w!$B$7:$F$27,4,FALSE)*H9</f>
        <v>0</v>
      </c>
      <c r="N9" s="1044">
        <f>VLOOKUP(B9,feed_mix_w!$B$7:$H$27,6,FALSE)*H9</f>
        <v>0</v>
      </c>
      <c r="O9" s="1044">
        <f>IFERROR(L9*VLOOKUP($B9,livestock_intensity_w,7,FALSE)/VLOOKUP($B9,feed_mix_w!$B$7:$I$27,7,FALSE),0)</f>
        <v>0</v>
      </c>
      <c r="P9" s="1044">
        <f>M9*feed_intensity_w!$K$24</f>
        <v>0</v>
      </c>
      <c r="Q9" s="1045">
        <f>IFERROR(N9*VLOOKUP($B9,livestock_intensity_w,10,FALSE)/VLOOKUP($B9,feed_mix_w!$B$7:$Y$27,24,FALSE),0)</f>
        <v>0</v>
      </c>
    </row>
    <row r="10" spans="1:17">
      <c r="A10" s="1057" t="s">
        <v>4828</v>
      </c>
      <c r="B10" s="1050">
        <v>866</v>
      </c>
      <c r="C10" s="1058" t="s">
        <v>28</v>
      </c>
      <c r="D10" s="996" t="s">
        <v>4916</v>
      </c>
      <c r="E10" s="941">
        <v>866</v>
      </c>
      <c r="F10" s="1059">
        <f t="shared" si="0"/>
        <v>90095200</v>
      </c>
      <c r="G10" s="1060">
        <f>VLOOKUP(E10,constant_livestock_demand,MATCH(residue_supply_n!$C$56,livestock_demand_headings,0),FALSE)</f>
        <v>14.3</v>
      </c>
      <c r="H10" s="1044">
        <f t="shared" si="1"/>
        <v>470251896.39999998</v>
      </c>
      <c r="I10" s="1061">
        <f>VLOOKUP(B10,feed_mix_w!$B$7:$E$27,4,FALSE)</f>
        <v>0.69</v>
      </c>
      <c r="J10" s="1044">
        <f t="shared" si="2"/>
        <v>0</v>
      </c>
      <c r="K10" s="1044">
        <f>IF(VLOOKUP(B10,feed_mix_w!$B$7:$E$27,4,FALSE)=1,H10,0)</f>
        <v>0</v>
      </c>
      <c r="L10" s="1044">
        <f>VLOOKUP(B10,feed_mix_w!$B$7:$F$27,5,FALSE)*H10</f>
        <v>145778087.884</v>
      </c>
      <c r="M10" s="1044">
        <f>VLOOKUP(B10,feed_mix_w!$B$7:$F$27,4,FALSE)*H10</f>
        <v>324473808.51599997</v>
      </c>
      <c r="N10" s="1044">
        <f>VLOOKUP(B10,feed_mix_w!$B$7:$H$27,6,FALSE)*H10</f>
        <v>0</v>
      </c>
      <c r="O10" s="1044">
        <f>IFERROR(L10*VLOOKUP($B10,livestock_intensity_w,7,FALSE)/VLOOKUP($B10,feed_mix_w!$B$7:$I$27,7,FALSE),0)</f>
        <v>67101258.728774741</v>
      </c>
      <c r="P10" s="1044">
        <f>M10*feed_intensity_w!$K$24</f>
        <v>113943860.72802825</v>
      </c>
      <c r="Q10" s="1045">
        <f>IFERROR(N10*VLOOKUP($B10,livestock_intensity_w,10,FALSE)/VLOOKUP($B10,feed_mix_w!$B$7:$Y$27,24,FALSE),0)</f>
        <v>0</v>
      </c>
    </row>
    <row r="11" spans="1:17">
      <c r="A11" s="1057" t="s">
        <v>4710</v>
      </c>
      <c r="B11" s="1050">
        <v>1057</v>
      </c>
      <c r="C11" s="1058" t="s">
        <v>4711</v>
      </c>
      <c r="D11" s="1062" t="s">
        <v>1317</v>
      </c>
      <c r="E11" s="941">
        <v>1057</v>
      </c>
      <c r="F11" s="1059">
        <f t="shared" si="0"/>
        <v>1945900032</v>
      </c>
      <c r="G11" s="1060">
        <f>VLOOKUP(E11,constant_livestock_demand,MATCH(residue_supply_n!$C$56,livestock_demand_headings,0),FALSE)</f>
        <v>0.09</v>
      </c>
      <c r="H11" s="1044">
        <f t="shared" si="1"/>
        <v>63922816.051199995</v>
      </c>
      <c r="I11" s="1061">
        <f>VLOOKUP(B11,feed_mix_w!$B$7:$E$27,4,FALSE)</f>
        <v>0</v>
      </c>
      <c r="J11" s="1044">
        <f t="shared" si="2"/>
        <v>63922816.051199995</v>
      </c>
      <c r="K11" s="1044">
        <f>IF(VLOOKUP(B11,feed_mix_w!$B$7:$E$27,4,FALSE)=1,H11,0)</f>
        <v>0</v>
      </c>
      <c r="L11" s="1044">
        <f>VLOOKUP(B11,feed_mix_w!$B$7:$F$27,5,FALSE)*H11</f>
        <v>63283587.890687995</v>
      </c>
      <c r="M11" s="1044">
        <f>VLOOKUP(B11,feed_mix_w!$B$7:$F$27,4,FALSE)*H11</f>
        <v>0</v>
      </c>
      <c r="N11" s="1044">
        <f>VLOOKUP(B11,feed_mix_w!$B$7:$H$27,6,FALSE)*H11</f>
        <v>639228.16051199997</v>
      </c>
      <c r="O11" s="1044">
        <f>IFERROR(L11*VLOOKUP($B11,livestock_intensity_w,7,FALSE)/VLOOKUP($B11,feed_mix_w!$B$7:$I$27,7,FALSE),0)</f>
        <v>25987362.626525763</v>
      </c>
      <c r="P11" s="1044">
        <f>M11*feed_intensity_w!$K$24</f>
        <v>0</v>
      </c>
      <c r="Q11" s="1045">
        <f>IFERROR(N11*VLOOKUP($B11,livestock_intensity_w,10,FALSE)/VLOOKUP($B11,feed_mix_w!$B$7:$Y$27,24,FALSE),0)</f>
        <v>1904467.4824060835</v>
      </c>
    </row>
    <row r="12" spans="1:17">
      <c r="A12" s="1057" t="s">
        <v>3200</v>
      </c>
      <c r="B12" s="1050">
        <v>1068</v>
      </c>
      <c r="C12" s="1058" t="s">
        <v>3201</v>
      </c>
      <c r="D12" s="1062" t="s">
        <v>1317</v>
      </c>
      <c r="E12" s="941">
        <v>1057</v>
      </c>
      <c r="F12" s="1059">
        <f t="shared" si="0"/>
        <v>7300000</v>
      </c>
      <c r="G12" s="1060">
        <f>VLOOKUP(E12,constant_livestock_demand,MATCH(residue_supply_n!$C$56,livestock_demand_headings,0),FALSE)</f>
        <v>0.09</v>
      </c>
      <c r="H12" s="1044">
        <f t="shared" si="1"/>
        <v>239805</v>
      </c>
      <c r="I12" s="1061">
        <f>VLOOKUP(B12,feed_mix_w!$B$7:$E$27,4,FALSE)</f>
        <v>0</v>
      </c>
      <c r="J12" s="1044">
        <f t="shared" si="2"/>
        <v>239805</v>
      </c>
      <c r="K12" s="1044">
        <f>IF(VLOOKUP(B12,feed_mix_w!$B$7:$E$27,4,FALSE)=1,H12,0)</f>
        <v>0</v>
      </c>
      <c r="L12" s="1044">
        <f>VLOOKUP(B12,feed_mix_w!$B$7:$F$27,5,FALSE)*H12</f>
        <v>237406.95</v>
      </c>
      <c r="M12" s="1044">
        <f>VLOOKUP(B12,feed_mix_w!$B$7:$F$27,4,FALSE)*H12</f>
        <v>0</v>
      </c>
      <c r="N12" s="1044">
        <f>VLOOKUP(B12,feed_mix_w!$B$7:$H$27,6,FALSE)*H12</f>
        <v>2398.0500000000002</v>
      </c>
      <c r="O12" s="1044">
        <f>IFERROR(L12*VLOOKUP($B12,livestock_intensity_w,7,FALSE)/VLOOKUP($B12,feed_mix_w!$B$7:$I$27,7,FALSE),0)</f>
        <v>97491.003676409877</v>
      </c>
      <c r="P12" s="1044">
        <f>M12*feed_intensity_w!$K$24</f>
        <v>0</v>
      </c>
      <c r="Q12" s="1045">
        <f>IFERROR(N12*VLOOKUP($B12,livestock_intensity_w,10,FALSE)/VLOOKUP($B12,feed_mix_w!$B$7:$Y$27,24,FALSE),0)</f>
        <v>7144.566726418765</v>
      </c>
    </row>
    <row r="13" spans="1:17">
      <c r="A13" s="1057" t="s">
        <v>3759</v>
      </c>
      <c r="B13" s="1050">
        <v>1072</v>
      </c>
      <c r="C13" s="1058" t="s">
        <v>3760</v>
      </c>
      <c r="D13" s="1062" t="s">
        <v>1317</v>
      </c>
      <c r="E13" s="821">
        <v>1057</v>
      </c>
      <c r="F13" s="1059">
        <f t="shared" si="0"/>
        <v>0</v>
      </c>
      <c r="G13" s="1060">
        <f>VLOOKUP(E13,constant_livestock_demand,MATCH(residue_supply_n!$C$56,livestock_demand_headings,0),FALSE)</f>
        <v>0.09</v>
      </c>
      <c r="H13" s="1044">
        <f t="shared" si="1"/>
        <v>0</v>
      </c>
      <c r="I13" s="1061">
        <f>VLOOKUP(B13,feed_mix_w!$B$7:$E$27,4,FALSE)</f>
        <v>0</v>
      </c>
      <c r="J13" s="1044">
        <f t="shared" si="2"/>
        <v>0</v>
      </c>
      <c r="K13" s="1044">
        <f>IF(VLOOKUP(B13,feed_mix_w!$B$7:$E$27,4,FALSE)=1,H13,0)</f>
        <v>0</v>
      </c>
      <c r="L13" s="1044">
        <f>VLOOKUP(B13,feed_mix_w!$B$7:$F$27,5,FALSE)*H13</f>
        <v>0</v>
      </c>
      <c r="M13" s="1044">
        <f>VLOOKUP(B13,feed_mix_w!$B$7:$F$27,4,FALSE)*H13</f>
        <v>0</v>
      </c>
      <c r="N13" s="1044">
        <f>VLOOKUP(B13,feed_mix_w!$B$7:$H$27,6,FALSE)*H13</f>
        <v>0</v>
      </c>
      <c r="O13" s="1044">
        <f>IFERROR(L13*VLOOKUP($B13,livestock_intensity_w,7,FALSE)/VLOOKUP($B13,feed_mix_w!$B$7:$I$27,7,FALSE),0)</f>
        <v>0</v>
      </c>
      <c r="P13" s="1044">
        <f>M13*feed_intensity_w!$K$24</f>
        <v>0</v>
      </c>
      <c r="Q13" s="1045">
        <f>IFERROR(N13*VLOOKUP($B13,livestock_intensity_w,10,FALSE)/VLOOKUP($B13,feed_mix_w!$B$7:$Y$27,24,FALSE),0)</f>
        <v>0</v>
      </c>
    </row>
    <row r="14" spans="1:17">
      <c r="A14" s="1057" t="s">
        <v>408</v>
      </c>
      <c r="B14" s="1050">
        <v>1016</v>
      </c>
      <c r="C14" s="1058" t="s">
        <v>409</v>
      </c>
      <c r="D14" s="1062" t="s">
        <v>4917</v>
      </c>
      <c r="E14" s="941">
        <v>976</v>
      </c>
      <c r="F14" s="1059">
        <f t="shared" si="0"/>
        <v>2632000</v>
      </c>
      <c r="G14" s="1060">
        <f>VLOOKUP(E14,constant_livestock_demand,MATCH(residue_supply_n!$C$56,livestock_demand_headings,0),FALSE)</f>
        <v>1.5</v>
      </c>
      <c r="H14" s="1044">
        <f t="shared" si="1"/>
        <v>1441020</v>
      </c>
      <c r="I14" s="1061">
        <f>VLOOKUP(B14,feed_mix_w!$B$7:$E$27,4,FALSE)</f>
        <v>1</v>
      </c>
      <c r="J14" s="1044">
        <f t="shared" si="2"/>
        <v>0</v>
      </c>
      <c r="K14" s="1044">
        <f>IF(VLOOKUP(B14,feed_mix_w!$B$7:$E$27,4,FALSE)=1,H14,0)</f>
        <v>1441020</v>
      </c>
      <c r="L14" s="1044">
        <f>VLOOKUP(B14,feed_mix_w!$B$7:$F$27,5,FALSE)*H14</f>
        <v>0</v>
      </c>
      <c r="M14" s="1044">
        <f>VLOOKUP(B14,feed_mix_w!$B$7:$F$27,4,FALSE)*H14</f>
        <v>1441020</v>
      </c>
      <c r="N14" s="1044">
        <f>VLOOKUP(B14,feed_mix_w!$B$7:$H$27,6,FALSE)*H14</f>
        <v>0</v>
      </c>
      <c r="O14" s="1044">
        <f>IFERROR(L14*VLOOKUP($B14,livestock_intensity_w,7,FALSE)/VLOOKUP($B14,feed_mix_w!$B$7:$I$27,7,FALSE),0)</f>
        <v>0</v>
      </c>
      <c r="P14" s="1044">
        <f>M14*feed_intensity_w!$K$24</f>
        <v>506035.85829395748</v>
      </c>
      <c r="Q14" s="1045">
        <f>IFERROR(N14*VLOOKUP($B14,livestock_intensity_w,10,FALSE)/VLOOKUP($B14,feed_mix_w!$B$7:$Y$27,24,FALSE),0)</f>
        <v>0</v>
      </c>
    </row>
    <row r="15" spans="1:17">
      <c r="A15" s="1057" t="s">
        <v>2783</v>
      </c>
      <c r="B15" s="1050">
        <v>1096</v>
      </c>
      <c r="C15" s="1058" t="s">
        <v>2784</v>
      </c>
      <c r="D15" s="1062" t="s">
        <v>2783</v>
      </c>
      <c r="E15" s="1053">
        <v>1096</v>
      </c>
      <c r="F15" s="1059">
        <f t="shared" si="0"/>
        <v>10250000</v>
      </c>
      <c r="G15" s="1060">
        <f>VLOOKUP(E15,constant_livestock_demand,MATCH(residue_supply_n!$C$56,livestock_demand_headings,0),FALSE)</f>
        <v>10</v>
      </c>
      <c r="H15" s="1044">
        <f t="shared" si="1"/>
        <v>37412500</v>
      </c>
      <c r="I15" s="1061">
        <f>VLOOKUP(B15,feed_mix_w!$B$7:$E$27,4,FALSE)</f>
        <v>0.69</v>
      </c>
      <c r="J15" s="1044">
        <f t="shared" si="2"/>
        <v>0</v>
      </c>
      <c r="K15" s="1044">
        <f>IF(VLOOKUP(B15,feed_mix_w!$B$7:$E$27,4,FALSE)=1,H15,0)</f>
        <v>0</v>
      </c>
      <c r="L15" s="1044">
        <f>VLOOKUP(B15,feed_mix_w!$B$7:$F$27,5,FALSE)*H15</f>
        <v>11597875.000000002</v>
      </c>
      <c r="M15" s="1044">
        <f>VLOOKUP(B15,feed_mix_w!$B$7:$F$27,4,FALSE)*H15</f>
        <v>25814624.999999996</v>
      </c>
      <c r="N15" s="1044">
        <f>VLOOKUP(B15,feed_mix_w!$B$7:$H$27,6,FALSE)*H15</f>
        <v>0</v>
      </c>
      <c r="O15" s="1044">
        <f>IFERROR(L15*VLOOKUP($B15,livestock_intensity_w,7,FALSE)/VLOOKUP($B15,feed_mix_w!$B$7:$I$27,7,FALSE),0)</f>
        <v>5338470.4270387404</v>
      </c>
      <c r="P15" s="1044">
        <f>M15*feed_intensity_w!$K$24</f>
        <v>9065194.0420061145</v>
      </c>
      <c r="Q15" s="1045">
        <f>IFERROR(N15*VLOOKUP($B15,livestock_intensity_w,10,FALSE)/VLOOKUP($B15,feed_mix_w!$B$7:$Y$27,24,FALSE),0)</f>
        <v>0</v>
      </c>
    </row>
    <row r="16" spans="1:17">
      <c r="A16" s="1063" t="s">
        <v>5166</v>
      </c>
      <c r="B16" s="941">
        <v>1110</v>
      </c>
      <c r="C16" s="1062" t="s">
        <v>5171</v>
      </c>
      <c r="D16" s="1062" t="s">
        <v>5166</v>
      </c>
      <c r="E16" s="1053">
        <v>1110</v>
      </c>
      <c r="F16" s="1059">
        <f t="shared" si="0"/>
        <v>0</v>
      </c>
      <c r="G16" s="1060">
        <f>VLOOKUP(E16,constant_livestock_demand,MATCH(residue_supply_n!$C$56,livestock_demand_headings,0),FALSE)</f>
        <v>6</v>
      </c>
      <c r="H16" s="1059">
        <f t="shared" si="1"/>
        <v>0</v>
      </c>
      <c r="I16" s="996">
        <f>VLOOKUP(B16,feed_mix_w!$B$7:$E$27,4,FALSE)</f>
        <v>0.69</v>
      </c>
      <c r="J16" s="1059">
        <f t="shared" si="2"/>
        <v>0</v>
      </c>
      <c r="K16" s="1059">
        <f>IF(VLOOKUP(B16,feed_mix_w!$B$7:$E$27,4,FALSE)=1,H16,0)</f>
        <v>0</v>
      </c>
      <c r="L16" s="1059">
        <f>VLOOKUP(B16,feed_mix_w!$B$7:$F$27,5,FALSE)*H16</f>
        <v>0</v>
      </c>
      <c r="M16" s="1059">
        <f>VLOOKUP(B16,feed_mix_w!$B$7:$F$27,4,FALSE)*H16</f>
        <v>0</v>
      </c>
      <c r="N16" s="1059">
        <f>VLOOKUP(B16,feed_mix_w!$B$7:$H$27,6,FALSE)*H16</f>
        <v>0</v>
      </c>
      <c r="O16" s="1044">
        <f>IFERROR(L16*VLOOKUP($B16,livestock_intensity_w,7,FALSE)/VLOOKUP($B16,feed_mix_w!$B$7:$I$27,7,FALSE),0)</f>
        <v>0</v>
      </c>
      <c r="P16" s="1044">
        <f>M16*feed_intensity_w!$K$24</f>
        <v>0</v>
      </c>
      <c r="Q16" s="1045">
        <f>IFERROR(N16*VLOOKUP($B16,livestock_intensity_w,10,FALSE)/VLOOKUP($B16,feed_mix_w!$B$7:$Y$27,24,FALSE),0)</f>
        <v>0</v>
      </c>
    </row>
    <row r="17" spans="1:17">
      <c r="A17" s="1057" t="s">
        <v>3101</v>
      </c>
      <c r="B17" s="1050">
        <v>1157</v>
      </c>
      <c r="C17" s="1058" t="s">
        <v>3102</v>
      </c>
      <c r="D17" s="1062" t="s">
        <v>3101</v>
      </c>
      <c r="E17" s="1053">
        <v>1157</v>
      </c>
      <c r="F17" s="1059">
        <f t="shared" si="0"/>
        <v>0</v>
      </c>
      <c r="G17" s="1060">
        <f>VLOOKUP(E17,constant_livestock_demand,MATCH(residue_supply_n!$C$56,livestock_demand_headings,0),FALSE)</f>
        <v>10</v>
      </c>
      <c r="H17" s="1044">
        <f t="shared" si="1"/>
        <v>0</v>
      </c>
      <c r="I17" s="1061">
        <f>VLOOKUP(B17,feed_mix_w!$B$7:$E$27,4,FALSE)</f>
        <v>0.69</v>
      </c>
      <c r="J17" s="1044">
        <f t="shared" si="2"/>
        <v>0</v>
      </c>
      <c r="K17" s="1044">
        <f>IF(VLOOKUP(B17,feed_mix_w!$B$7:$E$27,4,FALSE)=1,H17,0)</f>
        <v>0</v>
      </c>
      <c r="L17" s="1044">
        <f>VLOOKUP(B17,feed_mix_w!$B$7:$F$27,5,FALSE)*H17</f>
        <v>0</v>
      </c>
      <c r="M17" s="1044">
        <f>VLOOKUP(B17,feed_mix_w!$B$7:$F$27,4,FALSE)*H17</f>
        <v>0</v>
      </c>
      <c r="N17" s="1044">
        <f>VLOOKUP(B17,feed_mix_w!$B$7:$H$27,6,FALSE)*H17</f>
        <v>0</v>
      </c>
      <c r="O17" s="1044">
        <f>IFERROR(L17*VLOOKUP($B17,livestock_intensity_w,7,FALSE)/VLOOKUP($B17,feed_mix_w!$B$7:$I$27,7,FALSE),0)</f>
        <v>0</v>
      </c>
      <c r="P17" s="1044">
        <f>M17*feed_intensity_w!$K$24</f>
        <v>0</v>
      </c>
      <c r="Q17" s="1045">
        <f>IFERROR(N17*VLOOKUP($B17,livestock_intensity_w,10,FALSE)/VLOOKUP($B17,feed_mix_w!$B$7:$Y$27,24,FALSE),0)</f>
        <v>0</v>
      </c>
    </row>
    <row r="18" spans="1:17">
      <c r="A18" s="1057" t="s">
        <v>3103</v>
      </c>
      <c r="B18" s="1050">
        <v>1150</v>
      </c>
      <c r="C18" s="1058" t="s">
        <v>3104</v>
      </c>
      <c r="D18" s="1062" t="s">
        <v>3103</v>
      </c>
      <c r="E18" s="1053">
        <v>1150</v>
      </c>
      <c r="F18" s="1059">
        <f t="shared" si="0"/>
        <v>0</v>
      </c>
      <c r="G18" s="1060">
        <f>VLOOKUP(E18,constant_livestock_demand,MATCH(residue_supply_n!$C$56,livestock_demand_headings,0),FALSE)</f>
        <v>0.1</v>
      </c>
      <c r="H18" s="1044">
        <f t="shared" si="1"/>
        <v>0</v>
      </c>
      <c r="I18" s="1061">
        <f>VLOOKUP(B18,feed_mix_w!$B$7:$E$27,4,FALSE)</f>
        <v>0</v>
      </c>
      <c r="J18" s="1044">
        <f t="shared" si="2"/>
        <v>0</v>
      </c>
      <c r="K18" s="1044">
        <f>IF(VLOOKUP(B18,feed_mix_w!$B$7:$E$27,4,FALSE)=1,H18,0)</f>
        <v>0</v>
      </c>
      <c r="L18" s="1044">
        <f>VLOOKUP(B18,feed_mix_w!$B$7:$F$27,5,FALSE)*H18</f>
        <v>0</v>
      </c>
      <c r="M18" s="1044">
        <f>VLOOKUP(B18,feed_mix_w!$B$7:$F$27,4,FALSE)*H18</f>
        <v>0</v>
      </c>
      <c r="N18" s="1044">
        <f>VLOOKUP(B18,feed_mix_w!$B$7:$H$27,6,FALSE)*H18</f>
        <v>0</v>
      </c>
      <c r="O18" s="1044">
        <f>IFERROR(L18*VLOOKUP($B18,livestock_intensity_w,7,FALSE)/VLOOKUP($B18,feed_mix_w!$B$7:$I$27,7,FALSE),0)</f>
        <v>0</v>
      </c>
      <c r="P18" s="1044">
        <f>M18*feed_intensity_w!$K$24</f>
        <v>0</v>
      </c>
      <c r="Q18" s="1045">
        <f>IFERROR(N18*VLOOKUP($B18,livestock_intensity_w,10,FALSE)/VLOOKUP($B18,feed_mix_w!$B$7:$Y$27,24,FALSE),0)</f>
        <v>0</v>
      </c>
    </row>
    <row r="19" spans="1:17">
      <c r="A19" s="1057" t="s">
        <v>1750</v>
      </c>
      <c r="B19" s="1050">
        <v>1034</v>
      </c>
      <c r="C19" s="1058" t="s">
        <v>3469</v>
      </c>
      <c r="D19" s="1062" t="s">
        <v>1750</v>
      </c>
      <c r="E19" s="1053">
        <v>1034</v>
      </c>
      <c r="F19" s="1059">
        <f t="shared" si="0"/>
        <v>64775000</v>
      </c>
      <c r="G19" s="1060">
        <f>VLOOKUP(E19,constant_livestock_demand,MATCH(residue_supply_n!$C$56,livestock_demand_headings,0),FALSE)</f>
        <v>1.5</v>
      </c>
      <c r="H19" s="1044">
        <f t="shared" si="1"/>
        <v>35464312.5</v>
      </c>
      <c r="I19" s="1061">
        <f>VLOOKUP(B19,feed_mix_w!$B$7:$E$27,4,FALSE)</f>
        <v>0</v>
      </c>
      <c r="J19" s="1044">
        <f t="shared" si="2"/>
        <v>35464312.5</v>
      </c>
      <c r="K19" s="1044">
        <f>IF(VLOOKUP(B19,feed_mix_w!$B$7:$E$27,4,FALSE)=1,H19,0)</f>
        <v>0</v>
      </c>
      <c r="L19" s="1044">
        <f>VLOOKUP(B19,feed_mix_w!$B$7:$F$27,5,FALSE)*H19</f>
        <v>35109669.375</v>
      </c>
      <c r="M19" s="1044">
        <f>VLOOKUP(B19,feed_mix_w!$B$7:$F$27,4,FALSE)*H19</f>
        <v>0</v>
      </c>
      <c r="N19" s="1044">
        <f>VLOOKUP(B19,feed_mix_w!$B$7:$H$27,6,FALSE)*H19</f>
        <v>354643.125</v>
      </c>
      <c r="O19" s="1044">
        <f>IFERROR(L19*VLOOKUP($B19,livestock_intensity_w,7,FALSE)/VLOOKUP($B19,feed_mix_w!$B$7:$I$27,7,FALSE),0)</f>
        <v>13698328.863638023</v>
      </c>
      <c r="P19" s="1044">
        <f>M19*feed_intensity_w!$K$24</f>
        <v>0</v>
      </c>
      <c r="Q19" s="1045">
        <f>IFERROR(N19*VLOOKUP($B19,livestock_intensity_w,10,FALSE)/VLOOKUP($B19,feed_mix_w!$B$7:$Y$27,24,FALSE),0)</f>
        <v>1056596.5974972043</v>
      </c>
    </row>
    <row r="20" spans="1:17">
      <c r="A20" s="1057" t="s">
        <v>1961</v>
      </c>
      <c r="B20" s="1050">
        <v>976</v>
      </c>
      <c r="C20" s="1058" t="s">
        <v>1746</v>
      </c>
      <c r="D20" s="1062" t="s">
        <v>4917</v>
      </c>
      <c r="E20" s="941">
        <v>976</v>
      </c>
      <c r="F20" s="1059">
        <f t="shared" si="0"/>
        <v>5360000</v>
      </c>
      <c r="G20" s="1060">
        <f>VLOOKUP(E20,constant_livestock_demand,MATCH(residue_supply_n!$C$56,livestock_demand_headings,0),FALSE)</f>
        <v>1.5</v>
      </c>
      <c r="H20" s="1044">
        <f t="shared" si="1"/>
        <v>2934600</v>
      </c>
      <c r="I20" s="1061">
        <f>VLOOKUP(B20,feed_mix_w!$B$7:$E$27,4,FALSE)</f>
        <v>1</v>
      </c>
      <c r="J20" s="1044">
        <f t="shared" si="2"/>
        <v>0</v>
      </c>
      <c r="K20" s="1044">
        <f>IF(VLOOKUP(B20,feed_mix_w!$B$7:$E$27,4,FALSE)=1,H20,0)</f>
        <v>2934600</v>
      </c>
      <c r="L20" s="1044">
        <f>VLOOKUP(B20,feed_mix_w!$B$7:$F$27,5,FALSE)*H20</f>
        <v>0</v>
      </c>
      <c r="M20" s="1044">
        <f>VLOOKUP(B20,feed_mix_w!$B$7:$F$27,4,FALSE)*H20</f>
        <v>2934600</v>
      </c>
      <c r="N20" s="1044">
        <f>VLOOKUP(B20,feed_mix_w!$B$7:$H$27,6,FALSE)*H20</f>
        <v>0</v>
      </c>
      <c r="O20" s="1044">
        <f>IFERROR(L20*VLOOKUP($B20,livestock_intensity_w,7,FALSE)/VLOOKUP($B20,feed_mix_w!$B$7:$I$27,7,FALSE),0)</f>
        <v>0</v>
      </c>
      <c r="P20" s="1044">
        <f>M20*feed_intensity_w!$K$24</f>
        <v>1030528.9515408861</v>
      </c>
      <c r="Q20" s="1045">
        <f>IFERROR(N20*VLOOKUP($B20,livestock_intensity_w,10,FALSE)/VLOOKUP($B20,feed_mix_w!$B$7:$Y$27,24,FALSE),0)</f>
        <v>0</v>
      </c>
    </row>
    <row r="21" spans="1:17">
      <c r="A21" s="1057" t="s">
        <v>4812</v>
      </c>
      <c r="B21" s="1050">
        <v>1079</v>
      </c>
      <c r="C21" s="1058" t="s">
        <v>4346</v>
      </c>
      <c r="D21" s="1062" t="s">
        <v>1317</v>
      </c>
      <c r="E21" s="941">
        <v>1057</v>
      </c>
      <c r="F21" s="1059">
        <f>VLOOKUP(B21,resourcestat_livestock,3,FALSE)</f>
        <v>240000000</v>
      </c>
      <c r="G21" s="1060">
        <f>VLOOKUP(E21,constant_livestock_demand,MATCH(residue_supply_n!$C$56,livestock_demand_headings,0),FALSE)</f>
        <v>0.09</v>
      </c>
      <c r="H21" s="1044">
        <f t="shared" si="1"/>
        <v>7884000</v>
      </c>
      <c r="I21" s="1061">
        <f>VLOOKUP(B21,feed_mix_w!$B$7:$E$27,4,FALSE)</f>
        <v>0</v>
      </c>
      <c r="J21" s="1044">
        <f t="shared" si="2"/>
        <v>7884000</v>
      </c>
      <c r="K21" s="1044">
        <f>IF(VLOOKUP(B21,feed_mix_w!$B$7:$E$27,4,FALSE)=1,H21,0)</f>
        <v>0</v>
      </c>
      <c r="L21" s="1044">
        <f>VLOOKUP(B21,feed_mix_w!$B$7:$F$27,5,FALSE)*H21</f>
        <v>7805160</v>
      </c>
      <c r="M21" s="1044">
        <f>VLOOKUP(B21,feed_mix_w!$B$7:$F$27,4,FALSE)*H21</f>
        <v>0</v>
      </c>
      <c r="N21" s="1044">
        <f>VLOOKUP(B21,feed_mix_w!$B$7:$H$27,6,FALSE)*H21</f>
        <v>78840</v>
      </c>
      <c r="O21" s="1044">
        <f>IFERROR(L21*VLOOKUP($B21,livestock_intensity_w,7,FALSE)/VLOOKUP($B21,feed_mix_w!$B$7:$I$27,7,FALSE),0)</f>
        <v>3205183.682512105</v>
      </c>
      <c r="P21" s="1044">
        <f>M21*feed_intensity_w!$K$24</f>
        <v>0</v>
      </c>
      <c r="Q21" s="1045">
        <f>IFERROR(N21*VLOOKUP($B21,livestock_intensity_w,10,FALSE)/VLOOKUP($B21,feed_mix_w!$B$7:$Y$27,24,FALSE),0)</f>
        <v>234889.86497815116</v>
      </c>
    </row>
    <row r="22" spans="1:17" s="201" customFormat="1">
      <c r="A22" s="679" t="s">
        <v>4211</v>
      </c>
      <c r="B22" s="680"/>
      <c r="C22" s="680"/>
      <c r="D22" s="681"/>
      <c r="E22" s="681"/>
      <c r="F22" s="682"/>
      <c r="G22" s="683"/>
      <c r="H22" s="683">
        <f>SUM(H7:H21)</f>
        <v>619664829.95120001</v>
      </c>
      <c r="I22" s="683"/>
      <c r="J22" s="683">
        <f t="shared" ref="J22:P22" si="3">SUM(J7:J21)</f>
        <v>107510933.5512</v>
      </c>
      <c r="K22" s="683">
        <f t="shared" si="3"/>
        <v>4375620</v>
      </c>
      <c r="L22" s="683">
        <f t="shared" si="3"/>
        <v>263847089.89968801</v>
      </c>
      <c r="M22" s="683">
        <f t="shared" si="3"/>
        <v>354742630.71599996</v>
      </c>
      <c r="N22" s="683">
        <f t="shared" si="3"/>
        <v>1075109.3355120001</v>
      </c>
      <c r="O22" s="683">
        <f t="shared" si="3"/>
        <v>115444345.11531931</v>
      </c>
      <c r="P22" s="683">
        <f t="shared" si="3"/>
        <v>124573213.1461239</v>
      </c>
      <c r="Q22" s="684">
        <f>SUM(Q7:Q21)</f>
        <v>3203098.5116078574</v>
      </c>
    </row>
    <row r="25" spans="1:17">
      <c r="Q25" s="1349"/>
    </row>
    <row r="26" spans="1:17">
      <c r="Q26" s="1350"/>
    </row>
  </sheetData>
  <phoneticPr fontId="5" type="noConversion"/>
  <hyperlinks>
    <hyperlink ref="C2" location="feed_mix_w!A1" tooltip="Go to feed_mix_w" display="feed_mix_w"/>
    <hyperlink ref="D2" location="livestock_intensity_w" tooltip="Go to livestock_intensity_w" display="livestock_intensity_w"/>
    <hyperlink ref="E2" location="feed_intensity_w!A1" tooltip="Go to feed_intensity_w" display="feed_intensity_w"/>
    <hyperlink ref="F2" location="resourcestat_livestock" tooltip="Go to resourcestat_livestock_n" display="resourcestat_livestock_n"/>
    <hyperlink ref="C3" location="livestock_feed_ef_n!A1" tooltip="Go to livestock_feed_ef_n" display="livestock_feed_ef_n"/>
    <hyperlink ref="D3" location="livestock_feed_balance!A1" tooltip="Go to livestock_feed_balance_n" display="livestock_feed_balance"/>
    <hyperlink ref="H2" location="constant_livestock_demand" display="constant_livestock_demand"/>
    <hyperlink ref="G2" location="residue_supply_n!A1" display="residue_supply_n"/>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enableFormatConditionsCalculation="0">
    <tabColor theme="6"/>
  </sheetPr>
  <dimension ref="A1:P103"/>
  <sheetViews>
    <sheetView workbookViewId="0">
      <pane xSplit="3" ySplit="6" topLeftCell="D7" activePane="bottomRight" state="frozen"/>
      <selection pane="topRight" activeCell="D1" sqref="D1"/>
      <selection pane="bottomLeft" activeCell="A7" sqref="A7"/>
      <selection pane="bottomRight" activeCell="A65536" sqref="A65536"/>
    </sheetView>
  </sheetViews>
  <sheetFormatPr baseColWidth="10" defaultColWidth="9.1640625" defaultRowHeight="12" x14ac:dyDescent="0"/>
  <cols>
    <col min="1" max="1" width="27.83203125" style="1090" customWidth="1"/>
    <col min="2" max="2" width="10.1640625" style="1090" customWidth="1"/>
    <col min="3" max="3" width="13.5" style="1090" customWidth="1"/>
    <col min="4" max="4" width="14.6640625" style="1090" customWidth="1"/>
    <col min="5" max="6" width="13.5" style="1090" customWidth="1"/>
    <col min="7" max="7" width="17" style="796" customWidth="1"/>
    <col min="8" max="15" width="16.6640625" style="796" customWidth="1"/>
    <col min="16" max="16" width="12.83203125" style="796" customWidth="1"/>
    <col min="17" max="17" width="20.1640625" style="796" customWidth="1"/>
    <col min="18" max="18" width="6.5" style="796" customWidth="1"/>
    <col min="19" max="16384" width="9.1640625" style="796"/>
  </cols>
  <sheetData>
    <row r="1" spans="1:15" s="262" customFormat="1" ht="12.75" customHeight="1">
      <c r="B1" s="123"/>
      <c r="C1" s="123"/>
      <c r="D1" s="123"/>
      <c r="E1" s="1064"/>
      <c r="F1" s="1064"/>
      <c r="G1" s="1064"/>
      <c r="H1" s="1064"/>
      <c r="I1" s="1064"/>
      <c r="J1" s="1064"/>
      <c r="K1" s="123"/>
      <c r="L1" s="123"/>
      <c r="M1" s="123"/>
      <c r="N1" s="123"/>
      <c r="O1" s="123"/>
    </row>
    <row r="2" spans="1:15" s="262" customFormat="1" ht="12.75" customHeight="1">
      <c r="D2" s="969" t="s">
        <v>1005</v>
      </c>
      <c r="E2" s="1064" t="s">
        <v>2117</v>
      </c>
      <c r="F2" s="1064" t="s">
        <v>6348</v>
      </c>
      <c r="G2" s="1064" t="s">
        <v>2119</v>
      </c>
      <c r="H2" s="1064" t="s">
        <v>5415</v>
      </c>
      <c r="I2" s="1064" t="s">
        <v>1822</v>
      </c>
      <c r="J2" s="1064" t="s">
        <v>7080</v>
      </c>
    </row>
    <row r="3" spans="1:15" s="262" customFormat="1" ht="12.75" customHeight="1">
      <c r="D3" s="969" t="s">
        <v>1006</v>
      </c>
      <c r="E3" s="1064" t="s">
        <v>5261</v>
      </c>
      <c r="F3" s="1064"/>
      <c r="G3" s="1064"/>
      <c r="H3" s="1064"/>
      <c r="I3" s="1064"/>
      <c r="J3" s="1064"/>
    </row>
    <row r="4" spans="1:15" s="262" customFormat="1" ht="12.75" customHeight="1">
      <c r="H4" s="122"/>
      <c r="I4" s="249"/>
    </row>
    <row r="5" spans="1:15" s="157" customFormat="1">
      <c r="A5" s="374" t="s">
        <v>192</v>
      </c>
      <c r="B5" s="369" t="s">
        <v>2019</v>
      </c>
      <c r="C5" s="369" t="s">
        <v>7238</v>
      </c>
      <c r="D5" s="369" t="s">
        <v>2038</v>
      </c>
      <c r="E5" s="369" t="s">
        <v>5570</v>
      </c>
      <c r="F5" s="369" t="s">
        <v>1025</v>
      </c>
      <c r="G5" s="369" t="s">
        <v>5619</v>
      </c>
      <c r="H5" s="369" t="s">
        <v>7237</v>
      </c>
      <c r="I5" s="369" t="s">
        <v>7744</v>
      </c>
      <c r="J5" s="369" t="s">
        <v>7745</v>
      </c>
      <c r="K5" s="369" t="s">
        <v>7746</v>
      </c>
      <c r="L5" s="369" t="s">
        <v>7776</v>
      </c>
      <c r="M5" s="369" t="s">
        <v>7777</v>
      </c>
      <c r="N5" s="369" t="s">
        <v>7778</v>
      </c>
      <c r="O5" s="370" t="s">
        <v>3111</v>
      </c>
    </row>
    <row r="6" spans="1:15" s="1041" customFormat="1">
      <c r="A6" s="1039" t="s">
        <v>548</v>
      </c>
      <c r="B6" s="661" t="s">
        <v>548</v>
      </c>
      <c r="C6" s="661" t="s">
        <v>548</v>
      </c>
      <c r="D6" s="661" t="s">
        <v>3108</v>
      </c>
      <c r="E6" s="661" t="s">
        <v>3108</v>
      </c>
      <c r="F6" s="661" t="s">
        <v>3108</v>
      </c>
      <c r="G6" s="661" t="s">
        <v>3108</v>
      </c>
      <c r="H6" s="661" t="s">
        <v>2987</v>
      </c>
      <c r="I6" s="661" t="s">
        <v>732</v>
      </c>
      <c r="J6" s="661" t="s">
        <v>732</v>
      </c>
      <c r="K6" s="661" t="s">
        <v>732</v>
      </c>
      <c r="L6" s="661" t="s">
        <v>732</v>
      </c>
      <c r="M6" s="661" t="s">
        <v>732</v>
      </c>
      <c r="N6" s="661" t="s">
        <v>732</v>
      </c>
      <c r="O6" s="1040" t="s">
        <v>732</v>
      </c>
    </row>
    <row r="7" spans="1:15">
      <c r="A7" s="1113" t="s">
        <v>7220</v>
      </c>
      <c r="B7" s="828">
        <v>2511</v>
      </c>
      <c r="C7" s="1036">
        <v>15</v>
      </c>
      <c r="D7" s="1148">
        <v>54413300</v>
      </c>
      <c r="E7" s="1148">
        <v>3945400</v>
      </c>
      <c r="F7" s="1148">
        <v>34368800</v>
      </c>
      <c r="G7" s="1148">
        <v>4898000</v>
      </c>
      <c r="H7" s="40">
        <f t="shared" ref="H7:H38" si="0">G7*(1-VLOOKUP(B7,constant_crop_factor,2,FALSE))</f>
        <v>4212280</v>
      </c>
      <c r="I7" s="186">
        <f>IFERROR(IF(D7+E7-F7&lt;=G7,G7,D7*G7/(D7+E7-F7))/VLOOKUP(C7,crop_efi_efe!$B$7:$F$426,5,FALSE)*eqf!$B$7*VLOOKUP("Crop Land",iyf,2,FALSE),0)</f>
        <v>10302276.957630098</v>
      </c>
      <c r="J7" s="186">
        <f>IFERROR(IF(D7+E7-F7&lt;=G7,0,E7*G7/(D7+E7-F7))/VLOOKUP(C7,crop_efi_efe!$B$7:$F$426,5,FALSE)*eqf!$B$7*VLOOKUP("Crop Land",iyf,2,FALSE),0)</f>
        <v>746997.58163231763</v>
      </c>
      <c r="K7" s="186">
        <f>IFERROR(IF(D7+E7-F7&lt;=G7,0,F7*G7/(D7+E7-F7))/VLOOKUP(C7,crop_efi_efe!$B$7:$F$426,5,FALSE)*eqf!$B$7*VLOOKUP("Crop Land",iyf,2,FALSE),0)</f>
        <v>6507175.5673961574</v>
      </c>
      <c r="L7" s="137"/>
      <c r="M7" s="137"/>
      <c r="N7" s="137"/>
      <c r="O7" s="575"/>
    </row>
    <row r="8" spans="1:15">
      <c r="A8" s="1077" t="s">
        <v>7221</v>
      </c>
      <c r="B8" s="829">
        <v>2513</v>
      </c>
      <c r="C8" s="1037">
        <v>44</v>
      </c>
      <c r="D8" s="1149">
        <v>3391710</v>
      </c>
      <c r="E8" s="1149">
        <v>685064</v>
      </c>
      <c r="F8" s="1149">
        <v>604078</v>
      </c>
      <c r="G8" s="1149">
        <v>827000</v>
      </c>
      <c r="H8" s="903">
        <f t="shared" si="0"/>
        <v>711220</v>
      </c>
      <c r="I8" s="1012">
        <f>IFERROR(IF(D8+E8-F8&lt;=G8,G8,D8*G8/(D8+E8-F8))/VLOOKUP(C8,crop_efi_efe!$B$7:$F$426,5,FALSE)*eqf!$B$7*VLOOKUP("Crop Land",iyf,2,FALSE),0)</f>
        <v>749023.19557647372</v>
      </c>
      <c r="J8" s="1012">
        <f>IFERROR(IF(D8+E8-F8&lt;=G8,0,E8*G8/(D8+E8-F8))/VLOOKUP(C8,crop_efi_efe!$B$7:$F$426,5,FALSE)*eqf!$B$7*VLOOKUP("Crop Land",iyf,2,FALSE),0)</f>
        <v>151289.1215506047</v>
      </c>
      <c r="K8" s="1012">
        <f>IFERROR(IF(D8+E8-F8&lt;=G8,0,F8*G8/(D8+E8-F8))/VLOOKUP(C8,crop_efi_efe!$B$7:$F$426,5,FALSE)*eqf!$B$7*VLOOKUP("Crop Land",iyf,2,FALSE),0)</f>
        <v>133404.22204063591</v>
      </c>
      <c r="L8" s="1011"/>
      <c r="M8" s="1011"/>
      <c r="N8" s="1011"/>
      <c r="O8" s="1114"/>
    </row>
    <row r="9" spans="1:15">
      <c r="A9" s="1077" t="s">
        <v>7222</v>
      </c>
      <c r="B9" s="829">
        <v>2514</v>
      </c>
      <c r="C9" s="1037">
        <v>56</v>
      </c>
      <c r="D9" s="1149">
        <v>313948992</v>
      </c>
      <c r="E9" s="1149">
        <v>837360</v>
      </c>
      <c r="F9" s="1149">
        <v>46455900</v>
      </c>
      <c r="G9" s="1149">
        <v>115739000</v>
      </c>
      <c r="H9" s="903">
        <f t="shared" si="0"/>
        <v>99535540</v>
      </c>
      <c r="I9" s="1012">
        <f>IFERROR(IF(D9+E9-F9&lt;=G9,G9,D9*G9/(D9+E9-F9))/VLOOKUP(C9,crop_efi_efe!$B$7:$F$426,5,FALSE)*eqf!$B$7*VLOOKUP("Crop Land",iyf,2,FALSE),0)</f>
        <v>63108825.76331576</v>
      </c>
      <c r="J9" s="1012">
        <f>IFERROR(IF(D9+E9-F9&lt;=G9,0,E9*G9/(D9+E9-F9))/VLOOKUP(C9,crop_efi_efe!$B$7:$F$426,5,FALSE)*eqf!$B$7*VLOOKUP("Crop Land",iyf,2,FALSE),0)</f>
        <v>168322.90495511476</v>
      </c>
      <c r="K9" s="1012">
        <f>IFERROR(IF(D9+E9-F9&lt;=G9,0,F9*G9/(D9+E9-F9))/VLOOKUP(C9,crop_efi_efe!$B$7:$F$426,5,FALSE)*eqf!$B$7*VLOOKUP("Crop Land",iyf,2,FALSE),0)</f>
        <v>9338387.3606385738</v>
      </c>
      <c r="L9" s="1011"/>
      <c r="M9" s="1011"/>
      <c r="N9" s="1011"/>
      <c r="O9" s="1009"/>
    </row>
    <row r="10" spans="1:15">
      <c r="A10" s="1077" t="s">
        <v>7223</v>
      </c>
      <c r="B10" s="829">
        <v>2515</v>
      </c>
      <c r="C10" s="1037">
        <v>71</v>
      </c>
      <c r="D10" s="1149">
        <v>160690</v>
      </c>
      <c r="E10" s="1149">
        <v>173509</v>
      </c>
      <c r="F10" s="1149">
        <v>5508</v>
      </c>
      <c r="G10" s="1149">
        <v>70793</v>
      </c>
      <c r="H10" s="903">
        <f t="shared" si="0"/>
        <v>60881.979999999996</v>
      </c>
      <c r="I10" s="1012">
        <f>IFERROR(IF(D10+E10-F10&lt;=G10,G10,D10*G10/(D10+E10-F10))/VLOOKUP(C10,crop_efi_efe!$B$7:$F$426,5,FALSE)*eqf!$B$7*VLOOKUP("Crop Land",iyf,2,FALSE),0)</f>
        <v>32094.393077325476</v>
      </c>
      <c r="J10" s="1012">
        <f>IFERROR(IF(D10+E10-F10&lt;=G10,0,E10*G10/(D10+E10-F10))/VLOOKUP(C10,crop_efi_efe!$B$7:$F$426,5,FALSE)*eqf!$B$7*VLOOKUP("Crop Land",iyf,2,FALSE),0)</f>
        <v>34654.714347213056</v>
      </c>
      <c r="K10" s="1012">
        <f>IFERROR(IF(D10+E10-F10&lt;=G10,0,F10*G10/(D10+E10-F10))/VLOOKUP(C10,crop_efi_efe!$B$7:$F$426,5,FALSE)*eqf!$B$7*VLOOKUP("Crop Land",iyf,2,FALSE),0)</f>
        <v>1100.1052776769477</v>
      </c>
      <c r="L10" s="1011"/>
      <c r="M10" s="1011"/>
      <c r="N10" s="1011"/>
      <c r="O10" s="1009"/>
    </row>
    <row r="11" spans="1:15">
      <c r="A11" s="1077" t="s">
        <v>804</v>
      </c>
      <c r="B11" s="829">
        <v>2516</v>
      </c>
      <c r="C11" s="1037">
        <v>75</v>
      </c>
      <c r="D11" s="1149">
        <v>778710</v>
      </c>
      <c r="E11" s="1149">
        <v>1951460</v>
      </c>
      <c r="F11" s="1149">
        <v>87334</v>
      </c>
      <c r="G11" s="1149">
        <v>1264000</v>
      </c>
      <c r="H11" s="903">
        <f t="shared" si="0"/>
        <v>1087040</v>
      </c>
      <c r="I11" s="1012">
        <f>IFERROR(IF(D11+E11-F11&lt;=G11,G11,D11*G11/(D11+E11-F11))/VLOOKUP(C11,crop_efi_efe!$B$7:$F$426,5,FALSE)*eqf!$B$7*VLOOKUP("Crop Land",iyf,2,FALSE),0)</f>
        <v>345374.62326096272</v>
      </c>
      <c r="J11" s="1012">
        <f>IFERROR(IF(D11+E11-F11&lt;=G11,0,E11*G11/(D11+E11-F11))/VLOOKUP(C11,crop_efi_efe!$B$7:$F$426,5,FALSE)*eqf!$B$7*VLOOKUP("Crop Land",iyf,2,FALSE),0)</f>
        <v>865514.45635581692</v>
      </c>
      <c r="K11" s="1012">
        <f>IFERROR(IF(D11+E11-F11&lt;=G11,0,F11*G11/(D11+E11-F11))/VLOOKUP(C11,crop_efi_efe!$B$7:$F$426,5,FALSE)*eqf!$B$7*VLOOKUP("Crop Land",iyf,2,FALSE),0)</f>
        <v>38734.506231938605</v>
      </c>
      <c r="L11" s="1011"/>
      <c r="M11" s="1011"/>
      <c r="N11" s="1011"/>
      <c r="O11" s="1009"/>
    </row>
    <row r="12" spans="1:15">
      <c r="A12" s="1077" t="s">
        <v>7224</v>
      </c>
      <c r="B12" s="829">
        <v>2517</v>
      </c>
      <c r="C12" s="1037">
        <v>79</v>
      </c>
      <c r="D12" s="1149">
        <v>207500</v>
      </c>
      <c r="E12" s="1149">
        <v>1401</v>
      </c>
      <c r="F12" s="1149">
        <v>60861</v>
      </c>
      <c r="G12" s="1149">
        <v>137595</v>
      </c>
      <c r="H12" s="903">
        <f t="shared" si="0"/>
        <v>121083.6</v>
      </c>
      <c r="I12" s="1012">
        <f>IFERROR(IF(D12+E12-F12&lt;=G12,G12,D12*G12/(D12+E12-F12))/VLOOKUP(C12,crop_efi_efe!$B$7:$F$426,5,FALSE)*eqf!$B$7*VLOOKUP("Crop Land",iyf,2,FALSE),0)</f>
        <v>178846.10636426788</v>
      </c>
      <c r="J12" s="1012">
        <f>IFERROR(IF(D12+E12-F12&lt;=G12,0,E12*G12/(D12+E12-F12))/VLOOKUP(C12,crop_efi_efe!$B$7:$F$426,5,FALSE)*eqf!$B$7*VLOOKUP("Crop Land",iyf,2,FALSE),0)</f>
        <v>1207.5344338136831</v>
      </c>
      <c r="K12" s="1012">
        <f>IFERROR(IF(D12+E12-F12&lt;=G12,0,F12*G12/(D12+E12-F12))/VLOOKUP(C12,crop_efi_efe!$B$7:$F$426,5,FALSE)*eqf!$B$7*VLOOKUP("Crop Land",iyf,2,FALSE),0)</f>
        <v>52456.640382822676</v>
      </c>
      <c r="L12" s="1011"/>
      <c r="M12" s="1011"/>
      <c r="N12" s="1011"/>
      <c r="O12" s="1009"/>
    </row>
    <row r="13" spans="1:15">
      <c r="A13" s="1077" t="s">
        <v>7225</v>
      </c>
      <c r="B13" s="829">
        <v>2518</v>
      </c>
      <c r="C13" s="1037">
        <v>83</v>
      </c>
      <c r="D13" s="1149">
        <v>5447100</v>
      </c>
      <c r="E13" s="1149">
        <v>884</v>
      </c>
      <c r="F13" s="1149">
        <v>3362650</v>
      </c>
      <c r="G13" s="1149">
        <v>1803000</v>
      </c>
      <c r="H13" s="903">
        <f t="shared" si="0"/>
        <v>1604670</v>
      </c>
      <c r="I13" s="1012">
        <f>IFERROR(IF(D13+E13-F13&lt;=G13,G13,D13*G13/(D13+E13-F13))/VLOOKUP(C13,crop_efi_efe!$B$7:$F$426,5,FALSE)*eqf!$B$7*VLOOKUP("Crop Land",iyf,2,FALSE),0)</f>
        <v>4367402.9516337942</v>
      </c>
      <c r="J13" s="1012">
        <f>IFERROR(IF(D13+E13-F13&lt;=G13,0,E13*G13/(D13+E13-F13))/VLOOKUP(C13,crop_efi_efe!$B$7:$F$426,5,FALSE)*eqf!$B$7*VLOOKUP("Crop Land",iyf,2,FALSE),0)</f>
        <v>708.77792022255403</v>
      </c>
      <c r="K13" s="1012">
        <f>IFERROR(IF(D13+E13-F13&lt;=G13,0,F13*G13/(D13+E13-F13))/VLOOKUP(C13,crop_efi_efe!$B$7:$F$426,5,FALSE)*eqf!$B$7*VLOOKUP("Crop Land",iyf,2,FALSE),0)</f>
        <v>2696122.2550185197</v>
      </c>
      <c r="L13" s="1011"/>
      <c r="M13" s="1011"/>
      <c r="N13" s="1011"/>
      <c r="O13" s="1009"/>
    </row>
    <row r="14" spans="1:15">
      <c r="A14" s="1077" t="s">
        <v>4836</v>
      </c>
      <c r="B14" s="829">
        <v>2520</v>
      </c>
      <c r="C14" s="1037">
        <v>108</v>
      </c>
      <c r="D14" s="1149">
        <v>79554</v>
      </c>
      <c r="E14" s="1149">
        <v>257950</v>
      </c>
      <c r="F14" s="1149">
        <v>91887</v>
      </c>
      <c r="G14" s="1149">
        <v>68387</v>
      </c>
      <c r="H14" s="903">
        <f t="shared" si="0"/>
        <v>58812.82</v>
      </c>
      <c r="I14" s="1012">
        <f>IFERROR(IF(D14+E14-F14&lt;=G14,G14,D14*G14/(D14+E14-F14))/VLOOKUP(C14,crop_efi_efe!$B$7:$F$426,5,FALSE)*eqf!$B$7*VLOOKUP("Crop Land",iyf,2,FALSE),0)</f>
        <v>20540.686933057965</v>
      </c>
      <c r="J14" s="1012">
        <f>IFERROR(IF(D14+E14-F14&lt;=G14,0,E14*G14/(D14+E14-F14))/VLOOKUP(C14,crop_efi_efe!$B$7:$F$426,5,FALSE)*eqf!$B$7*VLOOKUP("Crop Land",iyf,2,FALSE),0)</f>
        <v>66602.184608973796</v>
      </c>
      <c r="K14" s="1012">
        <f>IFERROR(IF(D14+E14-F14&lt;=G14,0,F14*G14/(D14+E14-F14))/VLOOKUP(C14,crop_efi_efe!$B$7:$F$426,5,FALSE)*eqf!$B$7*VLOOKUP("Crop Land",iyf,2,FALSE),0)</f>
        <v>23725.043369508723</v>
      </c>
      <c r="L14" s="1011"/>
      <c r="M14" s="1011"/>
      <c r="N14" s="1011"/>
      <c r="O14" s="1009"/>
    </row>
    <row r="15" spans="1:15">
      <c r="A15" s="1077" t="s">
        <v>7226</v>
      </c>
      <c r="B15" s="830">
        <v>2531</v>
      </c>
      <c r="C15" s="1037">
        <v>116</v>
      </c>
      <c r="D15" s="1149">
        <v>19488500</v>
      </c>
      <c r="E15" s="1149">
        <v>3015830</v>
      </c>
      <c r="F15" s="1149">
        <v>3036420</v>
      </c>
      <c r="G15" s="1149">
        <v>120000</v>
      </c>
      <c r="H15" s="903">
        <f t="shared" si="0"/>
        <v>26399.999999999996</v>
      </c>
      <c r="I15" s="1012">
        <f>IFERROR(IF(D15+E15-F15&lt;=G15,G15,D15*G15/(D15+E15-F15))/VLOOKUP(C15,crop_efi_efe!$B$7:$F$426,5,FALSE)*eqf!$B$7*VLOOKUP("Crop Land",iyf,2,FALSE),0)</f>
        <v>15662.547094289159</v>
      </c>
      <c r="J15" s="1012">
        <f>IFERROR(IF(D15+E15-F15&lt;=G15,0,E15*G15/(D15+E15-F15))/VLOOKUP(C15,crop_efi_efe!$B$7:$F$426,5,FALSE)*eqf!$B$7*VLOOKUP("Crop Land",iyf,2,FALSE),0)</f>
        <v>2423.7668062380417</v>
      </c>
      <c r="K15" s="1012">
        <f>IFERROR(IF(D15+E15-F15&lt;=G15,0,F15*G15/(D15+E15-F15))/VLOOKUP(C15,crop_efi_efe!$B$7:$F$426,5,FALSE)*eqf!$B$7*VLOOKUP("Crop Land",iyf,2,FALSE),0)</f>
        <v>2440.314608514841</v>
      </c>
      <c r="L15" s="1011"/>
      <c r="M15" s="1011"/>
      <c r="N15" s="1011"/>
      <c r="O15" s="1009"/>
    </row>
    <row r="16" spans="1:15">
      <c r="A16" s="1077" t="s">
        <v>7227</v>
      </c>
      <c r="B16" s="829">
        <v>2532</v>
      </c>
      <c r="C16" s="1037">
        <v>125</v>
      </c>
      <c r="D16" s="1149"/>
      <c r="E16" s="1149">
        <v>379117</v>
      </c>
      <c r="F16" s="1149">
        <v>4668</v>
      </c>
      <c r="G16" s="1149">
        <v>194425</v>
      </c>
      <c r="H16" s="903">
        <f t="shared" si="0"/>
        <v>58327.500000000007</v>
      </c>
      <c r="I16" s="1012">
        <f>IFERROR(IF(D16+E16-F16&lt;=G16,G16,D16*G16/(D16+E16-F16))/VLOOKUP(C16,crop_efi_efe!$B$7:$F$426,5,FALSE)*eqf!$B$7*VLOOKUP("Crop Land",iyf,2,FALSE),0)</f>
        <v>0</v>
      </c>
      <c r="J16" s="1012">
        <f>IFERROR(IF(D16+E16-F16&lt;=G16,0,E16*G16/(D16+E16-F16))/VLOOKUP(C16,crop_efi_efe!$B$7:$F$426,5,FALSE)*eqf!$B$7*VLOOKUP("Crop Land",iyf,2,FALSE),0)</f>
        <v>45534.515607813206</v>
      </c>
      <c r="K16" s="1012">
        <f>IFERROR(IF(D16+E16-F16&lt;=G16,0,F16*G16/(D16+E16-F16))/VLOOKUP(C16,crop_efi_efe!$B$7:$F$426,5,FALSE)*eqf!$B$7*VLOOKUP("Crop Land",iyf,2,FALSE),0)</f>
        <v>560.65836893959397</v>
      </c>
      <c r="L16" s="1011"/>
      <c r="M16" s="1011"/>
      <c r="N16" s="1011"/>
      <c r="O16" s="1009"/>
    </row>
    <row r="17" spans="1:15">
      <c r="A17" s="1077" t="s">
        <v>4870</v>
      </c>
      <c r="B17" s="829">
        <v>2533</v>
      </c>
      <c r="C17" s="1037">
        <v>122</v>
      </c>
      <c r="D17" s="1149">
        <v>1223070</v>
      </c>
      <c r="E17" s="1149">
        <v>10544</v>
      </c>
      <c r="F17" s="1149">
        <v>104761</v>
      </c>
      <c r="G17" s="1149">
        <v>38000</v>
      </c>
      <c r="H17" s="903">
        <f t="shared" si="0"/>
        <v>11400.000000000002</v>
      </c>
      <c r="I17" s="1012">
        <f>IFERROR(IF(D17+E17-F17&lt;=G17,G17,D17*G17/(D17+E17-F17))/VLOOKUP(C17,crop_efi_efe!$B$7:$F$426,5,FALSE)*eqf!$B$7*VLOOKUP("Crop Land",iyf,2,FALSE),0)</f>
        <v>8192.8689632589594</v>
      </c>
      <c r="J17" s="1012">
        <f>IFERROR(IF(D17+E17-F17&lt;=G17,0,E17*G17/(D17+E17-F17))/VLOOKUP(C17,crop_efi_efe!$B$7:$F$426,5,FALSE)*eqf!$B$7*VLOOKUP("Crop Land",iyf,2,FALSE),0)</f>
        <v>70.630144103446625</v>
      </c>
      <c r="K17" s="1012">
        <f>IFERROR(IF(D17+E17-F17&lt;=G17,0,F17*G17/(D17+E17-F17))/VLOOKUP(C17,crop_efi_efe!$B$7:$F$426,5,FALSE)*eqf!$B$7*VLOOKUP("Crop Land",iyf,2,FALSE),0)</f>
        <v>701.7530848275012</v>
      </c>
      <c r="L17" s="1011"/>
      <c r="M17" s="1011"/>
      <c r="N17" s="1011"/>
      <c r="O17" s="1009"/>
    </row>
    <row r="18" spans="1:15">
      <c r="A18" s="1077" t="s">
        <v>4864</v>
      </c>
      <c r="B18" s="829">
        <v>2534</v>
      </c>
      <c r="C18" s="1037">
        <v>149</v>
      </c>
      <c r="D18" s="1149">
        <v>1860</v>
      </c>
      <c r="E18" s="1149">
        <v>307753</v>
      </c>
      <c r="F18" s="1149">
        <v>15032</v>
      </c>
      <c r="G18" s="1149"/>
      <c r="H18" s="903">
        <f t="shared" si="0"/>
        <v>0</v>
      </c>
      <c r="I18" s="1012">
        <f>IFERROR(IF(D18+E18-F18&lt;=G18,G18,D18*G18/(D18+E18-F18))/VLOOKUP(C18,crop_efi_efe!$B$7:$F$426,5,FALSE)*eqf!$B$7*VLOOKUP("Crop Land",iyf,2,FALSE),0)</f>
        <v>0</v>
      </c>
      <c r="J18" s="1012">
        <f>IFERROR(IF(D18+E18-F18&lt;=G18,0,E18*G18/(D18+E18-F18))/VLOOKUP(C18,crop_efi_efe!$B$7:$F$426,5,FALSE)*eqf!$B$7*VLOOKUP("Crop Land",iyf,2,FALSE),0)</f>
        <v>0</v>
      </c>
      <c r="K18" s="1012">
        <f>IFERROR(IF(D18+E18-F18&lt;=G18,0,F18*G18/(D18+E18-F18))/VLOOKUP(C18,crop_efi_efe!$B$7:$F$426,5,FALSE)*eqf!$B$7*VLOOKUP("Crop Land",iyf,2,FALSE),0)</f>
        <v>0</v>
      </c>
      <c r="L18" s="1011"/>
      <c r="M18" s="1011"/>
      <c r="N18" s="1011"/>
      <c r="O18" s="1009"/>
    </row>
    <row r="19" spans="1:15">
      <c r="A19" s="1077" t="s">
        <v>1217</v>
      </c>
      <c r="B19" s="829">
        <v>2535</v>
      </c>
      <c r="C19" s="1037">
        <v>137</v>
      </c>
      <c r="D19" s="1149"/>
      <c r="E19" s="1149">
        <v>35592</v>
      </c>
      <c r="F19" s="1149"/>
      <c r="G19" s="1149"/>
      <c r="H19" s="903">
        <f t="shared" si="0"/>
        <v>0</v>
      </c>
      <c r="I19" s="1012">
        <f>IFERROR(IF(D19+E19-F19&lt;=G19,G19,D19*G19/(D19+E19-F19))/VLOOKUP(C19,crop_efi_efe!$B$7:$F$426,5,FALSE)*eqf!$B$7*VLOOKUP("Crop Land",iyf,2,FALSE),0)</f>
        <v>0</v>
      </c>
      <c r="J19" s="1012">
        <f>IFERROR(IF(D19+E19-F19&lt;=G19,0,E19*G19/(D19+E19-F19))/VLOOKUP(C19,crop_efi_efe!$B$7:$F$426,5,FALSE)*eqf!$B$7*VLOOKUP("Crop Land",iyf,2,FALSE),0)</f>
        <v>0</v>
      </c>
      <c r="K19" s="1012">
        <f>IFERROR(IF(D19+E19-F19&lt;=G19,0,F19*G19/(D19+E19-F19))/VLOOKUP(C19,crop_efi_efe!$B$7:$F$426,5,FALSE)*eqf!$B$7*VLOOKUP("Crop Land",iyf,2,FALSE),0)</f>
        <v>0</v>
      </c>
      <c r="L19" s="1011"/>
      <c r="M19" s="1011"/>
      <c r="N19" s="1011"/>
      <c r="O19" s="1009"/>
    </row>
    <row r="20" spans="1:15">
      <c r="A20" s="1077" t="s">
        <v>416</v>
      </c>
      <c r="B20" s="829">
        <v>2536</v>
      </c>
      <c r="C20" s="1037">
        <v>156</v>
      </c>
      <c r="D20" s="1149">
        <v>26655800</v>
      </c>
      <c r="E20" s="1149">
        <v>41444</v>
      </c>
      <c r="F20" s="1149">
        <v>566</v>
      </c>
      <c r="G20" s="1149"/>
      <c r="H20" s="903">
        <f t="shared" si="0"/>
        <v>0</v>
      </c>
      <c r="I20" s="1012">
        <f>IFERROR(IF(D20+E20-F20&lt;=G20,G20,D20*G20/(D20+E20-F20))/VLOOKUP(C20,crop_efi_efe!$B$7:$F$426,5,FALSE)*eqf!$B$7*VLOOKUP("Crop Land",iyf,2,FALSE),0)</f>
        <v>0</v>
      </c>
      <c r="J20" s="1012">
        <f>IFERROR(IF(D20+E20-F20&lt;=G20,0,E20*G20/(D20+E20-F20))/VLOOKUP(C20,crop_efi_efe!$B$7:$F$426,5,FALSE)*eqf!$B$7*VLOOKUP("Crop Land",iyf,2,FALSE),0)</f>
        <v>0</v>
      </c>
      <c r="K20" s="1012">
        <f>IFERROR(IF(D20+E20-F20&lt;=G20,0,F20*G20/(D20+E20-F20))/VLOOKUP(C20,crop_efi_efe!$B$7:$F$426,5,FALSE)*eqf!$B$7*VLOOKUP("Crop Land",iyf,2,FALSE),0)</f>
        <v>0</v>
      </c>
      <c r="L20" s="1011"/>
      <c r="M20" s="1011"/>
      <c r="N20" s="1011"/>
      <c r="O20" s="1009"/>
    </row>
    <row r="21" spans="1:15">
      <c r="A21" s="1077" t="s">
        <v>4869</v>
      </c>
      <c r="B21" s="829">
        <v>2537</v>
      </c>
      <c r="C21" s="1037">
        <v>157</v>
      </c>
      <c r="D21" s="1149">
        <v>26214000</v>
      </c>
      <c r="E21" s="1149">
        <v>194543</v>
      </c>
      <c r="F21" s="1149">
        <v>304</v>
      </c>
      <c r="G21" s="1149"/>
      <c r="H21" s="903">
        <f t="shared" si="0"/>
        <v>0</v>
      </c>
      <c r="I21" s="1012">
        <f>IFERROR(IF(D21+E21-F21&lt;=G21,G21,D21*G21/(D21+E21-F21))/VLOOKUP(C21,crop_efi_efe!$B$7:$F$426,5,FALSE)*eqf!$B$7*VLOOKUP("Crop Land",iyf,2,FALSE),0)</f>
        <v>0</v>
      </c>
      <c r="J21" s="1012">
        <f>IFERROR(IF(D21+E21-F21&lt;=G21,0,E21*G21/(D21+E21-F21))/VLOOKUP(C21,crop_efi_efe!$B$7:$F$426,5,FALSE)*eqf!$B$7*VLOOKUP("Crop Land",iyf,2,FALSE),0)</f>
        <v>0</v>
      </c>
      <c r="K21" s="1012">
        <f>IFERROR(IF(D21+E21-F21&lt;=G21,0,F21*G21/(D21+E21-F21))/VLOOKUP(C21,crop_efi_efe!$B$7:$F$426,5,FALSE)*eqf!$B$7*VLOOKUP("Crop Land",iyf,2,FALSE),0)</f>
        <v>0</v>
      </c>
      <c r="L21" s="1011"/>
      <c r="M21" s="1011"/>
      <c r="N21" s="1011"/>
      <c r="O21" s="1009"/>
    </row>
    <row r="22" spans="1:15">
      <c r="A22" s="1077" t="s">
        <v>7228</v>
      </c>
      <c r="B22" s="829">
        <v>2541</v>
      </c>
      <c r="C22" s="1037">
        <v>163</v>
      </c>
      <c r="D22" s="1149"/>
      <c r="E22" s="1149"/>
      <c r="F22" s="1149"/>
      <c r="G22" s="1149"/>
      <c r="H22" s="903">
        <f t="shared" si="0"/>
        <v>0</v>
      </c>
      <c r="I22" s="1012">
        <f>IFERROR(IF(D22+E22-F22&lt;=G22,G22,D22*G22/(D22+E22-F22))/VLOOKUP(C22,crop_efi_efe!$B$7:$F$426,5,FALSE)*eqf!$B$7*VLOOKUP("Crop Land",iyf,2,FALSE),0)</f>
        <v>0</v>
      </c>
      <c r="J22" s="1012">
        <f>IFERROR(IF(D22+E22-F22&lt;=G22,0,E22*G22/(D22+E22-F22))/VLOOKUP(C22,crop_efi_efe!$B$7:$F$426,5,FALSE)*eqf!$B$7*VLOOKUP("Crop Land",iyf,2,FALSE),0)</f>
        <v>0</v>
      </c>
      <c r="K22" s="1012">
        <f>IFERROR(IF(D22+E22-F22&lt;=G22,0,F22*G22/(D22+E22-F22))/VLOOKUP(C22,crop_efi_efe!$B$7:$F$426,5,FALSE)*eqf!$B$7*VLOOKUP("Crop Land",iyf,2,FALSE),0)</f>
        <v>0</v>
      </c>
      <c r="L22" s="1011"/>
      <c r="M22" s="1011"/>
      <c r="N22" s="1011"/>
      <c r="O22" s="1009"/>
    </row>
    <row r="23" spans="1:15">
      <c r="A23" s="1077" t="s">
        <v>4868</v>
      </c>
      <c r="B23" s="829">
        <v>2542</v>
      </c>
      <c r="C23" s="1037">
        <v>162</v>
      </c>
      <c r="D23" s="1149">
        <v>7722000</v>
      </c>
      <c r="E23" s="1149">
        <v>3816120</v>
      </c>
      <c r="F23" s="1149">
        <v>425297</v>
      </c>
      <c r="G23" s="1149"/>
      <c r="H23" s="903">
        <f t="shared" si="0"/>
        <v>0</v>
      </c>
      <c r="I23" s="1012">
        <f>IFERROR(IF(D23+E23-F23&lt;=G23,G23,D23*G23/(D23+E23-F23))/VLOOKUP(C23,crop_efi_efe!$B$7:$F$426,5,FALSE)*eqf!$B$7*VLOOKUP("Crop Land",iyf,2,FALSE),0)</f>
        <v>0</v>
      </c>
      <c r="J23" s="1012">
        <f>IFERROR(IF(D23+E23-F23&lt;=G23,0,E23*G23/(D23+E23-F23))/VLOOKUP(C23,crop_efi_efe!$B$7:$F$426,5,FALSE)*eqf!$B$7*VLOOKUP("Crop Land",iyf,2,FALSE),0)</f>
        <v>0</v>
      </c>
      <c r="K23" s="1012">
        <f>IFERROR(IF(D23+E23-F23&lt;=G23,0,F23*G23/(D23+E23-F23))/VLOOKUP(C23,crop_efi_efe!$B$7:$F$426,5,FALSE)*eqf!$B$7*VLOOKUP("Crop Land",iyf,2,FALSE),0)</f>
        <v>0</v>
      </c>
      <c r="L23" s="1011"/>
      <c r="M23" s="1011"/>
      <c r="N23" s="1011"/>
      <c r="O23" s="1009"/>
    </row>
    <row r="24" spans="1:15">
      <c r="A24" s="1077" t="s">
        <v>4871</v>
      </c>
      <c r="B24" s="829">
        <v>2543</v>
      </c>
      <c r="C24" s="1037">
        <v>167</v>
      </c>
      <c r="D24" s="1149">
        <v>12375100</v>
      </c>
      <c r="E24" s="1149">
        <v>661485</v>
      </c>
      <c r="F24" s="1149">
        <v>2987230</v>
      </c>
      <c r="G24" s="1149"/>
      <c r="H24" s="903">
        <f t="shared" si="0"/>
        <v>0</v>
      </c>
      <c r="I24" s="1012">
        <f>IFERROR(IF(D24+E24-F24&lt;=G24,G24,D24*G24/(D24+E24-F24))/VLOOKUP(C24,crop_efi_efe!$B$7:$F$426,5,FALSE)*eqf!$B$7*VLOOKUP("Crop Land",iyf,2,FALSE),0)</f>
        <v>0</v>
      </c>
      <c r="J24" s="1012">
        <f>IFERROR(IF(D24+E24-F24&lt;=G24,0,E24*G24/(D24+E24-F24))/VLOOKUP(C24,crop_efi_efe!$B$7:$F$426,5,FALSE)*eqf!$B$7*VLOOKUP("Crop Land",iyf,2,FALSE),0)</f>
        <v>0</v>
      </c>
      <c r="K24" s="1012">
        <f>IFERROR(IF(D24+E24-F24&lt;=G24,0,F24*G24/(D24+E24-F24))/VLOOKUP(C24,crop_efi_efe!$B$7:$F$426,5,FALSE)*eqf!$B$7*VLOOKUP("Crop Land",iyf,2,FALSE),0)</f>
        <v>0</v>
      </c>
      <c r="L24" s="1011"/>
      <c r="M24" s="1011"/>
      <c r="N24" s="1011"/>
      <c r="O24" s="1114"/>
    </row>
    <row r="25" spans="1:15">
      <c r="A25" s="472" t="s">
        <v>783</v>
      </c>
      <c r="B25" s="829">
        <v>2544</v>
      </c>
      <c r="C25" s="1037">
        <v>165</v>
      </c>
      <c r="D25" s="1149">
        <v>2200000</v>
      </c>
      <c r="E25" s="1149">
        <v>1025390</v>
      </c>
      <c r="F25" s="1149">
        <v>241545</v>
      </c>
      <c r="G25" s="1149">
        <v>1900000</v>
      </c>
      <c r="H25" s="903">
        <f t="shared" si="0"/>
        <v>1444000</v>
      </c>
      <c r="I25" s="1012">
        <f>IFERROR(IF(D25+E25-F25&lt;=G25,G25,D25*G25/(D25+E25-F25))/VLOOKUP(C25,crop_efi_efe!$B$7:$F$426,5,FALSE)*eqf!$B$7*VLOOKUP("Crop Land",iyf,2,FALSE),0)</f>
        <v>70548.118173633193</v>
      </c>
      <c r="J25" s="1012">
        <f>IFERROR(IF(D25+E25-F25&lt;=G25,0,E25*G25/(D25+E25-F25))/VLOOKUP(C25,crop_efi_efe!$B$7:$F$426,5,FALSE)*eqf!$B$7*VLOOKUP("Crop Land",iyf,2,FALSE),0)</f>
        <v>32881.515860937157</v>
      </c>
      <c r="K25" s="1012">
        <f>IFERROR(IF(D25+E25-F25&lt;=G25,0,F25*G25/(D25+E25-F25))/VLOOKUP(C25,crop_efi_efe!$B$7:$F$426,5,FALSE)*eqf!$B$7*VLOOKUP("Crop Land",iyf,2,FALSE),0)</f>
        <v>7745.702365568286</v>
      </c>
      <c r="L25" s="1011"/>
      <c r="M25" s="1011"/>
      <c r="N25" s="1011"/>
      <c r="O25" s="1114"/>
    </row>
    <row r="26" spans="1:15">
      <c r="A26" s="1077" t="s">
        <v>4832</v>
      </c>
      <c r="B26" s="829">
        <v>2546</v>
      </c>
      <c r="C26" s="1037">
        <v>176</v>
      </c>
      <c r="D26" s="1149">
        <v>899610</v>
      </c>
      <c r="E26" s="1149">
        <v>172017</v>
      </c>
      <c r="F26" s="1149">
        <v>385860</v>
      </c>
      <c r="G26" s="1149">
        <v>500</v>
      </c>
      <c r="H26" s="903">
        <f t="shared" si="0"/>
        <v>99.999999999999972</v>
      </c>
      <c r="I26" s="1012">
        <f>IFERROR(IF(D26+E26-F26&lt;=G26,G26,D26*G26/(D26+E26-F26))/VLOOKUP(C26,crop_efi_efe!$B$7:$F$426,5,FALSE)*eqf!$B$7*VLOOKUP("Crop Land",iyf,2,FALSE),0)</f>
        <v>2047.7221550071745</v>
      </c>
      <c r="J26" s="1012">
        <f>IFERROR(IF(D26+E26-F26&lt;=G26,0,E26*G26/(D26+E26-F26))/VLOOKUP(C26,crop_efi_efe!$B$7:$F$426,5,FALSE)*eqf!$B$7*VLOOKUP("Crop Land",iyf,2,FALSE),0)</f>
        <v>391.55080750310594</v>
      </c>
      <c r="K26" s="1012">
        <f>IFERROR(IF(D26+E26-F26&lt;=G26,0,F26*G26/(D26+E26-F26))/VLOOKUP(C26,crop_efi_efe!$B$7:$F$426,5,FALSE)*eqf!$B$7*VLOOKUP("Crop Land",iyf,2,FALSE),0)</f>
        <v>878.30734510628872</v>
      </c>
      <c r="L26" s="1011"/>
      <c r="M26" s="1011"/>
      <c r="N26" s="1011"/>
      <c r="O26" s="1009"/>
    </row>
    <row r="27" spans="1:15">
      <c r="A27" s="1077" t="s">
        <v>4624</v>
      </c>
      <c r="B27" s="829">
        <v>2547</v>
      </c>
      <c r="C27" s="1037">
        <v>187</v>
      </c>
      <c r="D27" s="1149">
        <v>255150</v>
      </c>
      <c r="E27" s="1149">
        <v>64148</v>
      </c>
      <c r="F27" s="1149">
        <v>335570</v>
      </c>
      <c r="G27" s="1149"/>
      <c r="H27" s="903">
        <f t="shared" si="0"/>
        <v>0</v>
      </c>
      <c r="I27" s="1012">
        <f>IFERROR(IF(D27+E27-F27&lt;=G27,G27,D27*G27/(D27+E27-F27))/VLOOKUP(C27,crop_efi_efe!$B$7:$F$426,5,FALSE)*eqf!$B$7*VLOOKUP("Crop Land",iyf,2,FALSE),0)</f>
        <v>0</v>
      </c>
      <c r="J27" s="1012">
        <f>IFERROR(IF(D27+E27-F27&lt;=G27,0,E27*G27/(D27+E27-F27))/VLOOKUP(C27,crop_efi_efe!$B$7:$F$426,5,FALSE)*eqf!$B$7*VLOOKUP("Crop Land",iyf,2,FALSE),0)</f>
        <v>0</v>
      </c>
      <c r="K27" s="1012">
        <f>IFERROR(IF(D27+E27-F27&lt;=G27,0,F27*G27/(D27+E27-F27))/VLOOKUP(C27,crop_efi_efe!$B$7:$F$426,5,FALSE)*eqf!$B$7*VLOOKUP("Crop Land",iyf,2,FALSE),0)</f>
        <v>0</v>
      </c>
      <c r="L27" s="1011"/>
      <c r="M27" s="1011"/>
      <c r="N27" s="1011"/>
      <c r="O27" s="1009"/>
    </row>
    <row r="28" spans="1:15">
      <c r="A28" s="1077" t="s">
        <v>7229</v>
      </c>
      <c r="B28" s="829">
        <v>2549</v>
      </c>
      <c r="C28" s="1037">
        <v>211</v>
      </c>
      <c r="D28" s="1149">
        <v>329807</v>
      </c>
      <c r="E28" s="1149">
        <v>96658</v>
      </c>
      <c r="F28" s="1149">
        <v>273378</v>
      </c>
      <c r="G28" s="1149">
        <v>79500</v>
      </c>
      <c r="H28" s="903">
        <f t="shared" si="0"/>
        <v>71550</v>
      </c>
      <c r="I28" s="1012">
        <f>IFERROR(IF(D28+E28-F28&lt;=G28,G28,D28*G28/(D28+E28-F28))/VLOOKUP(C28,crop_efi_efe!$B$7:$F$426,5,FALSE)*eqf!$B$7*VLOOKUP("Crop Land",iyf,2,FALSE),0)</f>
        <v>536177.51286284113</v>
      </c>
      <c r="J28" s="1012">
        <f>IFERROR(IF(D28+E28-F28&lt;=G28,0,E28*G28/(D28+E28-F28))/VLOOKUP(C28,crop_efi_efe!$B$7:$F$426,5,FALSE)*eqf!$B$7*VLOOKUP("Crop Land",iyf,2,FALSE),0)</f>
        <v>157139.9213427747</v>
      </c>
      <c r="K28" s="1012">
        <f>IFERROR(IF(D28+E28-F28&lt;=G28,0,F28*G28/(D28+E28-F28))/VLOOKUP(C28,crop_efi_efe!$B$7:$F$426,5,FALSE)*eqf!$B$7*VLOOKUP("Crop Land",iyf,2,FALSE),0)</f>
        <v>444439.12988935283</v>
      </c>
      <c r="L28" s="1011"/>
      <c r="M28" s="1011"/>
      <c r="N28" s="1011"/>
      <c r="O28" s="1009"/>
    </row>
    <row r="29" spans="1:15">
      <c r="A29" s="1077" t="s">
        <v>4867</v>
      </c>
      <c r="B29" s="829">
        <v>2555</v>
      </c>
      <c r="C29" s="1037">
        <v>236</v>
      </c>
      <c r="D29" s="1149">
        <v>84191904</v>
      </c>
      <c r="E29" s="1149">
        <v>389097</v>
      </c>
      <c r="F29" s="1149">
        <v>34318500</v>
      </c>
      <c r="G29" s="1149">
        <v>2205000</v>
      </c>
      <c r="H29" s="903">
        <f t="shared" si="0"/>
        <v>1984500</v>
      </c>
      <c r="I29" s="1012">
        <f>IFERROR(IF(D29+E29-F29&lt;=G29,G29,D29*G29/(D29+E29-F29))/VLOOKUP(C29,crop_efi_efe!$B$7:$F$426,5,FALSE)*eqf!$B$7*VLOOKUP("Crop Land",iyf,2,FALSE),0)</f>
        <v>3774018.3732714308</v>
      </c>
      <c r="J29" s="1012">
        <f>IFERROR(IF(D29+E29-F29&lt;=G29,0,E29*G29/(D29+E29-F29))/VLOOKUP(C29,crop_efi_efe!$B$7:$F$426,5,FALSE)*eqf!$B$7*VLOOKUP("Crop Land",iyf,2,FALSE),0)</f>
        <v>17441.810402396812</v>
      </c>
      <c r="K29" s="1012">
        <f>IFERROR(IF(D29+E29-F29&lt;=G29,0,F29*G29/(D29+E29-F29))/VLOOKUP(C29,crop_efi_efe!$B$7:$F$426,5,FALSE)*eqf!$B$7*VLOOKUP("Crop Land",iyf,2,FALSE),0)</f>
        <v>1538374.1593861042</v>
      </c>
      <c r="L29" s="1011"/>
      <c r="M29" s="1011"/>
      <c r="N29" s="1011"/>
      <c r="O29" s="1009"/>
    </row>
    <row r="30" spans="1:15">
      <c r="A30" s="1077" t="s">
        <v>4848</v>
      </c>
      <c r="B30" s="829">
        <v>2556</v>
      </c>
      <c r="C30" s="1037">
        <v>243</v>
      </c>
      <c r="D30" s="1149">
        <v>1161660</v>
      </c>
      <c r="E30" s="1149">
        <v>46583</v>
      </c>
      <c r="F30" s="1149">
        <v>215067</v>
      </c>
      <c r="G30" s="1149"/>
      <c r="H30" s="903">
        <f t="shared" si="0"/>
        <v>0</v>
      </c>
      <c r="I30" s="1012">
        <f>IFERROR(IF(D30+E30-F30&lt;=G30,G30,D30*G30/(D30+E30-F30))/VLOOKUP(C30,crop_efi_efe!$B$7:$F$426,5,FALSE)*eqf!$B$7*VLOOKUP("Crop Land",iyf,2,FALSE),0)</f>
        <v>0</v>
      </c>
      <c r="J30" s="1012">
        <f>IFERROR(IF(D30+E30-F30&lt;=G30,0,E30*G30/(D30+E30-F30))/VLOOKUP(C30,crop_efi_efe!$B$7:$F$426,5,FALSE)*eqf!$B$7*VLOOKUP("Crop Land",iyf,2,FALSE),0)</f>
        <v>0</v>
      </c>
      <c r="K30" s="1012">
        <f>IFERROR(IF(D30+E30-F30&lt;=G30,0,F30*G30/(D30+E30-F30))/VLOOKUP(C30,crop_efi_efe!$B$7:$F$426,5,FALSE)*eqf!$B$7*VLOOKUP("Crop Land",iyf,2,FALSE),0)</f>
        <v>0</v>
      </c>
      <c r="L30" s="1011"/>
      <c r="M30" s="1011"/>
      <c r="N30" s="1011"/>
      <c r="O30" s="1009"/>
    </row>
    <row r="31" spans="1:15">
      <c r="A31" s="1077" t="s">
        <v>3916</v>
      </c>
      <c r="B31" s="829">
        <v>2557</v>
      </c>
      <c r="C31" s="1037">
        <v>267</v>
      </c>
      <c r="D31" s="1149">
        <v>924550</v>
      </c>
      <c r="E31" s="1149">
        <v>42826</v>
      </c>
      <c r="F31" s="1149">
        <v>134461</v>
      </c>
      <c r="G31" s="1149">
        <v>270000</v>
      </c>
      <c r="H31" s="903">
        <f t="shared" si="0"/>
        <v>251099.99999999997</v>
      </c>
      <c r="I31" s="1012">
        <f>IFERROR(IF(D31+E31-F31&lt;=G31,G31,D31*G31/(D31+E31-F31))/VLOOKUP(C31,crop_efi_efe!$B$7:$F$426,5,FALSE)*eqf!$B$7*VLOOKUP("Crop Land",iyf,2,FALSE),0)</f>
        <v>438887.99985760235</v>
      </c>
      <c r="J31" s="1012">
        <f>IFERROR(IF(D31+E31-F31&lt;=G31,0,E31*G31/(D31+E31-F31))/VLOOKUP(C31,crop_efi_efe!$B$7:$F$426,5,FALSE)*eqf!$B$7*VLOOKUP("Crop Land",iyf,2,FALSE),0)</f>
        <v>20329.692803960501</v>
      </c>
      <c r="K31" s="1012">
        <f>IFERROR(IF(D31+E31-F31&lt;=G31,0,F31*G31/(D31+E31-F31))/VLOOKUP(C31,crop_efi_efe!$B$7:$F$426,5,FALSE)*eqf!$B$7*VLOOKUP("Crop Land",iyf,2,FALSE),0)</f>
        <v>63829.235140179626</v>
      </c>
      <c r="L31" s="1011"/>
      <c r="M31" s="1011"/>
      <c r="N31" s="1011"/>
      <c r="O31" s="1009"/>
    </row>
    <row r="32" spans="1:15">
      <c r="A32" s="1077" t="s">
        <v>4862</v>
      </c>
      <c r="B32" s="830">
        <v>2558</v>
      </c>
      <c r="C32" s="1037">
        <v>292</v>
      </c>
      <c r="D32" s="1149">
        <v>706010</v>
      </c>
      <c r="E32" s="1149">
        <v>759813</v>
      </c>
      <c r="F32" s="1149">
        <v>231441</v>
      </c>
      <c r="G32" s="1149"/>
      <c r="H32" s="903">
        <f t="shared" si="0"/>
        <v>0</v>
      </c>
      <c r="I32" s="1012">
        <f>IFERROR(IF(D32+E32-F32&lt;=G32,G32,D32*G32/(D32+E32-F32))/VLOOKUP(C32,crop_efi_efe!$B$7:$F$426,5,FALSE)*eqf!$B$7*VLOOKUP("Crop Land",iyf,2,FALSE),0)</f>
        <v>0</v>
      </c>
      <c r="J32" s="1012">
        <f>IFERROR(IF(D32+E32-F32&lt;=G32,0,E32*G32/(D32+E32-F32))/VLOOKUP(C32,crop_efi_efe!$B$7:$F$426,5,FALSE)*eqf!$B$7*VLOOKUP("Crop Land",iyf,2,FALSE),0)</f>
        <v>0</v>
      </c>
      <c r="K32" s="1012">
        <f>IFERROR(IF(D32+E32-F32&lt;=G32,0,F32*G32/(D32+E32-F32))/VLOOKUP(C32,crop_efi_efe!$B$7:$F$426,5,FALSE)*eqf!$B$7*VLOOKUP("Crop Land",iyf,2,FALSE),0)</f>
        <v>0</v>
      </c>
      <c r="L32" s="1011"/>
      <c r="M32" s="1011"/>
      <c r="N32" s="1011"/>
      <c r="O32" s="1009"/>
    </row>
    <row r="33" spans="1:15">
      <c r="A33" s="1077" t="s">
        <v>907</v>
      </c>
      <c r="B33" s="829">
        <v>2559</v>
      </c>
      <c r="C33" s="1037">
        <v>328</v>
      </c>
      <c r="D33" s="1149">
        <v>4871580</v>
      </c>
      <c r="E33" s="1149">
        <v>44927</v>
      </c>
      <c r="F33" s="1149">
        <v>218222</v>
      </c>
      <c r="G33" s="1149">
        <v>2342000</v>
      </c>
      <c r="H33" s="903">
        <f t="shared" si="0"/>
        <v>2107800</v>
      </c>
      <c r="I33" s="1012">
        <f>IFERROR(IF(D33+E33-F33&lt;=G33,G33,D33*G33/(D33+E33-F33))/VLOOKUP(C33,crop_efi_efe!$B$7:$F$426,5,FALSE)*eqf!$B$7*VLOOKUP("Crop Land",iyf,2,FALSE),0)</f>
        <v>2722820.1335078515</v>
      </c>
      <c r="J33" s="1012">
        <f>IFERROR(IF(D33+E33-F33&lt;=G33,0,E33*G33/(D33+E33-F33))/VLOOKUP(C33,crop_efi_efe!$B$7:$F$426,5,FALSE)*eqf!$B$7*VLOOKUP("Crop Land",iyf,2,FALSE),0)</f>
        <v>25110.567852340981</v>
      </c>
      <c r="K33" s="1012">
        <f>IFERROR(IF(D33+E33-F33&lt;=G33,0,F33*G33/(D33+E33-F33))/VLOOKUP(C33,crop_efi_efe!$B$7:$F$426,5,FALSE)*eqf!$B$7*VLOOKUP("Crop Land",iyf,2,FALSE),0)</f>
        <v>121968.48972496612</v>
      </c>
      <c r="L33" s="1011"/>
      <c r="M33" s="1011"/>
      <c r="N33" s="1011"/>
      <c r="O33" s="1009"/>
    </row>
    <row r="34" spans="1:15">
      <c r="A34" s="1077" t="s">
        <v>4839</v>
      </c>
      <c r="B34" s="829">
        <v>2560</v>
      </c>
      <c r="C34" s="1037">
        <v>249</v>
      </c>
      <c r="D34" s="1149"/>
      <c r="E34" s="1149">
        <v>254184</v>
      </c>
      <c r="F34" s="1149">
        <v>37629</v>
      </c>
      <c r="G34" s="1149"/>
      <c r="H34" s="903">
        <f t="shared" si="0"/>
        <v>0</v>
      </c>
      <c r="I34" s="1012">
        <f>IFERROR(IF(D34+E34-F34&lt;=G34,G34,D34*G34/(D34+E34-F34))/VLOOKUP(C34,crop_efi_efe!$B$7:$F$426,5,FALSE)*eqf!$B$7*VLOOKUP("Crop Land",iyf,2,FALSE),0)</f>
        <v>0</v>
      </c>
      <c r="J34" s="1012">
        <f>IFERROR(IF(D34+E34-F34&lt;=G34,0,E34*G34/(D34+E34-F34))/VLOOKUP(C34,crop_efi_efe!$B$7:$F$426,5,FALSE)*eqf!$B$7*VLOOKUP("Crop Land",iyf,2,FALSE),0)</f>
        <v>0</v>
      </c>
      <c r="K34" s="1012">
        <f>IFERROR(IF(D34+E34-F34&lt;=G34,0,F34*G34/(D34+E34-F34))/VLOOKUP(C34,crop_efi_efe!$B$7:$F$426,5,FALSE)*eqf!$B$7*VLOOKUP("Crop Land",iyf,2,FALSE),0)</f>
        <v>0</v>
      </c>
      <c r="L34" s="1011"/>
      <c r="M34" s="1011"/>
      <c r="N34" s="1011"/>
      <c r="O34" s="1009"/>
    </row>
    <row r="35" spans="1:15">
      <c r="A35" s="1077" t="s">
        <v>2804</v>
      </c>
      <c r="B35" s="829">
        <v>2561</v>
      </c>
      <c r="C35" s="1037">
        <v>289</v>
      </c>
      <c r="D35" s="1149">
        <v>0</v>
      </c>
      <c r="E35" s="1149">
        <v>36852</v>
      </c>
      <c r="F35" s="1149">
        <v>4542</v>
      </c>
      <c r="G35" s="1149"/>
      <c r="H35" s="903">
        <f t="shared" si="0"/>
        <v>0</v>
      </c>
      <c r="I35" s="1012">
        <f>IFERROR(IF(D35+E35-F35&lt;=G35,G35,D35*G35/(D35+E35-F35))/VLOOKUP(C35,crop_efi_efe!$B$7:$F$426,5,FALSE)*eqf!$B$7*VLOOKUP("Crop Land",iyf,2,FALSE),0)</f>
        <v>0</v>
      </c>
      <c r="J35" s="1012">
        <f>IFERROR(IF(D35+E35-F35&lt;=G35,0,E35*G35/(D35+E35-F35))/VLOOKUP(C35,crop_efi_efe!$B$7:$F$426,5,FALSE)*eqf!$B$7*VLOOKUP("Crop Land",iyf,2,FALSE),0)</f>
        <v>0</v>
      </c>
      <c r="K35" s="1012">
        <f>IFERROR(IF(D35+E35-F35&lt;=G35,0,F35*G35/(D35+E35-F35))/VLOOKUP(C35,crop_efi_efe!$B$7:$F$426,5,FALSE)*eqf!$B$7*VLOOKUP("Crop Land",iyf,2,FALSE),0)</f>
        <v>0</v>
      </c>
      <c r="L35" s="1011"/>
      <c r="M35" s="1011"/>
      <c r="N35" s="1011"/>
      <c r="O35" s="1009"/>
    </row>
    <row r="36" spans="1:15">
      <c r="A36" s="1077" t="s">
        <v>3231</v>
      </c>
      <c r="B36" s="829">
        <v>2562</v>
      </c>
      <c r="C36" s="1037">
        <v>256</v>
      </c>
      <c r="D36" s="1149"/>
      <c r="E36" s="1149">
        <v>0</v>
      </c>
      <c r="F36" s="1149">
        <v>0</v>
      </c>
      <c r="G36" s="1149"/>
      <c r="H36" s="903">
        <f t="shared" si="0"/>
        <v>0</v>
      </c>
      <c r="I36" s="1012">
        <f>IFERROR(IF(D36+E36-F36&lt;=G36,G36,D36*G36/(D36+E36-F36))/VLOOKUP(C36,crop_efi_efe!$B$7:$F$426,5,FALSE)*eqf!$B$7*VLOOKUP("Crop Land",iyf,2,FALSE),0)</f>
        <v>0</v>
      </c>
      <c r="J36" s="1012">
        <f>IFERROR(IF(D36+E36-F36&lt;=G36,0,E36*G36/(D36+E36-F36))/VLOOKUP(C36,crop_efi_efe!$B$7:$F$426,5,FALSE)*eqf!$B$7*VLOOKUP("Crop Land",iyf,2,FALSE),0)</f>
        <v>0</v>
      </c>
      <c r="K36" s="1012">
        <f>IFERROR(IF(D36+E36-F36&lt;=G36,0,F36*G36/(D36+E36-F36))/VLOOKUP(C36,crop_efi_efe!$B$7:$F$426,5,FALSE)*eqf!$B$7*VLOOKUP("Crop Land",iyf,2,FALSE),0)</f>
        <v>0</v>
      </c>
      <c r="L36" s="1011"/>
      <c r="M36" s="1011"/>
      <c r="N36" s="1011"/>
      <c r="O36" s="1114"/>
    </row>
    <row r="37" spans="1:15">
      <c r="A37" s="1077" t="s">
        <v>4854</v>
      </c>
      <c r="B37" s="829">
        <v>2570</v>
      </c>
      <c r="C37" s="1037">
        <v>339</v>
      </c>
      <c r="D37" s="1149">
        <v>147850</v>
      </c>
      <c r="E37" s="1149">
        <v>279785</v>
      </c>
      <c r="F37" s="1149">
        <v>1744060</v>
      </c>
      <c r="G37" s="1149"/>
      <c r="H37" s="903">
        <f t="shared" si="0"/>
        <v>0</v>
      </c>
      <c r="I37" s="1012">
        <f>IFERROR(IF(D37+E37-F37&lt;=G37,G37,D37*G37/(D37+E37-F37))/VLOOKUP(C37,crop_efi_efe!$B$7:$F$426,5,FALSE)*eqf!$B$7*VLOOKUP("Crop Land",iyf,2,FALSE),0)</f>
        <v>0</v>
      </c>
      <c r="J37" s="1012">
        <f>IFERROR(IF(D37+E37-F37&lt;=G37,0,E37*G37/(D37+E37-F37))/VLOOKUP(C37,crop_efi_efe!$B$7:$F$426,5,FALSE)*eqf!$B$7*VLOOKUP("Crop Land",iyf,2,FALSE),0)</f>
        <v>0</v>
      </c>
      <c r="K37" s="1012">
        <f>IFERROR(IF(D37+E37-F37&lt;=G37,0,F37*G37/(D37+E37-F37))/VLOOKUP(C37,crop_efi_efe!$B$7:$F$426,5,FALSE)*eqf!$B$7*VLOOKUP("Crop Land",iyf,2,FALSE),0)</f>
        <v>0</v>
      </c>
      <c r="L37" s="1011"/>
      <c r="M37" s="1011"/>
      <c r="N37" s="1011"/>
      <c r="O37" s="1009"/>
    </row>
    <row r="38" spans="1:15">
      <c r="A38" s="1077" t="s">
        <v>4866</v>
      </c>
      <c r="B38" s="829">
        <v>2571</v>
      </c>
      <c r="C38" s="1037">
        <v>237</v>
      </c>
      <c r="D38" s="1149">
        <v>8567260</v>
      </c>
      <c r="E38" s="1149">
        <v>102721</v>
      </c>
      <c r="F38" s="1149">
        <v>1136510</v>
      </c>
      <c r="G38" s="1149"/>
      <c r="H38" s="903">
        <f t="shared" si="0"/>
        <v>0</v>
      </c>
      <c r="I38" s="1012">
        <f>IFERROR(IF(D38+E38-F38&lt;=G38,G38,D38*G38/(D38+E38-F38))/VLOOKUP(C38,crop_efi_efe!$B$7:$F$426,5,FALSE)*eqf!$B$7*VLOOKUP("Crop Land",iyf,2,FALSE),0)</f>
        <v>0</v>
      </c>
      <c r="J38" s="1012">
        <f>IFERROR(IF(D38+E38-F38&lt;=G38,0,E38*G38/(D38+E38-F38))/VLOOKUP(C38,crop_efi_efe!$B$7:$F$426,5,FALSE)*eqf!$B$7*VLOOKUP("Crop Land",iyf,2,FALSE),0)</f>
        <v>0</v>
      </c>
      <c r="K38" s="1012">
        <f>IFERROR(IF(D38+E38-F38&lt;=G38,0,F38*G38/(D38+E38-F38))/VLOOKUP(C38,crop_efi_efe!$B$7:$F$426,5,FALSE)*eqf!$B$7*VLOOKUP("Crop Land",iyf,2,FALSE),0)</f>
        <v>0</v>
      </c>
      <c r="L38" s="1011"/>
      <c r="M38" s="1011"/>
      <c r="N38" s="1011"/>
      <c r="O38" s="1009"/>
    </row>
    <row r="39" spans="1:15">
      <c r="A39" s="1077" t="s">
        <v>4847</v>
      </c>
      <c r="B39" s="829">
        <v>2572</v>
      </c>
      <c r="C39" s="1037">
        <v>244</v>
      </c>
      <c r="D39" s="1149">
        <v>85800</v>
      </c>
      <c r="E39" s="1149">
        <v>15272</v>
      </c>
      <c r="F39" s="1149">
        <v>7089</v>
      </c>
      <c r="G39" s="1149"/>
      <c r="H39" s="903">
        <f t="shared" ref="H39:H70" si="1">G39*(1-VLOOKUP(B39,constant_crop_factor,2,FALSE))</f>
        <v>0</v>
      </c>
      <c r="I39" s="1012">
        <f>IFERROR(IF(D39+E39-F39&lt;=G39,G39,D39*G39/(D39+E39-F39))/VLOOKUP(C39,crop_efi_efe!$B$7:$F$426,5,FALSE)*eqf!$B$7*VLOOKUP("Crop Land",iyf,2,FALSE),0)</f>
        <v>0</v>
      </c>
      <c r="J39" s="1012">
        <f>IFERROR(IF(D39+E39-F39&lt;=G39,0,E39*G39/(D39+E39-F39))/VLOOKUP(C39,crop_efi_efe!$B$7:$F$426,5,FALSE)*eqf!$B$7*VLOOKUP("Crop Land",iyf,2,FALSE),0)</f>
        <v>0</v>
      </c>
      <c r="K39" s="1012">
        <f>IFERROR(IF(D39+E39-F39&lt;=G39,0,F39*G39/(D39+E39-F39))/VLOOKUP(C39,crop_efi_efe!$B$7:$F$426,5,FALSE)*eqf!$B$7*VLOOKUP("Crop Land",iyf,2,FALSE),0)</f>
        <v>0</v>
      </c>
      <c r="L39" s="1011"/>
      <c r="M39" s="1011"/>
      <c r="N39" s="1011"/>
      <c r="O39" s="1009"/>
    </row>
    <row r="40" spans="1:15">
      <c r="A40" s="1115" t="s">
        <v>7747</v>
      </c>
      <c r="B40" s="829">
        <v>2573</v>
      </c>
      <c r="C40" s="1037">
        <v>268</v>
      </c>
      <c r="D40" s="1149">
        <v>223621</v>
      </c>
      <c r="E40" s="1149">
        <v>55665</v>
      </c>
      <c r="F40" s="1149">
        <v>38012</v>
      </c>
      <c r="G40" s="1149"/>
      <c r="H40" s="903">
        <f t="shared" si="1"/>
        <v>0</v>
      </c>
      <c r="I40" s="1012">
        <f>IFERROR(IF(D40+E40-F40&lt;=G40,G40,D40*G40/(D40+E40-F40))/VLOOKUP(C40,crop_efi_efe!$B$7:$F$426,5,FALSE)*eqf!$B$7*VLOOKUP("Crop Land",iyf,2,FALSE),0)</f>
        <v>0</v>
      </c>
      <c r="J40" s="1012">
        <f>IFERROR(IF(D40+E40-F40&lt;=G40,0,E40*G40/(D40+E40-F40))/VLOOKUP(C40,crop_efi_efe!$B$7:$F$426,5,FALSE)*eqf!$B$7*VLOOKUP("Crop Land",iyf,2,FALSE),0)</f>
        <v>0</v>
      </c>
      <c r="K40" s="1012">
        <f>IFERROR(IF(D40+E40-F40&lt;=G40,0,F40*G40/(D40+E40-F40))/VLOOKUP(C40,crop_efi_efe!$B$7:$F$426,5,FALSE)*eqf!$B$7*VLOOKUP("Crop Land",iyf,2,FALSE),0)</f>
        <v>0</v>
      </c>
      <c r="L40" s="1011"/>
      <c r="M40" s="1011"/>
      <c r="N40" s="1011"/>
      <c r="O40" s="1114"/>
    </row>
    <row r="41" spans="1:15">
      <c r="A41" s="1077" t="s">
        <v>4861</v>
      </c>
      <c r="B41" s="830">
        <v>2574</v>
      </c>
      <c r="C41" s="1037">
        <v>271</v>
      </c>
      <c r="D41" s="1149">
        <v>489879</v>
      </c>
      <c r="E41" s="1149">
        <v>1684890</v>
      </c>
      <c r="F41" s="1149">
        <v>435151</v>
      </c>
      <c r="G41" s="1149"/>
      <c r="H41" s="903">
        <f t="shared" si="1"/>
        <v>0</v>
      </c>
      <c r="I41" s="1012">
        <f>IFERROR(IF(D41+E41-F41&lt;=G41,G41,D41*G41/(D41+E41-F41))/VLOOKUP(C41,crop_efi_efe!$B$7:$F$426,5,FALSE)*eqf!$B$7*VLOOKUP("Crop Land",iyf,2,FALSE),0)</f>
        <v>0</v>
      </c>
      <c r="J41" s="1012">
        <f>IFERROR(IF(D41+E41-F41&lt;=G41,0,E41*G41/(D41+E41-F41))/VLOOKUP(C41,crop_efi_efe!$B$7:$F$426,5,FALSE)*eqf!$B$7*VLOOKUP("Crop Land",iyf,2,FALSE),0)</f>
        <v>0</v>
      </c>
      <c r="K41" s="1012">
        <f>IFERROR(IF(D41+E41-F41&lt;=G41,0,F41*G41/(D41+E41-F41))/VLOOKUP(C41,crop_efi_efe!$B$7:$F$426,5,FALSE)*eqf!$B$7*VLOOKUP("Crop Land",iyf,2,FALSE),0)</f>
        <v>0</v>
      </c>
      <c r="L41" s="1011"/>
      <c r="M41" s="1011"/>
      <c r="N41" s="1011"/>
      <c r="O41" s="1009"/>
    </row>
    <row r="42" spans="1:15">
      <c r="A42" s="1115" t="s">
        <v>7748</v>
      </c>
      <c r="B42" s="830">
        <v>2575</v>
      </c>
      <c r="C42" s="1037">
        <v>331</v>
      </c>
      <c r="D42" s="1149">
        <v>378750</v>
      </c>
      <c r="E42" s="1149">
        <v>268</v>
      </c>
      <c r="F42" s="1149">
        <v>86074</v>
      </c>
      <c r="G42" s="1149"/>
      <c r="H42" s="903">
        <f t="shared" si="1"/>
        <v>0</v>
      </c>
      <c r="I42" s="1012">
        <f>IFERROR(IF(D42+E42-F42&lt;=G42,G42,D42*G42/(D42+E42-F42))/VLOOKUP(C42,crop_efi_efe!$B$7:$F$426,5,FALSE)*eqf!$B$7*VLOOKUP("Crop Land",iyf,2,FALSE),0)</f>
        <v>0</v>
      </c>
      <c r="J42" s="1012">
        <f>IFERROR(IF(D42+E42-F42&lt;=G42,0,E42*G42/(D42+E42-F42))/VLOOKUP(C42,crop_efi_efe!$B$7:$F$426,5,FALSE)*eqf!$B$7*VLOOKUP("Crop Land",iyf,2,FALSE),0)</f>
        <v>0</v>
      </c>
      <c r="K42" s="1012">
        <f>IFERROR(IF(D42+E42-F42&lt;=G42,0,F42*G42/(D42+E42-F42))/VLOOKUP(C42,crop_efi_efe!$B$7:$F$426,5,FALSE)*eqf!$B$7*VLOOKUP("Crop Land",iyf,2,FALSE),0)</f>
        <v>0</v>
      </c>
      <c r="L42" s="1011"/>
      <c r="M42" s="1011"/>
      <c r="N42" s="1011"/>
      <c r="O42" s="1114"/>
    </row>
    <row r="43" spans="1:15">
      <c r="A43" s="1077" t="s">
        <v>4858</v>
      </c>
      <c r="B43" s="829">
        <v>2576</v>
      </c>
      <c r="C43" s="1037">
        <v>258</v>
      </c>
      <c r="D43" s="1149"/>
      <c r="E43" s="1149">
        <v>324142</v>
      </c>
      <c r="F43" s="1149">
        <v>45789</v>
      </c>
      <c r="G43" s="1149"/>
      <c r="H43" s="903">
        <f t="shared" si="1"/>
        <v>0</v>
      </c>
      <c r="I43" s="1012">
        <f>IFERROR(IF(D43+E43-F43&lt;=G43,G43,D43*G43/(D43+E43-F43))/VLOOKUP(C43,crop_efi_efe!$B$7:$F$426,5,FALSE)*eqf!$B$7*VLOOKUP("Crop Land",iyf,2,FALSE),0)</f>
        <v>0</v>
      </c>
      <c r="J43" s="1012">
        <f>IFERROR(IF(D43+E43-F43&lt;=G43,0,E43*G43/(D43+E43-F43))/VLOOKUP(C43,crop_efi_efe!$B$7:$F$426,5,FALSE)*eqf!$B$7*VLOOKUP("Crop Land",iyf,2,FALSE),0)</f>
        <v>0</v>
      </c>
      <c r="K43" s="1012">
        <f>IFERROR(IF(D43+E43-F43&lt;=G43,0,F43*G43/(D43+E43-F43))/VLOOKUP(C43,crop_efi_efe!$B$7:$F$426,5,FALSE)*eqf!$B$7*VLOOKUP("Crop Land",iyf,2,FALSE),0)</f>
        <v>0</v>
      </c>
      <c r="L43" s="1011"/>
      <c r="M43" s="1011"/>
      <c r="N43" s="1011"/>
      <c r="O43" s="1114"/>
    </row>
    <row r="44" spans="1:15">
      <c r="A44" s="1077" t="s">
        <v>4857</v>
      </c>
      <c r="B44" s="829">
        <v>2577</v>
      </c>
      <c r="C44" s="1037">
        <v>257</v>
      </c>
      <c r="D44" s="1149"/>
      <c r="E44" s="1149">
        <v>1112030</v>
      </c>
      <c r="F44" s="1149">
        <v>113687</v>
      </c>
      <c r="G44" s="1149"/>
      <c r="H44" s="903">
        <f t="shared" si="1"/>
        <v>0</v>
      </c>
      <c r="I44" s="1012">
        <f>IFERROR(IF(D44+E44-F44&lt;=G44,G44,D44*G44/(D44+E44-F44))/VLOOKUP(C44,crop_efi_efe!$B$7:$F$426,5,FALSE)*eqf!$B$7*VLOOKUP("Crop Land",iyf,2,FALSE),0)</f>
        <v>0</v>
      </c>
      <c r="J44" s="1012">
        <f>IFERROR(IF(D44+E44-F44&lt;=G44,0,E44*G44/(D44+E44-F44))/VLOOKUP(C44,crop_efi_efe!$B$7:$F$426,5,FALSE)*eqf!$B$7*VLOOKUP("Crop Land",iyf,2,FALSE),0)</f>
        <v>0</v>
      </c>
      <c r="K44" s="1012">
        <f>IFERROR(IF(D44+E44-F44&lt;=G44,0,F44*G44/(D44+E44-F44))/VLOOKUP(C44,crop_efi_efe!$B$7:$F$426,5,FALSE)*eqf!$B$7*VLOOKUP("Crop Land",iyf,2,FALSE),0)</f>
        <v>0</v>
      </c>
      <c r="L44" s="1011"/>
      <c r="M44" s="1011"/>
      <c r="N44" s="1011"/>
      <c r="O44" s="1009"/>
    </row>
    <row r="45" spans="1:15">
      <c r="A45" s="1077" t="s">
        <v>4838</v>
      </c>
      <c r="B45" s="829">
        <v>2578</v>
      </c>
      <c r="C45" s="1037">
        <v>252</v>
      </c>
      <c r="D45" s="1149"/>
      <c r="E45" s="1149">
        <v>504180</v>
      </c>
      <c r="F45" s="1149">
        <v>115893</v>
      </c>
      <c r="G45" s="1149"/>
      <c r="H45" s="903">
        <f t="shared" si="1"/>
        <v>0</v>
      </c>
      <c r="I45" s="1012">
        <f>IFERROR(IF(D45+E45-F45&lt;=G45,G45,D45*G45/(D45+E45-F45))/VLOOKUP(C45,crop_efi_efe!$B$7:$F$426,5,FALSE)*eqf!$B$7*VLOOKUP("Crop Land",iyf,2,FALSE),0)</f>
        <v>0</v>
      </c>
      <c r="J45" s="1012">
        <f>IFERROR(IF(D45+E45-F45&lt;=G45,0,E45*G45/(D45+E45-F45))/VLOOKUP(C45,crop_efi_efe!$B$7:$F$426,5,FALSE)*eqf!$B$7*VLOOKUP("Crop Land",iyf,2,FALSE),0)</f>
        <v>0</v>
      </c>
      <c r="K45" s="1012">
        <f>IFERROR(IF(D45+E45-F45&lt;=G45,0,F45*G45/(D45+E45-F45))/VLOOKUP(C45,crop_efi_efe!$B$7:$F$426,5,FALSE)*eqf!$B$7*VLOOKUP("Crop Land",iyf,2,FALSE),0)</f>
        <v>0</v>
      </c>
      <c r="L45" s="1011"/>
      <c r="M45" s="1011"/>
      <c r="N45" s="1011"/>
      <c r="O45" s="1009"/>
    </row>
    <row r="46" spans="1:15">
      <c r="A46" s="1077" t="s">
        <v>4865</v>
      </c>
      <c r="B46" s="829">
        <v>2579</v>
      </c>
      <c r="C46" s="1037">
        <v>289</v>
      </c>
      <c r="D46" s="1149"/>
      <c r="E46" s="1149">
        <v>12388</v>
      </c>
      <c r="F46" s="1149">
        <v>1410</v>
      </c>
      <c r="G46" s="1149"/>
      <c r="H46" s="903">
        <f t="shared" si="1"/>
        <v>0</v>
      </c>
      <c r="I46" s="1012">
        <f>IFERROR(IF(D46+E46-F46&lt;=G46,G46,D46*G46/(D46+E46-F46))/VLOOKUP(C46,crop_efi_efe!$B$7:$F$426,5,FALSE)*eqf!$B$7*VLOOKUP("Crop Land",iyf,2,FALSE),0)</f>
        <v>0</v>
      </c>
      <c r="J46" s="1012">
        <f>IFERROR(IF(D46+E46-F46&lt;=G46,0,E46*G46/(D46+E46-F46))/VLOOKUP(C46,crop_efi_efe!$B$7:$F$426,5,FALSE)*eqf!$B$7*VLOOKUP("Crop Land",iyf,2,FALSE),0)</f>
        <v>0</v>
      </c>
      <c r="K46" s="1012">
        <f>IFERROR(IF(D46+E46-F46&lt;=G46,0,F46*G46/(D46+E46-F46))/VLOOKUP(C46,crop_efi_efe!$B$7:$F$426,5,FALSE)*eqf!$B$7*VLOOKUP("Crop Land",iyf,2,FALSE),0)</f>
        <v>0</v>
      </c>
      <c r="L46" s="1011"/>
      <c r="M46" s="1011"/>
      <c r="N46" s="1011"/>
      <c r="O46" s="1009"/>
    </row>
    <row r="47" spans="1:15">
      <c r="A47" s="472" t="s">
        <v>7749</v>
      </c>
      <c r="B47" s="829">
        <v>2580</v>
      </c>
      <c r="C47" s="1037">
        <v>261</v>
      </c>
      <c r="D47" s="1149">
        <v>6075</v>
      </c>
      <c r="E47" s="1149">
        <v>292926</v>
      </c>
      <c r="F47" s="1149">
        <v>7802</v>
      </c>
      <c r="G47" s="1149"/>
      <c r="H47" s="903">
        <f t="shared" si="1"/>
        <v>0</v>
      </c>
      <c r="I47" s="1012">
        <f>IFERROR(IF(D47+E47-F47&lt;=G47,G47,D47*G47/(D47+E47-F47))/VLOOKUP(C47,crop_efi_efe!$B$7:$F$426,5,FALSE)*eqf!$B$7*VLOOKUP("Crop Land",iyf,2,FALSE),0)</f>
        <v>0</v>
      </c>
      <c r="J47" s="1012">
        <f>IFERROR(IF(D47+E47-F47&lt;=G47,0,E47*G47/(D47+E47-F47))/VLOOKUP(C47,crop_efi_efe!$B$7:$F$426,5,FALSE)*eqf!$B$7*VLOOKUP("Crop Land",iyf,2,FALSE),0)</f>
        <v>0</v>
      </c>
      <c r="K47" s="1012">
        <f>IFERROR(IF(D47+E47-F47&lt;=G47,0,F47*G47/(D47+E47-F47))/VLOOKUP(C47,crop_efi_efe!$B$7:$F$426,5,FALSE)*eqf!$B$7*VLOOKUP("Crop Land",iyf,2,FALSE),0)</f>
        <v>0</v>
      </c>
      <c r="L47" s="1011"/>
      <c r="M47" s="1011"/>
      <c r="N47" s="1011"/>
      <c r="O47" s="1114"/>
    </row>
    <row r="48" spans="1:15">
      <c r="A48" s="1077" t="s">
        <v>4853</v>
      </c>
      <c r="B48" s="829">
        <v>2586</v>
      </c>
      <c r="C48" s="1037">
        <v>254</v>
      </c>
      <c r="D48" s="1149">
        <v>303126</v>
      </c>
      <c r="E48" s="1149">
        <v>297784</v>
      </c>
      <c r="F48" s="1149">
        <v>496241</v>
      </c>
      <c r="G48" s="1149"/>
      <c r="H48" s="903">
        <f t="shared" si="1"/>
        <v>0</v>
      </c>
      <c r="I48" s="1012">
        <f>IFERROR(IF(D48+E48-F48&lt;=G48,G48,D48*G48/(D48+E48-F48))/VLOOKUP(C48,crop_efi_efe!$B$7:$F$426,5,FALSE)*eqf!$B$7*VLOOKUP("Crop Land",iyf,2,FALSE),0)</f>
        <v>0</v>
      </c>
      <c r="J48" s="1012">
        <f>IFERROR(IF(D48+E48-F48&lt;=G48,0,E48*G48/(D48+E48-F48))/VLOOKUP(C48,crop_efi_efe!$B$7:$F$426,5,FALSE)*eqf!$B$7*VLOOKUP("Crop Land",iyf,2,FALSE),0)</f>
        <v>0</v>
      </c>
      <c r="K48" s="1012">
        <f>IFERROR(IF(D48+E48-F48&lt;=G48,0,F48*G48/(D48+E48-F48))/VLOOKUP(C48,crop_efi_efe!$B$7:$F$426,5,FALSE)*eqf!$B$7*VLOOKUP("Crop Land",iyf,2,FALSE),0)</f>
        <v>0</v>
      </c>
      <c r="L48" s="1011"/>
      <c r="M48" s="1011"/>
      <c r="N48" s="1011"/>
      <c r="O48" s="1009"/>
    </row>
    <row r="49" spans="1:15">
      <c r="A49" s="1115" t="s">
        <v>7750</v>
      </c>
      <c r="B49" s="829">
        <v>2590</v>
      </c>
      <c r="C49" s="1037">
        <v>238</v>
      </c>
      <c r="D49" s="1149">
        <v>35363100</v>
      </c>
      <c r="E49" s="1149">
        <v>116670</v>
      </c>
      <c r="F49" s="1149">
        <v>6701300</v>
      </c>
      <c r="G49" s="1149">
        <v>28778500</v>
      </c>
      <c r="H49" s="903">
        <f t="shared" si="1"/>
        <v>25900650</v>
      </c>
      <c r="I49" s="1012">
        <f>IFERROR(IF(D49+E49-F49&lt;=G49,G49,D49*G49/(D49+E49-F49))/VLOOKUP(C49,crop_efi_efe!$B$7:$F$426,5,FALSE)*eqf!$B$7*VLOOKUP("Crop Land",iyf,2,FALSE),0)</f>
        <v>22571526.402634338</v>
      </c>
      <c r="J49" s="1012">
        <f>IFERROR(IF(D49+E49-F49&lt;=G49,0,E49*G49/(D49+E49-F49))/VLOOKUP(C49,crop_efi_efe!$B$7:$F$426,5,FALSE)*eqf!$B$7*VLOOKUP("Crop Land",iyf,2,FALSE),0)</f>
        <v>0</v>
      </c>
      <c r="K49" s="1012">
        <f>IFERROR(IF(D49+E49-F49&lt;=G49,0,F49*G49/(D49+E49-F49))/VLOOKUP(C49,crop_efi_efe!$B$7:$F$426,5,FALSE)*eqf!$B$7*VLOOKUP("Crop Land",iyf,2,FALSE),0)</f>
        <v>0</v>
      </c>
      <c r="L49" s="1011"/>
      <c r="M49" s="1011"/>
      <c r="N49" s="1011"/>
      <c r="O49" s="1114"/>
    </row>
    <row r="50" spans="1:15">
      <c r="A50" s="1115" t="s">
        <v>7751</v>
      </c>
      <c r="B50" s="829">
        <v>2591</v>
      </c>
      <c r="C50" s="1037">
        <v>245</v>
      </c>
      <c r="D50" s="1149">
        <v>115000</v>
      </c>
      <c r="E50" s="1149">
        <v>911</v>
      </c>
      <c r="F50" s="1149">
        <v>13511</v>
      </c>
      <c r="G50" s="1149">
        <v>102400</v>
      </c>
      <c r="H50" s="903">
        <f t="shared" si="1"/>
        <v>92160</v>
      </c>
      <c r="I50" s="1012">
        <f>IFERROR(IF(D50+E50-F50&lt;=G50,G50,D50*G50/(D50+E50-F50))/VLOOKUP(C50,crop_efi_efe!$B$7:$F$426,5,FALSE)*eqf!$B$7*VLOOKUP("Crop Land",iyf,2,FALSE),0)</f>
        <v>87717.796555162582</v>
      </c>
      <c r="J50" s="1012">
        <f>IFERROR(IF(D50+E50-F50&lt;=G50,0,E50*G50/(D50+E50-F50))/VLOOKUP(C50,crop_efi_efe!$B$7:$F$426,5,FALSE)*eqf!$B$7*VLOOKUP("Crop Land",iyf,2,FALSE),0)</f>
        <v>0</v>
      </c>
      <c r="K50" s="1012">
        <f>IFERROR(IF(D50+E50-F50&lt;=G50,0,F50*G50/(D50+E50-F50))/VLOOKUP(C50,crop_efi_efe!$B$7:$F$426,5,FALSE)*eqf!$B$7*VLOOKUP("Crop Land",iyf,2,FALSE),0)</f>
        <v>0</v>
      </c>
      <c r="L50" s="1011"/>
      <c r="M50" s="1011"/>
      <c r="N50" s="1011"/>
      <c r="O50" s="1114"/>
    </row>
    <row r="51" spans="1:15">
      <c r="A51" s="1115" t="s">
        <v>7752</v>
      </c>
      <c r="B51" s="829">
        <v>2592</v>
      </c>
      <c r="C51" s="1037">
        <v>269</v>
      </c>
      <c r="D51" s="1149">
        <v>219800</v>
      </c>
      <c r="E51" s="1149">
        <v>0</v>
      </c>
      <c r="F51" s="1149">
        <v>2962</v>
      </c>
      <c r="G51" s="1149">
        <v>216838</v>
      </c>
      <c r="H51" s="903">
        <f t="shared" si="1"/>
        <v>195154.2</v>
      </c>
      <c r="I51" s="1012">
        <f>IFERROR(IF(D51+E51-F51&lt;=G51,G51,D51*G51/(D51+E51-F51))/VLOOKUP(C51,crop_efi_efe!$B$7:$F$426,5,FALSE)*eqf!$B$7*VLOOKUP("Crop Land",iyf,2,FALSE),0)</f>
        <v>112154.26339557019</v>
      </c>
      <c r="J51" s="1012">
        <f>IFERROR(IF(D51+E51-F51&lt;=G51,0,E51*G51/(D51+E51-F51))/VLOOKUP(C51,crop_efi_efe!$B$7:$F$426,5,FALSE)*eqf!$B$7*VLOOKUP("Crop Land",iyf,2,FALSE),0)</f>
        <v>0</v>
      </c>
      <c r="K51" s="1012">
        <f>IFERROR(IF(D51+E51-F51&lt;=G51,0,F51*G51/(D51+E51-F51))/VLOOKUP(C51,crop_efi_efe!$B$7:$F$426,5,FALSE)*eqf!$B$7*VLOOKUP("Crop Land",iyf,2,FALSE),0)</f>
        <v>0</v>
      </c>
      <c r="L51" s="1011"/>
      <c r="M51" s="1011"/>
      <c r="N51" s="1011"/>
      <c r="O51" s="1114"/>
    </row>
    <row r="52" spans="1:15">
      <c r="A52" s="1115" t="s">
        <v>7753</v>
      </c>
      <c r="B52" s="829">
        <v>2593</v>
      </c>
      <c r="C52" s="1037">
        <v>272</v>
      </c>
      <c r="D52" s="1149">
        <v>664050</v>
      </c>
      <c r="E52" s="1149">
        <v>2337410</v>
      </c>
      <c r="F52" s="1149">
        <v>75743</v>
      </c>
      <c r="G52" s="1149">
        <v>2925720</v>
      </c>
      <c r="H52" s="903">
        <f t="shared" si="1"/>
        <v>2633148</v>
      </c>
      <c r="I52" s="1012">
        <f>IFERROR(IF(D52+E52-F52&lt;=G52,G52,D52*G52/(D52+E52-F52))/VLOOKUP(C52,crop_efi_efe!$B$7:$F$426,5,FALSE)*eqf!$B$7*VLOOKUP("Crop Land",iyf,2,FALSE),0)</f>
        <v>1505429.7449355812</v>
      </c>
      <c r="J52" s="1012">
        <f>IFERROR(IF(D52+E52-F52&lt;=G52,0,E52*G52/(D52+E52-F52))/VLOOKUP(C52,crop_efi_efe!$B$7:$F$426,5,FALSE)*eqf!$B$7*VLOOKUP("Crop Land",iyf,2,FALSE),0)</f>
        <v>0</v>
      </c>
      <c r="K52" s="1012">
        <f>IFERROR(IF(D52+E52-F52&lt;=G52,0,F52*G52/(D52+E52-F52))/VLOOKUP(C52,crop_efi_efe!$B$7:$F$426,5,FALSE)*eqf!$B$7*VLOOKUP("Crop Land",iyf,2,FALSE),0)</f>
        <v>0</v>
      </c>
      <c r="L52" s="1011"/>
      <c r="M52" s="1011"/>
      <c r="N52" s="1011"/>
      <c r="O52" s="1114"/>
    </row>
    <row r="53" spans="1:15">
      <c r="A53" s="1115" t="s">
        <v>7754</v>
      </c>
      <c r="B53" s="829">
        <v>2594</v>
      </c>
      <c r="C53" s="1037">
        <v>332</v>
      </c>
      <c r="D53" s="1149">
        <v>1065500</v>
      </c>
      <c r="E53" s="1149">
        <v>0</v>
      </c>
      <c r="F53" s="1149">
        <v>84361</v>
      </c>
      <c r="G53" s="1149">
        <v>981139</v>
      </c>
      <c r="H53" s="903">
        <f t="shared" si="1"/>
        <v>883025.1</v>
      </c>
      <c r="I53" s="1012">
        <f>IFERROR(IF(D53+E53-F53&lt;=G53,G53,D53*G53/(D53+E53-F53))/VLOOKUP(C53,crop_efi_efe!$B$7:$F$426,5,FALSE)*eqf!$B$7*VLOOKUP("Crop Land",iyf,2,FALSE),0)</f>
        <v>186892.08122302519</v>
      </c>
      <c r="J53" s="1012">
        <f>IFERROR(IF(D53+E53-F53&lt;=G53,0,E53*G53/(D53+E53-F53))/VLOOKUP(C53,crop_efi_efe!$B$7:$F$426,5,FALSE)*eqf!$B$7*VLOOKUP("Crop Land",iyf,2,FALSE),0)</f>
        <v>0</v>
      </c>
      <c r="K53" s="1012">
        <f>IFERROR(IF(D53+E53-F53&lt;=G53,0,F53*G53/(D53+E53-F53))/VLOOKUP(C53,crop_efi_efe!$B$7:$F$426,5,FALSE)*eqf!$B$7*VLOOKUP("Crop Land",iyf,2,FALSE),0)</f>
        <v>0</v>
      </c>
      <c r="L53" s="1011"/>
      <c r="M53" s="1011"/>
      <c r="N53" s="1011"/>
      <c r="O53" s="1114"/>
    </row>
    <row r="54" spans="1:15">
      <c r="A54" s="1115" t="s">
        <v>7755</v>
      </c>
      <c r="B54" s="829">
        <v>2595</v>
      </c>
      <c r="C54" s="1037">
        <v>259</v>
      </c>
      <c r="D54" s="1149"/>
      <c r="E54" s="1149">
        <v>100</v>
      </c>
      <c r="F54" s="1149">
        <v>65</v>
      </c>
      <c r="G54" s="1149">
        <v>35</v>
      </c>
      <c r="H54" s="903">
        <f t="shared" si="1"/>
        <v>31.5</v>
      </c>
      <c r="I54" s="1012">
        <f>IFERROR(IF(D54+E54-F54&lt;=G54,G54,D54*G54/(D54+E54-F54))/VLOOKUP(C54,crop_efi_efe!$B$7:$F$426,5,FALSE)*eqf!$B$7*VLOOKUP("Crop Land",iyf,2,FALSE),0)</f>
        <v>2.2278646366321242</v>
      </c>
      <c r="J54" s="1012">
        <f>IFERROR(IF(D54+E54-F54&lt;=G54,0,E54*G54/(D54+E54-F54))/VLOOKUP(C54,crop_efi_efe!$B$7:$F$426,5,FALSE)*eqf!$B$7*VLOOKUP("Crop Land",iyf,2,FALSE),0)</f>
        <v>0</v>
      </c>
      <c r="K54" s="1012">
        <f>IFERROR(IF(D54+E54-F54&lt;=G54,0,F54*G54/(D54+E54-F54))/VLOOKUP(C54,crop_efi_efe!$B$7:$F$426,5,FALSE)*eqf!$B$7*VLOOKUP("Crop Land",iyf,2,FALSE),0)</f>
        <v>0</v>
      </c>
      <c r="L54" s="1011"/>
      <c r="M54" s="1011"/>
      <c r="N54" s="1011"/>
      <c r="O54" s="1114"/>
    </row>
    <row r="55" spans="1:15">
      <c r="A55" s="1115" t="s">
        <v>7756</v>
      </c>
      <c r="B55" s="829">
        <v>2596</v>
      </c>
      <c r="C55" s="1037">
        <v>253</v>
      </c>
      <c r="D55" s="1149">
        <v>0</v>
      </c>
      <c r="E55" s="1149">
        <v>555</v>
      </c>
      <c r="F55" s="1149">
        <v>231</v>
      </c>
      <c r="G55" s="1149">
        <v>324</v>
      </c>
      <c r="H55" s="903">
        <f t="shared" si="1"/>
        <v>291.60000000000002</v>
      </c>
      <c r="I55" s="1012">
        <f>IFERROR(IF(D55+E55-F55&lt;=G55,G55,D55*G55/(D55+E55-F55))/VLOOKUP(C55,crop_efi_efe!$B$7:$F$426,5,FALSE)*eqf!$B$7*VLOOKUP("Crop Land",iyf,2,FALSE),0)</f>
        <v>144.97627403217024</v>
      </c>
      <c r="J55" s="1012">
        <f>IFERROR(IF(D55+E55-F55&lt;=G55,0,E55*G55/(D55+E55-F55))/VLOOKUP(C55,crop_efi_efe!$B$7:$F$426,5,FALSE)*eqf!$B$7*VLOOKUP("Crop Land",iyf,2,FALSE),0)</f>
        <v>0</v>
      </c>
      <c r="K55" s="1012">
        <f>IFERROR(IF(D55+E55-F55&lt;=G55,0,F55*G55/(D55+E55-F55))/VLOOKUP(C55,crop_efi_efe!$B$7:$F$426,5,FALSE)*eqf!$B$7*VLOOKUP("Crop Land",iyf,2,FALSE),0)</f>
        <v>0</v>
      </c>
      <c r="L55" s="1011"/>
      <c r="M55" s="1011"/>
      <c r="N55" s="1011"/>
      <c r="O55" s="1114"/>
    </row>
    <row r="56" spans="1:15">
      <c r="A56" s="1115" t="s">
        <v>7757</v>
      </c>
      <c r="B56" s="829">
        <v>2597</v>
      </c>
      <c r="C56" s="1037">
        <v>291</v>
      </c>
      <c r="D56" s="1149"/>
      <c r="E56" s="1149"/>
      <c r="F56" s="1149"/>
      <c r="G56" s="1149"/>
      <c r="H56" s="903">
        <f t="shared" si="1"/>
        <v>0</v>
      </c>
      <c r="I56" s="1012">
        <f>IFERROR(IF(D56+E56-F56&lt;=G56,G56,D56*G56/(D56+E56-F56))/VLOOKUP(C56,crop_efi_efe!$B$7:$F$426,5,FALSE)*eqf!$B$7*VLOOKUP("Crop Land",iyf,2,FALSE),0)</f>
        <v>0</v>
      </c>
      <c r="J56" s="1012">
        <f>IFERROR(IF(D56+E56-F56&lt;=G56,0,E56*G56/(D56+E56-F56))/VLOOKUP(C56,crop_efi_efe!$B$7:$F$426,5,FALSE)*eqf!$B$7*VLOOKUP("Crop Land",iyf,2,FALSE),0)</f>
        <v>0</v>
      </c>
      <c r="K56" s="1012">
        <f>IFERROR(IF(D56+E56-F56&lt;=G56,0,F56*G56/(D56+E56-F56))/VLOOKUP(C56,crop_efi_efe!$B$7:$F$426,5,FALSE)*eqf!$B$7*VLOOKUP("Crop Land",iyf,2,FALSE),0)</f>
        <v>0</v>
      </c>
      <c r="L56" s="1011"/>
      <c r="M56" s="1011"/>
      <c r="N56" s="1011"/>
      <c r="O56" s="1114"/>
    </row>
    <row r="57" spans="1:15">
      <c r="A57" s="1115" t="s">
        <v>7758</v>
      </c>
      <c r="B57" s="829">
        <v>2598</v>
      </c>
      <c r="C57" s="1037">
        <v>282</v>
      </c>
      <c r="D57" s="1149">
        <v>1354420</v>
      </c>
      <c r="E57" s="1149">
        <v>9145</v>
      </c>
      <c r="F57" s="1149">
        <v>87044</v>
      </c>
      <c r="G57" s="1149">
        <v>1358880</v>
      </c>
      <c r="H57" s="903">
        <f t="shared" si="1"/>
        <v>1222992</v>
      </c>
      <c r="I57" s="1012">
        <f>IFERROR(IF(D57+E57-F57&lt;=G57,G57,D57*G57/(D57+E57-F57))/VLOOKUP(C57,crop_efi_efe!$B$7:$F$426,5,FALSE)*eqf!$B$7*VLOOKUP("Crop Land",iyf,2,FALSE),0)</f>
        <v>5916982.1079277461</v>
      </c>
      <c r="J57" s="1012">
        <f>IFERROR(IF(D57+E57-F57&lt;=G57,0,E57*G57/(D57+E57-F57))/VLOOKUP(C57,crop_efi_efe!$B$7:$F$426,5,FALSE)*eqf!$B$7*VLOOKUP("Crop Land",iyf,2,FALSE),0)</f>
        <v>0</v>
      </c>
      <c r="K57" s="1012">
        <f>IFERROR(IF(D57+E57-F57&lt;=G57,0,F57*G57/(D57+E57-F57))/VLOOKUP(C57,crop_efi_efe!$B$7:$F$426,5,FALSE)*eqf!$B$7*VLOOKUP("Crop Land",iyf,2,FALSE),0)</f>
        <v>0</v>
      </c>
      <c r="L57" s="1011"/>
      <c r="M57" s="1011"/>
      <c r="N57" s="1011"/>
      <c r="O57" s="1114"/>
    </row>
    <row r="58" spans="1:15">
      <c r="A58" s="1115" t="s">
        <v>7759</v>
      </c>
      <c r="B58" s="829">
        <v>2600</v>
      </c>
      <c r="C58" s="1037">
        <v>59</v>
      </c>
      <c r="D58" s="1149">
        <v>10690700</v>
      </c>
      <c r="E58" s="1149">
        <v>277630</v>
      </c>
      <c r="F58" s="1149">
        <v>2552030</v>
      </c>
      <c r="G58" s="1149">
        <v>8688750</v>
      </c>
      <c r="H58" s="903">
        <f t="shared" si="1"/>
        <v>7819875</v>
      </c>
      <c r="I58" s="1012">
        <f>IFERROR(IF(D58+E58-F58&lt;=G58,G58,D58*G58/(D58+E58-F58))/VLOOKUP(C58,crop_efi_efe!$B$7:$F$426,5,FALSE)*eqf!$B$7*VLOOKUP("Crop Land",iyf,2,FALSE),0)</f>
        <v>2491488.246739673</v>
      </c>
      <c r="J58" s="1012">
        <f>IFERROR(IF(D58+E58-F58&lt;=G58,0,E58*G58/(D58+E58-F58))/VLOOKUP(C58,crop_efi_efe!$B$7:$F$426,5,FALSE)*eqf!$B$7*VLOOKUP("Crop Land",iyf,2,FALSE),0)</f>
        <v>0</v>
      </c>
      <c r="K58" s="1012">
        <f>IFERROR(IF(D58+E58-F58&lt;=G58,0,F58*G58/(D58+E58-F58))/VLOOKUP(C58,crop_efi_efe!$B$7:$F$426,5,FALSE)*eqf!$B$7*VLOOKUP("Crop Land",iyf,2,FALSE),0)</f>
        <v>0</v>
      </c>
      <c r="L58" s="1011"/>
      <c r="M58" s="1011"/>
      <c r="N58" s="1011"/>
      <c r="O58" s="1114"/>
    </row>
    <row r="59" spans="1:15">
      <c r="A59" s="1077" t="s">
        <v>7230</v>
      </c>
      <c r="B59" s="829">
        <v>2601</v>
      </c>
      <c r="C59" s="1037">
        <v>388</v>
      </c>
      <c r="D59" s="1149">
        <v>12526100</v>
      </c>
      <c r="E59" s="1149">
        <v>1539740</v>
      </c>
      <c r="F59" s="1149">
        <v>1501490</v>
      </c>
      <c r="G59" s="1149"/>
      <c r="H59" s="903">
        <f t="shared" si="1"/>
        <v>0</v>
      </c>
      <c r="I59" s="1012">
        <f>IFERROR(IF(D59+E59-F59&lt;=G59,G59,D59*G59/(D59+E59-F59))/VLOOKUP(C59,crop_efi_efe!$B$7:$F$426,5,FALSE)*eqf!$B$7*VLOOKUP("Crop Land",iyf,2,FALSE),0)</f>
        <v>0</v>
      </c>
      <c r="J59" s="1012">
        <f>IFERROR(IF(D59+E59-F59&lt;=G59,0,E59*G59/(D59+E59-F59))/VLOOKUP(C59,crop_efi_efe!$B$7:$F$426,5,FALSE)*eqf!$B$7*VLOOKUP("Crop Land",iyf,2,FALSE),0)</f>
        <v>0</v>
      </c>
      <c r="K59" s="1012">
        <f>IFERROR(IF(D59+E59-F59&lt;=G59,0,F59*G59/(D59+E59-F59))/VLOOKUP(C59,crop_efi_efe!$B$7:$F$426,5,FALSE)*eqf!$B$7*VLOOKUP("Crop Land",iyf,2,FALSE),0)</f>
        <v>0</v>
      </c>
      <c r="L59" s="1011"/>
      <c r="M59" s="1011"/>
      <c r="N59" s="1011"/>
      <c r="O59" s="1009"/>
    </row>
    <row r="60" spans="1:15">
      <c r="A60" s="1077" t="s">
        <v>4855</v>
      </c>
      <c r="B60" s="829">
        <v>2602</v>
      </c>
      <c r="C60" s="1037">
        <v>403</v>
      </c>
      <c r="D60" s="1149">
        <v>3360970</v>
      </c>
      <c r="E60" s="1149">
        <v>394053</v>
      </c>
      <c r="F60" s="1149">
        <v>356159</v>
      </c>
      <c r="G60" s="1149"/>
      <c r="H60" s="903">
        <f t="shared" si="1"/>
        <v>0</v>
      </c>
      <c r="I60" s="1012">
        <f>IFERROR(IF(D60+E60-F60&lt;=G60,G60,D60*G60/(D60+E60-F60))/VLOOKUP(C60,crop_efi_efe!$B$7:$F$426,5,FALSE)*eqf!$B$7*VLOOKUP("Crop Land",iyf,2,FALSE),0)</f>
        <v>0</v>
      </c>
      <c r="J60" s="1012">
        <f>IFERROR(IF(D60+E60-F60&lt;=G60,0,E60*G60/(D60+E60-F60))/VLOOKUP(C60,crop_efi_efe!$B$7:$F$426,5,FALSE)*eqf!$B$7*VLOOKUP("Crop Land",iyf,2,FALSE),0)</f>
        <v>0</v>
      </c>
      <c r="K60" s="1012">
        <f>IFERROR(IF(D60+E60-F60&lt;=G60,0,F60*G60/(D60+E60-F60))/VLOOKUP(C60,crop_efi_efe!$B$7:$F$426,5,FALSE)*eqf!$B$7*VLOOKUP("Crop Land",iyf,2,FALSE),0)</f>
        <v>0</v>
      </c>
      <c r="L60" s="1011"/>
      <c r="M60" s="1011"/>
      <c r="N60" s="1011"/>
      <c r="O60" s="1009"/>
    </row>
    <row r="61" spans="1:15">
      <c r="A61" s="1077" t="s">
        <v>4872</v>
      </c>
      <c r="B61" s="829">
        <v>2605</v>
      </c>
      <c r="C61" s="1037">
        <v>463</v>
      </c>
      <c r="D61" s="1149">
        <v>18783300</v>
      </c>
      <c r="E61" s="1149">
        <v>6437150</v>
      </c>
      <c r="F61" s="1149">
        <v>3199240</v>
      </c>
      <c r="G61" s="1149">
        <v>191804</v>
      </c>
      <c r="H61" s="903">
        <f t="shared" si="1"/>
        <v>9590.200000000008</v>
      </c>
      <c r="I61" s="1012">
        <f>IFERROR(IF(D61+E61-F61&lt;=G61,G61,D61*G61/(D61+E61-F61))/VLOOKUP(C61,crop_efi_efe!$B$7:$F$426,5,FALSE)*eqf!$B$7*VLOOKUP("Crop Land",iyf,2,FALSE),0)</f>
        <v>29523.626332486307</v>
      </c>
      <c r="J61" s="1012">
        <f>IFERROR(IF(D61+E61-F61&lt;=G61,0,E61*G61/(D61+E61-F61))/VLOOKUP(C61,crop_efi_efe!$B$7:$F$426,5,FALSE)*eqf!$B$7*VLOOKUP("Crop Land",iyf,2,FALSE),0)</f>
        <v>10117.924499218148</v>
      </c>
      <c r="K61" s="1012">
        <f>IFERROR(IF(D61+E61-F61&lt;=G61,0,F61*G61/(D61+E61-F61))/VLOOKUP(C61,crop_efi_efe!$B$7:$F$426,5,FALSE)*eqf!$B$7*VLOOKUP("Crop Land",iyf,2,FALSE),0)</f>
        <v>5028.5714601770451</v>
      </c>
      <c r="L61" s="1011"/>
      <c r="M61" s="1011"/>
      <c r="N61" s="1011"/>
      <c r="O61" s="1009"/>
    </row>
    <row r="62" spans="1:15">
      <c r="A62" s="1077" t="s">
        <v>4856</v>
      </c>
      <c r="B62" s="829">
        <v>2611</v>
      </c>
      <c r="C62" s="1037">
        <v>490</v>
      </c>
      <c r="D62" s="1149">
        <v>8674500</v>
      </c>
      <c r="E62" s="1149">
        <v>3557960</v>
      </c>
      <c r="F62" s="1149">
        <v>3123340</v>
      </c>
      <c r="G62" s="1149"/>
      <c r="H62" s="903">
        <f t="shared" si="1"/>
        <v>0</v>
      </c>
      <c r="I62" s="1012">
        <f>IFERROR(IF(D62+E62-F62&lt;=G62,G62,D62*G62/(D62+E62-F62))/VLOOKUP(C62,crop_efi_efe!$B$7:$F$426,5,FALSE)*eqf!$B$7*VLOOKUP("Crop Land",iyf,2,FALSE),0)</f>
        <v>0</v>
      </c>
      <c r="J62" s="1012">
        <f>IFERROR(IF(D62+E62-F62&lt;=G62,0,E62*G62/(D62+E62-F62))/VLOOKUP(C62,crop_efi_efe!$B$7:$F$426,5,FALSE)*eqf!$B$7*VLOOKUP("Crop Land",iyf,2,FALSE),0)</f>
        <v>0</v>
      </c>
      <c r="K62" s="1012">
        <f>IFERROR(IF(D62+E62-F62&lt;=G62,0,F62*G62/(D62+E62-F62))/VLOOKUP(C62,crop_efi_efe!$B$7:$F$426,5,FALSE)*eqf!$B$7*VLOOKUP("Crop Land",iyf,2,FALSE),0)</f>
        <v>0</v>
      </c>
      <c r="L62" s="1011"/>
      <c r="M62" s="1011"/>
      <c r="N62" s="1011"/>
      <c r="O62" s="1009"/>
    </row>
    <row r="63" spans="1:15">
      <c r="A63" s="1115" t="s">
        <v>7760</v>
      </c>
      <c r="B63" s="829">
        <v>2613</v>
      </c>
      <c r="C63" s="1037">
        <v>509</v>
      </c>
      <c r="D63" s="1149">
        <v>1146680</v>
      </c>
      <c r="E63" s="1149">
        <v>12271</v>
      </c>
      <c r="F63" s="1149">
        <v>541406</v>
      </c>
      <c r="G63" s="1149"/>
      <c r="H63" s="903">
        <f t="shared" si="1"/>
        <v>0</v>
      </c>
      <c r="I63" s="1012">
        <f>IFERROR(IF(D63+E63-F63&lt;=G63,G63,D63*G63/(D63+E63-F63))/VLOOKUP(C63,crop_efi_efe!$B$7:$F$426,5,FALSE)*eqf!$B$7*VLOOKUP("Crop Land",iyf,2,FALSE),0)</f>
        <v>0</v>
      </c>
      <c r="J63" s="1012">
        <f>IFERROR(IF(D63+E63-F63&lt;=G63,0,E63*G63/(D63+E63-F63))/VLOOKUP(C63,crop_efi_efe!$B$7:$F$426,5,FALSE)*eqf!$B$7*VLOOKUP("Crop Land",iyf,2,FALSE),0)</f>
        <v>0</v>
      </c>
      <c r="K63" s="1012">
        <f>IFERROR(IF(D63+E63-F63&lt;=G63,0,F63*G63/(D63+E63-F63))/VLOOKUP(C63,crop_efi_efe!$B$7:$F$426,5,FALSE)*eqf!$B$7*VLOOKUP("Crop Land",iyf,2,FALSE),0)</f>
        <v>0</v>
      </c>
      <c r="L63" s="1011"/>
      <c r="M63" s="1011"/>
      <c r="N63" s="1011"/>
      <c r="O63" s="1114"/>
    </row>
    <row r="64" spans="1:15">
      <c r="A64" s="1077" t="s">
        <v>626</v>
      </c>
      <c r="B64" s="829">
        <v>2615</v>
      </c>
      <c r="C64" s="1037">
        <v>486</v>
      </c>
      <c r="D64" s="1149">
        <v>7893</v>
      </c>
      <c r="E64" s="1149">
        <v>4131460</v>
      </c>
      <c r="F64" s="1149">
        <v>539039</v>
      </c>
      <c r="G64" s="1149"/>
      <c r="H64" s="903">
        <f t="shared" si="1"/>
        <v>0</v>
      </c>
      <c r="I64" s="1012">
        <f>IFERROR(IF(D64+E64-F64&lt;=G64,G64,D64*G64/(D64+E64-F64))/VLOOKUP(C64,crop_efi_efe!$B$7:$F$426,5,FALSE)*eqf!$B$7*VLOOKUP("Crop Land",iyf,2,FALSE),0)</f>
        <v>0</v>
      </c>
      <c r="J64" s="1012">
        <f>IFERROR(IF(D64+E64-F64&lt;=G64,0,E64*G64/(D64+E64-F64))/VLOOKUP(C64,crop_efi_efe!$B$7:$F$426,5,FALSE)*eqf!$B$7*VLOOKUP("Crop Land",iyf,2,FALSE),0)</f>
        <v>0</v>
      </c>
      <c r="K64" s="1012">
        <f>IFERROR(IF(D64+E64-F64&lt;=G64,0,F64*G64/(D64+E64-F64))/VLOOKUP(C64,crop_efi_efe!$B$7:$F$426,5,FALSE)*eqf!$B$7*VLOOKUP("Crop Land",iyf,2,FALSE),0)</f>
        <v>0</v>
      </c>
      <c r="L64" s="1011"/>
      <c r="M64" s="1011"/>
      <c r="N64" s="1011"/>
      <c r="O64" s="1009"/>
    </row>
    <row r="65" spans="1:15">
      <c r="A65" s="1077" t="s">
        <v>5277</v>
      </c>
      <c r="B65" s="829">
        <v>2616</v>
      </c>
      <c r="C65" s="1037">
        <v>489</v>
      </c>
      <c r="D65" s="1149"/>
      <c r="E65" s="1149">
        <v>269930</v>
      </c>
      <c r="F65" s="1149"/>
      <c r="G65" s="1149"/>
      <c r="H65" s="903">
        <f t="shared" si="1"/>
        <v>0</v>
      </c>
      <c r="I65" s="1012">
        <f>IFERROR(IF(D65+E65-F65&lt;=G65,G65,D65*G65/(D65+E65-F65))/VLOOKUP(C65,crop_efi_efe!$B$7:$F$426,5,FALSE)*eqf!$B$7*VLOOKUP("Crop Land",iyf,2,FALSE),0)</f>
        <v>0</v>
      </c>
      <c r="J65" s="1012">
        <f>IFERROR(IF(D65+E65-F65&lt;=G65,0,E65*G65/(D65+E65-F65))/VLOOKUP(C65,crop_efi_efe!$B$7:$F$426,5,FALSE)*eqf!$B$7*VLOOKUP("Crop Land",iyf,2,FALSE),0)</f>
        <v>0</v>
      </c>
      <c r="K65" s="1012">
        <f>IFERROR(IF(D65+E65-F65&lt;=G65,0,F65*G65/(D65+E65-F65))/VLOOKUP(C65,crop_efi_efe!$B$7:$F$426,5,FALSE)*eqf!$B$7*VLOOKUP("Crop Land",iyf,2,FALSE),0)</f>
        <v>0</v>
      </c>
      <c r="L65" s="1011"/>
      <c r="M65" s="1011"/>
      <c r="N65" s="1011"/>
      <c r="O65" s="1009"/>
    </row>
    <row r="66" spans="1:15">
      <c r="A66" s="1077" t="s">
        <v>7231</v>
      </c>
      <c r="B66" s="829">
        <v>2617</v>
      </c>
      <c r="C66" s="1037">
        <v>515</v>
      </c>
      <c r="D66" s="1149">
        <v>4275110</v>
      </c>
      <c r="E66" s="1149">
        <v>1968670</v>
      </c>
      <c r="F66" s="1149">
        <v>1005110</v>
      </c>
      <c r="G66" s="1149"/>
      <c r="H66" s="903">
        <f t="shared" si="1"/>
        <v>0</v>
      </c>
      <c r="I66" s="1012">
        <f>IFERROR(IF(D66+E66-F66&lt;=G66,G66,D66*G66/(D66+E66-F66))/VLOOKUP(C66,crop_efi_efe!$B$7:$F$426,5,FALSE)*eqf!$B$7*VLOOKUP("Crop Land",iyf,2,FALSE),0)</f>
        <v>0</v>
      </c>
      <c r="J66" s="1012">
        <f>IFERROR(IF(D66+E66-F66&lt;=G66,0,E66*G66/(D66+E66-F66))/VLOOKUP(C66,crop_efi_efe!$B$7:$F$426,5,FALSE)*eqf!$B$7*VLOOKUP("Crop Land",iyf,2,FALSE),0)</f>
        <v>0</v>
      </c>
      <c r="K66" s="1012">
        <f>IFERROR(IF(D66+E66-F66&lt;=G66,0,F66*G66/(D66+E66-F66))/VLOOKUP(C66,crop_efi_efe!$B$7:$F$426,5,FALSE)*eqf!$B$7*VLOOKUP("Crop Land",iyf,2,FALSE),0)</f>
        <v>0</v>
      </c>
      <c r="L66" s="1011"/>
      <c r="M66" s="1011"/>
      <c r="N66" s="1011"/>
      <c r="O66" s="1009"/>
    </row>
    <row r="67" spans="1:15">
      <c r="A67" s="1077" t="s">
        <v>821</v>
      </c>
      <c r="B67" s="829">
        <v>2619</v>
      </c>
      <c r="C67" s="1037">
        <v>577</v>
      </c>
      <c r="D67" s="1149">
        <v>30209</v>
      </c>
      <c r="E67" s="1149">
        <v>21398</v>
      </c>
      <c r="F67" s="1149">
        <v>5628</v>
      </c>
      <c r="G67" s="1149"/>
      <c r="H67" s="903">
        <f t="shared" si="1"/>
        <v>0</v>
      </c>
      <c r="I67" s="1012">
        <f>IFERROR(IF(D67+E67-F67&lt;=G67,G67,D67*G67/(D67+E67-F67))/VLOOKUP(C67,crop_efi_efe!$B$7:$F$426,5,FALSE)*eqf!$B$7*VLOOKUP("Crop Land",iyf,2,FALSE),0)</f>
        <v>0</v>
      </c>
      <c r="J67" s="1012">
        <f>IFERROR(IF(D67+E67-F67&lt;=G67,0,E67*G67/(D67+E67-F67))/VLOOKUP(C67,crop_efi_efe!$B$7:$F$426,5,FALSE)*eqf!$B$7*VLOOKUP("Crop Land",iyf,2,FALSE),0)</f>
        <v>0</v>
      </c>
      <c r="K67" s="1012">
        <f>IFERROR(IF(D67+E67-F67&lt;=G67,0,F67*G67/(D67+E67-F67))/VLOOKUP(C67,crop_efi_efe!$B$7:$F$426,5,FALSE)*eqf!$B$7*VLOOKUP("Crop Land",iyf,2,FALSE),0)</f>
        <v>0</v>
      </c>
      <c r="L67" s="1011"/>
      <c r="M67" s="1011"/>
      <c r="N67" s="1011"/>
      <c r="O67" s="1009"/>
    </row>
    <row r="68" spans="1:15">
      <c r="A68" s="1115" t="s">
        <v>7761</v>
      </c>
      <c r="B68" s="829">
        <v>2620</v>
      </c>
      <c r="C68" s="1037">
        <v>560</v>
      </c>
      <c r="D68" s="1149">
        <v>6756450</v>
      </c>
      <c r="E68" s="1149">
        <v>925602</v>
      </c>
      <c r="F68" s="1149">
        <v>1100360</v>
      </c>
      <c r="G68" s="1149"/>
      <c r="H68" s="903">
        <f t="shared" si="1"/>
        <v>0</v>
      </c>
      <c r="I68" s="1012">
        <f>IFERROR(IF(D68+E68-F68&lt;=G68,G68,D68*G68/(D68+E68-F68))/VLOOKUP(C68,crop_efi_efe!$B$7:$F$426,5,FALSE)*eqf!$B$7*VLOOKUP("Crop Land",iyf,2,FALSE),0)</f>
        <v>0</v>
      </c>
      <c r="J68" s="1012">
        <f>IFERROR(IF(D68+E68-F68&lt;=G68,0,E68*G68/(D68+E68-F68))/VLOOKUP(C68,crop_efi_efe!$B$7:$F$426,5,FALSE)*eqf!$B$7*VLOOKUP("Crop Land",iyf,2,FALSE),0)</f>
        <v>0</v>
      </c>
      <c r="K68" s="1012">
        <f>IFERROR(IF(D68+E68-F68&lt;=G68,0,F68*G68/(D68+E68-F68))/VLOOKUP(C68,crop_efi_efe!$B$7:$F$426,5,FALSE)*eqf!$B$7*VLOOKUP("Crop Land",iyf,2,FALSE),0)</f>
        <v>0</v>
      </c>
      <c r="L68" s="1011"/>
      <c r="M68" s="1011"/>
      <c r="N68" s="1011"/>
      <c r="O68" s="1114"/>
    </row>
    <row r="69" spans="1:15">
      <c r="A69" s="1077" t="s">
        <v>4846</v>
      </c>
      <c r="B69" s="829">
        <v>2625</v>
      </c>
      <c r="C69" s="1037">
        <v>619</v>
      </c>
      <c r="D69" s="1149">
        <v>5124690</v>
      </c>
      <c r="E69" s="1149">
        <v>2761660</v>
      </c>
      <c r="F69" s="1149">
        <v>1799210</v>
      </c>
      <c r="G69" s="1149"/>
      <c r="H69" s="903">
        <f t="shared" si="1"/>
        <v>0</v>
      </c>
      <c r="I69" s="1012">
        <f>IFERROR(IF(D69+E69-F69&lt;=G69,G69,D69*G69/(D69+E69-F69))/VLOOKUP(C69,crop_efi_efe!$B$7:$F$426,5,FALSE)*eqf!$B$7*VLOOKUP("Crop Land",iyf,2,FALSE),0)</f>
        <v>0</v>
      </c>
      <c r="J69" s="1012">
        <f>IFERROR(IF(D69+E69-F69&lt;=G69,0,E69*G69/(D69+E69-F69))/VLOOKUP(C69,crop_efi_efe!$B$7:$F$426,5,FALSE)*eqf!$B$7*VLOOKUP("Crop Land",iyf,2,FALSE),0)</f>
        <v>0</v>
      </c>
      <c r="K69" s="1012">
        <f>IFERROR(IF(D69+E69-F69&lt;=G69,0,F69*G69/(D69+E69-F69))/VLOOKUP(C69,crop_efi_efe!$B$7:$F$426,5,FALSE)*eqf!$B$7*VLOOKUP("Crop Land",iyf,2,FALSE),0)</f>
        <v>0</v>
      </c>
      <c r="L69" s="1011"/>
      <c r="M69" s="1011"/>
      <c r="N69" s="1011"/>
      <c r="O69" s="1009"/>
    </row>
    <row r="70" spans="1:15">
      <c r="A70" s="1077" t="s">
        <v>7232</v>
      </c>
      <c r="B70" s="829">
        <v>2633</v>
      </c>
      <c r="C70" s="1037">
        <v>661</v>
      </c>
      <c r="D70" s="1149"/>
      <c r="E70" s="1149">
        <v>1163280</v>
      </c>
      <c r="F70" s="1149">
        <v>296555</v>
      </c>
      <c r="G70" s="1149"/>
      <c r="H70" s="903">
        <f t="shared" si="1"/>
        <v>0</v>
      </c>
      <c r="I70" s="1012">
        <f>IFERROR(IF(D70+E70-F70&lt;=G70,G70,D70*G70/(D70+E70-F70))/VLOOKUP(C70,crop_efi_efe!$B$7:$F$426,5,FALSE)*eqf!$B$7*VLOOKUP("Crop Land",iyf,2,FALSE),0)</f>
        <v>0</v>
      </c>
      <c r="J70" s="1012">
        <f>IFERROR(IF(D70+E70-F70&lt;=G70,0,E70*G70/(D70+E70-F70))/VLOOKUP(C70,crop_efi_efe!$B$7:$F$426,5,FALSE)*eqf!$B$7*VLOOKUP("Crop Land",iyf,2,FALSE),0)</f>
        <v>0</v>
      </c>
      <c r="K70" s="1012">
        <f>IFERROR(IF(D70+E70-F70&lt;=G70,0,F70*G70/(D70+E70-F70))/VLOOKUP(C70,crop_efi_efe!$B$7:$F$426,5,FALSE)*eqf!$B$7*VLOOKUP("Crop Land",iyf,2,FALSE),0)</f>
        <v>0</v>
      </c>
      <c r="L70" s="1011"/>
      <c r="M70" s="1011"/>
      <c r="N70" s="1011"/>
      <c r="O70" s="1009"/>
    </row>
    <row r="71" spans="1:15">
      <c r="A71" s="1115" t="s">
        <v>7762</v>
      </c>
      <c r="B71" s="829">
        <v>2635</v>
      </c>
      <c r="C71" s="1037">
        <v>661</v>
      </c>
      <c r="D71" s="1149"/>
      <c r="E71" s="1149">
        <v>202274</v>
      </c>
      <c r="F71" s="1149">
        <v>34877</v>
      </c>
      <c r="G71" s="1149"/>
      <c r="H71" s="903">
        <f t="shared" ref="H71:H102" si="2">G71*(1-VLOOKUP(B71,constant_crop_factor,2,FALSE))</f>
        <v>0</v>
      </c>
      <c r="I71" s="1012">
        <f>IFERROR(IF(D71+E71-F71&lt;=G71,G71,D71*G71/(D71+E71-F71))/VLOOKUP(C71,crop_efi_efe!$B$7:$F$426,5,FALSE)*eqf!$B$7*VLOOKUP("Crop Land",iyf,2,FALSE),0)</f>
        <v>0</v>
      </c>
      <c r="J71" s="1012">
        <f>IFERROR(IF(D71+E71-F71&lt;=G71,0,E71*G71/(D71+E71-F71))/VLOOKUP(C71,crop_efi_efe!$B$7:$F$426,5,FALSE)*eqf!$B$7*VLOOKUP("Crop Land",iyf,2,FALSE),0)</f>
        <v>0</v>
      </c>
      <c r="K71" s="1012">
        <f>IFERROR(IF(D71+E71-F71&lt;=G71,0,F71*G71/(D71+E71-F71))/VLOOKUP(C71,crop_efi_efe!$B$7:$F$426,5,FALSE)*eqf!$B$7*VLOOKUP("Crop Land",iyf,2,FALSE),0)</f>
        <v>0</v>
      </c>
      <c r="L71" s="1011"/>
      <c r="M71" s="1011"/>
      <c r="N71" s="1011"/>
      <c r="O71" s="1114"/>
    </row>
    <row r="72" spans="1:15">
      <c r="A72" s="1115" t="s">
        <v>2639</v>
      </c>
      <c r="B72" s="829">
        <v>2642</v>
      </c>
      <c r="C72" s="1037">
        <v>698</v>
      </c>
      <c r="D72" s="1149"/>
      <c r="E72" s="1149">
        <v>1259</v>
      </c>
      <c r="F72" s="1149">
        <v>246</v>
      </c>
      <c r="G72" s="1149"/>
      <c r="H72" s="903">
        <f t="shared" si="2"/>
        <v>0</v>
      </c>
      <c r="I72" s="1012">
        <f>IFERROR(IF(D72+E72-F72&lt;=G72,G72,D72*G72/(D72+E72-F72))/VLOOKUP(C72,crop_efi_efe!$B$7:$F$426,5,FALSE)*eqf!$B$7*VLOOKUP("Crop Land",iyf,2,FALSE),0)</f>
        <v>0</v>
      </c>
      <c r="J72" s="1012">
        <f>IFERROR(IF(D72+E72-F72&lt;=G72,0,E72*G72/(D72+E72-F72))/VLOOKUP(C72,crop_efi_efe!$B$7:$F$426,5,FALSE)*eqf!$B$7*VLOOKUP("Crop Land",iyf,2,FALSE),0)</f>
        <v>0</v>
      </c>
      <c r="K72" s="1012">
        <f>IFERROR(IF(D72+E72-F72&lt;=G72,0,F72*G72/(D72+E72-F72))/VLOOKUP(C72,crop_efi_efe!$B$7:$F$426,5,FALSE)*eqf!$B$7*VLOOKUP("Crop Land",iyf,2,FALSE),0)</f>
        <v>0</v>
      </c>
      <c r="L72" s="1011"/>
      <c r="M72" s="1011"/>
      <c r="N72" s="1011"/>
      <c r="O72" s="1114"/>
    </row>
    <row r="73" spans="1:15">
      <c r="A73" s="1115" t="s">
        <v>906</v>
      </c>
      <c r="B73" s="829">
        <v>2661</v>
      </c>
      <c r="C73" s="1038">
        <v>767</v>
      </c>
      <c r="D73" s="1149">
        <v>3412550</v>
      </c>
      <c r="E73" s="1149">
        <v>3624</v>
      </c>
      <c r="F73" s="1149">
        <v>2774190</v>
      </c>
      <c r="G73" s="1149"/>
      <c r="H73" s="903">
        <f t="shared" si="2"/>
        <v>0</v>
      </c>
      <c r="I73" s="1012">
        <f>IFERROR(IF(D73+E73-F73&lt;=G73,G73,D73*G73/(D73+E73-F73))/VLOOKUP(C73,crop_efi_efe!$B$7:$F$426,5,FALSE)*eqf!$B$7*VLOOKUP("Crop Land",iyf,2,FALSE),0)</f>
        <v>0</v>
      </c>
      <c r="J73" s="1012">
        <f>IFERROR(IF(D73+E73-F73&lt;=G73,0,E73*G73/(D73+E73-F73))/VLOOKUP(C73,crop_efi_efe!$B$7:$F$426,5,FALSE)*eqf!$B$7*VLOOKUP("Crop Land",iyf,2,FALSE),0)</f>
        <v>0</v>
      </c>
      <c r="K73" s="1012">
        <f>IFERROR(IF(D73+E73-F73&lt;=G73,0,F73*G73/(D73+E73-F73))/VLOOKUP(C73,crop_efi_efe!$B$7:$F$426,5,FALSE)*eqf!$B$7*VLOOKUP("Crop Land",iyf,2,FALSE),0)</f>
        <v>0</v>
      </c>
      <c r="L73" s="1011"/>
      <c r="M73" s="1011"/>
      <c r="N73" s="1011"/>
      <c r="O73" s="1114"/>
    </row>
    <row r="74" spans="1:15">
      <c r="A74" s="1115" t="s">
        <v>7763</v>
      </c>
      <c r="B74" s="829">
        <v>2664</v>
      </c>
      <c r="C74" s="1038">
        <v>771</v>
      </c>
      <c r="D74" s="1149"/>
      <c r="E74" s="1149">
        <v>18230</v>
      </c>
      <c r="F74" s="1149">
        <v>697</v>
      </c>
      <c r="G74" s="1149"/>
      <c r="H74" s="903">
        <f t="shared" si="2"/>
        <v>0</v>
      </c>
      <c r="I74" s="1012">
        <f>IFERROR(IF(D74+E74-F74&lt;=G74,G74,D74*G74/(D74+E74-F74))/VLOOKUP(C74,crop_efi_efe!$B$7:$F$426,5,FALSE)*eqf!$B$7*VLOOKUP("Crop Land",iyf,2,FALSE),0)</f>
        <v>0</v>
      </c>
      <c r="J74" s="1012">
        <f>IFERROR(IF(D74+E74-F74&lt;=G74,0,E74*G74/(D74+E74-F74))/VLOOKUP(C74,crop_efi_efe!$B$7:$F$426,5,FALSE)*eqf!$B$7*VLOOKUP("Crop Land",iyf,2,FALSE),0)</f>
        <v>0</v>
      </c>
      <c r="K74" s="1012">
        <f>IFERROR(IF(D74+E74-F74&lt;=G74,0,F74*G74/(D74+E74-F74))/VLOOKUP(C74,crop_efi_efe!$B$7:$F$426,5,FALSE)*eqf!$B$7*VLOOKUP("Crop Land",iyf,2,FALSE),0)</f>
        <v>0</v>
      </c>
      <c r="L74" s="1011"/>
      <c r="M74" s="1011"/>
      <c r="N74" s="1011"/>
      <c r="O74" s="1114"/>
    </row>
    <row r="75" spans="1:15">
      <c r="A75" s="1077" t="s">
        <v>4863</v>
      </c>
      <c r="B75" s="829">
        <v>2805</v>
      </c>
      <c r="C75" s="1037">
        <v>31</v>
      </c>
      <c r="D75" s="1149">
        <v>5595320</v>
      </c>
      <c r="E75" s="1149">
        <v>879370</v>
      </c>
      <c r="F75" s="1149">
        <v>3481940</v>
      </c>
      <c r="G75" s="1149"/>
      <c r="H75" s="903">
        <f t="shared" si="2"/>
        <v>0</v>
      </c>
      <c r="I75" s="1012">
        <f>IFERROR(IF(D75+E75-F75&lt;=G75,G75,D75*G75/(D75+E75-F75))/VLOOKUP(C75,crop_efi_efe!$B$7:$F$426,5,FALSE)*eqf!$B$7*VLOOKUP("Crop Land",iyf,2,FALSE),0)</f>
        <v>0</v>
      </c>
      <c r="J75" s="1012">
        <f>IFERROR(IF(D75+E75-F75&lt;=G75,0,E75*G75/(D75+E75-F75))/VLOOKUP(C75,crop_efi_efe!$B$7:$F$426,5,FALSE)*eqf!$B$7*VLOOKUP("Crop Land",iyf,2,FALSE),0)</f>
        <v>0</v>
      </c>
      <c r="K75" s="1012">
        <f>IFERROR(IF(D75+E75-F75&lt;=G75,0,F75*G75/(D75+E75-F75))/VLOOKUP(C75,crop_efi_efe!$B$7:$F$426,5,FALSE)*eqf!$B$7*VLOOKUP("Crop Land",iyf,2,FALSE),0)</f>
        <v>0</v>
      </c>
      <c r="L75" s="1011"/>
      <c r="M75" s="1011"/>
      <c r="N75" s="1011"/>
      <c r="O75" s="1009"/>
    </row>
    <row r="76" spans="1:15">
      <c r="A76" s="1115" t="s">
        <v>7764</v>
      </c>
      <c r="B76" s="829">
        <v>2815</v>
      </c>
      <c r="C76" s="1037">
        <v>149</v>
      </c>
      <c r="D76" s="1149">
        <v>4216120</v>
      </c>
      <c r="E76" s="1149">
        <v>803726</v>
      </c>
      <c r="F76" s="1149">
        <v>639490</v>
      </c>
      <c r="G76" s="1149">
        <v>92208</v>
      </c>
      <c r="H76" s="903">
        <f t="shared" si="2"/>
        <v>92208</v>
      </c>
      <c r="I76" s="1012">
        <f>IFERROR(IF(D76+E76-F76&lt;=G76,G76,D76*G76/(D76+E76-F76))/VLOOKUP(C76,crop_efi_efe!$B$7:$F$426,5,FALSE)*eqf!$B$7*VLOOKUP("Crop Land",iyf,2,FALSE),0)</f>
        <v>29598.656044657509</v>
      </c>
      <c r="J76" s="1012">
        <f>IFERROR(IF(D76+E76-F76&lt;=G76,0,E76*G76/(D76+E76-F76))/VLOOKUP(C76,crop_efi_efe!$B$7:$F$426,5,FALSE)*eqf!$B$7*VLOOKUP("Crop Land",iyf,2,FALSE),0)</f>
        <v>5642.4412559766806</v>
      </c>
      <c r="K76" s="1012">
        <f>IFERROR(IF(D76+E76-F76&lt;=G76,0,F76*G76/(D76+E76-F76))/VLOOKUP(C76,crop_efi_efe!$B$7:$F$426,5,FALSE)*eqf!$B$7*VLOOKUP("Crop Land",iyf,2,FALSE),0)</f>
        <v>4489.4463520957725</v>
      </c>
      <c r="L76" s="1011"/>
      <c r="M76" s="1011"/>
      <c r="N76" s="1011"/>
      <c r="O76" s="1114"/>
    </row>
    <row r="77" spans="1:15">
      <c r="A77" s="1115" t="s">
        <v>7765</v>
      </c>
      <c r="B77" s="829">
        <v>2820</v>
      </c>
      <c r="C77" s="1038">
        <v>243</v>
      </c>
      <c r="D77" s="1149">
        <v>1659510</v>
      </c>
      <c r="E77" s="1149">
        <v>66547</v>
      </c>
      <c r="F77" s="1149">
        <v>307238</v>
      </c>
      <c r="G77" s="1149"/>
      <c r="H77" s="903">
        <f t="shared" si="2"/>
        <v>0</v>
      </c>
      <c r="I77" s="1012">
        <f>IFERROR(IF(D77+E77-F77&lt;=G77,G77,D77*G77/(D77+E77-F77))/VLOOKUP(C77,crop_efi_efe!$B$7:$F$426,5,FALSE)*eqf!$B$7*VLOOKUP("Crop Land",iyf,2,FALSE),0)</f>
        <v>0</v>
      </c>
      <c r="J77" s="1012">
        <f>IFERROR(IF(D77+E77-F77&lt;=G77,0,E77*G77/(D77+E77-F77))/VLOOKUP(C77,crop_efi_efe!$B$7:$F$426,5,FALSE)*eqf!$B$7*VLOOKUP("Crop Land",iyf,2,FALSE),0)</f>
        <v>0</v>
      </c>
      <c r="K77" s="1012">
        <f>IFERROR(IF(D77+E77-F77&lt;=G77,0,F77*G77/(D77+E77-F77))/VLOOKUP(C77,crop_efi_efe!$B$7:$F$426,5,FALSE)*eqf!$B$7*VLOOKUP("Crop Land",iyf,2,FALSE),0)</f>
        <v>0</v>
      </c>
      <c r="L77" s="1011"/>
      <c r="M77" s="1011"/>
      <c r="N77" s="1011"/>
      <c r="O77" s="1114"/>
    </row>
    <row r="78" spans="1:15">
      <c r="A78" s="1077" t="s">
        <v>4833</v>
      </c>
      <c r="B78" s="829">
        <v>2731</v>
      </c>
      <c r="C78" s="829"/>
      <c r="D78" s="1149">
        <v>11983300</v>
      </c>
      <c r="E78" s="1149">
        <v>1016720</v>
      </c>
      <c r="F78" s="1149">
        <v>1341200</v>
      </c>
      <c r="G78" s="1149"/>
      <c r="H78" s="903">
        <f t="shared" si="2"/>
        <v>0</v>
      </c>
      <c r="I78" s="927"/>
      <c r="J78" s="927"/>
      <c r="K78" s="927"/>
      <c r="L78" s="1012">
        <f>IFERROR(IF(D78+E78-F78&lt;G78,G78,G78*D78/(D78+E78-F78))*AVERAGEIF(livestock_efi_efe!$T$7:$T$172,market_feed_supply_n!B78,livestock_efi_efe!$N$7:$N$172)*(grazing_efp!$D$12/feed_demand_n!$P$22),0)</f>
        <v>0</v>
      </c>
      <c r="M78" s="1012">
        <f>IFERROR(IF(D78+E78-F78&lt;G78,0,G78*E78/(D78+E78-F78))*AVERAGEIF(livestock_efi_efe!$T$7:$T$172,market_feed_supply_n!B78,livestock_efi_efe!$N$7:$N$172),0)</f>
        <v>0</v>
      </c>
      <c r="N78" s="1012">
        <f>IFERROR(IF(D78+E78-F78&lt;G78,0,G78*(F78/(D78+E78-F78)))*(L78+M78)/(G78*(D78+E78)/(D78+E78-F78)),0)</f>
        <v>0</v>
      </c>
      <c r="O78" s="1009"/>
    </row>
    <row r="79" spans="1:15">
      <c r="A79" s="1077" t="s">
        <v>4852</v>
      </c>
      <c r="B79" s="829">
        <v>2732</v>
      </c>
      <c r="C79" s="829"/>
      <c r="D79" s="1149">
        <v>69536</v>
      </c>
      <c r="E79" s="1149">
        <v>81677</v>
      </c>
      <c r="F79" s="1149">
        <v>9512</v>
      </c>
      <c r="G79" s="1149">
        <v>15451</v>
      </c>
      <c r="H79" s="903">
        <f t="shared" si="2"/>
        <v>7725.5</v>
      </c>
      <c r="I79" s="927"/>
      <c r="J79" s="927"/>
      <c r="K79" s="927"/>
      <c r="L79" s="1311">
        <f>IFERROR(IF(D79+E79-F79&lt;G79,G79,G79*D79/(D79+E79-F79))*AVERAGEIF(livestock_efi_efe!$T$7:$T$172,market_feed_supply_n!B79,livestock_efi_efe!$N$7:$N$172)*(grazing_efp!$D$12/feed_demand_n!$P$22),0)</f>
        <v>83740.572576573191</v>
      </c>
      <c r="M79" s="1311">
        <f>IFERROR(IF(D79+E79-F79&lt;G79,0,G79*E79/(D79+E79-F79))*AVERAGEIF(livestock_efi_efe!$T$7:$T$172,market_feed_supply_n!B79,livestock_efi_efe!$N$7:$N$172),0)</f>
        <v>138041.95714952092</v>
      </c>
      <c r="N79" s="1012">
        <f t="shared" ref="N79:N91" si="3">IFERROR(IF(D79+E79-F79&lt;G79,0,G79*(F79/(D79+E79-F79)))*(L79+M79)/(G79*(D79+E79)/(D79+E79-F79)),0)</f>
        <v>13951.151175855297</v>
      </c>
      <c r="O79" s="1009"/>
    </row>
    <row r="80" spans="1:15">
      <c r="A80" s="1077" t="s">
        <v>4860</v>
      </c>
      <c r="B80" s="829">
        <v>2734</v>
      </c>
      <c r="C80" s="829"/>
      <c r="D80" s="1149">
        <v>19792200</v>
      </c>
      <c r="E80" s="1149">
        <v>84711</v>
      </c>
      <c r="F80" s="1149">
        <v>3888260</v>
      </c>
      <c r="G80" s="1149"/>
      <c r="H80" s="903">
        <f t="shared" si="2"/>
        <v>0</v>
      </c>
      <c r="I80" s="927"/>
      <c r="J80" s="927"/>
      <c r="K80" s="927"/>
      <c r="L80" s="1311">
        <f>IFERROR(IF(D80+E80-F80&lt;G80,G80,G80*D80/(D80+E80-F80))*AVERAGEIF(livestock_efi_efe!$T$7:$T$172,market_feed_supply_n!B80,livestock_efi_efe!$N$7:$N$172)*(grazing_efp!$D$12/feed_demand_n!$P$22),0)</f>
        <v>0</v>
      </c>
      <c r="M80" s="1311">
        <f>IFERROR(IF(D80+E80-F80&lt;G80,0,G80*E80/(D80+E80-F80))*AVERAGEIF(livestock_efi_efe!$T$7:$T$172,market_feed_supply_n!B80,livestock_efi_efe!$N$7:$N$172),0)</f>
        <v>0</v>
      </c>
      <c r="N80" s="1012">
        <f t="shared" si="3"/>
        <v>0</v>
      </c>
      <c r="O80" s="1009"/>
    </row>
    <row r="81" spans="1:16">
      <c r="A81" s="1077" t="s">
        <v>4850</v>
      </c>
      <c r="B81" s="830">
        <v>2735</v>
      </c>
      <c r="C81" s="829"/>
      <c r="D81" s="1149">
        <v>276900</v>
      </c>
      <c r="E81" s="1149">
        <v>8763</v>
      </c>
      <c r="F81" s="1149">
        <v>6197</v>
      </c>
      <c r="G81" s="1149">
        <v>29122</v>
      </c>
      <c r="H81" s="903">
        <f t="shared" si="2"/>
        <v>14561</v>
      </c>
      <c r="I81" s="927"/>
      <c r="J81" s="927"/>
      <c r="K81" s="927"/>
      <c r="L81" s="1311">
        <f>IFERROR(IF(D81+E81-F81&lt;G81,G81,G81*D81/(D81+E81-F81))*AVERAGEIF(livestock_efi_efe!$T$7:$T$172,market_feed_supply_n!B81,livestock_efi_efe!$N$7:$N$172)*(grazing_efp!$D$12/feed_demand_n!$P$22),0)</f>
        <v>552614.38383656519</v>
      </c>
      <c r="M81" s="1311">
        <f>IFERROR(IF(D81+E81-F81&lt;G81,0,G81*E81/(D81+E81-F81))*AVERAGEIF(livestock_efi_efe!$T$7:$T$172,market_feed_supply_n!B81,livestock_efi_efe!$N$7:$N$172),0)</f>
        <v>24543.537005797927</v>
      </c>
      <c r="N81" s="1012">
        <f t="shared" si="3"/>
        <v>12520.51415640151</v>
      </c>
      <c r="O81" s="1009"/>
    </row>
    <row r="82" spans="1:16">
      <c r="A82" s="1077" t="s">
        <v>7233</v>
      </c>
      <c r="B82" s="829">
        <v>2736</v>
      </c>
      <c r="C82" s="829"/>
      <c r="D82" s="1149">
        <v>1625370</v>
      </c>
      <c r="E82" s="1149">
        <v>53324</v>
      </c>
      <c r="F82" s="1149">
        <v>744621</v>
      </c>
      <c r="G82" s="1149">
        <v>835966</v>
      </c>
      <c r="H82" s="903">
        <f t="shared" si="2"/>
        <v>417983</v>
      </c>
      <c r="I82" s="927"/>
      <c r="J82" s="927"/>
      <c r="K82" s="927"/>
      <c r="L82" s="1311">
        <f>IFERROR(IF(D82+E82-F82&lt;G82,G82,G82*D82/(D82+E82-F82))*AVERAGEIF(livestock_efi_efe!$T$7:$T$172,market_feed_supply_n!B82,livestock_efi_efe!$N$7:$N$172)*(grazing_efp!$D$12/feed_demand_n!$P$22),0)</f>
        <v>6801821.393734199</v>
      </c>
      <c r="M82" s="1311">
        <f>IFERROR(IF(D82+E82-F82&lt;G82,0,G82*E82/(D82+E82-F82))*AVERAGEIF(livestock_efi_efe!$T$7:$T$172,market_feed_supply_n!B82,livestock_efi_efe!$N$7:$N$172),0)</f>
        <v>313170.47635083378</v>
      </c>
      <c r="N82" s="1012">
        <f t="shared" si="3"/>
        <v>3156008.3977750484</v>
      </c>
      <c r="O82" s="1009"/>
    </row>
    <row r="83" spans="1:16">
      <c r="A83" s="1077" t="s">
        <v>4842</v>
      </c>
      <c r="B83" s="830">
        <v>2737</v>
      </c>
      <c r="C83" s="829"/>
      <c r="D83" s="1149">
        <v>6482950</v>
      </c>
      <c r="E83" s="1149">
        <v>93099</v>
      </c>
      <c r="F83" s="1149">
        <v>1451020</v>
      </c>
      <c r="G83" s="1149">
        <v>1250000</v>
      </c>
      <c r="H83" s="903">
        <f t="shared" si="2"/>
        <v>1250000</v>
      </c>
      <c r="I83" s="927"/>
      <c r="J83" s="927"/>
      <c r="K83" s="927"/>
      <c r="L83" s="1311">
        <f>IFERROR(IF(D83+E83-F83&lt;G83,G83,G83*D83/(D83+E83-F83))*AVERAGEIF(livestock_efi_efe!$T$7:$T$172,market_feed_supply_n!B83,livestock_efi_efe!$N$7:$N$172)*(grazing_efp!$D$12/feed_demand_n!$P$22),0)</f>
        <v>8934937.5027266331</v>
      </c>
      <c r="M83" s="1311">
        <f>IFERROR(IF(D83+E83-F83&lt;G83,0,G83*E83/(D83+E83-F83))*AVERAGEIF(livestock_efi_efe!$T$7:$T$172,market_feed_supply_n!B83,livestock_efi_efe!$N$7:$N$172),0)</f>
        <v>180073.15429262709</v>
      </c>
      <c r="N83" s="1012">
        <f t="shared" si="3"/>
        <v>2011247.5992116369</v>
      </c>
      <c r="O83" s="1009"/>
    </row>
    <row r="84" spans="1:16">
      <c r="A84" s="1077" t="s">
        <v>4834</v>
      </c>
      <c r="B84" s="829">
        <v>2740</v>
      </c>
      <c r="C84" s="829"/>
      <c r="D84" s="1149">
        <v>824898</v>
      </c>
      <c r="E84" s="1149">
        <v>13618</v>
      </c>
      <c r="F84" s="1149">
        <v>64031</v>
      </c>
      <c r="G84" s="1149"/>
      <c r="H84" s="903">
        <f t="shared" si="2"/>
        <v>0</v>
      </c>
      <c r="I84" s="927"/>
      <c r="J84" s="927"/>
      <c r="K84" s="927"/>
      <c r="L84" s="1311">
        <f>IFERROR(IF(D84+E84-F84&lt;G84,G84,G84*D84/(D84+E84-F84))*AVERAGEIF(livestock_efi_efe!$T$7:$T$172,market_feed_supply_n!B84,livestock_efi_efe!$N$7:$N$172)*(grazing_efp!$D$12/feed_demand_n!$P$22),0)</f>
        <v>0</v>
      </c>
      <c r="M84" s="1311">
        <f>IFERROR(IF(D84+E84-F84&lt;G84,0,G84*E84/(D84+E84-F84))*AVERAGEIF(livestock_efi_efe!$T$7:$T$172,market_feed_supply_n!B84,livestock_efi_efe!$N$7:$N$172),0)</f>
        <v>0</v>
      </c>
      <c r="N84" s="1012">
        <f t="shared" si="3"/>
        <v>0</v>
      </c>
      <c r="O84" s="1009"/>
    </row>
    <row r="85" spans="1:16">
      <c r="A85" s="1115" t="s">
        <v>7768</v>
      </c>
      <c r="B85" s="829">
        <v>2741</v>
      </c>
      <c r="C85" s="829"/>
      <c r="D85" s="1149">
        <v>5161860</v>
      </c>
      <c r="E85" s="1149">
        <v>142994</v>
      </c>
      <c r="F85" s="1149">
        <v>225933</v>
      </c>
      <c r="G85" s="1149"/>
      <c r="H85" s="903">
        <f t="shared" si="2"/>
        <v>0</v>
      </c>
      <c r="I85" s="927"/>
      <c r="J85" s="927"/>
      <c r="K85" s="927"/>
      <c r="L85" s="1311">
        <f>IFERROR(IF(D85+E85-F85&lt;G85,G85,G85*D85/(D85+E85-F85))*AVERAGEIF(livestock_efi_efe!$T$7:$T$172,market_feed_supply_n!B85,livestock_efi_efe!$N$7:$N$172)*(grazing_efp!$D$12/feed_demand_n!$P$22),0)</f>
        <v>0</v>
      </c>
      <c r="M85" s="1311">
        <f>IFERROR(IF(D85+E85-F85&lt;G85,0,G85*E85/(D85+E85-F85))*AVERAGEIF(livestock_efi_efe!$T$7:$T$172,market_feed_supply_n!B85,livestock_efi_efe!$N$7:$N$172),0)</f>
        <v>0</v>
      </c>
      <c r="N85" s="1012">
        <f t="shared" si="3"/>
        <v>0</v>
      </c>
      <c r="O85" s="1114"/>
    </row>
    <row r="86" spans="1:16">
      <c r="A86" s="1115" t="s">
        <v>7766</v>
      </c>
      <c r="B86" s="829">
        <v>2742</v>
      </c>
      <c r="C86" s="829"/>
      <c r="D86" s="1149">
        <v>23186000</v>
      </c>
      <c r="E86" s="1149">
        <v>111736</v>
      </c>
      <c r="F86" s="1149">
        <v>5818960</v>
      </c>
      <c r="G86" s="1149">
        <v>9683600</v>
      </c>
      <c r="H86" s="903">
        <f t="shared" si="2"/>
        <v>677851.99999999953</v>
      </c>
      <c r="I86" s="927"/>
      <c r="J86" s="927"/>
      <c r="K86" s="927"/>
      <c r="L86" s="1311">
        <f>IFERROR(IF(D86+E86-F86&lt;G86,G86,G86*D86/(D86+E86-F86))*AVERAGEIF(livestock_efi_efe!$T$7:$T$172,market_feed_supply_n!B86,livestock_efi_efe!$N$7:$N$172)*(grazing_efp!$D$12/feed_demand_n!$P$22),0)</f>
        <v>524875.94120060583</v>
      </c>
      <c r="M86" s="1311">
        <f>IFERROR(IF(D86+E86-F86&lt;G86,0,G86*E86/(D86+E86-F86))*AVERAGEIF(livestock_efi_efe!$T$7:$T$172,market_feed_supply_n!B86,livestock_efi_efe!$N$7:$N$172),0)</f>
        <v>3549.8423310018588</v>
      </c>
      <c r="N86" s="1012">
        <f t="shared" si="3"/>
        <v>131982.28777848129</v>
      </c>
      <c r="O86" s="1114"/>
    </row>
    <row r="87" spans="1:16">
      <c r="A87" s="1077" t="s">
        <v>2524</v>
      </c>
      <c r="B87" s="830">
        <v>2744</v>
      </c>
      <c r="C87" s="829"/>
      <c r="D87" s="1149">
        <v>5415600</v>
      </c>
      <c r="E87" s="1149">
        <v>8453</v>
      </c>
      <c r="F87" s="1149">
        <v>179735</v>
      </c>
      <c r="G87" s="1149"/>
      <c r="H87" s="903">
        <f t="shared" si="2"/>
        <v>0</v>
      </c>
      <c r="I87" s="927"/>
      <c r="J87" s="927"/>
      <c r="K87" s="927"/>
      <c r="L87" s="1311">
        <f>IFERROR(IF(D87+E87-F87&lt;G87,G87,G87*D87/(D87+E87-F87))*AVERAGEIF(livestock_efi_efe!$T$7:$T$172,market_feed_supply_n!B87,livestock_efi_efe!$N$7:$N$172)*(grazing_efp!$D$12/feed_demand_n!$P$22),0)</f>
        <v>0</v>
      </c>
      <c r="M87" s="1311">
        <f>IFERROR(IF(D87+E87-F87&lt;G87,0,G87*E87/(D87+E87-F87))*AVERAGEIF(livestock_efi_efe!$T$7:$T$172,market_feed_supply_n!B87,livestock_efi_efe!$N$7:$N$172),0)</f>
        <v>0</v>
      </c>
      <c r="N87" s="1012">
        <f t="shared" si="3"/>
        <v>0</v>
      </c>
      <c r="O87" s="1010"/>
    </row>
    <row r="88" spans="1:16">
      <c r="A88" s="1077" t="s">
        <v>7234</v>
      </c>
      <c r="B88" s="830">
        <v>2848</v>
      </c>
      <c r="C88" s="829"/>
      <c r="D88" s="1149">
        <v>89015200</v>
      </c>
      <c r="E88" s="1149">
        <v>3815650</v>
      </c>
      <c r="F88" s="1149">
        <v>9067620</v>
      </c>
      <c r="G88" s="1149">
        <v>475543</v>
      </c>
      <c r="H88" s="903">
        <f t="shared" si="2"/>
        <v>61820.590000000004</v>
      </c>
      <c r="I88" s="927"/>
      <c r="J88" s="927"/>
      <c r="K88" s="927"/>
      <c r="L88" s="1311">
        <f>IFERROR(IF(D88+E88-F88&lt;G88,G88,G88*D88/(D88+E88-F88))*AVERAGEIF(livestock_efi_efe!$T$7:$T$172,market_feed_supply_n!B88,livestock_efi_efe!$N$7:$N$172)*(grazing_efp!$D$12/feed_demand_n!$P$22),0)</f>
        <v>128832.96863541112</v>
      </c>
      <c r="M88" s="1311">
        <f>IFERROR(IF(D88+E88-F88&lt;G88,0,G88*E88/(D88+E88-F88))*AVERAGEIF(livestock_efi_efe!$T$7:$T$172,market_feed_supply_n!B88,livestock_efi_efe!$N$7:$N$172),0)</f>
        <v>7750.2637492740268</v>
      </c>
      <c r="N88" s="1012">
        <f t="shared" si="3"/>
        <v>13341.306792257301</v>
      </c>
      <c r="O88" s="1009"/>
    </row>
    <row r="89" spans="1:16">
      <c r="A89" s="1115" t="s">
        <v>7769</v>
      </c>
      <c r="B89" s="830">
        <v>2745</v>
      </c>
      <c r="C89" s="829"/>
      <c r="D89" s="1149">
        <v>67294</v>
      </c>
      <c r="E89" s="1149">
        <v>130495</v>
      </c>
      <c r="F89" s="1149">
        <v>6442</v>
      </c>
      <c r="G89" s="1149"/>
      <c r="H89" s="903">
        <f t="shared" si="2"/>
        <v>0</v>
      </c>
      <c r="I89" s="927"/>
      <c r="J89" s="927"/>
      <c r="K89" s="927"/>
      <c r="L89" s="1311">
        <f>IFERROR(IF(D89+E89-F89&lt;G89,G89,G89*D89/(D89+E89-F89))*AVERAGEIF(livestock_efi_efe!$T$7:$T$172,market_feed_supply_n!B89,livestock_efi_efe!$N$7:$N$172)*(grazing_efp!$D$12/feed_demand_n!$P$22),0)</f>
        <v>0</v>
      </c>
      <c r="M89" s="1311">
        <f>IFERROR(IF(D89+E89-F89&lt;G89,0,G89*E89/(D89+E89-F89))*AVERAGEIF(livestock_efi_efe!$T$7:$T$172,market_feed_supply_n!B89,livestock_efi_efe!$N$7:$N$172),0)</f>
        <v>0</v>
      </c>
      <c r="N89" s="1012">
        <f t="shared" si="3"/>
        <v>0</v>
      </c>
      <c r="O89" s="1114"/>
    </row>
    <row r="90" spans="1:16">
      <c r="A90" s="1115" t="s">
        <v>7770</v>
      </c>
      <c r="B90" s="830">
        <v>2748</v>
      </c>
      <c r="C90" s="829"/>
      <c r="D90" s="1149">
        <v>1133530</v>
      </c>
      <c r="E90" s="1149">
        <v>21272</v>
      </c>
      <c r="F90" s="1149">
        <v>924044</v>
      </c>
      <c r="G90" s="1149"/>
      <c r="H90" s="903">
        <f t="shared" si="2"/>
        <v>0</v>
      </c>
      <c r="I90" s="927"/>
      <c r="J90" s="927"/>
      <c r="K90" s="927"/>
      <c r="L90" s="1311">
        <f>IFERROR(IF(D90+E90-F90&lt;G90,G90,G90*D90/(D90+E90-F90))*AVERAGEIF(livestock_efi_efe!$T$7:$T$172,market_feed_supply_n!B90,livestock_efi_efe!$N$7:$N$172)*(grazing_efp!$D$12/feed_demand_n!$P$22),0)</f>
        <v>0</v>
      </c>
      <c r="M90" s="1311">
        <f>IFERROR(IF(D90+E90-F90&lt;G90,0,G90*E90/(D90+E90-F90))*AVERAGEIF(livestock_efi_efe!$T$7:$T$172,market_feed_supply_n!B90,livestock_efi_efe!$N$7:$N$172),0)</f>
        <v>0</v>
      </c>
      <c r="N90" s="1012">
        <f t="shared" si="3"/>
        <v>0</v>
      </c>
      <c r="O90" s="1114"/>
    </row>
    <row r="91" spans="1:16">
      <c r="A91" s="1115" t="s">
        <v>7767</v>
      </c>
      <c r="B91" s="830">
        <v>2749</v>
      </c>
      <c r="C91" s="829"/>
      <c r="D91" s="1149"/>
      <c r="E91" s="1149">
        <v>77027</v>
      </c>
      <c r="F91" s="1149">
        <v>297134</v>
      </c>
      <c r="G91" s="1149"/>
      <c r="H91" s="903">
        <f t="shared" si="2"/>
        <v>0</v>
      </c>
      <c r="I91" s="927"/>
      <c r="J91" s="927"/>
      <c r="K91" s="927"/>
      <c r="L91" s="1311">
        <f>IFERROR(IF(D91+E91-F91&lt;G91,G91,G91*D91/(D91+E91-F91))*AVERAGEIF(livestock_efi_efe!$T$7:$T$172,market_feed_supply_n!B91,livestock_efi_efe!$N$7:$N$172)*(grazing_efp!$D$12/feed_demand_n!$P$22),0)</f>
        <v>0</v>
      </c>
      <c r="M91" s="1311">
        <f>IFERROR(IF(D91+E91-F91&lt;G91,0,G91*E91/(D91+E91-F91))*AVERAGEIF(livestock_efi_efe!$T$7:$T$172,market_feed_supply_n!B91,livestock_efi_efe!$N$7:$N$172),0)</f>
        <v>0</v>
      </c>
      <c r="N91" s="1012">
        <f t="shared" si="3"/>
        <v>0</v>
      </c>
      <c r="O91" s="1114"/>
    </row>
    <row r="92" spans="1:16">
      <c r="A92" s="1077" t="s">
        <v>4845</v>
      </c>
      <c r="B92" s="830">
        <v>2761</v>
      </c>
      <c r="C92" s="829"/>
      <c r="D92" s="1149">
        <v>582998</v>
      </c>
      <c r="E92" s="1149">
        <v>1142220</v>
      </c>
      <c r="F92" s="1149">
        <v>291518</v>
      </c>
      <c r="G92" s="1149">
        <v>0</v>
      </c>
      <c r="H92" s="903">
        <f t="shared" si="2"/>
        <v>0</v>
      </c>
      <c r="I92" s="927"/>
      <c r="J92" s="927"/>
      <c r="K92" s="927"/>
      <c r="L92" s="1011"/>
      <c r="M92" s="1011"/>
      <c r="N92" s="1011"/>
      <c r="O92" s="1010">
        <f>G92/(AVERAGEIF(fish_efp!$O$7:$O$1947,market_feed_supply_n!A92,fish_efp!$F$7:$F$1947))*eqf!B$10*VLOOKUP("Marine Fishing Grounds",iyf,2)</f>
        <v>0</v>
      </c>
    </row>
    <row r="93" spans="1:16">
      <c r="A93" s="1077" t="s">
        <v>4841</v>
      </c>
      <c r="B93" s="830">
        <v>2762</v>
      </c>
      <c r="C93" s="829"/>
      <c r="D93" s="1149">
        <v>2389870</v>
      </c>
      <c r="E93" s="1149">
        <v>919624</v>
      </c>
      <c r="F93" s="1149">
        <v>1389670</v>
      </c>
      <c r="G93" s="1149">
        <v>341300</v>
      </c>
      <c r="H93" s="903">
        <f t="shared" si="2"/>
        <v>75085.999999999985</v>
      </c>
      <c r="I93" s="927"/>
      <c r="J93" s="927"/>
      <c r="K93" s="927"/>
      <c r="L93" s="1011"/>
      <c r="M93" s="1011"/>
      <c r="N93" s="1011"/>
      <c r="O93" s="1010">
        <f>G93/(AVERAGEIF(fish_efp!$O$7:$O$1947,market_feed_supply_n!A93,fish_efp!$F$7:$F$1947))*eqf!B$10*VLOOKUP("Marine Fishing Grounds",iyf,2)</f>
        <v>375052.91529003938</v>
      </c>
    </row>
    <row r="94" spans="1:16">
      <c r="A94" s="1077" t="s">
        <v>4859</v>
      </c>
      <c r="B94" s="830">
        <v>2763</v>
      </c>
      <c r="C94" s="829"/>
      <c r="D94" s="1149">
        <v>1274630</v>
      </c>
      <c r="E94" s="1149">
        <v>754406</v>
      </c>
      <c r="F94" s="1149">
        <v>451457</v>
      </c>
      <c r="G94" s="1149">
        <v>544596</v>
      </c>
      <c r="H94" s="903">
        <f t="shared" si="2"/>
        <v>157932.84000000003</v>
      </c>
      <c r="I94" s="927"/>
      <c r="J94" s="927"/>
      <c r="K94" s="927"/>
      <c r="L94" s="1011"/>
      <c r="M94" s="1011"/>
      <c r="N94" s="1011"/>
      <c r="O94" s="1010">
        <f>G94/(AVERAGEIF(fish_efp!$O$7:$O$1947,market_feed_supply_n!A94,fish_efp!$F$7:$F$1947))*eqf!B$10*VLOOKUP("Marine Fishing Grounds",iyf,2)</f>
        <v>798998.72627383855</v>
      </c>
      <c r="P94" s="796">
        <f>(COUNTIF(fish_efp!$O$7:$O$1947,market_feed_supply_n!A94))</f>
        <v>242</v>
      </c>
    </row>
    <row r="95" spans="1:16">
      <c r="A95" s="1077" t="s">
        <v>4849</v>
      </c>
      <c r="B95" s="830">
        <v>2764</v>
      </c>
      <c r="C95" s="829"/>
      <c r="D95" s="1149">
        <v>5670</v>
      </c>
      <c r="E95" s="1149"/>
      <c r="F95" s="1149"/>
      <c r="G95" s="1149"/>
      <c r="H95" s="903">
        <f t="shared" si="2"/>
        <v>0</v>
      </c>
      <c r="I95" s="927"/>
      <c r="J95" s="927"/>
      <c r="K95" s="927"/>
      <c r="L95" s="1011"/>
      <c r="M95" s="1011"/>
      <c r="N95" s="1011"/>
      <c r="O95" s="1010">
        <f>G95/(AVERAGEIF(fish_efp!$O$7:$O$1947,market_feed_supply_n!A95,fish_efp!$F$7:$F$1947))*eqf!B$10*VLOOKUP("Marine Fishing Grounds",iyf,2)</f>
        <v>0</v>
      </c>
    </row>
    <row r="96" spans="1:16">
      <c r="A96" s="1077" t="s">
        <v>4840</v>
      </c>
      <c r="B96" s="830">
        <v>2765</v>
      </c>
      <c r="C96" s="829"/>
      <c r="D96" s="1149">
        <v>428991</v>
      </c>
      <c r="E96" s="1149">
        <v>1601680</v>
      </c>
      <c r="F96" s="1149">
        <v>139033</v>
      </c>
      <c r="G96" s="1149"/>
      <c r="H96" s="903">
        <f t="shared" si="2"/>
        <v>0</v>
      </c>
      <c r="I96" s="927"/>
      <c r="J96" s="927"/>
      <c r="K96" s="927"/>
      <c r="L96" s="1011"/>
      <c r="M96" s="1011"/>
      <c r="N96" s="1011"/>
      <c r="O96" s="1010">
        <f>G96/(AVERAGEIF(fish_efp!$O$7:$O$1947,market_feed_supply_n!A96,fish_efp!$F$7:$F$1947))*eqf!B$10*VLOOKUP("Marine Fishing Grounds",iyf,2)</f>
        <v>0</v>
      </c>
    </row>
    <row r="97" spans="1:15">
      <c r="A97" s="1077" t="s">
        <v>4835</v>
      </c>
      <c r="B97" s="829">
        <v>2766</v>
      </c>
      <c r="C97" s="829"/>
      <c r="D97" s="1149">
        <v>150733</v>
      </c>
      <c r="E97" s="1149">
        <v>88758</v>
      </c>
      <c r="F97" s="1149">
        <v>152396</v>
      </c>
      <c r="G97" s="1149"/>
      <c r="H97" s="903">
        <f t="shared" si="2"/>
        <v>0</v>
      </c>
      <c r="I97" s="927"/>
      <c r="J97" s="927"/>
      <c r="K97" s="927"/>
      <c r="L97" s="1011"/>
      <c r="M97" s="1011"/>
      <c r="N97" s="1011"/>
      <c r="O97" s="1010">
        <f>G97/(AVERAGEIF(fish_efp!$O$7:$O$1947,market_feed_supply_n!A97,fish_efp!$F$7:$F$1947))*eqf!B$10*VLOOKUP("Marine Fishing Grounds",iyf,2)</f>
        <v>0</v>
      </c>
    </row>
    <row r="98" spans="1:15">
      <c r="A98" s="1077" t="s">
        <v>4851</v>
      </c>
      <c r="B98" s="830">
        <v>2767</v>
      </c>
      <c r="C98" s="829"/>
      <c r="D98" s="1149">
        <v>707288</v>
      </c>
      <c r="E98" s="1149">
        <v>495860</v>
      </c>
      <c r="F98" s="1149">
        <v>105169</v>
      </c>
      <c r="G98" s="1149"/>
      <c r="H98" s="903">
        <f t="shared" si="2"/>
        <v>0</v>
      </c>
      <c r="I98" s="927"/>
      <c r="J98" s="927"/>
      <c r="K98" s="927"/>
      <c r="L98" s="1011"/>
      <c r="M98" s="1011"/>
      <c r="N98" s="1011"/>
      <c r="O98" s="1010">
        <f>G98/(AVERAGEIF(fish_efp!$O$7:$O$1947,market_feed_supply_n!A98,fish_efp!$F$7:$F$1947))*eqf!B$10*VLOOKUP("Marine Fishing Grounds",iyf,2)</f>
        <v>0</v>
      </c>
    </row>
    <row r="99" spans="1:15">
      <c r="A99" s="1077" t="s">
        <v>4831</v>
      </c>
      <c r="B99" s="829">
        <v>2775</v>
      </c>
      <c r="C99" s="829"/>
      <c r="D99" s="1149">
        <v>9614</v>
      </c>
      <c r="E99" s="1149">
        <v>32724</v>
      </c>
      <c r="F99" s="1149">
        <v>1839</v>
      </c>
      <c r="G99" s="1149"/>
      <c r="H99" s="903">
        <f t="shared" si="2"/>
        <v>0</v>
      </c>
      <c r="I99" s="927"/>
      <c r="J99" s="927"/>
      <c r="K99" s="927"/>
      <c r="L99" s="1011"/>
      <c r="M99" s="1011"/>
      <c r="N99" s="1011"/>
      <c r="O99" s="1010">
        <f>G99/(AVERAGEIF(fish_efp!$O$7:$O$1947,market_feed_supply_n!A99,fish_efp!$F$7:$F$1947))*eqf!B$10*VLOOKUP("Marine Fishing Grounds",iyf,2)</f>
        <v>0</v>
      </c>
    </row>
    <row r="100" spans="1:15">
      <c r="A100" s="1077" t="s">
        <v>4843</v>
      </c>
      <c r="B100" s="830">
        <v>2781</v>
      </c>
      <c r="C100" s="928"/>
      <c r="D100" s="1149">
        <v>62841</v>
      </c>
      <c r="E100" s="1149">
        <v>20428</v>
      </c>
      <c r="F100" s="1149">
        <v>65742</v>
      </c>
      <c r="G100" s="1149">
        <v>0</v>
      </c>
      <c r="H100" s="903">
        <f t="shared" si="2"/>
        <v>0</v>
      </c>
      <c r="I100" s="927"/>
      <c r="J100" s="927"/>
      <c r="K100" s="927"/>
      <c r="L100" s="1011"/>
      <c r="M100" s="1011"/>
      <c r="N100" s="1011"/>
      <c r="O100" s="1010">
        <f>G100/(VLOOKUP(A100,fish_commodity_yield_n!$D$7:$F$278,3,FALSE))*eqf!B$10*VLOOKUP("Marine Fishing Grounds",iyf,2)</f>
        <v>0</v>
      </c>
    </row>
    <row r="101" spans="1:15">
      <c r="A101" s="1077" t="s">
        <v>4844</v>
      </c>
      <c r="B101" s="830">
        <v>2782</v>
      </c>
      <c r="C101" s="928"/>
      <c r="D101" s="1149">
        <v>1000</v>
      </c>
      <c r="E101" s="1149">
        <v>1688</v>
      </c>
      <c r="F101" s="1149">
        <v>1902</v>
      </c>
      <c r="G101" s="1149"/>
      <c r="H101" s="903">
        <f t="shared" si="2"/>
        <v>0</v>
      </c>
      <c r="I101" s="927"/>
      <c r="J101" s="927"/>
      <c r="K101" s="927"/>
      <c r="L101" s="1011"/>
      <c r="M101" s="1011"/>
      <c r="N101" s="1011"/>
      <c r="O101" s="1010">
        <f>G101/(VLOOKUP(A101,fish_commodity_yield_n!$D$7:$F$278,3,FALSE))*eqf!B$10*VLOOKUP("Marine Fishing Grounds",iyf,2)</f>
        <v>0</v>
      </c>
    </row>
    <row r="102" spans="1:15">
      <c r="A102" s="1077" t="s">
        <v>4626</v>
      </c>
      <c r="B102" s="830">
        <v>2855</v>
      </c>
      <c r="C102" s="928"/>
      <c r="D102" s="1150">
        <v>4538</v>
      </c>
      <c r="E102" s="1150">
        <v>33052</v>
      </c>
      <c r="F102" s="1150">
        <v>39265</v>
      </c>
      <c r="G102" s="1150">
        <v>4325</v>
      </c>
      <c r="H102" s="903">
        <f t="shared" si="2"/>
        <v>3892.5</v>
      </c>
      <c r="I102" s="927"/>
      <c r="J102" s="927"/>
      <c r="K102" s="927"/>
      <c r="L102" s="1011"/>
      <c r="M102" s="1011"/>
      <c r="N102" s="1011"/>
      <c r="O102" s="1010">
        <f>IF(D102+E102-F102&lt;=G102, G102*fish_feed_group_yield_n!C21,D102*(G102/(D102+E102-F102))*fish_feed_group_yield_n!C21+E102*(G102/(D102+E102-F102))*fish_feed_group_yield_w!C21-F102*(G102/(D102+E102-F102))*(fish_feed_group_yield_n!C21*D102+fish_feed_group_yield_w!C21*E102)/(D102+E102))</f>
        <v>2862.4615014746942</v>
      </c>
    </row>
    <row r="103" spans="1:15">
      <c r="A103" s="685" t="s">
        <v>4211</v>
      </c>
      <c r="B103" s="1116"/>
      <c r="C103" s="1116"/>
      <c r="D103" s="1116"/>
      <c r="E103" s="1116"/>
      <c r="F103" s="1116"/>
      <c r="G103" s="686">
        <f t="shared" ref="G103:O103" si="4">SUM(G7:G102)</f>
        <v>188473701</v>
      </c>
      <c r="H103" s="686">
        <f t="shared" si="4"/>
        <v>154862684.92999995</v>
      </c>
      <c r="I103" s="686">
        <f t="shared" si="4"/>
        <v>119604200.08360454</v>
      </c>
      <c r="J103" s="686">
        <f t="shared" si="4"/>
        <v>2352381.6131873401</v>
      </c>
      <c r="K103" s="686">
        <f t="shared" si="4"/>
        <v>20981561.468081672</v>
      </c>
      <c r="L103" s="686">
        <f t="shared" si="4"/>
        <v>17026822.762709986</v>
      </c>
      <c r="M103" s="686">
        <f t="shared" si="4"/>
        <v>667129.23087905569</v>
      </c>
      <c r="N103" s="686">
        <f t="shared" si="4"/>
        <v>5339051.2568896804</v>
      </c>
      <c r="O103" s="687">
        <f t="shared" si="4"/>
        <v>1176914.1030653527</v>
      </c>
    </row>
  </sheetData>
  <sortState ref="A7:H74">
    <sortCondition ref="B7:B74"/>
  </sortState>
  <phoneticPr fontId="5" type="noConversion"/>
  <hyperlinks>
    <hyperlink ref="G2" location="crop_trade_yield_w" tooltip="Go to crop_trade_yield_w" display="crop_trade_yield_w"/>
    <hyperlink ref="I2" location="livestock_intensity_w" display="livestock_intensity_w"/>
    <hyperlink ref="E2" location="eqf!A1" display="eqf"/>
    <hyperlink ref="E3" location="livestock_feed_balance!A1" display="livestock_feed_balance"/>
    <hyperlink ref="F2" location="iyf" display="iyf"/>
    <hyperlink ref="H2" location="fish_capture_yield!A1" display="fish_capture_yield"/>
    <hyperlink ref="J2" location="constant_crop_factor" display="constant_crop_factor"/>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tabColor theme="6"/>
    <pageSetUpPr autoPageBreaks="0"/>
  </sheetPr>
  <dimension ref="A1:M36"/>
  <sheetViews>
    <sheetView workbookViewId="0">
      <selection activeCell="A65536" sqref="A65536"/>
    </sheetView>
  </sheetViews>
  <sheetFormatPr baseColWidth="10" defaultColWidth="9.1640625" defaultRowHeight="12.75" customHeight="1" x14ac:dyDescent="0"/>
  <cols>
    <col min="1" max="1" width="32.5" style="150" customWidth="1"/>
    <col min="2" max="3" width="14.83203125" style="154" customWidth="1"/>
    <col min="4" max="7" width="19.1640625" style="53" customWidth="1"/>
    <col min="8" max="8" width="19.1640625" style="889" customWidth="1"/>
    <col min="9" max="9" width="13.6640625" style="889" customWidth="1"/>
    <col min="10" max="10" width="13.1640625" style="814" customWidth="1"/>
    <col min="11" max="11" width="16.5" style="53" customWidth="1"/>
    <col min="12" max="13" width="21.6640625" style="53" customWidth="1"/>
    <col min="14" max="16384" width="9.1640625" style="53"/>
  </cols>
  <sheetData>
    <row r="1" spans="1:13" ht="12.75" customHeight="1">
      <c r="A1" s="53"/>
      <c r="B1" s="185"/>
      <c r="C1" s="185"/>
      <c r="D1" s="185"/>
      <c r="E1" s="185"/>
      <c r="F1" s="185"/>
      <c r="G1" s="185"/>
      <c r="H1" s="185"/>
      <c r="I1" s="185"/>
      <c r="J1" s="185"/>
      <c r="K1" s="185"/>
      <c r="L1" s="185"/>
      <c r="M1" s="185"/>
    </row>
    <row r="2" spans="1:13" ht="12.75" customHeight="1">
      <c r="A2" s="53"/>
      <c r="C2" s="54" t="s">
        <v>1005</v>
      </c>
      <c r="D2" s="1064" t="s">
        <v>2121</v>
      </c>
      <c r="E2" s="1064" t="s">
        <v>2122</v>
      </c>
      <c r="F2" s="1064" t="s">
        <v>2119</v>
      </c>
      <c r="G2" s="1064" t="s">
        <v>2118</v>
      </c>
      <c r="H2" s="1064" t="s">
        <v>2117</v>
      </c>
      <c r="I2" s="1064" t="s">
        <v>7080</v>
      </c>
    </row>
    <row r="3" spans="1:13" ht="12.75" customHeight="1">
      <c r="A3" s="53"/>
      <c r="C3" s="54" t="s">
        <v>1006</v>
      </c>
      <c r="D3" s="1064" t="s">
        <v>5261</v>
      </c>
      <c r="E3" s="1064"/>
      <c r="F3" s="1064"/>
      <c r="G3" s="1064"/>
      <c r="H3" s="1064"/>
      <c r="I3" s="1064"/>
    </row>
    <row r="4" spans="1:13" ht="12.75" customHeight="1">
      <c r="A4" s="53"/>
      <c r="B4" s="53"/>
      <c r="C4" s="53"/>
      <c r="K4" s="122"/>
    </row>
    <row r="5" spans="1:13" s="150" customFormat="1" ht="12">
      <c r="A5" s="374" t="s">
        <v>2036</v>
      </c>
      <c r="B5" s="369" t="s">
        <v>2019</v>
      </c>
      <c r="C5" s="369" t="s">
        <v>2018</v>
      </c>
      <c r="D5" s="369" t="s">
        <v>2038</v>
      </c>
      <c r="E5" s="369" t="s">
        <v>5570</v>
      </c>
      <c r="F5" s="369" t="s">
        <v>1025</v>
      </c>
      <c r="G5" s="369" t="s">
        <v>4829</v>
      </c>
      <c r="H5" s="369" t="s">
        <v>7236</v>
      </c>
      <c r="I5" s="369" t="s">
        <v>6223</v>
      </c>
      <c r="J5" s="369" t="s">
        <v>1855</v>
      </c>
      <c r="K5" s="369" t="s">
        <v>3983</v>
      </c>
      <c r="L5" s="369" t="s">
        <v>3982</v>
      </c>
      <c r="M5" s="370" t="s">
        <v>3984</v>
      </c>
    </row>
    <row r="6" spans="1:13" s="150" customFormat="1" ht="12">
      <c r="A6" s="371" t="s">
        <v>548</v>
      </c>
      <c r="B6" s="372" t="s">
        <v>548</v>
      </c>
      <c r="C6" s="372" t="s">
        <v>548</v>
      </c>
      <c r="D6" s="372" t="s">
        <v>3108</v>
      </c>
      <c r="E6" s="372" t="s">
        <v>3108</v>
      </c>
      <c r="F6" s="372" t="s">
        <v>3108</v>
      </c>
      <c r="G6" s="372" t="s">
        <v>3108</v>
      </c>
      <c r="H6" s="925" t="s">
        <v>2987</v>
      </c>
      <c r="I6" s="834" t="s">
        <v>548</v>
      </c>
      <c r="J6" s="834" t="s">
        <v>7134</v>
      </c>
      <c r="K6" s="372" t="s">
        <v>732</v>
      </c>
      <c r="L6" s="372" t="s">
        <v>732</v>
      </c>
      <c r="M6" s="373" t="s">
        <v>732</v>
      </c>
    </row>
    <row r="7" spans="1:13" ht="12">
      <c r="A7" s="36" t="s">
        <v>7195</v>
      </c>
      <c r="B7" s="806">
        <v>120</v>
      </c>
      <c r="C7" s="930"/>
      <c r="D7" s="908">
        <f t="shared" ref="D7:D35" si="0">IFERROR(VLOOKUP(B7,crop_efp,3,FALSE), 0)</f>
        <v>0</v>
      </c>
      <c r="E7" s="908">
        <f t="shared" ref="E7:E16" si="1">IFERROR(VLOOKUP(B7,crop_trade,3,FALSE),0)</f>
        <v>0</v>
      </c>
      <c r="F7" s="903">
        <f t="shared" ref="F7:F16" si="2">IFERROR(VLOOKUP(B7,crop_trade,4,FALSE),0)</f>
        <v>0</v>
      </c>
      <c r="G7" s="42">
        <f t="shared" ref="G7:G35" si="3">IF(COUNTRY="World",D7,MAX(0,D7+E7-F7))</f>
        <v>0</v>
      </c>
      <c r="H7" s="907">
        <f t="shared" ref="H7:H35" si="4">G7*(1-IFERROR(VLOOKUP(B7,constant_crop_factor,2,FALSE),0))</f>
        <v>0</v>
      </c>
      <c r="I7" s="734">
        <f t="shared" ref="I7:I35" si="5">VLOOKUP("crop land",iyf,2,FALSE)</f>
        <v>1</v>
      </c>
      <c r="J7" s="734">
        <f>eqf!$B$7</f>
        <v>2.5252766180478901</v>
      </c>
      <c r="K7" s="903">
        <f>IFERROR(D7/IFERROR(VLOOKUP(B7, crop_efp, 4, FALSE),VLOOKUP(B7,crop_efi_efe!B$7:F$426,11,FALSE))*J7*I7,0)</f>
        <v>0</v>
      </c>
      <c r="L7" s="903">
        <f>IFERROR(E7/IFERROR(VLOOKUP(B7,crop_efi_efe!$B$7:$F$426,5,FALSE),(VLOOKUP(B7, crop_efp, 4, FALSE)))*J7*I7,0)</f>
        <v>0</v>
      </c>
      <c r="M7" s="35">
        <f>IFERROR(F7/IFERROR(VLOOKUP($B7,crop_efi_efe!$B$7:$F$426,5,FALSE),(VLOOKUP($B7, crop_efp, 4, FALSE)))*J7*I7,0)</f>
        <v>0</v>
      </c>
    </row>
    <row r="8" spans="1:13" s="889" customFormat="1" ht="12">
      <c r="A8" s="36" t="s">
        <v>7196</v>
      </c>
      <c r="B8" s="806">
        <v>169</v>
      </c>
      <c r="C8" s="930"/>
      <c r="D8" s="1498">
        <f t="shared" si="0"/>
        <v>0</v>
      </c>
      <c r="E8" s="908">
        <f t="shared" si="1"/>
        <v>9353</v>
      </c>
      <c r="F8" s="903">
        <f t="shared" si="2"/>
        <v>383982</v>
      </c>
      <c r="G8" s="953">
        <f t="shared" si="3"/>
        <v>0</v>
      </c>
      <c r="H8" s="908">
        <f t="shared" si="4"/>
        <v>0</v>
      </c>
      <c r="I8" s="734">
        <f t="shared" si="5"/>
        <v>1</v>
      </c>
      <c r="J8" s="734">
        <f>eqf!$B$7</f>
        <v>2.5252766180478901</v>
      </c>
      <c r="K8" s="903">
        <f>IFERROR(D8/IFERROR(VLOOKUP(B8,crop_efp, 4, FALSE),VLOOKUP(B8,crop_efi_efe!B$7:F$426,11,FALSE))*J8*I8,0)</f>
        <v>0</v>
      </c>
      <c r="L8" s="903">
        <f>IFERROR(E8/IFERROR(VLOOKUP(B8,crop_efi_efe!B$7:F$426,5,FALSE),(VLOOKUP(B8, crop_efp, 4, FALSE)))*J8*I8,0)</f>
        <v>5980.4846558959762</v>
      </c>
      <c r="M8" s="35">
        <f>IFERROR(F8/IFERROR(VLOOKUP($B8,crop_efi_efe!$B$7:$F$426,5,FALSE),(VLOOKUP($B8, crop_efp, 4, FALSE)))*J8*I8,0)</f>
        <v>245525.33509464868</v>
      </c>
    </row>
    <row r="9" spans="1:13" s="889" customFormat="1" ht="12">
      <c r="A9" s="36" t="s">
        <v>7211</v>
      </c>
      <c r="B9" s="806">
        <v>635</v>
      </c>
      <c r="C9" s="930"/>
      <c r="D9" s="1498">
        <f t="shared" si="0"/>
        <v>0</v>
      </c>
      <c r="E9" s="908">
        <f t="shared" si="1"/>
        <v>30886</v>
      </c>
      <c r="F9" s="903">
        <f t="shared" si="2"/>
        <v>151550</v>
      </c>
      <c r="G9" s="953">
        <f t="shared" si="3"/>
        <v>0</v>
      </c>
      <c r="H9" s="908">
        <f t="shared" si="4"/>
        <v>0</v>
      </c>
      <c r="I9" s="734">
        <f t="shared" si="5"/>
        <v>1</v>
      </c>
      <c r="J9" s="734">
        <f>eqf!$B$7</f>
        <v>2.5252766180478901</v>
      </c>
      <c r="K9" s="903">
        <f>IFERROR(D9/IFERROR(VLOOKUP(B9,crop_efp, 4, FALSE),VLOOKUP(B9,crop_efi_efe!B$7:F$426,11,FALSE))*J9*I9,0)</f>
        <v>0</v>
      </c>
      <c r="L9" s="903">
        <f>IFERROR(E9/IFERROR(VLOOKUP(B9,crop_efi_efe!B$7:F$426,5,FALSE),(VLOOKUP(B9, crop_efp, 4, FALSE)))*J9*I9,0)</f>
        <v>0</v>
      </c>
      <c r="M9" s="35">
        <f>IFERROR(F9/IFERROR(VLOOKUP($B9,crop_efi_efe!$B$7:$F$426,5,FALSE),(VLOOKUP($B9, crop_efp, 4, FALSE)))*J9*I9,0)</f>
        <v>0</v>
      </c>
    </row>
    <row r="10" spans="1:13" s="889" customFormat="1" ht="12">
      <c r="A10" s="143" t="s">
        <v>1191</v>
      </c>
      <c r="B10" s="806">
        <v>636</v>
      </c>
      <c r="C10" s="930" t="s">
        <v>1192</v>
      </c>
      <c r="D10" s="1498">
        <f t="shared" si="0"/>
        <v>106913000</v>
      </c>
      <c r="E10" s="908">
        <f t="shared" si="1"/>
        <v>0</v>
      </c>
      <c r="F10" s="903">
        <f t="shared" si="2"/>
        <v>0</v>
      </c>
      <c r="G10" s="953">
        <f t="shared" si="3"/>
        <v>106913000</v>
      </c>
      <c r="H10" s="908">
        <f t="shared" si="4"/>
        <v>21382599.999999996</v>
      </c>
      <c r="I10" s="734">
        <f t="shared" si="5"/>
        <v>1</v>
      </c>
      <c r="J10" s="734">
        <f>eqf!$B$7</f>
        <v>2.5252766180478901</v>
      </c>
      <c r="K10" s="903">
        <f>IFERROR(D10/IFERROR(VLOOKUP(B10,crop_efp, 4, FALSE),VLOOKUP(B10,crop_efi_efe!B$7:F$426,11,FALSE))*J10*I10,0)</f>
        <v>6992488.3636349635</v>
      </c>
      <c r="L10" s="903">
        <f>IFERROR(E10/IFERROR(VLOOKUP(B10,crop_efi_efe!B$7:F$426,5,FALSE),(VLOOKUP(B10, crop_efp, 4, FALSE)))*J10*I10,0)</f>
        <v>0</v>
      </c>
      <c r="M10" s="35">
        <f>IFERROR(F10/IFERROR(VLOOKUP($B10,crop_efi_efe!$B$7:$F$426,5,FALSE),(VLOOKUP($B10, crop_efp, 4, FALSE)))*J10*I10,0)</f>
        <v>0</v>
      </c>
    </row>
    <row r="11" spans="1:13" s="889" customFormat="1" ht="12">
      <c r="A11" s="138" t="s">
        <v>2806</v>
      </c>
      <c r="B11" s="826">
        <v>637</v>
      </c>
      <c r="C11" s="931" t="s">
        <v>4042</v>
      </c>
      <c r="D11" s="1498">
        <f t="shared" si="0"/>
        <v>4916950</v>
      </c>
      <c r="E11" s="908">
        <f t="shared" si="1"/>
        <v>0</v>
      </c>
      <c r="F11" s="903">
        <f t="shared" si="2"/>
        <v>0</v>
      </c>
      <c r="G11" s="953">
        <f t="shared" si="3"/>
        <v>4916950</v>
      </c>
      <c r="H11" s="908">
        <f t="shared" si="4"/>
        <v>983389.99999999977</v>
      </c>
      <c r="I11" s="734">
        <f t="shared" si="5"/>
        <v>1</v>
      </c>
      <c r="J11" s="734">
        <f>eqf!$B$7</f>
        <v>2.5252766180478901</v>
      </c>
      <c r="K11" s="903">
        <f>IFERROR(D11/IFERROR(VLOOKUP(B11,crop_efp, 4, FALSE),VLOOKUP(B11,crop_efi_efe!B$7:F$426,11,FALSE))*J11*I11,0)</f>
        <v>601386.38329761429</v>
      </c>
      <c r="L11" s="903">
        <f>IFERROR(E11/IFERROR(VLOOKUP(B11,crop_efi_efe!B$7:F$426,5,FALSE),(VLOOKUP(B11, crop_efp, 4, FALSE)))*J11*I11,0)</f>
        <v>0</v>
      </c>
      <c r="M11" s="35">
        <f>IFERROR(F11/IFERROR(VLOOKUP($B11,crop_efi_efe!$B$7:$F$426,5,FALSE),(VLOOKUP($B11, crop_efp, 4, FALSE)))*J11*I11,0)</f>
        <v>0</v>
      </c>
    </row>
    <row r="12" spans="1:13" s="889" customFormat="1" ht="12">
      <c r="A12" s="138" t="s">
        <v>5569</v>
      </c>
      <c r="B12" s="826">
        <v>638</v>
      </c>
      <c r="C12" s="931" t="s">
        <v>2293</v>
      </c>
      <c r="D12" s="1498">
        <f t="shared" si="0"/>
        <v>0</v>
      </c>
      <c r="E12" s="908">
        <f t="shared" si="1"/>
        <v>0</v>
      </c>
      <c r="F12" s="903">
        <f t="shared" si="2"/>
        <v>0</v>
      </c>
      <c r="G12" s="953">
        <f t="shared" si="3"/>
        <v>0</v>
      </c>
      <c r="H12" s="908">
        <f t="shared" si="4"/>
        <v>0</v>
      </c>
      <c r="I12" s="734">
        <f t="shared" si="5"/>
        <v>1</v>
      </c>
      <c r="J12" s="734">
        <f>eqf!$B$7</f>
        <v>2.5252766180478901</v>
      </c>
      <c r="K12" s="903">
        <f>IFERROR(D12/IFERROR(VLOOKUP(B12,crop_efp, 4, FALSE),VLOOKUP(B12,crop_efi_efe!B$7:F$426,11,FALSE))*J12*I12,0)</f>
        <v>0</v>
      </c>
      <c r="L12" s="903">
        <f>IFERROR(E12/IFERROR(VLOOKUP(B12,crop_efi_efe!B$7:F$426,5,FALSE),(VLOOKUP(B12, crop_efp, 4, FALSE)))*J12*I12,0)</f>
        <v>0</v>
      </c>
      <c r="M12" s="35">
        <f>IFERROR(F12/IFERROR(VLOOKUP($B12,crop_efi_efe!$B$7:$F$426,5,FALSE),(VLOOKUP($B12, crop_efp, 4, FALSE)))*J12*I12,0)</f>
        <v>0</v>
      </c>
    </row>
    <row r="13" spans="1:13" s="889" customFormat="1" ht="12">
      <c r="A13" s="138" t="s">
        <v>412</v>
      </c>
      <c r="B13" s="806">
        <v>639</v>
      </c>
      <c r="C13" s="930" t="s">
        <v>413</v>
      </c>
      <c r="D13" s="1498">
        <f t="shared" si="0"/>
        <v>152348992</v>
      </c>
      <c r="E13" s="908">
        <f t="shared" si="1"/>
        <v>0</v>
      </c>
      <c r="F13" s="903">
        <f t="shared" si="2"/>
        <v>0</v>
      </c>
      <c r="G13" s="953">
        <f t="shared" si="3"/>
        <v>152348992</v>
      </c>
      <c r="H13" s="908">
        <f t="shared" si="4"/>
        <v>30469798.399999995</v>
      </c>
      <c r="I13" s="734">
        <f t="shared" si="5"/>
        <v>1</v>
      </c>
      <c r="J13" s="734">
        <f>eqf!$B$7</f>
        <v>2.5252766180478901</v>
      </c>
      <c r="K13" s="903">
        <f>IFERROR(D13/IFERROR(VLOOKUP(B13, crop_efp, 4, FALSE),VLOOKUP(B13,crop_efi_efe!B$7:F$426,11,FALSE))*J13*I13,0)</f>
        <v>27343081.854757089</v>
      </c>
      <c r="L13" s="903">
        <f>IFERROR(E13/IFERROR(VLOOKUP(B13,crop_efi_efe!B$7:F$426,5,FALSE),(VLOOKUP(B13, crop_efp, 4, FALSE)))*J13*I13,0)</f>
        <v>0</v>
      </c>
      <c r="M13" s="35">
        <f>IFERROR(F13/IFERROR(VLOOKUP($B13,crop_efi_efe!$B$7:$F$426,5,FALSE),(VLOOKUP($B13, crop_efp, 4, FALSE)))*J13*I13,0)</f>
        <v>0</v>
      </c>
    </row>
    <row r="14" spans="1:13" s="889" customFormat="1" ht="12">
      <c r="A14" s="138" t="s">
        <v>2637</v>
      </c>
      <c r="B14" s="806">
        <v>640</v>
      </c>
      <c r="C14" s="930" t="s">
        <v>2638</v>
      </c>
      <c r="D14" s="1498">
        <f t="shared" si="0"/>
        <v>0</v>
      </c>
      <c r="E14" s="908">
        <f t="shared" si="1"/>
        <v>0</v>
      </c>
      <c r="F14" s="903">
        <f t="shared" si="2"/>
        <v>0</v>
      </c>
      <c r="G14" s="953">
        <f t="shared" si="3"/>
        <v>0</v>
      </c>
      <c r="H14" s="908">
        <f t="shared" si="4"/>
        <v>0</v>
      </c>
      <c r="I14" s="734">
        <f t="shared" si="5"/>
        <v>1</v>
      </c>
      <c r="J14" s="734">
        <f>eqf!$B$7</f>
        <v>2.5252766180478901</v>
      </c>
      <c r="K14" s="903">
        <f>IFERROR(D14/IFERROR(VLOOKUP(B14,crop_efp, 4, FALSE),VLOOKUP(B14,crop_efi_efe!B$7:F$426,11,FALSE))*J14*I14,0)</f>
        <v>0</v>
      </c>
      <c r="L14" s="903">
        <f>IFERROR(E14/IFERROR(VLOOKUP(B14,crop_efi_efe!B$7:F$426,5,FALSE),(VLOOKUP(B14, crop_efp, 4, FALSE)))*J14*I14,0)</f>
        <v>0</v>
      </c>
      <c r="M14" s="35">
        <f>IFERROR(F14/IFERROR(VLOOKUP($B14,crop_efi_efe!$B$7:$F$426,5,FALSE),(VLOOKUP($B14, crop_efp, 4, FALSE)))*J14*I14,0)</f>
        <v>0</v>
      </c>
    </row>
    <row r="15" spans="1:13" s="889" customFormat="1" ht="12">
      <c r="A15" s="138" t="s">
        <v>2427</v>
      </c>
      <c r="B15" s="806">
        <v>641</v>
      </c>
      <c r="C15" s="930" t="s">
        <v>2772</v>
      </c>
      <c r="D15" s="1498">
        <f t="shared" si="0"/>
        <v>122011000</v>
      </c>
      <c r="E15" s="908">
        <f t="shared" si="1"/>
        <v>0</v>
      </c>
      <c r="F15" s="903">
        <f t="shared" si="2"/>
        <v>0</v>
      </c>
      <c r="G15" s="953">
        <f t="shared" si="3"/>
        <v>122011000</v>
      </c>
      <c r="H15" s="908">
        <f t="shared" si="4"/>
        <v>24402199.999999996</v>
      </c>
      <c r="I15" s="734">
        <f t="shared" si="5"/>
        <v>1</v>
      </c>
      <c r="J15" s="734">
        <f>eqf!$B$7</f>
        <v>2.5252766180478901</v>
      </c>
      <c r="K15" s="903">
        <f>IFERROR(D15/IFERROR(VLOOKUP(B15,crop_efp, 4, FALSE),VLOOKUP(B15,crop_efi_efe!B$7:F$426,11,FALSE))*J15*I15,0)</f>
        <v>14056623.208540699</v>
      </c>
      <c r="L15" s="903">
        <f>IFERROR(E15/IFERROR(VLOOKUP(B15,crop_efi_efe!B$7:F$426,5,FALSE),(VLOOKUP(B15, crop_efp, 4, FALSE)))*J15*I15,0)</f>
        <v>0</v>
      </c>
      <c r="M15" s="35">
        <f>IFERROR(F15/IFERROR(VLOOKUP($B15,crop_efi_efe!$B$7:$F$426,5,FALSE),(VLOOKUP($B15, crop_efp, 4, FALSE)))*J15*I15,0)</f>
        <v>0</v>
      </c>
    </row>
    <row r="16" spans="1:13" s="889" customFormat="1" ht="12">
      <c r="A16" s="724" t="s">
        <v>7098</v>
      </c>
      <c r="B16" s="724">
        <v>642</v>
      </c>
      <c r="C16" s="930"/>
      <c r="D16" s="1498">
        <f t="shared" si="0"/>
        <v>16800000</v>
      </c>
      <c r="E16" s="908">
        <f t="shared" si="1"/>
        <v>0</v>
      </c>
      <c r="F16" s="903">
        <f t="shared" si="2"/>
        <v>0</v>
      </c>
      <c r="G16" s="953">
        <f t="shared" si="3"/>
        <v>16800000</v>
      </c>
      <c r="H16" s="908">
        <f t="shared" si="4"/>
        <v>3359999.9999999991</v>
      </c>
      <c r="I16" s="734">
        <f t="shared" si="5"/>
        <v>1</v>
      </c>
      <c r="J16" s="734">
        <f>eqf!$B$7</f>
        <v>2.5252766180478901</v>
      </c>
      <c r="K16" s="903">
        <f>IFERROR(D16/IFERROR(VLOOKUP(B16,crop_efp, 4, FALSE),VLOOKUP(B16,crop_efi_efe!B$7:F$426,11,FALSE))*J16*I16,0)</f>
        <v>2994418.3702713512</v>
      </c>
      <c r="L16" s="903">
        <f>IFERROR(E16/IFERROR(VLOOKUP(B16,crop_efi_efe!B$7:F$426,5,FALSE),(VLOOKUP(B16, crop_efp, 4, FALSE)))*J16*I16,0)</f>
        <v>0</v>
      </c>
      <c r="M16" s="35">
        <f>IFERROR(F16/IFERROR(VLOOKUP($B16,crop_efi_efe!$B$7:$F$426,5,FALSE),(VLOOKUP($B16, crop_efp, 4, FALSE)))*J16*I16,0)</f>
        <v>0</v>
      </c>
    </row>
    <row r="17" spans="1:13" s="889" customFormat="1" ht="12">
      <c r="A17" s="138" t="s">
        <v>3875</v>
      </c>
      <c r="B17" s="806">
        <v>643</v>
      </c>
      <c r="C17" s="930" t="s">
        <v>3876</v>
      </c>
      <c r="D17" s="1498">
        <f t="shared" si="0"/>
        <v>0</v>
      </c>
      <c r="E17" s="908">
        <f t="shared" ref="E17:E35" si="6">IFERROR(VLOOKUP(B17,crop_trade,3,FALSE),0)</f>
        <v>0</v>
      </c>
      <c r="F17" s="903">
        <f t="shared" ref="F17:F35" si="7">IFERROR(VLOOKUP(B17,crop_trade,4,FALSE),0)</f>
        <v>0</v>
      </c>
      <c r="G17" s="953">
        <f t="shared" si="3"/>
        <v>0</v>
      </c>
      <c r="H17" s="908">
        <f t="shared" si="4"/>
        <v>0</v>
      </c>
      <c r="I17" s="734">
        <f t="shared" si="5"/>
        <v>1</v>
      </c>
      <c r="J17" s="734">
        <f>eqf!$B$7</f>
        <v>2.5252766180478901</v>
      </c>
      <c r="K17" s="903">
        <f>IFERROR(D17/IFERROR(VLOOKUP(B17,crop_efp, 4, FALSE),VLOOKUP(B17,crop_efi_efe!B$7:F$426,11,FALSE))*J17*I17,0)</f>
        <v>0</v>
      </c>
      <c r="L17" s="903">
        <f>IFERROR(E17/IFERROR(VLOOKUP(B17,crop_efi_efe!B$7:F$426,5,FALSE),(VLOOKUP(B17, crop_efp, 4, FALSE)))*J17*I17,0)</f>
        <v>0</v>
      </c>
      <c r="M17" s="35">
        <f>IFERROR(F17/IFERROR(VLOOKUP($B17,crop_efi_efe!$B$7:$F$426,5,FALSE),(VLOOKUP($B17, crop_efp, 4, FALSE)))*J17*I17,0)</f>
        <v>0</v>
      </c>
    </row>
    <row r="18" spans="1:13" s="889" customFormat="1" ht="12">
      <c r="A18" s="138" t="s">
        <v>7085</v>
      </c>
      <c r="B18" s="806">
        <v>644</v>
      </c>
      <c r="C18" s="930"/>
      <c r="D18" s="1498">
        <f t="shared" si="0"/>
        <v>0</v>
      </c>
      <c r="E18" s="908">
        <f t="shared" si="6"/>
        <v>0</v>
      </c>
      <c r="F18" s="903">
        <f t="shared" si="7"/>
        <v>0</v>
      </c>
      <c r="G18" s="953">
        <f t="shared" si="3"/>
        <v>0</v>
      </c>
      <c r="H18" s="908">
        <f t="shared" si="4"/>
        <v>0</v>
      </c>
      <c r="I18" s="734">
        <f t="shared" si="5"/>
        <v>1</v>
      </c>
      <c r="J18" s="734">
        <f>eqf!$B$7</f>
        <v>2.5252766180478901</v>
      </c>
      <c r="K18" s="903">
        <f>IFERROR(D18/IFERROR(VLOOKUP(B18,crop_efp, 4, FALSE),VLOOKUP(B18,crop_efi_efe!B$7:F$426,11,FALSE))*J18*I18,0)</f>
        <v>0</v>
      </c>
      <c r="L18" s="903">
        <f>IFERROR(E18/IFERROR(VLOOKUP(B18,crop_efi_efe!B$7:F$426,5,FALSE),(VLOOKUP(B18, crop_efp, 4, FALSE)))*J18*I18,0)</f>
        <v>0</v>
      </c>
      <c r="M18" s="35">
        <f>IFERROR(F18/IFERROR(VLOOKUP($B18,crop_efi_efe!$B$7:$F$426,5,FALSE),(VLOOKUP($B18, crop_efp, 4, FALSE)))*J18*I18,0)</f>
        <v>0</v>
      </c>
    </row>
    <row r="19" spans="1:13" s="889" customFormat="1" ht="12">
      <c r="A19" s="138" t="s">
        <v>7789</v>
      </c>
      <c r="B19" s="806">
        <v>645</v>
      </c>
      <c r="C19" s="930"/>
      <c r="D19" s="1498">
        <f t="shared" si="0"/>
        <v>280000000</v>
      </c>
      <c r="E19" s="908">
        <f t="shared" si="6"/>
        <v>0</v>
      </c>
      <c r="F19" s="903">
        <f t="shared" si="7"/>
        <v>0</v>
      </c>
      <c r="G19" s="953">
        <f t="shared" si="3"/>
        <v>280000000</v>
      </c>
      <c r="H19" s="908">
        <f t="shared" si="4"/>
        <v>55999999.999999985</v>
      </c>
      <c r="I19" s="734">
        <f t="shared" si="5"/>
        <v>1</v>
      </c>
      <c r="J19" s="734">
        <f>eqf!$B$7</f>
        <v>2.5252766180478901</v>
      </c>
      <c r="K19" s="903">
        <f>IFERROR(D19/IFERROR(VLOOKUP(B19,crop_efp, 4, FALSE),VLOOKUP(B19,crop_efi_efe!B$7:F$426,11,FALSE))*J19*I19,0)</f>
        <v>53206974.982699379</v>
      </c>
      <c r="L19" s="903">
        <f>IFERROR(E19/IFERROR(VLOOKUP(B19,crop_efi_efe!B$7:F$426,5,FALSE),(VLOOKUP(B19, crop_efp, 4, FALSE)))*J19*I19,0)</f>
        <v>0</v>
      </c>
      <c r="M19" s="35">
        <f>IFERROR(F19/IFERROR(VLOOKUP($B19,crop_efi_efe!$B$7:$F$426,5,FALSE),(VLOOKUP($B19, crop_efp, 4, FALSE)))*J19*I19,0)</f>
        <v>0</v>
      </c>
    </row>
    <row r="20" spans="1:13" s="889" customFormat="1" ht="12">
      <c r="A20" s="138" t="s">
        <v>7096</v>
      </c>
      <c r="B20" s="806">
        <v>646</v>
      </c>
      <c r="C20" s="930"/>
      <c r="D20" s="1498">
        <f t="shared" si="0"/>
        <v>0</v>
      </c>
      <c r="E20" s="908">
        <f t="shared" si="6"/>
        <v>0</v>
      </c>
      <c r="F20" s="903">
        <f t="shared" si="7"/>
        <v>0</v>
      </c>
      <c r="G20" s="953">
        <f t="shared" si="3"/>
        <v>0</v>
      </c>
      <c r="H20" s="908">
        <f t="shared" si="4"/>
        <v>0</v>
      </c>
      <c r="I20" s="734">
        <f t="shared" si="5"/>
        <v>1</v>
      </c>
      <c r="J20" s="734">
        <f>eqf!$B$7</f>
        <v>2.5252766180478901</v>
      </c>
      <c r="K20" s="903">
        <f>IFERROR(D20/IFERROR(VLOOKUP(B20,crop_efp, 4, FALSE),VLOOKUP(B20,crop_efi_efe!B$7:F$426,11,FALSE))*J20*I20,0)</f>
        <v>0</v>
      </c>
      <c r="L20" s="903">
        <f>IFERROR(E20/IFERROR(VLOOKUP(B20,crop_efi_efe!B$7:F$426,5,FALSE),(VLOOKUP(B20, crop_efp, 4, FALSE)))*J20*I20,0)</f>
        <v>0</v>
      </c>
      <c r="M20" s="35">
        <f>IFERROR(F20/IFERROR(VLOOKUP($B20,crop_efi_efe!$B$7:$F$426,5,FALSE),(VLOOKUP($B20, crop_efp, 4, FALSE)))*J20*I20,0)</f>
        <v>0</v>
      </c>
    </row>
    <row r="21" spans="1:13" s="889" customFormat="1" ht="12">
      <c r="A21" s="138" t="s">
        <v>7084</v>
      </c>
      <c r="B21" s="806">
        <v>647</v>
      </c>
      <c r="C21" s="930"/>
      <c r="D21" s="1498">
        <f t="shared" si="0"/>
        <v>0</v>
      </c>
      <c r="E21" s="908">
        <f t="shared" si="6"/>
        <v>0</v>
      </c>
      <c r="F21" s="903">
        <f t="shared" si="7"/>
        <v>0</v>
      </c>
      <c r="G21" s="953">
        <f t="shared" si="3"/>
        <v>0</v>
      </c>
      <c r="H21" s="908">
        <f t="shared" si="4"/>
        <v>0</v>
      </c>
      <c r="I21" s="734">
        <f t="shared" si="5"/>
        <v>1</v>
      </c>
      <c r="J21" s="734">
        <f>eqf!$B$7</f>
        <v>2.5252766180478901</v>
      </c>
      <c r="K21" s="903">
        <f>IFERROR(D21/IFERROR(VLOOKUP(B21,crop_efp, 4, FALSE),VLOOKUP(B21,crop_efi_efe!B$7:F$426,11,FALSE))*J21*I21,0)</f>
        <v>0</v>
      </c>
      <c r="L21" s="903">
        <f>IFERROR(E21/IFERROR(VLOOKUP(B21,crop_efi_efe!B$7:F$426,5,FALSE),(VLOOKUP(B21, crop_efp, 4, FALSE)))*J21*I21,0)</f>
        <v>0</v>
      </c>
      <c r="M21" s="35">
        <f>IFERROR(F21/IFERROR(VLOOKUP($B21,crop_efi_efe!$B$7:$F$426,5,FALSE),(VLOOKUP($B21, crop_efp, 4, FALSE)))*J21*I21,0)</f>
        <v>0</v>
      </c>
    </row>
    <row r="22" spans="1:13" s="889" customFormat="1" ht="12">
      <c r="A22" s="138" t="s">
        <v>7086</v>
      </c>
      <c r="B22" s="806">
        <v>648</v>
      </c>
      <c r="C22" s="930"/>
      <c r="D22" s="1498">
        <f t="shared" si="0"/>
        <v>0</v>
      </c>
      <c r="E22" s="908">
        <f t="shared" si="6"/>
        <v>0</v>
      </c>
      <c r="F22" s="903">
        <f t="shared" si="7"/>
        <v>0</v>
      </c>
      <c r="G22" s="953">
        <f t="shared" si="3"/>
        <v>0</v>
      </c>
      <c r="H22" s="908">
        <f t="shared" si="4"/>
        <v>0</v>
      </c>
      <c r="I22" s="734">
        <f t="shared" si="5"/>
        <v>1</v>
      </c>
      <c r="J22" s="734">
        <f>eqf!$B$7</f>
        <v>2.5252766180478901</v>
      </c>
      <c r="K22" s="903">
        <f>IFERROR(D22/IFERROR(VLOOKUP(B22,crop_efp, 4, FALSE),VLOOKUP(B22,crop_efi_efe!B$7:F$426,11,FALSE))*J22*I22,0)</f>
        <v>0</v>
      </c>
      <c r="L22" s="903">
        <f>IFERROR(E22/IFERROR(VLOOKUP(B22,crop_efi_efe!B$7:F$426,5,FALSE),(VLOOKUP(B22, crop_efp, 4, FALSE)))*J22*I22,0)</f>
        <v>0</v>
      </c>
      <c r="M22" s="35">
        <f>IFERROR(F22/IFERROR(VLOOKUP($B22,crop_efi_efe!$B$7:$F$426,5,FALSE),(VLOOKUP($B22, crop_efp, 4, FALSE)))*J22*I22,0)</f>
        <v>0</v>
      </c>
    </row>
    <row r="23" spans="1:13" s="889" customFormat="1" ht="12">
      <c r="A23" s="138" t="s">
        <v>7094</v>
      </c>
      <c r="B23" s="806">
        <v>649</v>
      </c>
      <c r="C23" s="930"/>
      <c r="D23" s="1498">
        <f t="shared" si="0"/>
        <v>0</v>
      </c>
      <c r="E23" s="908">
        <f t="shared" si="6"/>
        <v>0</v>
      </c>
      <c r="F23" s="903">
        <f t="shared" si="7"/>
        <v>0</v>
      </c>
      <c r="G23" s="953">
        <f t="shared" si="3"/>
        <v>0</v>
      </c>
      <c r="H23" s="908">
        <f t="shared" si="4"/>
        <v>0</v>
      </c>
      <c r="I23" s="734">
        <f t="shared" si="5"/>
        <v>1</v>
      </c>
      <c r="J23" s="734">
        <f>eqf!$B$7</f>
        <v>2.5252766180478901</v>
      </c>
      <c r="K23" s="903">
        <f>IFERROR(D23/IFERROR(VLOOKUP(B23,crop_efp, 4, FALSE),VLOOKUP(B23,crop_efi_efe!B$7:F$426,11,FALSE))*J23*I23,0)</f>
        <v>0</v>
      </c>
      <c r="L23" s="903">
        <f>IFERROR(E23/IFERROR(VLOOKUP(B23,crop_efi_efe!B$7:F$426,5,FALSE),(VLOOKUP(B23, crop_efp, 4, FALSE)))*J23*I23,0)</f>
        <v>0</v>
      </c>
      <c r="M23" s="35">
        <f>IFERROR(F23/IFERROR(VLOOKUP($B23,crop_efi_efe!$B$7:$F$426,5,FALSE),(VLOOKUP($B23, crop_efp, 4, FALSE)))*J23*I23,0)</f>
        <v>0</v>
      </c>
    </row>
    <row r="24" spans="1:13" s="889" customFormat="1" ht="12">
      <c r="A24" s="138" t="s">
        <v>4830</v>
      </c>
      <c r="B24" s="826">
        <v>651</v>
      </c>
      <c r="C24" s="931" t="s">
        <v>826</v>
      </c>
      <c r="D24" s="1498">
        <f t="shared" si="0"/>
        <v>0</v>
      </c>
      <c r="E24" s="908">
        <f t="shared" si="6"/>
        <v>226674</v>
      </c>
      <c r="F24" s="903">
        <f t="shared" si="7"/>
        <v>4279820</v>
      </c>
      <c r="G24" s="953">
        <f t="shared" si="3"/>
        <v>0</v>
      </c>
      <c r="H24" s="908">
        <f t="shared" si="4"/>
        <v>0</v>
      </c>
      <c r="I24" s="734">
        <f t="shared" si="5"/>
        <v>1</v>
      </c>
      <c r="J24" s="734">
        <f>eqf!$B$7</f>
        <v>2.5252766180478901</v>
      </c>
      <c r="K24" s="903">
        <f>IFERROR(D24/IFERROR(VLOOKUP(B24,crop_efp, 4, FALSE),VLOOKUP(B24,crop_efi_efe!B$7:F$426,11,FALSE))*J24*I24,0)</f>
        <v>0</v>
      </c>
      <c r="L24" s="903">
        <f>IFERROR(E24/IFERROR(VLOOKUP(B24,crop_efi_efe!B$7:F$426,5,FALSE),(VLOOKUP(B24, crop_efp, 4, FALSE)))*J24*I24,0)</f>
        <v>42404.040293682629</v>
      </c>
      <c r="M24" s="35">
        <f>IFERROR(F24/IFERROR(VLOOKUP($B24,crop_efi_efe!$B$7:$F$426,5,FALSE),(VLOOKUP($B24, crop_efp, 4, FALSE)))*J24*I24,0)</f>
        <v>800628.47847441165</v>
      </c>
    </row>
    <row r="25" spans="1:13" s="889" customFormat="1" ht="12">
      <c r="A25" s="138" t="s">
        <v>7213</v>
      </c>
      <c r="B25" s="826">
        <v>652</v>
      </c>
      <c r="C25" s="931"/>
      <c r="D25" s="1498">
        <f t="shared" si="0"/>
        <v>0</v>
      </c>
      <c r="E25" s="908">
        <f t="shared" si="6"/>
        <v>21676</v>
      </c>
      <c r="F25" s="903">
        <f t="shared" si="7"/>
        <v>197761</v>
      </c>
      <c r="G25" s="953">
        <f t="shared" si="3"/>
        <v>0</v>
      </c>
      <c r="H25" s="908">
        <f t="shared" si="4"/>
        <v>0</v>
      </c>
      <c r="I25" s="734">
        <f t="shared" si="5"/>
        <v>1</v>
      </c>
      <c r="J25" s="734">
        <f>eqf!$B$7</f>
        <v>2.5252766180478901</v>
      </c>
      <c r="K25" s="903">
        <f>IFERROR(D25/IFERROR(VLOOKUP(B25,crop_efp, 4, FALSE),VLOOKUP(B25,crop_efi_efe!B$7:F$426,11,FALSE))*J25*I25,0)</f>
        <v>0</v>
      </c>
      <c r="L25" s="903">
        <f>IFERROR(E25/IFERROR(VLOOKUP(B25,crop_efi_efe!B$7:F$426,5,FALSE),(VLOOKUP(B25, crop_efp, 4, FALSE)))*J25*I25,0)</f>
        <v>0</v>
      </c>
      <c r="M25" s="35">
        <f>IFERROR(F25/IFERROR(VLOOKUP($B25,crop_efi_efe!$B$7:$F$426,5,FALSE),(VLOOKUP($B25, crop_efp, 4, FALSE)))*J25*I25,0)</f>
        <v>0</v>
      </c>
    </row>
    <row r="26" spans="1:13" s="889" customFormat="1" ht="12">
      <c r="A26" s="138" t="s">
        <v>7214</v>
      </c>
      <c r="B26" s="826">
        <v>653</v>
      </c>
      <c r="C26" s="931"/>
      <c r="D26" s="1498">
        <f t="shared" si="0"/>
        <v>0</v>
      </c>
      <c r="E26" s="908">
        <f t="shared" si="6"/>
        <v>145</v>
      </c>
      <c r="F26" s="903">
        <f t="shared" si="7"/>
        <v>1565</v>
      </c>
      <c r="G26" s="953">
        <f t="shared" si="3"/>
        <v>0</v>
      </c>
      <c r="H26" s="908">
        <f t="shared" si="4"/>
        <v>0</v>
      </c>
      <c r="I26" s="734">
        <f t="shared" si="5"/>
        <v>1</v>
      </c>
      <c r="J26" s="734">
        <f>eqf!$B$7</f>
        <v>2.5252766180478901</v>
      </c>
      <c r="K26" s="903">
        <f>IFERROR(D26/IFERROR(VLOOKUP(B26,crop_efp, 4, FALSE),VLOOKUP(B26,crop_efi_efe!B$7:F$426,11,FALSE))*J26*I26,0)</f>
        <v>0</v>
      </c>
      <c r="L26" s="903">
        <f>IFERROR(E26/IFERROR(VLOOKUP(B26,crop_efi_efe!B$7:F$426,5,FALSE),(VLOOKUP(B26, crop_efp, 4, FALSE)))*J26*I26,0)</f>
        <v>0</v>
      </c>
      <c r="M26" s="35">
        <f>IFERROR(F26/IFERROR(VLOOKUP($B26,crop_efi_efe!$B$7:$F$426,5,FALSE),(VLOOKUP($B26, crop_efp, 4, FALSE)))*J26*I26,0)</f>
        <v>0</v>
      </c>
    </row>
    <row r="27" spans="1:13" s="889" customFormat="1" ht="12">
      <c r="A27" s="926" t="s">
        <v>7215</v>
      </c>
      <c r="B27" s="826">
        <v>654</v>
      </c>
      <c r="C27" s="931"/>
      <c r="D27" s="1498">
        <f t="shared" si="0"/>
        <v>0</v>
      </c>
      <c r="E27" s="908">
        <f t="shared" si="6"/>
        <v>435901</v>
      </c>
      <c r="F27" s="903">
        <f t="shared" si="7"/>
        <v>9712450</v>
      </c>
      <c r="G27" s="953">
        <f t="shared" si="3"/>
        <v>0</v>
      </c>
      <c r="H27" s="908">
        <f t="shared" si="4"/>
        <v>0</v>
      </c>
      <c r="I27" s="734">
        <f t="shared" si="5"/>
        <v>1</v>
      </c>
      <c r="J27" s="734">
        <f>eqf!$B$7</f>
        <v>2.5252766180478901</v>
      </c>
      <c r="K27" s="903">
        <f>IFERROR(D27/IFERROR(VLOOKUP(B27,crop_efp, 4, FALSE),VLOOKUP(B27,crop_efi_efe!B$7:F$426,11,FALSE))*J27*I27,0)</f>
        <v>0</v>
      </c>
      <c r="L27" s="903">
        <f>IFERROR(E27/IFERROR(VLOOKUP(B27,crop_efi_efe!B$7:F$426,5,FALSE),(VLOOKUP(B27, crop_efp, 4, FALSE)))*J27*I27,0)</f>
        <v>0</v>
      </c>
      <c r="M27" s="35">
        <f>IFERROR(F27/IFERROR(VLOOKUP($B27,crop_efi_efe!$B$7:$F$426,5,FALSE),(VLOOKUP($B27, crop_efp, 4, FALSE)))*J27*I27,0)</f>
        <v>0</v>
      </c>
    </row>
    <row r="28" spans="1:13" s="889" customFormat="1" ht="12">
      <c r="A28" s="138" t="s">
        <v>7097</v>
      </c>
      <c r="B28" s="826">
        <v>655</v>
      </c>
      <c r="C28" s="931"/>
      <c r="D28" s="1498">
        <f t="shared" si="0"/>
        <v>0</v>
      </c>
      <c r="E28" s="908">
        <f t="shared" si="6"/>
        <v>0</v>
      </c>
      <c r="F28" s="903">
        <f t="shared" si="7"/>
        <v>0</v>
      </c>
      <c r="G28" s="953">
        <f t="shared" si="3"/>
        <v>0</v>
      </c>
      <c r="H28" s="908">
        <f t="shared" si="4"/>
        <v>0</v>
      </c>
      <c r="I28" s="734">
        <f t="shared" si="5"/>
        <v>1</v>
      </c>
      <c r="J28" s="734">
        <f>eqf!$B$7</f>
        <v>2.5252766180478901</v>
      </c>
      <c r="K28" s="903">
        <f>IFERROR(D28/IFERROR(VLOOKUP(B28,crop_efp, 4, FALSE),VLOOKUP(B28,crop_efi_efe!B$7:F$426,11,FALSE))*J28*I28,0)</f>
        <v>0</v>
      </c>
      <c r="L28" s="903">
        <f>IFERROR(E28/IFERROR(VLOOKUP(B28,crop_efi_efe!B$7:F$426,5,FALSE),(VLOOKUP(B28, crop_efp, 4, FALSE)))*J28*I28,0)</f>
        <v>0</v>
      </c>
      <c r="M28" s="35">
        <f>IFERROR(F28/IFERROR(VLOOKUP($B28,crop_efi_efe!$B$7:$F$426,5,FALSE),(VLOOKUP($B28, crop_efp, 4, FALSE)))*J28*I28,0)</f>
        <v>0</v>
      </c>
    </row>
    <row r="29" spans="1:13" s="889" customFormat="1" ht="12">
      <c r="A29" s="724" t="s">
        <v>7216</v>
      </c>
      <c r="B29" s="826">
        <v>845</v>
      </c>
      <c r="C29" s="931"/>
      <c r="D29" s="1498">
        <f t="shared" si="0"/>
        <v>0</v>
      </c>
      <c r="E29" s="908">
        <f t="shared" si="6"/>
        <v>246650</v>
      </c>
      <c r="F29" s="903">
        <f t="shared" si="7"/>
        <v>962537</v>
      </c>
      <c r="G29" s="953">
        <f t="shared" si="3"/>
        <v>0</v>
      </c>
      <c r="H29" s="908">
        <f t="shared" si="4"/>
        <v>0</v>
      </c>
      <c r="I29" s="734">
        <f t="shared" si="5"/>
        <v>1</v>
      </c>
      <c r="J29" s="734">
        <f>eqf!$B$7</f>
        <v>2.5252766180478901</v>
      </c>
      <c r="K29" s="903">
        <f>IFERROR(D29/IFERROR(VLOOKUP(B29,crop_efp, 4, FALSE),VLOOKUP(B29,crop_efi_efe!B$7:F$426,11,FALSE))*J29*I29,0)</f>
        <v>0</v>
      </c>
      <c r="L29" s="903">
        <f>IFERROR(E29/IFERROR(VLOOKUP(B29,crop_efi_efe!B$7:F$426,5,FALSE),(VLOOKUP(B29, crop_efp, 4, FALSE)))*J29*I29,0)</f>
        <v>0</v>
      </c>
      <c r="M29" s="35">
        <f>IFERROR(F29/IFERROR(VLOOKUP($B29,crop_efi_efe!$B$7:$F$426,5,FALSE),(VLOOKUP($B29, crop_efp, 4, FALSE)))*J29*I29,0)</f>
        <v>0</v>
      </c>
    </row>
    <row r="30" spans="1:13" s="889" customFormat="1" ht="12">
      <c r="A30" s="724" t="s">
        <v>7217</v>
      </c>
      <c r="B30" s="826">
        <v>846</v>
      </c>
      <c r="C30" s="931"/>
      <c r="D30" s="1498">
        <f t="shared" si="0"/>
        <v>0</v>
      </c>
      <c r="E30" s="908">
        <f t="shared" si="6"/>
        <v>86162</v>
      </c>
      <c r="F30" s="903">
        <f t="shared" si="7"/>
        <v>2042450</v>
      </c>
      <c r="G30" s="953">
        <f t="shared" si="3"/>
        <v>0</v>
      </c>
      <c r="H30" s="908">
        <f t="shared" si="4"/>
        <v>0</v>
      </c>
      <c r="I30" s="734">
        <f t="shared" si="5"/>
        <v>1</v>
      </c>
      <c r="J30" s="734">
        <f>eqf!$B$7</f>
        <v>2.5252766180478901</v>
      </c>
      <c r="K30" s="903">
        <f>IFERROR(D30/IFERROR(VLOOKUP(B30,crop_efp, 4, FALSE),VLOOKUP(B30,crop_efi_efe!B$7:F$426,11,FALSE))*J30*I30,0)</f>
        <v>0</v>
      </c>
      <c r="L30" s="903">
        <f>IFERROR(E30/IFERROR(VLOOKUP(B30,crop_efi_efe!B$7:F$426,5,FALSE),(VLOOKUP(B30, crop_efp, 4, FALSE)))*J30*I30,0)</f>
        <v>588340.40680587979</v>
      </c>
      <c r="M30" s="35">
        <f>IFERROR(F30/IFERROR(VLOOKUP($B30,crop_efi_efe!$B$7:$F$426,5,FALSE),(VLOOKUP($B30, crop_efp, 4, FALSE)))*J30*I30,0)</f>
        <v>13946471.343291348</v>
      </c>
    </row>
    <row r="31" spans="1:13" s="889" customFormat="1" ht="12">
      <c r="A31" s="724" t="s">
        <v>7218</v>
      </c>
      <c r="B31" s="826">
        <v>850</v>
      </c>
      <c r="C31" s="931"/>
      <c r="D31" s="1498">
        <f t="shared" si="0"/>
        <v>0</v>
      </c>
      <c r="E31" s="908">
        <f t="shared" si="6"/>
        <v>0</v>
      </c>
      <c r="F31" s="903">
        <f t="shared" si="7"/>
        <v>0</v>
      </c>
      <c r="G31" s="953">
        <f t="shared" si="3"/>
        <v>0</v>
      </c>
      <c r="H31" s="908">
        <f t="shared" si="4"/>
        <v>0</v>
      </c>
      <c r="I31" s="734">
        <f t="shared" si="5"/>
        <v>1</v>
      </c>
      <c r="J31" s="734">
        <f>eqf!$B$7</f>
        <v>2.5252766180478901</v>
      </c>
      <c r="K31" s="903">
        <f>IFERROR(D31/IFERROR(VLOOKUP(B31,crop_efp, 4, FALSE),VLOOKUP(B31,crop_efi_efe!B$7:F$426,11,FALSE))*J31*I31,0)</f>
        <v>0</v>
      </c>
      <c r="L31" s="903">
        <f>IFERROR(E31/IFERROR(VLOOKUP(B31,crop_efi_efe!B$7:F$426,5,FALSE),(VLOOKUP(B31, crop_efp, 4, FALSE)))*J31*I31,0)</f>
        <v>0</v>
      </c>
      <c r="M31" s="35">
        <f>IFERROR(F31/IFERROR(VLOOKUP($B31,crop_efi_efe!$B$7:$F$426,5,FALSE),(VLOOKUP($B31, crop_efp, 4, FALSE)))*J31*I31,0)</f>
        <v>0</v>
      </c>
    </row>
    <row r="32" spans="1:13" s="889" customFormat="1" ht="12">
      <c r="A32" s="724" t="s">
        <v>3680</v>
      </c>
      <c r="B32" s="826">
        <v>853</v>
      </c>
      <c r="C32" s="931"/>
      <c r="D32" s="1498">
        <f t="shared" si="0"/>
        <v>0</v>
      </c>
      <c r="E32" s="908">
        <f t="shared" si="6"/>
        <v>0</v>
      </c>
      <c r="F32" s="903">
        <f t="shared" si="7"/>
        <v>0</v>
      </c>
      <c r="G32" s="953">
        <f t="shared" si="3"/>
        <v>0</v>
      </c>
      <c r="H32" s="908">
        <f t="shared" si="4"/>
        <v>0</v>
      </c>
      <c r="I32" s="734">
        <f t="shared" si="5"/>
        <v>1</v>
      </c>
      <c r="J32" s="734">
        <f>eqf!$B$7</f>
        <v>2.5252766180478901</v>
      </c>
      <c r="K32" s="903">
        <f>IFERROR(D32/IFERROR(VLOOKUP(B32,crop_efp, 4, FALSE),VLOOKUP(B32,crop_efi_efe!B$7:F$426,11,FALSE))*J32*I32,0)</f>
        <v>0</v>
      </c>
      <c r="L32" s="903">
        <f>IFERROR(E32/IFERROR(VLOOKUP(B32,crop_efi_efe!B$7:F$426,5,FALSE),(VLOOKUP(B32, crop_efp, 4, FALSE)))*J32*I32,0)</f>
        <v>0</v>
      </c>
      <c r="M32" s="35">
        <f>IFERROR(F32/IFERROR(VLOOKUP($B32,crop_efi_efe!$B$7:$F$426,5,FALSE),(VLOOKUP($B32, crop_efp, 4, FALSE)))*J32*I32,0)</f>
        <v>0</v>
      </c>
    </row>
    <row r="33" spans="1:13" s="889" customFormat="1" ht="12">
      <c r="A33" s="138" t="s">
        <v>5052</v>
      </c>
      <c r="B33" s="826">
        <v>858</v>
      </c>
      <c r="C33" s="931" t="s">
        <v>5053</v>
      </c>
      <c r="D33" s="1498">
        <f t="shared" si="0"/>
        <v>0</v>
      </c>
      <c r="E33" s="908">
        <f t="shared" si="6"/>
        <v>0</v>
      </c>
      <c r="F33" s="903">
        <f t="shared" si="7"/>
        <v>0</v>
      </c>
      <c r="G33" s="953">
        <f t="shared" si="3"/>
        <v>0</v>
      </c>
      <c r="H33" s="908">
        <f t="shared" si="4"/>
        <v>0</v>
      </c>
      <c r="I33" s="734">
        <f t="shared" si="5"/>
        <v>1</v>
      </c>
      <c r="J33" s="734">
        <f>eqf!$B$7</f>
        <v>2.5252766180478901</v>
      </c>
      <c r="K33" s="903">
        <f>IFERROR(D33/IFERROR(VLOOKUP(B33,crop_efp, 4, FALSE),VLOOKUP(B33,crop_efi_efe!B$7:F$426,11,FALSE))*J33*I33,0)</f>
        <v>0</v>
      </c>
      <c r="L33" s="903">
        <f>IFERROR(E33/IFERROR(VLOOKUP(B33,crop_efi_efe!B$7:F$426,5,FALSE),(VLOOKUP(B33, crop_efp, 4, FALSE)))*J33*I33,0)</f>
        <v>0</v>
      </c>
      <c r="M33" s="35">
        <f>IFERROR(F33/IFERROR(VLOOKUP($B33,crop_efi_efe!$B$7:$F$426,5,FALSE),(VLOOKUP($B33, crop_efp, 4, FALSE)))*J33*I33,0)</f>
        <v>0</v>
      </c>
    </row>
    <row r="34" spans="1:13" s="889" customFormat="1" ht="12">
      <c r="A34" s="138" t="s">
        <v>5054</v>
      </c>
      <c r="B34" s="806">
        <v>859</v>
      </c>
      <c r="C34" s="930" t="s">
        <v>4892</v>
      </c>
      <c r="D34" s="1498">
        <f t="shared" si="0"/>
        <v>0</v>
      </c>
      <c r="E34" s="908">
        <f t="shared" si="6"/>
        <v>0</v>
      </c>
      <c r="F34" s="903">
        <f t="shared" si="7"/>
        <v>0</v>
      </c>
      <c r="G34" s="953">
        <f t="shared" si="3"/>
        <v>0</v>
      </c>
      <c r="H34" s="908">
        <f t="shared" si="4"/>
        <v>0</v>
      </c>
      <c r="I34" s="734">
        <f t="shared" si="5"/>
        <v>1</v>
      </c>
      <c r="J34" s="734">
        <f>eqf!$B$7</f>
        <v>2.5252766180478901</v>
      </c>
      <c r="K34" s="903">
        <f>IFERROR(D34/IFERROR(VLOOKUP(B34,crop_efp, 4, FALSE),VLOOKUP(B34,crop_efi_efe!B$7:F$426,11,FALSE))*J34*I34,0)</f>
        <v>0</v>
      </c>
      <c r="L34" s="903">
        <f>IFERROR(E34/IFERROR(VLOOKUP(B34,crop_efi_efe!B$7:F$426,5,FALSE),(VLOOKUP(B34, crop_efp, 4, FALSE)))*J34*I34,0)</f>
        <v>0</v>
      </c>
      <c r="M34" s="35">
        <f>IFERROR(F34/IFERROR(VLOOKUP($B34,crop_efi_efe!$B$7:$F$426,5,FALSE),(VLOOKUP($B34, crop_efp, 4, FALSE)))*J34*I34,0)</f>
        <v>0</v>
      </c>
    </row>
    <row r="35" spans="1:13" ht="12">
      <c r="A35" s="138" t="s">
        <v>7219</v>
      </c>
      <c r="B35" s="806">
        <v>862</v>
      </c>
      <c r="C35" s="930"/>
      <c r="D35" s="1498">
        <f t="shared" si="0"/>
        <v>0</v>
      </c>
      <c r="E35" s="908">
        <f t="shared" si="6"/>
        <v>41741</v>
      </c>
      <c r="F35" s="903">
        <f t="shared" si="7"/>
        <v>241928</v>
      </c>
      <c r="G35" s="953">
        <f t="shared" si="3"/>
        <v>0</v>
      </c>
      <c r="H35" s="908">
        <f t="shared" si="4"/>
        <v>0</v>
      </c>
      <c r="I35" s="734">
        <f t="shared" si="5"/>
        <v>1</v>
      </c>
      <c r="J35" s="734">
        <f>eqf!$B$7</f>
        <v>2.5252766180478901</v>
      </c>
      <c r="K35" s="903">
        <f>IFERROR(D35/IFERROR(VLOOKUP(B35, crop_efp, 4, FALSE),VLOOKUP(B35,crop_efi_efe!B$7:F$426,11,FALSE))*J35*I35,0)</f>
        <v>0</v>
      </c>
      <c r="L35" s="903">
        <f>IFERROR(E35/IFERROR(VLOOKUP(B35,crop_efi_efe!B$7:F$426,5,FALSE),(VLOOKUP(B35, crop_efp, 4, FALSE)))*J35*I35,0)</f>
        <v>4808.8902586463291</v>
      </c>
      <c r="M35" s="35">
        <f>IFERROR(F35/IFERROR(VLOOKUP($B35,crop_efi_efe!$B$7:$F$426,5,FALSE),(VLOOKUP($B35, crop_efp, 4, FALSE)))*J35*I35,0)</f>
        <v>27872.001209692851</v>
      </c>
    </row>
    <row r="36" spans="1:13" s="206" customFormat="1" ht="12.75" customHeight="1">
      <c r="A36" s="203" t="s">
        <v>4211</v>
      </c>
      <c r="B36" s="148"/>
      <c r="C36" s="932"/>
      <c r="D36" s="204"/>
      <c r="E36" s="204"/>
      <c r="F36" s="204"/>
      <c r="G36" s="204">
        <f>SUM(G7:G35)</f>
        <v>682989942</v>
      </c>
      <c r="H36" s="204">
        <f>SUM(H7:H35)</f>
        <v>136597988.39999998</v>
      </c>
      <c r="I36" s="951"/>
      <c r="J36" s="835"/>
      <c r="K36" s="204">
        <f>SUM(K7:K35)</f>
        <v>105194973.16320109</v>
      </c>
      <c r="L36" s="204">
        <f>SUM(L7:L35)</f>
        <v>641533.82201410469</v>
      </c>
      <c r="M36" s="205">
        <f>SUM(M7:M35)</f>
        <v>15020497.1580701</v>
      </c>
    </row>
  </sheetData>
  <phoneticPr fontId="5" type="noConversion"/>
  <hyperlinks>
    <hyperlink ref="D2" location="prodstat_crop_n" tooltip="Go to prodstat_crop_n" display="prodstat_crop_n"/>
    <hyperlink ref="E2" location="tradestat_n" tooltip="Go to tradestat_n" display="tradestat_n"/>
    <hyperlink ref="F2" location="crop_trade_yield_w" tooltip="Go to crop_trade_yield_w" display="crop_trade_yield_w"/>
    <hyperlink ref="G2" location="crop_efp!A1" tooltip="Go to crop_efp" display="crop_efp"/>
    <hyperlink ref="H2" location="eqf!A1" tooltip="Go to eqf" display="eqf"/>
    <hyperlink ref="D3" location="livestock_feed_balance!A1" tooltip="Go to livestock_feed_balance_n" display="livestock_feed_balance"/>
    <hyperlink ref="I2" location="constant_crop_factor" display="constant_crop_factor"/>
  </hyperlinks>
  <pageMargins left="0.75" right="0.75" top="1" bottom="1" header="0.5" footer="0.5"/>
  <pageSetup orientation="portrait" verticalDpi="0"/>
  <headerFooter alignWithMargins="0"/>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9" enableFormatConditionsCalculation="0">
    <tabColor theme="6"/>
  </sheetPr>
  <dimension ref="A1:G56"/>
  <sheetViews>
    <sheetView workbookViewId="0">
      <selection activeCell="A65536" sqref="A65536"/>
    </sheetView>
  </sheetViews>
  <sheetFormatPr baseColWidth="10" defaultColWidth="9.1640625" defaultRowHeight="12" x14ac:dyDescent="0"/>
  <cols>
    <col min="1" max="1" width="50.6640625" style="156" customWidth="1"/>
    <col min="2" max="3" width="21.6640625" style="154" customWidth="1"/>
    <col min="4" max="4" width="21.6640625" style="124" customWidth="1"/>
    <col min="5" max="5" width="24.5" style="124" bestFit="1" customWidth="1"/>
    <col min="6" max="7" width="21.6640625" style="124" customWidth="1"/>
    <col min="8" max="16384" width="9.1640625" style="124"/>
  </cols>
  <sheetData>
    <row r="1" spans="1:7" s="53" customFormat="1" ht="12.75" customHeight="1">
      <c r="B1" s="185"/>
      <c r="C1" s="185"/>
      <c r="D1" s="185"/>
      <c r="E1" s="185"/>
      <c r="F1" s="185"/>
      <c r="G1" s="185"/>
    </row>
    <row r="2" spans="1:7" s="53" customFormat="1" ht="12.75" customHeight="1">
      <c r="B2" s="54" t="s">
        <v>1005</v>
      </c>
      <c r="C2" s="1064" t="s">
        <v>2121</v>
      </c>
      <c r="D2" s="1064" t="s">
        <v>6352</v>
      </c>
      <c r="E2" s="1064" t="s">
        <v>6354</v>
      </c>
      <c r="F2" s="1064" t="s">
        <v>7080</v>
      </c>
    </row>
    <row r="3" spans="1:7" s="53" customFormat="1" ht="12.75" customHeight="1">
      <c r="B3" s="54" t="s">
        <v>1006</v>
      </c>
      <c r="C3" s="1064" t="s">
        <v>5261</v>
      </c>
      <c r="D3" s="1064" t="s">
        <v>1814</v>
      </c>
      <c r="E3" s="1064"/>
      <c r="F3" s="1064"/>
    </row>
    <row r="4" spans="1:7" s="53" customFormat="1" ht="12.75" customHeight="1"/>
    <row r="5" spans="1:7" s="154" customFormat="1">
      <c r="A5" s="375" t="s">
        <v>3098</v>
      </c>
      <c r="B5" s="369" t="s">
        <v>2019</v>
      </c>
      <c r="C5" s="369" t="s">
        <v>2018</v>
      </c>
      <c r="D5" s="369" t="s">
        <v>2038</v>
      </c>
      <c r="E5" s="1340" t="s">
        <v>504</v>
      </c>
      <c r="F5" s="1340" t="s">
        <v>7812</v>
      </c>
      <c r="G5" s="1341" t="s">
        <v>7813</v>
      </c>
    </row>
    <row r="6" spans="1:7" s="154" customFormat="1">
      <c r="A6" s="570" t="s">
        <v>548</v>
      </c>
      <c r="B6" s="411" t="s">
        <v>548</v>
      </c>
      <c r="C6" s="411" t="s">
        <v>548</v>
      </c>
      <c r="D6" s="411" t="s">
        <v>3108</v>
      </c>
      <c r="E6" s="1342" t="s">
        <v>1823</v>
      </c>
      <c r="F6" s="1342" t="s">
        <v>1824</v>
      </c>
      <c r="G6" s="1343" t="s">
        <v>7814</v>
      </c>
    </row>
    <row r="7" spans="1:7">
      <c r="A7" s="207" t="s">
        <v>355</v>
      </c>
      <c r="B7" s="825">
        <v>242</v>
      </c>
      <c r="C7" s="142" t="s">
        <v>1536</v>
      </c>
      <c r="D7" s="1356">
        <f>VLOOKUP(B7,crop_efp,3,FALSE)*IFERROR(VLOOKUP(B7,constant_crop_factor,3,FALSE),1)</f>
        <v>1892920</v>
      </c>
      <c r="E7" s="1346">
        <f>HLOOKUP($C$56,constant_livestock_residue,46,FALSE)</f>
        <v>4.2000000000000003E-2</v>
      </c>
      <c r="F7" s="1356">
        <f>D7*E7</f>
        <v>79502.64</v>
      </c>
      <c r="G7" s="1358">
        <f>IFERROR(F7*(1-VLOOKUP(B7,constant_crop_factor!$B$6:$C$323,2,FALSE)),"")</f>
        <v>74732.481599999999</v>
      </c>
    </row>
    <row r="8" spans="1:7">
      <c r="A8" s="209" t="s">
        <v>2175</v>
      </c>
      <c r="B8" s="806">
        <v>56</v>
      </c>
      <c r="C8" s="36" t="s">
        <v>1021</v>
      </c>
      <c r="D8" s="1357">
        <f>VLOOKUP(B8,crop_efp,3,FALSE)*IFERROR(VLOOKUP(B8,constant_crop_factor,3,FALSE),1)</f>
        <v>353699008</v>
      </c>
      <c r="E8" s="1345">
        <f>HLOOKUP($C$56,constant_livestock_residue,37,FALSE)</f>
        <v>4.2000000000000003E-2</v>
      </c>
      <c r="F8" s="1357">
        <f t="shared" ref="F8:F53" si="0">D8*E8</f>
        <v>14855358.336000001</v>
      </c>
      <c r="G8" s="1359">
        <f>IFERROR(F8*(1-VLOOKUP(B8,constant_crop_factor!$B$6:$C$323,2,FALSE)),"")</f>
        <v>12775608.168960001</v>
      </c>
    </row>
    <row r="9" spans="1:7">
      <c r="A9" s="209" t="s">
        <v>2899</v>
      </c>
      <c r="B9" s="806">
        <v>79</v>
      </c>
      <c r="C9" s="36" t="s">
        <v>4068</v>
      </c>
      <c r="D9" s="1357">
        <f>VLOOKUP(B9,crop_efp,3,FALSE)*IFERROR(VLOOKUP(B9,constant_crop_factor,3,FALSE),1)</f>
        <v>391235.29056678771</v>
      </c>
      <c r="E9" s="1345">
        <f>HLOOKUP($C$56,constant_livestock_residue,38,FALSE)</f>
        <v>4.2000000000000003E-2</v>
      </c>
      <c r="F9" s="1357">
        <f t="shared" si="0"/>
        <v>16431.882203805086</v>
      </c>
      <c r="G9" s="1359">
        <f>IFERROR(F9*(1-VLOOKUP(B9,constant_crop_factor!$B$6:$C$323,2,FALSE)),"")</f>
        <v>14131.418695272374</v>
      </c>
    </row>
    <row r="10" spans="1:7">
      <c r="A10" s="209" t="s">
        <v>805</v>
      </c>
      <c r="B10" s="806">
        <v>254</v>
      </c>
      <c r="C10" s="36" t="s">
        <v>806</v>
      </c>
      <c r="D10" s="1357">
        <f>VLOOKUP(B10,crop_efp,3,FALSE)*IFERROR(VLOOKUP(B10,constant_crop_factor,3,FALSE),1)</f>
        <v>0</v>
      </c>
      <c r="E10" s="1345">
        <f>HLOOKUP($C$56,constant_livestock_residue,47,FALSE)</f>
        <v>8.5500000000000007E-2</v>
      </c>
      <c r="F10" s="1357">
        <f t="shared" si="0"/>
        <v>0</v>
      </c>
      <c r="G10" s="1359">
        <f>IFERROR(F10*(1-VLOOKUP(B10,constant_crop_factor!$B$6:$C$323,2,FALSE)),"")</f>
        <v>0</v>
      </c>
    </row>
    <row r="11" spans="1:7">
      <c r="A11" s="209" t="s">
        <v>5073</v>
      </c>
      <c r="B11" s="826"/>
      <c r="C11" s="41"/>
      <c r="D11" s="1357"/>
      <c r="E11" s="1348"/>
      <c r="F11" s="1357"/>
      <c r="G11" s="1359" t="str">
        <f>IFERROR(F11*(1-VLOOKUP(B11,constant_crop_factor!$B$6:$C$323,2,FALSE)),"")</f>
        <v/>
      </c>
    </row>
    <row r="12" spans="1:7">
      <c r="A12" s="211" t="s">
        <v>624</v>
      </c>
      <c r="B12" s="827">
        <v>203</v>
      </c>
      <c r="C12" s="212" t="s">
        <v>625</v>
      </c>
      <c r="D12" s="1357">
        <f t="shared" ref="D12:D22" si="1">VLOOKUP(B12,crop_efp,3,FALSE)*IFERROR(VLOOKUP(B12,constant_crop_factor,3,FALSE),1)</f>
        <v>0</v>
      </c>
      <c r="E12" s="1345">
        <f t="shared" ref="E12:E22" si="2">HLOOKUP($C$56,constant_livestock_residue,44,FALSE)</f>
        <v>3.4999999999999996E-2</v>
      </c>
      <c r="F12" s="1357">
        <f t="shared" si="0"/>
        <v>0</v>
      </c>
      <c r="G12" s="1360">
        <f>IFERROR(F12*(1-VLOOKUP(B12,constant_crop_factor!$B$6:$C$323,2,FALSE)),"")</f>
        <v>0</v>
      </c>
    </row>
    <row r="13" spans="1:7">
      <c r="A13" s="211" t="s">
        <v>2030</v>
      </c>
      <c r="B13" s="827">
        <v>176</v>
      </c>
      <c r="C13" s="212" t="s">
        <v>2031</v>
      </c>
      <c r="D13" s="1357">
        <f t="shared" si="1"/>
        <v>1114750</v>
      </c>
      <c r="E13" s="1345">
        <f t="shared" si="2"/>
        <v>3.4999999999999996E-2</v>
      </c>
      <c r="F13" s="1357">
        <f t="shared" si="0"/>
        <v>39016.249999999993</v>
      </c>
      <c r="G13" s="1360">
        <f>IFERROR(F13*(1-VLOOKUP(B13,constant_crop_factor!$B$6:$C$323,2,FALSE)),"")</f>
        <v>35114.624999999993</v>
      </c>
    </row>
    <row r="14" spans="1:7">
      <c r="A14" s="211" t="s">
        <v>3910</v>
      </c>
      <c r="B14" s="827">
        <v>181</v>
      </c>
      <c r="C14" s="212" t="s">
        <v>3911</v>
      </c>
      <c r="D14" s="1357">
        <f t="shared" si="1"/>
        <v>0</v>
      </c>
      <c r="E14" s="1345">
        <f t="shared" si="2"/>
        <v>3.4999999999999996E-2</v>
      </c>
      <c r="F14" s="1357">
        <f t="shared" si="0"/>
        <v>0</v>
      </c>
      <c r="G14" s="1360">
        <f>IFERROR(F14*(1-VLOOKUP(B14,constant_crop_factor!$B$6:$C$323,2,FALSE)),"")</f>
        <v>0</v>
      </c>
    </row>
    <row r="15" spans="1:7">
      <c r="A15" s="211" t="s">
        <v>2630</v>
      </c>
      <c r="B15" s="827">
        <v>191</v>
      </c>
      <c r="C15" s="212" t="s">
        <v>1650</v>
      </c>
      <c r="D15" s="1357">
        <f t="shared" si="1"/>
        <v>161434</v>
      </c>
      <c r="E15" s="1345">
        <f t="shared" si="2"/>
        <v>3.4999999999999996E-2</v>
      </c>
      <c r="F15" s="1357">
        <f t="shared" si="0"/>
        <v>5650.19</v>
      </c>
      <c r="G15" s="1360">
        <f>IFERROR(F15*(1-VLOOKUP(B15,constant_crop_factor!$B$6:$C$323,2,FALSE)),"")</f>
        <v>5028.6691000000001</v>
      </c>
    </row>
    <row r="16" spans="1:7">
      <c r="A16" s="211" t="s">
        <v>1097</v>
      </c>
      <c r="B16" s="827">
        <v>195</v>
      </c>
      <c r="C16" s="212" t="s">
        <v>1098</v>
      </c>
      <c r="D16" s="1357">
        <f t="shared" si="1"/>
        <v>28985</v>
      </c>
      <c r="E16" s="1345">
        <f t="shared" si="2"/>
        <v>3.4999999999999996E-2</v>
      </c>
      <c r="F16" s="1357">
        <f t="shared" si="0"/>
        <v>1014.4749999999999</v>
      </c>
      <c r="G16" s="1360">
        <f>IFERROR(F16*(1-VLOOKUP(B16,constant_crop_factor!$B$6:$C$323,2,FALSE)),"")</f>
        <v>902.88274999999999</v>
      </c>
    </row>
    <row r="17" spans="1:7">
      <c r="A17" s="211" t="s">
        <v>575</v>
      </c>
      <c r="B17" s="827">
        <v>201</v>
      </c>
      <c r="C17" s="212" t="s">
        <v>576</v>
      </c>
      <c r="D17" s="1357">
        <f t="shared" si="1"/>
        <v>227660</v>
      </c>
      <c r="E17" s="1345">
        <f t="shared" si="2"/>
        <v>3.4999999999999996E-2</v>
      </c>
      <c r="F17" s="1357">
        <f t="shared" si="0"/>
        <v>7968.0999999999995</v>
      </c>
      <c r="G17" s="1360">
        <f>IFERROR(F17*(1-VLOOKUP(B17,constant_crop_factor!$B$6:$C$323,2,FALSE)),"")</f>
        <v>7091.6089999999995</v>
      </c>
    </row>
    <row r="18" spans="1:7">
      <c r="A18" s="211" t="s">
        <v>3258</v>
      </c>
      <c r="B18" s="827">
        <v>210</v>
      </c>
      <c r="C18" s="212" t="s">
        <v>3259</v>
      </c>
      <c r="D18" s="1357">
        <f t="shared" si="1"/>
        <v>0</v>
      </c>
      <c r="E18" s="1345">
        <f t="shared" si="2"/>
        <v>3.4999999999999996E-2</v>
      </c>
      <c r="F18" s="1357">
        <f t="shared" si="0"/>
        <v>0</v>
      </c>
      <c r="G18" s="1360">
        <f>IFERROR(F18*(1-VLOOKUP(B18,constant_crop_factor!$B$6:$C$323,2,FALSE)),"")</f>
        <v>0</v>
      </c>
    </row>
    <row r="19" spans="1:7">
      <c r="A19" s="211" t="s">
        <v>5265</v>
      </c>
      <c r="B19" s="827">
        <v>187</v>
      </c>
      <c r="C19" s="212" t="s">
        <v>5266</v>
      </c>
      <c r="D19" s="1357">
        <f t="shared" si="1"/>
        <v>708510</v>
      </c>
      <c r="E19" s="1345">
        <f t="shared" si="2"/>
        <v>3.4999999999999996E-2</v>
      </c>
      <c r="F19" s="1357">
        <f t="shared" si="0"/>
        <v>24797.85</v>
      </c>
      <c r="G19" s="1360">
        <f>IFERROR(F19*(1-VLOOKUP(B19,constant_crop_factor!$B$6:$C$323,2,FALSE)),"")</f>
        <v>22070.086499999998</v>
      </c>
    </row>
    <row r="20" spans="1:7">
      <c r="A20" s="211" t="s">
        <v>5273</v>
      </c>
      <c r="B20" s="827">
        <v>197</v>
      </c>
      <c r="C20" s="212" t="s">
        <v>5274</v>
      </c>
      <c r="D20" s="1357">
        <f t="shared" si="1"/>
        <v>0</v>
      </c>
      <c r="E20" s="1345">
        <f t="shared" si="2"/>
        <v>3.4999999999999996E-2</v>
      </c>
      <c r="F20" s="1357">
        <f t="shared" si="0"/>
        <v>0</v>
      </c>
      <c r="G20" s="1360">
        <f>IFERROR(F20*(1-VLOOKUP(B20,constant_crop_factor!$B$6:$C$323,2,FALSE)),"")</f>
        <v>0</v>
      </c>
    </row>
    <row r="21" spans="1:7">
      <c r="A21" s="211" t="s">
        <v>102</v>
      </c>
      <c r="B21" s="827">
        <v>211</v>
      </c>
      <c r="C21" s="212" t="s">
        <v>482</v>
      </c>
      <c r="D21" s="1357">
        <f t="shared" si="1"/>
        <v>0</v>
      </c>
      <c r="E21" s="1345">
        <f t="shared" si="2"/>
        <v>3.4999999999999996E-2</v>
      </c>
      <c r="F21" s="1357">
        <f t="shared" si="0"/>
        <v>0</v>
      </c>
      <c r="G21" s="1360">
        <f>IFERROR(F21*(1-VLOOKUP(B21,constant_crop_factor!$B$6:$C$323,2,FALSE)),"")</f>
        <v>0</v>
      </c>
    </row>
    <row r="22" spans="1:7">
      <c r="A22" s="211" t="s">
        <v>1209</v>
      </c>
      <c r="B22" s="827">
        <v>205</v>
      </c>
      <c r="C22" s="212" t="s">
        <v>1210</v>
      </c>
      <c r="D22" s="1357">
        <f t="shared" si="1"/>
        <v>0</v>
      </c>
      <c r="E22" s="1345">
        <f t="shared" si="2"/>
        <v>3.4999999999999996E-2</v>
      </c>
      <c r="F22" s="1357">
        <f t="shared" si="0"/>
        <v>0</v>
      </c>
      <c r="G22" s="1360">
        <f>IFERROR(F22*(1-VLOOKUP(B22,constant_crop_factor!$B$6:$C$323,2,FALSE)),"")</f>
        <v>0</v>
      </c>
    </row>
    <row r="23" spans="1:7">
      <c r="A23" s="209" t="s">
        <v>2614</v>
      </c>
      <c r="B23" s="826"/>
      <c r="C23" s="41"/>
      <c r="D23" s="1357"/>
      <c r="E23" s="1348"/>
      <c r="F23" s="1357"/>
      <c r="G23" s="1359" t="str">
        <f>IFERROR(F23*(1-VLOOKUP(B23,constant_crop_factor!$B$6:$C$323,2,FALSE)),"")</f>
        <v/>
      </c>
    </row>
    <row r="24" spans="1:7">
      <c r="A24" s="211" t="s">
        <v>3879</v>
      </c>
      <c r="B24" s="827">
        <v>265</v>
      </c>
      <c r="C24" s="212" t="s">
        <v>5482</v>
      </c>
      <c r="D24" s="1357">
        <f t="shared" ref="D24:D40" si="3">VLOOKUP(B24,crop_efp,3,FALSE)*IFERROR(VLOOKUP(B24,constant_crop_factor,3,FALSE),1)</f>
        <v>0</v>
      </c>
      <c r="E24" s="1345">
        <f t="shared" ref="E24:E39" si="4">HLOOKUP($C$56,constant_livestock_residue,49,FALSE)</f>
        <v>6.649999999999999E-2</v>
      </c>
      <c r="F24" s="1357">
        <f t="shared" si="0"/>
        <v>0</v>
      </c>
      <c r="G24" s="1359">
        <f>IFERROR(F24*(1-VLOOKUP(B24,constant_crop_factor!$B$6:$C$323,2,FALSE)),"")</f>
        <v>0</v>
      </c>
    </row>
    <row r="25" spans="1:7">
      <c r="A25" s="211" t="s">
        <v>902</v>
      </c>
      <c r="B25" s="827">
        <v>249</v>
      </c>
      <c r="C25" s="212" t="s">
        <v>3649</v>
      </c>
      <c r="D25" s="1357">
        <f t="shared" si="3"/>
        <v>0</v>
      </c>
      <c r="E25" s="1345">
        <f t="shared" si="4"/>
        <v>6.649999999999999E-2</v>
      </c>
      <c r="F25" s="1357">
        <f t="shared" si="0"/>
        <v>0</v>
      </c>
      <c r="G25" s="1359">
        <f>IFERROR(F25*(1-VLOOKUP(B25,constant_crop_factor!$B$6:$C$323,2,FALSE)),"")</f>
        <v>0</v>
      </c>
    </row>
    <row r="26" spans="1:7">
      <c r="A26" s="211" t="s">
        <v>4172</v>
      </c>
      <c r="B26" s="827">
        <v>336</v>
      </c>
      <c r="C26" s="212" t="s">
        <v>69</v>
      </c>
      <c r="D26" s="1357">
        <f t="shared" si="3"/>
        <v>0</v>
      </c>
      <c r="E26" s="1345">
        <f t="shared" si="4"/>
        <v>6.649999999999999E-2</v>
      </c>
      <c r="F26" s="1357">
        <f t="shared" si="0"/>
        <v>0</v>
      </c>
      <c r="G26" s="1359">
        <f>IFERROR(F26*(1-VLOOKUP(B26,constant_crop_factor!$B$6:$C$323,2,FALSE)),"")</f>
        <v>0</v>
      </c>
    </row>
    <row r="27" spans="1:7">
      <c r="A27" s="211" t="s">
        <v>4053</v>
      </c>
      <c r="B27" s="827">
        <v>263</v>
      </c>
      <c r="C27" s="212" t="s">
        <v>1485</v>
      </c>
      <c r="D27" s="1357">
        <f t="shared" si="3"/>
        <v>0</v>
      </c>
      <c r="E27" s="1345">
        <f t="shared" si="4"/>
        <v>6.649999999999999E-2</v>
      </c>
      <c r="F27" s="1357">
        <f t="shared" si="0"/>
        <v>0</v>
      </c>
      <c r="G27" s="1359">
        <f>IFERROR(F27*(1-VLOOKUP(B27,constant_crop_factor!$B$6:$C$323,2,FALSE)),"")</f>
        <v>0</v>
      </c>
    </row>
    <row r="28" spans="1:7">
      <c r="A28" s="211" t="s">
        <v>261</v>
      </c>
      <c r="B28" s="827">
        <v>333</v>
      </c>
      <c r="C28" s="212" t="s">
        <v>1020</v>
      </c>
      <c r="D28" s="1357">
        <f t="shared" si="3"/>
        <v>82250</v>
      </c>
      <c r="E28" s="1345">
        <f t="shared" si="4"/>
        <v>6.649999999999999E-2</v>
      </c>
      <c r="F28" s="1357">
        <f t="shared" si="0"/>
        <v>5469.6249999999991</v>
      </c>
      <c r="G28" s="1359">
        <f>IFERROR(F28*(1-VLOOKUP(B28,constant_crop_factor!$B$6:$C$323,2,FALSE)),"")</f>
        <v>4922.6624999999995</v>
      </c>
    </row>
    <row r="29" spans="1:7">
      <c r="A29" s="211" t="s">
        <v>2897</v>
      </c>
      <c r="B29" s="827">
        <v>299</v>
      </c>
      <c r="C29" s="212" t="s">
        <v>2898</v>
      </c>
      <c r="D29" s="1357">
        <f t="shared" si="3"/>
        <v>0</v>
      </c>
      <c r="E29" s="1345">
        <f t="shared" si="4"/>
        <v>6.649999999999999E-2</v>
      </c>
      <c r="F29" s="1357">
        <f t="shared" si="0"/>
        <v>0</v>
      </c>
      <c r="G29" s="1359">
        <f>IFERROR(F29*(1-VLOOKUP(B29,constant_crop_factor!$B$6:$C$323,2,FALSE)),"")</f>
        <v>0</v>
      </c>
    </row>
    <row r="30" spans="1:7">
      <c r="A30" s="211" t="s">
        <v>799</v>
      </c>
      <c r="B30" s="827">
        <v>292</v>
      </c>
      <c r="C30" s="212" t="s">
        <v>800</v>
      </c>
      <c r="D30" s="1357">
        <f t="shared" si="3"/>
        <v>16660</v>
      </c>
      <c r="E30" s="1345">
        <f t="shared" si="4"/>
        <v>6.649999999999999E-2</v>
      </c>
      <c r="F30" s="1357">
        <f t="shared" si="0"/>
        <v>1107.8899999999999</v>
      </c>
      <c r="G30" s="1359">
        <f>IFERROR(F30*(1-VLOOKUP(B30,constant_crop_factor!$B$6:$C$323,2,FALSE)),"")</f>
        <v>997.10099999999989</v>
      </c>
    </row>
    <row r="31" spans="1:7">
      <c r="A31" s="211" t="s">
        <v>633</v>
      </c>
      <c r="B31" s="827">
        <v>339</v>
      </c>
      <c r="C31" s="212" t="s">
        <v>5551</v>
      </c>
      <c r="D31" s="1357">
        <f t="shared" si="3"/>
        <v>0</v>
      </c>
      <c r="E31" s="1345">
        <f t="shared" si="4"/>
        <v>6.649999999999999E-2</v>
      </c>
      <c r="F31" s="1357">
        <f t="shared" si="0"/>
        <v>0</v>
      </c>
      <c r="G31" s="1359">
        <f>IFERROR(F31*(1-VLOOKUP(B31,constant_crop_factor!$B$6:$C$323,2,FALSE)),"")</f>
        <v>0</v>
      </c>
    </row>
    <row r="32" spans="1:7">
      <c r="A32" s="211" t="s">
        <v>3874</v>
      </c>
      <c r="B32" s="827">
        <v>260</v>
      </c>
      <c r="C32" s="212" t="s">
        <v>2981</v>
      </c>
      <c r="D32" s="1357">
        <f t="shared" si="3"/>
        <v>150560</v>
      </c>
      <c r="E32" s="1345">
        <f t="shared" si="4"/>
        <v>6.649999999999999E-2</v>
      </c>
      <c r="F32" s="1357">
        <f t="shared" si="0"/>
        <v>10012.239999999998</v>
      </c>
      <c r="G32" s="1359">
        <f>IFERROR(F32*(1-VLOOKUP(B32,constant_crop_factor!$B$6:$C$323,2,FALSE)),"")</f>
        <v>4004.8959999999993</v>
      </c>
    </row>
    <row r="33" spans="1:7">
      <c r="A33" s="211" t="s">
        <v>3821</v>
      </c>
      <c r="B33" s="827">
        <v>296</v>
      </c>
      <c r="C33" s="212" t="s">
        <v>2334</v>
      </c>
      <c r="D33" s="1357">
        <f t="shared" si="3"/>
        <v>0</v>
      </c>
      <c r="E33" s="1345">
        <f t="shared" si="4"/>
        <v>6.649999999999999E-2</v>
      </c>
      <c r="F33" s="1357">
        <f t="shared" si="0"/>
        <v>0</v>
      </c>
      <c r="G33" s="1359">
        <f>IFERROR(F33*(1-VLOOKUP(B33,constant_crop_factor!$B$6:$C$323,2,FALSE)),"")</f>
        <v>0</v>
      </c>
    </row>
    <row r="34" spans="1:7">
      <c r="A34" s="211" t="s">
        <v>5561</v>
      </c>
      <c r="B34" s="827">
        <v>270</v>
      </c>
      <c r="C34" s="212" t="s">
        <v>4680</v>
      </c>
      <c r="D34" s="1357">
        <f t="shared" si="3"/>
        <v>1003550</v>
      </c>
      <c r="E34" s="1345">
        <f t="shared" si="4"/>
        <v>6.649999999999999E-2</v>
      </c>
      <c r="F34" s="1357">
        <f t="shared" si="0"/>
        <v>66736.074999999983</v>
      </c>
      <c r="G34" s="1359">
        <f>IFERROR(F34*(1-VLOOKUP(B34,constant_crop_factor!$B$6:$C$323,2,FALSE)),"")</f>
        <v>58727.745999999985</v>
      </c>
    </row>
    <row r="35" spans="1:7">
      <c r="A35" s="211" t="s">
        <v>5322</v>
      </c>
      <c r="B35" s="827">
        <v>280</v>
      </c>
      <c r="C35" s="212" t="s">
        <v>5323</v>
      </c>
      <c r="D35" s="1357">
        <f t="shared" si="3"/>
        <v>95360</v>
      </c>
      <c r="E35" s="1345">
        <f t="shared" si="4"/>
        <v>6.649999999999999E-2</v>
      </c>
      <c r="F35" s="1357">
        <f t="shared" si="0"/>
        <v>6341.4399999999987</v>
      </c>
      <c r="G35" s="1359">
        <f>IFERROR(F35*(1-VLOOKUP(B35,constant_crop_factor!$B$6:$C$323,2,FALSE)),"")</f>
        <v>6024.3679999999986</v>
      </c>
    </row>
    <row r="36" spans="1:7">
      <c r="A36" s="211" t="s">
        <v>1321</v>
      </c>
      <c r="B36" s="827">
        <v>328</v>
      </c>
      <c r="C36" s="212" t="s">
        <v>1322</v>
      </c>
      <c r="D36" s="1357">
        <f t="shared" si="3"/>
        <v>7625800</v>
      </c>
      <c r="E36" s="1345">
        <f t="shared" si="4"/>
        <v>6.649999999999999E-2</v>
      </c>
      <c r="F36" s="1357">
        <f t="shared" si="0"/>
        <v>507115.6999999999</v>
      </c>
      <c r="G36" s="1359">
        <f>IFERROR(F36*(1-VLOOKUP(B36,constant_crop_factor!$B$6:$C$323,2,FALSE)),"")</f>
        <v>456404.12999999989</v>
      </c>
    </row>
    <row r="37" spans="1:7">
      <c r="A37" s="211" t="s">
        <v>2804</v>
      </c>
      <c r="B37" s="827">
        <v>289</v>
      </c>
      <c r="C37" s="212" t="s">
        <v>2086</v>
      </c>
      <c r="D37" s="1357">
        <f t="shared" si="3"/>
        <v>0</v>
      </c>
      <c r="E37" s="1345">
        <f t="shared" si="4"/>
        <v>6.649999999999999E-2</v>
      </c>
      <c r="F37" s="1357">
        <f t="shared" si="0"/>
        <v>0</v>
      </c>
      <c r="G37" s="1359">
        <f>IFERROR(F37*(1-VLOOKUP(B37,constant_crop_factor!$B$6:$C$323,2,FALSE)),"")</f>
        <v>0</v>
      </c>
    </row>
    <row r="38" spans="1:7">
      <c r="A38" s="211" t="s">
        <v>3916</v>
      </c>
      <c r="B38" s="827">
        <v>267</v>
      </c>
      <c r="C38" s="212" t="s">
        <v>3690</v>
      </c>
      <c r="D38" s="1357">
        <f t="shared" si="3"/>
        <v>917060</v>
      </c>
      <c r="E38" s="1345">
        <f t="shared" si="4"/>
        <v>6.649999999999999E-2</v>
      </c>
      <c r="F38" s="1357">
        <f t="shared" si="0"/>
        <v>60984.489999999991</v>
      </c>
      <c r="G38" s="1359">
        <f>IFERROR(F38*(1-VLOOKUP(B38,constant_crop_factor!$B$6:$C$323,2,FALSE)),"")</f>
        <v>56715.575699999987</v>
      </c>
    </row>
    <row r="39" spans="1:7">
      <c r="A39" s="211" t="s">
        <v>3699</v>
      </c>
      <c r="B39" s="827">
        <v>275</v>
      </c>
      <c r="C39" s="212" t="s">
        <v>3700</v>
      </c>
      <c r="D39" s="1357">
        <f t="shared" si="3"/>
        <v>0</v>
      </c>
      <c r="E39" s="1345">
        <f t="shared" si="4"/>
        <v>6.649999999999999E-2</v>
      </c>
      <c r="F39" s="1357">
        <f t="shared" si="0"/>
        <v>0</v>
      </c>
      <c r="G39" s="1359">
        <f>IFERROR(F39*(1-VLOOKUP(B39,constant_crop_factor!$B$6:$C$323,2,FALSE)),"")</f>
        <v>0</v>
      </c>
    </row>
    <row r="40" spans="1:7">
      <c r="A40" s="209" t="s">
        <v>2286</v>
      </c>
      <c r="B40" s="806">
        <v>27</v>
      </c>
      <c r="C40" s="36" t="s">
        <v>2084</v>
      </c>
      <c r="D40" s="1357">
        <f t="shared" si="3"/>
        <v>8613090</v>
      </c>
      <c r="E40" s="1345">
        <f>HLOOKUP($C$56,constant_livestock_residue,36,FALSE)</f>
        <v>4.2000000000000003E-2</v>
      </c>
      <c r="F40" s="1357">
        <f t="shared" si="0"/>
        <v>361749.78</v>
      </c>
      <c r="G40" s="1359">
        <f>IFERROR(F40*(1-VLOOKUP(B40,constant_crop_factor!$B$6:$C$323,2,FALSE)),"")</f>
        <v>311104.81080000004</v>
      </c>
    </row>
    <row r="41" spans="1:7">
      <c r="A41" s="209" t="s">
        <v>2501</v>
      </c>
      <c r="B41" s="826"/>
      <c r="C41" s="41"/>
      <c r="D41" s="1357"/>
      <c r="E41" s="1348"/>
      <c r="F41" s="1357"/>
      <c r="G41" s="1359" t="str">
        <f>IFERROR(F41*(1-VLOOKUP(B41,constant_crop_factor!$B$6:$C$323,2,FALSE)),"")</f>
        <v/>
      </c>
    </row>
    <row r="42" spans="1:7">
      <c r="A42" s="211" t="s">
        <v>3261</v>
      </c>
      <c r="B42" s="827">
        <v>116</v>
      </c>
      <c r="C42" s="212" t="s">
        <v>2081</v>
      </c>
      <c r="D42" s="1357">
        <f t="shared" ref="D42:D53" si="5">VLOOKUP(B42,crop_efp,3,FALSE)*IFERROR(VLOOKUP(B42,constant_crop_factor,3,FALSE),1)</f>
        <v>19715500</v>
      </c>
      <c r="E42" s="1345">
        <f t="shared" ref="E42:E47" si="6">HLOOKUP($C$56,constant_livestock_residue,40,FALSE)</f>
        <v>0</v>
      </c>
      <c r="F42" s="1357">
        <f t="shared" si="0"/>
        <v>0</v>
      </c>
      <c r="G42" s="1359">
        <f>IFERROR(F42*(1-VLOOKUP(B42,constant_crop_factor!$B$6:$C$323,2,FALSE)),"")</f>
        <v>0</v>
      </c>
    </row>
    <row r="43" spans="1:7">
      <c r="A43" s="211" t="s">
        <v>672</v>
      </c>
      <c r="B43" s="827">
        <v>149</v>
      </c>
      <c r="C43" s="212" t="s">
        <v>5567</v>
      </c>
      <c r="D43" s="1357">
        <f t="shared" si="5"/>
        <v>0</v>
      </c>
      <c r="E43" s="1345">
        <f t="shared" si="6"/>
        <v>0</v>
      </c>
      <c r="F43" s="1357">
        <f t="shared" si="0"/>
        <v>0</v>
      </c>
      <c r="G43" s="1359">
        <f>IFERROR(F43*(1-VLOOKUP(B43,constant_crop_factor!$B$6:$C$323,2,FALSE)),"")</f>
        <v>0</v>
      </c>
    </row>
    <row r="44" spans="1:7">
      <c r="A44" s="211" t="s">
        <v>3917</v>
      </c>
      <c r="B44" s="827">
        <v>122</v>
      </c>
      <c r="C44" s="212" t="s">
        <v>3693</v>
      </c>
      <c r="D44" s="1357">
        <f t="shared" si="5"/>
        <v>1124230</v>
      </c>
      <c r="E44" s="1345">
        <f t="shared" si="6"/>
        <v>0</v>
      </c>
      <c r="F44" s="1357">
        <f t="shared" si="0"/>
        <v>0</v>
      </c>
      <c r="G44" s="1359">
        <f>IFERROR(F44*(1-VLOOKUP(B44,constant_crop_factor!$B$6:$C$323,2,FALSE)),"")</f>
        <v>0</v>
      </c>
    </row>
    <row r="45" spans="1:7">
      <c r="A45" s="211" t="s">
        <v>741</v>
      </c>
      <c r="B45" s="827">
        <v>136</v>
      </c>
      <c r="C45" s="212" t="s">
        <v>4577</v>
      </c>
      <c r="D45" s="1357">
        <f t="shared" si="5"/>
        <v>1550</v>
      </c>
      <c r="E45" s="1345">
        <f t="shared" si="6"/>
        <v>0</v>
      </c>
      <c r="F45" s="1357">
        <f t="shared" si="0"/>
        <v>0</v>
      </c>
      <c r="G45" s="1359">
        <f>IFERROR(F45*(1-VLOOKUP(B45,constant_crop_factor!$B$6:$C$323,2,FALSE)),"")</f>
        <v>0</v>
      </c>
    </row>
    <row r="46" spans="1:7">
      <c r="A46" s="211" t="s">
        <v>1217</v>
      </c>
      <c r="B46" s="827">
        <v>137</v>
      </c>
      <c r="C46" s="212" t="s">
        <v>1218</v>
      </c>
      <c r="D46" s="1357">
        <f t="shared" si="5"/>
        <v>0</v>
      </c>
      <c r="E46" s="1345">
        <f t="shared" si="6"/>
        <v>0</v>
      </c>
      <c r="F46" s="1357">
        <f t="shared" si="0"/>
        <v>0</v>
      </c>
      <c r="G46" s="1359">
        <f>IFERROR(F46*(1-VLOOKUP(B46,constant_crop_factor!$B$6:$C$323,2,FALSE)),"")</f>
        <v>0</v>
      </c>
    </row>
    <row r="47" spans="1:7">
      <c r="A47" s="211" t="s">
        <v>3934</v>
      </c>
      <c r="B47" s="827">
        <v>135</v>
      </c>
      <c r="C47" s="212" t="s">
        <v>545</v>
      </c>
      <c r="D47" s="1357">
        <f t="shared" si="5"/>
        <v>0</v>
      </c>
      <c r="E47" s="1345">
        <f t="shared" si="6"/>
        <v>0</v>
      </c>
      <c r="F47" s="1357">
        <f t="shared" si="0"/>
        <v>0</v>
      </c>
      <c r="G47" s="1359">
        <f>IFERROR(F47*(1-VLOOKUP(B47,constant_crop_factor!$B$6:$C$323,2,FALSE)),"")</f>
        <v>0</v>
      </c>
    </row>
    <row r="48" spans="1:7">
      <c r="A48" s="209" t="s">
        <v>2805</v>
      </c>
      <c r="B48" s="806">
        <v>83</v>
      </c>
      <c r="C48" s="36" t="s">
        <v>4073</v>
      </c>
      <c r="D48" s="1357">
        <f t="shared" si="5"/>
        <v>8621042.7279636972</v>
      </c>
      <c r="E48" s="1345">
        <f>HLOOKUP($C$56,constant_livestock_residue,39,FALSE)</f>
        <v>4.2000000000000003E-2</v>
      </c>
      <c r="F48" s="1357">
        <f t="shared" si="0"/>
        <v>362083.79457447532</v>
      </c>
      <c r="G48" s="1359">
        <f>IFERROR(F48*(1-VLOOKUP(B48,constant_crop_factor!$B$6:$C$323,2,FALSE)),"")</f>
        <v>311392.06333404878</v>
      </c>
    </row>
    <row r="49" spans="1:7">
      <c r="A49" s="209" t="s">
        <v>4047</v>
      </c>
      <c r="B49" s="806">
        <v>236</v>
      </c>
      <c r="C49" s="36" t="s">
        <v>4074</v>
      </c>
      <c r="D49" s="1357">
        <f t="shared" si="5"/>
        <v>91389400</v>
      </c>
      <c r="E49" s="1345">
        <f>HLOOKUP($C$56,constant_livestock_residue,45,FALSE)</f>
        <v>0</v>
      </c>
      <c r="F49" s="1357">
        <f t="shared" si="0"/>
        <v>0</v>
      </c>
      <c r="G49" s="1359">
        <f>IFERROR(F49*(1-VLOOKUP(B49,constant_crop_factor!$B$6:$C$323,2,FALSE)),"")</f>
        <v>0</v>
      </c>
    </row>
    <row r="50" spans="1:7">
      <c r="A50" s="209" t="s">
        <v>2502</v>
      </c>
      <c r="B50" s="806">
        <v>157</v>
      </c>
      <c r="C50" s="213" t="s">
        <v>3687</v>
      </c>
      <c r="D50" s="1357">
        <f t="shared" si="5"/>
        <v>29745700</v>
      </c>
      <c r="E50" s="1345">
        <f>HLOOKUP($C$56,constant_livestock_residue,43,FALSE)</f>
        <v>0</v>
      </c>
      <c r="F50" s="1357">
        <f t="shared" si="0"/>
        <v>0</v>
      </c>
      <c r="G50" s="1359">
        <f>IFERROR(F50*(1-VLOOKUP(B50,constant_crop_factor!$B$6:$C$323,2,FALSE)),"")</f>
        <v>0</v>
      </c>
    </row>
    <row r="51" spans="1:7">
      <c r="A51" s="209" t="s">
        <v>1060</v>
      </c>
      <c r="B51" s="806">
        <v>156</v>
      </c>
      <c r="C51" s="213" t="s">
        <v>1061</v>
      </c>
      <c r="D51" s="1357">
        <f t="shared" si="5"/>
        <v>27905900</v>
      </c>
      <c r="E51" s="1345">
        <f>HLOOKUP($C$56,constant_livestock_residue,42,FALSE)</f>
        <v>3.15E-2</v>
      </c>
      <c r="F51" s="1357">
        <f t="shared" si="0"/>
        <v>879035.85</v>
      </c>
      <c r="G51" s="1359">
        <f>IFERROR(F51*(1-VLOOKUP(B51,constant_crop_factor!$B$6:$C$323,2,FALSE)),"")</f>
        <v>149436.09450000004</v>
      </c>
    </row>
    <row r="52" spans="1:7" s="219" customFormat="1">
      <c r="A52" s="209" t="s">
        <v>2285</v>
      </c>
      <c r="B52" s="806">
        <v>15</v>
      </c>
      <c r="C52" s="34" t="s">
        <v>4196</v>
      </c>
      <c r="D52" s="1357">
        <f t="shared" si="5"/>
        <v>60180053.817153856</v>
      </c>
      <c r="E52" s="1345">
        <f>HLOOKUP($C$56,constant_livestock_residue,35,FALSE)</f>
        <v>4.2000000000000003E-2</v>
      </c>
      <c r="F52" s="1357">
        <f t="shared" si="0"/>
        <v>2527562.2603204623</v>
      </c>
      <c r="G52" s="1359">
        <f>IFERROR(F52*(1-VLOOKUP(B52,constant_crop_factor!$B$6:$C$323,2,FALSE)),"")</f>
        <v>2173703.5438755974</v>
      </c>
    </row>
    <row r="53" spans="1:7" s="219" customFormat="1">
      <c r="A53" s="209" t="s">
        <v>4664</v>
      </c>
      <c r="B53" s="826">
        <v>125</v>
      </c>
      <c r="C53" s="214" t="s">
        <v>5481</v>
      </c>
      <c r="D53" s="1357">
        <f t="shared" si="5"/>
        <v>0</v>
      </c>
      <c r="E53" s="1345">
        <f>HLOOKUP($C$56,constant_livestock_residue,35,FALSE)</f>
        <v>4.2000000000000003E-2</v>
      </c>
      <c r="F53" s="1357">
        <f t="shared" si="0"/>
        <v>0</v>
      </c>
      <c r="G53" s="1359">
        <f>IFERROR(F53*(1-VLOOKUP(B53,constant_crop_factor!$B$6:$C$323,2,FALSE)),"")</f>
        <v>0</v>
      </c>
    </row>
    <row r="54" spans="1:7" s="220" customFormat="1">
      <c r="A54" s="215" t="s">
        <v>4211</v>
      </c>
      <c r="B54" s="824"/>
      <c r="C54" s="216"/>
      <c r="D54" s="217"/>
      <c r="E54" s="1347"/>
      <c r="F54" s="217"/>
      <c r="G54" s="1339">
        <f>SUM(G7:G53)</f>
        <v>16468112.933314918</v>
      </c>
    </row>
    <row r="55" spans="1:7" ht="13" thickBot="1">
      <c r="B55" s="221"/>
    </row>
    <row r="56" spans="1:7" ht="13" thickBot="1">
      <c r="A56" s="20" t="s">
        <v>4083</v>
      </c>
      <c r="B56" s="79"/>
      <c r="C56" s="21" t="str">
        <f>VLOOKUP(COUNTRY,constant_feed_region,3,FALSE)</f>
        <v>NAO</v>
      </c>
    </row>
  </sheetData>
  <phoneticPr fontId="5" type="noConversion"/>
  <hyperlinks>
    <hyperlink ref="C3" location="livestock_feed_balance!A1" tooltip="Go to livestock_feed_balance_n" display="livestock_feed_balance"/>
    <hyperlink ref="D3" location="feed_demand_n!A1" display="feed_demand_n"/>
    <hyperlink ref="F2" location="constant_crop_factor" display="constant_crop_factor"/>
    <hyperlink ref="E2" location="constant_feed_region" display="constant_feed_region"/>
    <hyperlink ref="D2" location="constant_livestock_residue" display="constant_livestock_residue"/>
    <hyperlink ref="C2" location="prodstat_crop_n" tooltip="Go to prodstat_crop_n" display="prodstat_crop_n"/>
  </hyperlinks>
  <pageMargins left="0.75" right="0.75" top="1" bottom="1" header="0.5" footer="0.5"/>
  <pageSetup orientation="portrait"/>
  <headerFooter alignWithMargins="0"/>
  <ignoredErrors>
    <ignoredError sqref="B11 B23 B41" numberStoredAsText="1"/>
  </ignoredErrors>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enableFormatConditionsCalculation="0">
    <tabColor theme="6"/>
    <pageSetUpPr autoPageBreaks="0"/>
  </sheetPr>
  <dimension ref="A1:E47"/>
  <sheetViews>
    <sheetView workbookViewId="0">
      <selection activeCell="A65536" sqref="A65536"/>
    </sheetView>
  </sheetViews>
  <sheetFormatPr baseColWidth="10" defaultColWidth="9.1640625" defaultRowHeight="12.75" customHeight="1" x14ac:dyDescent="0"/>
  <cols>
    <col min="1" max="1" width="50.6640625" style="150" customWidth="1"/>
    <col min="2" max="2" width="14.83203125" style="150" customWidth="1"/>
    <col min="3" max="3" width="21.6640625" style="150" customWidth="1"/>
    <col min="4" max="4" width="21.6640625" style="53" customWidth="1"/>
    <col min="5" max="16384" width="9.1640625" style="53"/>
  </cols>
  <sheetData>
    <row r="1" spans="1:5" ht="12.75" customHeight="1">
      <c r="A1" s="53"/>
      <c r="B1" s="185"/>
      <c r="C1" s="185"/>
      <c r="D1" s="185"/>
    </row>
    <row r="2" spans="1:5" ht="12.75" customHeight="1">
      <c r="A2" s="53"/>
      <c r="B2" s="54" t="s">
        <v>1005</v>
      </c>
      <c r="C2" s="184" t="s">
        <v>1813</v>
      </c>
    </row>
    <row r="3" spans="1:5" ht="12.75" customHeight="1">
      <c r="A3" s="53"/>
      <c r="B3" s="54" t="s">
        <v>1006</v>
      </c>
      <c r="C3" s="1064" t="s">
        <v>1828</v>
      </c>
      <c r="D3" s="1064" t="s">
        <v>1827</v>
      </c>
      <c r="E3" s="1064" t="s">
        <v>5259</v>
      </c>
    </row>
    <row r="4" spans="1:5" ht="12.75" customHeight="1">
      <c r="A4" s="53"/>
      <c r="B4" s="53"/>
      <c r="C4" s="53"/>
    </row>
    <row r="5" spans="1:5" s="150" customFormat="1" ht="12">
      <c r="A5" s="374" t="s">
        <v>2036</v>
      </c>
      <c r="B5" s="369" t="s">
        <v>2019</v>
      </c>
      <c r="C5" s="369" t="s">
        <v>2018</v>
      </c>
      <c r="D5" s="1341" t="s">
        <v>2038</v>
      </c>
    </row>
    <row r="6" spans="1:5" s="150" customFormat="1" ht="12">
      <c r="A6" s="371" t="s">
        <v>548</v>
      </c>
      <c r="B6" s="372" t="s">
        <v>548</v>
      </c>
      <c r="C6" s="372" t="s">
        <v>548</v>
      </c>
      <c r="D6" s="373" t="s">
        <v>3872</v>
      </c>
    </row>
    <row r="7" spans="1:5" ht="12">
      <c r="A7" s="141" t="s">
        <v>1478</v>
      </c>
      <c r="B7" s="822">
        <v>1183</v>
      </c>
      <c r="C7" s="142" t="s">
        <v>3635</v>
      </c>
      <c r="D7" s="1151">
        <v>1600</v>
      </c>
    </row>
    <row r="8" spans="1:5" ht="12">
      <c r="A8" s="143" t="s">
        <v>3391</v>
      </c>
      <c r="B8" s="821">
        <v>1089</v>
      </c>
      <c r="C8" s="36" t="s">
        <v>4629</v>
      </c>
      <c r="D8" s="1152"/>
    </row>
    <row r="9" spans="1:5" ht="12">
      <c r="A9" s="143" t="s">
        <v>4248</v>
      </c>
      <c r="B9" s="821">
        <v>957</v>
      </c>
      <c r="C9" s="36" t="s">
        <v>4249</v>
      </c>
      <c r="D9" s="1152"/>
    </row>
    <row r="10" spans="1:5" ht="12">
      <c r="A10" s="143" t="s">
        <v>4630</v>
      </c>
      <c r="B10" s="821">
        <v>947</v>
      </c>
      <c r="C10" s="36" t="s">
        <v>4631</v>
      </c>
      <c r="D10" s="1152"/>
    </row>
    <row r="11" spans="1:5" ht="12">
      <c r="A11" s="143" t="s">
        <v>4632</v>
      </c>
      <c r="B11" s="821">
        <v>951</v>
      </c>
      <c r="C11" s="36" t="s">
        <v>2937</v>
      </c>
      <c r="D11" s="1152"/>
    </row>
    <row r="12" spans="1:5" ht="12">
      <c r="A12" s="143" t="s">
        <v>4634</v>
      </c>
      <c r="B12" s="821">
        <v>1127</v>
      </c>
      <c r="C12" s="36" t="s">
        <v>4635</v>
      </c>
      <c r="D12" s="1152"/>
    </row>
    <row r="13" spans="1:5" ht="12">
      <c r="A13" s="143" t="s">
        <v>4636</v>
      </c>
      <c r="B13" s="821">
        <v>1130</v>
      </c>
      <c r="C13" s="36" t="s">
        <v>4637</v>
      </c>
      <c r="D13" s="1152"/>
    </row>
    <row r="14" spans="1:5" ht="12">
      <c r="A14" s="143" t="s">
        <v>1939</v>
      </c>
      <c r="B14" s="821">
        <v>919</v>
      </c>
      <c r="C14" s="36" t="s">
        <v>10</v>
      </c>
      <c r="D14" s="1152">
        <v>1123460</v>
      </c>
    </row>
    <row r="15" spans="1:5" ht="12">
      <c r="A15" s="143" t="s">
        <v>4638</v>
      </c>
      <c r="B15" s="821">
        <v>867</v>
      </c>
      <c r="C15" s="36" t="s">
        <v>4639</v>
      </c>
      <c r="D15" s="1152">
        <v>11698500</v>
      </c>
    </row>
    <row r="16" spans="1:5" ht="12">
      <c r="A16" s="143" t="s">
        <v>1923</v>
      </c>
      <c r="B16" s="821">
        <v>1058</v>
      </c>
      <c r="C16" s="36" t="s">
        <v>480</v>
      </c>
      <c r="D16" s="1152">
        <v>17396900</v>
      </c>
    </row>
    <row r="17" spans="1:4" ht="12">
      <c r="A17" s="143" t="s">
        <v>5594</v>
      </c>
      <c r="B17" s="821">
        <v>882</v>
      </c>
      <c r="C17" s="36" t="s">
        <v>5595</v>
      </c>
      <c r="D17" s="1152">
        <v>91271104</v>
      </c>
    </row>
    <row r="18" spans="1:4" ht="12">
      <c r="A18" s="143" t="s">
        <v>5596</v>
      </c>
      <c r="B18" s="821">
        <v>1069</v>
      </c>
      <c r="C18" s="36" t="s">
        <v>4800</v>
      </c>
      <c r="D18" s="1152">
        <v>55065</v>
      </c>
    </row>
    <row r="19" spans="1:4" ht="12">
      <c r="A19" s="143" t="s">
        <v>4801</v>
      </c>
      <c r="B19" s="821">
        <v>1163</v>
      </c>
      <c r="C19" s="36" t="s">
        <v>2933</v>
      </c>
      <c r="D19" s="1152">
        <v>248400</v>
      </c>
    </row>
    <row r="20" spans="1:4" ht="12">
      <c r="A20" s="143" t="s">
        <v>2934</v>
      </c>
      <c r="B20" s="821">
        <v>1017</v>
      </c>
      <c r="C20" s="36" t="s">
        <v>2935</v>
      </c>
      <c r="D20" s="1152"/>
    </row>
    <row r="21" spans="1:4" ht="12">
      <c r="A21" s="143" t="s">
        <v>2936</v>
      </c>
      <c r="B21" s="821">
        <v>1020</v>
      </c>
      <c r="C21" s="36" t="s">
        <v>4633</v>
      </c>
      <c r="D21" s="1152"/>
    </row>
    <row r="22" spans="1:4" ht="12">
      <c r="A22" s="143" t="s">
        <v>11</v>
      </c>
      <c r="B22" s="821">
        <v>1025</v>
      </c>
      <c r="C22" s="36" t="s">
        <v>12</v>
      </c>
      <c r="D22" s="1152"/>
    </row>
    <row r="23" spans="1:4" ht="12">
      <c r="A23" s="143" t="s">
        <v>5188</v>
      </c>
      <c r="B23" s="821">
        <v>1073</v>
      </c>
      <c r="C23" s="36" t="s">
        <v>5189</v>
      </c>
      <c r="D23" s="1152"/>
    </row>
    <row r="24" spans="1:4" ht="12">
      <c r="A24" s="143" t="s">
        <v>5448</v>
      </c>
      <c r="B24" s="821">
        <v>1100</v>
      </c>
      <c r="C24" s="36" t="s">
        <v>5449</v>
      </c>
      <c r="D24" s="1152"/>
    </row>
    <row r="25" spans="1:4" ht="12">
      <c r="A25" s="143" t="s">
        <v>5190</v>
      </c>
      <c r="B25" s="821">
        <v>1062</v>
      </c>
      <c r="C25" s="36" t="s">
        <v>5191</v>
      </c>
      <c r="D25" s="1152">
        <v>5636230</v>
      </c>
    </row>
    <row r="26" spans="1:4" ht="12">
      <c r="A26" s="143" t="s">
        <v>13</v>
      </c>
      <c r="B26" s="821">
        <v>1067</v>
      </c>
      <c r="C26" s="36" t="s">
        <v>5191</v>
      </c>
      <c r="D26" s="1152"/>
    </row>
    <row r="27" spans="1:4" ht="12">
      <c r="A27" s="143" t="s">
        <v>5192</v>
      </c>
      <c r="B27" s="821">
        <v>1097</v>
      </c>
      <c r="C27" s="36" t="s">
        <v>5193</v>
      </c>
      <c r="D27" s="1152">
        <v>27500</v>
      </c>
    </row>
    <row r="28" spans="1:4" ht="12.75" customHeight="1">
      <c r="A28" s="143" t="s">
        <v>5162</v>
      </c>
      <c r="B28" s="821">
        <v>1166</v>
      </c>
      <c r="C28" s="36" t="s">
        <v>14</v>
      </c>
      <c r="D28" s="1153"/>
    </row>
    <row r="29" spans="1:4" ht="12.75" customHeight="1">
      <c r="A29" s="143" t="s">
        <v>5163</v>
      </c>
      <c r="B29" s="821">
        <v>1108</v>
      </c>
      <c r="C29" s="36" t="s">
        <v>15</v>
      </c>
      <c r="D29" s="1153"/>
    </row>
    <row r="30" spans="1:4" ht="12.75" customHeight="1">
      <c r="A30" s="143" t="s">
        <v>16</v>
      </c>
      <c r="B30" s="821">
        <v>1111</v>
      </c>
      <c r="C30" s="36" t="s">
        <v>17</v>
      </c>
      <c r="D30" s="1153"/>
    </row>
    <row r="31" spans="1:4" ht="12.75" customHeight="1">
      <c r="A31" s="143" t="s">
        <v>18</v>
      </c>
      <c r="B31" s="821">
        <v>1151</v>
      </c>
      <c r="C31" s="36" t="s">
        <v>19</v>
      </c>
      <c r="D31" s="1153"/>
    </row>
    <row r="32" spans="1:4" ht="12.75" customHeight="1">
      <c r="A32" s="143" t="s">
        <v>20</v>
      </c>
      <c r="B32" s="821">
        <v>1158</v>
      </c>
      <c r="C32" s="36" t="s">
        <v>21</v>
      </c>
      <c r="D32" s="1153"/>
    </row>
    <row r="33" spans="1:4" ht="12.75" customHeight="1">
      <c r="A33" s="143" t="s">
        <v>784</v>
      </c>
      <c r="B33" s="821">
        <v>1182</v>
      </c>
      <c r="C33" s="36" t="s">
        <v>5187</v>
      </c>
      <c r="D33" s="1153">
        <v>67812</v>
      </c>
    </row>
    <row r="34" spans="1:4" ht="12.75" customHeight="1">
      <c r="A34" s="143" t="s">
        <v>916</v>
      </c>
      <c r="B34" s="821">
        <v>1167</v>
      </c>
      <c r="C34" s="36" t="s">
        <v>22</v>
      </c>
      <c r="D34" s="1153"/>
    </row>
    <row r="35" spans="1:4" ht="12.75" customHeight="1">
      <c r="A35" s="143" t="s">
        <v>3963</v>
      </c>
      <c r="B35" s="821">
        <v>1091</v>
      </c>
      <c r="C35" s="36" t="s">
        <v>3662</v>
      </c>
      <c r="D35" s="1153"/>
    </row>
    <row r="36" spans="1:4" ht="12.75" customHeight="1">
      <c r="A36" s="143" t="s">
        <v>23</v>
      </c>
      <c r="B36" s="821">
        <v>1092</v>
      </c>
      <c r="C36" s="36" t="s">
        <v>3662</v>
      </c>
      <c r="D36" s="1153"/>
    </row>
    <row r="37" spans="1:4" ht="12.75" customHeight="1">
      <c r="A37" s="143" t="s">
        <v>3663</v>
      </c>
      <c r="B37" s="821">
        <v>1035</v>
      </c>
      <c r="C37" s="36" t="s">
        <v>139</v>
      </c>
      <c r="D37" s="1153">
        <v>10509700</v>
      </c>
    </row>
    <row r="38" spans="1:4" ht="12.75" customHeight="1">
      <c r="A38" s="143" t="s">
        <v>4052</v>
      </c>
      <c r="B38" s="821">
        <v>1141</v>
      </c>
      <c r="C38" s="36" t="s">
        <v>2082</v>
      </c>
      <c r="D38" s="1153"/>
    </row>
    <row r="39" spans="1:4" ht="12.75" customHeight="1">
      <c r="A39" s="143" t="s">
        <v>1954</v>
      </c>
      <c r="B39" s="821">
        <v>977</v>
      </c>
      <c r="C39" s="36" t="s">
        <v>1955</v>
      </c>
      <c r="D39" s="1153">
        <v>73074</v>
      </c>
    </row>
    <row r="40" spans="1:4" ht="12.75" customHeight="1">
      <c r="A40" s="143" t="s">
        <v>1956</v>
      </c>
      <c r="B40" s="821">
        <v>982</v>
      </c>
      <c r="C40" s="36" t="s">
        <v>1957</v>
      </c>
      <c r="D40" s="1153"/>
    </row>
    <row r="41" spans="1:4" ht="12.75" customHeight="1">
      <c r="A41" s="143" t="s">
        <v>673</v>
      </c>
      <c r="B41" s="821">
        <v>995</v>
      </c>
      <c r="C41" s="36" t="s">
        <v>5167</v>
      </c>
      <c r="D41" s="1153">
        <v>7237</v>
      </c>
    </row>
    <row r="42" spans="1:4" ht="12.75" customHeight="1">
      <c r="A42" s="143" t="s">
        <v>1958</v>
      </c>
      <c r="B42" s="821">
        <v>1185</v>
      </c>
      <c r="C42" s="36" t="s">
        <v>2087</v>
      </c>
      <c r="D42" s="1153"/>
    </row>
    <row r="43" spans="1:4" ht="12.75" customHeight="1">
      <c r="A43" s="143" t="s">
        <v>2854</v>
      </c>
      <c r="B43" s="821">
        <v>1195</v>
      </c>
      <c r="C43" s="36" t="s">
        <v>2855</v>
      </c>
      <c r="D43" s="1153"/>
    </row>
    <row r="44" spans="1:4" ht="12.75" customHeight="1">
      <c r="A44" s="143" t="s">
        <v>360</v>
      </c>
      <c r="B44" s="821">
        <v>999</v>
      </c>
      <c r="C44" s="36" t="s">
        <v>361</v>
      </c>
      <c r="D44" s="1153"/>
    </row>
    <row r="45" spans="1:4" ht="12.75" customHeight="1">
      <c r="A45" s="143" t="s">
        <v>5168</v>
      </c>
      <c r="B45" s="821">
        <v>1176</v>
      </c>
      <c r="C45" s="36" t="s">
        <v>5169</v>
      </c>
      <c r="D45" s="1153"/>
    </row>
    <row r="46" spans="1:4" ht="12.75" customHeight="1">
      <c r="A46" s="143" t="s">
        <v>1959</v>
      </c>
      <c r="B46" s="821">
        <v>1080</v>
      </c>
      <c r="C46" s="36" t="s">
        <v>1598</v>
      </c>
      <c r="D46" s="1153">
        <v>2633090</v>
      </c>
    </row>
    <row r="47" spans="1:4" ht="12.75" customHeight="1">
      <c r="A47" s="145" t="s">
        <v>1960</v>
      </c>
      <c r="B47" s="807">
        <v>987</v>
      </c>
      <c r="C47" s="146" t="s">
        <v>1090</v>
      </c>
      <c r="D47" s="1154">
        <v>14000</v>
      </c>
    </row>
  </sheetData>
  <phoneticPr fontId="5" type="noConversion"/>
  <conditionalFormatting sqref="D7:D31">
    <cfRule type="cellIs" dxfId="15" priority="1" stopIfTrue="1" operator="equal">
      <formula>0</formula>
    </cfRule>
  </conditionalFormatting>
  <hyperlinks>
    <hyperlink ref="D3" location="livestock_intensity_n_crop!A1" tooltip="Go to livestock_intensity_n_crop" display="livestock_intensity_n_crop"/>
    <hyperlink ref="C3" location="livestock_intensity_n_grazing!A1" tooltip="Go to livestock_intensity_n_grazing" display="livestock_intensity_n_grazing"/>
    <hyperlink ref="E3" location="livestock_intensity_n_fish!A1" tooltip="Go to livestock_intensity_n_crop" display="livestock_intensity_n_fish"/>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tabColor theme="6"/>
  </sheetPr>
  <dimension ref="A1:F22"/>
  <sheetViews>
    <sheetView workbookViewId="0">
      <selection activeCell="A65536" sqref="A65536"/>
    </sheetView>
  </sheetViews>
  <sheetFormatPr baseColWidth="10" defaultColWidth="9.1640625" defaultRowHeight="12" x14ac:dyDescent="0"/>
  <cols>
    <col min="1" max="1" width="50.6640625" style="154" customWidth="1"/>
    <col min="2" max="2" width="14.83203125" style="154" customWidth="1"/>
    <col min="3" max="3" width="21.6640625" style="154" customWidth="1"/>
    <col min="4" max="4" width="21.6640625" style="124" customWidth="1"/>
    <col min="5" max="5" width="21.6640625" style="400" customWidth="1"/>
    <col min="6" max="6" width="21.6640625" style="124" customWidth="1"/>
    <col min="7" max="16384" width="9.1640625" style="124"/>
  </cols>
  <sheetData>
    <row r="1" spans="1:6" s="53" customFormat="1" ht="12.75" customHeight="1">
      <c r="B1" s="185"/>
      <c r="C1" s="185"/>
      <c r="D1" s="185"/>
      <c r="E1" s="397"/>
      <c r="F1" s="185"/>
    </row>
    <row r="2" spans="1:6" s="53" customFormat="1" ht="12.75" customHeight="1">
      <c r="B2" s="54" t="s">
        <v>1005</v>
      </c>
      <c r="C2" s="184" t="s">
        <v>1813</v>
      </c>
      <c r="D2" s="185"/>
      <c r="E2" s="397"/>
      <c r="F2" s="185"/>
    </row>
    <row r="3" spans="1:6" s="53" customFormat="1" ht="12.75" customHeight="1">
      <c r="B3" s="54" t="s">
        <v>1006</v>
      </c>
      <c r="C3" s="1064" t="s">
        <v>1814</v>
      </c>
      <c r="D3" s="1064" t="s">
        <v>1828</v>
      </c>
      <c r="E3" s="1064" t="s">
        <v>5259</v>
      </c>
      <c r="F3" s="1064" t="s">
        <v>1827</v>
      </c>
    </row>
    <row r="4" spans="1:6" s="53" customFormat="1" ht="12.75" customHeight="1">
      <c r="E4" s="83"/>
    </row>
    <row r="5" spans="1:6" s="157" customFormat="1">
      <c r="A5" s="374" t="s">
        <v>2036</v>
      </c>
      <c r="B5" s="369" t="s">
        <v>2019</v>
      </c>
      <c r="C5" s="369" t="s">
        <v>2018</v>
      </c>
      <c r="D5" s="370" t="s">
        <v>1091</v>
      </c>
      <c r="E5" s="398"/>
    </row>
    <row r="6" spans="1:6" s="157" customFormat="1">
      <c r="A6" s="371" t="s">
        <v>548</v>
      </c>
      <c r="B6" s="372" t="s">
        <v>548</v>
      </c>
      <c r="C6" s="372" t="s">
        <v>548</v>
      </c>
      <c r="D6" s="373" t="s">
        <v>3208</v>
      </c>
      <c r="E6" s="399"/>
    </row>
    <row r="7" spans="1:6">
      <c r="A7" s="141" t="s">
        <v>3389</v>
      </c>
      <c r="B7" s="822">
        <v>1107</v>
      </c>
      <c r="C7" s="142" t="s">
        <v>5170</v>
      </c>
      <c r="D7" s="1151">
        <v>52000</v>
      </c>
      <c r="F7" s="56"/>
    </row>
    <row r="8" spans="1:6">
      <c r="A8" s="143" t="s">
        <v>1476</v>
      </c>
      <c r="B8" s="821">
        <v>1181</v>
      </c>
      <c r="C8" s="36" t="s">
        <v>1477</v>
      </c>
      <c r="D8" s="1152">
        <v>2640000</v>
      </c>
      <c r="F8" s="56"/>
    </row>
    <row r="9" spans="1:6">
      <c r="A9" s="143" t="s">
        <v>2276</v>
      </c>
      <c r="B9" s="821">
        <v>946</v>
      </c>
      <c r="C9" s="36" t="s">
        <v>2277</v>
      </c>
      <c r="D9" s="1152"/>
      <c r="F9" s="56"/>
    </row>
    <row r="10" spans="1:6">
      <c r="A10" s="143" t="s">
        <v>5071</v>
      </c>
      <c r="B10" s="821">
        <v>1126</v>
      </c>
      <c r="C10" s="36" t="s">
        <v>5072</v>
      </c>
      <c r="D10" s="1152"/>
      <c r="F10" s="56"/>
    </row>
    <row r="11" spans="1:6">
      <c r="A11" s="143" t="s">
        <v>4828</v>
      </c>
      <c r="B11" s="821">
        <v>866</v>
      </c>
      <c r="C11" s="36" t="s">
        <v>28</v>
      </c>
      <c r="D11" s="1152">
        <v>90095200</v>
      </c>
      <c r="F11" s="56"/>
    </row>
    <row r="12" spans="1:6">
      <c r="A12" s="143" t="s">
        <v>4710</v>
      </c>
      <c r="B12" s="821">
        <v>1057</v>
      </c>
      <c r="C12" s="36" t="s">
        <v>4711</v>
      </c>
      <c r="D12" s="1152">
        <v>1945900032</v>
      </c>
      <c r="F12" s="56"/>
    </row>
    <row r="13" spans="1:6">
      <c r="A13" s="143" t="s">
        <v>3200</v>
      </c>
      <c r="B13" s="821">
        <v>1068</v>
      </c>
      <c r="C13" s="36" t="s">
        <v>3201</v>
      </c>
      <c r="D13" s="1152">
        <v>7300000</v>
      </c>
      <c r="F13" s="56"/>
    </row>
    <row r="14" spans="1:6">
      <c r="A14" s="143" t="s">
        <v>3759</v>
      </c>
      <c r="B14" s="821">
        <v>1072</v>
      </c>
      <c r="C14" s="36" t="s">
        <v>3760</v>
      </c>
      <c r="D14" s="1152"/>
      <c r="F14" s="56"/>
    </row>
    <row r="15" spans="1:6">
      <c r="A15" s="143" t="s">
        <v>408</v>
      </c>
      <c r="B15" s="821">
        <v>1016</v>
      </c>
      <c r="C15" s="36" t="s">
        <v>409</v>
      </c>
      <c r="D15" s="1152">
        <v>2632000</v>
      </c>
      <c r="F15" s="56"/>
    </row>
    <row r="16" spans="1:6">
      <c r="A16" s="143" t="s">
        <v>2783</v>
      </c>
      <c r="B16" s="821">
        <v>1096</v>
      </c>
      <c r="C16" s="36" t="s">
        <v>2784</v>
      </c>
      <c r="D16" s="1152">
        <v>10250000</v>
      </c>
      <c r="F16" s="56"/>
    </row>
    <row r="17" spans="1:6">
      <c r="A17" s="143" t="s">
        <v>5166</v>
      </c>
      <c r="B17" s="821">
        <v>1110</v>
      </c>
      <c r="C17" s="36" t="s">
        <v>5171</v>
      </c>
      <c r="D17" s="1152">
        <v>0</v>
      </c>
      <c r="F17" s="56"/>
    </row>
    <row r="18" spans="1:6">
      <c r="A18" s="143" t="s">
        <v>3101</v>
      </c>
      <c r="B18" s="821">
        <v>1157</v>
      </c>
      <c r="C18" s="36" t="s">
        <v>3102</v>
      </c>
      <c r="D18" s="1152"/>
      <c r="F18" s="56"/>
    </row>
    <row r="19" spans="1:6">
      <c r="A19" s="143" t="s">
        <v>3103</v>
      </c>
      <c r="B19" s="821">
        <v>1150</v>
      </c>
      <c r="C19" s="36" t="s">
        <v>3104</v>
      </c>
      <c r="D19" s="1152"/>
      <c r="F19" s="56"/>
    </row>
    <row r="20" spans="1:6">
      <c r="A20" s="143" t="s">
        <v>1750</v>
      </c>
      <c r="B20" s="821">
        <v>1034</v>
      </c>
      <c r="C20" s="36" t="s">
        <v>3469</v>
      </c>
      <c r="D20" s="1152">
        <v>64775000</v>
      </c>
    </row>
    <row r="21" spans="1:6">
      <c r="A21" s="143" t="s">
        <v>1961</v>
      </c>
      <c r="B21" s="821">
        <v>976</v>
      </c>
      <c r="C21" s="36" t="s">
        <v>1746</v>
      </c>
      <c r="D21" s="1152">
        <v>5360000</v>
      </c>
    </row>
    <row r="22" spans="1:6">
      <c r="A22" s="145" t="s">
        <v>4812</v>
      </c>
      <c r="B22" s="807">
        <v>1079</v>
      </c>
      <c r="C22" s="146" t="s">
        <v>4346</v>
      </c>
      <c r="D22" s="1155">
        <v>240000000</v>
      </c>
    </row>
  </sheetData>
  <phoneticPr fontId="5" type="noConversion"/>
  <conditionalFormatting sqref="D7:D19">
    <cfRule type="cellIs" dxfId="14" priority="1" stopIfTrue="1" operator="equal">
      <formula>0</formula>
    </cfRule>
  </conditionalFormatting>
  <hyperlinks>
    <hyperlink ref="F3" location="livestock_intensity_n_grazing!A1" tooltip="Go to livestock_intensity_n_grazing" display="livestock_intensity_n_grazing"/>
    <hyperlink ref="C3" location="feed_demand_n!A1" tooltip="Go to feed_demand_n" display="feed_demand_n"/>
    <hyperlink ref="D3" location="livestock_intensity_n_grazing!A1" display="livestock_intensity_n_grazing"/>
    <hyperlink ref="E3" location="livestock_intensity_n_fish!A1" display="livestock_intensity_n_fish"/>
  </hyperlinks>
  <pageMargins left="0.75" right="0.75" top="1" bottom="1" header="0.5" footer="0.5"/>
  <pageSetup orientation="portrait"/>
  <headerFooter alignWithMargins="0"/>
  <ignoredErrors>
    <ignoredError sqref="C11:C21" numberStoredAsText="1"/>
  </ignoredErrors>
  <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5" enableFormatConditionsCalculation="0">
    <tabColor theme="6"/>
    <pageSetUpPr autoPageBreaks="0"/>
  </sheetPr>
  <dimension ref="A1:J43"/>
  <sheetViews>
    <sheetView workbookViewId="0">
      <selection activeCell="A65536" sqref="A65536"/>
    </sheetView>
  </sheetViews>
  <sheetFormatPr baseColWidth="10" defaultColWidth="9.1640625" defaultRowHeight="12.75" customHeight="1" x14ac:dyDescent="0"/>
  <cols>
    <col min="1" max="1" width="40.33203125" style="150" customWidth="1"/>
    <col min="2" max="2" width="8.5" style="150" customWidth="1"/>
    <col min="3" max="3" width="14.83203125" style="53" customWidth="1"/>
    <col min="4" max="4" width="14.83203125" style="150" customWidth="1"/>
    <col min="5" max="6" width="19.33203125" style="53" customWidth="1"/>
    <col min="7" max="8" width="14.83203125" style="53" customWidth="1"/>
    <col min="9" max="9" width="25.6640625" style="53" bestFit="1" customWidth="1"/>
    <col min="10" max="10" width="22.5" style="53" bestFit="1" customWidth="1"/>
    <col min="11" max="16384" width="9.1640625" style="53"/>
  </cols>
  <sheetData>
    <row r="1" spans="1:10" ht="12.75" customHeight="1">
      <c r="A1" s="53"/>
      <c r="B1" s="185"/>
      <c r="C1" s="185"/>
      <c r="D1" s="185"/>
      <c r="E1" s="185"/>
      <c r="F1" s="185"/>
      <c r="G1" s="185"/>
      <c r="H1" s="185"/>
      <c r="I1" s="185"/>
      <c r="J1" s="185"/>
    </row>
    <row r="2" spans="1:10" ht="12.75" customHeight="1">
      <c r="A2" s="53"/>
      <c r="C2" s="54" t="s">
        <v>1005</v>
      </c>
      <c r="E2" s="184" t="s">
        <v>1813</v>
      </c>
      <c r="F2" s="185"/>
      <c r="G2" s="185"/>
      <c r="H2" s="185"/>
    </row>
    <row r="3" spans="1:10" ht="12.75" customHeight="1">
      <c r="A3" s="53"/>
      <c r="C3" s="54" t="s">
        <v>1006</v>
      </c>
      <c r="E3" s="1064" t="s">
        <v>1818</v>
      </c>
      <c r="F3" s="1064" t="s">
        <v>1826</v>
      </c>
      <c r="G3" s="1064" t="s">
        <v>1829</v>
      </c>
      <c r="H3" s="1064" t="s">
        <v>1827</v>
      </c>
      <c r="I3" s="1064" t="s">
        <v>1828</v>
      </c>
      <c r="J3" s="1064" t="s">
        <v>5259</v>
      </c>
    </row>
    <row r="4" spans="1:10" ht="12.75" customHeight="1">
      <c r="A4" s="53"/>
      <c r="B4" s="53"/>
      <c r="D4" s="53"/>
      <c r="H4" s="122"/>
    </row>
    <row r="5" spans="1:10" ht="12">
      <c r="A5" s="376" t="s">
        <v>2036</v>
      </c>
      <c r="B5" s="377" t="s">
        <v>2655</v>
      </c>
      <c r="C5" s="378" t="s">
        <v>2656</v>
      </c>
    </row>
    <row r="6" spans="1:10" ht="12">
      <c r="A6" s="1397" t="s">
        <v>597</v>
      </c>
      <c r="B6" s="438" t="s">
        <v>548</v>
      </c>
      <c r="C6" s="1156">
        <v>0.7</v>
      </c>
    </row>
    <row r="7" spans="1:10" ht="12">
      <c r="A7" s="145" t="s">
        <v>598</v>
      </c>
      <c r="B7" s="439" t="s">
        <v>548</v>
      </c>
      <c r="C7" s="1555">
        <v>0.3</v>
      </c>
    </row>
    <row r="8" spans="1:10" s="889" customFormat="1" ht="12">
      <c r="A8" s="150"/>
      <c r="B8" s="150"/>
      <c r="C8" s="150"/>
      <c r="D8" s="150"/>
    </row>
    <row r="9" spans="1:10" ht="24">
      <c r="A9" s="1551" t="s">
        <v>2036</v>
      </c>
      <c r="B9" s="1552" t="s">
        <v>2655</v>
      </c>
      <c r="C9" s="1552" t="s">
        <v>8458</v>
      </c>
      <c r="D9" s="1552" t="s">
        <v>8459</v>
      </c>
      <c r="E9" s="1553" t="s">
        <v>8454</v>
      </c>
      <c r="F9" s="1553" t="s">
        <v>8455</v>
      </c>
      <c r="G9" s="1552" t="s">
        <v>8456</v>
      </c>
      <c r="H9" s="1554" t="s">
        <v>8457</v>
      </c>
      <c r="I9" s="889"/>
    </row>
    <row r="10" spans="1:10" ht="12.75" customHeight="1">
      <c r="A10" s="209" t="s">
        <v>3389</v>
      </c>
      <c r="B10" s="218" t="s">
        <v>1825</v>
      </c>
      <c r="C10" s="1566">
        <v>1107</v>
      </c>
      <c r="D10" s="1567">
        <v>1108</v>
      </c>
      <c r="E10" s="1560">
        <v>7.8800000250339508E-2</v>
      </c>
      <c r="F10" s="1562"/>
      <c r="G10" s="1562">
        <v>7.8748871112108806E-2</v>
      </c>
      <c r="H10" s="1556">
        <v>0.128454523241984</v>
      </c>
      <c r="I10" s="889"/>
    </row>
    <row r="11" spans="1:10" ht="12.75" customHeight="1">
      <c r="A11" s="209" t="s">
        <v>2276</v>
      </c>
      <c r="B11" s="218" t="s">
        <v>1825</v>
      </c>
      <c r="C11" s="1567">
        <v>946</v>
      </c>
      <c r="D11" s="1567">
        <v>947</v>
      </c>
      <c r="E11" s="1561">
        <v>0.14429999887943268</v>
      </c>
      <c r="F11" s="1563"/>
      <c r="G11" s="1563">
        <v>0.20888423534827999</v>
      </c>
      <c r="H11" s="1557">
        <v>0.18600377499071399</v>
      </c>
      <c r="I11" s="889"/>
    </row>
    <row r="12" spans="1:10" ht="12.75" customHeight="1">
      <c r="A12" s="209" t="s">
        <v>5071</v>
      </c>
      <c r="B12" s="218" t="s">
        <v>1825</v>
      </c>
      <c r="C12" s="1567">
        <v>1126</v>
      </c>
      <c r="D12" s="1567">
        <v>1127</v>
      </c>
      <c r="E12" s="1561">
        <v>0.20990000665187836</v>
      </c>
      <c r="F12" s="1563"/>
      <c r="G12" s="1563"/>
      <c r="H12" s="1557"/>
      <c r="I12" s="889"/>
    </row>
    <row r="13" spans="1:10" ht="12.75" customHeight="1">
      <c r="A13" s="209" t="s">
        <v>4828</v>
      </c>
      <c r="B13" s="218" t="s">
        <v>1825</v>
      </c>
      <c r="C13" s="1567">
        <v>866</v>
      </c>
      <c r="D13" s="1567">
        <v>867</v>
      </c>
      <c r="E13" s="1561">
        <v>0.21379999816417694</v>
      </c>
      <c r="F13" s="1563">
        <v>0.35069999098777771</v>
      </c>
      <c r="G13" s="1563">
        <v>0.30033387909878101</v>
      </c>
      <c r="H13" s="1557">
        <v>0.26743633944818901</v>
      </c>
      <c r="I13" s="889"/>
    </row>
    <row r="14" spans="1:10" ht="12.75" customHeight="1">
      <c r="A14" s="209" t="s">
        <v>4710</v>
      </c>
      <c r="B14" s="218" t="s">
        <v>1825</v>
      </c>
      <c r="C14" s="1567">
        <v>1057</v>
      </c>
      <c r="D14" s="1567">
        <v>1058</v>
      </c>
      <c r="E14" s="1561">
        <v>1.5710999723523855E-3</v>
      </c>
      <c r="F14" s="1563">
        <v>2.0115000661462545E-3</v>
      </c>
      <c r="G14" s="1563">
        <v>1.00178544190425E-4</v>
      </c>
      <c r="H14" s="1557">
        <v>7.6750807581583104E-5</v>
      </c>
      <c r="I14" s="889"/>
    </row>
    <row r="15" spans="1:10" ht="12.75" customHeight="1">
      <c r="A15" s="209" t="s">
        <v>3200</v>
      </c>
      <c r="B15" s="218" t="s">
        <v>1825</v>
      </c>
      <c r="C15" s="1567">
        <v>1068</v>
      </c>
      <c r="D15" s="1567">
        <v>1069</v>
      </c>
      <c r="E15" s="1561">
        <v>1.5063999453559518E-3</v>
      </c>
      <c r="F15" s="1563">
        <v>2.2778001148253679E-3</v>
      </c>
      <c r="G15" s="1563">
        <v>1.0219398095123801E-4</v>
      </c>
      <c r="H15" s="1557">
        <v>7.8294914658323507E-5</v>
      </c>
      <c r="I15" s="889"/>
    </row>
    <row r="16" spans="1:10" ht="12.75" customHeight="1">
      <c r="A16" s="209" t="s">
        <v>3759</v>
      </c>
      <c r="B16" s="218" t="s">
        <v>1825</v>
      </c>
      <c r="C16" s="1567">
        <v>1072</v>
      </c>
      <c r="D16" s="1567">
        <v>1073</v>
      </c>
      <c r="E16" s="1561">
        <v>3.9471997879445553E-3</v>
      </c>
      <c r="F16" s="1563"/>
      <c r="G16" s="1563"/>
      <c r="H16" s="1557"/>
      <c r="I16" s="889"/>
    </row>
    <row r="17" spans="1:9" ht="12.75" customHeight="1">
      <c r="A17" s="209" t="s">
        <v>408</v>
      </c>
      <c r="B17" s="218" t="s">
        <v>1825</v>
      </c>
      <c r="C17" s="1567">
        <v>1016</v>
      </c>
      <c r="D17" s="1567">
        <v>1017</v>
      </c>
      <c r="E17" s="1561">
        <v>1.2199999764561653E-2</v>
      </c>
      <c r="F17" s="1563"/>
      <c r="G17" s="1563">
        <v>1.79257565205748E-2</v>
      </c>
      <c r="H17" s="1557">
        <v>1.4812093496076401E-2</v>
      </c>
      <c r="I17" s="889"/>
    </row>
    <row r="18" spans="1:9" ht="12.75" customHeight="1">
      <c r="A18" s="209" t="s">
        <v>2783</v>
      </c>
      <c r="B18" s="218" t="s">
        <v>1825</v>
      </c>
      <c r="C18" s="1567">
        <v>1096</v>
      </c>
      <c r="D18" s="1567">
        <v>1097</v>
      </c>
      <c r="E18" s="1561">
        <v>0.15649999678134918</v>
      </c>
      <c r="F18" s="1563">
        <v>0.25</v>
      </c>
      <c r="G18" s="1563">
        <v>0.156786749513636</v>
      </c>
      <c r="H18" s="1557">
        <v>0.25574928091048799</v>
      </c>
      <c r="I18" s="889"/>
    </row>
    <row r="19" spans="1:9" ht="12.75" customHeight="1">
      <c r="A19" s="209" t="s">
        <v>5166</v>
      </c>
      <c r="B19" s="218" t="s">
        <v>1825</v>
      </c>
      <c r="C19" s="1567">
        <v>1110</v>
      </c>
      <c r="D19" s="1567">
        <v>1111</v>
      </c>
      <c r="E19" s="1561">
        <v>0.1005999967455864</v>
      </c>
      <c r="F19" s="1563"/>
      <c r="G19" s="1563">
        <v>0.101163413115684</v>
      </c>
      <c r="H19" s="1557">
        <v>0.165016943326175</v>
      </c>
      <c r="I19" s="889"/>
    </row>
    <row r="20" spans="1:9" ht="12.75" customHeight="1">
      <c r="A20" s="209" t="s">
        <v>1750</v>
      </c>
      <c r="B20" s="218" t="s">
        <v>1825</v>
      </c>
      <c r="C20" s="1567">
        <v>1034</v>
      </c>
      <c r="D20" s="1567">
        <v>1035</v>
      </c>
      <c r="E20" s="1561">
        <v>7.7899999916553497E-2</v>
      </c>
      <c r="F20" s="1563">
        <v>9.3699999153614044E-2</v>
      </c>
      <c r="G20" s="1563">
        <v>4.9383429358034102E-2</v>
      </c>
      <c r="H20" s="1557">
        <v>5.7515070010996899E-2</v>
      </c>
      <c r="I20" s="889"/>
    </row>
    <row r="21" spans="1:9" ht="12.75" customHeight="1">
      <c r="A21" s="209" t="s">
        <v>1961</v>
      </c>
      <c r="B21" s="218" t="s">
        <v>1825</v>
      </c>
      <c r="C21" s="1567">
        <v>976</v>
      </c>
      <c r="D21" s="1567">
        <v>977</v>
      </c>
      <c r="E21" s="1561">
        <v>1.5900000929832458E-2</v>
      </c>
      <c r="F21" s="1563">
        <v>3.0300000682473183E-2</v>
      </c>
      <c r="G21" s="1563">
        <v>2.2819949452207399E-2</v>
      </c>
      <c r="H21" s="1557">
        <v>1.8856176277629901E-2</v>
      </c>
      <c r="I21" s="889"/>
    </row>
    <row r="22" spans="1:9" ht="12.75" customHeight="1">
      <c r="A22" s="209" t="s">
        <v>4812</v>
      </c>
      <c r="B22" s="218" t="s">
        <v>1825</v>
      </c>
      <c r="C22" s="1567">
        <v>1079</v>
      </c>
      <c r="D22" s="1567">
        <v>1080</v>
      </c>
      <c r="E22" s="1561">
        <v>8.8421003893017769E-3</v>
      </c>
      <c r="F22" s="1563">
        <v>1.0999400168657303E-2</v>
      </c>
      <c r="G22" s="1563">
        <v>5.2389317156596499E-4</v>
      </c>
      <c r="H22" s="1557">
        <v>4.0137560721318201E-4</v>
      </c>
      <c r="I22" s="889"/>
    </row>
    <row r="23" spans="1:9" ht="12.75" customHeight="1">
      <c r="A23" s="919" t="s">
        <v>3734</v>
      </c>
      <c r="B23" s="218" t="s">
        <v>1825</v>
      </c>
      <c r="C23" s="1567">
        <v>1140</v>
      </c>
      <c r="D23" s="1567">
        <v>1141</v>
      </c>
      <c r="E23" s="1572">
        <v>1.520700054243207E-3</v>
      </c>
      <c r="F23" s="1564"/>
      <c r="G23" s="1564"/>
      <c r="H23" s="1558"/>
      <c r="I23" s="889"/>
    </row>
    <row r="24" spans="1:9" ht="12.75" customHeight="1">
      <c r="A24" s="919" t="s">
        <v>3103</v>
      </c>
      <c r="B24" s="218" t="s">
        <v>1825</v>
      </c>
      <c r="C24" s="1567">
        <v>1150</v>
      </c>
      <c r="D24" s="1567">
        <v>1151</v>
      </c>
      <c r="E24" s="1572">
        <v>2.6430000434629619E-4</v>
      </c>
      <c r="F24" s="1564"/>
      <c r="G24" s="1564"/>
      <c r="H24" s="1558"/>
      <c r="I24" s="889"/>
    </row>
    <row r="25" spans="1:9" ht="12.75" customHeight="1">
      <c r="A25" s="28" t="s">
        <v>3101</v>
      </c>
      <c r="B25" s="439" t="s">
        <v>1825</v>
      </c>
      <c r="C25" s="1569">
        <v>1157</v>
      </c>
      <c r="D25" s="1568">
        <v>1158</v>
      </c>
      <c r="E25" s="1571">
        <v>2.8899999335408211E-2</v>
      </c>
      <c r="F25" s="1565"/>
      <c r="G25" s="1565"/>
      <c r="H25" s="1559"/>
      <c r="I25" s="889"/>
    </row>
    <row r="26" spans="1:9" ht="12.75" customHeight="1">
      <c r="A26" s="889"/>
      <c r="B26" s="889"/>
      <c r="C26" s="889"/>
      <c r="D26" s="889"/>
      <c r="E26" s="889"/>
      <c r="G26" s="889"/>
    </row>
    <row r="27" spans="1:9" ht="12.75" customHeight="1">
      <c r="A27" s="889"/>
      <c r="B27" s="889"/>
      <c r="C27" s="889"/>
      <c r="D27" s="889"/>
      <c r="E27" s="889"/>
      <c r="G27" s="889"/>
    </row>
    <row r="28" spans="1:9" ht="12.75" customHeight="1">
      <c r="A28" s="889"/>
      <c r="B28" s="889"/>
      <c r="C28" s="889"/>
      <c r="D28" s="889"/>
      <c r="E28" s="889"/>
    </row>
    <row r="29" spans="1:9" ht="12.75" customHeight="1">
      <c r="A29" s="889"/>
      <c r="B29" s="889"/>
      <c r="C29" s="889"/>
      <c r="D29" s="889"/>
      <c r="E29" s="889"/>
    </row>
    <row r="30" spans="1:9" ht="12.75" customHeight="1">
      <c r="A30" s="889"/>
      <c r="B30" s="889"/>
      <c r="C30" s="889"/>
      <c r="D30" s="889"/>
      <c r="E30" s="889"/>
    </row>
    <row r="31" spans="1:9" ht="12.75" customHeight="1">
      <c r="A31" s="889"/>
      <c r="B31" s="889"/>
      <c r="C31" s="889"/>
      <c r="D31" s="889"/>
      <c r="E31" s="889"/>
    </row>
    <row r="32" spans="1:9" ht="12.75" customHeight="1">
      <c r="A32" s="889"/>
      <c r="B32" s="889"/>
      <c r="C32" s="889"/>
      <c r="D32" s="889"/>
      <c r="E32" s="889"/>
    </row>
    <row r="33" spans="1:5" ht="12.75" customHeight="1">
      <c r="A33" s="889"/>
      <c r="B33" s="889"/>
      <c r="C33" s="889"/>
      <c r="D33" s="889"/>
      <c r="E33" s="889"/>
    </row>
    <row r="34" spans="1:5" ht="12.75" customHeight="1">
      <c r="A34" s="889"/>
      <c r="B34" s="889"/>
      <c r="C34" s="889"/>
      <c r="D34" s="889"/>
      <c r="E34" s="889"/>
    </row>
    <row r="35" spans="1:5" ht="12.75" customHeight="1">
      <c r="A35" s="889"/>
      <c r="B35" s="889"/>
      <c r="C35" s="889"/>
      <c r="D35" s="889"/>
      <c r="E35" s="889"/>
    </row>
    <row r="36" spans="1:5" ht="12.75" customHeight="1">
      <c r="A36" s="889"/>
      <c r="B36" s="889"/>
      <c r="C36" s="889"/>
      <c r="D36" s="889"/>
      <c r="E36" s="889"/>
    </row>
    <row r="37" spans="1:5" ht="12.75" customHeight="1">
      <c r="A37" s="889"/>
      <c r="B37" s="889"/>
      <c r="C37" s="889"/>
      <c r="D37" s="889"/>
      <c r="E37" s="889"/>
    </row>
    <row r="38" spans="1:5" ht="12.75" customHeight="1">
      <c r="A38" s="889"/>
      <c r="B38" s="889"/>
      <c r="C38" s="889"/>
      <c r="D38" s="889"/>
      <c r="E38" s="889"/>
    </row>
    <row r="39" spans="1:5" ht="12.75" customHeight="1">
      <c r="A39" s="889"/>
      <c r="B39" s="889"/>
      <c r="C39" s="889"/>
      <c r="D39" s="889"/>
      <c r="E39" s="889"/>
    </row>
    <row r="40" spans="1:5" ht="12.75" customHeight="1">
      <c r="A40" s="889"/>
      <c r="B40" s="889"/>
      <c r="C40" s="889"/>
      <c r="D40" s="889"/>
      <c r="E40" s="889"/>
    </row>
    <row r="41" spans="1:5" ht="12.75" customHeight="1">
      <c r="A41" s="889"/>
      <c r="B41" s="889"/>
      <c r="C41" s="889"/>
      <c r="D41" s="889"/>
      <c r="E41" s="889"/>
    </row>
    <row r="42" spans="1:5" ht="12.75" customHeight="1">
      <c r="A42" s="889"/>
      <c r="B42" s="889"/>
      <c r="C42" s="889"/>
      <c r="D42" s="889"/>
      <c r="E42" s="889"/>
    </row>
    <row r="43" spans="1:5" ht="12.75" customHeight="1">
      <c r="A43" s="889"/>
      <c r="B43" s="889"/>
      <c r="C43" s="889"/>
      <c r="D43" s="889"/>
      <c r="E43" s="889"/>
    </row>
  </sheetData>
  <phoneticPr fontId="5" type="noConversion"/>
  <hyperlinks>
    <hyperlink ref="E3" location="feed_intensity_w!A1" tooltip="Go to feed_intensity_w" display="feed_intensity_w"/>
    <hyperlink ref="F3" location="livestock_efi!A1" tooltip="Go to livestock_efi" display="livestock_efi"/>
    <hyperlink ref="G3" location="livestock_efe!A1" tooltip="Go to livestock_efe" display="livestock_efe"/>
    <hyperlink ref="H3" location="livestock_intensity_n_crop!A1" tooltip="Go to livestock_intensity_n_crop" display="livestock_intensity_n_crop"/>
    <hyperlink ref="I3" location="livestock_intensity_n_grazing!A1" tooltip="Go to livestock_intensity_n_grazing" display="livestock_intensity_n_grazing"/>
    <hyperlink ref="J3" location="livestock_intensity_n_fish!A1" tooltip="Go to livestock_intensity_n_grazing" display="livestock_intensity_n_fish"/>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tabColor rgb="FFFF9900"/>
    <pageSetUpPr autoPageBreaks="0"/>
  </sheetPr>
  <dimension ref="A1:AS172"/>
  <sheetViews>
    <sheetView workbookViewId="0">
      <pane xSplit="2" ySplit="6" topLeftCell="C7" activePane="bottomRight" state="frozen"/>
      <selection pane="topRight" activeCell="C1" sqref="C1"/>
      <selection pane="bottomLeft" activeCell="A7" sqref="A7"/>
      <selection pane="bottomRight" activeCell="A65536" sqref="A65536"/>
    </sheetView>
  </sheetViews>
  <sheetFormatPr baseColWidth="10" defaultColWidth="9.1640625" defaultRowHeight="12.75" customHeight="1" x14ac:dyDescent="0"/>
  <cols>
    <col min="1" max="1" width="31.5" style="1093" customWidth="1"/>
    <col min="2" max="2" width="14.83203125" style="1090" customWidth="1"/>
    <col min="3" max="3" width="15.33203125" style="1088" customWidth="1"/>
    <col min="4" max="4" width="17.5" style="1088" customWidth="1"/>
    <col min="5" max="5" width="16" style="1088" customWidth="1"/>
    <col min="6" max="6" width="15.83203125" style="1088" customWidth="1"/>
    <col min="7" max="7" width="16.1640625" style="1088" customWidth="1"/>
    <col min="8" max="8" width="18.5" style="1088" customWidth="1"/>
    <col min="9" max="9" width="16.5" style="1088" customWidth="1"/>
    <col min="10" max="10" width="18.1640625" style="1088" customWidth="1"/>
    <col min="11" max="11" width="19" style="262" customWidth="1"/>
    <col min="12" max="13" width="15.5" style="262" customWidth="1"/>
    <col min="14" max="14" width="15.6640625" style="262" customWidth="1"/>
    <col min="15" max="15" width="17.6640625" style="262" customWidth="1"/>
    <col min="16" max="16" width="16" style="262" customWidth="1"/>
    <col min="17" max="17" width="21.6640625" style="1531" customWidth="1"/>
    <col min="18" max="18" width="21.6640625" style="262" customWidth="1"/>
    <col min="19" max="19" width="21.6640625" style="1531" customWidth="1"/>
    <col min="20" max="21" width="21.6640625" style="262" customWidth="1"/>
    <col min="22" max="22" width="15.83203125" style="262" bestFit="1" customWidth="1"/>
    <col min="23" max="23" width="13.6640625" style="262" customWidth="1"/>
    <col min="24" max="24" width="13.5" style="262" customWidth="1"/>
    <col min="25" max="25" width="13.83203125" style="262" customWidth="1"/>
    <col min="26" max="26" width="14" style="262" customWidth="1"/>
    <col min="27" max="36" width="12.5" style="262" customWidth="1"/>
    <col min="37" max="37" width="15.1640625" style="262" customWidth="1"/>
    <col min="38" max="38" width="15.6640625" style="262" customWidth="1"/>
    <col min="39" max="39" width="15.5" style="262" customWidth="1"/>
    <col min="40" max="42" width="12.5" style="262" customWidth="1"/>
    <col min="43" max="43" width="16.1640625" style="262" customWidth="1"/>
    <col min="44" max="44" width="12.5" style="262" customWidth="1"/>
    <col min="45" max="45" width="13.33203125" style="262" customWidth="1"/>
    <col min="46" max="16384" width="9.1640625" style="262"/>
  </cols>
  <sheetData>
    <row r="1" spans="1:45" ht="12.75" customHeight="1">
      <c r="A1" s="262"/>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row>
    <row r="2" spans="1:45" ht="12.75" customHeight="1">
      <c r="A2" s="262"/>
      <c r="C2" s="876" t="s">
        <v>1005</v>
      </c>
      <c r="D2" s="1064" t="s">
        <v>1822</v>
      </c>
      <c r="E2" s="1064" t="s">
        <v>1815</v>
      </c>
      <c r="F2" s="1064" t="s">
        <v>6356</v>
      </c>
      <c r="G2" s="1112"/>
      <c r="H2" s="1112"/>
      <c r="I2" s="1112"/>
      <c r="J2" s="1112"/>
      <c r="P2" s="1089"/>
      <c r="Q2" s="262"/>
      <c r="R2" s="1089"/>
      <c r="S2" s="1089"/>
      <c r="T2" s="1089"/>
      <c r="U2" s="1089"/>
    </row>
    <row r="3" spans="1:45" ht="12.75" customHeight="1">
      <c r="A3" s="262"/>
      <c r="C3" s="876" t="s">
        <v>1006</v>
      </c>
      <c r="D3" s="1064" t="s">
        <v>0</v>
      </c>
      <c r="E3" s="1064" t="s">
        <v>1817</v>
      </c>
      <c r="F3" s="1064" t="s">
        <v>1839</v>
      </c>
      <c r="G3" s="1064" t="s">
        <v>1827</v>
      </c>
      <c r="H3" s="1064" t="s">
        <v>1828</v>
      </c>
      <c r="I3" s="1064" t="s">
        <v>5259</v>
      </c>
      <c r="J3" s="1112"/>
      <c r="K3" s="1091"/>
      <c r="M3" s="123"/>
      <c r="N3" s="123"/>
      <c r="P3" s="1089"/>
      <c r="Q3" s="262"/>
      <c r="S3" s="262"/>
      <c r="T3" s="1089"/>
      <c r="U3" s="1089"/>
    </row>
    <row r="4" spans="1:45" ht="12.75" customHeight="1">
      <c r="A4" s="262"/>
      <c r="B4" s="262"/>
      <c r="C4" s="262"/>
      <c r="D4" s="262"/>
      <c r="E4" s="262"/>
      <c r="F4" s="1092"/>
      <c r="G4" s="1092"/>
      <c r="H4" s="1092"/>
      <c r="I4" s="1092"/>
      <c r="J4" s="262"/>
      <c r="P4" s="1089"/>
      <c r="Q4" s="262"/>
      <c r="R4" s="1089"/>
      <c r="S4" s="1089"/>
      <c r="U4" s="1089"/>
    </row>
    <row r="5" spans="1:45" s="1093" customFormat="1" ht="12">
      <c r="A5" s="222" t="s">
        <v>4619</v>
      </c>
      <c r="B5" s="223" t="s">
        <v>2019</v>
      </c>
      <c r="C5" s="224" t="s">
        <v>2018</v>
      </c>
      <c r="D5" s="223" t="s">
        <v>7123</v>
      </c>
      <c r="E5" s="223" t="s">
        <v>7122</v>
      </c>
      <c r="F5" s="223" t="s">
        <v>7123</v>
      </c>
      <c r="G5" s="223" t="s">
        <v>7122</v>
      </c>
      <c r="H5" s="1490" t="s">
        <v>5620</v>
      </c>
      <c r="I5" s="1490" t="s">
        <v>7807</v>
      </c>
      <c r="J5" s="1490" t="s">
        <v>7808</v>
      </c>
      <c r="K5" s="1492" t="s">
        <v>4626</v>
      </c>
      <c r="L5" s="1496" t="s">
        <v>7809</v>
      </c>
      <c r="M5" s="1496" t="s">
        <v>7810</v>
      </c>
      <c r="N5" s="1494" t="s">
        <v>4628</v>
      </c>
      <c r="O5" s="1494" t="s">
        <v>7801</v>
      </c>
      <c r="P5" s="599" t="s">
        <v>3542</v>
      </c>
      <c r="Q5" s="1528"/>
      <c r="R5" s="897" t="s">
        <v>7802</v>
      </c>
      <c r="S5" s="897" t="s">
        <v>7803</v>
      </c>
      <c r="T5" s="224" t="s">
        <v>3270</v>
      </c>
      <c r="U5" s="223" t="s">
        <v>2922</v>
      </c>
      <c r="V5" s="223" t="s">
        <v>5051</v>
      </c>
      <c r="W5" s="223" t="s">
        <v>3686</v>
      </c>
      <c r="X5" s="224" t="s">
        <v>7180</v>
      </c>
      <c r="Y5" s="223" t="s">
        <v>7179</v>
      </c>
      <c r="Z5" s="223" t="s">
        <v>5425</v>
      </c>
      <c r="AA5" s="536" t="s">
        <v>599</v>
      </c>
      <c r="AB5" s="536" t="s">
        <v>2175</v>
      </c>
      <c r="AC5" s="536" t="s">
        <v>4047</v>
      </c>
      <c r="AD5" s="536" t="s">
        <v>4620</v>
      </c>
      <c r="AE5" s="536" t="s">
        <v>1214</v>
      </c>
      <c r="AF5" s="536" t="s">
        <v>627</v>
      </c>
      <c r="AG5" s="536" t="s">
        <v>4664</v>
      </c>
      <c r="AH5" s="536" t="s">
        <v>2805</v>
      </c>
      <c r="AI5" s="536" t="s">
        <v>804</v>
      </c>
      <c r="AJ5" s="536" t="s">
        <v>5568</v>
      </c>
      <c r="AK5" s="536" t="s">
        <v>5561</v>
      </c>
      <c r="AL5" s="536" t="s">
        <v>4621</v>
      </c>
      <c r="AM5" s="536" t="s">
        <v>4622</v>
      </c>
      <c r="AN5" s="536" t="s">
        <v>4623</v>
      </c>
      <c r="AO5" s="536" t="s">
        <v>5267</v>
      </c>
      <c r="AP5" s="536" t="s">
        <v>4625</v>
      </c>
      <c r="AQ5" s="536" t="s">
        <v>4627</v>
      </c>
      <c r="AR5" s="536" t="s">
        <v>1603</v>
      </c>
      <c r="AS5" s="538" t="s">
        <v>1614</v>
      </c>
    </row>
    <row r="6" spans="1:45" s="1093" customFormat="1" ht="12">
      <c r="A6" s="1094" t="s">
        <v>548</v>
      </c>
      <c r="B6" s="442" t="s">
        <v>548</v>
      </c>
      <c r="C6" s="545" t="s">
        <v>548</v>
      </c>
      <c r="D6" s="442" t="s">
        <v>7177</v>
      </c>
      <c r="E6" s="442" t="s">
        <v>7177</v>
      </c>
      <c r="F6" s="442" t="s">
        <v>3105</v>
      </c>
      <c r="G6" s="441" t="s">
        <v>3105</v>
      </c>
      <c r="H6" s="1491" t="s">
        <v>1832</v>
      </c>
      <c r="I6" s="1491" t="s">
        <v>732</v>
      </c>
      <c r="J6" s="1491" t="s">
        <v>732</v>
      </c>
      <c r="K6" s="1493" t="s">
        <v>7817</v>
      </c>
      <c r="L6" s="1497" t="s">
        <v>732</v>
      </c>
      <c r="M6" s="1497" t="s">
        <v>732</v>
      </c>
      <c r="N6" s="1495" t="s">
        <v>1832</v>
      </c>
      <c r="O6" s="1495" t="s">
        <v>732</v>
      </c>
      <c r="P6" s="1095" t="s">
        <v>732</v>
      </c>
      <c r="Q6" s="1529"/>
      <c r="R6" s="898" t="s">
        <v>732</v>
      </c>
      <c r="S6" s="898" t="s">
        <v>732</v>
      </c>
      <c r="T6" s="545" t="s">
        <v>548</v>
      </c>
      <c r="U6" s="442" t="s">
        <v>548</v>
      </c>
      <c r="V6" s="442" t="s">
        <v>548</v>
      </c>
      <c r="W6" s="442" t="s">
        <v>548</v>
      </c>
      <c r="X6" s="545" t="s">
        <v>1830</v>
      </c>
      <c r="Y6" s="441" t="s">
        <v>1825</v>
      </c>
      <c r="Z6" s="441" t="s">
        <v>1847</v>
      </c>
      <c r="AA6" s="537" t="s">
        <v>1832</v>
      </c>
      <c r="AB6" s="537" t="s">
        <v>1832</v>
      </c>
      <c r="AC6" s="537" t="s">
        <v>1832</v>
      </c>
      <c r="AD6" s="537" t="s">
        <v>1832</v>
      </c>
      <c r="AE6" s="537" t="s">
        <v>1832</v>
      </c>
      <c r="AF6" s="537" t="s">
        <v>1832</v>
      </c>
      <c r="AG6" s="537" t="s">
        <v>1832</v>
      </c>
      <c r="AH6" s="537" t="s">
        <v>1832</v>
      </c>
      <c r="AI6" s="537" t="s">
        <v>1832</v>
      </c>
      <c r="AJ6" s="537" t="s">
        <v>1832</v>
      </c>
      <c r="AK6" s="537" t="s">
        <v>1832</v>
      </c>
      <c r="AL6" s="537" t="s">
        <v>1832</v>
      </c>
      <c r="AM6" s="537" t="s">
        <v>1832</v>
      </c>
      <c r="AN6" s="537" t="s">
        <v>1832</v>
      </c>
      <c r="AO6" s="537" t="s">
        <v>1832</v>
      </c>
      <c r="AP6" s="537" t="s">
        <v>1832</v>
      </c>
      <c r="AQ6" s="537" t="s">
        <v>1832</v>
      </c>
      <c r="AR6" s="537" t="s">
        <v>1832</v>
      </c>
      <c r="AS6" s="539" t="s">
        <v>1832</v>
      </c>
    </row>
    <row r="7" spans="1:45" ht="12">
      <c r="A7" s="1096" t="s">
        <v>1486</v>
      </c>
      <c r="B7" s="1097">
        <v>173</v>
      </c>
      <c r="C7" s="1098" t="s">
        <v>1625</v>
      </c>
      <c r="D7" s="1157">
        <v>5661</v>
      </c>
      <c r="E7" s="1157">
        <v>341979</v>
      </c>
      <c r="F7" s="186">
        <f t="shared" ref="F7:F38" si="0">D7*X7</f>
        <v>5661</v>
      </c>
      <c r="G7" s="1012">
        <f t="shared" ref="G7:G38" si="1">E7*Y7</f>
        <v>341979</v>
      </c>
      <c r="H7" s="1487">
        <f t="shared" ref="H7:H38" si="2">SUM(AB7:AP7)+AR7+AS7</f>
        <v>0.60479461737339013</v>
      </c>
      <c r="I7" s="1394">
        <f t="shared" ref="I7:I38" si="3">IFERROR(F7*VLOOKUP(B7,livestock_intensity_w,7,FALSE),0)</f>
        <v>3423.7423289507615</v>
      </c>
      <c r="J7" s="1479">
        <f>IFERROR(G7*VLOOKUP(W7,livestock_intensity!$B$7:$I$29,8,FALSE)/Z7,0)</f>
        <v>188128.13710085259</v>
      </c>
      <c r="K7" s="1487">
        <f>VLOOKUP($W7,feed_mix_n,MATCH(K$5,feed_mix_w!$B$5:$AC$5,0),FALSE)/$Z7*VLOOKUP(K$5,feed_intensity_w,11,FALSE)</f>
        <v>0</v>
      </c>
      <c r="L7" s="1394">
        <f t="shared" ref="L7:L38" si="4">IFERROR(F7*VLOOKUP($B7,livestock_intensity_w,10,FALSE),0)</f>
        <v>0</v>
      </c>
      <c r="M7" s="186">
        <f>IFERROR(G7*VLOOKUP(W7,livestock_intensity!$B$7:$M$29,12,FALSE)/Z7,0)</f>
        <v>0</v>
      </c>
      <c r="N7" s="1487">
        <f>VLOOKUP($W7,feed_mix_n,MATCH(N$5,feed_mix_w!$B$5:$AC$5,0),FALSE)/$Z7*VLOOKUP(N$5,feed_intensity_w,11,FALSE)</f>
        <v>1.1468856383515664</v>
      </c>
      <c r="O7" s="1394">
        <f t="shared" ref="O7:O38" si="5">IFERROR(F7*VLOOKUP(B7,livestock_intensity_w,13,FALSE),0)</f>
        <v>6492.5195987082179</v>
      </c>
      <c r="P7" s="1485">
        <f>IFERROR(G7*VLOOKUP(W7,livestock_intensity!$B$7:$Q$29,16,FALSE)/Z7,0)</f>
        <v>174316.58483036191</v>
      </c>
      <c r="Q7" s="1530"/>
      <c r="R7" s="899">
        <f t="shared" ref="R7:R38" si="6">IFERROR(SUM(I7,L7,O7),0)</f>
        <v>9916.2619276589794</v>
      </c>
      <c r="S7" s="900">
        <f t="shared" ref="S7:S38" si="7">IFERROR(SUM(J7,M7,P7),0)</f>
        <v>362444.7219312145</v>
      </c>
      <c r="T7" s="1482" t="s">
        <v>2862</v>
      </c>
      <c r="U7" s="1208" t="s">
        <v>2921</v>
      </c>
      <c r="V7" s="1209" t="str">
        <f>IFERROR(VLOOKUP(W7,constant_ag_extr!$D$7:$E$594,2,FALSE),"")</f>
        <v>Cow milk, whole, fresh</v>
      </c>
      <c r="W7" s="1210">
        <f t="shared" ref="W7:W38" si="8">IFERROR(VLOOKUP(B7,constant_ag_extr,3,FALSE),"")</f>
        <v>882</v>
      </c>
      <c r="X7" s="1570">
        <f>IFERROR(IF(VLOOKUP(B7,cnst_grazing!$C$10:$H$25,5,FALSE)="", IF(VLOOKUP(B7, cnst_grazing!$C$10:$H$25,3,FALSE)="", VLOOKUP(B7, cnst_grazing!$C$10:$H$25,4,FALSE),VLOOKUP(B7, cnst_grazing!$C$10:$H$25,3,FALSE)), VLOOKUP(B7,cnst_grazing!$C$10:$H$25,5,FALSE)),1)</f>
        <v>1</v>
      </c>
      <c r="Y7" s="1570">
        <f>IFERROR(IF(VLOOKUP(B7,cnst_grazing!$C$10:$H$25,6,FALSE)="", IF(VLOOKUP(B7, cnst_grazing!$C$10:$H$25,4,FALSE)="", VLOOKUP(B7, cnst_grazing!$C$10:$H$25,3,FALSE),VLOOKUP(B7, cnst_grazing!$C$10:$H$25,4,FALSE)), VLOOKUP(B7,cnst_grazing!$C$10:$H$25,6,FALSE)),1)</f>
        <v>1</v>
      </c>
      <c r="Z7" s="937">
        <f t="shared" ref="Z7:Z38" si="9">IFERROR(VLOOKUP(B7,constant_ag_extr,14,FALSE),"-")</f>
        <v>0.31195464692471803</v>
      </c>
      <c r="AA7" s="933">
        <f t="shared" ref="AA7:AA38" si="10">H7+N7</f>
        <v>1.7516802557249567</v>
      </c>
      <c r="AB7" s="933">
        <f>VLOOKUP($W7,feed_mix_n,MATCH(AB$5,feed_mix_w!$B$5:$AC$5,0),FALSE)/$Z7*VLOOKUP(AB$5,feed_intensity_w,11,FALSE)</f>
        <v>0.13389612808358123</v>
      </c>
      <c r="AC7" s="933">
        <f>VLOOKUP($W7,feed_mix_n,MATCH(AC$5,feed_mix_w!$B$5:$AC$5,0),FALSE)/$Z7*VLOOKUP(AC$5,feed_intensity_w,11,FALSE)</f>
        <v>0.14026260533317655</v>
      </c>
      <c r="AD7" s="933">
        <f>VLOOKUP($W7,feed_mix_n,MATCH(AD$5,feed_mix_w!$B$5:$AC$5,0),FALSE)/$Z7*VLOOKUP(AD$5,feed_intensity_w,11,FALSE)</f>
        <v>0</v>
      </c>
      <c r="AE7" s="933">
        <f>VLOOKUP($W7,feed_mix_n,MATCH(AE$5,feed_mix_w!$B$5:$AC$5,0),FALSE)/$Z7*VLOOKUP(AE$5,feed_intensity_w,11,FALSE)</f>
        <v>0.13321544880451783</v>
      </c>
      <c r="AF7" s="933">
        <f>VLOOKUP($W7,feed_mix_n,MATCH(AF$5,feed_mix_w!$B$5:$AC$5,0),FALSE)/$Z7*VLOOKUP(AF$5,feed_intensity_w,11,FALSE)</f>
        <v>5.3286179521807128E-2</v>
      </c>
      <c r="AG7" s="933">
        <f>VLOOKUP($W7,feed_mix_n,MATCH(AG$5,feed_mix_w!$B$5:$AC$5,0),FALSE)/$Z7*VLOOKUP(AG$5,feed_intensity_w,11,FALSE)</f>
        <v>0</v>
      </c>
      <c r="AH7" s="933">
        <f>VLOOKUP($W7,feed_mix_n,MATCH(AH$5,feed_mix_w!$B$5:$AC$5,0),FALSE)/$Z7*VLOOKUP(AH$5,feed_intensity_w,11,FALSE)</f>
        <v>5.3286179521807128E-2</v>
      </c>
      <c r="AI7" s="933">
        <f>VLOOKUP($W7,feed_mix_n,MATCH(AI$5,feed_mix_w!$B$5:$AC$5,0),FALSE)/$Z7*VLOOKUP(AI$5,feed_intensity_w,11,FALSE)</f>
        <v>0</v>
      </c>
      <c r="AJ7" s="933">
        <f>VLOOKUP($W7,feed_mix_n,MATCH(AJ$5,feed_mix_w!$B$5:$AC$5,0),FALSE)/$Z7*VLOOKUP(AJ$5,feed_intensity_w,11,FALSE)</f>
        <v>0</v>
      </c>
      <c r="AK7" s="933">
        <f>VLOOKUP($W7,feed_mix_n,MATCH(AK$5,feed_mix_w!$B$5:$AC$5,0),FALSE)/$Z7*VLOOKUP(AK$5,feed_intensity_w,11,FALSE)</f>
        <v>0</v>
      </c>
      <c r="AL7" s="933">
        <f>VLOOKUP($W7,feed_mix_n,MATCH(AL$5,feed_mix_w!$B$5:$AC$5,0),FALSE)/$Z7*VLOOKUP(AL$5,feed_intensity_w,11,FALSE)</f>
        <v>0</v>
      </c>
      <c r="AM7" s="933">
        <f>VLOOKUP($W7,feed_mix_n,MATCH(AM$5,feed_mix_w!$B$5:$AC$5,0),FALSE)/$Z7*VLOOKUP(AM$5,feed_intensity_w,11,FALSE)</f>
        <v>3.8906530207137892E-2</v>
      </c>
      <c r="AN7" s="933">
        <f>VLOOKUP($W7,feed_mix_n,MATCH(AN$5,feed_mix_w!$B$5:$AC$5,0),FALSE)/$Z7*VLOOKUP(AN$5,feed_intensity_w,11,FALSE)</f>
        <v>0</v>
      </c>
      <c r="AO7" s="933">
        <f>VLOOKUP($W7,feed_mix_n,MATCH(AO$5,feed_mix_w!$B$5:$AC$5,0),FALSE)/$Z7*VLOOKUP(AO$5,feed_intensity_w,11,FALSE)</f>
        <v>0</v>
      </c>
      <c r="AP7" s="933">
        <f>VLOOKUP($W7,feed_mix_n,MATCH(AP$5,feed_mix_w!$B$5:$AC$5,0),FALSE)/$Z7*VLOOKUP(AP$5,feed_intensity_w,11,FALSE)</f>
        <v>0</v>
      </c>
      <c r="AQ7" s="933">
        <f>VLOOKUP($W7,feed_mix_n,MATCH(AQ$5,feed_mix_w!$B$5:$AC$5,0),FALSE)/$Z7*VLOOKUP(AQ$5,feed_intensity_w,11,FALSE)</f>
        <v>0</v>
      </c>
      <c r="AR7" s="1100">
        <f>VLOOKUP($W7,feed_mix_n,MATCH(AR$5,feed_mix_w!$B$5:$AC$5,0),FALSE)/$Z7*VLOOKUP(AR$5,feed_intensity_w,11,FALSE)</f>
        <v>5.1941545901362365E-2</v>
      </c>
      <c r="AS7" s="1101">
        <f>VLOOKUP($W7,feed_mix_n,MATCH(AS$5,feed_mix_w!$B$5:$AC$5,0),FALSE)/$Z7*VLOOKUP(AS$5,feed_intensity_w,11,FALSE)</f>
        <v>0</v>
      </c>
    </row>
    <row r="8" spans="1:45" ht="12">
      <c r="A8" s="1008" t="s">
        <v>7340</v>
      </c>
      <c r="B8" s="1102">
        <v>843</v>
      </c>
      <c r="C8" s="1103"/>
      <c r="D8" s="1158">
        <v>190795</v>
      </c>
      <c r="E8" s="1158">
        <v>754447</v>
      </c>
      <c r="F8" s="1012">
        <f t="shared" si="0"/>
        <v>190795</v>
      </c>
      <c r="G8" s="1012">
        <f t="shared" si="1"/>
        <v>754447</v>
      </c>
      <c r="H8" s="933" t="e">
        <f t="shared" si="2"/>
        <v>#N/A</v>
      </c>
      <c r="I8" s="1486">
        <f t="shared" si="3"/>
        <v>0</v>
      </c>
      <c r="J8" s="1006">
        <f>IFERROR(G8*VLOOKUP(W8,livestock_intensity!$B$7:$I$29,8,FALSE)/Z8,0)</f>
        <v>0</v>
      </c>
      <c r="K8" s="933" t="e">
        <f>VLOOKUP($W8,feed_mix_n,MATCH(K$5,feed_mix_w!$B$5:$AC$5,0),FALSE)/$Z8*VLOOKUP(K$5,feed_intensity_w,11,FALSE)</f>
        <v>#N/A</v>
      </c>
      <c r="L8" s="1486">
        <f t="shared" si="4"/>
        <v>0</v>
      </c>
      <c r="M8" s="1447">
        <f>IFERROR(G8*VLOOKUP(W8,livestock_intensity!$B$7:$M$29,12,FALSE)/Z8,0)</f>
        <v>0</v>
      </c>
      <c r="N8" s="933" t="e">
        <f>VLOOKUP($W8,feed_mix_n,MATCH(N$5,feed_mix_w!$B$5:$AC$5,0),FALSE)/$Z8*VLOOKUP(N$5,feed_intensity_w,11,FALSE)</f>
        <v>#N/A</v>
      </c>
      <c r="O8" s="1486">
        <f t="shared" si="5"/>
        <v>0</v>
      </c>
      <c r="P8" s="939">
        <f>IFERROR(G8*VLOOKUP(W8,livestock_intensity!$B$7:$Q$29,16,FALSE)/Z8,0)</f>
        <v>0</v>
      </c>
      <c r="Q8" s="1530"/>
      <c r="R8" s="900">
        <f t="shared" si="6"/>
        <v>0</v>
      </c>
      <c r="S8" s="900">
        <f t="shared" si="7"/>
        <v>0</v>
      </c>
      <c r="T8" s="1483" t="s">
        <v>2862</v>
      </c>
      <c r="U8" s="1211"/>
      <c r="V8" s="1212" t="str">
        <f>IFERROR(VLOOKUP(W8,constant_ag_extr!$D$7:$E$594,2,FALSE),"")</f>
        <v/>
      </c>
      <c r="W8" s="1213">
        <f t="shared" si="8"/>
        <v>0</v>
      </c>
      <c r="X8" s="1099">
        <f>IFERROR(IF(VLOOKUP(B8,cnst_grazing!$C$10:$H$25,5,FALSE)="", IF(VLOOKUP(B8, cnst_grazing!$C$10:$H$25,3,FALSE)="", VLOOKUP(B8, cnst_grazing!$C$10:$H$25,4,FALSE),VLOOKUP(B8, cnst_grazing!$C$10:$H$25,3,FALSE)), VLOOKUP(B8,cnst_grazing!$C$10:$H$25,5,FALSE)),1)</f>
        <v>1</v>
      </c>
      <c r="Y8" s="1104">
        <f>IFERROR(IF(VLOOKUP(B8,cnst_grazing!$C$10:$H$25,6,FALSE)="", IF(VLOOKUP(B8, cnst_grazing!$C$10:$H$25,4,FALSE)="", VLOOKUP(B8, cnst_grazing!$C$10:$H$25,3,FALSE),VLOOKUP(B8, cnst_grazing!$C$10:$H$25,4,FALSE)), VLOOKUP(B8,cnst_grazing!$C$10:$H$25,6,FALSE)),1)</f>
        <v>1</v>
      </c>
      <c r="Z8" s="937">
        <f t="shared" si="9"/>
        <v>1</v>
      </c>
      <c r="AA8" s="933" t="e">
        <f t="shared" si="10"/>
        <v>#N/A</v>
      </c>
      <c r="AB8" s="933" t="e">
        <f>VLOOKUP($W8,feed_mix_n,MATCH(AB$5,feed_mix_w!$B$5:$AC$5,0),FALSE)/$Z8*VLOOKUP(AB$5,feed_intensity_w,11,FALSE)</f>
        <v>#N/A</v>
      </c>
      <c r="AC8" s="933" t="e">
        <f>VLOOKUP($W8,feed_mix_n,MATCH(AC$5,feed_mix_w!$B$5:$AC$5,0),FALSE)/$Z8*VLOOKUP(AC$5,feed_intensity_w,11,FALSE)</f>
        <v>#N/A</v>
      </c>
      <c r="AD8" s="933" t="e">
        <f>VLOOKUP($W8,feed_mix_n,MATCH(AD$5,feed_mix_w!$B$5:$AC$5,0),FALSE)/$Z8*VLOOKUP(AD$5,feed_intensity_w,11,FALSE)</f>
        <v>#N/A</v>
      </c>
      <c r="AE8" s="933" t="e">
        <f>VLOOKUP($W8,feed_mix_n,MATCH(AE$5,feed_mix_w!$B$5:$AC$5,0),FALSE)/$Z8*VLOOKUP(AE$5,feed_intensity_w,11,FALSE)</f>
        <v>#N/A</v>
      </c>
      <c r="AF8" s="933" t="e">
        <f>VLOOKUP($W8,feed_mix_n,MATCH(AF$5,feed_mix_w!$B$5:$AC$5,0),FALSE)/$Z8*VLOOKUP(AF$5,feed_intensity_w,11,FALSE)</f>
        <v>#N/A</v>
      </c>
      <c r="AG8" s="933" t="e">
        <f>VLOOKUP($W8,feed_mix_n,MATCH(AG$5,feed_mix_w!$B$5:$AC$5,0),FALSE)/$Z8*VLOOKUP(AG$5,feed_intensity_w,11,FALSE)</f>
        <v>#N/A</v>
      </c>
      <c r="AH8" s="933" t="e">
        <f>VLOOKUP($W8,feed_mix_n,MATCH(AH$5,feed_mix_w!$B$5:$AC$5,0),FALSE)/$Z8*VLOOKUP(AH$5,feed_intensity_w,11,FALSE)</f>
        <v>#N/A</v>
      </c>
      <c r="AI8" s="933" t="e">
        <f>VLOOKUP($W8,feed_mix_n,MATCH(AI$5,feed_mix_w!$B$5:$AC$5,0),FALSE)/$Z8*VLOOKUP(AI$5,feed_intensity_w,11,FALSE)</f>
        <v>#N/A</v>
      </c>
      <c r="AJ8" s="933" t="e">
        <f>VLOOKUP($W8,feed_mix_n,MATCH(AJ$5,feed_mix_w!$B$5:$AC$5,0),FALSE)/$Z8*VLOOKUP(AJ$5,feed_intensity_w,11,FALSE)</f>
        <v>#N/A</v>
      </c>
      <c r="AK8" s="933" t="e">
        <f>VLOOKUP($W8,feed_mix_n,MATCH(AK$5,feed_mix_w!$B$5:$AC$5,0),FALSE)/$Z8*VLOOKUP(AK$5,feed_intensity_w,11,FALSE)</f>
        <v>#N/A</v>
      </c>
      <c r="AL8" s="933" t="e">
        <f>VLOOKUP($W8,feed_mix_n,MATCH(AL$5,feed_mix_w!$B$5:$AC$5,0),FALSE)/$Z8*VLOOKUP(AL$5,feed_intensity_w,11,FALSE)</f>
        <v>#N/A</v>
      </c>
      <c r="AM8" s="933" t="e">
        <f>VLOOKUP($W8,feed_mix_n,MATCH(AM$5,feed_mix_w!$B$5:$AC$5,0),FALSE)/$Z8*VLOOKUP(AM$5,feed_intensity_w,11,FALSE)</f>
        <v>#N/A</v>
      </c>
      <c r="AN8" s="933" t="e">
        <f>VLOOKUP($W8,feed_mix_n,MATCH(AN$5,feed_mix_w!$B$5:$AC$5,0),FALSE)/$Z8*VLOOKUP(AN$5,feed_intensity_w,11,FALSE)</f>
        <v>#N/A</v>
      </c>
      <c r="AO8" s="933" t="e">
        <f>VLOOKUP($W8,feed_mix_n,MATCH(AO$5,feed_mix_w!$B$5:$AC$5,0),FALSE)/$Z8*VLOOKUP(AO$5,feed_intensity_w,11,FALSE)</f>
        <v>#N/A</v>
      </c>
      <c r="AP8" s="933" t="e">
        <f>VLOOKUP($W8,feed_mix_n,MATCH(AP$5,feed_mix_w!$B$5:$AC$5,0),FALSE)/$Z8*VLOOKUP(AP$5,feed_intensity_w,11,FALSE)</f>
        <v>#N/A</v>
      </c>
      <c r="AQ8" s="933" t="e">
        <f>VLOOKUP($W8,feed_mix_n,MATCH(AQ$5,feed_mix_w!$B$5:$AC$5,0),FALSE)/$Z8*VLOOKUP(AQ$5,feed_intensity_w,11,FALSE)</f>
        <v>#N/A</v>
      </c>
      <c r="AR8" s="933" t="e">
        <f>VLOOKUP($W8,feed_mix_n,MATCH(AR$5,feed_mix_w!$B$5:$AC$5,0),FALSE)/$Z8*VLOOKUP(AR$5,feed_intensity_w,11,FALSE)</f>
        <v>#N/A</v>
      </c>
      <c r="AS8" s="1105" t="e">
        <f>VLOOKUP($W8,feed_mix_n,MATCH(AS$5,feed_mix_w!$B$5:$AC$5,0),FALSE)/$Z8*VLOOKUP(AS$5,feed_intensity_w,11,FALSE)</f>
        <v>#N/A</v>
      </c>
    </row>
    <row r="9" spans="1:45" ht="12">
      <c r="A9" s="1008" t="s">
        <v>4828</v>
      </c>
      <c r="B9" s="1102">
        <v>866</v>
      </c>
      <c r="C9" s="1103" t="s">
        <v>28</v>
      </c>
      <c r="D9" s="1158">
        <v>2033140</v>
      </c>
      <c r="E9" s="1158">
        <v>164770</v>
      </c>
      <c r="F9" s="1012">
        <f t="shared" si="0"/>
        <v>610620.82295089564</v>
      </c>
      <c r="G9" s="1012">
        <f t="shared" si="1"/>
        <v>44065.485650878101</v>
      </c>
      <c r="H9" s="933">
        <f>SUM(AB9:AP9)+AR9+AS9</f>
        <v>3.5863629824290508</v>
      </c>
      <c r="I9" s="1486">
        <f t="shared" si="3"/>
        <v>2189907.9157314557</v>
      </c>
      <c r="J9" s="1006">
        <f>IFERROR(G9*VLOOKUP(W9,livestock_intensity!$B$7:$I$29,8,FALSE)/Z9,0)</f>
        <v>183897.620259658</v>
      </c>
      <c r="K9" s="933">
        <f>VLOOKUP($W9,feed_mix_n,MATCH(K$5,feed_mix_w!$B$5:$AC$5,0),FALSE)/$Z9*VLOOKUP(K$5,feed_intensity_w,11,FALSE)</f>
        <v>0</v>
      </c>
      <c r="L9" s="1486">
        <f t="shared" si="4"/>
        <v>0</v>
      </c>
      <c r="M9" s="1447">
        <f>IFERROR(G9*VLOOKUP(W9,livestock_intensity!$B$7:$M$29,12,FALSE)/Z9,0)</f>
        <v>0</v>
      </c>
      <c r="N9" s="933">
        <f>VLOOKUP($W9,feed_mix_n,MATCH(N$5,feed_mix_w!$B$5:$AC$5,0),FALSE)/$Z9*VLOOKUP(N$5,feed_intensity_w,11,FALSE)</f>
        <v>8.9899423291538234</v>
      </c>
      <c r="O9" s="1486">
        <f t="shared" si="5"/>
        <v>5489445.9833089989</v>
      </c>
      <c r="P9" s="939">
        <f>IFERROR(G9*VLOOKUP(W9,livestock_intensity!$B$7:$Q$29,16,FALSE)/Z9,0)</f>
        <v>225235.18535819772</v>
      </c>
      <c r="Q9" s="1530"/>
      <c r="R9" s="900">
        <f t="shared" si="6"/>
        <v>7679353.899040455</v>
      </c>
      <c r="S9" s="900">
        <f t="shared" si="7"/>
        <v>409132.80561785575</v>
      </c>
      <c r="T9" s="1483" t="s">
        <v>2862</v>
      </c>
      <c r="U9" s="1211" t="s">
        <v>415</v>
      </c>
      <c r="V9" s="1212" t="str">
        <f>IFERROR(VLOOKUP(W9,constant_ag_extr!$D$7:$E$594,2,FALSE),"")</f>
        <v>Cattle</v>
      </c>
      <c r="W9" s="1213">
        <f t="shared" si="8"/>
        <v>866</v>
      </c>
      <c r="X9" s="1099">
        <f>IFERROR(IF(VLOOKUP(B9,cnst_grazing!$C$10:$H$25,5,FALSE)="", IF(VLOOKUP(B9, cnst_grazing!$C$10:$H$25,3,FALSE)="", VLOOKUP(B9, cnst_grazing!$C$10:$H$25,4,FALSE),VLOOKUP(B9, cnst_grazing!$C$10:$H$25,3,FALSE)), VLOOKUP(B9,cnst_grazing!$C$10:$H$25,5,FALSE)),1)</f>
        <v>0.30033387909878101</v>
      </c>
      <c r="Y9" s="1099">
        <f>IFERROR(IF(VLOOKUP(B9,cnst_grazing!$C$10:$H$25,6,FALSE)="", IF(VLOOKUP(B9, cnst_grazing!$C$10:$H$25,4,FALSE)="", VLOOKUP(B9, cnst_grazing!$C$10:$H$25,3,FALSE),VLOOKUP(B9, cnst_grazing!$C$10:$H$25,4,FALSE)), VLOOKUP(B9,cnst_grazing!$C$10:$H$25,6,FALSE)),1)</f>
        <v>0.26743633944818901</v>
      </c>
      <c r="Z9" s="937">
        <f t="shared" si="9"/>
        <v>1</v>
      </c>
      <c r="AA9" s="933">
        <f t="shared" si="10"/>
        <v>12.576305311582875</v>
      </c>
      <c r="AB9" s="933">
        <f>VLOOKUP($W9,feed_mix_n,MATCH(AB$5,feed_mix_w!$B$5:$AC$5,0),FALSE)/$Z9*VLOOKUP(AB$5,feed_intensity_w,11,FALSE)</f>
        <v>0.98871033937931985</v>
      </c>
      <c r="AC9" s="933">
        <f>VLOOKUP($W9,feed_mix_n,MATCH(AC$5,feed_mix_w!$B$5:$AC$5,0),FALSE)/$Z9*VLOOKUP(AC$5,feed_intensity_w,11,FALSE)</f>
        <v>0.41428856862724417</v>
      </c>
      <c r="AD9" s="933">
        <f>VLOOKUP($W9,feed_mix_n,MATCH(AD$5,feed_mix_w!$B$5:$AC$5,0),FALSE)/$Z9*VLOOKUP(AD$5,feed_intensity_w,11,FALSE)</f>
        <v>0</v>
      </c>
      <c r="AE9" s="933">
        <f>VLOOKUP($W9,feed_mix_n,MATCH(AE$5,feed_mix_w!$B$5:$AC$5,0),FALSE)/$Z9*VLOOKUP(AE$5,feed_intensity_w,11,FALSE)</f>
        <v>0.78694727612058013</v>
      </c>
      <c r="AF9" s="933">
        <f>VLOOKUP($W9,feed_mix_n,MATCH(AF$5,feed_mix_w!$B$5:$AC$5,0),FALSE)/$Z9*VLOOKUP(AF$5,feed_intensity_w,11,FALSE)</f>
        <v>0.39347363806029007</v>
      </c>
      <c r="AG9" s="933">
        <f>VLOOKUP($W9,feed_mix_n,MATCH(AG$5,feed_mix_w!$B$5:$AC$5,0),FALSE)/$Z9*VLOOKUP(AG$5,feed_intensity_w,11,FALSE)</f>
        <v>0</v>
      </c>
      <c r="AH9" s="933">
        <f>VLOOKUP($W9,feed_mix_n,MATCH(AH$5,feed_mix_w!$B$5:$AC$5,0),FALSE)/$Z9*VLOOKUP(AH$5,feed_intensity_w,11,FALSE)</f>
        <v>0.39347363806029007</v>
      </c>
      <c r="AI9" s="933">
        <f>VLOOKUP($W9,feed_mix_n,MATCH(AI$5,feed_mix_w!$B$5:$AC$5,0),FALSE)/$Z9*VLOOKUP(AI$5,feed_intensity_w,11,FALSE)</f>
        <v>0</v>
      </c>
      <c r="AJ9" s="933">
        <f>VLOOKUP($W9,feed_mix_n,MATCH(AJ$5,feed_mix_w!$B$5:$AC$5,0),FALSE)/$Z9*VLOOKUP(AJ$5,feed_intensity_w,11,FALSE)</f>
        <v>0</v>
      </c>
      <c r="AK9" s="933">
        <f>VLOOKUP($W9,feed_mix_n,MATCH(AK$5,feed_mix_w!$B$5:$AC$5,0),FALSE)/$Z9*VLOOKUP(AK$5,feed_intensity_w,11,FALSE)</f>
        <v>0</v>
      </c>
      <c r="AL9" s="933">
        <f>VLOOKUP($W9,feed_mix_n,MATCH(AL$5,feed_mix_w!$B$5:$AC$5,0),FALSE)/$Z9*VLOOKUP(AL$5,feed_intensity_w,11,FALSE)</f>
        <v>0</v>
      </c>
      <c r="AM9" s="933">
        <f>VLOOKUP($W9,feed_mix_n,MATCH(AM$5,feed_mix_w!$B$5:$AC$5,0),FALSE)/$Z9*VLOOKUP(AM$5,feed_intensity_w,11,FALSE)</f>
        <v>0.28729201684725963</v>
      </c>
      <c r="AN9" s="933">
        <f>VLOOKUP($W9,feed_mix_n,MATCH(AN$5,feed_mix_w!$B$5:$AC$5,0),FALSE)/$Z9*VLOOKUP(AN$5,feed_intensity_w,11,FALSE)</f>
        <v>0</v>
      </c>
      <c r="AO9" s="933">
        <f>VLOOKUP($W9,feed_mix_n,MATCH(AO$5,feed_mix_w!$B$5:$AC$5,0),FALSE)/$Z9*VLOOKUP(AO$5,feed_intensity_w,11,FALSE)</f>
        <v>0</v>
      </c>
      <c r="AP9" s="933">
        <f>VLOOKUP($W9,feed_mix_n,MATCH(AP$5,feed_mix_w!$B$5:$AC$5,0),FALSE)/$Z9*VLOOKUP(AP$5,feed_intensity_w,11,FALSE)</f>
        <v>0</v>
      </c>
      <c r="AQ9" s="933">
        <f>VLOOKUP($W9,feed_mix_n,MATCH(AQ$5,feed_mix_w!$B$5:$AC$5,0),FALSE)/$Z9*VLOOKUP(AQ$5,feed_intensity_w,11,FALSE)</f>
        <v>0</v>
      </c>
      <c r="AR9" s="933">
        <f>VLOOKUP($W9,feed_mix_n,MATCH(AR$5,feed_mix_w!$B$5:$AC$5,0),FALSE)/$Z9*VLOOKUP(AR$5,feed_intensity_w,11,FALSE)</f>
        <v>0.32217750533406686</v>
      </c>
      <c r="AS9" s="1105">
        <f>VLOOKUP($W9,feed_mix_n,MATCH(AS$5,feed_mix_w!$B$5:$AC$5,0),FALSE)/$Z9*VLOOKUP(AS$5,feed_intensity_w,11,FALSE)</f>
        <v>0</v>
      </c>
    </row>
    <row r="10" spans="1:45" ht="12">
      <c r="A10" s="1008" t="s">
        <v>7341</v>
      </c>
      <c r="B10" s="1102">
        <v>867</v>
      </c>
      <c r="C10" s="1103" t="s">
        <v>4639</v>
      </c>
      <c r="D10" s="1158">
        <v>54779</v>
      </c>
      <c r="E10" s="1158">
        <v>116173</v>
      </c>
      <c r="F10" s="1012">
        <f t="shared" si="0"/>
        <v>54779</v>
      </c>
      <c r="G10" s="1012">
        <f t="shared" si="1"/>
        <v>116173</v>
      </c>
      <c r="H10" s="933">
        <f t="shared" si="2"/>
        <v>6.1593283055785495</v>
      </c>
      <c r="I10" s="1486">
        <f t="shared" si="3"/>
        <v>337401.84525128733</v>
      </c>
      <c r="J10" s="1006">
        <f>IFERROR(G10*VLOOKUP(W10,livestock_intensity!$B$7:$I$29,8,FALSE)/Z10,0)</f>
        <v>832648.80527058744</v>
      </c>
      <c r="K10" s="933">
        <f>VLOOKUP($W10,feed_mix_n,MATCH(K$5,feed_mix_w!$B$5:$AC$5,0),FALSE)/$Z10*VLOOKUP(K$5,feed_intensity_w,11,FALSE)</f>
        <v>0</v>
      </c>
      <c r="L10" s="1486">
        <f t="shared" si="4"/>
        <v>0</v>
      </c>
      <c r="M10" s="1447">
        <f>IFERROR(G10*VLOOKUP(W10,livestock_intensity!$B$7:$M$29,12,FALSE)/Z10,0)</f>
        <v>0</v>
      </c>
      <c r="N10" s="933">
        <f>VLOOKUP($W10,feed_mix_n,MATCH(N$5,feed_mix_w!$B$5:$AC$5,0),FALSE)/$Z10*VLOOKUP(N$5,feed_intensity_w,11,FALSE)</f>
        <v>15.43959898224589</v>
      </c>
      <c r="O10" s="1486">
        <f t="shared" si="5"/>
        <v>845765.79264844756</v>
      </c>
      <c r="P10" s="939">
        <f>IFERROR(G10*VLOOKUP(W10,livestock_intensity!$B$7:$Q$29,16,FALSE)/Z10,0)</f>
        <v>1019816.3941904152</v>
      </c>
      <c r="Q10" s="1530"/>
      <c r="R10" s="900">
        <f t="shared" si="6"/>
        <v>1183167.637899735</v>
      </c>
      <c r="S10" s="900">
        <f t="shared" si="7"/>
        <v>1852465.1994610026</v>
      </c>
      <c r="T10" s="1483">
        <v>2731</v>
      </c>
      <c r="U10" s="1211" t="s">
        <v>2921</v>
      </c>
      <c r="V10" s="1212" t="str">
        <f>IFERROR(VLOOKUP(W10,constant_ag_extr!$D$7:$E$594,2,FALSE),"")</f>
        <v>Cattle</v>
      </c>
      <c r="W10" s="1213">
        <f t="shared" si="8"/>
        <v>866</v>
      </c>
      <c r="X10" s="1099">
        <f>IFERROR(IF(VLOOKUP(B10,cnst_grazing!$C$10:$H$25,5,FALSE)="", IF(VLOOKUP(B10, cnst_grazing!$C$10:$H$25,3,FALSE)="", VLOOKUP(B10, cnst_grazing!$C$10:$H$25,4,FALSE),VLOOKUP(B10, cnst_grazing!$C$10:$H$25,3,FALSE)), VLOOKUP(B10,cnst_grazing!$C$10:$H$25,5,FALSE)),1)</f>
        <v>1</v>
      </c>
      <c r="Y10" s="1099">
        <f>IFERROR(IF(VLOOKUP(B10,cnst_grazing!$C$10:$H$25,6,FALSE)="", IF(VLOOKUP(B10, cnst_grazing!$C$10:$H$25,4,FALSE)="", VLOOKUP(B10, cnst_grazing!$C$10:$H$25,3,FALSE),VLOOKUP(B10, cnst_grazing!$C$10:$H$25,4,FALSE)), VLOOKUP(B10,cnst_grazing!$C$10:$H$25,6,FALSE)),1)</f>
        <v>1</v>
      </c>
      <c r="Z10" s="937">
        <f t="shared" si="9"/>
        <v>0.58226527382553306</v>
      </c>
      <c r="AA10" s="933">
        <f t="shared" si="10"/>
        <v>21.598927287824438</v>
      </c>
      <c r="AB10" s="933">
        <f>VLOOKUP($W10,feed_mix_n,MATCH(AB$5,feed_mix_w!$B$5:$AC$5,0),FALSE)/$Z10*VLOOKUP(AB$5,feed_intensity_w,11,FALSE)</f>
        <v>1.6980410541803526</v>
      </c>
      <c r="AC10" s="933">
        <f>VLOOKUP($W10,feed_mix_n,MATCH(AC$5,feed_mix_w!$B$5:$AC$5,0),FALSE)/$Z10*VLOOKUP(AC$5,feed_intensity_w,11,FALSE)</f>
        <v>0.71151172369482474</v>
      </c>
      <c r="AD10" s="933">
        <f>VLOOKUP($W10,feed_mix_n,MATCH(AD$5,feed_mix_w!$B$5:$AC$5,0),FALSE)/$Z10*VLOOKUP(AD$5,feed_intensity_w,11,FALSE)</f>
        <v>0</v>
      </c>
      <c r="AE10" s="933">
        <f>VLOOKUP($W10,feed_mix_n,MATCH(AE$5,feed_mix_w!$B$5:$AC$5,0),FALSE)/$Z10*VLOOKUP(AE$5,feed_intensity_w,11,FALSE)</f>
        <v>1.3515270642026591</v>
      </c>
      <c r="AF10" s="933">
        <f>VLOOKUP($W10,feed_mix_n,MATCH(AF$5,feed_mix_w!$B$5:$AC$5,0),FALSE)/$Z10*VLOOKUP(AF$5,feed_intensity_w,11,FALSE)</f>
        <v>0.67576353210132956</v>
      </c>
      <c r="AG10" s="933">
        <f>VLOOKUP($W10,feed_mix_n,MATCH(AG$5,feed_mix_w!$B$5:$AC$5,0),FALSE)/$Z10*VLOOKUP(AG$5,feed_intensity_w,11,FALSE)</f>
        <v>0</v>
      </c>
      <c r="AH10" s="933">
        <f>VLOOKUP($W10,feed_mix_n,MATCH(AH$5,feed_mix_w!$B$5:$AC$5,0),FALSE)/$Z10*VLOOKUP(AH$5,feed_intensity_w,11,FALSE)</f>
        <v>0.67576353210132956</v>
      </c>
      <c r="AI10" s="933">
        <f>VLOOKUP($W10,feed_mix_n,MATCH(AI$5,feed_mix_w!$B$5:$AC$5,0),FALSE)/$Z10*VLOOKUP(AI$5,feed_intensity_w,11,FALSE)</f>
        <v>0</v>
      </c>
      <c r="AJ10" s="933">
        <f>VLOOKUP($W10,feed_mix_n,MATCH(AJ$5,feed_mix_w!$B$5:$AC$5,0),FALSE)/$Z10*VLOOKUP(AJ$5,feed_intensity_w,11,FALSE)</f>
        <v>0</v>
      </c>
      <c r="AK10" s="933">
        <f>VLOOKUP($W10,feed_mix_n,MATCH(AK$5,feed_mix_w!$B$5:$AC$5,0),FALSE)/$Z10*VLOOKUP(AK$5,feed_intensity_w,11,FALSE)</f>
        <v>0</v>
      </c>
      <c r="AL10" s="933">
        <f>VLOOKUP($W10,feed_mix_n,MATCH(AL$5,feed_mix_w!$B$5:$AC$5,0),FALSE)/$Z10*VLOOKUP(AL$5,feed_intensity_w,11,FALSE)</f>
        <v>0</v>
      </c>
      <c r="AM10" s="933">
        <f>VLOOKUP($W10,feed_mix_n,MATCH(AM$5,feed_mix_w!$B$5:$AC$5,0),FALSE)/$Z10*VLOOKUP(AM$5,feed_intensity_w,11,FALSE)</f>
        <v>0.49340400288639286</v>
      </c>
      <c r="AN10" s="933">
        <f>VLOOKUP($W10,feed_mix_n,MATCH(AN$5,feed_mix_w!$B$5:$AC$5,0),FALSE)/$Z10*VLOOKUP(AN$5,feed_intensity_w,11,FALSE)</f>
        <v>0</v>
      </c>
      <c r="AO10" s="933">
        <f>VLOOKUP($W10,feed_mix_n,MATCH(AO$5,feed_mix_w!$B$5:$AC$5,0),FALSE)/$Z10*VLOOKUP(AO$5,feed_intensity_w,11,FALSE)</f>
        <v>0</v>
      </c>
      <c r="AP10" s="933">
        <f>VLOOKUP($W10,feed_mix_n,MATCH(AP$5,feed_mix_w!$B$5:$AC$5,0),FALSE)/$Z10*VLOOKUP(AP$5,feed_intensity_w,11,FALSE)</f>
        <v>0</v>
      </c>
      <c r="AQ10" s="933">
        <f>VLOOKUP($W10,feed_mix_n,MATCH(AQ$5,feed_mix_w!$B$5:$AC$5,0),FALSE)/$Z10*VLOOKUP(AQ$5,feed_intensity_w,11,FALSE)</f>
        <v>0</v>
      </c>
      <c r="AR10" s="933">
        <f>VLOOKUP($W10,feed_mix_n,MATCH(AR$5,feed_mix_w!$B$5:$AC$5,0),FALSE)/$Z10*VLOOKUP(AR$5,feed_intensity_w,11,FALSE)</f>
        <v>0.55331739641166111</v>
      </c>
      <c r="AS10" s="1105">
        <f>VLOOKUP($W10,feed_mix_n,MATCH(AS$5,feed_mix_w!$B$5:$AC$5,0),FALSE)/$Z10*VLOOKUP(AS$5,feed_intensity_w,11,FALSE)</f>
        <v>0</v>
      </c>
    </row>
    <row r="11" spans="1:45" ht="12">
      <c r="A11" s="1008" t="s">
        <v>7342</v>
      </c>
      <c r="B11" s="1102">
        <v>868</v>
      </c>
      <c r="C11" s="1103" t="s">
        <v>686</v>
      </c>
      <c r="D11" s="1158">
        <v>34211</v>
      </c>
      <c r="E11" s="1158">
        <v>259371</v>
      </c>
      <c r="F11" s="1012">
        <f t="shared" si="0"/>
        <v>34211</v>
      </c>
      <c r="G11" s="1012">
        <f t="shared" si="1"/>
        <v>259371</v>
      </c>
      <c r="H11" s="933">
        <f t="shared" si="2"/>
        <v>3.7703545663882747</v>
      </c>
      <c r="I11" s="1486">
        <f t="shared" si="3"/>
        <v>128987.60007070926</v>
      </c>
      <c r="J11" s="1006">
        <f>IFERROR(G11*VLOOKUP(W11,livestock_intensity!$B$7:$I$29,8,FALSE)/Z11,0)</f>
        <v>1137959.7863043034</v>
      </c>
      <c r="K11" s="933">
        <f>VLOOKUP($W11,feed_mix_n,MATCH(K$5,feed_mix_w!$B$5:$AC$5,0),FALSE)/$Z11*VLOOKUP(K$5,feed_intensity_w,11,FALSE)</f>
        <v>0</v>
      </c>
      <c r="L11" s="1486">
        <f t="shared" si="4"/>
        <v>0</v>
      </c>
      <c r="M11" s="1447">
        <f>IFERROR(G11*VLOOKUP(W11,livestock_intensity!$B$7:$M$29,12,FALSE)/Z11,0)</f>
        <v>0</v>
      </c>
      <c r="N11" s="933">
        <f>VLOOKUP($W11,feed_mix_n,MATCH(N$5,feed_mix_w!$B$5:$AC$5,0),FALSE)/$Z11*VLOOKUP(N$5,feed_intensity_w,11,FALSE)</f>
        <v>9.4511543528522122</v>
      </c>
      <c r="O11" s="1486">
        <f t="shared" si="5"/>
        <v>323333.44156542706</v>
      </c>
      <c r="P11" s="939">
        <f>IFERROR(G11*VLOOKUP(W11,livestock_intensity!$B$7:$Q$29,16,FALSE)/Z11,0)</f>
        <v>1393756.9340838927</v>
      </c>
      <c r="Q11" s="1530"/>
      <c r="R11" s="900">
        <f t="shared" si="6"/>
        <v>452321.0416361363</v>
      </c>
      <c r="S11" s="900">
        <f t="shared" si="7"/>
        <v>2531716.7203881964</v>
      </c>
      <c r="T11" s="1483">
        <v>2736</v>
      </c>
      <c r="U11" s="1211" t="s">
        <v>2921</v>
      </c>
      <c r="V11" s="1212" t="str">
        <f>IFERROR(VLOOKUP(W11,constant_ag_extr!$D$7:$E$594,2,FALSE),"")</f>
        <v>Cattle</v>
      </c>
      <c r="W11" s="1213">
        <f t="shared" si="8"/>
        <v>866</v>
      </c>
      <c r="X11" s="1099">
        <f>IFERROR(IF(VLOOKUP(B11,cnst_grazing!$C$10:$H$25,5,FALSE)="", IF(VLOOKUP(B11, cnst_grazing!$C$10:$H$25,3,FALSE)="", VLOOKUP(B11, cnst_grazing!$C$10:$H$25,4,FALSE),VLOOKUP(B11, cnst_grazing!$C$10:$H$25,3,FALSE)), VLOOKUP(B11,cnst_grazing!$C$10:$H$25,5,FALSE)),1)</f>
        <v>1</v>
      </c>
      <c r="Y11" s="1099">
        <f>IFERROR(IF(VLOOKUP(B11,cnst_grazing!$C$10:$H$25,6,FALSE)="", IF(VLOOKUP(B11, cnst_grazing!$C$10:$H$25,4,FALSE)="", VLOOKUP(B11, cnst_grazing!$C$10:$H$25,3,FALSE),VLOOKUP(B11, cnst_grazing!$C$10:$H$25,4,FALSE)), VLOOKUP(B11,cnst_grazing!$C$10:$H$25,6,FALSE)),1)</f>
        <v>1</v>
      </c>
      <c r="Z11" s="937">
        <f t="shared" si="9"/>
        <v>0.95120045589360191</v>
      </c>
      <c r="AA11" s="933">
        <f t="shared" si="10"/>
        <v>13.221508919240486</v>
      </c>
      <c r="AB11" s="933">
        <f>VLOOKUP($W11,feed_mix_n,MATCH(AB$5,feed_mix_w!$B$5:$AC$5,0),FALSE)/$Z11*VLOOKUP(AB$5,feed_intensity_w,11,FALSE)</f>
        <v>1.0394342572622921</v>
      </c>
      <c r="AC11" s="933">
        <f>VLOOKUP($W11,feed_mix_n,MATCH(AC$5,feed_mix_w!$B$5:$AC$5,0),FALSE)/$Z11*VLOOKUP(AC$5,feed_intensity_w,11,FALSE)</f>
        <v>0.43554286171787232</v>
      </c>
      <c r="AD11" s="933">
        <f>VLOOKUP($W11,feed_mix_n,MATCH(AD$5,feed_mix_w!$B$5:$AC$5,0),FALSE)/$Z11*VLOOKUP(AD$5,feed_intensity_w,11,FALSE)</f>
        <v>0</v>
      </c>
      <c r="AE11" s="933">
        <f>VLOOKUP($W11,feed_mix_n,MATCH(AE$5,feed_mix_w!$B$5:$AC$5,0),FALSE)/$Z11*VLOOKUP(AE$5,feed_intensity_w,11,FALSE)</f>
        <v>0.82732012084801332</v>
      </c>
      <c r="AF11" s="933">
        <f>VLOOKUP($W11,feed_mix_n,MATCH(AF$5,feed_mix_w!$B$5:$AC$5,0),FALSE)/$Z11*VLOOKUP(AF$5,feed_intensity_w,11,FALSE)</f>
        <v>0.41366006042400666</v>
      </c>
      <c r="AG11" s="933">
        <f>VLOOKUP($W11,feed_mix_n,MATCH(AG$5,feed_mix_w!$B$5:$AC$5,0),FALSE)/$Z11*VLOOKUP(AG$5,feed_intensity_w,11,FALSE)</f>
        <v>0</v>
      </c>
      <c r="AH11" s="933">
        <f>VLOOKUP($W11,feed_mix_n,MATCH(AH$5,feed_mix_w!$B$5:$AC$5,0),FALSE)/$Z11*VLOOKUP(AH$5,feed_intensity_w,11,FALSE)</f>
        <v>0.41366006042400666</v>
      </c>
      <c r="AI11" s="933">
        <f>VLOOKUP($W11,feed_mix_n,MATCH(AI$5,feed_mix_w!$B$5:$AC$5,0),FALSE)/$Z11*VLOOKUP(AI$5,feed_intensity_w,11,FALSE)</f>
        <v>0</v>
      </c>
      <c r="AJ11" s="933">
        <f>VLOOKUP($W11,feed_mix_n,MATCH(AJ$5,feed_mix_w!$B$5:$AC$5,0),FALSE)/$Z11*VLOOKUP(AJ$5,feed_intensity_w,11,FALSE)</f>
        <v>0</v>
      </c>
      <c r="AK11" s="933">
        <f>VLOOKUP($W11,feed_mix_n,MATCH(AK$5,feed_mix_w!$B$5:$AC$5,0),FALSE)/$Z11*VLOOKUP(AK$5,feed_intensity_w,11,FALSE)</f>
        <v>0</v>
      </c>
      <c r="AL11" s="933">
        <f>VLOOKUP($W11,feed_mix_n,MATCH(AL$5,feed_mix_w!$B$5:$AC$5,0),FALSE)/$Z11*VLOOKUP(AL$5,feed_intensity_w,11,FALSE)</f>
        <v>0</v>
      </c>
      <c r="AM11" s="933">
        <f>VLOOKUP($W11,feed_mix_n,MATCH(AM$5,feed_mix_w!$B$5:$AC$5,0),FALSE)/$Z11*VLOOKUP(AM$5,feed_intensity_w,11,FALSE)</f>
        <v>0.30203099154043633</v>
      </c>
      <c r="AN11" s="933">
        <f>VLOOKUP($W11,feed_mix_n,MATCH(AN$5,feed_mix_w!$B$5:$AC$5,0),FALSE)/$Z11*VLOOKUP(AN$5,feed_intensity_w,11,FALSE)</f>
        <v>0</v>
      </c>
      <c r="AO11" s="933">
        <f>VLOOKUP($W11,feed_mix_n,MATCH(AO$5,feed_mix_w!$B$5:$AC$5,0),FALSE)/$Z11*VLOOKUP(AO$5,feed_intensity_w,11,FALSE)</f>
        <v>0</v>
      </c>
      <c r="AP11" s="933">
        <f>VLOOKUP($W11,feed_mix_n,MATCH(AP$5,feed_mix_w!$B$5:$AC$5,0),FALSE)/$Z11*VLOOKUP(AP$5,feed_intensity_w,11,FALSE)</f>
        <v>0</v>
      </c>
      <c r="AQ11" s="933">
        <f>VLOOKUP($W11,feed_mix_n,MATCH(AQ$5,feed_mix_w!$B$5:$AC$5,0),FALSE)/$Z11*VLOOKUP(AQ$5,feed_intensity_w,11,FALSE)</f>
        <v>0</v>
      </c>
      <c r="AR11" s="933">
        <f>VLOOKUP($W11,feed_mix_n,MATCH(AR$5,feed_mix_w!$B$5:$AC$5,0),FALSE)/$Z11*VLOOKUP(AR$5,feed_intensity_w,11,FALSE)</f>
        <v>0.33870621417164731</v>
      </c>
      <c r="AS11" s="1105">
        <f>VLOOKUP($W11,feed_mix_n,MATCH(AS$5,feed_mix_w!$B$5:$AC$5,0),FALSE)/$Z11*VLOOKUP(AS$5,feed_intensity_w,11,FALSE)</f>
        <v>0</v>
      </c>
    </row>
    <row r="12" spans="1:45" ht="12">
      <c r="A12" s="1008" t="s">
        <v>7343</v>
      </c>
      <c r="B12" s="1102">
        <v>869</v>
      </c>
      <c r="C12" s="1103" t="s">
        <v>1265</v>
      </c>
      <c r="D12" s="1158">
        <v>9</v>
      </c>
      <c r="E12" s="1158">
        <v>4035</v>
      </c>
      <c r="F12" s="1012">
        <f t="shared" si="0"/>
        <v>9</v>
      </c>
      <c r="G12" s="1012">
        <f t="shared" si="1"/>
        <v>4035</v>
      </c>
      <c r="H12" s="933">
        <f t="shared" si="2"/>
        <v>1.2980482220621365</v>
      </c>
      <c r="I12" s="1486">
        <f t="shared" si="3"/>
        <v>11.68243399855923</v>
      </c>
      <c r="J12" s="1006">
        <f>IFERROR(G12*VLOOKUP(W12,livestock_intensity!$B$7:$I$29,8,FALSE)/Z12,0)</f>
        <v>6094.7749076904392</v>
      </c>
      <c r="K12" s="933">
        <f>VLOOKUP($W12,feed_mix_n,MATCH(K$5,feed_mix_w!$B$5:$AC$5,0),FALSE)/$Z12*VLOOKUP(K$5,feed_intensity_w,11,FALSE)</f>
        <v>0</v>
      </c>
      <c r="L12" s="1486">
        <f t="shared" si="4"/>
        <v>0</v>
      </c>
      <c r="M12" s="1447">
        <f>IFERROR(G12*VLOOKUP(W12,livestock_intensity!$B$7:$M$29,12,FALSE)/Z12,0)</f>
        <v>0</v>
      </c>
      <c r="N12" s="933">
        <f>VLOOKUP($W12,feed_mix_n,MATCH(N$5,feed_mix_w!$B$5:$AC$5,0),FALSE)/$Z12*VLOOKUP(N$5,feed_intensity_w,11,FALSE)</f>
        <v>3.2538197371465087</v>
      </c>
      <c r="O12" s="1486">
        <f t="shared" si="5"/>
        <v>29.284377634318577</v>
      </c>
      <c r="P12" s="939">
        <f>IFERROR(G12*VLOOKUP(W12,livestock_intensity!$B$7:$Q$29,16,FALSE)/Z12,0)</f>
        <v>7464.7934764563861</v>
      </c>
      <c r="Q12" s="1530"/>
      <c r="R12" s="900">
        <f t="shared" si="6"/>
        <v>40.966811632877807</v>
      </c>
      <c r="S12" s="900">
        <f t="shared" si="7"/>
        <v>13559.568384146825</v>
      </c>
      <c r="T12" s="1483">
        <v>2737</v>
      </c>
      <c r="U12" s="1211" t="s">
        <v>2921</v>
      </c>
      <c r="V12" s="1212" t="str">
        <f>IFERROR(VLOOKUP(W12,constant_ag_extr!$D$7:$E$594,2,FALSE),"")</f>
        <v>Cattle</v>
      </c>
      <c r="W12" s="1213">
        <f t="shared" si="8"/>
        <v>866</v>
      </c>
      <c r="X12" s="1099">
        <f>IFERROR(IF(VLOOKUP(B12,cnst_grazing!$C$10:$H$25,5,FALSE)="", IF(VLOOKUP(B12, cnst_grazing!$C$10:$H$25,3,FALSE)="", VLOOKUP(B12, cnst_grazing!$C$10:$H$25,4,FALSE),VLOOKUP(B12, cnst_grazing!$C$10:$H$25,3,FALSE)), VLOOKUP(B12,cnst_grazing!$C$10:$H$25,5,FALSE)),1)</f>
        <v>1</v>
      </c>
      <c r="Y12" s="1099">
        <f>IFERROR(IF(VLOOKUP(B12,cnst_grazing!$C$10:$H$25,6,FALSE)="", IF(VLOOKUP(B12, cnst_grazing!$C$10:$H$25,4,FALSE)="", VLOOKUP(B12, cnst_grazing!$C$10:$H$25,3,FALSE),VLOOKUP(B12, cnst_grazing!$C$10:$H$25,4,FALSE)), VLOOKUP(B12,cnst_grazing!$C$10:$H$25,6,FALSE)),1)</f>
        <v>1</v>
      </c>
      <c r="Z12" s="937">
        <f t="shared" si="9"/>
        <v>2.762888867665946</v>
      </c>
      <c r="AA12" s="933">
        <f t="shared" si="10"/>
        <v>4.5518679592086455</v>
      </c>
      <c r="AB12" s="933">
        <f>VLOOKUP($W12,feed_mix_n,MATCH(AB$5,feed_mix_w!$B$5:$AC$5,0),FALSE)/$Z12*VLOOKUP(AB$5,feed_intensity_w,11,FALSE)</f>
        <v>0.35785382139331939</v>
      </c>
      <c r="AC12" s="933">
        <f>VLOOKUP($W12,feed_mix_n,MATCH(AC$5,feed_mix_w!$B$5:$AC$5,0),FALSE)/$Z12*VLOOKUP(AC$5,feed_intensity_w,11,FALSE)</f>
        <v>0.14994760501432328</v>
      </c>
      <c r="AD12" s="933">
        <f>VLOOKUP($W12,feed_mix_n,MATCH(AD$5,feed_mix_w!$B$5:$AC$5,0),FALSE)/$Z12*VLOOKUP(AD$5,feed_intensity_w,11,FALSE)</f>
        <v>0</v>
      </c>
      <c r="AE12" s="933">
        <f>VLOOKUP($W12,feed_mix_n,MATCH(AE$5,feed_mix_w!$B$5:$AC$5,0),FALSE)/$Z12*VLOOKUP(AE$5,feed_intensity_w,11,FALSE)</f>
        <v>0.28482769804106645</v>
      </c>
      <c r="AF12" s="933">
        <f>VLOOKUP($W12,feed_mix_n,MATCH(AF$5,feed_mix_w!$B$5:$AC$5,0),FALSE)/$Z12*VLOOKUP(AF$5,feed_intensity_w,11,FALSE)</f>
        <v>0.14241384902053322</v>
      </c>
      <c r="AG12" s="933">
        <f>VLOOKUP($W12,feed_mix_n,MATCH(AG$5,feed_mix_w!$B$5:$AC$5,0),FALSE)/$Z12*VLOOKUP(AG$5,feed_intensity_w,11,FALSE)</f>
        <v>0</v>
      </c>
      <c r="AH12" s="933">
        <f>VLOOKUP($W12,feed_mix_n,MATCH(AH$5,feed_mix_w!$B$5:$AC$5,0),FALSE)/$Z12*VLOOKUP(AH$5,feed_intensity_w,11,FALSE)</f>
        <v>0.14241384902053322</v>
      </c>
      <c r="AI12" s="933">
        <f>VLOOKUP($W12,feed_mix_n,MATCH(AI$5,feed_mix_w!$B$5:$AC$5,0),FALSE)/$Z12*VLOOKUP(AI$5,feed_intensity_w,11,FALSE)</f>
        <v>0</v>
      </c>
      <c r="AJ12" s="933">
        <f>VLOOKUP($W12,feed_mix_n,MATCH(AJ$5,feed_mix_w!$B$5:$AC$5,0),FALSE)/$Z12*VLOOKUP(AJ$5,feed_intensity_w,11,FALSE)</f>
        <v>0</v>
      </c>
      <c r="AK12" s="933">
        <f>VLOOKUP($W12,feed_mix_n,MATCH(AK$5,feed_mix_w!$B$5:$AC$5,0),FALSE)/$Z12*VLOOKUP(AK$5,feed_intensity_w,11,FALSE)</f>
        <v>0</v>
      </c>
      <c r="AL12" s="933">
        <f>VLOOKUP($W12,feed_mix_n,MATCH(AL$5,feed_mix_w!$B$5:$AC$5,0),FALSE)/$Z12*VLOOKUP(AL$5,feed_intensity_w,11,FALSE)</f>
        <v>0</v>
      </c>
      <c r="AM12" s="933">
        <f>VLOOKUP($W12,feed_mix_n,MATCH(AM$5,feed_mix_w!$B$5:$AC$5,0),FALSE)/$Z12*VLOOKUP(AM$5,feed_intensity_w,11,FALSE)</f>
        <v>0.10398247291428712</v>
      </c>
      <c r="AN12" s="933">
        <f>VLOOKUP($W12,feed_mix_n,MATCH(AN$5,feed_mix_w!$B$5:$AC$5,0),FALSE)/$Z12*VLOOKUP(AN$5,feed_intensity_w,11,FALSE)</f>
        <v>0</v>
      </c>
      <c r="AO12" s="933">
        <f>VLOOKUP($W12,feed_mix_n,MATCH(AO$5,feed_mix_w!$B$5:$AC$5,0),FALSE)/$Z12*VLOOKUP(AO$5,feed_intensity_w,11,FALSE)</f>
        <v>0</v>
      </c>
      <c r="AP12" s="933">
        <f>VLOOKUP($W12,feed_mix_n,MATCH(AP$5,feed_mix_w!$B$5:$AC$5,0),FALSE)/$Z12*VLOOKUP(AP$5,feed_intensity_w,11,FALSE)</f>
        <v>0</v>
      </c>
      <c r="AQ12" s="933">
        <f>VLOOKUP($W12,feed_mix_n,MATCH(AQ$5,feed_mix_w!$B$5:$AC$5,0),FALSE)/$Z12*VLOOKUP(AQ$5,feed_intensity_w,11,FALSE)</f>
        <v>0</v>
      </c>
      <c r="AR12" s="933">
        <f>VLOOKUP($W12,feed_mix_n,MATCH(AR$5,feed_mix_w!$B$5:$AC$5,0),FALSE)/$Z12*VLOOKUP(AR$5,feed_intensity_w,11,FALSE)</f>
        <v>0.11660892665807381</v>
      </c>
      <c r="AS12" s="1105">
        <f>VLOOKUP($W12,feed_mix_n,MATCH(AS$5,feed_mix_w!$B$5:$AC$5,0),FALSE)/$Z12*VLOOKUP(AS$5,feed_intensity_w,11,FALSE)</f>
        <v>0</v>
      </c>
    </row>
    <row r="13" spans="1:45" ht="12">
      <c r="A13" s="1008" t="s">
        <v>7344</v>
      </c>
      <c r="B13" s="1102">
        <v>870</v>
      </c>
      <c r="C13" s="1103" t="s">
        <v>1632</v>
      </c>
      <c r="D13" s="1158">
        <v>662474</v>
      </c>
      <c r="E13" s="1158">
        <v>700961</v>
      </c>
      <c r="F13" s="1012">
        <f t="shared" si="0"/>
        <v>662474</v>
      </c>
      <c r="G13" s="1012">
        <f t="shared" si="1"/>
        <v>700961</v>
      </c>
      <c r="H13" s="933">
        <f t="shared" si="2"/>
        <v>8.2418725297108484</v>
      </c>
      <c r="I13" s="1486">
        <f t="shared" si="3"/>
        <v>5460026.2622476649</v>
      </c>
      <c r="J13" s="1006">
        <f>IFERROR(G13*VLOOKUP(W13,livestock_intensity!$B$7:$I$29,8,FALSE)/Z13,0)</f>
        <v>6722689.5141854007</v>
      </c>
      <c r="K13" s="933">
        <f>VLOOKUP($W13,feed_mix_n,MATCH(K$5,feed_mix_w!$B$5:$AC$5,0),FALSE)/$Z13*VLOOKUP(K$5,feed_intensity_w,11,FALSE)</f>
        <v>0</v>
      </c>
      <c r="L13" s="1486">
        <f t="shared" si="4"/>
        <v>0</v>
      </c>
      <c r="M13" s="1447">
        <f>IFERROR(G13*VLOOKUP(W13,livestock_intensity!$B$7:$M$29,12,FALSE)/Z13,0)</f>
        <v>0</v>
      </c>
      <c r="N13" s="933">
        <f>VLOOKUP($W13,feed_mix_n,MATCH(N$5,feed_mix_w!$B$5:$AC$5,0),FALSE)/$Z13*VLOOKUP(N$5,feed_intensity_w,11,FALSE)</f>
        <v>20.659916212985692</v>
      </c>
      <c r="O13" s="1486">
        <f t="shared" si="5"/>
        <v>13686657.333281484</v>
      </c>
      <c r="P13" s="939">
        <f>IFERROR(G13*VLOOKUP(W13,livestock_intensity!$B$7:$Q$29,16,FALSE)/Z13,0)</f>
        <v>8233854.3407749105</v>
      </c>
      <c r="Q13" s="1530"/>
      <c r="R13" s="900">
        <f t="shared" si="6"/>
        <v>19146683.595529146</v>
      </c>
      <c r="S13" s="900">
        <f t="shared" si="7"/>
        <v>14956543.854960311</v>
      </c>
      <c r="T13" s="1483" t="s">
        <v>2862</v>
      </c>
      <c r="U13" s="1211" t="s">
        <v>2921</v>
      </c>
      <c r="V13" s="1212" t="str">
        <f>IFERROR(VLOOKUP(W13,constant_ag_extr!$D$7:$E$594,2,FALSE),"")</f>
        <v>Cattle</v>
      </c>
      <c r="W13" s="1213">
        <f t="shared" si="8"/>
        <v>866</v>
      </c>
      <c r="X13" s="1099">
        <f>IFERROR(IF(VLOOKUP(B13,cnst_grazing!$C$10:$H$25,5,FALSE)="", IF(VLOOKUP(B13, cnst_grazing!$C$10:$H$25,3,FALSE)="", VLOOKUP(B13, cnst_grazing!$C$10:$H$25,4,FALSE),VLOOKUP(B13, cnst_grazing!$C$10:$H$25,3,FALSE)), VLOOKUP(B13,cnst_grazing!$C$10:$H$25,5,FALSE)),1)</f>
        <v>1</v>
      </c>
      <c r="Y13" s="1099">
        <f>IFERROR(IF(VLOOKUP(B13,cnst_grazing!$C$10:$H$25,6,FALSE)="", IF(VLOOKUP(B13, cnst_grazing!$C$10:$H$25,4,FALSE)="", VLOOKUP(B13, cnst_grazing!$C$10:$H$25,3,FALSE),VLOOKUP(B13, cnst_grazing!$C$10:$H$25,4,FALSE)), VLOOKUP(B13,cnst_grazing!$C$10:$H$25,6,FALSE)),1)</f>
        <v>1</v>
      </c>
      <c r="Z13" s="937">
        <f t="shared" si="9"/>
        <v>0.43513934115101777</v>
      </c>
      <c r="AA13" s="933">
        <f t="shared" si="10"/>
        <v>28.901788742696539</v>
      </c>
      <c r="AB13" s="933">
        <f>VLOOKUP($W13,feed_mix_n,MATCH(AB$5,feed_mix_w!$B$5:$AC$5,0),FALSE)/$Z13*VLOOKUP(AB$5,feed_intensity_w,11,FALSE)</f>
        <v>2.2721695003812168</v>
      </c>
      <c r="AC13" s="933">
        <f>VLOOKUP($W13,feed_mix_n,MATCH(AC$5,feed_mix_w!$B$5:$AC$5,0),FALSE)/$Z13*VLOOKUP(AC$5,feed_intensity_w,11,FALSE)</f>
        <v>0.95208253873662685</v>
      </c>
      <c r="AD13" s="933">
        <f>VLOOKUP($W13,feed_mix_n,MATCH(AD$5,feed_mix_w!$B$5:$AC$5,0),FALSE)/$Z13*VLOOKUP(AD$5,feed_intensity_w,11,FALSE)</f>
        <v>0</v>
      </c>
      <c r="AE13" s="933">
        <f>VLOOKUP($W13,feed_mix_n,MATCH(AE$5,feed_mix_w!$B$5:$AC$5,0),FALSE)/$Z13*VLOOKUP(AE$5,feed_intensity_w,11,FALSE)</f>
        <v>1.8084948927830113</v>
      </c>
      <c r="AF13" s="933">
        <f>VLOOKUP($W13,feed_mix_n,MATCH(AF$5,feed_mix_w!$B$5:$AC$5,0),FALSE)/$Z13*VLOOKUP(AF$5,feed_intensity_w,11,FALSE)</f>
        <v>0.90424744639150567</v>
      </c>
      <c r="AG13" s="933">
        <f>VLOOKUP($W13,feed_mix_n,MATCH(AG$5,feed_mix_w!$B$5:$AC$5,0),FALSE)/$Z13*VLOOKUP(AG$5,feed_intensity_w,11,FALSE)</f>
        <v>0</v>
      </c>
      <c r="AH13" s="933">
        <f>VLOOKUP($W13,feed_mix_n,MATCH(AH$5,feed_mix_w!$B$5:$AC$5,0),FALSE)/$Z13*VLOOKUP(AH$5,feed_intensity_w,11,FALSE)</f>
        <v>0.90424744639150567</v>
      </c>
      <c r="AI13" s="933">
        <f>VLOOKUP($W13,feed_mix_n,MATCH(AI$5,feed_mix_w!$B$5:$AC$5,0),FALSE)/$Z13*VLOOKUP(AI$5,feed_intensity_w,11,FALSE)</f>
        <v>0</v>
      </c>
      <c r="AJ13" s="933">
        <f>VLOOKUP($W13,feed_mix_n,MATCH(AJ$5,feed_mix_w!$B$5:$AC$5,0),FALSE)/$Z13*VLOOKUP(AJ$5,feed_intensity_w,11,FALSE)</f>
        <v>0</v>
      </c>
      <c r="AK13" s="933">
        <f>VLOOKUP($W13,feed_mix_n,MATCH(AK$5,feed_mix_w!$B$5:$AC$5,0),FALSE)/$Z13*VLOOKUP(AK$5,feed_intensity_w,11,FALSE)</f>
        <v>0</v>
      </c>
      <c r="AL13" s="933">
        <f>VLOOKUP($W13,feed_mix_n,MATCH(AL$5,feed_mix_w!$B$5:$AC$5,0),FALSE)/$Z13*VLOOKUP(AL$5,feed_intensity_w,11,FALSE)</f>
        <v>0</v>
      </c>
      <c r="AM13" s="933">
        <f>VLOOKUP($W13,feed_mix_n,MATCH(AM$5,feed_mix_w!$B$5:$AC$5,0),FALSE)/$Z13*VLOOKUP(AM$5,feed_intensity_w,11,FALSE)</f>
        <v>0.66022993022723087</v>
      </c>
      <c r="AN13" s="933">
        <f>VLOOKUP($W13,feed_mix_n,MATCH(AN$5,feed_mix_w!$B$5:$AC$5,0),FALSE)/$Z13*VLOOKUP(AN$5,feed_intensity_w,11,FALSE)</f>
        <v>0</v>
      </c>
      <c r="AO13" s="933">
        <f>VLOOKUP($W13,feed_mix_n,MATCH(AO$5,feed_mix_w!$B$5:$AC$5,0),FALSE)/$Z13*VLOOKUP(AO$5,feed_intensity_w,11,FALSE)</f>
        <v>0</v>
      </c>
      <c r="AP13" s="933">
        <f>VLOOKUP($W13,feed_mix_n,MATCH(AP$5,feed_mix_w!$B$5:$AC$5,0),FALSE)/$Z13*VLOOKUP(AP$5,feed_intensity_w,11,FALSE)</f>
        <v>0</v>
      </c>
      <c r="AQ13" s="933">
        <f>VLOOKUP($W13,feed_mix_n,MATCH(AQ$5,feed_mix_w!$B$5:$AC$5,0),FALSE)/$Z13*VLOOKUP(AQ$5,feed_intensity_w,11,FALSE)</f>
        <v>0</v>
      </c>
      <c r="AR13" s="933">
        <f>VLOOKUP($W13,feed_mix_n,MATCH(AR$5,feed_mix_w!$B$5:$AC$5,0),FALSE)/$Z13*VLOOKUP(AR$5,feed_intensity_w,11,FALSE)</f>
        <v>0.7404007747997513</v>
      </c>
      <c r="AS13" s="1105">
        <f>VLOOKUP($W13,feed_mix_n,MATCH(AS$5,feed_mix_w!$B$5:$AC$5,0),FALSE)/$Z13*VLOOKUP(AS$5,feed_intensity_w,11,FALSE)</f>
        <v>0</v>
      </c>
    </row>
    <row r="14" spans="1:45" ht="12">
      <c r="A14" s="1008" t="s">
        <v>5483</v>
      </c>
      <c r="B14" s="1102">
        <v>871</v>
      </c>
      <c r="C14" s="1103" t="s">
        <v>542</v>
      </c>
      <c r="D14" s="1158"/>
      <c r="E14" s="1158"/>
      <c r="F14" s="1012">
        <f t="shared" si="0"/>
        <v>0</v>
      </c>
      <c r="G14" s="1012">
        <f t="shared" si="1"/>
        <v>0</v>
      </c>
      <c r="H14" s="933">
        <f t="shared" si="2"/>
        <v>2.5633234123654005</v>
      </c>
      <c r="I14" s="1486">
        <f t="shared" si="3"/>
        <v>0</v>
      </c>
      <c r="J14" s="1006">
        <f>IFERROR(G14*VLOOKUP(W14,livestock_intensity!$B$7:$I$29,8,FALSE)/Z14,0)</f>
        <v>0</v>
      </c>
      <c r="K14" s="933">
        <f>VLOOKUP($W14,feed_mix_n,MATCH(K$5,feed_mix_w!$B$5:$AC$5,0),FALSE)/$Z14*VLOOKUP(K$5,feed_intensity_w,11,FALSE)</f>
        <v>0</v>
      </c>
      <c r="L14" s="1486">
        <f t="shared" si="4"/>
        <v>0</v>
      </c>
      <c r="M14" s="1447">
        <f>IFERROR(G14*VLOOKUP(W14,livestock_intensity!$B$7:$M$29,12,FALSE)/Z14,0)</f>
        <v>0</v>
      </c>
      <c r="N14" s="933">
        <f>VLOOKUP($W14,feed_mix_n,MATCH(N$5,feed_mix_w!$B$5:$AC$5,0),FALSE)/$Z14*VLOOKUP(N$5,feed_intensity_w,11,FALSE)</f>
        <v>6.4254872585504161</v>
      </c>
      <c r="O14" s="1486">
        <f t="shared" si="5"/>
        <v>0</v>
      </c>
      <c r="P14" s="939">
        <f>IFERROR(G14*VLOOKUP(W14,livestock_intensity!$B$7:$Q$29,16,FALSE)/Z14,0)</f>
        <v>0</v>
      </c>
      <c r="Q14" s="1530"/>
      <c r="R14" s="900">
        <f t="shared" si="6"/>
        <v>0</v>
      </c>
      <c r="S14" s="900">
        <f t="shared" si="7"/>
        <v>0</v>
      </c>
      <c r="T14" s="1483">
        <v>2737</v>
      </c>
      <c r="U14" s="1211" t="s">
        <v>2921</v>
      </c>
      <c r="V14" s="1212" t="str">
        <f>IFERROR(VLOOKUP(W14,constant_ag_extr!$D$7:$E$594,2,FALSE),"")</f>
        <v>Cattle</v>
      </c>
      <c r="W14" s="1213">
        <f t="shared" si="8"/>
        <v>866</v>
      </c>
      <c r="X14" s="1099">
        <f>IFERROR(IF(VLOOKUP(B14,cnst_grazing!$C$10:$H$25,5,FALSE)="", IF(VLOOKUP(B14, cnst_grazing!$C$10:$H$25,3,FALSE)="", VLOOKUP(B14, cnst_grazing!$C$10:$H$25,4,FALSE),VLOOKUP(B14, cnst_grazing!$C$10:$H$25,3,FALSE)), VLOOKUP(B14,cnst_grazing!$C$10:$H$25,5,FALSE)),1)</f>
        <v>1</v>
      </c>
      <c r="Y14" s="1099">
        <f>IFERROR(IF(VLOOKUP(B14,cnst_grazing!$C$10:$H$25,6,FALSE)="", IF(VLOOKUP(B14, cnst_grazing!$C$10:$H$25,4,FALSE)="", VLOOKUP(B14, cnst_grazing!$C$10:$H$25,3,FALSE),VLOOKUP(B14, cnst_grazing!$C$10:$H$25,4,FALSE)), VLOOKUP(B14,cnst_grazing!$C$10:$H$25,6,FALSE)),1)</f>
        <v>1</v>
      </c>
      <c r="Z14" s="937">
        <f t="shared" si="9"/>
        <v>1.3991067085520836</v>
      </c>
      <c r="AA14" s="933">
        <f t="shared" si="10"/>
        <v>8.9888106709158162</v>
      </c>
      <c r="AB14" s="933">
        <f>VLOOKUP($W14,feed_mix_n,MATCH(AB$5,feed_mix_w!$B$5:$AC$5,0),FALSE)/$Z14*VLOOKUP(AB$5,feed_intensity_w,11,FALSE)</f>
        <v>0.70667257424740859</v>
      </c>
      <c r="AC14" s="933">
        <f>VLOOKUP($W14,feed_mix_n,MATCH(AC$5,feed_mix_w!$B$5:$AC$5,0),FALSE)/$Z14*VLOOKUP(AC$5,feed_intensity_w,11,FALSE)</f>
        <v>0.29610934326516508</v>
      </c>
      <c r="AD14" s="933">
        <f>VLOOKUP($W14,feed_mix_n,MATCH(AD$5,feed_mix_w!$B$5:$AC$5,0),FALSE)/$Z14*VLOOKUP(AD$5,feed_intensity_w,11,FALSE)</f>
        <v>0</v>
      </c>
      <c r="AE14" s="933">
        <f>VLOOKUP($W14,feed_mix_n,MATCH(AE$5,feed_mix_w!$B$5:$AC$5,0),FALSE)/$Z14*VLOOKUP(AE$5,feed_intensity_w,11,FALSE)</f>
        <v>0.56246408605601006</v>
      </c>
      <c r="AF14" s="933">
        <f>VLOOKUP($W14,feed_mix_n,MATCH(AF$5,feed_mix_w!$B$5:$AC$5,0),FALSE)/$Z14*VLOOKUP(AF$5,feed_intensity_w,11,FALSE)</f>
        <v>0.28123204302800503</v>
      </c>
      <c r="AG14" s="933">
        <f>VLOOKUP($W14,feed_mix_n,MATCH(AG$5,feed_mix_w!$B$5:$AC$5,0),FALSE)/$Z14*VLOOKUP(AG$5,feed_intensity_w,11,FALSE)</f>
        <v>0</v>
      </c>
      <c r="AH14" s="933">
        <f>VLOOKUP($W14,feed_mix_n,MATCH(AH$5,feed_mix_w!$B$5:$AC$5,0),FALSE)/$Z14*VLOOKUP(AH$5,feed_intensity_w,11,FALSE)</f>
        <v>0.28123204302800503</v>
      </c>
      <c r="AI14" s="933">
        <f>VLOOKUP($W14,feed_mix_n,MATCH(AI$5,feed_mix_w!$B$5:$AC$5,0),FALSE)/$Z14*VLOOKUP(AI$5,feed_intensity_w,11,FALSE)</f>
        <v>0</v>
      </c>
      <c r="AJ14" s="933">
        <f>VLOOKUP($W14,feed_mix_n,MATCH(AJ$5,feed_mix_w!$B$5:$AC$5,0),FALSE)/$Z14*VLOOKUP(AJ$5,feed_intensity_w,11,FALSE)</f>
        <v>0</v>
      </c>
      <c r="AK14" s="933">
        <f>VLOOKUP($W14,feed_mix_n,MATCH(AK$5,feed_mix_w!$B$5:$AC$5,0),FALSE)/$Z14*VLOOKUP(AK$5,feed_intensity_w,11,FALSE)</f>
        <v>0</v>
      </c>
      <c r="AL14" s="933">
        <f>VLOOKUP($W14,feed_mix_n,MATCH(AL$5,feed_mix_w!$B$5:$AC$5,0),FALSE)/$Z14*VLOOKUP(AL$5,feed_intensity_w,11,FALSE)</f>
        <v>0</v>
      </c>
      <c r="AM14" s="933">
        <f>VLOOKUP($W14,feed_mix_n,MATCH(AM$5,feed_mix_w!$B$5:$AC$5,0),FALSE)/$Z14*VLOOKUP(AM$5,feed_intensity_w,11,FALSE)</f>
        <v>0.20533960354215886</v>
      </c>
      <c r="AN14" s="933">
        <f>VLOOKUP($W14,feed_mix_n,MATCH(AN$5,feed_mix_w!$B$5:$AC$5,0),FALSE)/$Z14*VLOOKUP(AN$5,feed_intensity_w,11,FALSE)</f>
        <v>0</v>
      </c>
      <c r="AO14" s="933">
        <f>VLOOKUP($W14,feed_mix_n,MATCH(AO$5,feed_mix_w!$B$5:$AC$5,0),FALSE)/$Z14*VLOOKUP(AO$5,feed_intensity_w,11,FALSE)</f>
        <v>0</v>
      </c>
      <c r="AP14" s="933">
        <f>VLOOKUP($W14,feed_mix_n,MATCH(AP$5,feed_mix_w!$B$5:$AC$5,0),FALSE)/$Z14*VLOOKUP(AP$5,feed_intensity_w,11,FALSE)</f>
        <v>0</v>
      </c>
      <c r="AQ14" s="933">
        <f>VLOOKUP($W14,feed_mix_n,MATCH(AQ$5,feed_mix_w!$B$5:$AC$5,0),FALSE)/$Z14*VLOOKUP(AQ$5,feed_intensity_w,11,FALSE)</f>
        <v>0</v>
      </c>
      <c r="AR14" s="933">
        <f>VLOOKUP($W14,feed_mix_n,MATCH(AR$5,feed_mix_w!$B$5:$AC$5,0),FALSE)/$Z14*VLOOKUP(AR$5,feed_intensity_w,11,FALSE)</f>
        <v>0.23027371919864781</v>
      </c>
      <c r="AS14" s="1105">
        <f>VLOOKUP($W14,feed_mix_n,MATCH(AS$5,feed_mix_w!$B$5:$AC$5,0),FALSE)/$Z14*VLOOKUP(AS$5,feed_intensity_w,11,FALSE)</f>
        <v>0</v>
      </c>
    </row>
    <row r="15" spans="1:45" ht="12">
      <c r="A15" s="1008" t="s">
        <v>1988</v>
      </c>
      <c r="B15" s="1102">
        <v>872</v>
      </c>
      <c r="C15" s="1103">
        <v>210.2</v>
      </c>
      <c r="D15" s="1158"/>
      <c r="E15" s="1158"/>
      <c r="F15" s="1012">
        <f t="shared" si="0"/>
        <v>0</v>
      </c>
      <c r="G15" s="1012">
        <f t="shared" si="1"/>
        <v>0</v>
      </c>
      <c r="H15" s="933">
        <f t="shared" si="2"/>
        <v>13.389844142562064</v>
      </c>
      <c r="I15" s="1486">
        <f t="shared" si="3"/>
        <v>0</v>
      </c>
      <c r="J15" s="1006">
        <f>IFERROR(G15*VLOOKUP(W15,livestock_intensity!$B$7:$I$29,8,FALSE)/Z15,0)</f>
        <v>0</v>
      </c>
      <c r="K15" s="933">
        <f>VLOOKUP($W15,feed_mix_n,MATCH(K$5,feed_mix_w!$B$5:$AC$5,0),FALSE)/$Z15*VLOOKUP(K$5,feed_intensity_w,11,FALSE)</f>
        <v>0</v>
      </c>
      <c r="L15" s="1486">
        <f t="shared" si="4"/>
        <v>0</v>
      </c>
      <c r="M15" s="1447">
        <f>IFERROR(G15*VLOOKUP(W15,livestock_intensity!$B$7:$M$29,12,FALSE)/Z15,0)</f>
        <v>0</v>
      </c>
      <c r="N15" s="933">
        <f>VLOOKUP($W15,feed_mix_n,MATCH(N$5,feed_mix_w!$B$5:$AC$5,0),FALSE)/$Z15*VLOOKUP(N$5,feed_intensity_w,11,FALSE)</f>
        <v>33.56434561357802</v>
      </c>
      <c r="O15" s="1486">
        <f t="shared" si="5"/>
        <v>0</v>
      </c>
      <c r="P15" s="939">
        <f>IFERROR(G15*VLOOKUP(W15,livestock_intensity!$B$7:$Q$29,16,FALSE)/Z15,0)</f>
        <v>0</v>
      </c>
      <c r="Q15" s="1530"/>
      <c r="R15" s="900">
        <f t="shared" si="6"/>
        <v>0</v>
      </c>
      <c r="S15" s="900">
        <f t="shared" si="7"/>
        <v>0</v>
      </c>
      <c r="T15" s="1483" t="s">
        <v>2862</v>
      </c>
      <c r="U15" s="1211" t="s">
        <v>2921</v>
      </c>
      <c r="V15" s="1212" t="str">
        <f>IFERROR(VLOOKUP(W15,constant_ag_extr!$D$7:$E$594,2,FALSE),"")</f>
        <v>Cattle</v>
      </c>
      <c r="W15" s="1213">
        <f t="shared" si="8"/>
        <v>866</v>
      </c>
      <c r="X15" s="1099">
        <f>IFERROR(IF(VLOOKUP(B15,cnst_grazing!$C$10:$H$25,5,FALSE)="", IF(VLOOKUP(B15, cnst_grazing!$C$10:$H$25,3,FALSE)="", VLOOKUP(B15, cnst_grazing!$C$10:$H$25,4,FALSE),VLOOKUP(B15, cnst_grazing!$C$10:$H$25,3,FALSE)), VLOOKUP(B15,cnst_grazing!$C$10:$H$25,5,FALSE)),1)</f>
        <v>1</v>
      </c>
      <c r="Y15" s="1099">
        <f>IFERROR(IF(VLOOKUP(B15,cnst_grazing!$C$10:$H$25,6,FALSE)="", IF(VLOOKUP(B15, cnst_grazing!$C$10:$H$25,4,FALSE)="", VLOOKUP(B15, cnst_grazing!$C$10:$H$25,3,FALSE),VLOOKUP(B15, cnst_grazing!$C$10:$H$25,4,FALSE)), VLOOKUP(B15,cnst_grazing!$C$10:$H$25,6,FALSE)),1)</f>
        <v>1</v>
      </c>
      <c r="Z15" s="937">
        <f t="shared" si="9"/>
        <v>0.26784202595974521</v>
      </c>
      <c r="AA15" s="933">
        <f t="shared" si="10"/>
        <v>46.954189756140082</v>
      </c>
      <c r="AB15" s="933">
        <f>VLOOKUP($W15,feed_mix_n,MATCH(AB$5,feed_mix_w!$B$5:$AC$5,0),FALSE)/$Z15*VLOOKUP(AB$5,feed_intensity_w,11,FALSE)</f>
        <v>3.6913935960442443</v>
      </c>
      <c r="AC15" s="933">
        <f>VLOOKUP($W15,feed_mix_n,MATCH(AC$5,feed_mix_w!$B$5:$AC$5,0),FALSE)/$Z15*VLOOKUP(AC$5,feed_intensity_w,11,FALSE)</f>
        <v>1.5467646167278799</v>
      </c>
      <c r="AD15" s="933">
        <f>VLOOKUP($W15,feed_mix_n,MATCH(AD$5,feed_mix_w!$B$5:$AC$5,0),FALSE)/$Z15*VLOOKUP(AD$5,feed_intensity_w,11,FALSE)</f>
        <v>0</v>
      </c>
      <c r="AE15" s="933">
        <f>VLOOKUP($W15,feed_mix_n,MATCH(AE$5,feed_mix_w!$B$5:$AC$5,0),FALSE)/$Z15*VLOOKUP(AE$5,feed_intensity_w,11,FALSE)</f>
        <v>2.9381023134840416</v>
      </c>
      <c r="AF15" s="933">
        <f>VLOOKUP($W15,feed_mix_n,MATCH(AF$5,feed_mix_w!$B$5:$AC$5,0),FALSE)/$Z15*VLOOKUP(AF$5,feed_intensity_w,11,FALSE)</f>
        <v>1.4690511567420208</v>
      </c>
      <c r="AG15" s="933">
        <f>VLOOKUP($W15,feed_mix_n,MATCH(AG$5,feed_mix_w!$B$5:$AC$5,0),FALSE)/$Z15*VLOOKUP(AG$5,feed_intensity_w,11,FALSE)</f>
        <v>0</v>
      </c>
      <c r="AH15" s="933">
        <f>VLOOKUP($W15,feed_mix_n,MATCH(AH$5,feed_mix_w!$B$5:$AC$5,0),FALSE)/$Z15*VLOOKUP(AH$5,feed_intensity_w,11,FALSE)</f>
        <v>1.4690511567420208</v>
      </c>
      <c r="AI15" s="933">
        <f>VLOOKUP($W15,feed_mix_n,MATCH(AI$5,feed_mix_w!$B$5:$AC$5,0),FALSE)/$Z15*VLOOKUP(AI$5,feed_intensity_w,11,FALSE)</f>
        <v>0</v>
      </c>
      <c r="AJ15" s="933">
        <f>VLOOKUP($W15,feed_mix_n,MATCH(AJ$5,feed_mix_w!$B$5:$AC$5,0),FALSE)/$Z15*VLOOKUP(AJ$5,feed_intensity_w,11,FALSE)</f>
        <v>0</v>
      </c>
      <c r="AK15" s="933">
        <f>VLOOKUP($W15,feed_mix_n,MATCH(AK$5,feed_mix_w!$B$5:$AC$5,0),FALSE)/$Z15*VLOOKUP(AK$5,feed_intensity_w,11,FALSE)</f>
        <v>0</v>
      </c>
      <c r="AL15" s="933">
        <f>VLOOKUP($W15,feed_mix_n,MATCH(AL$5,feed_mix_w!$B$5:$AC$5,0),FALSE)/$Z15*VLOOKUP(AL$5,feed_intensity_w,11,FALSE)</f>
        <v>0</v>
      </c>
      <c r="AM15" s="933">
        <f>VLOOKUP($W15,feed_mix_n,MATCH(AM$5,feed_mix_w!$B$5:$AC$5,0),FALSE)/$Z15*VLOOKUP(AM$5,feed_intensity_w,11,FALSE)</f>
        <v>1.0726173975791149</v>
      </c>
      <c r="AN15" s="933">
        <f>VLOOKUP($W15,feed_mix_n,MATCH(AN$5,feed_mix_w!$B$5:$AC$5,0),FALSE)/$Z15*VLOOKUP(AN$5,feed_intensity_w,11,FALSE)</f>
        <v>0</v>
      </c>
      <c r="AO15" s="933">
        <f>VLOOKUP($W15,feed_mix_n,MATCH(AO$5,feed_mix_w!$B$5:$AC$5,0),FALSE)/$Z15*VLOOKUP(AO$5,feed_intensity_w,11,FALSE)</f>
        <v>0</v>
      </c>
      <c r="AP15" s="933">
        <f>VLOOKUP($W15,feed_mix_n,MATCH(AP$5,feed_mix_w!$B$5:$AC$5,0),FALSE)/$Z15*VLOOKUP(AP$5,feed_intensity_w,11,FALSE)</f>
        <v>0</v>
      </c>
      <c r="AQ15" s="933">
        <f>VLOOKUP($W15,feed_mix_n,MATCH(AQ$5,feed_mix_w!$B$5:$AC$5,0),FALSE)/$Z15*VLOOKUP(AQ$5,feed_intensity_w,11,FALSE)</f>
        <v>0</v>
      </c>
      <c r="AR15" s="933">
        <f>VLOOKUP($W15,feed_mix_n,MATCH(AR$5,feed_mix_w!$B$5:$AC$5,0),FALSE)/$Z15*VLOOKUP(AR$5,feed_intensity_w,11,FALSE)</f>
        <v>1.2028639052427414</v>
      </c>
      <c r="AS15" s="1105">
        <f>VLOOKUP($W15,feed_mix_n,MATCH(AS$5,feed_mix_w!$B$5:$AC$5,0),FALSE)/$Z15*VLOOKUP(AS$5,feed_intensity_w,11,FALSE)</f>
        <v>0</v>
      </c>
    </row>
    <row r="16" spans="1:45" ht="12">
      <c r="A16" s="1008" t="s">
        <v>1987</v>
      </c>
      <c r="B16" s="1102">
        <v>873</v>
      </c>
      <c r="C16" s="1103" t="s">
        <v>1630</v>
      </c>
      <c r="D16" s="1158"/>
      <c r="E16" s="1158"/>
      <c r="F16" s="1012">
        <f t="shared" si="0"/>
        <v>0</v>
      </c>
      <c r="G16" s="1012">
        <f t="shared" si="1"/>
        <v>0</v>
      </c>
      <c r="H16" s="933">
        <f t="shared" si="2"/>
        <v>30.796641527892749</v>
      </c>
      <c r="I16" s="1486">
        <f t="shared" si="3"/>
        <v>0</v>
      </c>
      <c r="J16" s="1006">
        <f>IFERROR(G16*VLOOKUP(W16,livestock_intensity!$B$7:$I$29,8,FALSE)/Z16,0)</f>
        <v>0</v>
      </c>
      <c r="K16" s="933">
        <f>VLOOKUP($W16,feed_mix_n,MATCH(K$5,feed_mix_w!$B$5:$AC$5,0),FALSE)/$Z16*VLOOKUP(K$5,feed_intensity_w,11,FALSE)</f>
        <v>0</v>
      </c>
      <c r="L16" s="1486">
        <f t="shared" si="4"/>
        <v>0</v>
      </c>
      <c r="M16" s="1447">
        <f>IFERROR(G16*VLOOKUP(W16,livestock_intensity!$B$7:$M$29,12,FALSE)/Z16,0)</f>
        <v>0</v>
      </c>
      <c r="N16" s="933">
        <f>VLOOKUP($W16,feed_mix_n,MATCH(N$5,feed_mix_w!$B$5:$AC$5,0),FALSE)/$Z16*VLOOKUP(N$5,feed_intensity_w,11,FALSE)</f>
        <v>77.197994911229443</v>
      </c>
      <c r="O16" s="1486">
        <f t="shared" si="5"/>
        <v>0</v>
      </c>
      <c r="P16" s="939">
        <f>IFERROR(G16*VLOOKUP(W16,livestock_intensity!$B$7:$Q$29,16,FALSE)/Z16,0)</f>
        <v>0</v>
      </c>
      <c r="Q16" s="1530"/>
      <c r="R16" s="900">
        <f t="shared" si="6"/>
        <v>0</v>
      </c>
      <c r="S16" s="900">
        <f t="shared" si="7"/>
        <v>0</v>
      </c>
      <c r="T16" s="1483" t="s">
        <v>2862</v>
      </c>
      <c r="U16" s="1211" t="s">
        <v>2921</v>
      </c>
      <c r="V16" s="1212" t="str">
        <f>IFERROR(VLOOKUP(W16,constant_ag_extr!$D$7:$E$594,2,FALSE),"")</f>
        <v>Cattle</v>
      </c>
      <c r="W16" s="1213">
        <f t="shared" si="8"/>
        <v>866</v>
      </c>
      <c r="X16" s="1099">
        <f>IFERROR(IF(VLOOKUP(B16,cnst_grazing!$C$10:$H$25,5,FALSE)="", IF(VLOOKUP(B16, cnst_grazing!$C$10:$H$25,3,FALSE)="", VLOOKUP(B16, cnst_grazing!$C$10:$H$25,4,FALSE),VLOOKUP(B16, cnst_grazing!$C$10:$H$25,3,FALSE)), VLOOKUP(B16,cnst_grazing!$C$10:$H$25,5,FALSE)),1)</f>
        <v>1</v>
      </c>
      <c r="Y16" s="1099">
        <f>IFERROR(IF(VLOOKUP(B16,cnst_grazing!$C$10:$H$25,6,FALSE)="", IF(VLOOKUP(B16, cnst_grazing!$C$10:$H$25,4,FALSE)="", VLOOKUP(B16, cnst_grazing!$C$10:$H$25,3,FALSE),VLOOKUP(B16, cnst_grazing!$C$10:$H$25,4,FALSE)), VLOOKUP(B16,cnst_grazing!$C$10:$H$25,6,FALSE)),1)</f>
        <v>1</v>
      </c>
      <c r="Z16" s="937">
        <f t="shared" si="9"/>
        <v>0.11645305476510662</v>
      </c>
      <c r="AA16" s="933">
        <f t="shared" si="10"/>
        <v>107.99463643912219</v>
      </c>
      <c r="AB16" s="933">
        <f>VLOOKUP($W16,feed_mix_n,MATCH(AB$5,feed_mix_w!$B$5:$AC$5,0),FALSE)/$Z16*VLOOKUP(AB$5,feed_intensity_w,11,FALSE)</f>
        <v>8.4902052709017628</v>
      </c>
      <c r="AC16" s="933">
        <f>VLOOKUP($W16,feed_mix_n,MATCH(AC$5,feed_mix_w!$B$5:$AC$5,0),FALSE)/$Z16*VLOOKUP(AC$5,feed_intensity_w,11,FALSE)</f>
        <v>3.5575586184741237</v>
      </c>
      <c r="AD16" s="933">
        <f>VLOOKUP($W16,feed_mix_n,MATCH(AD$5,feed_mix_w!$B$5:$AC$5,0),FALSE)/$Z16*VLOOKUP(AD$5,feed_intensity_w,11,FALSE)</f>
        <v>0</v>
      </c>
      <c r="AE16" s="933">
        <f>VLOOKUP($W16,feed_mix_n,MATCH(AE$5,feed_mix_w!$B$5:$AC$5,0),FALSE)/$Z16*VLOOKUP(AE$5,feed_intensity_w,11,FALSE)</f>
        <v>6.7576353210132947</v>
      </c>
      <c r="AF16" s="933">
        <f>VLOOKUP($W16,feed_mix_n,MATCH(AF$5,feed_mix_w!$B$5:$AC$5,0),FALSE)/$Z16*VLOOKUP(AF$5,feed_intensity_w,11,FALSE)</f>
        <v>3.3788176605066473</v>
      </c>
      <c r="AG16" s="933">
        <f>VLOOKUP($W16,feed_mix_n,MATCH(AG$5,feed_mix_w!$B$5:$AC$5,0),FALSE)/$Z16*VLOOKUP(AG$5,feed_intensity_w,11,FALSE)</f>
        <v>0</v>
      </c>
      <c r="AH16" s="933">
        <f>VLOOKUP($W16,feed_mix_n,MATCH(AH$5,feed_mix_w!$B$5:$AC$5,0),FALSE)/$Z16*VLOOKUP(AH$5,feed_intensity_w,11,FALSE)</f>
        <v>3.3788176605066473</v>
      </c>
      <c r="AI16" s="933">
        <f>VLOOKUP($W16,feed_mix_n,MATCH(AI$5,feed_mix_w!$B$5:$AC$5,0),FALSE)/$Z16*VLOOKUP(AI$5,feed_intensity_w,11,FALSE)</f>
        <v>0</v>
      </c>
      <c r="AJ16" s="933">
        <f>VLOOKUP($W16,feed_mix_n,MATCH(AJ$5,feed_mix_w!$B$5:$AC$5,0),FALSE)/$Z16*VLOOKUP(AJ$5,feed_intensity_w,11,FALSE)</f>
        <v>0</v>
      </c>
      <c r="AK16" s="933">
        <f>VLOOKUP($W16,feed_mix_n,MATCH(AK$5,feed_mix_w!$B$5:$AC$5,0),FALSE)/$Z16*VLOOKUP(AK$5,feed_intensity_w,11,FALSE)</f>
        <v>0</v>
      </c>
      <c r="AL16" s="933">
        <f>VLOOKUP($W16,feed_mix_n,MATCH(AL$5,feed_mix_w!$B$5:$AC$5,0),FALSE)/$Z16*VLOOKUP(AL$5,feed_intensity_w,11,FALSE)</f>
        <v>0</v>
      </c>
      <c r="AM16" s="933">
        <f>VLOOKUP($W16,feed_mix_n,MATCH(AM$5,feed_mix_w!$B$5:$AC$5,0),FALSE)/$Z16*VLOOKUP(AM$5,feed_intensity_w,11,FALSE)</f>
        <v>2.4670200144319643</v>
      </c>
      <c r="AN16" s="933">
        <f>VLOOKUP($W16,feed_mix_n,MATCH(AN$5,feed_mix_w!$B$5:$AC$5,0),FALSE)/$Z16*VLOOKUP(AN$5,feed_intensity_w,11,FALSE)</f>
        <v>0</v>
      </c>
      <c r="AO16" s="933">
        <f>VLOOKUP($W16,feed_mix_n,MATCH(AO$5,feed_mix_w!$B$5:$AC$5,0),FALSE)/$Z16*VLOOKUP(AO$5,feed_intensity_w,11,FALSE)</f>
        <v>0</v>
      </c>
      <c r="AP16" s="933">
        <f>VLOOKUP($W16,feed_mix_n,MATCH(AP$5,feed_mix_w!$B$5:$AC$5,0),FALSE)/$Z16*VLOOKUP(AP$5,feed_intensity_w,11,FALSE)</f>
        <v>0</v>
      </c>
      <c r="AQ16" s="933">
        <f>VLOOKUP($W16,feed_mix_n,MATCH(AQ$5,feed_mix_w!$B$5:$AC$5,0),FALSE)/$Z16*VLOOKUP(AQ$5,feed_intensity_w,11,FALSE)</f>
        <v>0</v>
      </c>
      <c r="AR16" s="933">
        <f>VLOOKUP($W16,feed_mix_n,MATCH(AR$5,feed_mix_w!$B$5:$AC$5,0),FALSE)/$Z16*VLOOKUP(AR$5,feed_intensity_w,11,FALSE)</f>
        <v>2.7665869820583056</v>
      </c>
      <c r="AS16" s="1105">
        <f>VLOOKUP($W16,feed_mix_n,MATCH(AS$5,feed_mix_w!$B$5:$AC$5,0),FALSE)/$Z16*VLOOKUP(AS$5,feed_intensity_w,11,FALSE)</f>
        <v>0</v>
      </c>
    </row>
    <row r="17" spans="1:45" ht="12">
      <c r="A17" s="1008" t="s">
        <v>7345</v>
      </c>
      <c r="B17" s="1102">
        <v>874</v>
      </c>
      <c r="C17" s="1103" t="s">
        <v>696</v>
      </c>
      <c r="D17" s="1158">
        <v>6032</v>
      </c>
      <c r="E17" s="1158"/>
      <c r="F17" s="1012">
        <f t="shared" si="0"/>
        <v>6032</v>
      </c>
      <c r="G17" s="1012">
        <f t="shared" si="1"/>
        <v>0</v>
      </c>
      <c r="H17" s="933">
        <f t="shared" si="2"/>
        <v>7.6991603819731873</v>
      </c>
      <c r="I17" s="1486">
        <f t="shared" si="3"/>
        <v>46441.335424062265</v>
      </c>
      <c r="J17" s="1006">
        <f>IFERROR(G17*VLOOKUP(W17,livestock_intensity!$B$7:$I$29,8,FALSE)/Z17,0)</f>
        <v>0</v>
      </c>
      <c r="K17" s="933">
        <f>VLOOKUP($W17,feed_mix_n,MATCH(K$5,feed_mix_w!$B$5:$AC$5,0),FALSE)/$Z17*VLOOKUP(K$5,feed_intensity_w,11,FALSE)</f>
        <v>0</v>
      </c>
      <c r="L17" s="1486">
        <f t="shared" si="4"/>
        <v>0</v>
      </c>
      <c r="M17" s="1447">
        <f>IFERROR(G17*VLOOKUP(W17,livestock_intensity!$B$7:$M$29,12,FALSE)/Z17,0)</f>
        <v>0</v>
      </c>
      <c r="N17" s="933">
        <f>VLOOKUP($W17,feed_mix_n,MATCH(N$5,feed_mix_w!$B$5:$AC$5,0),FALSE)/$Z17*VLOOKUP(N$5,feed_intensity_w,11,FALSE)</f>
        <v>19.299498727807361</v>
      </c>
      <c r="O17" s="1486">
        <f t="shared" si="5"/>
        <v>116414.576326134</v>
      </c>
      <c r="P17" s="939">
        <f>IFERROR(G17*VLOOKUP(W17,livestock_intensity!$B$7:$Q$29,16,FALSE)/Z17,0)</f>
        <v>0</v>
      </c>
      <c r="Q17" s="1530"/>
      <c r="R17" s="900">
        <f t="shared" si="6"/>
        <v>162855.91175019628</v>
      </c>
      <c r="S17" s="900">
        <f t="shared" si="7"/>
        <v>0</v>
      </c>
      <c r="T17" s="1483" t="s">
        <v>2862</v>
      </c>
      <c r="U17" s="1211" t="s">
        <v>2921</v>
      </c>
      <c r="V17" s="1212" t="str">
        <f>IFERROR(VLOOKUP(W17,constant_ag_extr!$D$7:$E$594,2,FALSE),"")</f>
        <v>Cattle</v>
      </c>
      <c r="W17" s="1213">
        <f t="shared" si="8"/>
        <v>866</v>
      </c>
      <c r="X17" s="1099">
        <f>IFERROR(IF(VLOOKUP(B17,cnst_grazing!$C$10:$H$25,5,FALSE)="", IF(VLOOKUP(B17, cnst_grazing!$C$10:$H$25,3,FALSE)="", VLOOKUP(B17, cnst_grazing!$C$10:$H$25,4,FALSE),VLOOKUP(B17, cnst_grazing!$C$10:$H$25,3,FALSE)), VLOOKUP(B17,cnst_grazing!$C$10:$H$25,5,FALSE)),1)</f>
        <v>1</v>
      </c>
      <c r="Y17" s="1099">
        <f>IFERROR(IF(VLOOKUP(B17,cnst_grazing!$C$10:$H$25,6,FALSE)="", IF(VLOOKUP(B17, cnst_grazing!$C$10:$H$25,4,FALSE)="", VLOOKUP(B17, cnst_grazing!$C$10:$H$25,3,FALSE),VLOOKUP(B17, cnst_grazing!$C$10:$H$25,4,FALSE)), VLOOKUP(B17,cnst_grazing!$C$10:$H$25,6,FALSE)),1)</f>
        <v>1</v>
      </c>
      <c r="Z17" s="937">
        <f t="shared" si="9"/>
        <v>0.46581221906042647</v>
      </c>
      <c r="AA17" s="933">
        <f t="shared" si="10"/>
        <v>26.998659109780547</v>
      </c>
      <c r="AB17" s="933">
        <f>VLOOKUP($W17,feed_mix_n,MATCH(AB$5,feed_mix_w!$B$5:$AC$5,0),FALSE)/$Z17*VLOOKUP(AB$5,feed_intensity_w,11,FALSE)</f>
        <v>2.1225513177254407</v>
      </c>
      <c r="AC17" s="933">
        <f>VLOOKUP($W17,feed_mix_n,MATCH(AC$5,feed_mix_w!$B$5:$AC$5,0),FALSE)/$Z17*VLOOKUP(AC$5,feed_intensity_w,11,FALSE)</f>
        <v>0.88938965461853092</v>
      </c>
      <c r="AD17" s="933">
        <f>VLOOKUP($W17,feed_mix_n,MATCH(AD$5,feed_mix_w!$B$5:$AC$5,0),FALSE)/$Z17*VLOOKUP(AD$5,feed_intensity_w,11,FALSE)</f>
        <v>0</v>
      </c>
      <c r="AE17" s="933">
        <f>VLOOKUP($W17,feed_mix_n,MATCH(AE$5,feed_mix_w!$B$5:$AC$5,0),FALSE)/$Z17*VLOOKUP(AE$5,feed_intensity_w,11,FALSE)</f>
        <v>1.6894088302533237</v>
      </c>
      <c r="AF17" s="933">
        <f>VLOOKUP($W17,feed_mix_n,MATCH(AF$5,feed_mix_w!$B$5:$AC$5,0),FALSE)/$Z17*VLOOKUP(AF$5,feed_intensity_w,11,FALSE)</f>
        <v>0.84470441512666183</v>
      </c>
      <c r="AG17" s="933">
        <f>VLOOKUP($W17,feed_mix_n,MATCH(AG$5,feed_mix_w!$B$5:$AC$5,0),FALSE)/$Z17*VLOOKUP(AG$5,feed_intensity_w,11,FALSE)</f>
        <v>0</v>
      </c>
      <c r="AH17" s="933">
        <f>VLOOKUP($W17,feed_mix_n,MATCH(AH$5,feed_mix_w!$B$5:$AC$5,0),FALSE)/$Z17*VLOOKUP(AH$5,feed_intensity_w,11,FALSE)</f>
        <v>0.84470441512666183</v>
      </c>
      <c r="AI17" s="933">
        <f>VLOOKUP($W17,feed_mix_n,MATCH(AI$5,feed_mix_w!$B$5:$AC$5,0),FALSE)/$Z17*VLOOKUP(AI$5,feed_intensity_w,11,FALSE)</f>
        <v>0</v>
      </c>
      <c r="AJ17" s="933">
        <f>VLOOKUP($W17,feed_mix_n,MATCH(AJ$5,feed_mix_w!$B$5:$AC$5,0),FALSE)/$Z17*VLOOKUP(AJ$5,feed_intensity_w,11,FALSE)</f>
        <v>0</v>
      </c>
      <c r="AK17" s="933">
        <f>VLOOKUP($W17,feed_mix_n,MATCH(AK$5,feed_mix_w!$B$5:$AC$5,0),FALSE)/$Z17*VLOOKUP(AK$5,feed_intensity_w,11,FALSE)</f>
        <v>0</v>
      </c>
      <c r="AL17" s="933">
        <f>VLOOKUP($W17,feed_mix_n,MATCH(AL$5,feed_mix_w!$B$5:$AC$5,0),FALSE)/$Z17*VLOOKUP(AL$5,feed_intensity_w,11,FALSE)</f>
        <v>0</v>
      </c>
      <c r="AM17" s="933">
        <f>VLOOKUP($W17,feed_mix_n,MATCH(AM$5,feed_mix_w!$B$5:$AC$5,0),FALSE)/$Z17*VLOOKUP(AM$5,feed_intensity_w,11,FALSE)</f>
        <v>0.61675500360799107</v>
      </c>
      <c r="AN17" s="933">
        <f>VLOOKUP($W17,feed_mix_n,MATCH(AN$5,feed_mix_w!$B$5:$AC$5,0),FALSE)/$Z17*VLOOKUP(AN$5,feed_intensity_w,11,FALSE)</f>
        <v>0</v>
      </c>
      <c r="AO17" s="933">
        <f>VLOOKUP($W17,feed_mix_n,MATCH(AO$5,feed_mix_w!$B$5:$AC$5,0),FALSE)/$Z17*VLOOKUP(AO$5,feed_intensity_w,11,FALSE)</f>
        <v>0</v>
      </c>
      <c r="AP17" s="933">
        <f>VLOOKUP($W17,feed_mix_n,MATCH(AP$5,feed_mix_w!$B$5:$AC$5,0),FALSE)/$Z17*VLOOKUP(AP$5,feed_intensity_w,11,FALSE)</f>
        <v>0</v>
      </c>
      <c r="AQ17" s="933">
        <f>VLOOKUP($W17,feed_mix_n,MATCH(AQ$5,feed_mix_w!$B$5:$AC$5,0),FALSE)/$Z17*VLOOKUP(AQ$5,feed_intensity_w,11,FALSE)</f>
        <v>0</v>
      </c>
      <c r="AR17" s="933">
        <f>VLOOKUP($W17,feed_mix_n,MATCH(AR$5,feed_mix_w!$B$5:$AC$5,0),FALSE)/$Z17*VLOOKUP(AR$5,feed_intensity_w,11,FALSE)</f>
        <v>0.69164674551457639</v>
      </c>
      <c r="AS17" s="1105">
        <f>VLOOKUP($W17,feed_mix_n,MATCH(AS$5,feed_mix_w!$B$5:$AC$5,0),FALSE)/$Z17*VLOOKUP(AS$5,feed_intensity_w,11,FALSE)</f>
        <v>0</v>
      </c>
    </row>
    <row r="18" spans="1:45" ht="12">
      <c r="A18" s="1008" t="s">
        <v>7346</v>
      </c>
      <c r="B18" s="1102">
        <v>875</v>
      </c>
      <c r="C18" s="1103">
        <v>1602.5</v>
      </c>
      <c r="D18" s="1158">
        <v>35378</v>
      </c>
      <c r="E18" s="1158">
        <v>43101</v>
      </c>
      <c r="F18" s="1012">
        <f t="shared" si="0"/>
        <v>35378</v>
      </c>
      <c r="G18" s="1012">
        <f t="shared" si="1"/>
        <v>43101</v>
      </c>
      <c r="H18" s="933">
        <f t="shared" si="2"/>
        <v>10.265547175964249</v>
      </c>
      <c r="I18" s="1486">
        <f t="shared" si="3"/>
        <v>363174.5279912632</v>
      </c>
      <c r="J18" s="1006">
        <f>IFERROR(G18*VLOOKUP(W18,livestock_intensity!$B$7:$I$29,8,FALSE)/Z18,0)</f>
        <v>514864.27075665299</v>
      </c>
      <c r="K18" s="933">
        <f>VLOOKUP($W18,feed_mix_n,MATCH(K$5,feed_mix_w!$B$5:$AC$5,0),FALSE)/$Z18*VLOOKUP(K$5,feed_intensity_w,11,FALSE)</f>
        <v>0</v>
      </c>
      <c r="L18" s="1486">
        <f t="shared" si="4"/>
        <v>0</v>
      </c>
      <c r="M18" s="1447">
        <f>IFERROR(G18*VLOOKUP(W18,livestock_intensity!$B$7:$M$29,12,FALSE)/Z18,0)</f>
        <v>0</v>
      </c>
      <c r="N18" s="933">
        <f>VLOOKUP($W18,feed_mix_n,MATCH(N$5,feed_mix_w!$B$5:$AC$5,0),FALSE)/$Z18*VLOOKUP(N$5,feed_intensity_w,11,FALSE)</f>
        <v>25.732664970409814</v>
      </c>
      <c r="O18" s="1486">
        <f t="shared" si="5"/>
        <v>910370.22132315836</v>
      </c>
      <c r="P18" s="939">
        <f>IFERROR(G18*VLOOKUP(W18,livestock_intensity!$B$7:$Q$29,16,FALSE)/Z18,0)</f>
        <v>630598.4237014493</v>
      </c>
      <c r="Q18" s="1530"/>
      <c r="R18" s="900">
        <f t="shared" si="6"/>
        <v>1273544.7493144216</v>
      </c>
      <c r="S18" s="900">
        <f t="shared" si="7"/>
        <v>1145462.6944581023</v>
      </c>
      <c r="T18" s="1483" t="s">
        <v>2862</v>
      </c>
      <c r="U18" s="1211" t="s">
        <v>2921</v>
      </c>
      <c r="V18" s="1212" t="str">
        <f>IFERROR(VLOOKUP(W18,constant_ag_extr!$D$7:$E$594,2,FALSE),"")</f>
        <v>Cattle</v>
      </c>
      <c r="W18" s="1213">
        <f t="shared" si="8"/>
        <v>866</v>
      </c>
      <c r="X18" s="1099">
        <f>IFERROR(IF(VLOOKUP(B18,cnst_grazing!$C$10:$H$25,5,FALSE)="", IF(VLOOKUP(B18, cnst_grazing!$C$10:$H$25,3,FALSE)="", VLOOKUP(B18, cnst_grazing!$C$10:$H$25,4,FALSE),VLOOKUP(B18, cnst_grazing!$C$10:$H$25,3,FALSE)), VLOOKUP(B18,cnst_grazing!$C$10:$H$25,5,FALSE)),1)</f>
        <v>1</v>
      </c>
      <c r="Y18" s="1099">
        <f>IFERROR(IF(VLOOKUP(B18,cnst_grazing!$C$10:$H$25,6,FALSE)="", IF(VLOOKUP(B18, cnst_grazing!$C$10:$H$25,4,FALSE)="", VLOOKUP(B18, cnst_grazing!$C$10:$H$25,3,FALSE),VLOOKUP(B18, cnst_grazing!$C$10:$H$25,4,FALSE)), VLOOKUP(B18,cnst_grazing!$C$10:$H$25,6,FALSE)),1)</f>
        <v>1</v>
      </c>
      <c r="Z18" s="937">
        <f t="shared" si="9"/>
        <v>0.34935916429531982</v>
      </c>
      <c r="AA18" s="933">
        <f t="shared" si="10"/>
        <v>35.998212146374065</v>
      </c>
      <c r="AB18" s="933">
        <f>VLOOKUP($W18,feed_mix_n,MATCH(AB$5,feed_mix_w!$B$5:$AC$5,0),FALSE)/$Z18*VLOOKUP(AB$5,feed_intensity_w,11,FALSE)</f>
        <v>2.8300684236339211</v>
      </c>
      <c r="AC18" s="933">
        <f>VLOOKUP($W18,feed_mix_n,MATCH(AC$5,feed_mix_w!$B$5:$AC$5,0),FALSE)/$Z18*VLOOKUP(AC$5,feed_intensity_w,11,FALSE)</f>
        <v>1.185852872824708</v>
      </c>
      <c r="AD18" s="933">
        <f>VLOOKUP($W18,feed_mix_n,MATCH(AD$5,feed_mix_w!$B$5:$AC$5,0),FALSE)/$Z18*VLOOKUP(AD$5,feed_intensity_w,11,FALSE)</f>
        <v>0</v>
      </c>
      <c r="AE18" s="933">
        <f>VLOOKUP($W18,feed_mix_n,MATCH(AE$5,feed_mix_w!$B$5:$AC$5,0),FALSE)/$Z18*VLOOKUP(AE$5,feed_intensity_w,11,FALSE)</f>
        <v>2.252545107004432</v>
      </c>
      <c r="AF18" s="933">
        <f>VLOOKUP($W18,feed_mix_n,MATCH(AF$5,feed_mix_w!$B$5:$AC$5,0),FALSE)/$Z18*VLOOKUP(AF$5,feed_intensity_w,11,FALSE)</f>
        <v>1.126272553502216</v>
      </c>
      <c r="AG18" s="933">
        <f>VLOOKUP($W18,feed_mix_n,MATCH(AG$5,feed_mix_w!$B$5:$AC$5,0),FALSE)/$Z18*VLOOKUP(AG$5,feed_intensity_w,11,FALSE)</f>
        <v>0</v>
      </c>
      <c r="AH18" s="933">
        <f>VLOOKUP($W18,feed_mix_n,MATCH(AH$5,feed_mix_w!$B$5:$AC$5,0),FALSE)/$Z18*VLOOKUP(AH$5,feed_intensity_w,11,FALSE)</f>
        <v>1.126272553502216</v>
      </c>
      <c r="AI18" s="933">
        <f>VLOOKUP($W18,feed_mix_n,MATCH(AI$5,feed_mix_w!$B$5:$AC$5,0),FALSE)/$Z18*VLOOKUP(AI$5,feed_intensity_w,11,FALSE)</f>
        <v>0</v>
      </c>
      <c r="AJ18" s="933">
        <f>VLOOKUP($W18,feed_mix_n,MATCH(AJ$5,feed_mix_w!$B$5:$AC$5,0),FALSE)/$Z18*VLOOKUP(AJ$5,feed_intensity_w,11,FALSE)</f>
        <v>0</v>
      </c>
      <c r="AK18" s="933">
        <f>VLOOKUP($W18,feed_mix_n,MATCH(AK$5,feed_mix_w!$B$5:$AC$5,0),FALSE)/$Z18*VLOOKUP(AK$5,feed_intensity_w,11,FALSE)</f>
        <v>0</v>
      </c>
      <c r="AL18" s="933">
        <f>VLOOKUP($W18,feed_mix_n,MATCH(AL$5,feed_mix_w!$B$5:$AC$5,0),FALSE)/$Z18*VLOOKUP(AL$5,feed_intensity_w,11,FALSE)</f>
        <v>0</v>
      </c>
      <c r="AM18" s="933">
        <f>VLOOKUP($W18,feed_mix_n,MATCH(AM$5,feed_mix_w!$B$5:$AC$5,0),FALSE)/$Z18*VLOOKUP(AM$5,feed_intensity_w,11,FALSE)</f>
        <v>0.82234000481065483</v>
      </c>
      <c r="AN18" s="933">
        <f>VLOOKUP($W18,feed_mix_n,MATCH(AN$5,feed_mix_w!$B$5:$AC$5,0),FALSE)/$Z18*VLOOKUP(AN$5,feed_intensity_w,11,FALSE)</f>
        <v>0</v>
      </c>
      <c r="AO18" s="933">
        <f>VLOOKUP($W18,feed_mix_n,MATCH(AO$5,feed_mix_w!$B$5:$AC$5,0),FALSE)/$Z18*VLOOKUP(AO$5,feed_intensity_w,11,FALSE)</f>
        <v>0</v>
      </c>
      <c r="AP18" s="933">
        <f>VLOOKUP($W18,feed_mix_n,MATCH(AP$5,feed_mix_w!$B$5:$AC$5,0),FALSE)/$Z18*VLOOKUP(AP$5,feed_intensity_w,11,FALSE)</f>
        <v>0</v>
      </c>
      <c r="AQ18" s="933">
        <f>VLOOKUP($W18,feed_mix_n,MATCH(AQ$5,feed_mix_w!$B$5:$AC$5,0),FALSE)/$Z18*VLOOKUP(AQ$5,feed_intensity_w,11,FALSE)</f>
        <v>0</v>
      </c>
      <c r="AR18" s="933">
        <f>VLOOKUP($W18,feed_mix_n,MATCH(AR$5,feed_mix_w!$B$5:$AC$5,0),FALSE)/$Z18*VLOOKUP(AR$5,feed_intensity_w,11,FALSE)</f>
        <v>0.92219566068610193</v>
      </c>
      <c r="AS18" s="1105">
        <f>VLOOKUP($W18,feed_mix_n,MATCH(AS$5,feed_mix_w!$B$5:$AC$5,0),FALSE)/$Z18*VLOOKUP(AS$5,feed_intensity_w,11,FALSE)</f>
        <v>0</v>
      </c>
    </row>
    <row r="19" spans="1:45" ht="12">
      <c r="A19" s="1008" t="s">
        <v>3977</v>
      </c>
      <c r="B19" s="1102">
        <v>877</v>
      </c>
      <c r="C19" s="1103">
        <v>1602.1</v>
      </c>
      <c r="D19" s="1158"/>
      <c r="E19" s="1158"/>
      <c r="F19" s="1012">
        <f t="shared" si="0"/>
        <v>0</v>
      </c>
      <c r="G19" s="1012">
        <f t="shared" si="1"/>
        <v>0</v>
      </c>
      <c r="H19" s="933">
        <f t="shared" si="2"/>
        <v>12.318656611157099</v>
      </c>
      <c r="I19" s="1486">
        <f t="shared" si="3"/>
        <v>0</v>
      </c>
      <c r="J19" s="1006">
        <f>IFERROR(G19*VLOOKUP(W19,livestock_intensity!$B$7:$I$29,8,FALSE)/Z19,0)</f>
        <v>0</v>
      </c>
      <c r="K19" s="933">
        <f>VLOOKUP($W19,feed_mix_n,MATCH(K$5,feed_mix_w!$B$5:$AC$5,0),FALSE)/$Z19*VLOOKUP(K$5,feed_intensity_w,11,FALSE)</f>
        <v>0</v>
      </c>
      <c r="L19" s="1486">
        <f t="shared" si="4"/>
        <v>0</v>
      </c>
      <c r="M19" s="1447">
        <f>IFERROR(G19*VLOOKUP(W19,livestock_intensity!$B$7:$M$29,12,FALSE)/Z19,0)</f>
        <v>0</v>
      </c>
      <c r="N19" s="933">
        <f>VLOOKUP($W19,feed_mix_n,MATCH(N$5,feed_mix_w!$B$5:$AC$5,0),FALSE)/$Z19*VLOOKUP(N$5,feed_intensity_w,11,FALSE)</f>
        <v>30.87919796449178</v>
      </c>
      <c r="O19" s="1486">
        <f t="shared" si="5"/>
        <v>0</v>
      </c>
      <c r="P19" s="939">
        <f>IFERROR(G19*VLOOKUP(W19,livestock_intensity!$B$7:$Q$29,16,FALSE)/Z19,0)</f>
        <v>0</v>
      </c>
      <c r="Q19" s="1530"/>
      <c r="R19" s="900">
        <f t="shared" si="6"/>
        <v>0</v>
      </c>
      <c r="S19" s="900">
        <f t="shared" si="7"/>
        <v>0</v>
      </c>
      <c r="T19" s="1483" t="s">
        <v>2862</v>
      </c>
      <c r="U19" s="1211" t="s">
        <v>2921</v>
      </c>
      <c r="V19" s="1212" t="str">
        <f>IFERROR(VLOOKUP(W19,constant_ag_extr!$D$7:$E$594,2,FALSE),"")</f>
        <v>Cattle</v>
      </c>
      <c r="W19" s="1213">
        <f t="shared" si="8"/>
        <v>866</v>
      </c>
      <c r="X19" s="1099">
        <f>IFERROR(IF(VLOOKUP(B19,cnst_grazing!$C$10:$H$25,5,FALSE)="", IF(VLOOKUP(B19, cnst_grazing!$C$10:$H$25,3,FALSE)="", VLOOKUP(B19, cnst_grazing!$C$10:$H$25,4,FALSE),VLOOKUP(B19, cnst_grazing!$C$10:$H$25,3,FALSE)), VLOOKUP(B19,cnst_grazing!$C$10:$H$25,5,FALSE)),1)</f>
        <v>1</v>
      </c>
      <c r="Y19" s="1099">
        <f>IFERROR(IF(VLOOKUP(B19,cnst_grazing!$C$10:$H$25,6,FALSE)="", IF(VLOOKUP(B19, cnst_grazing!$C$10:$H$25,4,FALSE)="", VLOOKUP(B19, cnst_grazing!$C$10:$H$25,3,FALSE),VLOOKUP(B19, cnst_grazing!$C$10:$H$25,4,FALSE)), VLOOKUP(B19,cnst_grazing!$C$10:$H$25,6,FALSE)),1)</f>
        <v>1</v>
      </c>
      <c r="Z19" s="937">
        <f t="shared" si="9"/>
        <v>0.29113263691276653</v>
      </c>
      <c r="AA19" s="933">
        <f t="shared" si="10"/>
        <v>43.197854575648876</v>
      </c>
      <c r="AB19" s="933">
        <f>VLOOKUP($W19,feed_mix_n,MATCH(AB$5,feed_mix_w!$B$5:$AC$5,0),FALSE)/$Z19*VLOOKUP(AB$5,feed_intensity_w,11,FALSE)</f>
        <v>3.3960821083607051</v>
      </c>
      <c r="AC19" s="933">
        <f>VLOOKUP($W19,feed_mix_n,MATCH(AC$5,feed_mix_w!$B$5:$AC$5,0),FALSE)/$Z19*VLOOKUP(AC$5,feed_intensity_w,11,FALSE)</f>
        <v>1.4230234473896495</v>
      </c>
      <c r="AD19" s="933">
        <f>VLOOKUP($W19,feed_mix_n,MATCH(AD$5,feed_mix_w!$B$5:$AC$5,0),FALSE)/$Z19*VLOOKUP(AD$5,feed_intensity_w,11,FALSE)</f>
        <v>0</v>
      </c>
      <c r="AE19" s="933">
        <f>VLOOKUP($W19,feed_mix_n,MATCH(AE$5,feed_mix_w!$B$5:$AC$5,0),FALSE)/$Z19*VLOOKUP(AE$5,feed_intensity_w,11,FALSE)</f>
        <v>2.7030541284053182</v>
      </c>
      <c r="AF19" s="933">
        <f>VLOOKUP($W19,feed_mix_n,MATCH(AF$5,feed_mix_w!$B$5:$AC$5,0),FALSE)/$Z19*VLOOKUP(AF$5,feed_intensity_w,11,FALSE)</f>
        <v>1.3515270642026591</v>
      </c>
      <c r="AG19" s="933">
        <f>VLOOKUP($W19,feed_mix_n,MATCH(AG$5,feed_mix_w!$B$5:$AC$5,0),FALSE)/$Z19*VLOOKUP(AG$5,feed_intensity_w,11,FALSE)</f>
        <v>0</v>
      </c>
      <c r="AH19" s="933">
        <f>VLOOKUP($W19,feed_mix_n,MATCH(AH$5,feed_mix_w!$B$5:$AC$5,0),FALSE)/$Z19*VLOOKUP(AH$5,feed_intensity_w,11,FALSE)</f>
        <v>1.3515270642026591</v>
      </c>
      <c r="AI19" s="933">
        <f>VLOOKUP($W19,feed_mix_n,MATCH(AI$5,feed_mix_w!$B$5:$AC$5,0),FALSE)/$Z19*VLOOKUP(AI$5,feed_intensity_w,11,FALSE)</f>
        <v>0</v>
      </c>
      <c r="AJ19" s="933">
        <f>VLOOKUP($W19,feed_mix_n,MATCH(AJ$5,feed_mix_w!$B$5:$AC$5,0),FALSE)/$Z19*VLOOKUP(AJ$5,feed_intensity_w,11,FALSE)</f>
        <v>0</v>
      </c>
      <c r="AK19" s="933">
        <f>VLOOKUP($W19,feed_mix_n,MATCH(AK$5,feed_mix_w!$B$5:$AC$5,0),FALSE)/$Z19*VLOOKUP(AK$5,feed_intensity_w,11,FALSE)</f>
        <v>0</v>
      </c>
      <c r="AL19" s="933">
        <f>VLOOKUP($W19,feed_mix_n,MATCH(AL$5,feed_mix_w!$B$5:$AC$5,0),FALSE)/$Z19*VLOOKUP(AL$5,feed_intensity_w,11,FALSE)</f>
        <v>0</v>
      </c>
      <c r="AM19" s="933">
        <f>VLOOKUP($W19,feed_mix_n,MATCH(AM$5,feed_mix_w!$B$5:$AC$5,0),FALSE)/$Z19*VLOOKUP(AM$5,feed_intensity_w,11,FALSE)</f>
        <v>0.98680800577278571</v>
      </c>
      <c r="AN19" s="933">
        <f>VLOOKUP($W19,feed_mix_n,MATCH(AN$5,feed_mix_w!$B$5:$AC$5,0),FALSE)/$Z19*VLOOKUP(AN$5,feed_intensity_w,11,FALSE)</f>
        <v>0</v>
      </c>
      <c r="AO19" s="933">
        <f>VLOOKUP($W19,feed_mix_n,MATCH(AO$5,feed_mix_w!$B$5:$AC$5,0),FALSE)/$Z19*VLOOKUP(AO$5,feed_intensity_w,11,FALSE)</f>
        <v>0</v>
      </c>
      <c r="AP19" s="933">
        <f>VLOOKUP($W19,feed_mix_n,MATCH(AP$5,feed_mix_w!$B$5:$AC$5,0),FALSE)/$Z19*VLOOKUP(AP$5,feed_intensity_w,11,FALSE)</f>
        <v>0</v>
      </c>
      <c r="AQ19" s="933">
        <f>VLOOKUP($W19,feed_mix_n,MATCH(AQ$5,feed_mix_w!$B$5:$AC$5,0),FALSE)/$Z19*VLOOKUP(AQ$5,feed_intensity_w,11,FALSE)</f>
        <v>0</v>
      </c>
      <c r="AR19" s="933">
        <f>VLOOKUP($W19,feed_mix_n,MATCH(AR$5,feed_mix_w!$B$5:$AC$5,0),FALSE)/$Z19*VLOOKUP(AR$5,feed_intensity_w,11,FALSE)</f>
        <v>1.1066347928233222</v>
      </c>
      <c r="AS19" s="1105">
        <f>VLOOKUP($W19,feed_mix_n,MATCH(AS$5,feed_mix_w!$B$5:$AC$5,0),FALSE)/$Z19*VLOOKUP(AS$5,feed_intensity_w,11,FALSE)</f>
        <v>0</v>
      </c>
    </row>
    <row r="20" spans="1:45" ht="12">
      <c r="A20" s="1008" t="s">
        <v>1396</v>
      </c>
      <c r="B20" s="1102">
        <v>878</v>
      </c>
      <c r="C20" s="1103" t="s">
        <v>1628</v>
      </c>
      <c r="D20" s="1158"/>
      <c r="E20" s="1158"/>
      <c r="F20" s="1012">
        <f t="shared" si="0"/>
        <v>0</v>
      </c>
      <c r="G20" s="1012">
        <f t="shared" si="1"/>
        <v>0</v>
      </c>
      <c r="H20" s="933">
        <f t="shared" si="2"/>
        <v>7.5407091327765494</v>
      </c>
      <c r="I20" s="1486">
        <f t="shared" si="3"/>
        <v>0</v>
      </c>
      <c r="J20" s="1006">
        <f>IFERROR(G20*VLOOKUP(W20,livestock_intensity!$B$7:$I$29,8,FALSE)/Z20,0)</f>
        <v>0</v>
      </c>
      <c r="K20" s="933">
        <f>VLOOKUP($W20,feed_mix_n,MATCH(K$5,feed_mix_w!$B$5:$AC$5,0),FALSE)/$Z20*VLOOKUP(K$5,feed_intensity_w,11,FALSE)</f>
        <v>0</v>
      </c>
      <c r="L20" s="1486">
        <f t="shared" si="4"/>
        <v>0</v>
      </c>
      <c r="M20" s="1447">
        <f>IFERROR(G20*VLOOKUP(W20,livestock_intensity!$B$7:$M$29,12,FALSE)/Z20,0)</f>
        <v>0</v>
      </c>
      <c r="N20" s="933">
        <f>VLOOKUP($W20,feed_mix_n,MATCH(N$5,feed_mix_w!$B$5:$AC$5,0),FALSE)/$Z20*VLOOKUP(N$5,feed_intensity_w,11,FALSE)</f>
        <v>18.902308705704424</v>
      </c>
      <c r="O20" s="1486">
        <f t="shared" si="5"/>
        <v>0</v>
      </c>
      <c r="P20" s="939">
        <f>IFERROR(G20*VLOOKUP(W20,livestock_intensity!$B$7:$Q$29,16,FALSE)/Z20,0)</f>
        <v>0</v>
      </c>
      <c r="Q20" s="1530"/>
      <c r="R20" s="900">
        <f t="shared" si="6"/>
        <v>0</v>
      </c>
      <c r="S20" s="900">
        <f t="shared" si="7"/>
        <v>0</v>
      </c>
      <c r="T20" s="1483" t="s">
        <v>2862</v>
      </c>
      <c r="U20" s="1211" t="s">
        <v>2921</v>
      </c>
      <c r="V20" s="1212" t="str">
        <f>IFERROR(VLOOKUP(W20,constant_ag_extr!$D$7:$E$594,2,FALSE),"")</f>
        <v>Cattle</v>
      </c>
      <c r="W20" s="1213">
        <f t="shared" si="8"/>
        <v>866</v>
      </c>
      <c r="X20" s="1099">
        <f>IFERROR(IF(VLOOKUP(B20,cnst_grazing!$C$10:$H$25,5,FALSE)="", IF(VLOOKUP(B20, cnst_grazing!$C$10:$H$25,3,FALSE)="", VLOOKUP(B20, cnst_grazing!$C$10:$H$25,4,FALSE),VLOOKUP(B20, cnst_grazing!$C$10:$H$25,3,FALSE)), VLOOKUP(B20,cnst_grazing!$C$10:$H$25,5,FALSE)),1)</f>
        <v>1</v>
      </c>
      <c r="Y20" s="1099">
        <f>IFERROR(IF(VLOOKUP(B20,cnst_grazing!$C$10:$H$25,6,FALSE)="", IF(VLOOKUP(B20, cnst_grazing!$C$10:$H$25,4,FALSE)="", VLOOKUP(B20, cnst_grazing!$C$10:$H$25,3,FALSE),VLOOKUP(B20, cnst_grazing!$C$10:$H$25,4,FALSE)), VLOOKUP(B20,cnst_grazing!$C$10:$H$25,6,FALSE)),1)</f>
        <v>1</v>
      </c>
      <c r="Z20" s="937">
        <f t="shared" si="9"/>
        <v>0.47560022794680096</v>
      </c>
      <c r="AA20" s="933">
        <f t="shared" si="10"/>
        <v>26.443017838480973</v>
      </c>
      <c r="AB20" s="933">
        <f>VLOOKUP($W20,feed_mix_n,MATCH(AB$5,feed_mix_w!$B$5:$AC$5,0),FALSE)/$Z20*VLOOKUP(AB$5,feed_intensity_w,11,FALSE)</f>
        <v>2.0788685145245842</v>
      </c>
      <c r="AC20" s="933">
        <f>VLOOKUP($W20,feed_mix_n,MATCH(AC$5,feed_mix_w!$B$5:$AC$5,0),FALSE)/$Z20*VLOOKUP(AC$5,feed_intensity_w,11,FALSE)</f>
        <v>0.87108572343574464</v>
      </c>
      <c r="AD20" s="933">
        <f>VLOOKUP($W20,feed_mix_n,MATCH(AD$5,feed_mix_w!$B$5:$AC$5,0),FALSE)/$Z20*VLOOKUP(AD$5,feed_intensity_w,11,FALSE)</f>
        <v>0</v>
      </c>
      <c r="AE20" s="933">
        <f>VLOOKUP($W20,feed_mix_n,MATCH(AE$5,feed_mix_w!$B$5:$AC$5,0),FALSE)/$Z20*VLOOKUP(AE$5,feed_intensity_w,11,FALSE)</f>
        <v>1.6546402416960266</v>
      </c>
      <c r="AF20" s="933">
        <f>VLOOKUP($W20,feed_mix_n,MATCH(AF$5,feed_mix_w!$B$5:$AC$5,0),FALSE)/$Z20*VLOOKUP(AF$5,feed_intensity_w,11,FALSE)</f>
        <v>0.82732012084801332</v>
      </c>
      <c r="AG20" s="933">
        <f>VLOOKUP($W20,feed_mix_n,MATCH(AG$5,feed_mix_w!$B$5:$AC$5,0),FALSE)/$Z20*VLOOKUP(AG$5,feed_intensity_w,11,FALSE)</f>
        <v>0</v>
      </c>
      <c r="AH20" s="933">
        <f>VLOOKUP($W20,feed_mix_n,MATCH(AH$5,feed_mix_w!$B$5:$AC$5,0),FALSE)/$Z20*VLOOKUP(AH$5,feed_intensity_w,11,FALSE)</f>
        <v>0.82732012084801332</v>
      </c>
      <c r="AI20" s="933">
        <f>VLOOKUP($W20,feed_mix_n,MATCH(AI$5,feed_mix_w!$B$5:$AC$5,0),FALSE)/$Z20*VLOOKUP(AI$5,feed_intensity_w,11,FALSE)</f>
        <v>0</v>
      </c>
      <c r="AJ20" s="933">
        <f>VLOOKUP($W20,feed_mix_n,MATCH(AJ$5,feed_mix_w!$B$5:$AC$5,0),FALSE)/$Z20*VLOOKUP(AJ$5,feed_intensity_w,11,FALSE)</f>
        <v>0</v>
      </c>
      <c r="AK20" s="933">
        <f>VLOOKUP($W20,feed_mix_n,MATCH(AK$5,feed_mix_w!$B$5:$AC$5,0),FALSE)/$Z20*VLOOKUP(AK$5,feed_intensity_w,11,FALSE)</f>
        <v>0</v>
      </c>
      <c r="AL20" s="933">
        <f>VLOOKUP($W20,feed_mix_n,MATCH(AL$5,feed_mix_w!$B$5:$AC$5,0),FALSE)/$Z20*VLOOKUP(AL$5,feed_intensity_w,11,FALSE)</f>
        <v>0</v>
      </c>
      <c r="AM20" s="933">
        <f>VLOOKUP($W20,feed_mix_n,MATCH(AM$5,feed_mix_w!$B$5:$AC$5,0),FALSE)/$Z20*VLOOKUP(AM$5,feed_intensity_w,11,FALSE)</f>
        <v>0.60406198308087267</v>
      </c>
      <c r="AN20" s="933">
        <f>VLOOKUP($W20,feed_mix_n,MATCH(AN$5,feed_mix_w!$B$5:$AC$5,0),FALSE)/$Z20*VLOOKUP(AN$5,feed_intensity_w,11,FALSE)</f>
        <v>0</v>
      </c>
      <c r="AO20" s="933">
        <f>VLOOKUP($W20,feed_mix_n,MATCH(AO$5,feed_mix_w!$B$5:$AC$5,0),FALSE)/$Z20*VLOOKUP(AO$5,feed_intensity_w,11,FALSE)</f>
        <v>0</v>
      </c>
      <c r="AP20" s="933">
        <f>VLOOKUP($W20,feed_mix_n,MATCH(AP$5,feed_mix_w!$B$5:$AC$5,0),FALSE)/$Z20*VLOOKUP(AP$5,feed_intensity_w,11,FALSE)</f>
        <v>0</v>
      </c>
      <c r="AQ20" s="933">
        <f>VLOOKUP($W20,feed_mix_n,MATCH(AQ$5,feed_mix_w!$B$5:$AC$5,0),FALSE)/$Z20*VLOOKUP(AQ$5,feed_intensity_w,11,FALSE)</f>
        <v>0</v>
      </c>
      <c r="AR20" s="933">
        <f>VLOOKUP($W20,feed_mix_n,MATCH(AR$5,feed_mix_w!$B$5:$AC$5,0),FALSE)/$Z20*VLOOKUP(AR$5,feed_intensity_w,11,FALSE)</f>
        <v>0.67741242834329463</v>
      </c>
      <c r="AS20" s="1105">
        <f>VLOOKUP($W20,feed_mix_n,MATCH(AS$5,feed_mix_w!$B$5:$AC$5,0),FALSE)/$Z20*VLOOKUP(AS$5,feed_intensity_w,11,FALSE)</f>
        <v>0</v>
      </c>
    </row>
    <row r="21" spans="1:45" ht="12">
      <c r="A21" s="1008" t="s">
        <v>7347</v>
      </c>
      <c r="B21" s="1102">
        <v>882</v>
      </c>
      <c r="C21" s="1103" t="s">
        <v>5595</v>
      </c>
      <c r="D21" s="1158">
        <v>3351</v>
      </c>
      <c r="E21" s="1158">
        <v>80518</v>
      </c>
      <c r="F21" s="1012">
        <f t="shared" si="0"/>
        <v>3351</v>
      </c>
      <c r="G21" s="1012">
        <f t="shared" si="1"/>
        <v>80518</v>
      </c>
      <c r="H21" s="933">
        <f t="shared" si="2"/>
        <v>0.18866849132468586</v>
      </c>
      <c r="I21" s="1486">
        <f t="shared" si="3"/>
        <v>632.2281144290223</v>
      </c>
      <c r="J21" s="1006">
        <f>IFERROR(G21*VLOOKUP(W21,livestock_intensity!$B$7:$I$29,8,FALSE)/Z21,0)</f>
        <v>13817.795315512385</v>
      </c>
      <c r="K21" s="933">
        <f>VLOOKUP($W21,feed_mix_n,MATCH(K$5,feed_mix_w!$B$5:$AC$5,0),FALSE)/$Z21*VLOOKUP(K$5,feed_intensity_w,11,FALSE)</f>
        <v>0</v>
      </c>
      <c r="L21" s="1486">
        <f t="shared" si="4"/>
        <v>0</v>
      </c>
      <c r="M21" s="1447">
        <f>IFERROR(G21*VLOOKUP(W21,livestock_intensity!$B$7:$M$29,12,FALSE)/Z21,0)</f>
        <v>0</v>
      </c>
      <c r="N21" s="933">
        <f>VLOOKUP($W21,feed_mix_n,MATCH(N$5,feed_mix_w!$B$5:$AC$5,0),FALSE)/$Z21*VLOOKUP(N$5,feed_intensity_w,11,FALSE)</f>
        <v>0.35777630437499275</v>
      </c>
      <c r="O21" s="1486">
        <f t="shared" si="5"/>
        <v>1198.9083959606007</v>
      </c>
      <c r="P21" s="939">
        <f>IFERROR(G21*VLOOKUP(W21,livestock_intensity!$B$7:$Q$29,16,FALSE)/Z21,0)</f>
        <v>12803.352685057636</v>
      </c>
      <c r="Q21" s="1530"/>
      <c r="R21" s="900">
        <f t="shared" si="6"/>
        <v>1831.136510389623</v>
      </c>
      <c r="S21" s="900">
        <f t="shared" si="7"/>
        <v>26621.148000570021</v>
      </c>
      <c r="T21" s="1483">
        <v>2848</v>
      </c>
      <c r="U21" s="1211" t="s">
        <v>415</v>
      </c>
      <c r="V21" s="1212" t="str">
        <f>IFERROR(VLOOKUP(W21,constant_ag_extr!$D$7:$E$594,2,FALSE),"")</f>
        <v>Cow milk, whole, fresh</v>
      </c>
      <c r="W21" s="1213">
        <f t="shared" si="8"/>
        <v>882</v>
      </c>
      <c r="X21" s="1099">
        <f>IFERROR(IF(VLOOKUP(B21,cnst_grazing!$C$10:$H$25,5,FALSE)="", IF(VLOOKUP(B21, cnst_grazing!$C$10:$H$25,3,FALSE)="", VLOOKUP(B21, cnst_grazing!$C$10:$H$25,4,FALSE),VLOOKUP(B21, cnst_grazing!$C$10:$H$25,3,FALSE)), VLOOKUP(B21,cnst_grazing!$C$10:$H$25,5,FALSE)),1)</f>
        <v>1</v>
      </c>
      <c r="Y21" s="1099">
        <f>IFERROR(IF(VLOOKUP(B21,cnst_grazing!$C$10:$H$25,6,FALSE)="", IF(VLOOKUP(B21, cnst_grazing!$C$10:$H$25,4,FALSE)="", VLOOKUP(B21, cnst_grazing!$C$10:$H$25,3,FALSE),VLOOKUP(B21, cnst_grazing!$C$10:$H$25,4,FALSE)), VLOOKUP(B21,cnst_grazing!$C$10:$H$25,6,FALSE)),1)</f>
        <v>1</v>
      </c>
      <c r="Z21" s="937">
        <f t="shared" si="9"/>
        <v>1</v>
      </c>
      <c r="AA21" s="933">
        <f t="shared" si="10"/>
        <v>0.54644479569967863</v>
      </c>
      <c r="AB21" s="933">
        <f>VLOOKUP($W21,feed_mix_n,MATCH(AB$5,feed_mix_w!$B$5:$AC$5,0),FALSE)/$Z21*VLOOKUP(AB$5,feed_intensity_w,11,FALSE)</f>
        <v>4.1769519360900412E-2</v>
      </c>
      <c r="AC21" s="933">
        <f>VLOOKUP($W21,feed_mix_n,MATCH(AC$5,feed_mix_w!$B$5:$AC$5,0),FALSE)/$Z21*VLOOKUP(AC$5,feed_intensity_w,11,FALSE)</f>
        <v>4.3755571523452164E-2</v>
      </c>
      <c r="AD21" s="933">
        <f>VLOOKUP($W21,feed_mix_n,MATCH(AD$5,feed_mix_w!$B$5:$AC$5,0),FALSE)/$Z21*VLOOKUP(AD$5,feed_intensity_w,11,FALSE)</f>
        <v>0</v>
      </c>
      <c r="AE21" s="933">
        <f>VLOOKUP($W21,feed_mix_n,MATCH(AE$5,feed_mix_w!$B$5:$AC$5,0),FALSE)/$Z21*VLOOKUP(AE$5,feed_intensity_w,11,FALSE)</f>
        <v>4.1557178296731209E-2</v>
      </c>
      <c r="AF21" s="933">
        <f>VLOOKUP($W21,feed_mix_n,MATCH(AF$5,feed_mix_w!$B$5:$AC$5,0),FALSE)/$Z21*VLOOKUP(AF$5,feed_intensity_w,11,FALSE)</f>
        <v>1.6622871318692483E-2</v>
      </c>
      <c r="AG21" s="933">
        <f>VLOOKUP($W21,feed_mix_n,MATCH(AG$5,feed_mix_w!$B$5:$AC$5,0),FALSE)/$Z21*VLOOKUP(AG$5,feed_intensity_w,11,FALSE)</f>
        <v>0</v>
      </c>
      <c r="AH21" s="933">
        <f>VLOOKUP($W21,feed_mix_n,MATCH(AH$5,feed_mix_w!$B$5:$AC$5,0),FALSE)/$Z21*VLOOKUP(AH$5,feed_intensity_w,11,FALSE)</f>
        <v>1.6622871318692483E-2</v>
      </c>
      <c r="AI21" s="933">
        <f>VLOOKUP($W21,feed_mix_n,MATCH(AI$5,feed_mix_w!$B$5:$AC$5,0),FALSE)/$Z21*VLOOKUP(AI$5,feed_intensity_w,11,FALSE)</f>
        <v>0</v>
      </c>
      <c r="AJ21" s="933">
        <f>VLOOKUP($W21,feed_mix_n,MATCH(AJ$5,feed_mix_w!$B$5:$AC$5,0),FALSE)/$Z21*VLOOKUP(AJ$5,feed_intensity_w,11,FALSE)</f>
        <v>0</v>
      </c>
      <c r="AK21" s="933">
        <f>VLOOKUP($W21,feed_mix_n,MATCH(AK$5,feed_mix_w!$B$5:$AC$5,0),FALSE)/$Z21*VLOOKUP(AK$5,feed_intensity_w,11,FALSE)</f>
        <v>0</v>
      </c>
      <c r="AL21" s="933">
        <f>VLOOKUP($W21,feed_mix_n,MATCH(AL$5,feed_mix_w!$B$5:$AC$5,0),FALSE)/$Z21*VLOOKUP(AL$5,feed_intensity_w,11,FALSE)</f>
        <v>0</v>
      </c>
      <c r="AM21" s="933">
        <f>VLOOKUP($W21,feed_mix_n,MATCH(AM$5,feed_mix_w!$B$5:$AC$5,0),FALSE)/$Z21*VLOOKUP(AM$5,feed_intensity_w,11,FALSE)</f>
        <v>1.2137072893833577E-2</v>
      </c>
      <c r="AN21" s="933">
        <f>VLOOKUP($W21,feed_mix_n,MATCH(AN$5,feed_mix_w!$B$5:$AC$5,0),FALSE)/$Z21*VLOOKUP(AN$5,feed_intensity_w,11,FALSE)</f>
        <v>0</v>
      </c>
      <c r="AO21" s="933">
        <f>VLOOKUP($W21,feed_mix_n,MATCH(AO$5,feed_mix_w!$B$5:$AC$5,0),FALSE)/$Z21*VLOOKUP(AO$5,feed_intensity_w,11,FALSE)</f>
        <v>0</v>
      </c>
      <c r="AP21" s="933">
        <f>VLOOKUP($W21,feed_mix_n,MATCH(AP$5,feed_mix_w!$B$5:$AC$5,0),FALSE)/$Z21*VLOOKUP(AP$5,feed_intensity_w,11,FALSE)</f>
        <v>0</v>
      </c>
      <c r="AQ21" s="933">
        <f>VLOOKUP($W21,feed_mix_n,MATCH(AQ$5,feed_mix_w!$B$5:$AC$5,0),FALSE)/$Z21*VLOOKUP(AQ$5,feed_intensity_w,11,FALSE)</f>
        <v>0</v>
      </c>
      <c r="AR21" s="933">
        <f>VLOOKUP($W21,feed_mix_n,MATCH(AR$5,feed_mix_w!$B$5:$AC$5,0),FALSE)/$Z21*VLOOKUP(AR$5,feed_intensity_w,11,FALSE)</f>
        <v>1.6203406612383533E-2</v>
      </c>
      <c r="AS21" s="1105">
        <f>VLOOKUP($W21,feed_mix_n,MATCH(AS$5,feed_mix_w!$B$5:$AC$5,0),FALSE)/$Z21*VLOOKUP(AS$5,feed_intensity_w,11,FALSE)</f>
        <v>0</v>
      </c>
    </row>
    <row r="22" spans="1:45" ht="12">
      <c r="A22" s="1008" t="s">
        <v>7348</v>
      </c>
      <c r="B22" s="1102">
        <v>885</v>
      </c>
      <c r="C22" s="1103" t="s">
        <v>1260</v>
      </c>
      <c r="D22" s="1158">
        <v>6324</v>
      </c>
      <c r="E22" s="1158">
        <v>9977</v>
      </c>
      <c r="F22" s="1012">
        <f t="shared" si="0"/>
        <v>6324</v>
      </c>
      <c r="G22" s="1012">
        <f t="shared" si="1"/>
        <v>9977</v>
      </c>
      <c r="H22" s="933">
        <f t="shared" si="2"/>
        <v>0.53037214319400816</v>
      </c>
      <c r="I22" s="1486">
        <f t="shared" si="3"/>
        <v>3354.0734335589077</v>
      </c>
      <c r="J22" s="1006">
        <f>IFERROR(G22*VLOOKUP(W22,livestock_intensity!$B$7:$I$29,8,FALSE)/Z22,0)</f>
        <v>4813.1242976383983</v>
      </c>
      <c r="K22" s="933">
        <f>VLOOKUP($W22,feed_mix_n,MATCH(K$5,feed_mix_w!$B$5:$AC$5,0),FALSE)/$Z22*VLOOKUP(K$5,feed_intensity_w,11,FALSE)</f>
        <v>0</v>
      </c>
      <c r="L22" s="1486">
        <f t="shared" si="4"/>
        <v>0</v>
      </c>
      <c r="M22" s="1447">
        <f>IFERROR(G22*VLOOKUP(W22,livestock_intensity!$B$7:$M$29,12,FALSE)/Z22,0)</f>
        <v>0</v>
      </c>
      <c r="N22" s="933">
        <f>VLOOKUP($W22,feed_mix_n,MATCH(N$5,feed_mix_w!$B$5:$AC$5,0),FALSE)/$Z22*VLOOKUP(N$5,feed_intensity_w,11,FALSE)</f>
        <v>1.0057566263613236</v>
      </c>
      <c r="O22" s="1486">
        <f t="shared" si="5"/>
        <v>6360.4049051090105</v>
      </c>
      <c r="P22" s="939">
        <f>IFERROR(G22*VLOOKUP(W22,livestock_intensity!$B$7:$Q$29,16,FALSE)/Z22,0)</f>
        <v>4459.7655771107811</v>
      </c>
      <c r="Q22" s="1530"/>
      <c r="R22" s="900">
        <f t="shared" si="6"/>
        <v>9714.4783386679192</v>
      </c>
      <c r="S22" s="900">
        <f t="shared" si="7"/>
        <v>9272.8898747491803</v>
      </c>
      <c r="T22" s="1483" t="s">
        <v>2862</v>
      </c>
      <c r="U22" s="1211" t="s">
        <v>2921</v>
      </c>
      <c r="V22" s="1212" t="str">
        <f>IFERROR(VLOOKUP(W22,constant_ag_extr!$D$7:$E$594,2,FALSE),"")</f>
        <v>Cow milk, whole, fresh</v>
      </c>
      <c r="W22" s="1213">
        <f t="shared" si="8"/>
        <v>882</v>
      </c>
      <c r="X22" s="1099">
        <f>IFERROR(IF(VLOOKUP(B22,cnst_grazing!$C$10:$H$25,5,FALSE)="", IF(VLOOKUP(B22, cnst_grazing!$C$10:$H$25,3,FALSE)="", VLOOKUP(B22, cnst_grazing!$C$10:$H$25,4,FALSE),VLOOKUP(B22, cnst_grazing!$C$10:$H$25,3,FALSE)), VLOOKUP(B22,cnst_grazing!$C$10:$H$25,5,FALSE)),1)</f>
        <v>1</v>
      </c>
      <c r="Y22" s="1099">
        <f>IFERROR(IF(VLOOKUP(B22,cnst_grazing!$C$10:$H$25,6,FALSE)="", IF(VLOOKUP(B22, cnst_grazing!$C$10:$H$25,4,FALSE)="", VLOOKUP(B22, cnst_grazing!$C$10:$H$25,3,FALSE),VLOOKUP(B22, cnst_grazing!$C$10:$H$25,4,FALSE)), VLOOKUP(B22,cnst_grazing!$C$10:$H$25,6,FALSE)),1)</f>
        <v>1</v>
      </c>
      <c r="Z22" s="937">
        <f t="shared" si="9"/>
        <v>0.35572850826682961</v>
      </c>
      <c r="AA22" s="933">
        <f t="shared" si="10"/>
        <v>1.5361287695553316</v>
      </c>
      <c r="AB22" s="933">
        <f>VLOOKUP($W22,feed_mix_n,MATCH(AB$5,feed_mix_w!$B$5:$AC$5,0),FALSE)/$Z22*VLOOKUP(AB$5,feed_intensity_w,11,FALSE)</f>
        <v>0.11741965681752267</v>
      </c>
      <c r="AC22" s="933">
        <f>VLOOKUP($W22,feed_mix_n,MATCH(AC$5,feed_mix_w!$B$5:$AC$5,0),FALSE)/$Z22*VLOOKUP(AC$5,feed_intensity_w,11,FALSE)</f>
        <v>0.12300271276158557</v>
      </c>
      <c r="AD22" s="933">
        <f>VLOOKUP($W22,feed_mix_n,MATCH(AD$5,feed_mix_w!$B$5:$AC$5,0),FALSE)/$Z22*VLOOKUP(AD$5,feed_intensity_w,11,FALSE)</f>
        <v>0</v>
      </c>
      <c r="AE22" s="933">
        <f>VLOOKUP($W22,feed_mix_n,MATCH(AE$5,feed_mix_w!$B$5:$AC$5,0),FALSE)/$Z22*VLOOKUP(AE$5,feed_intensity_w,11,FALSE)</f>
        <v>0.11682273793350137</v>
      </c>
      <c r="AF22" s="933">
        <f>VLOOKUP($W22,feed_mix_n,MATCH(AF$5,feed_mix_w!$B$5:$AC$5,0),FALSE)/$Z22*VLOOKUP(AF$5,feed_intensity_w,11,FALSE)</f>
        <v>4.6729095173400549E-2</v>
      </c>
      <c r="AG22" s="933">
        <f>VLOOKUP($W22,feed_mix_n,MATCH(AG$5,feed_mix_w!$B$5:$AC$5,0),FALSE)/$Z22*VLOOKUP(AG$5,feed_intensity_w,11,FALSE)</f>
        <v>0</v>
      </c>
      <c r="AH22" s="933">
        <f>VLOOKUP($W22,feed_mix_n,MATCH(AH$5,feed_mix_w!$B$5:$AC$5,0),FALSE)/$Z22*VLOOKUP(AH$5,feed_intensity_w,11,FALSE)</f>
        <v>4.6729095173400549E-2</v>
      </c>
      <c r="AI22" s="933">
        <f>VLOOKUP($W22,feed_mix_n,MATCH(AI$5,feed_mix_w!$B$5:$AC$5,0),FALSE)/$Z22*VLOOKUP(AI$5,feed_intensity_w,11,FALSE)</f>
        <v>0</v>
      </c>
      <c r="AJ22" s="933">
        <f>VLOOKUP($W22,feed_mix_n,MATCH(AJ$5,feed_mix_w!$B$5:$AC$5,0),FALSE)/$Z22*VLOOKUP(AJ$5,feed_intensity_w,11,FALSE)</f>
        <v>0</v>
      </c>
      <c r="AK22" s="933">
        <f>VLOOKUP($W22,feed_mix_n,MATCH(AK$5,feed_mix_w!$B$5:$AC$5,0),FALSE)/$Z22*VLOOKUP(AK$5,feed_intensity_w,11,FALSE)</f>
        <v>0</v>
      </c>
      <c r="AL22" s="933">
        <f>VLOOKUP($W22,feed_mix_n,MATCH(AL$5,feed_mix_w!$B$5:$AC$5,0),FALSE)/$Z22*VLOOKUP(AL$5,feed_intensity_w,11,FALSE)</f>
        <v>0</v>
      </c>
      <c r="AM22" s="933">
        <f>VLOOKUP($W22,feed_mix_n,MATCH(AM$5,feed_mix_w!$B$5:$AC$5,0),FALSE)/$Z22*VLOOKUP(AM$5,feed_intensity_w,11,FALSE)</f>
        <v>3.4118921064177514E-2</v>
      </c>
      <c r="AN22" s="933">
        <f>VLOOKUP($W22,feed_mix_n,MATCH(AN$5,feed_mix_w!$B$5:$AC$5,0),FALSE)/$Z22*VLOOKUP(AN$5,feed_intensity_w,11,FALSE)</f>
        <v>0</v>
      </c>
      <c r="AO22" s="933">
        <f>VLOOKUP($W22,feed_mix_n,MATCH(AO$5,feed_mix_w!$B$5:$AC$5,0),FALSE)/$Z22*VLOOKUP(AO$5,feed_intensity_w,11,FALSE)</f>
        <v>0</v>
      </c>
      <c r="AP22" s="933">
        <f>VLOOKUP($W22,feed_mix_n,MATCH(AP$5,feed_mix_w!$B$5:$AC$5,0),FALSE)/$Z22*VLOOKUP(AP$5,feed_intensity_w,11,FALSE)</f>
        <v>0</v>
      </c>
      <c r="AQ22" s="933">
        <f>VLOOKUP($W22,feed_mix_n,MATCH(AQ$5,feed_mix_w!$B$5:$AC$5,0),FALSE)/$Z22*VLOOKUP(AQ$5,feed_intensity_w,11,FALSE)</f>
        <v>0</v>
      </c>
      <c r="AR22" s="933">
        <f>VLOOKUP($W22,feed_mix_n,MATCH(AR$5,feed_mix_w!$B$5:$AC$5,0),FALSE)/$Z22*VLOOKUP(AR$5,feed_intensity_w,11,FALSE)</f>
        <v>4.5549924270419907E-2</v>
      </c>
      <c r="AS22" s="1105">
        <f>VLOOKUP($W22,feed_mix_n,MATCH(AS$5,feed_mix_w!$B$5:$AC$5,0),FALSE)/$Z22*VLOOKUP(AS$5,feed_intensity_w,11,FALSE)</f>
        <v>0</v>
      </c>
    </row>
    <row r="23" spans="1:45" ht="12">
      <c r="A23" s="1008" t="s">
        <v>7349</v>
      </c>
      <c r="B23" s="1102">
        <v>886</v>
      </c>
      <c r="C23" s="1103" t="s">
        <v>541</v>
      </c>
      <c r="D23" s="1158">
        <v>8258</v>
      </c>
      <c r="E23" s="1158">
        <v>83985</v>
      </c>
      <c r="F23" s="1012">
        <f t="shared" si="0"/>
        <v>8258</v>
      </c>
      <c r="G23" s="1012">
        <f t="shared" si="1"/>
        <v>83985</v>
      </c>
      <c r="H23" s="933">
        <f t="shared" si="2"/>
        <v>3.4303362059033797</v>
      </c>
      <c r="I23" s="1486">
        <f t="shared" si="3"/>
        <v>28327.716388350109</v>
      </c>
      <c r="J23" s="1006">
        <f>IFERROR(G23*VLOOKUP(W23,livestock_intensity!$B$7:$I$29,8,FALSE)/Z23,0)</f>
        <v>262050.3917979509</v>
      </c>
      <c r="K23" s="933">
        <f>VLOOKUP($W23,feed_mix_n,MATCH(K$5,feed_mix_w!$B$5:$AC$5,0),FALSE)/$Z23*VLOOKUP(K$5,feed_intensity_w,11,FALSE)</f>
        <v>0</v>
      </c>
      <c r="L23" s="1486">
        <f t="shared" si="4"/>
        <v>0</v>
      </c>
      <c r="M23" s="1447">
        <f>IFERROR(G23*VLOOKUP(W23,livestock_intensity!$B$7:$M$29,12,FALSE)/Z23,0)</f>
        <v>0</v>
      </c>
      <c r="N23" s="933">
        <f>VLOOKUP($W23,feed_mix_n,MATCH(N$5,feed_mix_w!$B$5:$AC$5,0),FALSE)/$Z23*VLOOKUP(N$5,feed_intensity_w,11,FALSE)</f>
        <v>6.5050237159089601</v>
      </c>
      <c r="O23" s="1486">
        <f t="shared" si="5"/>
        <v>53718.485845976189</v>
      </c>
      <c r="P23" s="939">
        <f>IFERROR(G23*VLOOKUP(W23,livestock_intensity!$B$7:$Q$29,16,FALSE)/Z23,0)</f>
        <v>242811.78804842412</v>
      </c>
      <c r="Q23" s="1530"/>
      <c r="R23" s="900">
        <f t="shared" si="6"/>
        <v>82046.202234326294</v>
      </c>
      <c r="S23" s="900">
        <f t="shared" si="7"/>
        <v>504862.17984637502</v>
      </c>
      <c r="T23" s="1483">
        <v>2740</v>
      </c>
      <c r="U23" s="1211" t="s">
        <v>2921</v>
      </c>
      <c r="V23" s="1212" t="str">
        <f>IFERROR(VLOOKUP(W23,constant_ag_extr!$D$7:$E$594,2,FALSE),"")</f>
        <v>Cow milk, whole, fresh</v>
      </c>
      <c r="W23" s="1213">
        <f t="shared" si="8"/>
        <v>882</v>
      </c>
      <c r="X23" s="1099">
        <f>IFERROR(IF(VLOOKUP(B23,cnst_grazing!$C$10:$H$25,5,FALSE)="", IF(VLOOKUP(B23, cnst_grazing!$C$10:$H$25,3,FALSE)="", VLOOKUP(B23, cnst_grazing!$C$10:$H$25,4,FALSE),VLOOKUP(B23, cnst_grazing!$C$10:$H$25,3,FALSE)), VLOOKUP(B23,cnst_grazing!$C$10:$H$25,5,FALSE)),1)</f>
        <v>1</v>
      </c>
      <c r="Y23" s="1099">
        <f>IFERROR(IF(VLOOKUP(B23,cnst_grazing!$C$10:$H$25,6,FALSE)="", IF(VLOOKUP(B23, cnst_grazing!$C$10:$H$25,4,FALSE)="", VLOOKUP(B23, cnst_grazing!$C$10:$H$25,3,FALSE),VLOOKUP(B23, cnst_grazing!$C$10:$H$25,4,FALSE)), VLOOKUP(B23,cnst_grazing!$C$10:$H$25,6,FALSE)),1)</f>
        <v>1</v>
      </c>
      <c r="Z23" s="937">
        <f t="shared" si="9"/>
        <v>5.5E-2</v>
      </c>
      <c r="AA23" s="933">
        <f t="shared" si="10"/>
        <v>9.9353599218123403</v>
      </c>
      <c r="AB23" s="933">
        <f>VLOOKUP($W23,feed_mix_n,MATCH(AB$5,feed_mix_w!$B$5:$AC$5,0),FALSE)/$Z23*VLOOKUP(AB$5,feed_intensity_w,11,FALSE)</f>
        <v>0.7594458065618257</v>
      </c>
      <c r="AC23" s="933">
        <f>VLOOKUP($W23,feed_mix_n,MATCH(AC$5,feed_mix_w!$B$5:$AC$5,0),FALSE)/$Z23*VLOOKUP(AC$5,feed_intensity_w,11,FALSE)</f>
        <v>0.79555584588094841</v>
      </c>
      <c r="AD23" s="933">
        <f>VLOOKUP($W23,feed_mix_n,MATCH(AD$5,feed_mix_w!$B$5:$AC$5,0),FALSE)/$Z23*VLOOKUP(AD$5,feed_intensity_w,11,FALSE)</f>
        <v>0</v>
      </c>
      <c r="AE23" s="933">
        <f>VLOOKUP($W23,feed_mix_n,MATCH(AE$5,feed_mix_w!$B$5:$AC$5,0),FALSE)/$Z23*VLOOKUP(AE$5,feed_intensity_w,11,FALSE)</f>
        <v>0.75558505994056746</v>
      </c>
      <c r="AF23" s="933">
        <f>VLOOKUP($W23,feed_mix_n,MATCH(AF$5,feed_mix_w!$B$5:$AC$5,0),FALSE)/$Z23*VLOOKUP(AF$5,feed_intensity_w,11,FALSE)</f>
        <v>0.30223402397622695</v>
      </c>
      <c r="AG23" s="933">
        <f>VLOOKUP($W23,feed_mix_n,MATCH(AG$5,feed_mix_w!$B$5:$AC$5,0),FALSE)/$Z23*VLOOKUP(AG$5,feed_intensity_w,11,FALSE)</f>
        <v>0</v>
      </c>
      <c r="AH23" s="933">
        <f>VLOOKUP($W23,feed_mix_n,MATCH(AH$5,feed_mix_w!$B$5:$AC$5,0),FALSE)/$Z23*VLOOKUP(AH$5,feed_intensity_w,11,FALSE)</f>
        <v>0.30223402397622695</v>
      </c>
      <c r="AI23" s="933">
        <f>VLOOKUP($W23,feed_mix_n,MATCH(AI$5,feed_mix_w!$B$5:$AC$5,0),FALSE)/$Z23*VLOOKUP(AI$5,feed_intensity_w,11,FALSE)</f>
        <v>0</v>
      </c>
      <c r="AJ23" s="933">
        <f>VLOOKUP($W23,feed_mix_n,MATCH(AJ$5,feed_mix_w!$B$5:$AC$5,0),FALSE)/$Z23*VLOOKUP(AJ$5,feed_intensity_w,11,FALSE)</f>
        <v>0</v>
      </c>
      <c r="AK23" s="933">
        <f>VLOOKUP($W23,feed_mix_n,MATCH(AK$5,feed_mix_w!$B$5:$AC$5,0),FALSE)/$Z23*VLOOKUP(AK$5,feed_intensity_w,11,FALSE)</f>
        <v>0</v>
      </c>
      <c r="AL23" s="933">
        <f>VLOOKUP($W23,feed_mix_n,MATCH(AL$5,feed_mix_w!$B$5:$AC$5,0),FALSE)/$Z23*VLOOKUP(AL$5,feed_intensity_w,11,FALSE)</f>
        <v>0</v>
      </c>
      <c r="AM23" s="933">
        <f>VLOOKUP($W23,feed_mix_n,MATCH(AM$5,feed_mix_w!$B$5:$AC$5,0),FALSE)/$Z23*VLOOKUP(AM$5,feed_intensity_w,11,FALSE)</f>
        <v>0.22067405261515594</v>
      </c>
      <c r="AN23" s="933">
        <f>VLOOKUP($W23,feed_mix_n,MATCH(AN$5,feed_mix_w!$B$5:$AC$5,0),FALSE)/$Z23*VLOOKUP(AN$5,feed_intensity_w,11,FALSE)</f>
        <v>0</v>
      </c>
      <c r="AO23" s="933">
        <f>VLOOKUP($W23,feed_mix_n,MATCH(AO$5,feed_mix_w!$B$5:$AC$5,0),FALSE)/$Z23*VLOOKUP(AO$5,feed_intensity_w,11,FALSE)</f>
        <v>0</v>
      </c>
      <c r="AP23" s="933">
        <f>VLOOKUP($W23,feed_mix_n,MATCH(AP$5,feed_mix_w!$B$5:$AC$5,0),FALSE)/$Z23*VLOOKUP(AP$5,feed_intensity_w,11,FALSE)</f>
        <v>0</v>
      </c>
      <c r="AQ23" s="933">
        <f>VLOOKUP($W23,feed_mix_n,MATCH(AQ$5,feed_mix_w!$B$5:$AC$5,0),FALSE)/$Z23*VLOOKUP(AQ$5,feed_intensity_w,11,FALSE)</f>
        <v>0</v>
      </c>
      <c r="AR23" s="933">
        <f>VLOOKUP($W23,feed_mix_n,MATCH(AR$5,feed_mix_w!$B$5:$AC$5,0),FALSE)/$Z23*VLOOKUP(AR$5,feed_intensity_w,11,FALSE)</f>
        <v>0.29460739295242783</v>
      </c>
      <c r="AS23" s="1105">
        <f>VLOOKUP($W23,feed_mix_n,MATCH(AS$5,feed_mix_w!$B$5:$AC$5,0),FALSE)/$Z23*VLOOKUP(AS$5,feed_intensity_w,11,FALSE)</f>
        <v>0</v>
      </c>
    </row>
    <row r="24" spans="1:45" ht="12">
      <c r="A24" s="1008" t="s">
        <v>403</v>
      </c>
      <c r="B24" s="1102">
        <v>887</v>
      </c>
      <c r="C24" s="1103" t="s">
        <v>1273</v>
      </c>
      <c r="D24" s="1158"/>
      <c r="E24" s="1158"/>
      <c r="F24" s="1012">
        <f t="shared" si="0"/>
        <v>0</v>
      </c>
      <c r="G24" s="1012">
        <f t="shared" si="1"/>
        <v>0</v>
      </c>
      <c r="H24" s="933">
        <f t="shared" si="2"/>
        <v>0.39411924127846376</v>
      </c>
      <c r="I24" s="1486">
        <f t="shared" si="3"/>
        <v>0</v>
      </c>
      <c r="J24" s="1006">
        <f>IFERROR(G24*VLOOKUP(W24,livestock_intensity!$B$7:$I$29,8,FALSE)/Z24,0)</f>
        <v>0</v>
      </c>
      <c r="K24" s="933">
        <f>VLOOKUP($W24,feed_mix_n,MATCH(K$5,feed_mix_w!$B$5:$AC$5,0),FALSE)/$Z24*VLOOKUP(K$5,feed_intensity_w,11,FALSE)</f>
        <v>0</v>
      </c>
      <c r="L24" s="1486">
        <f t="shared" si="4"/>
        <v>0</v>
      </c>
      <c r="M24" s="1447">
        <f>IFERROR(G24*VLOOKUP(W24,livestock_intensity!$B$7:$M$29,12,FALSE)/Z24,0)</f>
        <v>0</v>
      </c>
      <c r="N24" s="933">
        <f>VLOOKUP($W24,feed_mix_n,MATCH(N$5,feed_mix_w!$B$5:$AC$5,0),FALSE)/$Z24*VLOOKUP(N$5,feed_intensity_w,11,FALSE)</f>
        <v>0.74737718332109859</v>
      </c>
      <c r="O24" s="1486">
        <f t="shared" si="5"/>
        <v>0</v>
      </c>
      <c r="P24" s="939">
        <f>IFERROR(G24*VLOOKUP(W24,livestock_intensity!$B$7:$Q$29,16,FALSE)/Z24,0)</f>
        <v>0</v>
      </c>
      <c r="Q24" s="1530"/>
      <c r="R24" s="900">
        <f t="shared" si="6"/>
        <v>0</v>
      </c>
      <c r="S24" s="900">
        <f t="shared" si="7"/>
        <v>0</v>
      </c>
      <c r="T24" s="1483">
        <v>2740</v>
      </c>
      <c r="U24" s="1211" t="s">
        <v>2921</v>
      </c>
      <c r="V24" s="1212" t="str">
        <f>IFERROR(VLOOKUP(W24,constant_ag_extr!$D$7:$E$594,2,FALSE),"")</f>
        <v>Cow milk, whole, fresh</v>
      </c>
      <c r="W24" s="1213">
        <f t="shared" si="8"/>
        <v>882</v>
      </c>
      <c r="X24" s="1099">
        <f>IFERROR(IF(VLOOKUP(B24,cnst_grazing!$C$10:$H$25,5,FALSE)="", IF(VLOOKUP(B24, cnst_grazing!$C$10:$H$25,3,FALSE)="", VLOOKUP(B24, cnst_grazing!$C$10:$H$25,4,FALSE),VLOOKUP(B24, cnst_grazing!$C$10:$H$25,3,FALSE)), VLOOKUP(B24,cnst_grazing!$C$10:$H$25,5,FALSE)),1)</f>
        <v>1</v>
      </c>
      <c r="Y24" s="1099">
        <f>IFERROR(IF(VLOOKUP(B24,cnst_grazing!$C$10:$H$25,6,FALSE)="", IF(VLOOKUP(B24, cnst_grazing!$C$10:$H$25,4,FALSE)="", VLOOKUP(B24, cnst_grazing!$C$10:$H$25,3,FALSE),VLOOKUP(B24, cnst_grazing!$C$10:$H$25,4,FALSE)), VLOOKUP(B24,cnst_grazing!$C$10:$H$25,6,FALSE)),1)</f>
        <v>1</v>
      </c>
      <c r="Z24" s="937">
        <f t="shared" si="9"/>
        <v>0.47870916099572702</v>
      </c>
      <c r="AA24" s="933">
        <f t="shared" si="10"/>
        <v>1.1414964245995622</v>
      </c>
      <c r="AB24" s="933">
        <f>VLOOKUP($W24,feed_mix_n,MATCH(AB$5,feed_mix_w!$B$5:$AC$5,0),FALSE)/$Z24*VLOOKUP(AB$5,feed_intensity_w,11,FALSE)</f>
        <v>8.7254480933723455E-2</v>
      </c>
      <c r="AC24" s="933">
        <f>VLOOKUP($W24,feed_mix_n,MATCH(AC$5,feed_mix_w!$B$5:$AC$5,0),FALSE)/$Z24*VLOOKUP(AC$5,feed_intensity_w,11,FALSE)</f>
        <v>9.1403246665343704E-2</v>
      </c>
      <c r="AD24" s="933">
        <f>VLOOKUP($W24,feed_mix_n,MATCH(AD$5,feed_mix_w!$B$5:$AC$5,0),FALSE)/$Z24*VLOOKUP(AD$5,feed_intensity_w,11,FALSE)</f>
        <v>0</v>
      </c>
      <c r="AE24" s="933">
        <f>VLOOKUP($W24,feed_mix_n,MATCH(AE$5,feed_mix_w!$B$5:$AC$5,0),FALSE)/$Z24*VLOOKUP(AE$5,feed_intensity_w,11,FALSE)</f>
        <v>8.6810910846768105E-2</v>
      </c>
      <c r="AF24" s="933">
        <f>VLOOKUP($W24,feed_mix_n,MATCH(AF$5,feed_mix_w!$B$5:$AC$5,0),FALSE)/$Z24*VLOOKUP(AF$5,feed_intensity_w,11,FALSE)</f>
        <v>3.4724364338707236E-2</v>
      </c>
      <c r="AG24" s="933">
        <f>VLOOKUP($W24,feed_mix_n,MATCH(AG$5,feed_mix_w!$B$5:$AC$5,0),FALSE)/$Z24*VLOOKUP(AG$5,feed_intensity_w,11,FALSE)</f>
        <v>0</v>
      </c>
      <c r="AH24" s="933">
        <f>VLOOKUP($W24,feed_mix_n,MATCH(AH$5,feed_mix_w!$B$5:$AC$5,0),FALSE)/$Z24*VLOOKUP(AH$5,feed_intensity_w,11,FALSE)</f>
        <v>3.4724364338707236E-2</v>
      </c>
      <c r="AI24" s="933">
        <f>VLOOKUP($W24,feed_mix_n,MATCH(AI$5,feed_mix_w!$B$5:$AC$5,0),FALSE)/$Z24*VLOOKUP(AI$5,feed_intensity_w,11,FALSE)</f>
        <v>0</v>
      </c>
      <c r="AJ24" s="933">
        <f>VLOOKUP($W24,feed_mix_n,MATCH(AJ$5,feed_mix_w!$B$5:$AC$5,0),FALSE)/$Z24*VLOOKUP(AJ$5,feed_intensity_w,11,FALSE)</f>
        <v>0</v>
      </c>
      <c r="AK24" s="933">
        <f>VLOOKUP($W24,feed_mix_n,MATCH(AK$5,feed_mix_w!$B$5:$AC$5,0),FALSE)/$Z24*VLOOKUP(AK$5,feed_intensity_w,11,FALSE)</f>
        <v>0</v>
      </c>
      <c r="AL24" s="933">
        <f>VLOOKUP($W24,feed_mix_n,MATCH(AL$5,feed_mix_w!$B$5:$AC$5,0),FALSE)/$Z24*VLOOKUP(AL$5,feed_intensity_w,11,FALSE)</f>
        <v>0</v>
      </c>
      <c r="AM24" s="933">
        <f>VLOOKUP($W24,feed_mix_n,MATCH(AM$5,feed_mix_w!$B$5:$AC$5,0),FALSE)/$Z24*VLOOKUP(AM$5,feed_intensity_w,11,FALSE)</f>
        <v>2.5353751051239885E-2</v>
      </c>
      <c r="AN24" s="933">
        <f>VLOOKUP($W24,feed_mix_n,MATCH(AN$5,feed_mix_w!$B$5:$AC$5,0),FALSE)/$Z24*VLOOKUP(AN$5,feed_intensity_w,11,FALSE)</f>
        <v>0</v>
      </c>
      <c r="AO24" s="933">
        <f>VLOOKUP($W24,feed_mix_n,MATCH(AO$5,feed_mix_w!$B$5:$AC$5,0),FALSE)/$Z24*VLOOKUP(AO$5,feed_intensity_w,11,FALSE)</f>
        <v>0</v>
      </c>
      <c r="AP24" s="933">
        <f>VLOOKUP($W24,feed_mix_n,MATCH(AP$5,feed_mix_w!$B$5:$AC$5,0),FALSE)/$Z24*VLOOKUP(AP$5,feed_intensity_w,11,FALSE)</f>
        <v>0</v>
      </c>
      <c r="AQ24" s="933">
        <f>VLOOKUP($W24,feed_mix_n,MATCH(AQ$5,feed_mix_w!$B$5:$AC$5,0),FALSE)/$Z24*VLOOKUP(AQ$5,feed_intensity_w,11,FALSE)</f>
        <v>0</v>
      </c>
      <c r="AR24" s="933">
        <f>VLOOKUP($W24,feed_mix_n,MATCH(AR$5,feed_mix_w!$B$5:$AC$5,0),FALSE)/$Z24*VLOOKUP(AR$5,feed_intensity_w,11,FALSE)</f>
        <v>3.3848123103974115E-2</v>
      </c>
      <c r="AS24" s="1105">
        <f>VLOOKUP($W24,feed_mix_n,MATCH(AS$5,feed_mix_w!$B$5:$AC$5,0),FALSE)/$Z24*VLOOKUP(AS$5,feed_intensity_w,11,FALSE)</f>
        <v>0</v>
      </c>
    </row>
    <row r="25" spans="1:45" ht="12">
      <c r="A25" s="1008" t="s">
        <v>7350</v>
      </c>
      <c r="B25" s="1102">
        <v>888</v>
      </c>
      <c r="C25" s="1103" t="s">
        <v>1636</v>
      </c>
      <c r="D25" s="1158">
        <v>1</v>
      </c>
      <c r="E25" s="1158">
        <v>5600</v>
      </c>
      <c r="F25" s="1012">
        <f t="shared" si="0"/>
        <v>1</v>
      </c>
      <c r="G25" s="1012">
        <f t="shared" si="1"/>
        <v>5600</v>
      </c>
      <c r="H25" s="933">
        <f t="shared" si="2"/>
        <v>0.11732545144686519</v>
      </c>
      <c r="I25" s="1486">
        <f t="shared" si="3"/>
        <v>0.11732545144686519</v>
      </c>
      <c r="J25" s="1006">
        <f>IFERROR(G25*VLOOKUP(W25,livestock_intensity!$B$7:$I$29,8,FALSE)/Z25,0)</f>
        <v>597.6221156394638</v>
      </c>
      <c r="K25" s="933">
        <f>VLOOKUP($W25,feed_mix_n,MATCH(K$5,feed_mix_w!$B$5:$AC$5,0),FALSE)/$Z25*VLOOKUP(K$5,feed_intensity_w,11,FALSE)</f>
        <v>0</v>
      </c>
      <c r="L25" s="1486">
        <f t="shared" si="4"/>
        <v>0</v>
      </c>
      <c r="M25" s="1447">
        <f>IFERROR(G25*VLOOKUP(W25,livestock_intensity!$B$7:$M$29,12,FALSE)/Z25,0)</f>
        <v>0</v>
      </c>
      <c r="N25" s="933">
        <f>VLOOKUP($W25,feed_mix_n,MATCH(N$5,feed_mix_w!$B$5:$AC$5,0),FALSE)/$Z25*VLOOKUP(N$5,feed_intensity_w,11,FALSE)</f>
        <v>0.22248689292558516</v>
      </c>
      <c r="O25" s="1486">
        <f t="shared" si="5"/>
        <v>0.22248689292558516</v>
      </c>
      <c r="P25" s="939">
        <f>IFERROR(G25*VLOOKUP(W25,livestock_intensity!$B$7:$Q$29,16,FALSE)/Z25,0)</f>
        <v>553.74729066455438</v>
      </c>
      <c r="Q25" s="1530"/>
      <c r="R25" s="900">
        <f t="shared" si="6"/>
        <v>0.33981234437245034</v>
      </c>
      <c r="S25" s="900">
        <f t="shared" si="7"/>
        <v>1151.3694063040182</v>
      </c>
      <c r="T25" s="1483" t="s">
        <v>2862</v>
      </c>
      <c r="U25" s="1211" t="s">
        <v>2921</v>
      </c>
      <c r="V25" s="1212" t="str">
        <f>IFERROR(VLOOKUP(W25,constant_ag_extr!$D$7:$E$594,2,FALSE),"")</f>
        <v>Cow milk, whole, fresh</v>
      </c>
      <c r="W25" s="1213">
        <f t="shared" si="8"/>
        <v>882</v>
      </c>
      <c r="X25" s="1099">
        <f>IFERROR(IF(VLOOKUP(B25,cnst_grazing!$C$10:$H$25,5,FALSE)="", IF(VLOOKUP(B25, cnst_grazing!$C$10:$H$25,3,FALSE)="", VLOOKUP(B25, cnst_grazing!$C$10:$H$25,4,FALSE),VLOOKUP(B25, cnst_grazing!$C$10:$H$25,3,FALSE)), VLOOKUP(B25,cnst_grazing!$C$10:$H$25,5,FALSE)),1)</f>
        <v>1</v>
      </c>
      <c r="Y25" s="1099">
        <f>IFERROR(IF(VLOOKUP(B25,cnst_grazing!$C$10:$H$25,6,FALSE)="", IF(VLOOKUP(B25, cnst_grazing!$C$10:$H$25,4,FALSE)="", VLOOKUP(B25, cnst_grazing!$C$10:$H$25,3,FALSE),VLOOKUP(B25, cnst_grazing!$C$10:$H$25,4,FALSE)), VLOOKUP(B25,cnst_grazing!$C$10:$H$25,6,FALSE)),1)</f>
        <v>1</v>
      </c>
      <c r="Z25" s="937">
        <f t="shared" si="9"/>
        <v>1.6080781194362657</v>
      </c>
      <c r="AA25" s="933">
        <f t="shared" si="10"/>
        <v>0.33981234437245034</v>
      </c>
      <c r="AB25" s="933">
        <f>VLOOKUP($W25,feed_mix_n,MATCH(AB$5,feed_mix_w!$B$5:$AC$5,0),FALSE)/$Z25*VLOOKUP(AB$5,feed_intensity_w,11,FALSE)</f>
        <v>2.5974807352980651E-2</v>
      </c>
      <c r="AC25" s="933">
        <f>VLOOKUP($W25,feed_mix_n,MATCH(AC$5,feed_mix_w!$B$5:$AC$5,0),FALSE)/$Z25*VLOOKUP(AC$5,feed_intensity_w,11,FALSE)</f>
        <v>2.7209854418510024E-2</v>
      </c>
      <c r="AD25" s="933">
        <f>VLOOKUP($W25,feed_mix_n,MATCH(AD$5,feed_mix_w!$B$5:$AC$5,0),FALSE)/$Z25*VLOOKUP(AD$5,feed_intensity_w,11,FALSE)</f>
        <v>0</v>
      </c>
      <c r="AE25" s="933">
        <f>VLOOKUP($W25,feed_mix_n,MATCH(AE$5,feed_mix_w!$B$5:$AC$5,0),FALSE)/$Z25*VLOOKUP(AE$5,feed_intensity_w,11,FALSE)</f>
        <v>2.5842760867425811E-2</v>
      </c>
      <c r="AF25" s="933">
        <f>VLOOKUP($W25,feed_mix_n,MATCH(AF$5,feed_mix_w!$B$5:$AC$5,0),FALSE)/$Z25*VLOOKUP(AF$5,feed_intensity_w,11,FALSE)</f>
        <v>1.0337104346970322E-2</v>
      </c>
      <c r="AG25" s="933">
        <f>VLOOKUP($W25,feed_mix_n,MATCH(AG$5,feed_mix_w!$B$5:$AC$5,0),FALSE)/$Z25*VLOOKUP(AG$5,feed_intensity_w,11,FALSE)</f>
        <v>0</v>
      </c>
      <c r="AH25" s="933">
        <f>VLOOKUP($W25,feed_mix_n,MATCH(AH$5,feed_mix_w!$B$5:$AC$5,0),FALSE)/$Z25*VLOOKUP(AH$5,feed_intensity_w,11,FALSE)</f>
        <v>1.0337104346970322E-2</v>
      </c>
      <c r="AI25" s="933">
        <f>VLOOKUP($W25,feed_mix_n,MATCH(AI$5,feed_mix_w!$B$5:$AC$5,0),FALSE)/$Z25*VLOOKUP(AI$5,feed_intensity_w,11,FALSE)</f>
        <v>0</v>
      </c>
      <c r="AJ25" s="933">
        <f>VLOOKUP($W25,feed_mix_n,MATCH(AJ$5,feed_mix_w!$B$5:$AC$5,0),FALSE)/$Z25*VLOOKUP(AJ$5,feed_intensity_w,11,FALSE)</f>
        <v>0</v>
      </c>
      <c r="AK25" s="933">
        <f>VLOOKUP($W25,feed_mix_n,MATCH(AK$5,feed_mix_w!$B$5:$AC$5,0),FALSE)/$Z25*VLOOKUP(AK$5,feed_intensity_w,11,FALSE)</f>
        <v>0</v>
      </c>
      <c r="AL25" s="933">
        <f>VLOOKUP($W25,feed_mix_n,MATCH(AL$5,feed_mix_w!$B$5:$AC$5,0),FALSE)/$Z25*VLOOKUP(AL$5,feed_intensity_w,11,FALSE)</f>
        <v>0</v>
      </c>
      <c r="AM25" s="933">
        <f>VLOOKUP($W25,feed_mix_n,MATCH(AM$5,feed_mix_w!$B$5:$AC$5,0),FALSE)/$Z25*VLOOKUP(AM$5,feed_intensity_w,11,FALSE)</f>
        <v>7.5475642303300533E-3</v>
      </c>
      <c r="AN25" s="933">
        <f>VLOOKUP($W25,feed_mix_n,MATCH(AN$5,feed_mix_w!$B$5:$AC$5,0),FALSE)/$Z25*VLOOKUP(AN$5,feed_intensity_w,11,FALSE)</f>
        <v>0</v>
      </c>
      <c r="AO25" s="933">
        <f>VLOOKUP($W25,feed_mix_n,MATCH(AO$5,feed_mix_w!$B$5:$AC$5,0),FALSE)/$Z25*VLOOKUP(AO$5,feed_intensity_w,11,FALSE)</f>
        <v>0</v>
      </c>
      <c r="AP25" s="933">
        <f>VLOOKUP($W25,feed_mix_n,MATCH(AP$5,feed_mix_w!$B$5:$AC$5,0),FALSE)/$Z25*VLOOKUP(AP$5,feed_intensity_w,11,FALSE)</f>
        <v>0</v>
      </c>
      <c r="AQ25" s="933">
        <f>VLOOKUP($W25,feed_mix_n,MATCH(AQ$5,feed_mix_w!$B$5:$AC$5,0),FALSE)/$Z25*VLOOKUP(AQ$5,feed_intensity_w,11,FALSE)</f>
        <v>0</v>
      </c>
      <c r="AR25" s="933">
        <f>VLOOKUP($W25,feed_mix_n,MATCH(AR$5,feed_mix_w!$B$5:$AC$5,0),FALSE)/$Z25*VLOOKUP(AR$5,feed_intensity_w,11,FALSE)</f>
        <v>1.0076255883678003E-2</v>
      </c>
      <c r="AS25" s="1105">
        <f>VLOOKUP($W25,feed_mix_n,MATCH(AS$5,feed_mix_w!$B$5:$AC$5,0),FALSE)/$Z25*VLOOKUP(AS$5,feed_intensity_w,11,FALSE)</f>
        <v>0</v>
      </c>
    </row>
    <row r="26" spans="1:45" ht="12">
      <c r="A26" s="1008" t="s">
        <v>7351</v>
      </c>
      <c r="B26" s="1102">
        <v>889</v>
      </c>
      <c r="C26" s="1103" t="s">
        <v>1637</v>
      </c>
      <c r="D26" s="1158">
        <v>21246</v>
      </c>
      <c r="E26" s="1158">
        <v>24408</v>
      </c>
      <c r="F26" s="1012">
        <f t="shared" si="0"/>
        <v>21246</v>
      </c>
      <c r="G26" s="1012">
        <f t="shared" si="1"/>
        <v>24408</v>
      </c>
      <c r="H26" s="933">
        <f t="shared" si="2"/>
        <v>0.58051843484518728</v>
      </c>
      <c r="I26" s="1486">
        <f t="shared" si="3"/>
        <v>12333.694666720849</v>
      </c>
      <c r="J26" s="1006">
        <f>IFERROR(G26*VLOOKUP(W26,livestock_intensity!$B$7:$I$29,8,FALSE)/Z26,0)</f>
        <v>12888.26953403735</v>
      </c>
      <c r="K26" s="933">
        <f>VLOOKUP($W26,feed_mix_n,MATCH(K$5,feed_mix_w!$B$5:$AC$5,0),FALSE)/$Z26*VLOOKUP(K$5,feed_intensity_w,11,FALSE)</f>
        <v>0</v>
      </c>
      <c r="L26" s="1486">
        <f t="shared" si="4"/>
        <v>0</v>
      </c>
      <c r="M26" s="1447">
        <f>IFERROR(G26*VLOOKUP(W26,livestock_intensity!$B$7:$M$29,12,FALSE)/Z26,0)</f>
        <v>0</v>
      </c>
      <c r="N26" s="933">
        <f>VLOOKUP($W26,feed_mix_n,MATCH(N$5,feed_mix_w!$B$5:$AC$5,0),FALSE)/$Z26*VLOOKUP(N$5,feed_intensity_w,11,FALSE)</f>
        <v>1.10085016730767</v>
      </c>
      <c r="O26" s="1486">
        <f t="shared" si="5"/>
        <v>23388.662654618758</v>
      </c>
      <c r="P26" s="939">
        <f>IFERROR(G26*VLOOKUP(W26,livestock_intensity!$B$7:$Q$29,16,FALSE)/Z26,0)</f>
        <v>11942.068656865518</v>
      </c>
      <c r="Q26" s="1530"/>
      <c r="R26" s="900">
        <f t="shared" si="6"/>
        <v>35722.357321339608</v>
      </c>
      <c r="S26" s="900">
        <f t="shared" si="7"/>
        <v>24830.338190902869</v>
      </c>
      <c r="T26" s="1483" t="s">
        <v>2862</v>
      </c>
      <c r="U26" s="1211" t="s">
        <v>2921</v>
      </c>
      <c r="V26" s="1212" t="str">
        <f>IFERROR(VLOOKUP(W26,constant_ag_extr!$D$7:$E$594,2,FALSE),"")</f>
        <v>Cow milk, whole, fresh</v>
      </c>
      <c r="W26" s="1213">
        <f t="shared" si="8"/>
        <v>882</v>
      </c>
      <c r="X26" s="1099">
        <f>IFERROR(IF(VLOOKUP(B26,cnst_grazing!$C$10:$H$25,5,FALSE)="", IF(VLOOKUP(B26, cnst_grazing!$C$10:$H$25,3,FALSE)="", VLOOKUP(B26, cnst_grazing!$C$10:$H$25,4,FALSE),VLOOKUP(B26, cnst_grazing!$C$10:$H$25,3,FALSE)), VLOOKUP(B26,cnst_grazing!$C$10:$H$25,5,FALSE)),1)</f>
        <v>1</v>
      </c>
      <c r="Y26" s="1099">
        <f>IFERROR(IF(VLOOKUP(B26,cnst_grazing!$C$10:$H$25,6,FALSE)="", IF(VLOOKUP(B26, cnst_grazing!$C$10:$H$25,4,FALSE)="", VLOOKUP(B26, cnst_grazing!$C$10:$H$25,3,FALSE),VLOOKUP(B26, cnst_grazing!$C$10:$H$25,4,FALSE)), VLOOKUP(B26,cnst_grazing!$C$10:$H$25,6,FALSE)),1)</f>
        <v>1</v>
      </c>
      <c r="Z26" s="937">
        <f t="shared" si="9"/>
        <v>0.32500000000000001</v>
      </c>
      <c r="AA26" s="933">
        <f t="shared" si="10"/>
        <v>1.6813686021528573</v>
      </c>
      <c r="AB26" s="933">
        <f>VLOOKUP($W26,feed_mix_n,MATCH(AB$5,feed_mix_w!$B$5:$AC$5,0),FALSE)/$Z26*VLOOKUP(AB$5,feed_intensity_w,11,FALSE)</f>
        <v>0.12852159803353971</v>
      </c>
      <c r="AC26" s="933">
        <f>VLOOKUP($W26,feed_mix_n,MATCH(AC$5,feed_mix_w!$B$5:$AC$5,0),FALSE)/$Z26*VLOOKUP(AC$5,feed_intensity_w,11,FALSE)</f>
        <v>0.13463252776446819</v>
      </c>
      <c r="AD26" s="933">
        <f>VLOOKUP($W26,feed_mix_n,MATCH(AD$5,feed_mix_w!$B$5:$AC$5,0),FALSE)/$Z26*VLOOKUP(AD$5,feed_intensity_w,11,FALSE)</f>
        <v>0</v>
      </c>
      <c r="AE26" s="933">
        <f>VLOOKUP($W26,feed_mix_n,MATCH(AE$5,feed_mix_w!$B$5:$AC$5,0),FALSE)/$Z26*VLOOKUP(AE$5,feed_intensity_w,11,FALSE)</f>
        <v>0.12786824091301913</v>
      </c>
      <c r="AF26" s="933">
        <f>VLOOKUP($W26,feed_mix_n,MATCH(AF$5,feed_mix_w!$B$5:$AC$5,0),FALSE)/$Z26*VLOOKUP(AF$5,feed_intensity_w,11,FALSE)</f>
        <v>5.1147296365207637E-2</v>
      </c>
      <c r="AG26" s="933">
        <f>VLOOKUP($W26,feed_mix_n,MATCH(AG$5,feed_mix_w!$B$5:$AC$5,0),FALSE)/$Z26*VLOOKUP(AG$5,feed_intensity_w,11,FALSE)</f>
        <v>0</v>
      </c>
      <c r="AH26" s="933">
        <f>VLOOKUP($W26,feed_mix_n,MATCH(AH$5,feed_mix_w!$B$5:$AC$5,0),FALSE)/$Z26*VLOOKUP(AH$5,feed_intensity_w,11,FALSE)</f>
        <v>5.1147296365207637E-2</v>
      </c>
      <c r="AI26" s="933">
        <f>VLOOKUP($W26,feed_mix_n,MATCH(AI$5,feed_mix_w!$B$5:$AC$5,0),FALSE)/$Z26*VLOOKUP(AI$5,feed_intensity_w,11,FALSE)</f>
        <v>0</v>
      </c>
      <c r="AJ26" s="933">
        <f>VLOOKUP($W26,feed_mix_n,MATCH(AJ$5,feed_mix_w!$B$5:$AC$5,0),FALSE)/$Z26*VLOOKUP(AJ$5,feed_intensity_w,11,FALSE)</f>
        <v>0</v>
      </c>
      <c r="AK26" s="933">
        <f>VLOOKUP($W26,feed_mix_n,MATCH(AK$5,feed_mix_w!$B$5:$AC$5,0),FALSE)/$Z26*VLOOKUP(AK$5,feed_intensity_w,11,FALSE)</f>
        <v>0</v>
      </c>
      <c r="AL26" s="933">
        <f>VLOOKUP($W26,feed_mix_n,MATCH(AL$5,feed_mix_w!$B$5:$AC$5,0),FALSE)/$Z26*VLOOKUP(AL$5,feed_intensity_w,11,FALSE)</f>
        <v>0</v>
      </c>
      <c r="AM26" s="933">
        <f>VLOOKUP($W26,feed_mix_n,MATCH(AM$5,feed_mix_w!$B$5:$AC$5,0),FALSE)/$Z26*VLOOKUP(AM$5,feed_intensity_w,11,FALSE)</f>
        <v>3.7344839673334081E-2</v>
      </c>
      <c r="AN26" s="933">
        <f>VLOOKUP($W26,feed_mix_n,MATCH(AN$5,feed_mix_w!$B$5:$AC$5,0),FALSE)/$Z26*VLOOKUP(AN$5,feed_intensity_w,11,FALSE)</f>
        <v>0</v>
      </c>
      <c r="AO26" s="933">
        <f>VLOOKUP($W26,feed_mix_n,MATCH(AO$5,feed_mix_w!$B$5:$AC$5,0),FALSE)/$Z26*VLOOKUP(AO$5,feed_intensity_w,11,FALSE)</f>
        <v>0</v>
      </c>
      <c r="AP26" s="933">
        <f>VLOOKUP($W26,feed_mix_n,MATCH(AP$5,feed_mix_w!$B$5:$AC$5,0),FALSE)/$Z26*VLOOKUP(AP$5,feed_intensity_w,11,FALSE)</f>
        <v>0</v>
      </c>
      <c r="AQ26" s="933">
        <f>VLOOKUP($W26,feed_mix_n,MATCH(AQ$5,feed_mix_w!$B$5:$AC$5,0),FALSE)/$Z26*VLOOKUP(AQ$5,feed_intensity_w,11,FALSE)</f>
        <v>0</v>
      </c>
      <c r="AR26" s="933">
        <f>VLOOKUP($W26,feed_mix_n,MATCH(AR$5,feed_mix_w!$B$5:$AC$5,0),FALSE)/$Z26*VLOOKUP(AR$5,feed_intensity_w,11,FALSE)</f>
        <v>4.9856635730410867E-2</v>
      </c>
      <c r="AS26" s="1105">
        <f>VLOOKUP($W26,feed_mix_n,MATCH(AS$5,feed_mix_w!$B$5:$AC$5,0),FALSE)/$Z26*VLOOKUP(AS$5,feed_intensity_w,11,FALSE)</f>
        <v>0</v>
      </c>
    </row>
    <row r="27" spans="1:45" ht="12">
      <c r="A27" s="1008" t="s">
        <v>7352</v>
      </c>
      <c r="B27" s="1102">
        <v>890</v>
      </c>
      <c r="C27" s="1103" t="s">
        <v>1275</v>
      </c>
      <c r="D27" s="1158">
        <v>5861</v>
      </c>
      <c r="E27" s="1158">
        <v>9590</v>
      </c>
      <c r="F27" s="1012">
        <f t="shared" si="0"/>
        <v>5861</v>
      </c>
      <c r="G27" s="1012">
        <f t="shared" si="1"/>
        <v>9590</v>
      </c>
      <c r="H27" s="933">
        <f t="shared" si="2"/>
        <v>9.3045325749752328E-2</v>
      </c>
      <c r="I27" s="1486">
        <f t="shared" si="3"/>
        <v>545.33865421929841</v>
      </c>
      <c r="J27" s="1006">
        <f>IFERROR(G27*VLOOKUP(W27,livestock_intensity!$B$7:$I$29,8,FALSE)/Z27,0)</f>
        <v>811.63275873537725</v>
      </c>
      <c r="K27" s="933">
        <f>VLOOKUP($W27,feed_mix_n,MATCH(K$5,feed_mix_w!$B$5:$AC$5,0),FALSE)/$Z27*VLOOKUP(K$5,feed_intensity_w,11,FALSE)</f>
        <v>0</v>
      </c>
      <c r="L27" s="1486">
        <f t="shared" si="4"/>
        <v>0</v>
      </c>
      <c r="M27" s="1447">
        <f>IFERROR(G27*VLOOKUP(W27,livestock_intensity!$B$7:$M$29,12,FALSE)/Z27,0)</f>
        <v>0</v>
      </c>
      <c r="N27" s="933">
        <f>VLOOKUP($W27,feed_mix_n,MATCH(N$5,feed_mix_w!$B$5:$AC$5,0),FALSE)/$Z27*VLOOKUP(N$5,feed_intensity_w,11,FALSE)</f>
        <v>0.17644394436177946</v>
      </c>
      <c r="O27" s="1486">
        <f t="shared" si="5"/>
        <v>1034.1379579043894</v>
      </c>
      <c r="P27" s="939">
        <f>IFERROR(G27*VLOOKUP(W27,livestock_intensity!$B$7:$Q$29,16,FALSE)/Z27,0)</f>
        <v>752.04620010323208</v>
      </c>
      <c r="Q27" s="1530"/>
      <c r="R27" s="900">
        <f t="shared" si="6"/>
        <v>1579.4766121236878</v>
      </c>
      <c r="S27" s="900">
        <f t="shared" si="7"/>
        <v>1563.6789588386093</v>
      </c>
      <c r="T27" s="1483" t="s">
        <v>2862</v>
      </c>
      <c r="U27" s="1211" t="s">
        <v>2921</v>
      </c>
      <c r="V27" s="1212" t="str">
        <f>IFERROR(VLOOKUP(W27,constant_ag_extr!$D$7:$E$594,2,FALSE),"")</f>
        <v>Cow milk, whole, fresh</v>
      </c>
      <c r="W27" s="1213">
        <f t="shared" si="8"/>
        <v>882</v>
      </c>
      <c r="X27" s="1099">
        <f>IFERROR(IF(VLOOKUP(B27,cnst_grazing!$C$10:$H$25,5,FALSE)="", IF(VLOOKUP(B27, cnst_grazing!$C$10:$H$25,3,FALSE)="", VLOOKUP(B27, cnst_grazing!$C$10:$H$25,4,FALSE),VLOOKUP(B27, cnst_grazing!$C$10:$H$25,3,FALSE)), VLOOKUP(B27,cnst_grazing!$C$10:$H$25,5,FALSE)),1)</f>
        <v>1</v>
      </c>
      <c r="Y27" s="1099">
        <f>IFERROR(IF(VLOOKUP(B27,cnst_grazing!$C$10:$H$25,6,FALSE)="", IF(VLOOKUP(B27, cnst_grazing!$C$10:$H$25,4,FALSE)="", VLOOKUP(B27, cnst_grazing!$C$10:$H$25,3,FALSE),VLOOKUP(B27, cnst_grazing!$C$10:$H$25,4,FALSE)), VLOOKUP(B27,cnst_grazing!$C$10:$H$25,6,FALSE)),1)</f>
        <v>1</v>
      </c>
      <c r="Z27" s="937">
        <f t="shared" si="9"/>
        <v>2.0277052050106672</v>
      </c>
      <c r="AA27" s="933">
        <f t="shared" si="10"/>
        <v>0.26948927011153179</v>
      </c>
      <c r="AB27" s="933">
        <f>VLOOKUP($W27,feed_mix_n,MATCH(AB$5,feed_mix_w!$B$5:$AC$5,0),FALSE)/$Z27*VLOOKUP(AB$5,feed_intensity_w,11,FALSE)</f>
        <v>2.0599404320550959E-2</v>
      </c>
      <c r="AC27" s="933">
        <f>VLOOKUP($W27,feed_mix_n,MATCH(AC$5,feed_mix_w!$B$5:$AC$5,0),FALSE)/$Z27*VLOOKUP(AC$5,feed_intensity_w,11,FALSE)</f>
        <v>2.1578862358950238E-2</v>
      </c>
      <c r="AD27" s="933">
        <f>VLOOKUP($W27,feed_mix_n,MATCH(AD$5,feed_mix_w!$B$5:$AC$5,0),FALSE)/$Z27*VLOOKUP(AD$5,feed_intensity_w,11,FALSE)</f>
        <v>0</v>
      </c>
      <c r="AE27" s="933">
        <f>VLOOKUP($W27,feed_mix_n,MATCH(AE$5,feed_mix_w!$B$5:$AC$5,0),FALSE)/$Z27*VLOOKUP(AE$5,feed_intensity_w,11,FALSE)</f>
        <v>2.049468443146428E-2</v>
      </c>
      <c r="AF27" s="933">
        <f>VLOOKUP($W27,feed_mix_n,MATCH(AF$5,feed_mix_w!$B$5:$AC$5,0),FALSE)/$Z27*VLOOKUP(AF$5,feed_intensity_w,11,FALSE)</f>
        <v>8.197873772585712E-3</v>
      </c>
      <c r="AG27" s="933">
        <f>VLOOKUP($W27,feed_mix_n,MATCH(AG$5,feed_mix_w!$B$5:$AC$5,0),FALSE)/$Z27*VLOOKUP(AG$5,feed_intensity_w,11,FALSE)</f>
        <v>0</v>
      </c>
      <c r="AH27" s="933">
        <f>VLOOKUP($W27,feed_mix_n,MATCH(AH$5,feed_mix_w!$B$5:$AC$5,0),FALSE)/$Z27*VLOOKUP(AH$5,feed_intensity_w,11,FALSE)</f>
        <v>8.197873772585712E-3</v>
      </c>
      <c r="AI27" s="933">
        <f>VLOOKUP($W27,feed_mix_n,MATCH(AI$5,feed_mix_w!$B$5:$AC$5,0),FALSE)/$Z27*VLOOKUP(AI$5,feed_intensity_w,11,FALSE)</f>
        <v>0</v>
      </c>
      <c r="AJ27" s="933">
        <f>VLOOKUP($W27,feed_mix_n,MATCH(AJ$5,feed_mix_w!$B$5:$AC$5,0),FALSE)/$Z27*VLOOKUP(AJ$5,feed_intensity_w,11,FALSE)</f>
        <v>0</v>
      </c>
      <c r="AK27" s="933">
        <f>VLOOKUP($W27,feed_mix_n,MATCH(AK$5,feed_mix_w!$B$5:$AC$5,0),FALSE)/$Z27*VLOOKUP(AK$5,feed_intensity_w,11,FALSE)</f>
        <v>0</v>
      </c>
      <c r="AL27" s="933">
        <f>VLOOKUP($W27,feed_mix_n,MATCH(AL$5,feed_mix_w!$B$5:$AC$5,0),FALSE)/$Z27*VLOOKUP(AL$5,feed_intensity_w,11,FALSE)</f>
        <v>0</v>
      </c>
      <c r="AM27" s="933">
        <f>VLOOKUP($W27,feed_mix_n,MATCH(AM$5,feed_mix_w!$B$5:$AC$5,0),FALSE)/$Z27*VLOOKUP(AM$5,feed_intensity_w,11,FALSE)</f>
        <v>5.9856200318673678E-3</v>
      </c>
      <c r="AN27" s="933">
        <f>VLOOKUP($W27,feed_mix_n,MATCH(AN$5,feed_mix_w!$B$5:$AC$5,0),FALSE)/$Z27*VLOOKUP(AN$5,feed_intensity_w,11,FALSE)</f>
        <v>0</v>
      </c>
      <c r="AO27" s="933">
        <f>VLOOKUP($W27,feed_mix_n,MATCH(AO$5,feed_mix_w!$B$5:$AC$5,0),FALSE)/$Z27*VLOOKUP(AO$5,feed_intensity_w,11,FALSE)</f>
        <v>0</v>
      </c>
      <c r="AP27" s="933">
        <f>VLOOKUP($W27,feed_mix_n,MATCH(AP$5,feed_mix_w!$B$5:$AC$5,0),FALSE)/$Z27*VLOOKUP(AP$5,feed_intensity_w,11,FALSE)</f>
        <v>0</v>
      </c>
      <c r="AQ27" s="933">
        <f>VLOOKUP($W27,feed_mix_n,MATCH(AQ$5,feed_mix_w!$B$5:$AC$5,0),FALSE)/$Z27*VLOOKUP(AQ$5,feed_intensity_w,11,FALSE)</f>
        <v>0</v>
      </c>
      <c r="AR27" s="933">
        <f>VLOOKUP($W27,feed_mix_n,MATCH(AR$5,feed_mix_w!$B$5:$AC$5,0),FALSE)/$Z27*VLOOKUP(AR$5,feed_intensity_w,11,FALSE)</f>
        <v>7.9910070617480559E-3</v>
      </c>
      <c r="AS27" s="1105">
        <f>VLOOKUP($W27,feed_mix_n,MATCH(AS$5,feed_mix_w!$B$5:$AC$5,0),FALSE)/$Z27*VLOOKUP(AS$5,feed_intensity_w,11,FALSE)</f>
        <v>0</v>
      </c>
    </row>
    <row r="28" spans="1:45" ht="12">
      <c r="A28" s="1008" t="s">
        <v>596</v>
      </c>
      <c r="B28" s="1102">
        <v>891</v>
      </c>
      <c r="C28" s="1103">
        <v>403.1</v>
      </c>
      <c r="D28" s="1145"/>
      <c r="E28" s="1158"/>
      <c r="F28" s="1012">
        <f t="shared" si="0"/>
        <v>0</v>
      </c>
      <c r="G28" s="1012">
        <f t="shared" si="1"/>
        <v>0</v>
      </c>
      <c r="H28" s="933">
        <f t="shared" si="2"/>
        <v>0.23583561415585733</v>
      </c>
      <c r="I28" s="1486">
        <f t="shared" si="3"/>
        <v>0</v>
      </c>
      <c r="J28" s="1006">
        <f>IFERROR(G28*VLOOKUP(W28,livestock_intensity!$B$7:$I$29,8,FALSE)/Z28,0)</f>
        <v>0</v>
      </c>
      <c r="K28" s="933">
        <f>VLOOKUP($W28,feed_mix_n,MATCH(K$5,feed_mix_w!$B$5:$AC$5,0),FALSE)/$Z28*VLOOKUP(K$5,feed_intensity_w,11,FALSE)</f>
        <v>0</v>
      </c>
      <c r="L28" s="1486">
        <f t="shared" si="4"/>
        <v>0</v>
      </c>
      <c r="M28" s="1447">
        <f>IFERROR(G28*VLOOKUP(W28,livestock_intensity!$B$7:$M$29,12,FALSE)/Z28,0)</f>
        <v>0</v>
      </c>
      <c r="N28" s="933">
        <f>VLOOKUP($W28,feed_mix_n,MATCH(N$5,feed_mix_w!$B$5:$AC$5,0),FALSE)/$Z28*VLOOKUP(N$5,feed_intensity_w,11,FALSE)</f>
        <v>0.44722038046874096</v>
      </c>
      <c r="O28" s="1486">
        <f t="shared" si="5"/>
        <v>0</v>
      </c>
      <c r="P28" s="939">
        <f>IFERROR(G28*VLOOKUP(W28,livestock_intensity!$B$7:$Q$29,16,FALSE)/Z28,0)</f>
        <v>0</v>
      </c>
      <c r="Q28" s="1530"/>
      <c r="R28" s="900">
        <f t="shared" si="6"/>
        <v>0</v>
      </c>
      <c r="S28" s="900">
        <f t="shared" si="7"/>
        <v>0</v>
      </c>
      <c r="T28" s="1483" t="s">
        <v>2862</v>
      </c>
      <c r="U28" s="1211" t="s">
        <v>2921</v>
      </c>
      <c r="V28" s="1212" t="str">
        <f>IFERROR(VLOOKUP(W28,constant_ag_extr!$D$7:$E$594,2,FALSE),"")</f>
        <v>Cow milk, whole, fresh</v>
      </c>
      <c r="W28" s="1213">
        <f t="shared" si="8"/>
        <v>882</v>
      </c>
      <c r="X28" s="1099">
        <f>IFERROR(IF(VLOOKUP(B28,cnst_grazing!$C$10:$H$25,5,FALSE)="", IF(VLOOKUP(B28, cnst_grazing!$C$10:$H$25,3,FALSE)="", VLOOKUP(B28, cnst_grazing!$C$10:$H$25,4,FALSE),VLOOKUP(B28, cnst_grazing!$C$10:$H$25,3,FALSE)), VLOOKUP(B28,cnst_grazing!$C$10:$H$25,5,FALSE)),1)</f>
        <v>1</v>
      </c>
      <c r="Y28" s="1099">
        <f>IFERROR(IF(VLOOKUP(B28,cnst_grazing!$C$10:$H$25,6,FALSE)="", IF(VLOOKUP(B28, cnst_grazing!$C$10:$H$25,4,FALSE)="", VLOOKUP(B28, cnst_grazing!$C$10:$H$25,3,FALSE),VLOOKUP(B28, cnst_grazing!$C$10:$H$25,4,FALSE)), VLOOKUP(B28,cnst_grazing!$C$10:$H$25,6,FALSE)),1)</f>
        <v>1</v>
      </c>
      <c r="Z28" s="937">
        <f t="shared" si="9"/>
        <v>0.8</v>
      </c>
      <c r="AA28" s="933">
        <f t="shared" si="10"/>
        <v>0.68305599462459832</v>
      </c>
      <c r="AB28" s="933">
        <f>VLOOKUP($W28,feed_mix_n,MATCH(AB$5,feed_mix_w!$B$5:$AC$5,0),FALSE)/$Z28*VLOOKUP(AB$5,feed_intensity_w,11,FALSE)</f>
        <v>5.2211899201125511E-2</v>
      </c>
      <c r="AC28" s="933">
        <f>VLOOKUP($W28,feed_mix_n,MATCH(AC$5,feed_mix_w!$B$5:$AC$5,0),FALSE)/$Z28*VLOOKUP(AC$5,feed_intensity_w,11,FALSE)</f>
        <v>5.4694464404315198E-2</v>
      </c>
      <c r="AD28" s="933">
        <f>VLOOKUP($W28,feed_mix_n,MATCH(AD$5,feed_mix_w!$B$5:$AC$5,0),FALSE)/$Z28*VLOOKUP(AD$5,feed_intensity_w,11,FALSE)</f>
        <v>0</v>
      </c>
      <c r="AE28" s="933">
        <f>VLOOKUP($W28,feed_mix_n,MATCH(AE$5,feed_mix_w!$B$5:$AC$5,0),FALSE)/$Z28*VLOOKUP(AE$5,feed_intensity_w,11,FALSE)</f>
        <v>5.1946472870914015E-2</v>
      </c>
      <c r="AF28" s="933">
        <f>VLOOKUP($W28,feed_mix_n,MATCH(AF$5,feed_mix_w!$B$5:$AC$5,0),FALSE)/$Z28*VLOOKUP(AF$5,feed_intensity_w,11,FALSE)</f>
        <v>2.0778589148365601E-2</v>
      </c>
      <c r="AG28" s="933">
        <f>VLOOKUP($W28,feed_mix_n,MATCH(AG$5,feed_mix_w!$B$5:$AC$5,0),FALSE)/$Z28*VLOOKUP(AG$5,feed_intensity_w,11,FALSE)</f>
        <v>0</v>
      </c>
      <c r="AH28" s="933">
        <f>VLOOKUP($W28,feed_mix_n,MATCH(AH$5,feed_mix_w!$B$5:$AC$5,0),FALSE)/$Z28*VLOOKUP(AH$5,feed_intensity_w,11,FALSE)</f>
        <v>2.0778589148365601E-2</v>
      </c>
      <c r="AI28" s="933">
        <f>VLOOKUP($W28,feed_mix_n,MATCH(AI$5,feed_mix_w!$B$5:$AC$5,0),FALSE)/$Z28*VLOOKUP(AI$5,feed_intensity_w,11,FALSE)</f>
        <v>0</v>
      </c>
      <c r="AJ28" s="933">
        <f>VLOOKUP($W28,feed_mix_n,MATCH(AJ$5,feed_mix_w!$B$5:$AC$5,0),FALSE)/$Z28*VLOOKUP(AJ$5,feed_intensity_w,11,FALSE)</f>
        <v>0</v>
      </c>
      <c r="AK28" s="933">
        <f>VLOOKUP($W28,feed_mix_n,MATCH(AK$5,feed_mix_w!$B$5:$AC$5,0),FALSE)/$Z28*VLOOKUP(AK$5,feed_intensity_w,11,FALSE)</f>
        <v>0</v>
      </c>
      <c r="AL28" s="933">
        <f>VLOOKUP($W28,feed_mix_n,MATCH(AL$5,feed_mix_w!$B$5:$AC$5,0),FALSE)/$Z28*VLOOKUP(AL$5,feed_intensity_w,11,FALSE)</f>
        <v>0</v>
      </c>
      <c r="AM28" s="933">
        <f>VLOOKUP($W28,feed_mix_n,MATCH(AM$5,feed_mix_w!$B$5:$AC$5,0),FALSE)/$Z28*VLOOKUP(AM$5,feed_intensity_w,11,FALSE)</f>
        <v>1.5171341117291971E-2</v>
      </c>
      <c r="AN28" s="933">
        <f>VLOOKUP($W28,feed_mix_n,MATCH(AN$5,feed_mix_w!$B$5:$AC$5,0),FALSE)/$Z28*VLOOKUP(AN$5,feed_intensity_w,11,FALSE)</f>
        <v>0</v>
      </c>
      <c r="AO28" s="933">
        <f>VLOOKUP($W28,feed_mix_n,MATCH(AO$5,feed_mix_w!$B$5:$AC$5,0),FALSE)/$Z28*VLOOKUP(AO$5,feed_intensity_w,11,FALSE)</f>
        <v>0</v>
      </c>
      <c r="AP28" s="933">
        <f>VLOOKUP($W28,feed_mix_n,MATCH(AP$5,feed_mix_w!$B$5:$AC$5,0),FALSE)/$Z28*VLOOKUP(AP$5,feed_intensity_w,11,FALSE)</f>
        <v>0</v>
      </c>
      <c r="AQ28" s="933">
        <f>VLOOKUP($W28,feed_mix_n,MATCH(AQ$5,feed_mix_w!$B$5:$AC$5,0),FALSE)/$Z28*VLOOKUP(AQ$5,feed_intensity_w,11,FALSE)</f>
        <v>0</v>
      </c>
      <c r="AR28" s="933">
        <f>VLOOKUP($W28,feed_mix_n,MATCH(AR$5,feed_mix_w!$B$5:$AC$5,0),FALSE)/$Z28*VLOOKUP(AR$5,feed_intensity_w,11,FALSE)</f>
        <v>2.0254258265479413E-2</v>
      </c>
      <c r="AS28" s="1105">
        <f>VLOOKUP($W28,feed_mix_n,MATCH(AS$5,feed_mix_w!$B$5:$AC$5,0),FALSE)/$Z28*VLOOKUP(AS$5,feed_intensity_w,11,FALSE)</f>
        <v>0</v>
      </c>
    </row>
    <row r="29" spans="1:45" ht="12">
      <c r="A29" s="1008" t="s">
        <v>7353</v>
      </c>
      <c r="B29" s="1102">
        <v>892</v>
      </c>
      <c r="C29" s="1103" t="s">
        <v>2260</v>
      </c>
      <c r="D29" s="1158">
        <v>20992</v>
      </c>
      <c r="E29" s="1158">
        <v>16681</v>
      </c>
      <c r="F29" s="1012">
        <f t="shared" si="0"/>
        <v>20992</v>
      </c>
      <c r="G29" s="1012">
        <f t="shared" si="1"/>
        <v>16681</v>
      </c>
      <c r="H29" s="933">
        <f t="shared" si="2"/>
        <v>0.23583561415585733</v>
      </c>
      <c r="I29" s="1486">
        <f t="shared" si="3"/>
        <v>4950.661212359757</v>
      </c>
      <c r="J29" s="1006">
        <f>IFERROR(G29*VLOOKUP(W29,livestock_intensity!$B$7:$I$29,8,FALSE)/Z29,0)</f>
        <v>3578.3092547328251</v>
      </c>
      <c r="K29" s="933">
        <f>VLOOKUP($W29,feed_mix_n,MATCH(K$5,feed_mix_w!$B$5:$AC$5,0),FALSE)/$Z29*VLOOKUP(K$5,feed_intensity_w,11,FALSE)</f>
        <v>0</v>
      </c>
      <c r="L29" s="1486">
        <f t="shared" si="4"/>
        <v>0</v>
      </c>
      <c r="M29" s="1447">
        <f>IFERROR(G29*VLOOKUP(W29,livestock_intensity!$B$7:$M$29,12,FALSE)/Z29,0)</f>
        <v>0</v>
      </c>
      <c r="N29" s="933">
        <f>VLOOKUP($W29,feed_mix_n,MATCH(N$5,feed_mix_w!$B$5:$AC$5,0),FALSE)/$Z29*VLOOKUP(N$5,feed_intensity_w,11,FALSE)</f>
        <v>0.44722038046874096</v>
      </c>
      <c r="O29" s="1486">
        <f t="shared" si="5"/>
        <v>9388.0502267998108</v>
      </c>
      <c r="P29" s="939">
        <f>IFERROR(G29*VLOOKUP(W29,livestock_intensity!$B$7:$Q$29,16,FALSE)/Z29,0)</f>
        <v>3315.6053016009841</v>
      </c>
      <c r="Q29" s="1530"/>
      <c r="R29" s="900">
        <f t="shared" si="6"/>
        <v>14338.711439159568</v>
      </c>
      <c r="S29" s="900">
        <f t="shared" si="7"/>
        <v>6893.9145563338097</v>
      </c>
      <c r="T29" s="1483" t="s">
        <v>2862</v>
      </c>
      <c r="U29" s="1211" t="s">
        <v>2921</v>
      </c>
      <c r="V29" s="1212" t="str">
        <f>IFERROR(VLOOKUP(W29,constant_ag_extr!$D$7:$E$594,2,FALSE),"")</f>
        <v>Cow milk, whole, fresh</v>
      </c>
      <c r="W29" s="1213">
        <f t="shared" si="8"/>
        <v>882</v>
      </c>
      <c r="X29" s="1099">
        <f>IFERROR(IF(VLOOKUP(B29,cnst_grazing!$C$10:$H$25,5,FALSE)="", IF(VLOOKUP(B29, cnst_grazing!$C$10:$H$25,3,FALSE)="", VLOOKUP(B29, cnst_grazing!$C$10:$H$25,4,FALSE),VLOOKUP(B29, cnst_grazing!$C$10:$H$25,3,FALSE)), VLOOKUP(B29,cnst_grazing!$C$10:$H$25,5,FALSE)),1)</f>
        <v>1</v>
      </c>
      <c r="Y29" s="1099">
        <f>IFERROR(IF(VLOOKUP(B29,cnst_grazing!$C$10:$H$25,6,FALSE)="", IF(VLOOKUP(B29, cnst_grazing!$C$10:$H$25,4,FALSE)="", VLOOKUP(B29, cnst_grazing!$C$10:$H$25,3,FALSE),VLOOKUP(B29, cnst_grazing!$C$10:$H$25,4,FALSE)), VLOOKUP(B29,cnst_grazing!$C$10:$H$25,6,FALSE)),1)</f>
        <v>1</v>
      </c>
      <c r="Z29" s="937">
        <f t="shared" si="9"/>
        <v>0.8</v>
      </c>
      <c r="AA29" s="933">
        <f t="shared" si="10"/>
        <v>0.68305599462459832</v>
      </c>
      <c r="AB29" s="933">
        <f>VLOOKUP($W29,feed_mix_n,MATCH(AB$5,feed_mix_w!$B$5:$AC$5,0),FALSE)/$Z29*VLOOKUP(AB$5,feed_intensity_w,11,FALSE)</f>
        <v>5.2211899201125511E-2</v>
      </c>
      <c r="AC29" s="933">
        <f>VLOOKUP($W29,feed_mix_n,MATCH(AC$5,feed_mix_w!$B$5:$AC$5,0),FALSE)/$Z29*VLOOKUP(AC$5,feed_intensity_w,11,FALSE)</f>
        <v>5.4694464404315198E-2</v>
      </c>
      <c r="AD29" s="933">
        <f>VLOOKUP($W29,feed_mix_n,MATCH(AD$5,feed_mix_w!$B$5:$AC$5,0),FALSE)/$Z29*VLOOKUP(AD$5,feed_intensity_w,11,FALSE)</f>
        <v>0</v>
      </c>
      <c r="AE29" s="933">
        <f>VLOOKUP($W29,feed_mix_n,MATCH(AE$5,feed_mix_w!$B$5:$AC$5,0),FALSE)/$Z29*VLOOKUP(AE$5,feed_intensity_w,11,FALSE)</f>
        <v>5.1946472870914015E-2</v>
      </c>
      <c r="AF29" s="933">
        <f>VLOOKUP($W29,feed_mix_n,MATCH(AF$5,feed_mix_w!$B$5:$AC$5,0),FALSE)/$Z29*VLOOKUP(AF$5,feed_intensity_w,11,FALSE)</f>
        <v>2.0778589148365601E-2</v>
      </c>
      <c r="AG29" s="933">
        <f>VLOOKUP($W29,feed_mix_n,MATCH(AG$5,feed_mix_w!$B$5:$AC$5,0),FALSE)/$Z29*VLOOKUP(AG$5,feed_intensity_w,11,FALSE)</f>
        <v>0</v>
      </c>
      <c r="AH29" s="933">
        <f>VLOOKUP($W29,feed_mix_n,MATCH(AH$5,feed_mix_w!$B$5:$AC$5,0),FALSE)/$Z29*VLOOKUP(AH$5,feed_intensity_w,11,FALSE)</f>
        <v>2.0778589148365601E-2</v>
      </c>
      <c r="AI29" s="933">
        <f>VLOOKUP($W29,feed_mix_n,MATCH(AI$5,feed_mix_w!$B$5:$AC$5,0),FALSE)/$Z29*VLOOKUP(AI$5,feed_intensity_w,11,FALSE)</f>
        <v>0</v>
      </c>
      <c r="AJ29" s="933">
        <f>VLOOKUP($W29,feed_mix_n,MATCH(AJ$5,feed_mix_w!$B$5:$AC$5,0),FALSE)/$Z29*VLOOKUP(AJ$5,feed_intensity_w,11,FALSE)</f>
        <v>0</v>
      </c>
      <c r="AK29" s="933">
        <f>VLOOKUP($W29,feed_mix_n,MATCH(AK$5,feed_mix_w!$B$5:$AC$5,0),FALSE)/$Z29*VLOOKUP(AK$5,feed_intensity_w,11,FALSE)</f>
        <v>0</v>
      </c>
      <c r="AL29" s="933">
        <f>VLOOKUP($W29,feed_mix_n,MATCH(AL$5,feed_mix_w!$B$5:$AC$5,0),FALSE)/$Z29*VLOOKUP(AL$5,feed_intensity_w,11,FALSE)</f>
        <v>0</v>
      </c>
      <c r="AM29" s="933">
        <f>VLOOKUP($W29,feed_mix_n,MATCH(AM$5,feed_mix_w!$B$5:$AC$5,0),FALSE)/$Z29*VLOOKUP(AM$5,feed_intensity_w,11,FALSE)</f>
        <v>1.5171341117291971E-2</v>
      </c>
      <c r="AN29" s="933">
        <f>VLOOKUP($W29,feed_mix_n,MATCH(AN$5,feed_mix_w!$B$5:$AC$5,0),FALSE)/$Z29*VLOOKUP(AN$5,feed_intensity_w,11,FALSE)</f>
        <v>0</v>
      </c>
      <c r="AO29" s="933">
        <f>VLOOKUP($W29,feed_mix_n,MATCH(AO$5,feed_mix_w!$B$5:$AC$5,0),FALSE)/$Z29*VLOOKUP(AO$5,feed_intensity_w,11,FALSE)</f>
        <v>0</v>
      </c>
      <c r="AP29" s="933">
        <f>VLOOKUP($W29,feed_mix_n,MATCH(AP$5,feed_mix_w!$B$5:$AC$5,0),FALSE)/$Z29*VLOOKUP(AP$5,feed_intensity_w,11,FALSE)</f>
        <v>0</v>
      </c>
      <c r="AQ29" s="933">
        <f>VLOOKUP($W29,feed_mix_n,MATCH(AQ$5,feed_mix_w!$B$5:$AC$5,0),FALSE)/$Z29*VLOOKUP(AQ$5,feed_intensity_w,11,FALSE)</f>
        <v>0</v>
      </c>
      <c r="AR29" s="933">
        <f>VLOOKUP($W29,feed_mix_n,MATCH(AR$5,feed_mix_w!$B$5:$AC$5,0),FALSE)/$Z29*VLOOKUP(AR$5,feed_intensity_w,11,FALSE)</f>
        <v>2.0254258265479413E-2</v>
      </c>
      <c r="AS29" s="1105">
        <f>VLOOKUP($W29,feed_mix_n,MATCH(AS$5,feed_mix_w!$B$5:$AC$5,0),FALSE)/$Z29*VLOOKUP(AS$5,feed_intensity_w,11,FALSE)</f>
        <v>0</v>
      </c>
    </row>
    <row r="30" spans="1:45" ht="12">
      <c r="A30" s="1008" t="s">
        <v>7354</v>
      </c>
      <c r="B30" s="1102">
        <v>893</v>
      </c>
      <c r="C30" s="1103">
        <v>1006.2</v>
      </c>
      <c r="D30" s="1158">
        <v>857</v>
      </c>
      <c r="E30" s="1158">
        <v>13517</v>
      </c>
      <c r="F30" s="1012">
        <f t="shared" si="0"/>
        <v>857</v>
      </c>
      <c r="G30" s="1012">
        <f t="shared" si="1"/>
        <v>13517</v>
      </c>
      <c r="H30" s="933">
        <f t="shared" si="2"/>
        <v>0.18168013899006738</v>
      </c>
      <c r="I30" s="1486">
        <f t="shared" si="3"/>
        <v>155.69987911448774</v>
      </c>
      <c r="J30" s="1006">
        <f>IFERROR(G30*VLOOKUP(W30,livestock_intensity!$B$7:$I$29,8,FALSE)/Z30,0)</f>
        <v>2233.7479497949394</v>
      </c>
      <c r="K30" s="933">
        <f>VLOOKUP($W30,feed_mix_n,MATCH(K$5,feed_mix_w!$B$5:$AC$5,0),FALSE)/$Z30*VLOOKUP(K$5,feed_intensity_w,11,FALSE)</f>
        <v>0</v>
      </c>
      <c r="L30" s="1486">
        <f t="shared" si="4"/>
        <v>0</v>
      </c>
      <c r="M30" s="1447">
        <f>IFERROR(G30*VLOOKUP(W30,livestock_intensity!$B$7:$M$29,12,FALSE)/Z30,0)</f>
        <v>0</v>
      </c>
      <c r="N30" s="933">
        <f>VLOOKUP($W30,feed_mix_n,MATCH(N$5,feed_mix_w!$B$5:$AC$5,0),FALSE)/$Z30*VLOOKUP(N$5,feed_intensity_w,11,FALSE)</f>
        <v>0.34452413463326653</v>
      </c>
      <c r="O30" s="1486">
        <f t="shared" si="5"/>
        <v>295.25718338070942</v>
      </c>
      <c r="P30" s="939">
        <f>IFERROR(G30*VLOOKUP(W30,livestock_intensity!$B$7:$Q$29,16,FALSE)/Z30,0)</f>
        <v>2069.7558588555858</v>
      </c>
      <c r="Q30" s="1530"/>
      <c r="R30" s="900">
        <f t="shared" si="6"/>
        <v>450.95706249519719</v>
      </c>
      <c r="S30" s="900">
        <f t="shared" si="7"/>
        <v>4303.5038086505247</v>
      </c>
      <c r="T30" s="1483" t="s">
        <v>2862</v>
      </c>
      <c r="U30" s="1211" t="s">
        <v>2921</v>
      </c>
      <c r="V30" s="1212" t="str">
        <f>IFERROR(VLOOKUP(W30,constant_ag_extr!$D$7:$E$594,2,FALSE),"")</f>
        <v>Cow milk, whole, fresh</v>
      </c>
      <c r="W30" s="1213">
        <f t="shared" si="8"/>
        <v>882</v>
      </c>
      <c r="X30" s="1099">
        <f>IFERROR(IF(VLOOKUP(B30,cnst_grazing!$C$10:$H$25,5,FALSE)="", IF(VLOOKUP(B30, cnst_grazing!$C$10:$H$25,3,FALSE)="", VLOOKUP(B30, cnst_grazing!$C$10:$H$25,4,FALSE),VLOOKUP(B30, cnst_grazing!$C$10:$H$25,3,FALSE)), VLOOKUP(B30,cnst_grazing!$C$10:$H$25,5,FALSE)),1)</f>
        <v>1</v>
      </c>
      <c r="Y30" s="1099">
        <f>IFERROR(IF(VLOOKUP(B30,cnst_grazing!$C$10:$H$25,6,FALSE)="", IF(VLOOKUP(B30, cnst_grazing!$C$10:$H$25,4,FALSE)="", VLOOKUP(B30, cnst_grazing!$C$10:$H$25,3,FALSE),VLOOKUP(B30, cnst_grazing!$C$10:$H$25,4,FALSE)), VLOOKUP(B30,cnst_grazing!$C$10:$H$25,6,FALSE)),1)</f>
        <v>1</v>
      </c>
      <c r="Z30" s="937">
        <f t="shared" si="9"/>
        <v>1.0384651419437791</v>
      </c>
      <c r="AA30" s="933">
        <f t="shared" si="10"/>
        <v>0.52620427362333388</v>
      </c>
      <c r="AB30" s="933">
        <f>VLOOKUP($W30,feed_mix_n,MATCH(AB$5,feed_mix_w!$B$5:$AC$5,0),FALSE)/$Z30*VLOOKUP(AB$5,feed_intensity_w,11,FALSE)</f>
        <v>4.0222360552918536E-2</v>
      </c>
      <c r="AC30" s="933">
        <f>VLOOKUP($W30,feed_mix_n,MATCH(AC$5,feed_mix_w!$B$5:$AC$5,0),FALSE)/$Z30*VLOOKUP(AC$5,feed_intensity_w,11,FALSE)</f>
        <v>4.2134848591596753E-2</v>
      </c>
      <c r="AD30" s="933">
        <f>VLOOKUP($W30,feed_mix_n,MATCH(AD$5,feed_mix_w!$B$5:$AC$5,0),FALSE)/$Z30*VLOOKUP(AD$5,feed_intensity_w,11,FALSE)</f>
        <v>0</v>
      </c>
      <c r="AE30" s="933">
        <f>VLOOKUP($W30,feed_mix_n,MATCH(AE$5,feed_mix_w!$B$5:$AC$5,0),FALSE)/$Z30*VLOOKUP(AE$5,feed_intensity_w,11,FALSE)</f>
        <v>4.0017884682142804E-2</v>
      </c>
      <c r="AF30" s="933">
        <f>VLOOKUP($W30,feed_mix_n,MATCH(AF$5,feed_mix_w!$B$5:$AC$5,0),FALSE)/$Z30*VLOOKUP(AF$5,feed_intensity_w,11,FALSE)</f>
        <v>1.600715387285712E-2</v>
      </c>
      <c r="AG30" s="933">
        <f>VLOOKUP($W30,feed_mix_n,MATCH(AG$5,feed_mix_w!$B$5:$AC$5,0),FALSE)/$Z30*VLOOKUP(AG$5,feed_intensity_w,11,FALSE)</f>
        <v>0</v>
      </c>
      <c r="AH30" s="933">
        <f>VLOOKUP($W30,feed_mix_n,MATCH(AH$5,feed_mix_w!$B$5:$AC$5,0),FALSE)/$Z30*VLOOKUP(AH$5,feed_intensity_w,11,FALSE)</f>
        <v>1.600715387285712E-2</v>
      </c>
      <c r="AI30" s="933">
        <f>VLOOKUP($W30,feed_mix_n,MATCH(AI$5,feed_mix_w!$B$5:$AC$5,0),FALSE)/$Z30*VLOOKUP(AI$5,feed_intensity_w,11,FALSE)</f>
        <v>0</v>
      </c>
      <c r="AJ30" s="933">
        <f>VLOOKUP($W30,feed_mix_n,MATCH(AJ$5,feed_mix_w!$B$5:$AC$5,0),FALSE)/$Z30*VLOOKUP(AJ$5,feed_intensity_w,11,FALSE)</f>
        <v>0</v>
      </c>
      <c r="AK30" s="933">
        <f>VLOOKUP($W30,feed_mix_n,MATCH(AK$5,feed_mix_w!$B$5:$AC$5,0),FALSE)/$Z30*VLOOKUP(AK$5,feed_intensity_w,11,FALSE)</f>
        <v>0</v>
      </c>
      <c r="AL30" s="933">
        <f>VLOOKUP($W30,feed_mix_n,MATCH(AL$5,feed_mix_w!$B$5:$AC$5,0),FALSE)/$Z30*VLOOKUP(AL$5,feed_intensity_w,11,FALSE)</f>
        <v>0</v>
      </c>
      <c r="AM30" s="933">
        <f>VLOOKUP($W30,feed_mix_n,MATCH(AM$5,feed_mix_w!$B$5:$AC$5,0),FALSE)/$Z30*VLOOKUP(AM$5,feed_intensity_w,11,FALSE)</f>
        <v>1.1687511119646865E-2</v>
      </c>
      <c r="AN30" s="933">
        <f>VLOOKUP($W30,feed_mix_n,MATCH(AN$5,feed_mix_w!$B$5:$AC$5,0),FALSE)/$Z30*VLOOKUP(AN$5,feed_intensity_w,11,FALSE)</f>
        <v>0</v>
      </c>
      <c r="AO30" s="933">
        <f>VLOOKUP($W30,feed_mix_n,MATCH(AO$5,feed_mix_w!$B$5:$AC$5,0),FALSE)/$Z30*VLOOKUP(AO$5,feed_intensity_w,11,FALSE)</f>
        <v>0</v>
      </c>
      <c r="AP30" s="933">
        <f>VLOOKUP($W30,feed_mix_n,MATCH(AP$5,feed_mix_w!$B$5:$AC$5,0),FALSE)/$Z30*VLOOKUP(AP$5,feed_intensity_w,11,FALSE)</f>
        <v>0</v>
      </c>
      <c r="AQ30" s="933">
        <f>VLOOKUP($W30,feed_mix_n,MATCH(AQ$5,feed_mix_w!$B$5:$AC$5,0),FALSE)/$Z30*VLOOKUP(AQ$5,feed_intensity_w,11,FALSE)</f>
        <v>0</v>
      </c>
      <c r="AR30" s="933">
        <f>VLOOKUP($W30,feed_mix_n,MATCH(AR$5,feed_mix_w!$B$5:$AC$5,0),FALSE)/$Z30*VLOOKUP(AR$5,feed_intensity_w,11,FALSE)</f>
        <v>1.5603226298048199E-2</v>
      </c>
      <c r="AS30" s="1105">
        <f>VLOOKUP($W30,feed_mix_n,MATCH(AS$5,feed_mix_w!$B$5:$AC$5,0),FALSE)/$Z30*VLOOKUP(AS$5,feed_intensity_w,11,FALSE)</f>
        <v>0</v>
      </c>
    </row>
    <row r="31" spans="1:45" ht="12">
      <c r="A31" s="1008" t="s">
        <v>7355</v>
      </c>
      <c r="B31" s="1102">
        <v>894</v>
      </c>
      <c r="C31" s="1103" t="s">
        <v>1639</v>
      </c>
      <c r="D31" s="1158">
        <v>6257</v>
      </c>
      <c r="E31" s="1158">
        <v>19272</v>
      </c>
      <c r="F31" s="1012">
        <f t="shared" si="0"/>
        <v>6257</v>
      </c>
      <c r="G31" s="1012">
        <f t="shared" si="1"/>
        <v>19272</v>
      </c>
      <c r="H31" s="933">
        <f t="shared" si="2"/>
        <v>0.47167122831171465</v>
      </c>
      <c r="I31" s="1486">
        <f t="shared" si="3"/>
        <v>2951.2468755463988</v>
      </c>
      <c r="J31" s="1006">
        <f>IFERROR(G31*VLOOKUP(W31,livestock_intensity!$B$7:$I$29,8,FALSE)/Z31,0)</f>
        <v>8268.2304366897679</v>
      </c>
      <c r="K31" s="933">
        <f>VLOOKUP($W31,feed_mix_n,MATCH(K$5,feed_mix_w!$B$5:$AC$5,0),FALSE)/$Z31*VLOOKUP(K$5,feed_intensity_w,11,FALSE)</f>
        <v>0</v>
      </c>
      <c r="L31" s="1486">
        <f t="shared" si="4"/>
        <v>0</v>
      </c>
      <c r="M31" s="1447">
        <f>IFERROR(G31*VLOOKUP(W31,livestock_intensity!$B$7:$M$29,12,FALSE)/Z31,0)</f>
        <v>0</v>
      </c>
      <c r="N31" s="933">
        <f>VLOOKUP($W31,feed_mix_n,MATCH(N$5,feed_mix_w!$B$5:$AC$5,0),FALSE)/$Z31*VLOOKUP(N$5,feed_intensity_w,11,FALSE)</f>
        <v>0.89444076093748193</v>
      </c>
      <c r="O31" s="1486">
        <f t="shared" si="5"/>
        <v>5596.5158411858247</v>
      </c>
      <c r="P31" s="939">
        <f>IFERROR(G31*VLOOKUP(W31,livestock_intensity!$B$7:$Q$29,16,FALSE)/Z31,0)</f>
        <v>7661.2128016850511</v>
      </c>
      <c r="Q31" s="1530"/>
      <c r="R31" s="900">
        <f t="shared" si="6"/>
        <v>8547.7627167322244</v>
      </c>
      <c r="S31" s="900">
        <f t="shared" si="7"/>
        <v>15929.443238374819</v>
      </c>
      <c r="T31" s="1483" t="s">
        <v>2862</v>
      </c>
      <c r="U31" s="1211" t="s">
        <v>2921</v>
      </c>
      <c r="V31" s="1212" t="str">
        <f>IFERROR(VLOOKUP(W31,constant_ag_extr!$D$7:$E$594,2,FALSE),"")</f>
        <v>Cow milk, whole, fresh</v>
      </c>
      <c r="W31" s="1213">
        <f t="shared" si="8"/>
        <v>882</v>
      </c>
      <c r="X31" s="1099">
        <f>IFERROR(IF(VLOOKUP(B31,cnst_grazing!$C$10:$H$25,5,FALSE)="", IF(VLOOKUP(B31, cnst_grazing!$C$10:$H$25,3,FALSE)="", VLOOKUP(B31, cnst_grazing!$C$10:$H$25,4,FALSE),VLOOKUP(B31, cnst_grazing!$C$10:$H$25,3,FALSE)), VLOOKUP(B31,cnst_grazing!$C$10:$H$25,5,FALSE)),1)</f>
        <v>1</v>
      </c>
      <c r="Y31" s="1099">
        <f>IFERROR(IF(VLOOKUP(B31,cnst_grazing!$C$10:$H$25,6,FALSE)="", IF(VLOOKUP(B31, cnst_grazing!$C$10:$H$25,4,FALSE)="", VLOOKUP(B31, cnst_grazing!$C$10:$H$25,3,FALSE),VLOOKUP(B31, cnst_grazing!$C$10:$H$25,4,FALSE)), VLOOKUP(B31,cnst_grazing!$C$10:$H$25,6,FALSE)),1)</f>
        <v>1</v>
      </c>
      <c r="Z31" s="937">
        <f t="shared" si="9"/>
        <v>0.4</v>
      </c>
      <c r="AA31" s="933">
        <f t="shared" si="10"/>
        <v>1.3661119892491966</v>
      </c>
      <c r="AB31" s="933">
        <f>VLOOKUP($W31,feed_mix_n,MATCH(AB$5,feed_mix_w!$B$5:$AC$5,0),FALSE)/$Z31*VLOOKUP(AB$5,feed_intensity_w,11,FALSE)</f>
        <v>0.10442379840225102</v>
      </c>
      <c r="AC31" s="933">
        <f>VLOOKUP($W31,feed_mix_n,MATCH(AC$5,feed_mix_w!$B$5:$AC$5,0),FALSE)/$Z31*VLOOKUP(AC$5,feed_intensity_w,11,FALSE)</f>
        <v>0.1093889288086304</v>
      </c>
      <c r="AD31" s="933">
        <f>VLOOKUP($W31,feed_mix_n,MATCH(AD$5,feed_mix_w!$B$5:$AC$5,0),FALSE)/$Z31*VLOOKUP(AD$5,feed_intensity_w,11,FALSE)</f>
        <v>0</v>
      </c>
      <c r="AE31" s="933">
        <f>VLOOKUP($W31,feed_mix_n,MATCH(AE$5,feed_mix_w!$B$5:$AC$5,0),FALSE)/$Z31*VLOOKUP(AE$5,feed_intensity_w,11,FALSE)</f>
        <v>0.10389294574182803</v>
      </c>
      <c r="AF31" s="933">
        <f>VLOOKUP($W31,feed_mix_n,MATCH(AF$5,feed_mix_w!$B$5:$AC$5,0),FALSE)/$Z31*VLOOKUP(AF$5,feed_intensity_w,11,FALSE)</f>
        <v>4.1557178296731202E-2</v>
      </c>
      <c r="AG31" s="933">
        <f>VLOOKUP($W31,feed_mix_n,MATCH(AG$5,feed_mix_w!$B$5:$AC$5,0),FALSE)/$Z31*VLOOKUP(AG$5,feed_intensity_w,11,FALSE)</f>
        <v>0</v>
      </c>
      <c r="AH31" s="933">
        <f>VLOOKUP($W31,feed_mix_n,MATCH(AH$5,feed_mix_w!$B$5:$AC$5,0),FALSE)/$Z31*VLOOKUP(AH$5,feed_intensity_w,11,FALSE)</f>
        <v>4.1557178296731202E-2</v>
      </c>
      <c r="AI31" s="933">
        <f>VLOOKUP($W31,feed_mix_n,MATCH(AI$5,feed_mix_w!$B$5:$AC$5,0),FALSE)/$Z31*VLOOKUP(AI$5,feed_intensity_w,11,FALSE)</f>
        <v>0</v>
      </c>
      <c r="AJ31" s="933">
        <f>VLOOKUP($W31,feed_mix_n,MATCH(AJ$5,feed_mix_w!$B$5:$AC$5,0),FALSE)/$Z31*VLOOKUP(AJ$5,feed_intensity_w,11,FALSE)</f>
        <v>0</v>
      </c>
      <c r="AK31" s="933">
        <f>VLOOKUP($W31,feed_mix_n,MATCH(AK$5,feed_mix_w!$B$5:$AC$5,0),FALSE)/$Z31*VLOOKUP(AK$5,feed_intensity_w,11,FALSE)</f>
        <v>0</v>
      </c>
      <c r="AL31" s="933">
        <f>VLOOKUP($W31,feed_mix_n,MATCH(AL$5,feed_mix_w!$B$5:$AC$5,0),FALSE)/$Z31*VLOOKUP(AL$5,feed_intensity_w,11,FALSE)</f>
        <v>0</v>
      </c>
      <c r="AM31" s="933">
        <f>VLOOKUP($W31,feed_mix_n,MATCH(AM$5,feed_mix_w!$B$5:$AC$5,0),FALSE)/$Z31*VLOOKUP(AM$5,feed_intensity_w,11,FALSE)</f>
        <v>3.0342682234583942E-2</v>
      </c>
      <c r="AN31" s="933">
        <f>VLOOKUP($W31,feed_mix_n,MATCH(AN$5,feed_mix_w!$B$5:$AC$5,0),FALSE)/$Z31*VLOOKUP(AN$5,feed_intensity_w,11,FALSE)</f>
        <v>0</v>
      </c>
      <c r="AO31" s="933">
        <f>VLOOKUP($W31,feed_mix_n,MATCH(AO$5,feed_mix_w!$B$5:$AC$5,0),FALSE)/$Z31*VLOOKUP(AO$5,feed_intensity_w,11,FALSE)</f>
        <v>0</v>
      </c>
      <c r="AP31" s="933">
        <f>VLOOKUP($W31,feed_mix_n,MATCH(AP$5,feed_mix_w!$B$5:$AC$5,0),FALSE)/$Z31*VLOOKUP(AP$5,feed_intensity_w,11,FALSE)</f>
        <v>0</v>
      </c>
      <c r="AQ31" s="933">
        <f>VLOOKUP($W31,feed_mix_n,MATCH(AQ$5,feed_mix_w!$B$5:$AC$5,0),FALSE)/$Z31*VLOOKUP(AQ$5,feed_intensity_w,11,FALSE)</f>
        <v>0</v>
      </c>
      <c r="AR31" s="933">
        <f>VLOOKUP($W31,feed_mix_n,MATCH(AR$5,feed_mix_w!$B$5:$AC$5,0),FALSE)/$Z31*VLOOKUP(AR$5,feed_intensity_w,11,FALSE)</f>
        <v>4.0508516530958827E-2</v>
      </c>
      <c r="AS31" s="1105">
        <f>VLOOKUP($W31,feed_mix_n,MATCH(AS$5,feed_mix_w!$B$5:$AC$5,0),FALSE)/$Z31*VLOOKUP(AS$5,feed_intensity_w,11,FALSE)</f>
        <v>0</v>
      </c>
    </row>
    <row r="32" spans="1:45" ht="12">
      <c r="A32" s="1008" t="s">
        <v>4067</v>
      </c>
      <c r="B32" s="1102">
        <v>895</v>
      </c>
      <c r="C32" s="1103" t="s">
        <v>1635</v>
      </c>
      <c r="D32" s="1158"/>
      <c r="E32" s="1158"/>
      <c r="F32" s="1012">
        <f t="shared" si="0"/>
        <v>0</v>
      </c>
      <c r="G32" s="1012">
        <f t="shared" si="1"/>
        <v>0</v>
      </c>
      <c r="H32" s="933">
        <f t="shared" si="2"/>
        <v>0.29331362861716292</v>
      </c>
      <c r="I32" s="1486">
        <f t="shared" si="3"/>
        <v>0</v>
      </c>
      <c r="J32" s="1006">
        <f>IFERROR(G32*VLOOKUP(W32,livestock_intensity!$B$7:$I$29,8,FALSE)/Z32,0)</f>
        <v>0</v>
      </c>
      <c r="K32" s="933">
        <f>VLOOKUP($W32,feed_mix_n,MATCH(K$5,feed_mix_w!$B$5:$AC$5,0),FALSE)/$Z32*VLOOKUP(K$5,feed_intensity_w,11,FALSE)</f>
        <v>0</v>
      </c>
      <c r="L32" s="1486">
        <f t="shared" si="4"/>
        <v>0</v>
      </c>
      <c r="M32" s="1447">
        <f>IFERROR(G32*VLOOKUP(W32,livestock_intensity!$B$7:$M$29,12,FALSE)/Z32,0)</f>
        <v>0</v>
      </c>
      <c r="N32" s="933">
        <f>VLOOKUP($W32,feed_mix_n,MATCH(N$5,feed_mix_w!$B$5:$AC$5,0),FALSE)/$Z32*VLOOKUP(N$5,feed_intensity_w,11,FALSE)</f>
        <v>0.55621723231396281</v>
      </c>
      <c r="O32" s="1486">
        <f t="shared" si="5"/>
        <v>0</v>
      </c>
      <c r="P32" s="939">
        <f>IFERROR(G32*VLOOKUP(W32,livestock_intensity!$B$7:$Q$29,16,FALSE)/Z32,0)</f>
        <v>0</v>
      </c>
      <c r="Q32" s="1530"/>
      <c r="R32" s="900">
        <f t="shared" si="6"/>
        <v>0</v>
      </c>
      <c r="S32" s="900">
        <f t="shared" si="7"/>
        <v>0</v>
      </c>
      <c r="T32" s="1483" t="s">
        <v>2862</v>
      </c>
      <c r="U32" s="1211" t="s">
        <v>2921</v>
      </c>
      <c r="V32" s="1212" t="str">
        <f>IFERROR(VLOOKUP(W32,constant_ag_extr!$D$7:$E$594,2,FALSE),"")</f>
        <v>Cow milk, whole, fresh</v>
      </c>
      <c r="W32" s="1213">
        <f t="shared" si="8"/>
        <v>882</v>
      </c>
      <c r="X32" s="1099">
        <f>IFERROR(IF(VLOOKUP(B32,cnst_grazing!$C$10:$H$25,5,FALSE)="", IF(VLOOKUP(B32, cnst_grazing!$C$10:$H$25,3,FALSE)="", VLOOKUP(B32, cnst_grazing!$C$10:$H$25,4,FALSE),VLOOKUP(B32, cnst_grazing!$C$10:$H$25,3,FALSE)), VLOOKUP(B32,cnst_grazing!$C$10:$H$25,5,FALSE)),1)</f>
        <v>1</v>
      </c>
      <c r="Y32" s="1099">
        <f>IFERROR(IF(VLOOKUP(B32,cnst_grazing!$C$10:$H$25,6,FALSE)="", IF(VLOOKUP(B32, cnst_grazing!$C$10:$H$25,4,FALSE)="", VLOOKUP(B32, cnst_grazing!$C$10:$H$25,3,FALSE),VLOOKUP(B32, cnst_grazing!$C$10:$H$25,4,FALSE)), VLOOKUP(B32,cnst_grazing!$C$10:$H$25,6,FALSE)),1)</f>
        <v>1</v>
      </c>
      <c r="Z32" s="937">
        <f t="shared" si="9"/>
        <v>0.64323124777450635</v>
      </c>
      <c r="AA32" s="933">
        <f t="shared" si="10"/>
        <v>0.84953086093112573</v>
      </c>
      <c r="AB32" s="933">
        <f>VLOOKUP($W32,feed_mix_n,MATCH(AB$5,feed_mix_w!$B$5:$AC$5,0),FALSE)/$Z32*VLOOKUP(AB$5,feed_intensity_w,11,FALSE)</f>
        <v>6.4937018382451611E-2</v>
      </c>
      <c r="AC32" s="933">
        <f>VLOOKUP($W32,feed_mix_n,MATCH(AC$5,feed_mix_w!$B$5:$AC$5,0),FALSE)/$Z32*VLOOKUP(AC$5,feed_intensity_w,11,FALSE)</f>
        <v>6.8024636046275053E-2</v>
      </c>
      <c r="AD32" s="933">
        <f>VLOOKUP($W32,feed_mix_n,MATCH(AD$5,feed_mix_w!$B$5:$AC$5,0),FALSE)/$Z32*VLOOKUP(AD$5,feed_intensity_w,11,FALSE)</f>
        <v>0</v>
      </c>
      <c r="AE32" s="933">
        <f>VLOOKUP($W32,feed_mix_n,MATCH(AE$5,feed_mix_w!$B$5:$AC$5,0),FALSE)/$Z32*VLOOKUP(AE$5,feed_intensity_w,11,FALSE)</f>
        <v>6.4606902168564517E-2</v>
      </c>
      <c r="AF32" s="933">
        <f>VLOOKUP($W32,feed_mix_n,MATCH(AF$5,feed_mix_w!$B$5:$AC$5,0),FALSE)/$Z32*VLOOKUP(AF$5,feed_intensity_w,11,FALSE)</f>
        <v>2.5842760867425804E-2</v>
      </c>
      <c r="AG32" s="933">
        <f>VLOOKUP($W32,feed_mix_n,MATCH(AG$5,feed_mix_w!$B$5:$AC$5,0),FALSE)/$Z32*VLOOKUP(AG$5,feed_intensity_w,11,FALSE)</f>
        <v>0</v>
      </c>
      <c r="AH32" s="933">
        <f>VLOOKUP($W32,feed_mix_n,MATCH(AH$5,feed_mix_w!$B$5:$AC$5,0),FALSE)/$Z32*VLOOKUP(AH$5,feed_intensity_w,11,FALSE)</f>
        <v>2.5842760867425804E-2</v>
      </c>
      <c r="AI32" s="933">
        <f>VLOOKUP($W32,feed_mix_n,MATCH(AI$5,feed_mix_w!$B$5:$AC$5,0),FALSE)/$Z32*VLOOKUP(AI$5,feed_intensity_w,11,FALSE)</f>
        <v>0</v>
      </c>
      <c r="AJ32" s="933">
        <f>VLOOKUP($W32,feed_mix_n,MATCH(AJ$5,feed_mix_w!$B$5:$AC$5,0),FALSE)/$Z32*VLOOKUP(AJ$5,feed_intensity_w,11,FALSE)</f>
        <v>0</v>
      </c>
      <c r="AK32" s="933">
        <f>VLOOKUP($W32,feed_mix_n,MATCH(AK$5,feed_mix_w!$B$5:$AC$5,0),FALSE)/$Z32*VLOOKUP(AK$5,feed_intensity_w,11,FALSE)</f>
        <v>0</v>
      </c>
      <c r="AL32" s="933">
        <f>VLOOKUP($W32,feed_mix_n,MATCH(AL$5,feed_mix_w!$B$5:$AC$5,0),FALSE)/$Z32*VLOOKUP(AL$5,feed_intensity_w,11,FALSE)</f>
        <v>0</v>
      </c>
      <c r="AM32" s="933">
        <f>VLOOKUP($W32,feed_mix_n,MATCH(AM$5,feed_mix_w!$B$5:$AC$5,0),FALSE)/$Z32*VLOOKUP(AM$5,feed_intensity_w,11,FALSE)</f>
        <v>1.886891057582513E-2</v>
      </c>
      <c r="AN32" s="933">
        <f>VLOOKUP($W32,feed_mix_n,MATCH(AN$5,feed_mix_w!$B$5:$AC$5,0),FALSE)/$Z32*VLOOKUP(AN$5,feed_intensity_w,11,FALSE)</f>
        <v>0</v>
      </c>
      <c r="AO32" s="933">
        <f>VLOOKUP($W32,feed_mix_n,MATCH(AO$5,feed_mix_w!$B$5:$AC$5,0),FALSE)/$Z32*VLOOKUP(AO$5,feed_intensity_w,11,FALSE)</f>
        <v>0</v>
      </c>
      <c r="AP32" s="933">
        <f>VLOOKUP($W32,feed_mix_n,MATCH(AP$5,feed_mix_w!$B$5:$AC$5,0),FALSE)/$Z32*VLOOKUP(AP$5,feed_intensity_w,11,FALSE)</f>
        <v>0</v>
      </c>
      <c r="AQ32" s="933">
        <f>VLOOKUP($W32,feed_mix_n,MATCH(AQ$5,feed_mix_w!$B$5:$AC$5,0),FALSE)/$Z32*VLOOKUP(AQ$5,feed_intensity_w,11,FALSE)</f>
        <v>0</v>
      </c>
      <c r="AR32" s="933">
        <f>VLOOKUP($W32,feed_mix_n,MATCH(AR$5,feed_mix_w!$B$5:$AC$5,0),FALSE)/$Z32*VLOOKUP(AR$5,feed_intensity_w,11,FALSE)</f>
        <v>2.5190639709195009E-2</v>
      </c>
      <c r="AS32" s="1105">
        <f>VLOOKUP($W32,feed_mix_n,MATCH(AS$5,feed_mix_w!$B$5:$AC$5,0),FALSE)/$Z32*VLOOKUP(AS$5,feed_intensity_w,11,FALSE)</f>
        <v>0</v>
      </c>
    </row>
    <row r="33" spans="1:45" ht="12">
      <c r="A33" s="1008" t="s">
        <v>3328</v>
      </c>
      <c r="B33" s="1102">
        <v>896</v>
      </c>
      <c r="C33" s="1103" t="s">
        <v>1633</v>
      </c>
      <c r="D33" s="1158"/>
      <c r="E33" s="1158"/>
      <c r="F33" s="1012">
        <f t="shared" si="0"/>
        <v>0</v>
      </c>
      <c r="G33" s="1012">
        <f t="shared" si="1"/>
        <v>0</v>
      </c>
      <c r="H33" s="933">
        <f t="shared" si="2"/>
        <v>0.32590403179684774</v>
      </c>
      <c r="I33" s="1486">
        <f t="shared" si="3"/>
        <v>0</v>
      </c>
      <c r="J33" s="1006">
        <f>IFERROR(G33*VLOOKUP(W33,livestock_intensity!$B$7:$I$29,8,FALSE)/Z33,0)</f>
        <v>0</v>
      </c>
      <c r="K33" s="933">
        <f>VLOOKUP($W33,feed_mix_n,MATCH(K$5,feed_mix_w!$B$5:$AC$5,0),FALSE)/$Z33*VLOOKUP(K$5,feed_intensity_w,11,FALSE)</f>
        <v>0</v>
      </c>
      <c r="L33" s="1486">
        <f t="shared" si="4"/>
        <v>0</v>
      </c>
      <c r="M33" s="1447">
        <f>IFERROR(G33*VLOOKUP(W33,livestock_intensity!$B$7:$M$29,12,FALSE)/Z33,0)</f>
        <v>0</v>
      </c>
      <c r="N33" s="933">
        <f>VLOOKUP($W33,feed_mix_n,MATCH(N$5,feed_mix_w!$B$5:$AC$5,0),FALSE)/$Z33*VLOOKUP(N$5,feed_intensity_w,11,FALSE)</f>
        <v>0.6180191470155143</v>
      </c>
      <c r="O33" s="1486">
        <f t="shared" si="5"/>
        <v>0</v>
      </c>
      <c r="P33" s="939">
        <f>IFERROR(G33*VLOOKUP(W33,livestock_intensity!$B$7:$Q$29,16,FALSE)/Z33,0)</f>
        <v>0</v>
      </c>
      <c r="Q33" s="1530"/>
      <c r="R33" s="900">
        <f t="shared" si="6"/>
        <v>0</v>
      </c>
      <c r="S33" s="900">
        <f t="shared" si="7"/>
        <v>0</v>
      </c>
      <c r="T33" s="1483" t="s">
        <v>2862</v>
      </c>
      <c r="U33" s="1211" t="s">
        <v>2921</v>
      </c>
      <c r="V33" s="1212" t="str">
        <f>IFERROR(VLOOKUP(W33,constant_ag_extr!$D$7:$E$594,2,FALSE),"")</f>
        <v>Cow milk, whole, fresh</v>
      </c>
      <c r="W33" s="1213">
        <f t="shared" si="8"/>
        <v>882</v>
      </c>
      <c r="X33" s="1099">
        <f>IFERROR(IF(VLOOKUP(B33,cnst_grazing!$C$10:$H$25,5,FALSE)="", IF(VLOOKUP(B33, cnst_grazing!$C$10:$H$25,3,FALSE)="", VLOOKUP(B33, cnst_grazing!$C$10:$H$25,4,FALSE),VLOOKUP(B33, cnst_grazing!$C$10:$H$25,3,FALSE)), VLOOKUP(B33,cnst_grazing!$C$10:$H$25,5,FALSE)),1)</f>
        <v>1</v>
      </c>
      <c r="Y33" s="1099">
        <f>IFERROR(IF(VLOOKUP(B33,cnst_grazing!$C$10:$H$25,6,FALSE)="", IF(VLOOKUP(B33, cnst_grazing!$C$10:$H$25,4,FALSE)="", VLOOKUP(B33, cnst_grazing!$C$10:$H$25,3,FALSE),VLOOKUP(B33, cnst_grazing!$C$10:$H$25,4,FALSE)), VLOOKUP(B33,cnst_grazing!$C$10:$H$25,6,FALSE)),1)</f>
        <v>1</v>
      </c>
      <c r="Z33" s="937">
        <f t="shared" si="9"/>
        <v>0.57890812299705563</v>
      </c>
      <c r="AA33" s="933">
        <f t="shared" si="10"/>
        <v>0.9439231788123621</v>
      </c>
      <c r="AB33" s="933">
        <f>VLOOKUP($W33,feed_mix_n,MATCH(AB$5,feed_mix_w!$B$5:$AC$5,0),FALSE)/$Z33*VLOOKUP(AB$5,feed_intensity_w,11,FALSE)</f>
        <v>7.2152242647168463E-2</v>
      </c>
      <c r="AC33" s="933">
        <f>VLOOKUP($W33,feed_mix_n,MATCH(AC$5,feed_mix_w!$B$5:$AC$5,0),FALSE)/$Z33*VLOOKUP(AC$5,feed_intensity_w,11,FALSE)</f>
        <v>7.5582928940305619E-2</v>
      </c>
      <c r="AD33" s="933">
        <f>VLOOKUP($W33,feed_mix_n,MATCH(AD$5,feed_mix_w!$B$5:$AC$5,0),FALSE)/$Z33*VLOOKUP(AD$5,feed_intensity_w,11,FALSE)</f>
        <v>0</v>
      </c>
      <c r="AE33" s="933">
        <f>VLOOKUP($W33,feed_mix_n,MATCH(AE$5,feed_mix_w!$B$5:$AC$5,0),FALSE)/$Z33*VLOOKUP(AE$5,feed_intensity_w,11,FALSE)</f>
        <v>7.1785446853960572E-2</v>
      </c>
      <c r="AF33" s="933">
        <f>VLOOKUP($W33,feed_mix_n,MATCH(AF$5,feed_mix_w!$B$5:$AC$5,0),FALSE)/$Z33*VLOOKUP(AF$5,feed_intensity_w,11,FALSE)</f>
        <v>2.8714178741584231E-2</v>
      </c>
      <c r="AG33" s="933">
        <f>VLOOKUP($W33,feed_mix_n,MATCH(AG$5,feed_mix_w!$B$5:$AC$5,0),FALSE)/$Z33*VLOOKUP(AG$5,feed_intensity_w,11,FALSE)</f>
        <v>0</v>
      </c>
      <c r="AH33" s="933">
        <f>VLOOKUP($W33,feed_mix_n,MATCH(AH$5,feed_mix_w!$B$5:$AC$5,0),FALSE)/$Z33*VLOOKUP(AH$5,feed_intensity_w,11,FALSE)</f>
        <v>2.8714178741584231E-2</v>
      </c>
      <c r="AI33" s="933">
        <f>VLOOKUP($W33,feed_mix_n,MATCH(AI$5,feed_mix_w!$B$5:$AC$5,0),FALSE)/$Z33*VLOOKUP(AI$5,feed_intensity_w,11,FALSE)</f>
        <v>0</v>
      </c>
      <c r="AJ33" s="933">
        <f>VLOOKUP($W33,feed_mix_n,MATCH(AJ$5,feed_mix_w!$B$5:$AC$5,0),FALSE)/$Z33*VLOOKUP(AJ$5,feed_intensity_w,11,FALSE)</f>
        <v>0</v>
      </c>
      <c r="AK33" s="933">
        <f>VLOOKUP($W33,feed_mix_n,MATCH(AK$5,feed_mix_w!$B$5:$AC$5,0),FALSE)/$Z33*VLOOKUP(AK$5,feed_intensity_w,11,FALSE)</f>
        <v>0</v>
      </c>
      <c r="AL33" s="933">
        <f>VLOOKUP($W33,feed_mix_n,MATCH(AL$5,feed_mix_w!$B$5:$AC$5,0),FALSE)/$Z33*VLOOKUP(AL$5,feed_intensity_w,11,FALSE)</f>
        <v>0</v>
      </c>
      <c r="AM33" s="933">
        <f>VLOOKUP($W33,feed_mix_n,MATCH(AM$5,feed_mix_w!$B$5:$AC$5,0),FALSE)/$Z33*VLOOKUP(AM$5,feed_intensity_w,11,FALSE)</f>
        <v>2.0965456195361259E-2</v>
      </c>
      <c r="AN33" s="933">
        <f>VLOOKUP($W33,feed_mix_n,MATCH(AN$5,feed_mix_w!$B$5:$AC$5,0),FALSE)/$Z33*VLOOKUP(AN$5,feed_intensity_w,11,FALSE)</f>
        <v>0</v>
      </c>
      <c r="AO33" s="933">
        <f>VLOOKUP($W33,feed_mix_n,MATCH(AO$5,feed_mix_w!$B$5:$AC$5,0),FALSE)/$Z33*VLOOKUP(AO$5,feed_intensity_w,11,FALSE)</f>
        <v>0</v>
      </c>
      <c r="AP33" s="933">
        <f>VLOOKUP($W33,feed_mix_n,MATCH(AP$5,feed_mix_w!$B$5:$AC$5,0),FALSE)/$Z33*VLOOKUP(AP$5,feed_intensity_w,11,FALSE)</f>
        <v>0</v>
      </c>
      <c r="AQ33" s="933">
        <f>VLOOKUP($W33,feed_mix_n,MATCH(AQ$5,feed_mix_w!$B$5:$AC$5,0),FALSE)/$Z33*VLOOKUP(AQ$5,feed_intensity_w,11,FALSE)</f>
        <v>0</v>
      </c>
      <c r="AR33" s="933">
        <f>VLOOKUP($W33,feed_mix_n,MATCH(AR$5,feed_mix_w!$B$5:$AC$5,0),FALSE)/$Z33*VLOOKUP(AR$5,feed_intensity_w,11,FALSE)</f>
        <v>2.7989599676883345E-2</v>
      </c>
      <c r="AS33" s="1105">
        <f>VLOOKUP($W33,feed_mix_n,MATCH(AS$5,feed_mix_w!$B$5:$AC$5,0),FALSE)/$Z33*VLOOKUP(AS$5,feed_intensity_w,11,FALSE)</f>
        <v>0</v>
      </c>
    </row>
    <row r="34" spans="1:45" ht="12">
      <c r="A34" s="1008" t="s">
        <v>7356</v>
      </c>
      <c r="B34" s="1102">
        <v>897</v>
      </c>
      <c r="C34" s="1103" t="s">
        <v>1638</v>
      </c>
      <c r="D34" s="1158">
        <v>8148</v>
      </c>
      <c r="E34" s="1158">
        <v>39767</v>
      </c>
      <c r="F34" s="1012">
        <f t="shared" si="0"/>
        <v>8148</v>
      </c>
      <c r="G34" s="1012">
        <f t="shared" si="1"/>
        <v>39767</v>
      </c>
      <c r="H34" s="933">
        <f t="shared" si="2"/>
        <v>1.2577899421645724</v>
      </c>
      <c r="I34" s="1486">
        <f t="shared" si="3"/>
        <v>10248.472448756937</v>
      </c>
      <c r="J34" s="1006">
        <f>IFERROR(G34*VLOOKUP(W34,livestock_intensity!$B$7:$I$29,8,FALSE)/Z34,0)</f>
        <v>45496.432790347586</v>
      </c>
      <c r="K34" s="933">
        <f>VLOOKUP($W34,feed_mix_n,MATCH(K$5,feed_mix_w!$B$5:$AC$5,0),FALSE)/$Z34*VLOOKUP(K$5,feed_intensity_w,11,FALSE)</f>
        <v>0</v>
      </c>
      <c r="L34" s="1486">
        <f t="shared" si="4"/>
        <v>0</v>
      </c>
      <c r="M34" s="1447">
        <f>IFERROR(G34*VLOOKUP(W34,livestock_intensity!$B$7:$M$29,12,FALSE)/Z34,0)</f>
        <v>0</v>
      </c>
      <c r="N34" s="933">
        <f>VLOOKUP($W34,feed_mix_n,MATCH(N$5,feed_mix_w!$B$5:$AC$5,0),FALSE)/$Z34*VLOOKUP(N$5,feed_intensity_w,11,FALSE)</f>
        <v>2.3851753624999521</v>
      </c>
      <c r="O34" s="1486">
        <f t="shared" si="5"/>
        <v>19434.408853649609</v>
      </c>
      <c r="P34" s="939">
        <f>IFERROR(G34*VLOOKUP(W34,livestock_intensity!$B$7:$Q$29,16,FALSE)/Z34,0)</f>
        <v>42156.281926748226</v>
      </c>
      <c r="Q34" s="1530"/>
      <c r="R34" s="900">
        <f t="shared" si="6"/>
        <v>29682.881302406546</v>
      </c>
      <c r="S34" s="900">
        <f t="shared" si="7"/>
        <v>87652.714717095805</v>
      </c>
      <c r="T34" s="1483" t="s">
        <v>2862</v>
      </c>
      <c r="U34" s="1211" t="s">
        <v>2921</v>
      </c>
      <c r="V34" s="1212" t="str">
        <f>IFERROR(VLOOKUP(W34,constant_ag_extr!$D$7:$E$594,2,FALSE),"")</f>
        <v>Cow milk, whole, fresh</v>
      </c>
      <c r="W34" s="1213">
        <f t="shared" si="8"/>
        <v>882</v>
      </c>
      <c r="X34" s="1099">
        <f>IFERROR(IF(VLOOKUP(B34,cnst_grazing!$C$10:$H$25,5,FALSE)="", IF(VLOOKUP(B34, cnst_grazing!$C$10:$H$25,3,FALSE)="", VLOOKUP(B34, cnst_grazing!$C$10:$H$25,4,FALSE),VLOOKUP(B34, cnst_grazing!$C$10:$H$25,3,FALSE)), VLOOKUP(B34,cnst_grazing!$C$10:$H$25,5,FALSE)),1)</f>
        <v>1</v>
      </c>
      <c r="Y34" s="1099">
        <f>IFERROR(IF(VLOOKUP(B34,cnst_grazing!$C$10:$H$25,6,FALSE)="", IF(VLOOKUP(B34, cnst_grazing!$C$10:$H$25,4,FALSE)="", VLOOKUP(B34, cnst_grazing!$C$10:$H$25,3,FALSE),VLOOKUP(B34, cnst_grazing!$C$10:$H$25,4,FALSE)), VLOOKUP(B34,cnst_grazing!$C$10:$H$25,6,FALSE)),1)</f>
        <v>1</v>
      </c>
      <c r="Z34" s="937">
        <f t="shared" si="9"/>
        <v>0.15</v>
      </c>
      <c r="AA34" s="933">
        <f t="shared" si="10"/>
        <v>3.6429653046645245</v>
      </c>
      <c r="AB34" s="933">
        <f>VLOOKUP($W34,feed_mix_n,MATCH(AB$5,feed_mix_w!$B$5:$AC$5,0),FALSE)/$Z34*VLOOKUP(AB$5,feed_intensity_w,11,FALSE)</f>
        <v>0.27846346240600273</v>
      </c>
      <c r="AC34" s="933">
        <f>VLOOKUP($W34,feed_mix_n,MATCH(AC$5,feed_mix_w!$B$5:$AC$5,0),FALSE)/$Z34*VLOOKUP(AC$5,feed_intensity_w,11,FALSE)</f>
        <v>0.29170381015634778</v>
      </c>
      <c r="AD34" s="933">
        <f>VLOOKUP($W34,feed_mix_n,MATCH(AD$5,feed_mix_w!$B$5:$AC$5,0),FALSE)/$Z34*VLOOKUP(AD$5,feed_intensity_w,11,FALSE)</f>
        <v>0</v>
      </c>
      <c r="AE34" s="933">
        <f>VLOOKUP($W34,feed_mix_n,MATCH(AE$5,feed_mix_w!$B$5:$AC$5,0),FALSE)/$Z34*VLOOKUP(AE$5,feed_intensity_w,11,FALSE)</f>
        <v>0.27704785531154141</v>
      </c>
      <c r="AF34" s="933">
        <f>VLOOKUP($W34,feed_mix_n,MATCH(AF$5,feed_mix_w!$B$5:$AC$5,0),FALSE)/$Z34*VLOOKUP(AF$5,feed_intensity_w,11,FALSE)</f>
        <v>0.11081914212461656</v>
      </c>
      <c r="AG34" s="933">
        <f>VLOOKUP($W34,feed_mix_n,MATCH(AG$5,feed_mix_w!$B$5:$AC$5,0),FALSE)/$Z34*VLOOKUP(AG$5,feed_intensity_w,11,FALSE)</f>
        <v>0</v>
      </c>
      <c r="AH34" s="933">
        <f>VLOOKUP($W34,feed_mix_n,MATCH(AH$5,feed_mix_w!$B$5:$AC$5,0),FALSE)/$Z34*VLOOKUP(AH$5,feed_intensity_w,11,FALSE)</f>
        <v>0.11081914212461656</v>
      </c>
      <c r="AI34" s="933">
        <f>VLOOKUP($W34,feed_mix_n,MATCH(AI$5,feed_mix_w!$B$5:$AC$5,0),FALSE)/$Z34*VLOOKUP(AI$5,feed_intensity_w,11,FALSE)</f>
        <v>0</v>
      </c>
      <c r="AJ34" s="933">
        <f>VLOOKUP($W34,feed_mix_n,MATCH(AJ$5,feed_mix_w!$B$5:$AC$5,0),FALSE)/$Z34*VLOOKUP(AJ$5,feed_intensity_w,11,FALSE)</f>
        <v>0</v>
      </c>
      <c r="AK34" s="933">
        <f>VLOOKUP($W34,feed_mix_n,MATCH(AK$5,feed_mix_w!$B$5:$AC$5,0),FALSE)/$Z34*VLOOKUP(AK$5,feed_intensity_w,11,FALSE)</f>
        <v>0</v>
      </c>
      <c r="AL34" s="933">
        <f>VLOOKUP($W34,feed_mix_n,MATCH(AL$5,feed_mix_w!$B$5:$AC$5,0),FALSE)/$Z34*VLOOKUP(AL$5,feed_intensity_w,11,FALSE)</f>
        <v>0</v>
      </c>
      <c r="AM34" s="933">
        <f>VLOOKUP($W34,feed_mix_n,MATCH(AM$5,feed_mix_w!$B$5:$AC$5,0),FALSE)/$Z34*VLOOKUP(AM$5,feed_intensity_w,11,FALSE)</f>
        <v>8.0913819292223854E-2</v>
      </c>
      <c r="AN34" s="933">
        <f>VLOOKUP($W34,feed_mix_n,MATCH(AN$5,feed_mix_w!$B$5:$AC$5,0),FALSE)/$Z34*VLOOKUP(AN$5,feed_intensity_w,11,FALSE)</f>
        <v>0</v>
      </c>
      <c r="AO34" s="933">
        <f>VLOOKUP($W34,feed_mix_n,MATCH(AO$5,feed_mix_w!$B$5:$AC$5,0),FALSE)/$Z34*VLOOKUP(AO$5,feed_intensity_w,11,FALSE)</f>
        <v>0</v>
      </c>
      <c r="AP34" s="933">
        <f>VLOOKUP($W34,feed_mix_n,MATCH(AP$5,feed_mix_w!$B$5:$AC$5,0),FALSE)/$Z34*VLOOKUP(AP$5,feed_intensity_w,11,FALSE)</f>
        <v>0</v>
      </c>
      <c r="AQ34" s="933">
        <f>VLOOKUP($W34,feed_mix_n,MATCH(AQ$5,feed_mix_w!$B$5:$AC$5,0),FALSE)/$Z34*VLOOKUP(AQ$5,feed_intensity_w,11,FALSE)</f>
        <v>0</v>
      </c>
      <c r="AR34" s="933">
        <f>VLOOKUP($W34,feed_mix_n,MATCH(AR$5,feed_mix_w!$B$5:$AC$5,0),FALSE)/$Z34*VLOOKUP(AR$5,feed_intensity_w,11,FALSE)</f>
        <v>0.10802271074922354</v>
      </c>
      <c r="AS34" s="1105">
        <f>VLOOKUP($W34,feed_mix_n,MATCH(AS$5,feed_mix_w!$B$5:$AC$5,0),FALSE)/$Z34*VLOOKUP(AS$5,feed_intensity_w,11,FALSE)</f>
        <v>0</v>
      </c>
    </row>
    <row r="35" spans="1:45" ht="12">
      <c r="A35" s="1008" t="s">
        <v>7357</v>
      </c>
      <c r="B35" s="1102">
        <v>898</v>
      </c>
      <c r="C35" s="1103" t="s">
        <v>1634</v>
      </c>
      <c r="D35" s="1158">
        <v>525</v>
      </c>
      <c r="E35" s="1158">
        <v>554773</v>
      </c>
      <c r="F35" s="1012">
        <f t="shared" si="0"/>
        <v>525</v>
      </c>
      <c r="G35" s="1012">
        <f t="shared" si="1"/>
        <v>554773</v>
      </c>
      <c r="H35" s="933">
        <f t="shared" si="2"/>
        <v>1.1732545144686517</v>
      </c>
      <c r="I35" s="1486">
        <f t="shared" si="3"/>
        <v>615.95862009604218</v>
      </c>
      <c r="J35" s="1006">
        <f>IFERROR(G35*VLOOKUP(W35,livestock_intensity!$B$7:$I$29,8,FALSE)/Z35,0)</f>
        <v>592043.95349937899</v>
      </c>
      <c r="K35" s="933">
        <f>VLOOKUP($W35,feed_mix_n,MATCH(K$5,feed_mix_w!$B$5:$AC$5,0),FALSE)/$Z35*VLOOKUP(K$5,feed_intensity_w,11,FALSE)</f>
        <v>0</v>
      </c>
      <c r="L35" s="1486">
        <f t="shared" si="4"/>
        <v>0</v>
      </c>
      <c r="M35" s="1447">
        <f>IFERROR(G35*VLOOKUP(W35,livestock_intensity!$B$7:$M$29,12,FALSE)/Z35,0)</f>
        <v>0</v>
      </c>
      <c r="N35" s="933">
        <f>VLOOKUP($W35,feed_mix_n,MATCH(N$5,feed_mix_w!$B$5:$AC$5,0),FALSE)/$Z35*VLOOKUP(N$5,feed_intensity_w,11,FALSE)</f>
        <v>2.2248689292558512</v>
      </c>
      <c r="O35" s="1486">
        <f t="shared" si="5"/>
        <v>1168.0561878593219</v>
      </c>
      <c r="P35" s="939">
        <f>IFERROR(G35*VLOOKUP(W35,livestock_intensity!$B$7:$Q$29,16,FALSE)/Z35,0)</f>
        <v>548578.65300686925</v>
      </c>
      <c r="Q35" s="1530"/>
      <c r="R35" s="900">
        <f t="shared" si="6"/>
        <v>1784.0148079553642</v>
      </c>
      <c r="S35" s="900">
        <f t="shared" si="7"/>
        <v>1140622.6065062482</v>
      </c>
      <c r="T35" s="1483" t="s">
        <v>2862</v>
      </c>
      <c r="U35" s="1211" t="s">
        <v>2921</v>
      </c>
      <c r="V35" s="1212" t="str">
        <f>IFERROR(VLOOKUP(W35,constant_ag_extr!$D$7:$E$594,2,FALSE),"")</f>
        <v>Cow milk, whole, fresh</v>
      </c>
      <c r="W35" s="1213">
        <f t="shared" si="8"/>
        <v>882</v>
      </c>
      <c r="X35" s="1099">
        <f>IFERROR(IF(VLOOKUP(B35,cnst_grazing!$C$10:$H$25,5,FALSE)="", IF(VLOOKUP(B35, cnst_grazing!$C$10:$H$25,3,FALSE)="", VLOOKUP(B35, cnst_grazing!$C$10:$H$25,4,FALSE),VLOOKUP(B35, cnst_grazing!$C$10:$H$25,3,FALSE)), VLOOKUP(B35,cnst_grazing!$C$10:$H$25,5,FALSE)),1)</f>
        <v>1</v>
      </c>
      <c r="Y35" s="1099">
        <f>IFERROR(IF(VLOOKUP(B35,cnst_grazing!$C$10:$H$25,6,FALSE)="", IF(VLOOKUP(B35, cnst_grazing!$C$10:$H$25,4,FALSE)="", VLOOKUP(B35, cnst_grazing!$C$10:$H$25,3,FALSE),VLOOKUP(B35, cnst_grazing!$C$10:$H$25,4,FALSE)), VLOOKUP(B35,cnst_grazing!$C$10:$H$25,6,FALSE)),1)</f>
        <v>1</v>
      </c>
      <c r="Z35" s="937">
        <f t="shared" si="9"/>
        <v>0.16080781194362659</v>
      </c>
      <c r="AA35" s="933">
        <f t="shared" si="10"/>
        <v>3.3981234437245029</v>
      </c>
      <c r="AB35" s="933">
        <f>VLOOKUP($W35,feed_mix_n,MATCH(AB$5,feed_mix_w!$B$5:$AC$5,0),FALSE)/$Z35*VLOOKUP(AB$5,feed_intensity_w,11,FALSE)</f>
        <v>0.25974807352980644</v>
      </c>
      <c r="AC35" s="933">
        <f>VLOOKUP($W35,feed_mix_n,MATCH(AC$5,feed_mix_w!$B$5:$AC$5,0),FALSE)/$Z35*VLOOKUP(AC$5,feed_intensity_w,11,FALSE)</f>
        <v>0.27209854418510021</v>
      </c>
      <c r="AD35" s="933">
        <f>VLOOKUP($W35,feed_mix_n,MATCH(AD$5,feed_mix_w!$B$5:$AC$5,0),FALSE)/$Z35*VLOOKUP(AD$5,feed_intensity_w,11,FALSE)</f>
        <v>0</v>
      </c>
      <c r="AE35" s="933">
        <f>VLOOKUP($W35,feed_mix_n,MATCH(AE$5,feed_mix_w!$B$5:$AC$5,0),FALSE)/$Z35*VLOOKUP(AE$5,feed_intensity_w,11,FALSE)</f>
        <v>0.25842760867425807</v>
      </c>
      <c r="AF35" s="933">
        <f>VLOOKUP($W35,feed_mix_n,MATCH(AF$5,feed_mix_w!$B$5:$AC$5,0),FALSE)/$Z35*VLOOKUP(AF$5,feed_intensity_w,11,FALSE)</f>
        <v>0.10337104346970322</v>
      </c>
      <c r="AG35" s="933">
        <f>VLOOKUP($W35,feed_mix_n,MATCH(AG$5,feed_mix_w!$B$5:$AC$5,0),FALSE)/$Z35*VLOOKUP(AG$5,feed_intensity_w,11,FALSE)</f>
        <v>0</v>
      </c>
      <c r="AH35" s="933">
        <f>VLOOKUP($W35,feed_mix_n,MATCH(AH$5,feed_mix_w!$B$5:$AC$5,0),FALSE)/$Z35*VLOOKUP(AH$5,feed_intensity_w,11,FALSE)</f>
        <v>0.10337104346970322</v>
      </c>
      <c r="AI35" s="933">
        <f>VLOOKUP($W35,feed_mix_n,MATCH(AI$5,feed_mix_w!$B$5:$AC$5,0),FALSE)/$Z35*VLOOKUP(AI$5,feed_intensity_w,11,FALSE)</f>
        <v>0</v>
      </c>
      <c r="AJ35" s="933">
        <f>VLOOKUP($W35,feed_mix_n,MATCH(AJ$5,feed_mix_w!$B$5:$AC$5,0),FALSE)/$Z35*VLOOKUP(AJ$5,feed_intensity_w,11,FALSE)</f>
        <v>0</v>
      </c>
      <c r="AK35" s="933">
        <f>VLOOKUP($W35,feed_mix_n,MATCH(AK$5,feed_mix_w!$B$5:$AC$5,0),FALSE)/$Z35*VLOOKUP(AK$5,feed_intensity_w,11,FALSE)</f>
        <v>0</v>
      </c>
      <c r="AL35" s="933">
        <f>VLOOKUP($W35,feed_mix_n,MATCH(AL$5,feed_mix_w!$B$5:$AC$5,0),FALSE)/$Z35*VLOOKUP(AL$5,feed_intensity_w,11,FALSE)</f>
        <v>0</v>
      </c>
      <c r="AM35" s="933">
        <f>VLOOKUP($W35,feed_mix_n,MATCH(AM$5,feed_mix_w!$B$5:$AC$5,0),FALSE)/$Z35*VLOOKUP(AM$5,feed_intensity_w,11,FALSE)</f>
        <v>7.5475642303300519E-2</v>
      </c>
      <c r="AN35" s="933">
        <f>VLOOKUP($W35,feed_mix_n,MATCH(AN$5,feed_mix_w!$B$5:$AC$5,0),FALSE)/$Z35*VLOOKUP(AN$5,feed_intensity_w,11,FALSE)</f>
        <v>0</v>
      </c>
      <c r="AO35" s="933">
        <f>VLOOKUP($W35,feed_mix_n,MATCH(AO$5,feed_mix_w!$B$5:$AC$5,0),FALSE)/$Z35*VLOOKUP(AO$5,feed_intensity_w,11,FALSE)</f>
        <v>0</v>
      </c>
      <c r="AP35" s="933">
        <f>VLOOKUP($W35,feed_mix_n,MATCH(AP$5,feed_mix_w!$B$5:$AC$5,0),FALSE)/$Z35*VLOOKUP(AP$5,feed_intensity_w,11,FALSE)</f>
        <v>0</v>
      </c>
      <c r="AQ35" s="933">
        <f>VLOOKUP($W35,feed_mix_n,MATCH(AQ$5,feed_mix_w!$B$5:$AC$5,0),FALSE)/$Z35*VLOOKUP(AQ$5,feed_intensity_w,11,FALSE)</f>
        <v>0</v>
      </c>
      <c r="AR35" s="933">
        <f>VLOOKUP($W35,feed_mix_n,MATCH(AR$5,feed_mix_w!$B$5:$AC$5,0),FALSE)/$Z35*VLOOKUP(AR$5,feed_intensity_w,11,FALSE)</f>
        <v>0.10076255883678004</v>
      </c>
      <c r="AS35" s="1105">
        <f>VLOOKUP($W35,feed_mix_n,MATCH(AS$5,feed_mix_w!$B$5:$AC$5,0),FALSE)/$Z35*VLOOKUP(AS$5,feed_intensity_w,11,FALSE)</f>
        <v>0</v>
      </c>
    </row>
    <row r="36" spans="1:45" ht="12">
      <c r="A36" s="1008" t="s">
        <v>5164</v>
      </c>
      <c r="B36" s="1102">
        <v>899</v>
      </c>
      <c r="C36" s="1103" t="s">
        <v>1640</v>
      </c>
      <c r="D36" s="1158"/>
      <c r="E36" s="1158"/>
      <c r="F36" s="1012">
        <f t="shared" si="0"/>
        <v>0</v>
      </c>
      <c r="G36" s="1012">
        <f t="shared" si="1"/>
        <v>0</v>
      </c>
      <c r="H36" s="933">
        <f t="shared" si="2"/>
        <v>1.1732545144686517</v>
      </c>
      <c r="I36" s="1486">
        <f t="shared" si="3"/>
        <v>0</v>
      </c>
      <c r="J36" s="1006">
        <f>IFERROR(G36*VLOOKUP(W36,livestock_intensity!$B$7:$I$29,8,FALSE)/Z36,0)</f>
        <v>0</v>
      </c>
      <c r="K36" s="933">
        <f>VLOOKUP($W36,feed_mix_n,MATCH(K$5,feed_mix_w!$B$5:$AC$5,0),FALSE)/$Z36*VLOOKUP(K$5,feed_intensity_w,11,FALSE)</f>
        <v>0</v>
      </c>
      <c r="L36" s="1486">
        <f t="shared" si="4"/>
        <v>0</v>
      </c>
      <c r="M36" s="1447">
        <f>IFERROR(G36*VLOOKUP(W36,livestock_intensity!$B$7:$M$29,12,FALSE)/Z36,0)</f>
        <v>0</v>
      </c>
      <c r="N36" s="933">
        <f>VLOOKUP($W36,feed_mix_n,MATCH(N$5,feed_mix_w!$B$5:$AC$5,0),FALSE)/$Z36*VLOOKUP(N$5,feed_intensity_w,11,FALSE)</f>
        <v>2.2248689292558512</v>
      </c>
      <c r="O36" s="1486">
        <f t="shared" si="5"/>
        <v>0</v>
      </c>
      <c r="P36" s="939">
        <f>IFERROR(G36*VLOOKUP(W36,livestock_intensity!$B$7:$Q$29,16,FALSE)/Z36,0)</f>
        <v>0</v>
      </c>
      <c r="Q36" s="1530"/>
      <c r="R36" s="900">
        <f t="shared" si="6"/>
        <v>0</v>
      </c>
      <c r="S36" s="900">
        <f t="shared" si="7"/>
        <v>0</v>
      </c>
      <c r="T36" s="1483" t="s">
        <v>2862</v>
      </c>
      <c r="U36" s="1211" t="s">
        <v>2921</v>
      </c>
      <c r="V36" s="1212" t="str">
        <f>IFERROR(VLOOKUP(W36,constant_ag_extr!$D$7:$E$594,2,FALSE),"")</f>
        <v>Cow milk, whole, fresh</v>
      </c>
      <c r="W36" s="1213">
        <f t="shared" si="8"/>
        <v>882</v>
      </c>
      <c r="X36" s="1099">
        <f>IFERROR(IF(VLOOKUP(B36,cnst_grazing!$C$10:$H$25,5,FALSE)="", IF(VLOOKUP(B36, cnst_grazing!$C$10:$H$25,3,FALSE)="", VLOOKUP(B36, cnst_grazing!$C$10:$H$25,4,FALSE),VLOOKUP(B36, cnst_grazing!$C$10:$H$25,3,FALSE)), VLOOKUP(B36,cnst_grazing!$C$10:$H$25,5,FALSE)),1)</f>
        <v>1</v>
      </c>
      <c r="Y36" s="1099">
        <f>IFERROR(IF(VLOOKUP(B36,cnst_grazing!$C$10:$H$25,6,FALSE)="", IF(VLOOKUP(B36, cnst_grazing!$C$10:$H$25,4,FALSE)="", VLOOKUP(B36, cnst_grazing!$C$10:$H$25,3,FALSE),VLOOKUP(B36, cnst_grazing!$C$10:$H$25,4,FALSE)), VLOOKUP(B36,cnst_grazing!$C$10:$H$25,6,FALSE)),1)</f>
        <v>1</v>
      </c>
      <c r="Z36" s="937">
        <f t="shared" si="9"/>
        <v>0.16080781194362659</v>
      </c>
      <c r="AA36" s="933">
        <f t="shared" si="10"/>
        <v>3.3981234437245029</v>
      </c>
      <c r="AB36" s="933">
        <f>VLOOKUP($W36,feed_mix_n,MATCH(AB$5,feed_mix_w!$B$5:$AC$5,0),FALSE)/$Z36*VLOOKUP(AB$5,feed_intensity_w,11,FALSE)</f>
        <v>0.25974807352980644</v>
      </c>
      <c r="AC36" s="933">
        <f>VLOOKUP($W36,feed_mix_n,MATCH(AC$5,feed_mix_w!$B$5:$AC$5,0),FALSE)/$Z36*VLOOKUP(AC$5,feed_intensity_w,11,FALSE)</f>
        <v>0.27209854418510021</v>
      </c>
      <c r="AD36" s="933">
        <f>VLOOKUP($W36,feed_mix_n,MATCH(AD$5,feed_mix_w!$B$5:$AC$5,0),FALSE)/$Z36*VLOOKUP(AD$5,feed_intensity_w,11,FALSE)</f>
        <v>0</v>
      </c>
      <c r="AE36" s="933">
        <f>VLOOKUP($W36,feed_mix_n,MATCH(AE$5,feed_mix_w!$B$5:$AC$5,0),FALSE)/$Z36*VLOOKUP(AE$5,feed_intensity_w,11,FALSE)</f>
        <v>0.25842760867425807</v>
      </c>
      <c r="AF36" s="933">
        <f>VLOOKUP($W36,feed_mix_n,MATCH(AF$5,feed_mix_w!$B$5:$AC$5,0),FALSE)/$Z36*VLOOKUP(AF$5,feed_intensity_w,11,FALSE)</f>
        <v>0.10337104346970322</v>
      </c>
      <c r="AG36" s="933">
        <f>VLOOKUP($W36,feed_mix_n,MATCH(AG$5,feed_mix_w!$B$5:$AC$5,0),FALSE)/$Z36*VLOOKUP(AG$5,feed_intensity_w,11,FALSE)</f>
        <v>0</v>
      </c>
      <c r="AH36" s="933">
        <f>VLOOKUP($W36,feed_mix_n,MATCH(AH$5,feed_mix_w!$B$5:$AC$5,0),FALSE)/$Z36*VLOOKUP(AH$5,feed_intensity_w,11,FALSE)</f>
        <v>0.10337104346970322</v>
      </c>
      <c r="AI36" s="933">
        <f>VLOOKUP($W36,feed_mix_n,MATCH(AI$5,feed_mix_w!$B$5:$AC$5,0),FALSE)/$Z36*VLOOKUP(AI$5,feed_intensity_w,11,FALSE)</f>
        <v>0</v>
      </c>
      <c r="AJ36" s="933">
        <f>VLOOKUP($W36,feed_mix_n,MATCH(AJ$5,feed_mix_w!$B$5:$AC$5,0),FALSE)/$Z36*VLOOKUP(AJ$5,feed_intensity_w,11,FALSE)</f>
        <v>0</v>
      </c>
      <c r="AK36" s="933">
        <f>VLOOKUP($W36,feed_mix_n,MATCH(AK$5,feed_mix_w!$B$5:$AC$5,0),FALSE)/$Z36*VLOOKUP(AK$5,feed_intensity_w,11,FALSE)</f>
        <v>0</v>
      </c>
      <c r="AL36" s="933">
        <f>VLOOKUP($W36,feed_mix_n,MATCH(AL$5,feed_mix_w!$B$5:$AC$5,0),FALSE)/$Z36*VLOOKUP(AL$5,feed_intensity_w,11,FALSE)</f>
        <v>0</v>
      </c>
      <c r="AM36" s="933">
        <f>VLOOKUP($W36,feed_mix_n,MATCH(AM$5,feed_mix_w!$B$5:$AC$5,0),FALSE)/$Z36*VLOOKUP(AM$5,feed_intensity_w,11,FALSE)</f>
        <v>7.5475642303300519E-2</v>
      </c>
      <c r="AN36" s="933">
        <f>VLOOKUP($W36,feed_mix_n,MATCH(AN$5,feed_mix_w!$B$5:$AC$5,0),FALSE)/$Z36*VLOOKUP(AN$5,feed_intensity_w,11,FALSE)</f>
        <v>0</v>
      </c>
      <c r="AO36" s="933">
        <f>VLOOKUP($W36,feed_mix_n,MATCH(AO$5,feed_mix_w!$B$5:$AC$5,0),FALSE)/$Z36*VLOOKUP(AO$5,feed_intensity_w,11,FALSE)</f>
        <v>0</v>
      </c>
      <c r="AP36" s="933">
        <f>VLOOKUP($W36,feed_mix_n,MATCH(AP$5,feed_mix_w!$B$5:$AC$5,0),FALSE)/$Z36*VLOOKUP(AP$5,feed_intensity_w,11,FALSE)</f>
        <v>0</v>
      </c>
      <c r="AQ36" s="933">
        <f>VLOOKUP($W36,feed_mix_n,MATCH(AQ$5,feed_mix_w!$B$5:$AC$5,0),FALSE)/$Z36*VLOOKUP(AQ$5,feed_intensity_w,11,FALSE)</f>
        <v>0</v>
      </c>
      <c r="AR36" s="933">
        <f>VLOOKUP($W36,feed_mix_n,MATCH(AR$5,feed_mix_w!$B$5:$AC$5,0),FALSE)/$Z36*VLOOKUP(AR$5,feed_intensity_w,11,FALSE)</f>
        <v>0.10076255883678004</v>
      </c>
      <c r="AS36" s="1105">
        <f>VLOOKUP($W36,feed_mix_n,MATCH(AS$5,feed_mix_w!$B$5:$AC$5,0),FALSE)/$Z36*VLOOKUP(AS$5,feed_intensity_w,11,FALSE)</f>
        <v>0</v>
      </c>
    </row>
    <row r="37" spans="1:45" ht="12">
      <c r="A37" s="1008" t="s">
        <v>7358</v>
      </c>
      <c r="B37" s="1102">
        <v>900</v>
      </c>
      <c r="C37" s="1103" t="s">
        <v>1763</v>
      </c>
      <c r="D37" s="1158">
        <v>15103</v>
      </c>
      <c r="E37" s="1158">
        <v>473669</v>
      </c>
      <c r="F37" s="1012">
        <f t="shared" si="0"/>
        <v>15103</v>
      </c>
      <c r="G37" s="1012">
        <f t="shared" si="1"/>
        <v>473669</v>
      </c>
      <c r="H37" s="933">
        <f t="shared" si="2"/>
        <v>0.30239730868669507</v>
      </c>
      <c r="I37" s="1486">
        <f t="shared" si="3"/>
        <v>4567.1065530951555</v>
      </c>
      <c r="J37" s="1006">
        <f>IFERROR(G37*VLOOKUP(W37,livestock_intensity!$B$7:$I$29,8,FALSE)/Z37,0)</f>
        <v>130286.45994699052</v>
      </c>
      <c r="K37" s="933">
        <f>VLOOKUP($W37,feed_mix_n,MATCH(K$5,feed_mix_w!$B$5:$AC$5,0),FALSE)/$Z37*VLOOKUP(K$5,feed_intensity_w,11,FALSE)</f>
        <v>0</v>
      </c>
      <c r="L37" s="1486">
        <f t="shared" si="4"/>
        <v>0</v>
      </c>
      <c r="M37" s="1447">
        <f>IFERROR(G37*VLOOKUP(W37,livestock_intensity!$B$7:$M$29,12,FALSE)/Z37,0)</f>
        <v>0</v>
      </c>
      <c r="N37" s="933">
        <f>VLOOKUP($W37,feed_mix_n,MATCH(N$5,feed_mix_w!$B$5:$AC$5,0),FALSE)/$Z37*VLOOKUP(N$5,feed_intensity_w,11,FALSE)</f>
        <v>0.57344281917578321</v>
      </c>
      <c r="O37" s="1486">
        <f t="shared" si="5"/>
        <v>8660.7068980118547</v>
      </c>
      <c r="P37" s="939">
        <f>IFERROR(G37*VLOOKUP(W37,livestock_intensity!$B$7:$Q$29,16,FALSE)/Z37,0)</f>
        <v>120721.39286332302</v>
      </c>
      <c r="Q37" s="1530"/>
      <c r="R37" s="900">
        <f t="shared" si="6"/>
        <v>13227.813451107009</v>
      </c>
      <c r="S37" s="900">
        <f t="shared" si="7"/>
        <v>251007.85281031355</v>
      </c>
      <c r="T37" s="1483" t="s">
        <v>2862</v>
      </c>
      <c r="U37" s="1211" t="s">
        <v>2921</v>
      </c>
      <c r="V37" s="1212" t="str">
        <f>IFERROR(VLOOKUP(W37,constant_ag_extr!$D$7:$E$594,2,FALSE),"")</f>
        <v>Cow milk, whole, fresh</v>
      </c>
      <c r="W37" s="1213">
        <f t="shared" si="8"/>
        <v>882</v>
      </c>
      <c r="X37" s="1099">
        <f>IFERROR(IF(VLOOKUP(B37,cnst_grazing!$C$10:$H$25,5,FALSE)="", IF(VLOOKUP(B37, cnst_grazing!$C$10:$H$25,3,FALSE)="", VLOOKUP(B37, cnst_grazing!$C$10:$H$25,4,FALSE),VLOOKUP(B37, cnst_grazing!$C$10:$H$25,3,FALSE)), VLOOKUP(B37,cnst_grazing!$C$10:$H$25,5,FALSE)),1)</f>
        <v>1</v>
      </c>
      <c r="Y37" s="1099">
        <f>IFERROR(IF(VLOOKUP(B37,cnst_grazing!$C$10:$H$25,6,FALSE)="", IF(VLOOKUP(B37, cnst_grazing!$C$10:$H$25,4,FALSE)="", VLOOKUP(B37, cnst_grazing!$C$10:$H$25,3,FALSE),VLOOKUP(B37, cnst_grazing!$C$10:$H$25,4,FALSE)), VLOOKUP(B37,cnst_grazing!$C$10:$H$25,6,FALSE)),1)</f>
        <v>1</v>
      </c>
      <c r="Z37" s="937">
        <f t="shared" si="9"/>
        <v>0.62390929384943605</v>
      </c>
      <c r="AA37" s="933">
        <f t="shared" si="10"/>
        <v>0.87584012786247833</v>
      </c>
      <c r="AB37" s="933">
        <f>VLOOKUP($W37,feed_mix_n,MATCH(AB$5,feed_mix_w!$B$5:$AC$5,0),FALSE)/$Z37*VLOOKUP(AB$5,feed_intensity_w,11,FALSE)</f>
        <v>6.6948064041790614E-2</v>
      </c>
      <c r="AC37" s="933">
        <f>VLOOKUP($W37,feed_mix_n,MATCH(AC$5,feed_mix_w!$B$5:$AC$5,0),FALSE)/$Z37*VLOOKUP(AC$5,feed_intensity_w,11,FALSE)</f>
        <v>7.0131302666588277E-2</v>
      </c>
      <c r="AD37" s="933">
        <f>VLOOKUP($W37,feed_mix_n,MATCH(AD$5,feed_mix_w!$B$5:$AC$5,0),FALSE)/$Z37*VLOOKUP(AD$5,feed_intensity_w,11,FALSE)</f>
        <v>0</v>
      </c>
      <c r="AE37" s="933">
        <f>VLOOKUP($W37,feed_mix_n,MATCH(AE$5,feed_mix_w!$B$5:$AC$5,0),FALSE)/$Z37*VLOOKUP(AE$5,feed_intensity_w,11,FALSE)</f>
        <v>6.6607724402258914E-2</v>
      </c>
      <c r="AF37" s="933">
        <f>VLOOKUP($W37,feed_mix_n,MATCH(AF$5,feed_mix_w!$B$5:$AC$5,0),FALSE)/$Z37*VLOOKUP(AF$5,feed_intensity_w,11,FALSE)</f>
        <v>2.6643089760903564E-2</v>
      </c>
      <c r="AG37" s="933">
        <f>VLOOKUP($W37,feed_mix_n,MATCH(AG$5,feed_mix_w!$B$5:$AC$5,0),FALSE)/$Z37*VLOOKUP(AG$5,feed_intensity_w,11,FALSE)</f>
        <v>0</v>
      </c>
      <c r="AH37" s="933">
        <f>VLOOKUP($W37,feed_mix_n,MATCH(AH$5,feed_mix_w!$B$5:$AC$5,0),FALSE)/$Z37*VLOOKUP(AH$5,feed_intensity_w,11,FALSE)</f>
        <v>2.6643089760903564E-2</v>
      </c>
      <c r="AI37" s="933">
        <f>VLOOKUP($W37,feed_mix_n,MATCH(AI$5,feed_mix_w!$B$5:$AC$5,0),FALSE)/$Z37*VLOOKUP(AI$5,feed_intensity_w,11,FALSE)</f>
        <v>0</v>
      </c>
      <c r="AJ37" s="933">
        <f>VLOOKUP($W37,feed_mix_n,MATCH(AJ$5,feed_mix_w!$B$5:$AC$5,0),FALSE)/$Z37*VLOOKUP(AJ$5,feed_intensity_w,11,FALSE)</f>
        <v>0</v>
      </c>
      <c r="AK37" s="933">
        <f>VLOOKUP($W37,feed_mix_n,MATCH(AK$5,feed_mix_w!$B$5:$AC$5,0),FALSE)/$Z37*VLOOKUP(AK$5,feed_intensity_w,11,FALSE)</f>
        <v>0</v>
      </c>
      <c r="AL37" s="933">
        <f>VLOOKUP($W37,feed_mix_n,MATCH(AL$5,feed_mix_w!$B$5:$AC$5,0),FALSE)/$Z37*VLOOKUP(AL$5,feed_intensity_w,11,FALSE)</f>
        <v>0</v>
      </c>
      <c r="AM37" s="933">
        <f>VLOOKUP($W37,feed_mix_n,MATCH(AM$5,feed_mix_w!$B$5:$AC$5,0),FALSE)/$Z37*VLOOKUP(AM$5,feed_intensity_w,11,FALSE)</f>
        <v>1.9453265103568946E-2</v>
      </c>
      <c r="AN37" s="933">
        <f>VLOOKUP($W37,feed_mix_n,MATCH(AN$5,feed_mix_w!$B$5:$AC$5,0),FALSE)/$Z37*VLOOKUP(AN$5,feed_intensity_w,11,FALSE)</f>
        <v>0</v>
      </c>
      <c r="AO37" s="933">
        <f>VLOOKUP($W37,feed_mix_n,MATCH(AO$5,feed_mix_w!$B$5:$AC$5,0),FALSE)/$Z37*VLOOKUP(AO$5,feed_intensity_w,11,FALSE)</f>
        <v>0</v>
      </c>
      <c r="AP37" s="933">
        <f>VLOOKUP($W37,feed_mix_n,MATCH(AP$5,feed_mix_w!$B$5:$AC$5,0),FALSE)/$Z37*VLOOKUP(AP$5,feed_intensity_w,11,FALSE)</f>
        <v>0</v>
      </c>
      <c r="AQ37" s="933">
        <f>VLOOKUP($W37,feed_mix_n,MATCH(AQ$5,feed_mix_w!$B$5:$AC$5,0),FALSE)/$Z37*VLOOKUP(AQ$5,feed_intensity_w,11,FALSE)</f>
        <v>0</v>
      </c>
      <c r="AR37" s="933">
        <f>VLOOKUP($W37,feed_mix_n,MATCH(AR$5,feed_mix_w!$B$5:$AC$5,0),FALSE)/$Z37*VLOOKUP(AR$5,feed_intensity_w,11,FALSE)</f>
        <v>2.5970772950681183E-2</v>
      </c>
      <c r="AS37" s="1105">
        <f>VLOOKUP($W37,feed_mix_n,MATCH(AS$5,feed_mix_w!$B$5:$AC$5,0),FALSE)/$Z37*VLOOKUP(AS$5,feed_intensity_w,11,FALSE)</f>
        <v>0</v>
      </c>
    </row>
    <row r="38" spans="1:45" ht="12">
      <c r="A38" s="1008" t="s">
        <v>7359</v>
      </c>
      <c r="B38" s="1102">
        <v>901</v>
      </c>
      <c r="C38" s="1103" t="s">
        <v>4709</v>
      </c>
      <c r="D38" s="1158">
        <v>141623</v>
      </c>
      <c r="E38" s="1158">
        <v>299120</v>
      </c>
      <c r="F38" s="1012">
        <f t="shared" si="0"/>
        <v>141623</v>
      </c>
      <c r="G38" s="1012">
        <f t="shared" si="1"/>
        <v>299120</v>
      </c>
      <c r="H38" s="933">
        <f t="shared" si="2"/>
        <v>1.2577899421645724</v>
      </c>
      <c r="I38" s="1486">
        <f t="shared" si="3"/>
        <v>178131.98497917323</v>
      </c>
      <c r="J38" s="1006">
        <f>IFERROR(G38*VLOOKUP(W38,livestock_intensity!$B$7:$I$29,8,FALSE)/Z38,0)</f>
        <v>342215.73103952449</v>
      </c>
      <c r="K38" s="933">
        <f>VLOOKUP($W38,feed_mix_n,MATCH(K$5,feed_mix_w!$B$5:$AC$5,0),FALSE)/$Z38*VLOOKUP(K$5,feed_intensity_w,11,FALSE)</f>
        <v>0</v>
      </c>
      <c r="L38" s="1486">
        <f t="shared" si="4"/>
        <v>0</v>
      </c>
      <c r="M38" s="1447">
        <f>IFERROR(G38*VLOOKUP(W38,livestock_intensity!$B$7:$M$29,12,FALSE)/Z38,0)</f>
        <v>0</v>
      </c>
      <c r="N38" s="933">
        <f>VLOOKUP($W38,feed_mix_n,MATCH(N$5,feed_mix_w!$B$5:$AC$5,0),FALSE)/$Z38*VLOOKUP(N$5,feed_intensity_w,11,FALSE)</f>
        <v>2.3851753624999521</v>
      </c>
      <c r="O38" s="1486">
        <f t="shared" si="5"/>
        <v>337795.69036333071</v>
      </c>
      <c r="P38" s="939">
        <f>IFERROR(G38*VLOOKUP(W38,livestock_intensity!$B$7:$Q$29,16,FALSE)/Z38,0)</f>
        <v>317091.73560814065</v>
      </c>
      <c r="Q38" s="1530"/>
      <c r="R38" s="900">
        <f t="shared" si="6"/>
        <v>515927.67534250394</v>
      </c>
      <c r="S38" s="900">
        <f t="shared" si="7"/>
        <v>659307.46664766513</v>
      </c>
      <c r="T38" s="1483">
        <v>2741</v>
      </c>
      <c r="U38" s="1211" t="s">
        <v>2921</v>
      </c>
      <c r="V38" s="1212" t="str">
        <f>IFERROR(VLOOKUP(W38,constant_ag_extr!$D$7:$E$594,2,FALSE),"")</f>
        <v>Cow milk, whole, fresh</v>
      </c>
      <c r="W38" s="1213">
        <f t="shared" si="8"/>
        <v>882</v>
      </c>
      <c r="X38" s="1099">
        <f>IFERROR(IF(VLOOKUP(B38,cnst_grazing!$C$10:$H$25,5,FALSE)="", IF(VLOOKUP(B38, cnst_grazing!$C$10:$H$25,3,FALSE)="", VLOOKUP(B38, cnst_grazing!$C$10:$H$25,4,FALSE),VLOOKUP(B38, cnst_grazing!$C$10:$H$25,3,FALSE)), VLOOKUP(B38,cnst_grazing!$C$10:$H$25,5,FALSE)),1)</f>
        <v>1</v>
      </c>
      <c r="Y38" s="1099">
        <f>IFERROR(IF(VLOOKUP(B38,cnst_grazing!$C$10:$H$25,6,FALSE)="", IF(VLOOKUP(B38, cnst_grazing!$C$10:$H$25,4,FALSE)="", VLOOKUP(B38, cnst_grazing!$C$10:$H$25,3,FALSE),VLOOKUP(B38, cnst_grazing!$C$10:$H$25,4,FALSE)), VLOOKUP(B38,cnst_grazing!$C$10:$H$25,6,FALSE)),1)</f>
        <v>1</v>
      </c>
      <c r="Z38" s="937">
        <f t="shared" si="9"/>
        <v>0.15</v>
      </c>
      <c r="AA38" s="933">
        <f t="shared" si="10"/>
        <v>3.6429653046645245</v>
      </c>
      <c r="AB38" s="933">
        <f>VLOOKUP($W38,feed_mix_n,MATCH(AB$5,feed_mix_w!$B$5:$AC$5,0),FALSE)/$Z38*VLOOKUP(AB$5,feed_intensity_w,11,FALSE)</f>
        <v>0.27846346240600273</v>
      </c>
      <c r="AC38" s="933">
        <f>VLOOKUP($W38,feed_mix_n,MATCH(AC$5,feed_mix_w!$B$5:$AC$5,0),FALSE)/$Z38*VLOOKUP(AC$5,feed_intensity_w,11,FALSE)</f>
        <v>0.29170381015634778</v>
      </c>
      <c r="AD38" s="933">
        <f>VLOOKUP($W38,feed_mix_n,MATCH(AD$5,feed_mix_w!$B$5:$AC$5,0),FALSE)/$Z38*VLOOKUP(AD$5,feed_intensity_w,11,FALSE)</f>
        <v>0</v>
      </c>
      <c r="AE38" s="933">
        <f>VLOOKUP($W38,feed_mix_n,MATCH(AE$5,feed_mix_w!$B$5:$AC$5,0),FALSE)/$Z38*VLOOKUP(AE$5,feed_intensity_w,11,FALSE)</f>
        <v>0.27704785531154141</v>
      </c>
      <c r="AF38" s="933">
        <f>VLOOKUP($W38,feed_mix_n,MATCH(AF$5,feed_mix_w!$B$5:$AC$5,0),FALSE)/$Z38*VLOOKUP(AF$5,feed_intensity_w,11,FALSE)</f>
        <v>0.11081914212461656</v>
      </c>
      <c r="AG38" s="933">
        <f>VLOOKUP($W38,feed_mix_n,MATCH(AG$5,feed_mix_w!$B$5:$AC$5,0),FALSE)/$Z38*VLOOKUP(AG$5,feed_intensity_w,11,FALSE)</f>
        <v>0</v>
      </c>
      <c r="AH38" s="933">
        <f>VLOOKUP($W38,feed_mix_n,MATCH(AH$5,feed_mix_w!$B$5:$AC$5,0),FALSE)/$Z38*VLOOKUP(AH$5,feed_intensity_w,11,FALSE)</f>
        <v>0.11081914212461656</v>
      </c>
      <c r="AI38" s="933">
        <f>VLOOKUP($W38,feed_mix_n,MATCH(AI$5,feed_mix_w!$B$5:$AC$5,0),FALSE)/$Z38*VLOOKUP(AI$5,feed_intensity_w,11,FALSE)</f>
        <v>0</v>
      </c>
      <c r="AJ38" s="933">
        <f>VLOOKUP($W38,feed_mix_n,MATCH(AJ$5,feed_mix_w!$B$5:$AC$5,0),FALSE)/$Z38*VLOOKUP(AJ$5,feed_intensity_w,11,FALSE)</f>
        <v>0</v>
      </c>
      <c r="AK38" s="933">
        <f>VLOOKUP($W38,feed_mix_n,MATCH(AK$5,feed_mix_w!$B$5:$AC$5,0),FALSE)/$Z38*VLOOKUP(AK$5,feed_intensity_w,11,FALSE)</f>
        <v>0</v>
      </c>
      <c r="AL38" s="933">
        <f>VLOOKUP($W38,feed_mix_n,MATCH(AL$5,feed_mix_w!$B$5:$AC$5,0),FALSE)/$Z38*VLOOKUP(AL$5,feed_intensity_w,11,FALSE)</f>
        <v>0</v>
      </c>
      <c r="AM38" s="933">
        <f>VLOOKUP($W38,feed_mix_n,MATCH(AM$5,feed_mix_w!$B$5:$AC$5,0),FALSE)/$Z38*VLOOKUP(AM$5,feed_intensity_w,11,FALSE)</f>
        <v>8.0913819292223854E-2</v>
      </c>
      <c r="AN38" s="933">
        <f>VLOOKUP($W38,feed_mix_n,MATCH(AN$5,feed_mix_w!$B$5:$AC$5,0),FALSE)/$Z38*VLOOKUP(AN$5,feed_intensity_w,11,FALSE)</f>
        <v>0</v>
      </c>
      <c r="AO38" s="933">
        <f>VLOOKUP($W38,feed_mix_n,MATCH(AO$5,feed_mix_w!$B$5:$AC$5,0),FALSE)/$Z38*VLOOKUP(AO$5,feed_intensity_w,11,FALSE)</f>
        <v>0</v>
      </c>
      <c r="AP38" s="933">
        <f>VLOOKUP($W38,feed_mix_n,MATCH(AP$5,feed_mix_w!$B$5:$AC$5,0),FALSE)/$Z38*VLOOKUP(AP$5,feed_intensity_w,11,FALSE)</f>
        <v>0</v>
      </c>
      <c r="AQ38" s="933">
        <f>VLOOKUP($W38,feed_mix_n,MATCH(AQ$5,feed_mix_w!$B$5:$AC$5,0),FALSE)/$Z38*VLOOKUP(AQ$5,feed_intensity_w,11,FALSE)</f>
        <v>0</v>
      </c>
      <c r="AR38" s="933">
        <f>VLOOKUP($W38,feed_mix_n,MATCH(AR$5,feed_mix_w!$B$5:$AC$5,0),FALSE)/$Z38*VLOOKUP(AR$5,feed_intensity_w,11,FALSE)</f>
        <v>0.10802271074922354</v>
      </c>
      <c r="AS38" s="1105">
        <f>VLOOKUP($W38,feed_mix_n,MATCH(AS$5,feed_mix_w!$B$5:$AC$5,0),FALSE)/$Z38*VLOOKUP(AS$5,feed_intensity_w,11,FALSE)</f>
        <v>0</v>
      </c>
    </row>
    <row r="39" spans="1:45" ht="12.75" customHeight="1">
      <c r="A39" s="1008" t="s">
        <v>5545</v>
      </c>
      <c r="B39" s="1102">
        <v>903</v>
      </c>
      <c r="C39" s="1103" t="s">
        <v>1274</v>
      </c>
      <c r="D39" s="1158"/>
      <c r="E39" s="1158"/>
      <c r="F39" s="1012">
        <f t="shared" ref="F39:F70" si="11">D39*X39</f>
        <v>0</v>
      </c>
      <c r="G39" s="1012">
        <f t="shared" ref="G39:G70" si="12">E39*Y39</f>
        <v>0</v>
      </c>
      <c r="H39" s="933">
        <f t="shared" ref="H39:H70" si="13">SUM(AB39:AP39)+AR39+AS39</f>
        <v>3.0239730868669514E-2</v>
      </c>
      <c r="I39" s="1486">
        <f t="shared" ref="I39:I70" si="14">IFERROR(F39*VLOOKUP(B39,livestock_intensity_w,7,FALSE),0)</f>
        <v>0</v>
      </c>
      <c r="J39" s="1006">
        <f>IFERROR(G39*VLOOKUP(W39,livestock_intensity!$B$7:$I$29,8,FALSE)/Z39,0)</f>
        <v>0</v>
      </c>
      <c r="K39" s="933">
        <f>VLOOKUP($W39,feed_mix_n,MATCH(K$5,feed_mix_w!$B$5:$AC$5,0),FALSE)/$Z39*VLOOKUP(K$5,feed_intensity_w,11,FALSE)</f>
        <v>0</v>
      </c>
      <c r="L39" s="1486">
        <f t="shared" ref="L39:L70" si="15">IFERROR(F39*VLOOKUP($B39,livestock_intensity_w,10,FALSE),0)</f>
        <v>0</v>
      </c>
      <c r="M39" s="1447">
        <f>IFERROR(G39*VLOOKUP(W39,livestock_intensity!$B$7:$M$29,12,FALSE)/Z39,0)</f>
        <v>0</v>
      </c>
      <c r="N39" s="933">
        <f>VLOOKUP($W39,feed_mix_n,MATCH(N$5,feed_mix_w!$B$5:$AC$5,0),FALSE)/$Z39*VLOOKUP(N$5,feed_intensity_w,11,FALSE)</f>
        <v>5.734428191757833E-2</v>
      </c>
      <c r="O39" s="1486">
        <f t="shared" ref="O39:O70" si="16">IFERROR(F39*VLOOKUP(B39,livestock_intensity_w,13,FALSE),0)</f>
        <v>0</v>
      </c>
      <c r="P39" s="939">
        <f>IFERROR(G39*VLOOKUP(W39,livestock_intensity!$B$7:$Q$29,16,FALSE)/Z39,0)</f>
        <v>0</v>
      </c>
      <c r="Q39" s="1530"/>
      <c r="R39" s="900">
        <f t="shared" ref="R39:R70" si="17">IFERROR(SUM(I39,L39,O39),0)</f>
        <v>0</v>
      </c>
      <c r="S39" s="900">
        <f t="shared" ref="S39:S70" si="18">IFERROR(SUM(J39,M39,P39),0)</f>
        <v>0</v>
      </c>
      <c r="T39" s="1483">
        <v>2742</v>
      </c>
      <c r="U39" s="1211" t="s">
        <v>2921</v>
      </c>
      <c r="V39" s="1212" t="str">
        <f>IFERROR(VLOOKUP(W39,constant_ag_extr!$D$7:$E$594,2,FALSE),"")</f>
        <v>Cow milk, whole, fresh</v>
      </c>
      <c r="W39" s="1213">
        <f t="shared" ref="W39:W70" si="19">IFERROR(VLOOKUP(B39,constant_ag_extr,3,FALSE),"")</f>
        <v>882</v>
      </c>
      <c r="X39" s="1099">
        <f>IFERROR(IF(VLOOKUP(B39,cnst_grazing!$C$10:$H$25,5,FALSE)="", IF(VLOOKUP(B39, cnst_grazing!$C$10:$H$25,3,FALSE)="", VLOOKUP(B39, cnst_grazing!$C$10:$H$25,4,FALSE),VLOOKUP(B39, cnst_grazing!$C$10:$H$25,3,FALSE)), VLOOKUP(B39,cnst_grazing!$C$10:$H$25,5,FALSE)),1)</f>
        <v>1</v>
      </c>
      <c r="Y39" s="1099">
        <f>IFERROR(IF(VLOOKUP(B39,cnst_grazing!$C$10:$H$25,6,FALSE)="", IF(VLOOKUP(B39, cnst_grazing!$C$10:$H$25,4,FALSE)="", VLOOKUP(B39, cnst_grazing!$C$10:$H$25,3,FALSE),VLOOKUP(B39, cnst_grazing!$C$10:$H$25,4,FALSE)), VLOOKUP(B39,cnst_grazing!$C$10:$H$25,6,FALSE)),1)</f>
        <v>1</v>
      </c>
      <c r="Z39" s="937">
        <f t="shared" ref="Z39:Z70" si="20">IFERROR(VLOOKUP(B39,constant_ag_extr,14,FALSE),"-")</f>
        <v>6.2390929384943599</v>
      </c>
      <c r="AA39" s="933">
        <f t="shared" ref="AA39:AA70" si="21">H39+N39</f>
        <v>8.7584012786247847E-2</v>
      </c>
      <c r="AB39" s="933">
        <f>VLOOKUP($W39,feed_mix_n,MATCH(AB$5,feed_mix_w!$B$5:$AC$5,0),FALSE)/$Z39*VLOOKUP(AB$5,feed_intensity_w,11,FALSE)</f>
        <v>6.6948064041790628E-3</v>
      </c>
      <c r="AC39" s="933">
        <f>VLOOKUP($W39,feed_mix_n,MATCH(AC$5,feed_mix_w!$B$5:$AC$5,0),FALSE)/$Z39*VLOOKUP(AC$5,feed_intensity_w,11,FALSE)</f>
        <v>7.0131302666588281E-3</v>
      </c>
      <c r="AD39" s="933">
        <f>VLOOKUP($W39,feed_mix_n,MATCH(AD$5,feed_mix_w!$B$5:$AC$5,0),FALSE)/$Z39*VLOOKUP(AD$5,feed_intensity_w,11,FALSE)</f>
        <v>0</v>
      </c>
      <c r="AE39" s="933">
        <f>VLOOKUP($W39,feed_mix_n,MATCH(AE$5,feed_mix_w!$B$5:$AC$5,0),FALSE)/$Z39*VLOOKUP(AE$5,feed_intensity_w,11,FALSE)</f>
        <v>6.6607724402258928E-3</v>
      </c>
      <c r="AF39" s="933">
        <f>VLOOKUP($W39,feed_mix_n,MATCH(AF$5,feed_mix_w!$B$5:$AC$5,0),FALSE)/$Z39*VLOOKUP(AF$5,feed_intensity_w,11,FALSE)</f>
        <v>2.6643089760903568E-3</v>
      </c>
      <c r="AG39" s="933">
        <f>VLOOKUP($W39,feed_mix_n,MATCH(AG$5,feed_mix_w!$B$5:$AC$5,0),FALSE)/$Z39*VLOOKUP(AG$5,feed_intensity_w,11,FALSE)</f>
        <v>0</v>
      </c>
      <c r="AH39" s="933">
        <f>VLOOKUP($W39,feed_mix_n,MATCH(AH$5,feed_mix_w!$B$5:$AC$5,0),FALSE)/$Z39*VLOOKUP(AH$5,feed_intensity_w,11,FALSE)</f>
        <v>2.6643089760903568E-3</v>
      </c>
      <c r="AI39" s="933">
        <f>VLOOKUP($W39,feed_mix_n,MATCH(AI$5,feed_mix_w!$B$5:$AC$5,0),FALSE)/$Z39*VLOOKUP(AI$5,feed_intensity_w,11,FALSE)</f>
        <v>0</v>
      </c>
      <c r="AJ39" s="933">
        <f>VLOOKUP($W39,feed_mix_n,MATCH(AJ$5,feed_mix_w!$B$5:$AC$5,0),FALSE)/$Z39*VLOOKUP(AJ$5,feed_intensity_w,11,FALSE)</f>
        <v>0</v>
      </c>
      <c r="AK39" s="933">
        <f>VLOOKUP($W39,feed_mix_n,MATCH(AK$5,feed_mix_w!$B$5:$AC$5,0),FALSE)/$Z39*VLOOKUP(AK$5,feed_intensity_w,11,FALSE)</f>
        <v>0</v>
      </c>
      <c r="AL39" s="933">
        <f>VLOOKUP($W39,feed_mix_n,MATCH(AL$5,feed_mix_w!$B$5:$AC$5,0),FALSE)/$Z39*VLOOKUP(AL$5,feed_intensity_w,11,FALSE)</f>
        <v>0</v>
      </c>
      <c r="AM39" s="933">
        <f>VLOOKUP($W39,feed_mix_n,MATCH(AM$5,feed_mix_w!$B$5:$AC$5,0),FALSE)/$Z39*VLOOKUP(AM$5,feed_intensity_w,11,FALSE)</f>
        <v>1.9453265103568948E-3</v>
      </c>
      <c r="AN39" s="933">
        <f>VLOOKUP($W39,feed_mix_n,MATCH(AN$5,feed_mix_w!$B$5:$AC$5,0),FALSE)/$Z39*VLOOKUP(AN$5,feed_intensity_w,11,FALSE)</f>
        <v>0</v>
      </c>
      <c r="AO39" s="933">
        <f>VLOOKUP($W39,feed_mix_n,MATCH(AO$5,feed_mix_w!$B$5:$AC$5,0),FALSE)/$Z39*VLOOKUP(AO$5,feed_intensity_w,11,FALSE)</f>
        <v>0</v>
      </c>
      <c r="AP39" s="933">
        <f>VLOOKUP($W39,feed_mix_n,MATCH(AP$5,feed_mix_w!$B$5:$AC$5,0),FALSE)/$Z39*VLOOKUP(AP$5,feed_intensity_w,11,FALSE)</f>
        <v>0</v>
      </c>
      <c r="AQ39" s="933">
        <f>VLOOKUP($W39,feed_mix_n,MATCH(AQ$5,feed_mix_w!$B$5:$AC$5,0),FALSE)/$Z39*VLOOKUP(AQ$5,feed_intensity_w,11,FALSE)</f>
        <v>0</v>
      </c>
      <c r="AR39" s="933">
        <f>VLOOKUP($W39,feed_mix_n,MATCH(AR$5,feed_mix_w!$B$5:$AC$5,0),FALSE)/$Z39*VLOOKUP(AR$5,feed_intensity_w,11,FALSE)</f>
        <v>2.5970772950681185E-3</v>
      </c>
      <c r="AS39" s="1105">
        <f>VLOOKUP($W39,feed_mix_n,MATCH(AS$5,feed_mix_w!$B$5:$AC$5,0),FALSE)/$Z39*VLOOKUP(AS$5,feed_intensity_w,11,FALSE)</f>
        <v>0</v>
      </c>
    </row>
    <row r="40" spans="1:45" ht="12.75" customHeight="1">
      <c r="A40" s="1008" t="s">
        <v>4706</v>
      </c>
      <c r="B40" s="1102">
        <v>904</v>
      </c>
      <c r="C40" s="1103" t="s">
        <v>4707</v>
      </c>
      <c r="D40" s="1158"/>
      <c r="E40" s="1158"/>
      <c r="F40" s="1012">
        <f t="shared" si="11"/>
        <v>0</v>
      </c>
      <c r="G40" s="1012">
        <f t="shared" si="12"/>
        <v>0</v>
      </c>
      <c r="H40" s="933">
        <f t="shared" si="13"/>
        <v>0.50900933449164498</v>
      </c>
      <c r="I40" s="1486">
        <f t="shared" si="14"/>
        <v>0</v>
      </c>
      <c r="J40" s="1006">
        <f>IFERROR(G40*VLOOKUP(W40,livestock_intensity!$B$7:$I$29,8,FALSE)/Z40,0)</f>
        <v>0</v>
      </c>
      <c r="K40" s="933">
        <f>VLOOKUP($W40,feed_mix_n,MATCH(K$5,feed_mix_w!$B$5:$AC$5,0),FALSE)/$Z40*VLOOKUP(K$5,feed_intensity_w,11,FALSE)</f>
        <v>0</v>
      </c>
      <c r="L40" s="1486">
        <f t="shared" si="15"/>
        <v>0</v>
      </c>
      <c r="M40" s="1447">
        <f>IFERROR(G40*VLOOKUP(W40,livestock_intensity!$B$7:$M$29,12,FALSE)/Z40,0)</f>
        <v>0</v>
      </c>
      <c r="N40" s="933">
        <f>VLOOKUP($W40,feed_mix_n,MATCH(N$5,feed_mix_w!$B$5:$AC$5,0),FALSE)/$Z40*VLOOKUP(N$5,feed_intensity_w,11,FALSE)</f>
        <v>0.96524585164246435</v>
      </c>
      <c r="O40" s="1486">
        <f t="shared" si="16"/>
        <v>0</v>
      </c>
      <c r="P40" s="939">
        <f>IFERROR(G40*VLOOKUP(W40,livestock_intensity!$B$7:$Q$29,16,FALSE)/Z40,0)</f>
        <v>0</v>
      </c>
      <c r="Q40" s="1530"/>
      <c r="R40" s="900">
        <f t="shared" si="17"/>
        <v>0</v>
      </c>
      <c r="S40" s="900">
        <f t="shared" si="18"/>
        <v>0</v>
      </c>
      <c r="T40" s="1483">
        <v>2741</v>
      </c>
      <c r="U40" s="1211" t="s">
        <v>2921</v>
      </c>
      <c r="V40" s="1212" t="str">
        <f>IFERROR(VLOOKUP(W40,constant_ag_extr!$D$7:$E$594,2,FALSE),"")</f>
        <v>Cow milk, whole, fresh</v>
      </c>
      <c r="W40" s="1213">
        <f t="shared" si="19"/>
        <v>882</v>
      </c>
      <c r="X40" s="1099">
        <f>IFERROR(IF(VLOOKUP(B40,cnst_grazing!$C$10:$H$25,5,FALSE)="", IF(VLOOKUP(B40, cnst_grazing!$C$10:$H$25,3,FALSE)="", VLOOKUP(B40, cnst_grazing!$C$10:$H$25,4,FALSE),VLOOKUP(B40, cnst_grazing!$C$10:$H$25,3,FALSE)), VLOOKUP(B40,cnst_grazing!$C$10:$H$25,5,FALSE)),1)</f>
        <v>1</v>
      </c>
      <c r="Y40" s="1099">
        <f>IFERROR(IF(VLOOKUP(B40,cnst_grazing!$C$10:$H$25,6,FALSE)="", IF(VLOOKUP(B40, cnst_grazing!$C$10:$H$25,4,FALSE)="", VLOOKUP(B40, cnst_grazing!$C$10:$H$25,3,FALSE),VLOOKUP(B40, cnst_grazing!$C$10:$H$25,4,FALSE)), VLOOKUP(B40,cnst_grazing!$C$10:$H$25,6,FALSE)),1)</f>
        <v>1</v>
      </c>
      <c r="Z40" s="937">
        <f t="shared" si="20"/>
        <v>0.3706582149679275</v>
      </c>
      <c r="AA40" s="933">
        <f t="shared" si="21"/>
        <v>1.4742551861341093</v>
      </c>
      <c r="AB40" s="933">
        <f>VLOOKUP($W40,feed_mix_n,MATCH(AB$5,feed_mix_w!$B$5:$AC$5,0),FALSE)/$Z40*VLOOKUP(AB$5,feed_intensity_w,11,FALSE)</f>
        <v>0.11269012171904692</v>
      </c>
      <c r="AC40" s="933">
        <f>VLOOKUP($W40,feed_mix_n,MATCH(AC$5,feed_mix_w!$B$5:$AC$5,0),FALSE)/$Z40*VLOOKUP(AC$5,feed_intensity_w,11,FALSE)</f>
        <v>0.11804829828805566</v>
      </c>
      <c r="AD40" s="933">
        <f>VLOOKUP($W40,feed_mix_n,MATCH(AD$5,feed_mix_w!$B$5:$AC$5,0),FALSE)/$Z40*VLOOKUP(AD$5,feed_intensity_w,11,FALSE)</f>
        <v>0</v>
      </c>
      <c r="AE40" s="933">
        <f>VLOOKUP($W40,feed_mix_n,MATCH(AE$5,feed_mix_w!$B$5:$AC$5,0),FALSE)/$Z40*VLOOKUP(AE$5,feed_intensity_w,11,FALSE)</f>
        <v>0.11211724607352111</v>
      </c>
      <c r="AF40" s="933">
        <f>VLOOKUP($W40,feed_mix_n,MATCH(AF$5,feed_mix_w!$B$5:$AC$5,0),FALSE)/$Z40*VLOOKUP(AF$5,feed_intensity_w,11,FALSE)</f>
        <v>4.4846898429408436E-2</v>
      </c>
      <c r="AG40" s="933">
        <f>VLOOKUP($W40,feed_mix_n,MATCH(AG$5,feed_mix_w!$B$5:$AC$5,0),FALSE)/$Z40*VLOOKUP(AG$5,feed_intensity_w,11,FALSE)</f>
        <v>0</v>
      </c>
      <c r="AH40" s="933">
        <f>VLOOKUP($W40,feed_mix_n,MATCH(AH$5,feed_mix_w!$B$5:$AC$5,0),FALSE)/$Z40*VLOOKUP(AH$5,feed_intensity_w,11,FALSE)</f>
        <v>4.4846898429408436E-2</v>
      </c>
      <c r="AI40" s="933">
        <f>VLOOKUP($W40,feed_mix_n,MATCH(AI$5,feed_mix_w!$B$5:$AC$5,0),FALSE)/$Z40*VLOOKUP(AI$5,feed_intensity_w,11,FALSE)</f>
        <v>0</v>
      </c>
      <c r="AJ40" s="933">
        <f>VLOOKUP($W40,feed_mix_n,MATCH(AJ$5,feed_mix_w!$B$5:$AC$5,0),FALSE)/$Z40*VLOOKUP(AJ$5,feed_intensity_w,11,FALSE)</f>
        <v>0</v>
      </c>
      <c r="AK40" s="933">
        <f>VLOOKUP($W40,feed_mix_n,MATCH(AK$5,feed_mix_w!$B$5:$AC$5,0),FALSE)/$Z40*VLOOKUP(AK$5,feed_intensity_w,11,FALSE)</f>
        <v>0</v>
      </c>
      <c r="AL40" s="933">
        <f>VLOOKUP($W40,feed_mix_n,MATCH(AL$5,feed_mix_w!$B$5:$AC$5,0),FALSE)/$Z40*VLOOKUP(AL$5,feed_intensity_w,11,FALSE)</f>
        <v>0</v>
      </c>
      <c r="AM40" s="933">
        <f>VLOOKUP($W40,feed_mix_n,MATCH(AM$5,feed_mix_w!$B$5:$AC$5,0),FALSE)/$Z40*VLOOKUP(AM$5,feed_intensity_w,11,FALSE)</f>
        <v>3.2744648314037179E-2</v>
      </c>
      <c r="AN40" s="933">
        <f>VLOOKUP($W40,feed_mix_n,MATCH(AN$5,feed_mix_w!$B$5:$AC$5,0),FALSE)/$Z40*VLOOKUP(AN$5,feed_intensity_w,11,FALSE)</f>
        <v>0</v>
      </c>
      <c r="AO40" s="933">
        <f>VLOOKUP($W40,feed_mix_n,MATCH(AO$5,feed_mix_w!$B$5:$AC$5,0),FALSE)/$Z40*VLOOKUP(AO$5,feed_intensity_w,11,FALSE)</f>
        <v>0</v>
      </c>
      <c r="AP40" s="933">
        <f>VLOOKUP($W40,feed_mix_n,MATCH(AP$5,feed_mix_w!$B$5:$AC$5,0),FALSE)/$Z40*VLOOKUP(AP$5,feed_intensity_w,11,FALSE)</f>
        <v>0</v>
      </c>
      <c r="AQ40" s="933">
        <f>VLOOKUP($W40,feed_mix_n,MATCH(AQ$5,feed_mix_w!$B$5:$AC$5,0),FALSE)/$Z40*VLOOKUP(AQ$5,feed_intensity_w,11,FALSE)</f>
        <v>0</v>
      </c>
      <c r="AR40" s="933">
        <f>VLOOKUP($W40,feed_mix_n,MATCH(AR$5,feed_mix_w!$B$5:$AC$5,0),FALSE)/$Z40*VLOOKUP(AR$5,feed_intensity_w,11,FALSE)</f>
        <v>4.371522323816724E-2</v>
      </c>
      <c r="AS40" s="1105">
        <f>VLOOKUP($W40,feed_mix_n,MATCH(AS$5,feed_mix_w!$B$5:$AC$5,0),FALSE)/$Z40*VLOOKUP(AS$5,feed_intensity_w,11,FALSE)</f>
        <v>0</v>
      </c>
    </row>
    <row r="41" spans="1:45" ht="12.75" customHeight="1">
      <c r="A41" s="1008" t="s">
        <v>271</v>
      </c>
      <c r="B41" s="1102">
        <v>905</v>
      </c>
      <c r="C41" s="1103" t="s">
        <v>1762</v>
      </c>
      <c r="D41" s="1158"/>
      <c r="E41" s="1158"/>
      <c r="F41" s="1012">
        <f t="shared" si="11"/>
        <v>0</v>
      </c>
      <c r="G41" s="1012">
        <f t="shared" si="12"/>
        <v>0</v>
      </c>
      <c r="H41" s="933">
        <f t="shared" si="13"/>
        <v>0.20159820579113011</v>
      </c>
      <c r="I41" s="1486">
        <f t="shared" si="14"/>
        <v>0</v>
      </c>
      <c r="J41" s="1006">
        <f>IFERROR(G41*VLOOKUP(W41,livestock_intensity!$B$7:$I$29,8,FALSE)/Z41,0)</f>
        <v>0</v>
      </c>
      <c r="K41" s="933">
        <f>VLOOKUP($W41,feed_mix_n,MATCH(K$5,feed_mix_w!$B$5:$AC$5,0),FALSE)/$Z41*VLOOKUP(K$5,feed_intensity_w,11,FALSE)</f>
        <v>0</v>
      </c>
      <c r="L41" s="1486">
        <f t="shared" si="15"/>
        <v>0</v>
      </c>
      <c r="M41" s="1447">
        <f>IFERROR(G41*VLOOKUP(W41,livestock_intensity!$B$7:$M$29,12,FALSE)/Z41,0)</f>
        <v>0</v>
      </c>
      <c r="N41" s="933">
        <f>VLOOKUP($W41,feed_mix_n,MATCH(N$5,feed_mix_w!$B$5:$AC$5,0),FALSE)/$Z41*VLOOKUP(N$5,feed_intensity_w,11,FALSE)</f>
        <v>0.38229521278385553</v>
      </c>
      <c r="O41" s="1486">
        <f t="shared" si="16"/>
        <v>0</v>
      </c>
      <c r="P41" s="939">
        <f>IFERROR(G41*VLOOKUP(W41,livestock_intensity!$B$7:$Q$29,16,FALSE)/Z41,0)</f>
        <v>0</v>
      </c>
      <c r="Q41" s="1530"/>
      <c r="R41" s="900">
        <f t="shared" si="17"/>
        <v>0</v>
      </c>
      <c r="S41" s="900">
        <f t="shared" si="18"/>
        <v>0</v>
      </c>
      <c r="T41" s="1483">
        <v>2741</v>
      </c>
      <c r="U41" s="1211" t="s">
        <v>2921</v>
      </c>
      <c r="V41" s="1212" t="str">
        <f>IFERROR(VLOOKUP(W41,constant_ag_extr!$D$7:$E$594,2,FALSE),"")</f>
        <v>Cow milk, whole, fresh</v>
      </c>
      <c r="W41" s="1213">
        <f t="shared" si="19"/>
        <v>882</v>
      </c>
      <c r="X41" s="1099">
        <f>IFERROR(IF(VLOOKUP(B41,cnst_grazing!$C$10:$H$25,5,FALSE)="", IF(VLOOKUP(B41, cnst_grazing!$C$10:$H$25,3,FALSE)="", VLOOKUP(B41, cnst_grazing!$C$10:$H$25,4,FALSE),VLOOKUP(B41, cnst_grazing!$C$10:$H$25,3,FALSE)), VLOOKUP(B41,cnst_grazing!$C$10:$H$25,5,FALSE)),1)</f>
        <v>1</v>
      </c>
      <c r="Y41" s="1099">
        <f>IFERROR(IF(VLOOKUP(B41,cnst_grazing!$C$10:$H$25,6,FALSE)="", IF(VLOOKUP(B41, cnst_grazing!$C$10:$H$25,4,FALSE)="", VLOOKUP(B41, cnst_grazing!$C$10:$H$25,3,FALSE),VLOOKUP(B41, cnst_grazing!$C$10:$H$25,4,FALSE)), VLOOKUP(B41,cnst_grazing!$C$10:$H$25,6,FALSE)),1)</f>
        <v>1</v>
      </c>
      <c r="Z41" s="937">
        <f t="shared" si="20"/>
        <v>0.93586394077415391</v>
      </c>
      <c r="AA41" s="933">
        <f t="shared" si="21"/>
        <v>0.58389341857498567</v>
      </c>
      <c r="AB41" s="933">
        <f>VLOOKUP($W41,feed_mix_n,MATCH(AB$5,feed_mix_w!$B$5:$AC$5,0),FALSE)/$Z41*VLOOKUP(AB$5,feed_intensity_w,11,FALSE)</f>
        <v>4.4632042694527092E-2</v>
      </c>
      <c r="AC41" s="933">
        <f>VLOOKUP($W41,feed_mix_n,MATCH(AC$5,feed_mix_w!$B$5:$AC$5,0),FALSE)/$Z41*VLOOKUP(AC$5,feed_intensity_w,11,FALSE)</f>
        <v>4.6754201777725525E-2</v>
      </c>
      <c r="AD41" s="933">
        <f>VLOOKUP($W41,feed_mix_n,MATCH(AD$5,feed_mix_w!$B$5:$AC$5,0),FALSE)/$Z41*VLOOKUP(AD$5,feed_intensity_w,11,FALSE)</f>
        <v>0</v>
      </c>
      <c r="AE41" s="933">
        <f>VLOOKUP($W41,feed_mix_n,MATCH(AE$5,feed_mix_w!$B$5:$AC$5,0),FALSE)/$Z41*VLOOKUP(AE$5,feed_intensity_w,11,FALSE)</f>
        <v>4.4405149601505954E-2</v>
      </c>
      <c r="AF41" s="933">
        <f>VLOOKUP($W41,feed_mix_n,MATCH(AF$5,feed_mix_w!$B$5:$AC$5,0),FALSE)/$Z41*VLOOKUP(AF$5,feed_intensity_w,11,FALSE)</f>
        <v>1.776205984060238E-2</v>
      </c>
      <c r="AG41" s="933">
        <f>VLOOKUP($W41,feed_mix_n,MATCH(AG$5,feed_mix_w!$B$5:$AC$5,0),FALSE)/$Z41*VLOOKUP(AG$5,feed_intensity_w,11,FALSE)</f>
        <v>0</v>
      </c>
      <c r="AH41" s="933">
        <f>VLOOKUP($W41,feed_mix_n,MATCH(AH$5,feed_mix_w!$B$5:$AC$5,0),FALSE)/$Z41*VLOOKUP(AH$5,feed_intensity_w,11,FALSE)</f>
        <v>1.776205984060238E-2</v>
      </c>
      <c r="AI41" s="933">
        <f>VLOOKUP($W41,feed_mix_n,MATCH(AI$5,feed_mix_w!$B$5:$AC$5,0),FALSE)/$Z41*VLOOKUP(AI$5,feed_intensity_w,11,FALSE)</f>
        <v>0</v>
      </c>
      <c r="AJ41" s="933">
        <f>VLOOKUP($W41,feed_mix_n,MATCH(AJ$5,feed_mix_w!$B$5:$AC$5,0),FALSE)/$Z41*VLOOKUP(AJ$5,feed_intensity_w,11,FALSE)</f>
        <v>0</v>
      </c>
      <c r="AK41" s="933">
        <f>VLOOKUP($W41,feed_mix_n,MATCH(AK$5,feed_mix_w!$B$5:$AC$5,0),FALSE)/$Z41*VLOOKUP(AK$5,feed_intensity_w,11,FALSE)</f>
        <v>0</v>
      </c>
      <c r="AL41" s="933">
        <f>VLOOKUP($W41,feed_mix_n,MATCH(AL$5,feed_mix_w!$B$5:$AC$5,0),FALSE)/$Z41*VLOOKUP(AL$5,feed_intensity_w,11,FALSE)</f>
        <v>0</v>
      </c>
      <c r="AM41" s="933">
        <f>VLOOKUP($W41,feed_mix_n,MATCH(AM$5,feed_mix_w!$B$5:$AC$5,0),FALSE)/$Z41*VLOOKUP(AM$5,feed_intensity_w,11,FALSE)</f>
        <v>1.2968843402379301E-2</v>
      </c>
      <c r="AN41" s="933">
        <f>VLOOKUP($W41,feed_mix_n,MATCH(AN$5,feed_mix_w!$B$5:$AC$5,0),FALSE)/$Z41*VLOOKUP(AN$5,feed_intensity_w,11,FALSE)</f>
        <v>0</v>
      </c>
      <c r="AO41" s="933">
        <f>VLOOKUP($W41,feed_mix_n,MATCH(AO$5,feed_mix_w!$B$5:$AC$5,0),FALSE)/$Z41*VLOOKUP(AO$5,feed_intensity_w,11,FALSE)</f>
        <v>0</v>
      </c>
      <c r="AP41" s="933">
        <f>VLOOKUP($W41,feed_mix_n,MATCH(AP$5,feed_mix_w!$B$5:$AC$5,0),FALSE)/$Z41*VLOOKUP(AP$5,feed_intensity_w,11,FALSE)</f>
        <v>0</v>
      </c>
      <c r="AQ41" s="933">
        <f>VLOOKUP($W41,feed_mix_n,MATCH(AQ$5,feed_mix_w!$B$5:$AC$5,0),FALSE)/$Z41*VLOOKUP(AQ$5,feed_intensity_w,11,FALSE)</f>
        <v>0</v>
      </c>
      <c r="AR41" s="933">
        <f>VLOOKUP($W41,feed_mix_n,MATCH(AR$5,feed_mix_w!$B$5:$AC$5,0),FALSE)/$Z41*VLOOKUP(AR$5,feed_intensity_w,11,FALSE)</f>
        <v>1.731384863378746E-2</v>
      </c>
      <c r="AS41" s="1105">
        <f>VLOOKUP($W41,feed_mix_n,MATCH(AS$5,feed_mix_w!$B$5:$AC$5,0),FALSE)/$Z41*VLOOKUP(AS$5,feed_intensity_w,11,FALSE)</f>
        <v>0</v>
      </c>
    </row>
    <row r="42" spans="1:45" ht="12.75" customHeight="1">
      <c r="A42" s="1008" t="s">
        <v>7360</v>
      </c>
      <c r="B42" s="1102">
        <v>907</v>
      </c>
      <c r="C42" s="1103" t="s">
        <v>694</v>
      </c>
      <c r="D42" s="1158">
        <v>5958</v>
      </c>
      <c r="E42" s="1158">
        <v>19372</v>
      </c>
      <c r="F42" s="1012">
        <f t="shared" si="11"/>
        <v>5958</v>
      </c>
      <c r="G42" s="1012">
        <f t="shared" si="12"/>
        <v>19372</v>
      </c>
      <c r="H42" s="933">
        <f t="shared" si="13"/>
        <v>1.343988038607534</v>
      </c>
      <c r="I42" s="1486">
        <f t="shared" si="14"/>
        <v>8007.4807340236875</v>
      </c>
      <c r="J42" s="1006">
        <f>IFERROR(G42*VLOOKUP(W42,livestock_intensity!$B$7:$I$29,8,FALSE)/Z42,0)</f>
        <v>23681.884767568357</v>
      </c>
      <c r="K42" s="933">
        <f>VLOOKUP($W42,feed_mix_n,MATCH(K$5,feed_mix_w!$B$5:$AC$5,0),FALSE)/$Z42*VLOOKUP(K$5,feed_intensity_w,11,FALSE)</f>
        <v>0</v>
      </c>
      <c r="L42" s="1486">
        <f t="shared" si="15"/>
        <v>0</v>
      </c>
      <c r="M42" s="1447">
        <f>IFERROR(G42*VLOOKUP(W42,livestock_intensity!$B$7:$M$29,12,FALSE)/Z42,0)</f>
        <v>0</v>
      </c>
      <c r="N42" s="933">
        <f>VLOOKUP($W42,feed_mix_n,MATCH(N$5,feed_mix_w!$B$5:$AC$5,0),FALSE)/$Z42*VLOOKUP(N$5,feed_intensity_w,11,FALSE)</f>
        <v>2.5486347518923704</v>
      </c>
      <c r="O42" s="1486">
        <f t="shared" si="16"/>
        <v>15184.765851774742</v>
      </c>
      <c r="P42" s="939">
        <f>IFERROR(G42*VLOOKUP(W42,livestock_intensity!$B$7:$Q$29,16,FALSE)/Z42,0)</f>
        <v>21943.263451419021</v>
      </c>
      <c r="Q42" s="1530"/>
      <c r="R42" s="900">
        <f t="shared" si="17"/>
        <v>23192.246585798428</v>
      </c>
      <c r="S42" s="900">
        <f t="shared" si="18"/>
        <v>45625.148218987379</v>
      </c>
      <c r="T42" s="1483">
        <v>2741</v>
      </c>
      <c r="U42" s="1211" t="s">
        <v>2921</v>
      </c>
      <c r="V42" s="1212" t="str">
        <f>IFERROR(VLOOKUP(W42,constant_ag_extr!$D$7:$E$594,2,FALSE),"")</f>
        <v>Cow milk, whole, fresh</v>
      </c>
      <c r="W42" s="1213">
        <f t="shared" si="19"/>
        <v>882</v>
      </c>
      <c r="X42" s="1099">
        <f>IFERROR(IF(VLOOKUP(B42,cnst_grazing!$C$10:$H$25,5,FALSE)="", IF(VLOOKUP(B42, cnst_grazing!$C$10:$H$25,3,FALSE)="", VLOOKUP(B42, cnst_grazing!$C$10:$H$25,4,FALSE),VLOOKUP(B42, cnst_grazing!$C$10:$H$25,3,FALSE)), VLOOKUP(B42,cnst_grazing!$C$10:$H$25,5,FALSE)),1)</f>
        <v>1</v>
      </c>
      <c r="Y42" s="1099">
        <f>IFERROR(IF(VLOOKUP(B42,cnst_grazing!$C$10:$H$25,6,FALSE)="", IF(VLOOKUP(B42, cnst_grazing!$C$10:$H$25,4,FALSE)="", VLOOKUP(B42, cnst_grazing!$C$10:$H$25,3,FALSE),VLOOKUP(B42, cnst_grazing!$C$10:$H$25,4,FALSE)), VLOOKUP(B42,cnst_grazing!$C$10:$H$25,6,FALSE)),1)</f>
        <v>1</v>
      </c>
      <c r="Z42" s="937">
        <f t="shared" si="20"/>
        <v>0.14037959111612308</v>
      </c>
      <c r="AA42" s="933">
        <f t="shared" si="21"/>
        <v>3.8926227904999045</v>
      </c>
      <c r="AB42" s="933">
        <f>VLOOKUP($W42,feed_mix_n,MATCH(AB$5,feed_mix_w!$B$5:$AC$5,0),FALSE)/$Z42*VLOOKUP(AB$5,feed_intensity_w,11,FALSE)</f>
        <v>0.29754695129684727</v>
      </c>
      <c r="AC42" s="933">
        <f>VLOOKUP($W42,feed_mix_n,MATCH(AC$5,feed_mix_w!$B$5:$AC$5,0),FALSE)/$Z42*VLOOKUP(AC$5,feed_intensity_w,11,FALSE)</f>
        <v>0.31169467851817018</v>
      </c>
      <c r="AD42" s="933">
        <f>VLOOKUP($W42,feed_mix_n,MATCH(AD$5,feed_mix_w!$B$5:$AC$5,0),FALSE)/$Z42*VLOOKUP(AD$5,feed_intensity_w,11,FALSE)</f>
        <v>0</v>
      </c>
      <c r="AE42" s="933">
        <f>VLOOKUP($W42,feed_mix_n,MATCH(AE$5,feed_mix_w!$B$5:$AC$5,0),FALSE)/$Z42*VLOOKUP(AE$5,feed_intensity_w,11,FALSE)</f>
        <v>0.29603433067670637</v>
      </c>
      <c r="AF42" s="933">
        <f>VLOOKUP($W42,feed_mix_n,MATCH(AF$5,feed_mix_w!$B$5:$AC$5,0),FALSE)/$Z42*VLOOKUP(AF$5,feed_intensity_w,11,FALSE)</f>
        <v>0.11841373227068254</v>
      </c>
      <c r="AG42" s="933">
        <f>VLOOKUP($W42,feed_mix_n,MATCH(AG$5,feed_mix_w!$B$5:$AC$5,0),FALSE)/$Z42*VLOOKUP(AG$5,feed_intensity_w,11,FALSE)</f>
        <v>0</v>
      </c>
      <c r="AH42" s="933">
        <f>VLOOKUP($W42,feed_mix_n,MATCH(AH$5,feed_mix_w!$B$5:$AC$5,0),FALSE)/$Z42*VLOOKUP(AH$5,feed_intensity_w,11,FALSE)</f>
        <v>0.11841373227068254</v>
      </c>
      <c r="AI42" s="933">
        <f>VLOOKUP($W42,feed_mix_n,MATCH(AI$5,feed_mix_w!$B$5:$AC$5,0),FALSE)/$Z42*VLOOKUP(AI$5,feed_intensity_w,11,FALSE)</f>
        <v>0</v>
      </c>
      <c r="AJ42" s="933">
        <f>VLOOKUP($W42,feed_mix_n,MATCH(AJ$5,feed_mix_w!$B$5:$AC$5,0),FALSE)/$Z42*VLOOKUP(AJ$5,feed_intensity_w,11,FALSE)</f>
        <v>0</v>
      </c>
      <c r="AK42" s="933">
        <f>VLOOKUP($W42,feed_mix_n,MATCH(AK$5,feed_mix_w!$B$5:$AC$5,0),FALSE)/$Z42*VLOOKUP(AK$5,feed_intensity_w,11,FALSE)</f>
        <v>0</v>
      </c>
      <c r="AL42" s="933">
        <f>VLOOKUP($W42,feed_mix_n,MATCH(AL$5,feed_mix_w!$B$5:$AC$5,0),FALSE)/$Z42*VLOOKUP(AL$5,feed_intensity_w,11,FALSE)</f>
        <v>0</v>
      </c>
      <c r="AM42" s="933">
        <f>VLOOKUP($W42,feed_mix_n,MATCH(AM$5,feed_mix_w!$B$5:$AC$5,0),FALSE)/$Z42*VLOOKUP(AM$5,feed_intensity_w,11,FALSE)</f>
        <v>8.6458956015861996E-2</v>
      </c>
      <c r="AN42" s="933">
        <f>VLOOKUP($W42,feed_mix_n,MATCH(AN$5,feed_mix_w!$B$5:$AC$5,0),FALSE)/$Z42*VLOOKUP(AN$5,feed_intensity_w,11,FALSE)</f>
        <v>0</v>
      </c>
      <c r="AO42" s="933">
        <f>VLOOKUP($W42,feed_mix_n,MATCH(AO$5,feed_mix_w!$B$5:$AC$5,0),FALSE)/$Z42*VLOOKUP(AO$5,feed_intensity_w,11,FALSE)</f>
        <v>0</v>
      </c>
      <c r="AP42" s="933">
        <f>VLOOKUP($W42,feed_mix_n,MATCH(AP$5,feed_mix_w!$B$5:$AC$5,0),FALSE)/$Z42*VLOOKUP(AP$5,feed_intensity_w,11,FALSE)</f>
        <v>0</v>
      </c>
      <c r="AQ42" s="933">
        <f>VLOOKUP($W42,feed_mix_n,MATCH(AQ$5,feed_mix_w!$B$5:$AC$5,0),FALSE)/$Z42*VLOOKUP(AQ$5,feed_intensity_w,11,FALSE)</f>
        <v>0</v>
      </c>
      <c r="AR42" s="933">
        <f>VLOOKUP($W42,feed_mix_n,MATCH(AR$5,feed_mix_w!$B$5:$AC$5,0),FALSE)/$Z42*VLOOKUP(AR$5,feed_intensity_w,11,FALSE)</f>
        <v>0.11542565755858306</v>
      </c>
      <c r="AS42" s="1105">
        <f>VLOOKUP($W42,feed_mix_n,MATCH(AS$5,feed_mix_w!$B$5:$AC$5,0),FALSE)/$Z42*VLOOKUP(AS$5,feed_intensity_w,11,FALSE)</f>
        <v>0</v>
      </c>
    </row>
    <row r="43" spans="1:45" ht="12.75" customHeight="1">
      <c r="A43" s="1008" t="s">
        <v>7361</v>
      </c>
      <c r="B43" s="1102">
        <v>908</v>
      </c>
      <c r="C43" s="1103" t="s">
        <v>1625</v>
      </c>
      <c r="D43" s="1158"/>
      <c r="E43" s="1158"/>
      <c r="F43" s="1012">
        <f t="shared" si="11"/>
        <v>0</v>
      </c>
      <c r="G43" s="1012">
        <f t="shared" si="12"/>
        <v>0</v>
      </c>
      <c r="H43" s="933">
        <f t="shared" si="13"/>
        <v>0.17598817717029777</v>
      </c>
      <c r="I43" s="1486">
        <f t="shared" si="14"/>
        <v>0</v>
      </c>
      <c r="J43" s="1006">
        <f>IFERROR(G43*VLOOKUP(W43,livestock_intensity!$B$7:$I$29,8,FALSE)/Z43,0)</f>
        <v>0</v>
      </c>
      <c r="K43" s="933">
        <f>VLOOKUP($W43,feed_mix_n,MATCH(K$5,feed_mix_w!$B$5:$AC$5,0),FALSE)/$Z43*VLOOKUP(K$5,feed_intensity_w,11,FALSE)</f>
        <v>0</v>
      </c>
      <c r="L43" s="1486">
        <f t="shared" si="15"/>
        <v>0</v>
      </c>
      <c r="M43" s="1447">
        <f>IFERROR(G43*VLOOKUP(W43,livestock_intensity!$B$7:$M$29,12,FALSE)/Z43,0)</f>
        <v>0</v>
      </c>
      <c r="N43" s="933">
        <f>VLOOKUP($W43,feed_mix_n,MATCH(N$5,feed_mix_w!$B$5:$AC$5,0),FALSE)/$Z43*VLOOKUP(N$5,feed_intensity_w,11,FALSE)</f>
        <v>0.33373033938837771</v>
      </c>
      <c r="O43" s="1486">
        <f t="shared" si="16"/>
        <v>0</v>
      </c>
      <c r="P43" s="939">
        <f>IFERROR(G43*VLOOKUP(W43,livestock_intensity!$B$7:$Q$29,16,FALSE)/Z43,0)</f>
        <v>0</v>
      </c>
      <c r="Q43" s="1530"/>
      <c r="R43" s="900">
        <f t="shared" si="17"/>
        <v>0</v>
      </c>
      <c r="S43" s="900">
        <f t="shared" si="18"/>
        <v>0</v>
      </c>
      <c r="T43" s="1483" t="s">
        <v>2862</v>
      </c>
      <c r="U43" s="1211" t="s">
        <v>2921</v>
      </c>
      <c r="V43" s="1212" t="str">
        <f>IFERROR(VLOOKUP(W43,constant_ag_extr!$D$7:$E$594,2,FALSE),"")</f>
        <v>Cow milk, whole, fresh</v>
      </c>
      <c r="W43" s="1213">
        <f t="shared" si="19"/>
        <v>882</v>
      </c>
      <c r="X43" s="1099">
        <f>IFERROR(IF(VLOOKUP(B43,cnst_grazing!$C$10:$H$25,5,FALSE)="", IF(VLOOKUP(B43, cnst_grazing!$C$10:$H$25,3,FALSE)="", VLOOKUP(B43, cnst_grazing!$C$10:$H$25,4,FALSE),VLOOKUP(B43, cnst_grazing!$C$10:$H$25,3,FALSE)), VLOOKUP(B43,cnst_grazing!$C$10:$H$25,5,FALSE)),1)</f>
        <v>1</v>
      </c>
      <c r="Y43" s="1099">
        <f>IFERROR(IF(VLOOKUP(B43,cnst_grazing!$C$10:$H$25,6,FALSE)="", IF(VLOOKUP(B43, cnst_grazing!$C$10:$H$25,4,FALSE)="", VLOOKUP(B43, cnst_grazing!$C$10:$H$25,3,FALSE),VLOOKUP(B43, cnst_grazing!$C$10:$H$25,4,FALSE)), VLOOKUP(B43,cnst_grazing!$C$10:$H$25,6,FALSE)),1)</f>
        <v>1</v>
      </c>
      <c r="Z43" s="937">
        <f t="shared" si="20"/>
        <v>1.0720520796241773</v>
      </c>
      <c r="AA43" s="933">
        <f t="shared" si="21"/>
        <v>0.50971851655867551</v>
      </c>
      <c r="AB43" s="933">
        <f>VLOOKUP($W43,feed_mix_n,MATCH(AB$5,feed_mix_w!$B$5:$AC$5,0),FALSE)/$Z43*VLOOKUP(AB$5,feed_intensity_w,11,FALSE)</f>
        <v>3.8962211029470971E-2</v>
      </c>
      <c r="AC43" s="933">
        <f>VLOOKUP($W43,feed_mix_n,MATCH(AC$5,feed_mix_w!$B$5:$AC$5,0),FALSE)/$Z43*VLOOKUP(AC$5,feed_intensity_w,11,FALSE)</f>
        <v>4.0814781627765029E-2</v>
      </c>
      <c r="AD43" s="933">
        <f>VLOOKUP($W43,feed_mix_n,MATCH(AD$5,feed_mix_w!$B$5:$AC$5,0),FALSE)/$Z43*VLOOKUP(AD$5,feed_intensity_w,11,FALSE)</f>
        <v>0</v>
      </c>
      <c r="AE43" s="933">
        <f>VLOOKUP($W43,feed_mix_n,MATCH(AE$5,feed_mix_w!$B$5:$AC$5,0),FALSE)/$Z43*VLOOKUP(AE$5,feed_intensity_w,11,FALSE)</f>
        <v>3.8764141301138706E-2</v>
      </c>
      <c r="AF43" s="933">
        <f>VLOOKUP($W43,feed_mix_n,MATCH(AF$5,feed_mix_w!$B$5:$AC$5,0),FALSE)/$Z43*VLOOKUP(AF$5,feed_intensity_w,11,FALSE)</f>
        <v>1.5505656520455482E-2</v>
      </c>
      <c r="AG43" s="933">
        <f>VLOOKUP($W43,feed_mix_n,MATCH(AG$5,feed_mix_w!$B$5:$AC$5,0),FALSE)/$Z43*VLOOKUP(AG$5,feed_intensity_w,11,FALSE)</f>
        <v>0</v>
      </c>
      <c r="AH43" s="933">
        <f>VLOOKUP($W43,feed_mix_n,MATCH(AH$5,feed_mix_w!$B$5:$AC$5,0),FALSE)/$Z43*VLOOKUP(AH$5,feed_intensity_w,11,FALSE)</f>
        <v>1.5505656520455482E-2</v>
      </c>
      <c r="AI43" s="933">
        <f>VLOOKUP($W43,feed_mix_n,MATCH(AI$5,feed_mix_w!$B$5:$AC$5,0),FALSE)/$Z43*VLOOKUP(AI$5,feed_intensity_w,11,FALSE)</f>
        <v>0</v>
      </c>
      <c r="AJ43" s="933">
        <f>VLOOKUP($W43,feed_mix_n,MATCH(AJ$5,feed_mix_w!$B$5:$AC$5,0),FALSE)/$Z43*VLOOKUP(AJ$5,feed_intensity_w,11,FALSE)</f>
        <v>0</v>
      </c>
      <c r="AK43" s="933">
        <f>VLOOKUP($W43,feed_mix_n,MATCH(AK$5,feed_mix_w!$B$5:$AC$5,0),FALSE)/$Z43*VLOOKUP(AK$5,feed_intensity_w,11,FALSE)</f>
        <v>0</v>
      </c>
      <c r="AL43" s="933">
        <f>VLOOKUP($W43,feed_mix_n,MATCH(AL$5,feed_mix_w!$B$5:$AC$5,0),FALSE)/$Z43*VLOOKUP(AL$5,feed_intensity_w,11,FALSE)</f>
        <v>0</v>
      </c>
      <c r="AM43" s="933">
        <f>VLOOKUP($W43,feed_mix_n,MATCH(AM$5,feed_mix_w!$B$5:$AC$5,0),FALSE)/$Z43*VLOOKUP(AM$5,feed_intensity_w,11,FALSE)</f>
        <v>1.1321346345495078E-2</v>
      </c>
      <c r="AN43" s="933">
        <f>VLOOKUP($W43,feed_mix_n,MATCH(AN$5,feed_mix_w!$B$5:$AC$5,0),FALSE)/$Z43*VLOOKUP(AN$5,feed_intensity_w,11,FALSE)</f>
        <v>0</v>
      </c>
      <c r="AO43" s="933">
        <f>VLOOKUP($W43,feed_mix_n,MATCH(AO$5,feed_mix_w!$B$5:$AC$5,0),FALSE)/$Z43*VLOOKUP(AO$5,feed_intensity_w,11,FALSE)</f>
        <v>0</v>
      </c>
      <c r="AP43" s="933">
        <f>VLOOKUP($W43,feed_mix_n,MATCH(AP$5,feed_mix_w!$B$5:$AC$5,0),FALSE)/$Z43*VLOOKUP(AP$5,feed_intensity_w,11,FALSE)</f>
        <v>0</v>
      </c>
      <c r="AQ43" s="933">
        <f>VLOOKUP($W43,feed_mix_n,MATCH(AQ$5,feed_mix_w!$B$5:$AC$5,0),FALSE)/$Z43*VLOOKUP(AQ$5,feed_intensity_w,11,FALSE)</f>
        <v>0</v>
      </c>
      <c r="AR43" s="933">
        <f>VLOOKUP($W43,feed_mix_n,MATCH(AR$5,feed_mix_w!$B$5:$AC$5,0),FALSE)/$Z43*VLOOKUP(AR$5,feed_intensity_w,11,FALSE)</f>
        <v>1.5114383825517004E-2</v>
      </c>
      <c r="AS43" s="1105">
        <f>VLOOKUP($W43,feed_mix_n,MATCH(AS$5,feed_mix_w!$B$5:$AC$5,0),FALSE)/$Z43*VLOOKUP(AS$5,feed_intensity_w,11,FALSE)</f>
        <v>0</v>
      </c>
    </row>
    <row r="44" spans="1:45" ht="12.75" customHeight="1">
      <c r="A44" s="1008" t="s">
        <v>7362</v>
      </c>
      <c r="B44" s="1102">
        <v>909</v>
      </c>
      <c r="C44" s="1103">
        <v>404.9</v>
      </c>
      <c r="D44" s="1158">
        <v>43363</v>
      </c>
      <c r="E44" s="1158">
        <v>39953</v>
      </c>
      <c r="F44" s="1012">
        <f t="shared" si="11"/>
        <v>43363</v>
      </c>
      <c r="G44" s="1012">
        <f t="shared" si="12"/>
        <v>39953</v>
      </c>
      <c r="H44" s="933">
        <f t="shared" si="13"/>
        <v>0.18866849132468586</v>
      </c>
      <c r="I44" s="1486">
        <f t="shared" si="14"/>
        <v>8181.2317893123527</v>
      </c>
      <c r="J44" s="1006">
        <f>IFERROR(G44*VLOOKUP(W44,livestock_intensity!$B$7:$I$29,8,FALSE)/Z44,0)</f>
        <v>6856.3846126414755</v>
      </c>
      <c r="K44" s="933">
        <f>VLOOKUP($W44,feed_mix_n,MATCH(K$5,feed_mix_w!$B$5:$AC$5,0),FALSE)/$Z44*VLOOKUP(K$5,feed_intensity_w,11,FALSE)</f>
        <v>0</v>
      </c>
      <c r="L44" s="1486">
        <f t="shared" si="15"/>
        <v>0</v>
      </c>
      <c r="M44" s="1447">
        <f>IFERROR(G44*VLOOKUP(W44,livestock_intensity!$B$7:$M$29,12,FALSE)/Z44,0)</f>
        <v>0</v>
      </c>
      <c r="N44" s="933">
        <f>VLOOKUP($W44,feed_mix_n,MATCH(N$5,feed_mix_w!$B$5:$AC$5,0),FALSE)/$Z44*VLOOKUP(N$5,feed_intensity_w,11,FALSE)</f>
        <v>0.35777630437499275</v>
      </c>
      <c r="O44" s="1486">
        <f t="shared" si="16"/>
        <v>15514.253886612811</v>
      </c>
      <c r="P44" s="939">
        <f>IFERROR(G44*VLOOKUP(W44,livestock_intensity!$B$7:$Q$29,16,FALSE)/Z44,0)</f>
        <v>6353.0185775367963</v>
      </c>
      <c r="Q44" s="1530"/>
      <c r="R44" s="900">
        <f t="shared" si="17"/>
        <v>23695.485675925163</v>
      </c>
      <c r="S44" s="900">
        <f t="shared" si="18"/>
        <v>13209.403190178273</v>
      </c>
      <c r="T44" s="1483" t="s">
        <v>2862</v>
      </c>
      <c r="U44" s="1211" t="s">
        <v>2921</v>
      </c>
      <c r="V44" s="1212" t="str">
        <f>IFERROR(VLOOKUP(W44,constant_ag_extr!$D$7:$E$594,2,FALSE),"")</f>
        <v>Cow milk, whole, fresh</v>
      </c>
      <c r="W44" s="1213">
        <f t="shared" si="19"/>
        <v>882</v>
      </c>
      <c r="X44" s="1099">
        <f>IFERROR(IF(VLOOKUP(B44,cnst_grazing!$C$10:$H$25,5,FALSE)="", IF(VLOOKUP(B44, cnst_grazing!$C$10:$H$25,3,FALSE)="", VLOOKUP(B44, cnst_grazing!$C$10:$H$25,4,FALSE),VLOOKUP(B44, cnst_grazing!$C$10:$H$25,3,FALSE)), VLOOKUP(B44,cnst_grazing!$C$10:$H$25,5,FALSE)),1)</f>
        <v>1</v>
      </c>
      <c r="Y44" s="1099">
        <f>IFERROR(IF(VLOOKUP(B44,cnst_grazing!$C$10:$H$25,6,FALSE)="", IF(VLOOKUP(B44, cnst_grazing!$C$10:$H$25,4,FALSE)="", VLOOKUP(B44, cnst_grazing!$C$10:$H$25,3,FALSE),VLOOKUP(B44, cnst_grazing!$C$10:$H$25,4,FALSE)), VLOOKUP(B44,cnst_grazing!$C$10:$H$25,6,FALSE)),1)</f>
        <v>1</v>
      </c>
      <c r="Z44" s="937">
        <f t="shared" si="20"/>
        <v>1</v>
      </c>
      <c r="AA44" s="933">
        <f t="shared" si="21"/>
        <v>0.54644479569967863</v>
      </c>
      <c r="AB44" s="933">
        <f>VLOOKUP($W44,feed_mix_n,MATCH(AB$5,feed_mix_w!$B$5:$AC$5,0),FALSE)/$Z44*VLOOKUP(AB$5,feed_intensity_w,11,FALSE)</f>
        <v>4.1769519360900412E-2</v>
      </c>
      <c r="AC44" s="933">
        <f>VLOOKUP($W44,feed_mix_n,MATCH(AC$5,feed_mix_w!$B$5:$AC$5,0),FALSE)/$Z44*VLOOKUP(AC$5,feed_intensity_w,11,FALSE)</f>
        <v>4.3755571523452164E-2</v>
      </c>
      <c r="AD44" s="933">
        <f>VLOOKUP($W44,feed_mix_n,MATCH(AD$5,feed_mix_w!$B$5:$AC$5,0),FALSE)/$Z44*VLOOKUP(AD$5,feed_intensity_w,11,FALSE)</f>
        <v>0</v>
      </c>
      <c r="AE44" s="933">
        <f>VLOOKUP($W44,feed_mix_n,MATCH(AE$5,feed_mix_w!$B$5:$AC$5,0),FALSE)/$Z44*VLOOKUP(AE$5,feed_intensity_w,11,FALSE)</f>
        <v>4.1557178296731209E-2</v>
      </c>
      <c r="AF44" s="933">
        <f>VLOOKUP($W44,feed_mix_n,MATCH(AF$5,feed_mix_w!$B$5:$AC$5,0),FALSE)/$Z44*VLOOKUP(AF$5,feed_intensity_w,11,FALSE)</f>
        <v>1.6622871318692483E-2</v>
      </c>
      <c r="AG44" s="933">
        <f>VLOOKUP($W44,feed_mix_n,MATCH(AG$5,feed_mix_w!$B$5:$AC$5,0),FALSE)/$Z44*VLOOKUP(AG$5,feed_intensity_w,11,FALSE)</f>
        <v>0</v>
      </c>
      <c r="AH44" s="933">
        <f>VLOOKUP($W44,feed_mix_n,MATCH(AH$5,feed_mix_w!$B$5:$AC$5,0),FALSE)/$Z44*VLOOKUP(AH$5,feed_intensity_w,11,FALSE)</f>
        <v>1.6622871318692483E-2</v>
      </c>
      <c r="AI44" s="933">
        <f>VLOOKUP($W44,feed_mix_n,MATCH(AI$5,feed_mix_w!$B$5:$AC$5,0),FALSE)/$Z44*VLOOKUP(AI$5,feed_intensity_w,11,FALSE)</f>
        <v>0</v>
      </c>
      <c r="AJ44" s="933">
        <f>VLOOKUP($W44,feed_mix_n,MATCH(AJ$5,feed_mix_w!$B$5:$AC$5,0),FALSE)/$Z44*VLOOKUP(AJ$5,feed_intensity_w,11,FALSE)</f>
        <v>0</v>
      </c>
      <c r="AK44" s="933">
        <f>VLOOKUP($W44,feed_mix_n,MATCH(AK$5,feed_mix_w!$B$5:$AC$5,0),FALSE)/$Z44*VLOOKUP(AK$5,feed_intensity_w,11,FALSE)</f>
        <v>0</v>
      </c>
      <c r="AL44" s="933">
        <f>VLOOKUP($W44,feed_mix_n,MATCH(AL$5,feed_mix_w!$B$5:$AC$5,0),FALSE)/$Z44*VLOOKUP(AL$5,feed_intensity_w,11,FALSE)</f>
        <v>0</v>
      </c>
      <c r="AM44" s="933">
        <f>VLOOKUP($W44,feed_mix_n,MATCH(AM$5,feed_mix_w!$B$5:$AC$5,0),FALSE)/$Z44*VLOOKUP(AM$5,feed_intensity_w,11,FALSE)</f>
        <v>1.2137072893833577E-2</v>
      </c>
      <c r="AN44" s="933">
        <f>VLOOKUP($W44,feed_mix_n,MATCH(AN$5,feed_mix_w!$B$5:$AC$5,0),FALSE)/$Z44*VLOOKUP(AN$5,feed_intensity_w,11,FALSE)</f>
        <v>0</v>
      </c>
      <c r="AO44" s="933">
        <f>VLOOKUP($W44,feed_mix_n,MATCH(AO$5,feed_mix_w!$B$5:$AC$5,0),FALSE)/$Z44*VLOOKUP(AO$5,feed_intensity_w,11,FALSE)</f>
        <v>0</v>
      </c>
      <c r="AP44" s="933">
        <f>VLOOKUP($W44,feed_mix_n,MATCH(AP$5,feed_mix_w!$B$5:$AC$5,0),FALSE)/$Z44*VLOOKUP(AP$5,feed_intensity_w,11,FALSE)</f>
        <v>0</v>
      </c>
      <c r="AQ44" s="933">
        <f>VLOOKUP($W44,feed_mix_n,MATCH(AQ$5,feed_mix_w!$B$5:$AC$5,0),FALSE)/$Z44*VLOOKUP(AQ$5,feed_intensity_w,11,FALSE)</f>
        <v>0</v>
      </c>
      <c r="AR44" s="933">
        <f>VLOOKUP($W44,feed_mix_n,MATCH(AR$5,feed_mix_w!$B$5:$AC$5,0),FALSE)/$Z44*VLOOKUP(AR$5,feed_intensity_w,11,FALSE)</f>
        <v>1.6203406612383533E-2</v>
      </c>
      <c r="AS44" s="1105">
        <f>VLOOKUP($W44,feed_mix_n,MATCH(AS$5,feed_mix_w!$B$5:$AC$5,0),FALSE)/$Z44*VLOOKUP(AS$5,feed_intensity_w,11,FALSE)</f>
        <v>0</v>
      </c>
    </row>
    <row r="45" spans="1:45" ht="12.75" customHeight="1">
      <c r="A45" s="1008" t="s">
        <v>7363</v>
      </c>
      <c r="B45" s="1102">
        <v>910</v>
      </c>
      <c r="C45" s="1103">
        <v>2105</v>
      </c>
      <c r="D45" s="1158">
        <v>24431</v>
      </c>
      <c r="E45" s="1158">
        <v>64369</v>
      </c>
      <c r="F45" s="1012">
        <f t="shared" si="11"/>
        <v>24431</v>
      </c>
      <c r="G45" s="1012">
        <f t="shared" si="12"/>
        <v>64369</v>
      </c>
      <c r="H45" s="933">
        <f t="shared" si="13"/>
        <v>0.18866849132468586</v>
      </c>
      <c r="I45" s="1486">
        <f t="shared" si="14"/>
        <v>4609.3599115533998</v>
      </c>
      <c r="J45" s="1006">
        <f>IFERROR(G45*VLOOKUP(W45,livestock_intensity!$B$7:$I$29,8,FALSE)/Z45,0)</f>
        <v>11046.445101271973</v>
      </c>
      <c r="K45" s="933">
        <f>VLOOKUP($W45,feed_mix_n,MATCH(K$5,feed_mix_w!$B$5:$AC$5,0),FALSE)/$Z45*VLOOKUP(K$5,feed_intensity_w,11,FALSE)</f>
        <v>0</v>
      </c>
      <c r="L45" s="1486">
        <f t="shared" si="15"/>
        <v>0</v>
      </c>
      <c r="M45" s="1447">
        <f>IFERROR(G45*VLOOKUP(W45,livestock_intensity!$B$7:$M$29,12,FALSE)/Z45,0)</f>
        <v>0</v>
      </c>
      <c r="N45" s="933">
        <f>VLOOKUP($W45,feed_mix_n,MATCH(N$5,feed_mix_w!$B$5:$AC$5,0),FALSE)/$Z45*VLOOKUP(N$5,feed_intensity_w,11,FALSE)</f>
        <v>0.35777630437499275</v>
      </c>
      <c r="O45" s="1486">
        <f t="shared" si="16"/>
        <v>8740.8328921854481</v>
      </c>
      <c r="P45" s="939">
        <f>IFERROR(G45*VLOOKUP(W45,livestock_intensity!$B$7:$Q$29,16,FALSE)/Z45,0)</f>
        <v>10235.462989449254</v>
      </c>
      <c r="Q45" s="1530"/>
      <c r="R45" s="900">
        <f t="shared" si="17"/>
        <v>13350.192803738848</v>
      </c>
      <c r="S45" s="900">
        <f t="shared" si="18"/>
        <v>21281.908090721226</v>
      </c>
      <c r="T45" s="1483" t="s">
        <v>2862</v>
      </c>
      <c r="U45" s="1211" t="s">
        <v>2921</v>
      </c>
      <c r="V45" s="1212" t="str">
        <f>IFERROR(VLOOKUP(W45,constant_ag_extr!$D$7:$E$594,2,FALSE),"")</f>
        <v>Cow milk, whole, fresh</v>
      </c>
      <c r="W45" s="1213">
        <f t="shared" si="19"/>
        <v>882</v>
      </c>
      <c r="X45" s="1099">
        <f>IFERROR(IF(VLOOKUP(B45,cnst_grazing!$C$10:$H$25,5,FALSE)="", IF(VLOOKUP(B45, cnst_grazing!$C$10:$H$25,3,FALSE)="", VLOOKUP(B45, cnst_grazing!$C$10:$H$25,4,FALSE),VLOOKUP(B45, cnst_grazing!$C$10:$H$25,3,FALSE)), VLOOKUP(B45,cnst_grazing!$C$10:$H$25,5,FALSE)),1)</f>
        <v>1</v>
      </c>
      <c r="Y45" s="1099">
        <f>IFERROR(IF(VLOOKUP(B45,cnst_grazing!$C$10:$H$25,6,FALSE)="", IF(VLOOKUP(B45, cnst_grazing!$C$10:$H$25,4,FALSE)="", VLOOKUP(B45, cnst_grazing!$C$10:$H$25,3,FALSE),VLOOKUP(B45, cnst_grazing!$C$10:$H$25,4,FALSE)), VLOOKUP(B45,cnst_grazing!$C$10:$H$25,6,FALSE)),1)</f>
        <v>1</v>
      </c>
      <c r="Z45" s="937">
        <f t="shared" si="20"/>
        <v>1</v>
      </c>
      <c r="AA45" s="933">
        <f t="shared" si="21"/>
        <v>0.54644479569967863</v>
      </c>
      <c r="AB45" s="933">
        <f>VLOOKUP($W45,feed_mix_n,MATCH(AB$5,feed_mix_w!$B$5:$AC$5,0),FALSE)/$Z45*VLOOKUP(AB$5,feed_intensity_w,11,FALSE)</f>
        <v>4.1769519360900412E-2</v>
      </c>
      <c r="AC45" s="933">
        <f>VLOOKUP($W45,feed_mix_n,MATCH(AC$5,feed_mix_w!$B$5:$AC$5,0),FALSE)/$Z45*VLOOKUP(AC$5,feed_intensity_w,11,FALSE)</f>
        <v>4.3755571523452164E-2</v>
      </c>
      <c r="AD45" s="933">
        <f>VLOOKUP($W45,feed_mix_n,MATCH(AD$5,feed_mix_w!$B$5:$AC$5,0),FALSE)/$Z45*VLOOKUP(AD$5,feed_intensity_w,11,FALSE)</f>
        <v>0</v>
      </c>
      <c r="AE45" s="933">
        <f>VLOOKUP($W45,feed_mix_n,MATCH(AE$5,feed_mix_w!$B$5:$AC$5,0),FALSE)/$Z45*VLOOKUP(AE$5,feed_intensity_w,11,FALSE)</f>
        <v>4.1557178296731209E-2</v>
      </c>
      <c r="AF45" s="933">
        <f>VLOOKUP($W45,feed_mix_n,MATCH(AF$5,feed_mix_w!$B$5:$AC$5,0),FALSE)/$Z45*VLOOKUP(AF$5,feed_intensity_w,11,FALSE)</f>
        <v>1.6622871318692483E-2</v>
      </c>
      <c r="AG45" s="933">
        <f>VLOOKUP($W45,feed_mix_n,MATCH(AG$5,feed_mix_w!$B$5:$AC$5,0),FALSE)/$Z45*VLOOKUP(AG$5,feed_intensity_w,11,FALSE)</f>
        <v>0</v>
      </c>
      <c r="AH45" s="933">
        <f>VLOOKUP($W45,feed_mix_n,MATCH(AH$5,feed_mix_w!$B$5:$AC$5,0),FALSE)/$Z45*VLOOKUP(AH$5,feed_intensity_w,11,FALSE)</f>
        <v>1.6622871318692483E-2</v>
      </c>
      <c r="AI45" s="933">
        <f>VLOOKUP($W45,feed_mix_n,MATCH(AI$5,feed_mix_w!$B$5:$AC$5,0),FALSE)/$Z45*VLOOKUP(AI$5,feed_intensity_w,11,FALSE)</f>
        <v>0</v>
      </c>
      <c r="AJ45" s="933">
        <f>VLOOKUP($W45,feed_mix_n,MATCH(AJ$5,feed_mix_w!$B$5:$AC$5,0),FALSE)/$Z45*VLOOKUP(AJ$5,feed_intensity_w,11,FALSE)</f>
        <v>0</v>
      </c>
      <c r="AK45" s="933">
        <f>VLOOKUP($W45,feed_mix_n,MATCH(AK$5,feed_mix_w!$B$5:$AC$5,0),FALSE)/$Z45*VLOOKUP(AK$5,feed_intensity_w,11,FALSE)</f>
        <v>0</v>
      </c>
      <c r="AL45" s="933">
        <f>VLOOKUP($W45,feed_mix_n,MATCH(AL$5,feed_mix_w!$B$5:$AC$5,0),FALSE)/$Z45*VLOOKUP(AL$5,feed_intensity_w,11,FALSE)</f>
        <v>0</v>
      </c>
      <c r="AM45" s="933">
        <f>VLOOKUP($W45,feed_mix_n,MATCH(AM$5,feed_mix_w!$B$5:$AC$5,0),FALSE)/$Z45*VLOOKUP(AM$5,feed_intensity_w,11,FALSE)</f>
        <v>1.2137072893833577E-2</v>
      </c>
      <c r="AN45" s="933">
        <f>VLOOKUP($W45,feed_mix_n,MATCH(AN$5,feed_mix_w!$B$5:$AC$5,0),FALSE)/$Z45*VLOOKUP(AN$5,feed_intensity_w,11,FALSE)</f>
        <v>0</v>
      </c>
      <c r="AO45" s="933">
        <f>VLOOKUP($W45,feed_mix_n,MATCH(AO$5,feed_mix_w!$B$5:$AC$5,0),FALSE)/$Z45*VLOOKUP(AO$5,feed_intensity_w,11,FALSE)</f>
        <v>0</v>
      </c>
      <c r="AP45" s="933">
        <f>VLOOKUP($W45,feed_mix_n,MATCH(AP$5,feed_mix_w!$B$5:$AC$5,0),FALSE)/$Z45*VLOOKUP(AP$5,feed_intensity_w,11,FALSE)</f>
        <v>0</v>
      </c>
      <c r="AQ45" s="933">
        <f>VLOOKUP($W45,feed_mix_n,MATCH(AQ$5,feed_mix_w!$B$5:$AC$5,0),FALSE)/$Z45*VLOOKUP(AQ$5,feed_intensity_w,11,FALSE)</f>
        <v>0</v>
      </c>
      <c r="AR45" s="933">
        <f>VLOOKUP($W45,feed_mix_n,MATCH(AR$5,feed_mix_w!$B$5:$AC$5,0),FALSE)/$Z45*VLOOKUP(AR$5,feed_intensity_w,11,FALSE)</f>
        <v>1.6203406612383533E-2</v>
      </c>
      <c r="AS45" s="1105">
        <f>VLOOKUP($W45,feed_mix_n,MATCH(AS$5,feed_mix_w!$B$5:$AC$5,0),FALSE)/$Z45*VLOOKUP(AS$5,feed_intensity_w,11,FALSE)</f>
        <v>0</v>
      </c>
    </row>
    <row r="46" spans="1:45" ht="12.75" customHeight="1">
      <c r="A46" s="1008" t="s">
        <v>7364</v>
      </c>
      <c r="B46" s="1102">
        <v>919</v>
      </c>
      <c r="C46" s="1103" t="s">
        <v>10</v>
      </c>
      <c r="D46" s="1158"/>
      <c r="E46" s="1158"/>
      <c r="F46" s="1012">
        <f t="shared" si="11"/>
        <v>0</v>
      </c>
      <c r="G46" s="1012">
        <f t="shared" si="12"/>
        <v>0</v>
      </c>
      <c r="H46" s="933">
        <f t="shared" si="13"/>
        <v>1.3440999536526939</v>
      </c>
      <c r="I46" s="1486">
        <f t="shared" si="14"/>
        <v>0</v>
      </c>
      <c r="J46" s="1006">
        <f>IFERROR(G46*VLOOKUP(W46,livestock_intensity!$B$7:$I$29,8,FALSE)/Z46,0)</f>
        <v>0</v>
      </c>
      <c r="K46" s="933">
        <f>VLOOKUP($W46,feed_mix_n,MATCH(K$5,feed_mix_w!$B$5:$AC$5,0),FALSE)/$Z46*VLOOKUP(K$5,feed_intensity_w,11,FALSE)</f>
        <v>0</v>
      </c>
      <c r="L46" s="1486">
        <f t="shared" si="15"/>
        <v>0</v>
      </c>
      <c r="M46" s="1447">
        <f>IFERROR(G46*VLOOKUP(W46,livestock_intensity!$B$7:$M$29,12,FALSE)/Z46,0)</f>
        <v>0</v>
      </c>
      <c r="N46" s="933">
        <f>VLOOKUP($W46,feed_mix_n,MATCH(N$5,feed_mix_w!$B$5:$AC$5,0),FALSE)/$Z46*VLOOKUP(N$5,feed_intensity_w,11,FALSE)</f>
        <v>3.3692576928651952</v>
      </c>
      <c r="O46" s="1486">
        <f t="shared" si="16"/>
        <v>0</v>
      </c>
      <c r="P46" s="939">
        <f>IFERROR(G46*VLOOKUP(W46,livestock_intensity!$B$7:$Q$29,16,FALSE)/Z46,0)</f>
        <v>0</v>
      </c>
      <c r="Q46" s="1530"/>
      <c r="R46" s="900">
        <f t="shared" si="17"/>
        <v>0</v>
      </c>
      <c r="S46" s="900">
        <f t="shared" si="18"/>
        <v>0</v>
      </c>
      <c r="T46" s="1483">
        <v>2748</v>
      </c>
      <c r="U46" s="1211" t="s">
        <v>2921</v>
      </c>
      <c r="V46" s="1212" t="str">
        <f>IFERROR(VLOOKUP(W46,constant_ag_extr!$D$7:$E$594,2,FALSE),"")</f>
        <v>Cattle</v>
      </c>
      <c r="W46" s="1213">
        <f t="shared" si="19"/>
        <v>866</v>
      </c>
      <c r="X46" s="1099">
        <f>IFERROR(IF(VLOOKUP(B46,cnst_grazing!$C$10:$H$25,5,FALSE)="", IF(VLOOKUP(B46, cnst_grazing!$C$10:$H$25,3,FALSE)="", VLOOKUP(B46, cnst_grazing!$C$10:$H$25,4,FALSE),VLOOKUP(B46, cnst_grazing!$C$10:$H$25,3,FALSE)), VLOOKUP(B46,cnst_grazing!$C$10:$H$25,5,FALSE)),1)</f>
        <v>1</v>
      </c>
      <c r="Y46" s="1099">
        <f>IFERROR(IF(VLOOKUP(B46,cnst_grazing!$C$10:$H$25,6,FALSE)="", IF(VLOOKUP(B46, cnst_grazing!$C$10:$H$25,4,FALSE)="", VLOOKUP(B46, cnst_grazing!$C$10:$H$25,3,FALSE),VLOOKUP(B46, cnst_grazing!$C$10:$H$25,4,FALSE)), VLOOKUP(B46,cnst_grazing!$C$10:$H$25,6,FALSE)),1)</f>
        <v>1</v>
      </c>
      <c r="Z46" s="937">
        <f t="shared" si="20"/>
        <v>2.6682264013794783</v>
      </c>
      <c r="AA46" s="933">
        <f t="shared" si="21"/>
        <v>4.7133576465178892</v>
      </c>
      <c r="AB46" s="933">
        <f>VLOOKUP($W46,feed_mix_n,MATCH(AB$5,feed_mix_w!$B$5:$AC$5,0),FALSE)/$Z46*VLOOKUP(AB$5,feed_intensity_w,11,FALSE)</f>
        <v>0.37054964258960732</v>
      </c>
      <c r="AC46" s="933">
        <f>VLOOKUP($W46,feed_mix_n,MATCH(AC$5,feed_mix_w!$B$5:$AC$5,0),FALSE)/$Z46*VLOOKUP(AC$5,feed_intensity_w,11,FALSE)</f>
        <v>0.15526739725424207</v>
      </c>
      <c r="AD46" s="933">
        <f>VLOOKUP($W46,feed_mix_n,MATCH(AD$5,feed_mix_w!$B$5:$AC$5,0),FALSE)/$Z46*VLOOKUP(AD$5,feed_intensity_w,11,FALSE)</f>
        <v>0</v>
      </c>
      <c r="AE46" s="933">
        <f>VLOOKUP($W46,feed_mix_n,MATCH(AE$5,feed_mix_w!$B$5:$AC$5,0),FALSE)/$Z46*VLOOKUP(AE$5,feed_intensity_w,11,FALSE)</f>
        <v>0.29493272224340739</v>
      </c>
      <c r="AF46" s="933">
        <f>VLOOKUP($W46,feed_mix_n,MATCH(AF$5,feed_mix_w!$B$5:$AC$5,0),FALSE)/$Z46*VLOOKUP(AF$5,feed_intensity_w,11,FALSE)</f>
        <v>0.14746636112170369</v>
      </c>
      <c r="AG46" s="933">
        <f>VLOOKUP($W46,feed_mix_n,MATCH(AG$5,feed_mix_w!$B$5:$AC$5,0),FALSE)/$Z46*VLOOKUP(AG$5,feed_intensity_w,11,FALSE)</f>
        <v>0</v>
      </c>
      <c r="AH46" s="933">
        <f>VLOOKUP($W46,feed_mix_n,MATCH(AH$5,feed_mix_w!$B$5:$AC$5,0),FALSE)/$Z46*VLOOKUP(AH$5,feed_intensity_w,11,FALSE)</f>
        <v>0.14746636112170369</v>
      </c>
      <c r="AI46" s="933">
        <f>VLOOKUP($W46,feed_mix_n,MATCH(AI$5,feed_mix_w!$B$5:$AC$5,0),FALSE)/$Z46*VLOOKUP(AI$5,feed_intensity_w,11,FALSE)</f>
        <v>0</v>
      </c>
      <c r="AJ46" s="933">
        <f>VLOOKUP($W46,feed_mix_n,MATCH(AJ$5,feed_mix_w!$B$5:$AC$5,0),FALSE)/$Z46*VLOOKUP(AJ$5,feed_intensity_w,11,FALSE)</f>
        <v>0</v>
      </c>
      <c r="AK46" s="933">
        <f>VLOOKUP($W46,feed_mix_n,MATCH(AK$5,feed_mix_w!$B$5:$AC$5,0),FALSE)/$Z46*VLOOKUP(AK$5,feed_intensity_w,11,FALSE)</f>
        <v>0</v>
      </c>
      <c r="AL46" s="933">
        <f>VLOOKUP($W46,feed_mix_n,MATCH(AL$5,feed_mix_w!$B$5:$AC$5,0),FALSE)/$Z46*VLOOKUP(AL$5,feed_intensity_w,11,FALSE)</f>
        <v>0</v>
      </c>
      <c r="AM46" s="933">
        <f>VLOOKUP($W46,feed_mix_n,MATCH(AM$5,feed_mix_w!$B$5:$AC$5,0),FALSE)/$Z46*VLOOKUP(AM$5,feed_intensity_w,11,FALSE)</f>
        <v>0.10767152918460335</v>
      </c>
      <c r="AN46" s="933">
        <f>VLOOKUP($W46,feed_mix_n,MATCH(AN$5,feed_mix_w!$B$5:$AC$5,0),FALSE)/$Z46*VLOOKUP(AN$5,feed_intensity_w,11,FALSE)</f>
        <v>0</v>
      </c>
      <c r="AO46" s="933">
        <f>VLOOKUP($W46,feed_mix_n,MATCH(AO$5,feed_mix_w!$B$5:$AC$5,0),FALSE)/$Z46*VLOOKUP(AO$5,feed_intensity_w,11,FALSE)</f>
        <v>0</v>
      </c>
      <c r="AP46" s="933">
        <f>VLOOKUP($W46,feed_mix_n,MATCH(AP$5,feed_mix_w!$B$5:$AC$5,0),FALSE)/$Z46*VLOOKUP(AP$5,feed_intensity_w,11,FALSE)</f>
        <v>0</v>
      </c>
      <c r="AQ46" s="933">
        <f>VLOOKUP($W46,feed_mix_n,MATCH(AQ$5,feed_mix_w!$B$5:$AC$5,0),FALSE)/$Z46*VLOOKUP(AQ$5,feed_intensity_w,11,FALSE)</f>
        <v>0</v>
      </c>
      <c r="AR46" s="933">
        <f>VLOOKUP($W46,feed_mix_n,MATCH(AR$5,feed_mix_w!$B$5:$AC$5,0),FALSE)/$Z46*VLOOKUP(AR$5,feed_intensity_w,11,FALSE)</f>
        <v>0.12074594013742629</v>
      </c>
      <c r="AS46" s="1105">
        <f>VLOOKUP($W46,feed_mix_n,MATCH(AS$5,feed_mix_w!$B$5:$AC$5,0),FALSE)/$Z46*VLOOKUP(AS$5,feed_intensity_w,11,FALSE)</f>
        <v>0</v>
      </c>
    </row>
    <row r="47" spans="1:45" ht="12.75" customHeight="1">
      <c r="A47" s="1008" t="s">
        <v>7365</v>
      </c>
      <c r="B47" s="1102">
        <v>920</v>
      </c>
      <c r="C47" s="1103" t="s">
        <v>1621</v>
      </c>
      <c r="D47" s="1158">
        <v>17106</v>
      </c>
      <c r="E47" s="1158">
        <v>741893</v>
      </c>
      <c r="F47" s="1012">
        <f t="shared" si="11"/>
        <v>17106</v>
      </c>
      <c r="G47" s="1012">
        <f t="shared" si="12"/>
        <v>741893</v>
      </c>
      <c r="H47" s="933">
        <f t="shared" si="13"/>
        <v>1.6801249420658677</v>
      </c>
      <c r="I47" s="1486">
        <f t="shared" si="14"/>
        <v>28740.217258978733</v>
      </c>
      <c r="J47" s="1006">
        <f>IFERROR(G47*VLOOKUP(W47,livestock_intensity!$B$7:$I$29,8,FALSE)/Z47,0)</f>
        <v>1450461.3396443494</v>
      </c>
      <c r="K47" s="933">
        <f>VLOOKUP($W47,feed_mix_n,MATCH(K$5,feed_mix_w!$B$5:$AC$5,0),FALSE)/$Z47*VLOOKUP(K$5,feed_intensity_w,11,FALSE)</f>
        <v>0</v>
      </c>
      <c r="L47" s="1486">
        <f t="shared" si="15"/>
        <v>0</v>
      </c>
      <c r="M47" s="1447">
        <f>IFERROR(G47*VLOOKUP(W47,livestock_intensity!$B$7:$M$29,12,FALSE)/Z47,0)</f>
        <v>0</v>
      </c>
      <c r="N47" s="933">
        <f>VLOOKUP($W47,feed_mix_n,MATCH(N$5,feed_mix_w!$B$5:$AC$5,0),FALSE)/$Z47*VLOOKUP(N$5,feed_intensity_w,11,FALSE)</f>
        <v>4.211572116081495</v>
      </c>
      <c r="O47" s="1486">
        <f t="shared" si="16"/>
        <v>72043.152617690052</v>
      </c>
      <c r="P47" s="939">
        <f>IFERROR(G47*VLOOKUP(W47,livestock_intensity!$B$7:$Q$29,16,FALSE)/Z47,0)</f>
        <v>1776504.3844961741</v>
      </c>
      <c r="Q47" s="1530"/>
      <c r="R47" s="900">
        <f t="shared" si="17"/>
        <v>100783.36987666879</v>
      </c>
      <c r="S47" s="900">
        <f t="shared" si="18"/>
        <v>3226965.7241405235</v>
      </c>
      <c r="T47" s="1483">
        <v>2748</v>
      </c>
      <c r="U47" s="1211" t="s">
        <v>2921</v>
      </c>
      <c r="V47" s="1212" t="str">
        <f>IFERROR(VLOOKUP(W47,constant_ag_extr!$D$7:$E$594,2,FALSE),"")</f>
        <v>Cattle</v>
      </c>
      <c r="W47" s="1213">
        <f t="shared" si="19"/>
        <v>866</v>
      </c>
      <c r="X47" s="1099">
        <f>IFERROR(IF(VLOOKUP(B47,cnst_grazing!$C$10:$H$25,5,FALSE)="", IF(VLOOKUP(B47, cnst_grazing!$C$10:$H$25,3,FALSE)="", VLOOKUP(B47, cnst_grazing!$C$10:$H$25,4,FALSE),VLOOKUP(B47, cnst_grazing!$C$10:$H$25,3,FALSE)), VLOOKUP(B47,cnst_grazing!$C$10:$H$25,5,FALSE)),1)</f>
        <v>1</v>
      </c>
      <c r="Y47" s="1099">
        <f>IFERROR(IF(VLOOKUP(B47,cnst_grazing!$C$10:$H$25,6,FALSE)="", IF(VLOOKUP(B47, cnst_grazing!$C$10:$H$25,4,FALSE)="", VLOOKUP(B47, cnst_grazing!$C$10:$H$25,3,FALSE),VLOOKUP(B47, cnst_grazing!$C$10:$H$25,4,FALSE)), VLOOKUP(B47,cnst_grazing!$C$10:$H$25,6,FALSE)),1)</f>
        <v>1</v>
      </c>
      <c r="Z47" s="937">
        <f t="shared" si="20"/>
        <v>2.1345811211035826</v>
      </c>
      <c r="AA47" s="933">
        <f t="shared" si="21"/>
        <v>5.8916970581473631</v>
      </c>
      <c r="AB47" s="933">
        <f>VLOOKUP($W47,feed_mix_n,MATCH(AB$5,feed_mix_w!$B$5:$AC$5,0),FALSE)/$Z47*VLOOKUP(AB$5,feed_intensity_w,11,FALSE)</f>
        <v>0.46318705323700915</v>
      </c>
      <c r="AC47" s="933">
        <f>VLOOKUP($W47,feed_mix_n,MATCH(AC$5,feed_mix_w!$B$5:$AC$5,0),FALSE)/$Z47*VLOOKUP(AC$5,feed_intensity_w,11,FALSE)</f>
        <v>0.1940842465678026</v>
      </c>
      <c r="AD47" s="933">
        <f>VLOOKUP($W47,feed_mix_n,MATCH(AD$5,feed_mix_w!$B$5:$AC$5,0),FALSE)/$Z47*VLOOKUP(AD$5,feed_intensity_w,11,FALSE)</f>
        <v>0</v>
      </c>
      <c r="AE47" s="933">
        <f>VLOOKUP($W47,feed_mix_n,MATCH(AE$5,feed_mix_w!$B$5:$AC$5,0),FALSE)/$Z47*VLOOKUP(AE$5,feed_intensity_w,11,FALSE)</f>
        <v>0.36866590280425926</v>
      </c>
      <c r="AF47" s="933">
        <f>VLOOKUP($W47,feed_mix_n,MATCH(AF$5,feed_mix_w!$B$5:$AC$5,0),FALSE)/$Z47*VLOOKUP(AF$5,feed_intensity_w,11,FALSE)</f>
        <v>0.18433295140212963</v>
      </c>
      <c r="AG47" s="933">
        <f>VLOOKUP($W47,feed_mix_n,MATCH(AG$5,feed_mix_w!$B$5:$AC$5,0),FALSE)/$Z47*VLOOKUP(AG$5,feed_intensity_w,11,FALSE)</f>
        <v>0</v>
      </c>
      <c r="AH47" s="933">
        <f>VLOOKUP($W47,feed_mix_n,MATCH(AH$5,feed_mix_w!$B$5:$AC$5,0),FALSE)/$Z47*VLOOKUP(AH$5,feed_intensity_w,11,FALSE)</f>
        <v>0.18433295140212963</v>
      </c>
      <c r="AI47" s="933">
        <f>VLOOKUP($W47,feed_mix_n,MATCH(AI$5,feed_mix_w!$B$5:$AC$5,0),FALSE)/$Z47*VLOOKUP(AI$5,feed_intensity_w,11,FALSE)</f>
        <v>0</v>
      </c>
      <c r="AJ47" s="933">
        <f>VLOOKUP($W47,feed_mix_n,MATCH(AJ$5,feed_mix_w!$B$5:$AC$5,0),FALSE)/$Z47*VLOOKUP(AJ$5,feed_intensity_w,11,FALSE)</f>
        <v>0</v>
      </c>
      <c r="AK47" s="933">
        <f>VLOOKUP($W47,feed_mix_n,MATCH(AK$5,feed_mix_w!$B$5:$AC$5,0),FALSE)/$Z47*VLOOKUP(AK$5,feed_intensity_w,11,FALSE)</f>
        <v>0</v>
      </c>
      <c r="AL47" s="933">
        <f>VLOOKUP($W47,feed_mix_n,MATCH(AL$5,feed_mix_w!$B$5:$AC$5,0),FALSE)/$Z47*VLOOKUP(AL$5,feed_intensity_w,11,FALSE)</f>
        <v>0</v>
      </c>
      <c r="AM47" s="933">
        <f>VLOOKUP($W47,feed_mix_n,MATCH(AM$5,feed_mix_w!$B$5:$AC$5,0),FALSE)/$Z47*VLOOKUP(AM$5,feed_intensity_w,11,FALSE)</f>
        <v>0.13458941148075421</v>
      </c>
      <c r="AN47" s="933">
        <f>VLOOKUP($W47,feed_mix_n,MATCH(AN$5,feed_mix_w!$B$5:$AC$5,0),FALSE)/$Z47*VLOOKUP(AN$5,feed_intensity_w,11,FALSE)</f>
        <v>0</v>
      </c>
      <c r="AO47" s="933">
        <f>VLOOKUP($W47,feed_mix_n,MATCH(AO$5,feed_mix_w!$B$5:$AC$5,0),FALSE)/$Z47*VLOOKUP(AO$5,feed_intensity_w,11,FALSE)</f>
        <v>0</v>
      </c>
      <c r="AP47" s="933">
        <f>VLOOKUP($W47,feed_mix_n,MATCH(AP$5,feed_mix_w!$B$5:$AC$5,0),FALSE)/$Z47*VLOOKUP(AP$5,feed_intensity_w,11,FALSE)</f>
        <v>0</v>
      </c>
      <c r="AQ47" s="933">
        <f>VLOOKUP($W47,feed_mix_n,MATCH(AQ$5,feed_mix_w!$B$5:$AC$5,0),FALSE)/$Z47*VLOOKUP(AQ$5,feed_intensity_w,11,FALSE)</f>
        <v>0</v>
      </c>
      <c r="AR47" s="933">
        <f>VLOOKUP($W47,feed_mix_n,MATCH(AR$5,feed_mix_w!$B$5:$AC$5,0),FALSE)/$Z47*VLOOKUP(AR$5,feed_intensity_w,11,FALSE)</f>
        <v>0.15093242517178287</v>
      </c>
      <c r="AS47" s="1105">
        <f>VLOOKUP($W47,feed_mix_n,MATCH(AS$5,feed_mix_w!$B$5:$AC$5,0),FALSE)/$Z47*VLOOKUP(AS$5,feed_intensity_w,11,FALSE)</f>
        <v>0</v>
      </c>
    </row>
    <row r="48" spans="1:45" ht="12.75" customHeight="1">
      <c r="A48" s="1008" t="s">
        <v>3974</v>
      </c>
      <c r="B48" s="1102">
        <v>921</v>
      </c>
      <c r="C48" s="1103" t="s">
        <v>1624</v>
      </c>
      <c r="D48" s="1158"/>
      <c r="E48" s="1158"/>
      <c r="F48" s="1012">
        <f t="shared" si="11"/>
        <v>0</v>
      </c>
      <c r="G48" s="1012">
        <f t="shared" si="12"/>
        <v>0</v>
      </c>
      <c r="H48" s="933">
        <f t="shared" si="13"/>
        <v>3.3602498841317354</v>
      </c>
      <c r="I48" s="1486">
        <f t="shared" si="14"/>
        <v>0</v>
      </c>
      <c r="J48" s="1006">
        <f>IFERROR(G48*VLOOKUP(W48,livestock_intensity!$B$7:$I$29,8,FALSE)/Z48,0)</f>
        <v>0</v>
      </c>
      <c r="K48" s="933">
        <f>VLOOKUP($W48,feed_mix_n,MATCH(K$5,feed_mix_w!$B$5:$AC$5,0),FALSE)/$Z48*VLOOKUP(K$5,feed_intensity_w,11,FALSE)</f>
        <v>0</v>
      </c>
      <c r="L48" s="1486">
        <f t="shared" si="15"/>
        <v>0</v>
      </c>
      <c r="M48" s="1447">
        <f>IFERROR(G48*VLOOKUP(W48,livestock_intensity!$B$7:$M$29,12,FALSE)/Z48,0)</f>
        <v>0</v>
      </c>
      <c r="N48" s="933">
        <f>VLOOKUP($W48,feed_mix_n,MATCH(N$5,feed_mix_w!$B$5:$AC$5,0),FALSE)/$Z48*VLOOKUP(N$5,feed_intensity_w,11,FALSE)</f>
        <v>8.4231442321629899</v>
      </c>
      <c r="O48" s="1486">
        <f t="shared" si="16"/>
        <v>0</v>
      </c>
      <c r="P48" s="939">
        <f>IFERROR(G48*VLOOKUP(W48,livestock_intensity!$B$7:$Q$29,16,FALSE)/Z48,0)</f>
        <v>0</v>
      </c>
      <c r="Q48" s="1530"/>
      <c r="R48" s="900">
        <f t="shared" si="17"/>
        <v>0</v>
      </c>
      <c r="S48" s="900">
        <f t="shared" si="18"/>
        <v>0</v>
      </c>
      <c r="T48" s="1483">
        <v>2748</v>
      </c>
      <c r="U48" s="1211" t="s">
        <v>2921</v>
      </c>
      <c r="V48" s="1212" t="str">
        <f>IFERROR(VLOOKUP(W48,constant_ag_extr!$D$7:$E$594,2,FALSE),"")</f>
        <v>Cattle</v>
      </c>
      <c r="W48" s="1213">
        <f t="shared" si="19"/>
        <v>866</v>
      </c>
      <c r="X48" s="1099">
        <f>IFERROR(IF(VLOOKUP(B48,cnst_grazing!$C$10:$H$25,5,FALSE)="", IF(VLOOKUP(B48, cnst_grazing!$C$10:$H$25,3,FALSE)="", VLOOKUP(B48, cnst_grazing!$C$10:$H$25,4,FALSE),VLOOKUP(B48, cnst_grazing!$C$10:$H$25,3,FALSE)), VLOOKUP(B48,cnst_grazing!$C$10:$H$25,5,FALSE)),1)</f>
        <v>1</v>
      </c>
      <c r="Y48" s="1099">
        <f>IFERROR(IF(VLOOKUP(B48,cnst_grazing!$C$10:$H$25,6,FALSE)="", IF(VLOOKUP(B48, cnst_grazing!$C$10:$H$25,4,FALSE)="", VLOOKUP(B48, cnst_grazing!$C$10:$H$25,3,FALSE),VLOOKUP(B48, cnst_grazing!$C$10:$H$25,4,FALSE)), VLOOKUP(B48,cnst_grazing!$C$10:$H$25,6,FALSE)),1)</f>
        <v>1</v>
      </c>
      <c r="Z48" s="937">
        <f t="shared" si="20"/>
        <v>1.0672905605517913</v>
      </c>
      <c r="AA48" s="933">
        <f t="shared" si="21"/>
        <v>11.783394116294726</v>
      </c>
      <c r="AB48" s="933">
        <f>VLOOKUP($W48,feed_mix_n,MATCH(AB$5,feed_mix_w!$B$5:$AC$5,0),FALSE)/$Z48*VLOOKUP(AB$5,feed_intensity_w,11,FALSE)</f>
        <v>0.9263741064740183</v>
      </c>
      <c r="AC48" s="933">
        <f>VLOOKUP($W48,feed_mix_n,MATCH(AC$5,feed_mix_w!$B$5:$AC$5,0),FALSE)/$Z48*VLOOKUP(AC$5,feed_intensity_w,11,FALSE)</f>
        <v>0.3881684931356052</v>
      </c>
      <c r="AD48" s="933">
        <f>VLOOKUP($W48,feed_mix_n,MATCH(AD$5,feed_mix_w!$B$5:$AC$5,0),FALSE)/$Z48*VLOOKUP(AD$5,feed_intensity_w,11,FALSE)</f>
        <v>0</v>
      </c>
      <c r="AE48" s="933">
        <f>VLOOKUP($W48,feed_mix_n,MATCH(AE$5,feed_mix_w!$B$5:$AC$5,0),FALSE)/$Z48*VLOOKUP(AE$5,feed_intensity_w,11,FALSE)</f>
        <v>0.73733180560851852</v>
      </c>
      <c r="AF48" s="933">
        <f>VLOOKUP($W48,feed_mix_n,MATCH(AF$5,feed_mix_w!$B$5:$AC$5,0),FALSE)/$Z48*VLOOKUP(AF$5,feed_intensity_w,11,FALSE)</f>
        <v>0.36866590280425926</v>
      </c>
      <c r="AG48" s="933">
        <f>VLOOKUP($W48,feed_mix_n,MATCH(AG$5,feed_mix_w!$B$5:$AC$5,0),FALSE)/$Z48*VLOOKUP(AG$5,feed_intensity_w,11,FALSE)</f>
        <v>0</v>
      </c>
      <c r="AH48" s="933">
        <f>VLOOKUP($W48,feed_mix_n,MATCH(AH$5,feed_mix_w!$B$5:$AC$5,0),FALSE)/$Z48*VLOOKUP(AH$5,feed_intensity_w,11,FALSE)</f>
        <v>0.36866590280425926</v>
      </c>
      <c r="AI48" s="933">
        <f>VLOOKUP($W48,feed_mix_n,MATCH(AI$5,feed_mix_w!$B$5:$AC$5,0),FALSE)/$Z48*VLOOKUP(AI$5,feed_intensity_w,11,FALSE)</f>
        <v>0</v>
      </c>
      <c r="AJ48" s="933">
        <f>VLOOKUP($W48,feed_mix_n,MATCH(AJ$5,feed_mix_w!$B$5:$AC$5,0),FALSE)/$Z48*VLOOKUP(AJ$5,feed_intensity_w,11,FALSE)</f>
        <v>0</v>
      </c>
      <c r="AK48" s="933">
        <f>VLOOKUP($W48,feed_mix_n,MATCH(AK$5,feed_mix_w!$B$5:$AC$5,0),FALSE)/$Z48*VLOOKUP(AK$5,feed_intensity_w,11,FALSE)</f>
        <v>0</v>
      </c>
      <c r="AL48" s="933">
        <f>VLOOKUP($W48,feed_mix_n,MATCH(AL$5,feed_mix_w!$B$5:$AC$5,0),FALSE)/$Z48*VLOOKUP(AL$5,feed_intensity_w,11,FALSE)</f>
        <v>0</v>
      </c>
      <c r="AM48" s="933">
        <f>VLOOKUP($W48,feed_mix_n,MATCH(AM$5,feed_mix_w!$B$5:$AC$5,0),FALSE)/$Z48*VLOOKUP(AM$5,feed_intensity_w,11,FALSE)</f>
        <v>0.26917882296150841</v>
      </c>
      <c r="AN48" s="933">
        <f>VLOOKUP($W48,feed_mix_n,MATCH(AN$5,feed_mix_w!$B$5:$AC$5,0),FALSE)/$Z48*VLOOKUP(AN$5,feed_intensity_w,11,FALSE)</f>
        <v>0</v>
      </c>
      <c r="AO48" s="933">
        <f>VLOOKUP($W48,feed_mix_n,MATCH(AO$5,feed_mix_w!$B$5:$AC$5,0),FALSE)/$Z48*VLOOKUP(AO$5,feed_intensity_w,11,FALSE)</f>
        <v>0</v>
      </c>
      <c r="AP48" s="933">
        <f>VLOOKUP($W48,feed_mix_n,MATCH(AP$5,feed_mix_w!$B$5:$AC$5,0),FALSE)/$Z48*VLOOKUP(AP$5,feed_intensity_w,11,FALSE)</f>
        <v>0</v>
      </c>
      <c r="AQ48" s="933">
        <f>VLOOKUP($W48,feed_mix_n,MATCH(AQ$5,feed_mix_w!$B$5:$AC$5,0),FALSE)/$Z48*VLOOKUP(AQ$5,feed_intensity_w,11,FALSE)</f>
        <v>0</v>
      </c>
      <c r="AR48" s="933">
        <f>VLOOKUP($W48,feed_mix_n,MATCH(AR$5,feed_mix_w!$B$5:$AC$5,0),FALSE)/$Z48*VLOOKUP(AR$5,feed_intensity_w,11,FALSE)</f>
        <v>0.30186485034356575</v>
      </c>
      <c r="AS48" s="1105">
        <f>VLOOKUP($W48,feed_mix_n,MATCH(AS$5,feed_mix_w!$B$5:$AC$5,0),FALSE)/$Z48*VLOOKUP(AS$5,feed_intensity_w,11,FALSE)</f>
        <v>0</v>
      </c>
    </row>
    <row r="49" spans="1:45" ht="12.75" customHeight="1">
      <c r="A49" s="1008" t="s">
        <v>295</v>
      </c>
      <c r="B49" s="1102">
        <v>922</v>
      </c>
      <c r="C49" s="1103" t="s">
        <v>1616</v>
      </c>
      <c r="D49" s="1158"/>
      <c r="E49" s="1158"/>
      <c r="F49" s="1012">
        <f t="shared" si="11"/>
        <v>0</v>
      </c>
      <c r="G49" s="1012">
        <f t="shared" si="12"/>
        <v>0</v>
      </c>
      <c r="H49" s="933">
        <f t="shared" si="13"/>
        <v>1.6801249420658677</v>
      </c>
      <c r="I49" s="1486">
        <f t="shared" si="14"/>
        <v>0</v>
      </c>
      <c r="J49" s="1006">
        <f>IFERROR(G49*VLOOKUP(W49,livestock_intensity!$B$7:$I$29,8,FALSE)/Z49,0)</f>
        <v>0</v>
      </c>
      <c r="K49" s="933">
        <f>VLOOKUP($W49,feed_mix_n,MATCH(K$5,feed_mix_w!$B$5:$AC$5,0),FALSE)/$Z49*VLOOKUP(K$5,feed_intensity_w,11,FALSE)</f>
        <v>0</v>
      </c>
      <c r="L49" s="1486">
        <f t="shared" si="15"/>
        <v>0</v>
      </c>
      <c r="M49" s="1447">
        <f>IFERROR(G49*VLOOKUP(W49,livestock_intensity!$B$7:$M$29,12,FALSE)/Z49,0)</f>
        <v>0</v>
      </c>
      <c r="N49" s="933">
        <f>VLOOKUP($W49,feed_mix_n,MATCH(N$5,feed_mix_w!$B$5:$AC$5,0),FALSE)/$Z49*VLOOKUP(N$5,feed_intensity_w,11,FALSE)</f>
        <v>4.211572116081495</v>
      </c>
      <c r="O49" s="1486">
        <f t="shared" si="16"/>
        <v>0</v>
      </c>
      <c r="P49" s="939">
        <f>IFERROR(G49*VLOOKUP(W49,livestock_intensity!$B$7:$Q$29,16,FALSE)/Z49,0)</f>
        <v>0</v>
      </c>
      <c r="Q49" s="1530"/>
      <c r="R49" s="900">
        <f t="shared" si="17"/>
        <v>0</v>
      </c>
      <c r="S49" s="900">
        <f t="shared" si="18"/>
        <v>0</v>
      </c>
      <c r="T49" s="1483">
        <v>2748</v>
      </c>
      <c r="U49" s="1211" t="s">
        <v>2921</v>
      </c>
      <c r="V49" s="1212" t="str">
        <f>IFERROR(VLOOKUP(W49,constant_ag_extr!$D$7:$E$594,2,FALSE),"")</f>
        <v>Cattle</v>
      </c>
      <c r="W49" s="1213">
        <f t="shared" si="19"/>
        <v>866</v>
      </c>
      <c r="X49" s="1099">
        <f>IFERROR(IF(VLOOKUP(B49,cnst_grazing!$C$10:$H$25,5,FALSE)="", IF(VLOOKUP(B49, cnst_grazing!$C$10:$H$25,3,FALSE)="", VLOOKUP(B49, cnst_grazing!$C$10:$H$25,4,FALSE),VLOOKUP(B49, cnst_grazing!$C$10:$H$25,3,FALSE)), VLOOKUP(B49,cnst_grazing!$C$10:$H$25,5,FALSE)),1)</f>
        <v>1</v>
      </c>
      <c r="Y49" s="1099">
        <f>IFERROR(IF(VLOOKUP(B49,cnst_grazing!$C$10:$H$25,6,FALSE)="", IF(VLOOKUP(B49, cnst_grazing!$C$10:$H$25,4,FALSE)="", VLOOKUP(B49, cnst_grazing!$C$10:$H$25,3,FALSE),VLOOKUP(B49, cnst_grazing!$C$10:$H$25,4,FALSE)), VLOOKUP(B49,cnst_grazing!$C$10:$H$25,6,FALSE)),1)</f>
        <v>1</v>
      </c>
      <c r="Z49" s="937">
        <f t="shared" si="20"/>
        <v>2.1345811211035826</v>
      </c>
      <c r="AA49" s="933">
        <f t="shared" si="21"/>
        <v>5.8916970581473631</v>
      </c>
      <c r="AB49" s="933">
        <f>VLOOKUP($W49,feed_mix_n,MATCH(AB$5,feed_mix_w!$B$5:$AC$5,0),FALSE)/$Z49*VLOOKUP(AB$5,feed_intensity_w,11,FALSE)</f>
        <v>0.46318705323700915</v>
      </c>
      <c r="AC49" s="933">
        <f>VLOOKUP($W49,feed_mix_n,MATCH(AC$5,feed_mix_w!$B$5:$AC$5,0),FALSE)/$Z49*VLOOKUP(AC$5,feed_intensity_w,11,FALSE)</f>
        <v>0.1940842465678026</v>
      </c>
      <c r="AD49" s="933">
        <f>VLOOKUP($W49,feed_mix_n,MATCH(AD$5,feed_mix_w!$B$5:$AC$5,0),FALSE)/$Z49*VLOOKUP(AD$5,feed_intensity_w,11,FALSE)</f>
        <v>0</v>
      </c>
      <c r="AE49" s="933">
        <f>VLOOKUP($W49,feed_mix_n,MATCH(AE$5,feed_mix_w!$B$5:$AC$5,0),FALSE)/$Z49*VLOOKUP(AE$5,feed_intensity_w,11,FALSE)</f>
        <v>0.36866590280425926</v>
      </c>
      <c r="AF49" s="933">
        <f>VLOOKUP($W49,feed_mix_n,MATCH(AF$5,feed_mix_w!$B$5:$AC$5,0),FALSE)/$Z49*VLOOKUP(AF$5,feed_intensity_w,11,FALSE)</f>
        <v>0.18433295140212963</v>
      </c>
      <c r="AG49" s="933">
        <f>VLOOKUP($W49,feed_mix_n,MATCH(AG$5,feed_mix_w!$B$5:$AC$5,0),FALSE)/$Z49*VLOOKUP(AG$5,feed_intensity_w,11,FALSE)</f>
        <v>0</v>
      </c>
      <c r="AH49" s="933">
        <f>VLOOKUP($W49,feed_mix_n,MATCH(AH$5,feed_mix_w!$B$5:$AC$5,0),FALSE)/$Z49*VLOOKUP(AH$5,feed_intensity_w,11,FALSE)</f>
        <v>0.18433295140212963</v>
      </c>
      <c r="AI49" s="933">
        <f>VLOOKUP($W49,feed_mix_n,MATCH(AI$5,feed_mix_w!$B$5:$AC$5,0),FALSE)/$Z49*VLOOKUP(AI$5,feed_intensity_w,11,FALSE)</f>
        <v>0</v>
      </c>
      <c r="AJ49" s="933">
        <f>VLOOKUP($W49,feed_mix_n,MATCH(AJ$5,feed_mix_w!$B$5:$AC$5,0),FALSE)/$Z49*VLOOKUP(AJ$5,feed_intensity_w,11,FALSE)</f>
        <v>0</v>
      </c>
      <c r="AK49" s="933">
        <f>VLOOKUP($W49,feed_mix_n,MATCH(AK$5,feed_mix_w!$B$5:$AC$5,0),FALSE)/$Z49*VLOOKUP(AK$5,feed_intensity_w,11,FALSE)</f>
        <v>0</v>
      </c>
      <c r="AL49" s="933">
        <f>VLOOKUP($W49,feed_mix_n,MATCH(AL$5,feed_mix_w!$B$5:$AC$5,0),FALSE)/$Z49*VLOOKUP(AL$5,feed_intensity_w,11,FALSE)</f>
        <v>0</v>
      </c>
      <c r="AM49" s="933">
        <f>VLOOKUP($W49,feed_mix_n,MATCH(AM$5,feed_mix_w!$B$5:$AC$5,0),FALSE)/$Z49*VLOOKUP(AM$5,feed_intensity_w,11,FALSE)</f>
        <v>0.13458941148075421</v>
      </c>
      <c r="AN49" s="933">
        <f>VLOOKUP($W49,feed_mix_n,MATCH(AN$5,feed_mix_w!$B$5:$AC$5,0),FALSE)/$Z49*VLOOKUP(AN$5,feed_intensity_w,11,FALSE)</f>
        <v>0</v>
      </c>
      <c r="AO49" s="933">
        <f>VLOOKUP($W49,feed_mix_n,MATCH(AO$5,feed_mix_w!$B$5:$AC$5,0),FALSE)/$Z49*VLOOKUP(AO$5,feed_intensity_w,11,FALSE)</f>
        <v>0</v>
      </c>
      <c r="AP49" s="933">
        <f>VLOOKUP($W49,feed_mix_n,MATCH(AP$5,feed_mix_w!$B$5:$AC$5,0),FALSE)/$Z49*VLOOKUP(AP$5,feed_intensity_w,11,FALSE)</f>
        <v>0</v>
      </c>
      <c r="AQ49" s="933">
        <f>VLOOKUP($W49,feed_mix_n,MATCH(AQ$5,feed_mix_w!$B$5:$AC$5,0),FALSE)/$Z49*VLOOKUP(AQ$5,feed_intensity_w,11,FALSE)</f>
        <v>0</v>
      </c>
      <c r="AR49" s="933">
        <f>VLOOKUP($W49,feed_mix_n,MATCH(AR$5,feed_mix_w!$B$5:$AC$5,0),FALSE)/$Z49*VLOOKUP(AR$5,feed_intensity_w,11,FALSE)</f>
        <v>0.15093242517178287</v>
      </c>
      <c r="AS49" s="1105">
        <f>VLOOKUP($W49,feed_mix_n,MATCH(AS$5,feed_mix_w!$B$5:$AC$5,0),FALSE)/$Z49*VLOOKUP(AS$5,feed_intensity_w,11,FALSE)</f>
        <v>0</v>
      </c>
    </row>
    <row r="50" spans="1:45" ht="12.75" customHeight="1">
      <c r="A50" s="1008" t="s">
        <v>7366</v>
      </c>
      <c r="B50" s="1102">
        <v>927</v>
      </c>
      <c r="C50" s="1103"/>
      <c r="D50" s="1158"/>
      <c r="E50" s="1158"/>
      <c r="F50" s="1012">
        <f t="shared" si="11"/>
        <v>0</v>
      </c>
      <c r="G50" s="1012">
        <f t="shared" si="12"/>
        <v>0</v>
      </c>
      <c r="H50" s="933" t="e">
        <f t="shared" si="13"/>
        <v>#N/A</v>
      </c>
      <c r="I50" s="1486">
        <f t="shared" si="14"/>
        <v>0</v>
      </c>
      <c r="J50" s="1006">
        <f>IFERROR(G50*VLOOKUP(W50,livestock_intensity!$B$7:$I$29,8,FALSE)/Z50,0)</f>
        <v>0</v>
      </c>
      <c r="K50" s="933" t="e">
        <f>VLOOKUP($W50,feed_mix_n,MATCH(K$5,feed_mix_w!$B$5:$AC$5,0),FALSE)/$Z50*VLOOKUP(K$5,feed_intensity_w,11,FALSE)</f>
        <v>#N/A</v>
      </c>
      <c r="L50" s="1486">
        <f t="shared" si="15"/>
        <v>0</v>
      </c>
      <c r="M50" s="1447">
        <f>IFERROR(G50*VLOOKUP(W50,livestock_intensity!$B$7:$M$29,12,FALSE)/Z50,0)</f>
        <v>0</v>
      </c>
      <c r="N50" s="933" t="e">
        <f>VLOOKUP($W50,feed_mix_n,MATCH(N$5,feed_mix_w!$B$5:$AC$5,0),FALSE)/$Z50*VLOOKUP(N$5,feed_intensity_w,11,FALSE)</f>
        <v>#N/A</v>
      </c>
      <c r="O50" s="1486">
        <f t="shared" si="16"/>
        <v>0</v>
      </c>
      <c r="P50" s="939">
        <f>IFERROR(G50*VLOOKUP(W50,livestock_intensity!$B$7:$Q$29,16,FALSE)/Z50,0)</f>
        <v>0</v>
      </c>
      <c r="Q50" s="1530"/>
      <c r="R50" s="900">
        <f t="shared" si="17"/>
        <v>0</v>
      </c>
      <c r="S50" s="900">
        <f t="shared" si="18"/>
        <v>0</v>
      </c>
      <c r="T50" s="1483" t="s">
        <v>2862</v>
      </c>
      <c r="U50" s="1211"/>
      <c r="V50" s="1212">
        <f>IFERROR(VLOOKUP(W50,constant_ag_extr!$D$7:$E$594,2,FALSE),"")</f>
        <v>0</v>
      </c>
      <c r="W50" s="1213" t="str">
        <f t="shared" si="19"/>
        <v/>
      </c>
      <c r="X50" s="1099">
        <f>IFERROR(IF(VLOOKUP(B50,cnst_grazing!$C$10:$H$25,5,FALSE)="", IF(VLOOKUP(B50, cnst_grazing!$C$10:$H$25,3,FALSE)="", VLOOKUP(B50, cnst_grazing!$C$10:$H$25,4,FALSE),VLOOKUP(B50, cnst_grazing!$C$10:$H$25,3,FALSE)), VLOOKUP(B50,cnst_grazing!$C$10:$H$25,5,FALSE)),1)</f>
        <v>1</v>
      </c>
      <c r="Y50" s="1099">
        <f>IFERROR(IF(VLOOKUP(B50,cnst_grazing!$C$10:$H$25,6,FALSE)="", IF(VLOOKUP(B50, cnst_grazing!$C$10:$H$25,4,FALSE)="", VLOOKUP(B50, cnst_grazing!$C$10:$H$25,3,FALSE),VLOOKUP(B50, cnst_grazing!$C$10:$H$25,4,FALSE)), VLOOKUP(B50,cnst_grazing!$C$10:$H$25,6,FALSE)),1)</f>
        <v>1</v>
      </c>
      <c r="Z50" s="937" t="str">
        <f t="shared" si="20"/>
        <v>-</v>
      </c>
      <c r="AA50" s="933" t="e">
        <f t="shared" si="21"/>
        <v>#N/A</v>
      </c>
      <c r="AB50" s="933" t="e">
        <f>VLOOKUP($W50,feed_mix_n,MATCH(AB$5,feed_mix_w!$B$5:$AC$5,0),FALSE)/$Z50*VLOOKUP(AB$5,feed_intensity_w,11,FALSE)</f>
        <v>#N/A</v>
      </c>
      <c r="AC50" s="933" t="e">
        <f>VLOOKUP($W50,feed_mix_n,MATCH(AC$5,feed_mix_w!$B$5:$AC$5,0),FALSE)/$Z50*VLOOKUP(AC$5,feed_intensity_w,11,FALSE)</f>
        <v>#N/A</v>
      </c>
      <c r="AD50" s="933" t="e">
        <f>VLOOKUP($W50,feed_mix_n,MATCH(AD$5,feed_mix_w!$B$5:$AC$5,0),FALSE)/$Z50*VLOOKUP(AD$5,feed_intensity_w,11,FALSE)</f>
        <v>#N/A</v>
      </c>
      <c r="AE50" s="933" t="e">
        <f>VLOOKUP($W50,feed_mix_n,MATCH(AE$5,feed_mix_w!$B$5:$AC$5,0),FALSE)/$Z50*VLOOKUP(AE$5,feed_intensity_w,11,FALSE)</f>
        <v>#N/A</v>
      </c>
      <c r="AF50" s="933" t="e">
        <f>VLOOKUP($W50,feed_mix_n,MATCH(AF$5,feed_mix_w!$B$5:$AC$5,0),FALSE)/$Z50*VLOOKUP(AF$5,feed_intensity_w,11,FALSE)</f>
        <v>#N/A</v>
      </c>
      <c r="AG50" s="933" t="e">
        <f>VLOOKUP($W50,feed_mix_n,MATCH(AG$5,feed_mix_w!$B$5:$AC$5,0),FALSE)/$Z50*VLOOKUP(AG$5,feed_intensity_w,11,FALSE)</f>
        <v>#N/A</v>
      </c>
      <c r="AH50" s="933" t="e">
        <f>VLOOKUP($W50,feed_mix_n,MATCH(AH$5,feed_mix_w!$B$5:$AC$5,0),FALSE)/$Z50*VLOOKUP(AH$5,feed_intensity_w,11,FALSE)</f>
        <v>#N/A</v>
      </c>
      <c r="AI50" s="933" t="e">
        <f>VLOOKUP($W50,feed_mix_n,MATCH(AI$5,feed_mix_w!$B$5:$AC$5,0),FALSE)/$Z50*VLOOKUP(AI$5,feed_intensity_w,11,FALSE)</f>
        <v>#N/A</v>
      </c>
      <c r="AJ50" s="933" t="e">
        <f>VLOOKUP($W50,feed_mix_n,MATCH(AJ$5,feed_mix_w!$B$5:$AC$5,0),FALSE)/$Z50*VLOOKUP(AJ$5,feed_intensity_w,11,FALSE)</f>
        <v>#N/A</v>
      </c>
      <c r="AK50" s="933" t="e">
        <f>VLOOKUP($W50,feed_mix_n,MATCH(AK$5,feed_mix_w!$B$5:$AC$5,0),FALSE)/$Z50*VLOOKUP(AK$5,feed_intensity_w,11,FALSE)</f>
        <v>#N/A</v>
      </c>
      <c r="AL50" s="933" t="e">
        <f>VLOOKUP($W50,feed_mix_n,MATCH(AL$5,feed_mix_w!$B$5:$AC$5,0),FALSE)/$Z50*VLOOKUP(AL$5,feed_intensity_w,11,FALSE)</f>
        <v>#N/A</v>
      </c>
      <c r="AM50" s="933" t="e">
        <f>VLOOKUP($W50,feed_mix_n,MATCH(AM$5,feed_mix_w!$B$5:$AC$5,0),FALSE)/$Z50*VLOOKUP(AM$5,feed_intensity_w,11,FALSE)</f>
        <v>#N/A</v>
      </c>
      <c r="AN50" s="933" t="e">
        <f>VLOOKUP($W50,feed_mix_n,MATCH(AN$5,feed_mix_w!$B$5:$AC$5,0),FALSE)/$Z50*VLOOKUP(AN$5,feed_intensity_w,11,FALSE)</f>
        <v>#N/A</v>
      </c>
      <c r="AO50" s="933" t="e">
        <f>VLOOKUP($W50,feed_mix_n,MATCH(AO$5,feed_mix_w!$B$5:$AC$5,0),FALSE)/$Z50*VLOOKUP(AO$5,feed_intensity_w,11,FALSE)</f>
        <v>#N/A</v>
      </c>
      <c r="AP50" s="933" t="e">
        <f>VLOOKUP($W50,feed_mix_n,MATCH(AP$5,feed_mix_w!$B$5:$AC$5,0),FALSE)/$Z50*VLOOKUP(AP$5,feed_intensity_w,11,FALSE)</f>
        <v>#N/A</v>
      </c>
      <c r="AQ50" s="933" t="e">
        <f>VLOOKUP($W50,feed_mix_n,MATCH(AQ$5,feed_mix_w!$B$5:$AC$5,0),FALSE)/$Z50*VLOOKUP(AQ$5,feed_intensity_w,11,FALSE)</f>
        <v>#N/A</v>
      </c>
      <c r="AR50" s="933" t="e">
        <f>VLOOKUP($W50,feed_mix_n,MATCH(AR$5,feed_mix_w!$B$5:$AC$5,0),FALSE)/$Z50*VLOOKUP(AR$5,feed_intensity_w,11,FALSE)</f>
        <v>#N/A</v>
      </c>
      <c r="AS50" s="1105" t="e">
        <f>VLOOKUP($W50,feed_mix_n,MATCH(AS$5,feed_mix_w!$B$5:$AC$5,0),FALSE)/$Z50*VLOOKUP(AS$5,feed_intensity_w,11,FALSE)</f>
        <v>#N/A</v>
      </c>
    </row>
    <row r="51" spans="1:45" ht="12.75" customHeight="1">
      <c r="A51" s="1008" t="s">
        <v>7367</v>
      </c>
      <c r="B51" s="1102">
        <v>928</v>
      </c>
      <c r="C51" s="1103" t="s">
        <v>700</v>
      </c>
      <c r="D51" s="1158">
        <v>0</v>
      </c>
      <c r="E51" s="1158">
        <v>0</v>
      </c>
      <c r="F51" s="1012">
        <f t="shared" si="11"/>
        <v>0</v>
      </c>
      <c r="G51" s="1012">
        <f t="shared" si="12"/>
        <v>0</v>
      </c>
      <c r="H51" s="933">
        <f t="shared" si="13"/>
        <v>1.6801249420658677</v>
      </c>
      <c r="I51" s="1486">
        <f t="shared" si="14"/>
        <v>0</v>
      </c>
      <c r="J51" s="1006">
        <f>IFERROR(G51*VLOOKUP(W51,livestock_intensity!$B$7:$I$29,8,FALSE)/Z51,0)</f>
        <v>0</v>
      </c>
      <c r="K51" s="933">
        <f>VLOOKUP($W51,feed_mix_n,MATCH(K$5,feed_mix_w!$B$5:$AC$5,0),FALSE)/$Z51*VLOOKUP(K$5,feed_intensity_w,11,FALSE)</f>
        <v>0</v>
      </c>
      <c r="L51" s="1486">
        <f t="shared" si="15"/>
        <v>0</v>
      </c>
      <c r="M51" s="1447">
        <f>IFERROR(G51*VLOOKUP(W51,livestock_intensity!$B$7:$M$29,12,FALSE)/Z51,0)</f>
        <v>0</v>
      </c>
      <c r="N51" s="933">
        <f>VLOOKUP($W51,feed_mix_n,MATCH(N$5,feed_mix_w!$B$5:$AC$5,0),FALSE)/$Z51*VLOOKUP(N$5,feed_intensity_w,11,FALSE)</f>
        <v>4.211572116081495</v>
      </c>
      <c r="O51" s="1486">
        <f t="shared" si="16"/>
        <v>0</v>
      </c>
      <c r="P51" s="939">
        <f>IFERROR(G51*VLOOKUP(W51,livestock_intensity!$B$7:$Q$29,16,FALSE)/Z51,0)</f>
        <v>0</v>
      </c>
      <c r="Q51" s="1530"/>
      <c r="R51" s="900">
        <f t="shared" si="17"/>
        <v>0</v>
      </c>
      <c r="S51" s="900">
        <f t="shared" si="18"/>
        <v>0</v>
      </c>
      <c r="T51" s="1483">
        <v>2748</v>
      </c>
      <c r="U51" s="1211" t="s">
        <v>2921</v>
      </c>
      <c r="V51" s="1212" t="str">
        <f>IFERROR(VLOOKUP(W51,constant_ag_extr!$D$7:$E$594,2,FALSE),"")</f>
        <v>Cattle</v>
      </c>
      <c r="W51" s="1213">
        <f t="shared" si="19"/>
        <v>866</v>
      </c>
      <c r="X51" s="1099">
        <f>IFERROR(IF(VLOOKUP(B51,cnst_grazing!$C$10:$H$25,5,FALSE)="", IF(VLOOKUP(B51, cnst_grazing!$C$10:$H$25,3,FALSE)="", VLOOKUP(B51, cnst_grazing!$C$10:$H$25,4,FALSE),VLOOKUP(B51, cnst_grazing!$C$10:$H$25,3,FALSE)), VLOOKUP(B51,cnst_grazing!$C$10:$H$25,5,FALSE)),1)</f>
        <v>1</v>
      </c>
      <c r="Y51" s="1099">
        <f>IFERROR(IF(VLOOKUP(B51,cnst_grazing!$C$10:$H$25,6,FALSE)="", IF(VLOOKUP(B51, cnst_grazing!$C$10:$H$25,4,FALSE)="", VLOOKUP(B51, cnst_grazing!$C$10:$H$25,3,FALSE),VLOOKUP(B51, cnst_grazing!$C$10:$H$25,4,FALSE)), VLOOKUP(B51,cnst_grazing!$C$10:$H$25,6,FALSE)),1)</f>
        <v>1</v>
      </c>
      <c r="Z51" s="937">
        <f t="shared" si="20"/>
        <v>2.1345811211035826</v>
      </c>
      <c r="AA51" s="933">
        <f t="shared" si="21"/>
        <v>5.8916970581473631</v>
      </c>
      <c r="AB51" s="933">
        <f>VLOOKUP($W51,feed_mix_n,MATCH(AB$5,feed_mix_w!$B$5:$AC$5,0),FALSE)/$Z51*VLOOKUP(AB$5,feed_intensity_w,11,FALSE)</f>
        <v>0.46318705323700915</v>
      </c>
      <c r="AC51" s="933">
        <f>VLOOKUP($W51,feed_mix_n,MATCH(AC$5,feed_mix_w!$B$5:$AC$5,0),FALSE)/$Z51*VLOOKUP(AC$5,feed_intensity_w,11,FALSE)</f>
        <v>0.1940842465678026</v>
      </c>
      <c r="AD51" s="933">
        <f>VLOOKUP($W51,feed_mix_n,MATCH(AD$5,feed_mix_w!$B$5:$AC$5,0),FALSE)/$Z51*VLOOKUP(AD$5,feed_intensity_w,11,FALSE)</f>
        <v>0</v>
      </c>
      <c r="AE51" s="933">
        <f>VLOOKUP($W51,feed_mix_n,MATCH(AE$5,feed_mix_w!$B$5:$AC$5,0),FALSE)/$Z51*VLOOKUP(AE$5,feed_intensity_w,11,FALSE)</f>
        <v>0.36866590280425926</v>
      </c>
      <c r="AF51" s="933">
        <f>VLOOKUP($W51,feed_mix_n,MATCH(AF$5,feed_mix_w!$B$5:$AC$5,0),FALSE)/$Z51*VLOOKUP(AF$5,feed_intensity_w,11,FALSE)</f>
        <v>0.18433295140212963</v>
      </c>
      <c r="AG51" s="933">
        <f>VLOOKUP($W51,feed_mix_n,MATCH(AG$5,feed_mix_w!$B$5:$AC$5,0),FALSE)/$Z51*VLOOKUP(AG$5,feed_intensity_w,11,FALSE)</f>
        <v>0</v>
      </c>
      <c r="AH51" s="933">
        <f>VLOOKUP($W51,feed_mix_n,MATCH(AH$5,feed_mix_w!$B$5:$AC$5,0),FALSE)/$Z51*VLOOKUP(AH$5,feed_intensity_w,11,FALSE)</f>
        <v>0.18433295140212963</v>
      </c>
      <c r="AI51" s="933">
        <f>VLOOKUP($W51,feed_mix_n,MATCH(AI$5,feed_mix_w!$B$5:$AC$5,0),FALSE)/$Z51*VLOOKUP(AI$5,feed_intensity_w,11,FALSE)</f>
        <v>0</v>
      </c>
      <c r="AJ51" s="933">
        <f>VLOOKUP($W51,feed_mix_n,MATCH(AJ$5,feed_mix_w!$B$5:$AC$5,0),FALSE)/$Z51*VLOOKUP(AJ$5,feed_intensity_w,11,FALSE)</f>
        <v>0</v>
      </c>
      <c r="AK51" s="933">
        <f>VLOOKUP($W51,feed_mix_n,MATCH(AK$5,feed_mix_w!$B$5:$AC$5,0),FALSE)/$Z51*VLOOKUP(AK$5,feed_intensity_w,11,FALSE)</f>
        <v>0</v>
      </c>
      <c r="AL51" s="933">
        <f>VLOOKUP($W51,feed_mix_n,MATCH(AL$5,feed_mix_w!$B$5:$AC$5,0),FALSE)/$Z51*VLOOKUP(AL$5,feed_intensity_w,11,FALSE)</f>
        <v>0</v>
      </c>
      <c r="AM51" s="933">
        <f>VLOOKUP($W51,feed_mix_n,MATCH(AM$5,feed_mix_w!$B$5:$AC$5,0),FALSE)/$Z51*VLOOKUP(AM$5,feed_intensity_w,11,FALSE)</f>
        <v>0.13458941148075421</v>
      </c>
      <c r="AN51" s="933">
        <f>VLOOKUP($W51,feed_mix_n,MATCH(AN$5,feed_mix_w!$B$5:$AC$5,0),FALSE)/$Z51*VLOOKUP(AN$5,feed_intensity_w,11,FALSE)</f>
        <v>0</v>
      </c>
      <c r="AO51" s="933">
        <f>VLOOKUP($W51,feed_mix_n,MATCH(AO$5,feed_mix_w!$B$5:$AC$5,0),FALSE)/$Z51*VLOOKUP(AO$5,feed_intensity_w,11,FALSE)</f>
        <v>0</v>
      </c>
      <c r="AP51" s="933">
        <f>VLOOKUP($W51,feed_mix_n,MATCH(AP$5,feed_mix_w!$B$5:$AC$5,0),FALSE)/$Z51*VLOOKUP(AP$5,feed_intensity_w,11,FALSE)</f>
        <v>0</v>
      </c>
      <c r="AQ51" s="933">
        <f>VLOOKUP($W51,feed_mix_n,MATCH(AQ$5,feed_mix_w!$B$5:$AC$5,0),FALSE)/$Z51*VLOOKUP(AQ$5,feed_intensity_w,11,FALSE)</f>
        <v>0</v>
      </c>
      <c r="AR51" s="933">
        <f>VLOOKUP($W51,feed_mix_n,MATCH(AR$5,feed_mix_w!$B$5:$AC$5,0),FALSE)/$Z51*VLOOKUP(AR$5,feed_intensity_w,11,FALSE)</f>
        <v>0.15093242517178287</v>
      </c>
      <c r="AS51" s="1105">
        <f>VLOOKUP($W51,feed_mix_n,MATCH(AS$5,feed_mix_w!$B$5:$AC$5,0),FALSE)/$Z51*VLOOKUP(AS$5,feed_intensity_w,11,FALSE)</f>
        <v>0</v>
      </c>
    </row>
    <row r="52" spans="1:45" ht="12.75" customHeight="1">
      <c r="A52" s="1008" t="s">
        <v>1559</v>
      </c>
      <c r="B52" s="1102">
        <v>929</v>
      </c>
      <c r="C52" s="1103" t="s">
        <v>702</v>
      </c>
      <c r="D52" s="1158"/>
      <c r="E52" s="1158"/>
      <c r="F52" s="1012">
        <f t="shared" si="11"/>
        <v>0</v>
      </c>
      <c r="G52" s="1012">
        <f t="shared" si="12"/>
        <v>0</v>
      </c>
      <c r="H52" s="933">
        <f t="shared" si="13"/>
        <v>3.3602498841317354</v>
      </c>
      <c r="I52" s="1486">
        <f t="shared" si="14"/>
        <v>0</v>
      </c>
      <c r="J52" s="1006">
        <f>IFERROR(G52*VLOOKUP(W52,livestock_intensity!$B$7:$I$29,8,FALSE)/Z52,0)</f>
        <v>0</v>
      </c>
      <c r="K52" s="933">
        <f>VLOOKUP($W52,feed_mix_n,MATCH(K$5,feed_mix_w!$B$5:$AC$5,0),FALSE)/$Z52*VLOOKUP(K$5,feed_intensity_w,11,FALSE)</f>
        <v>0</v>
      </c>
      <c r="L52" s="1486">
        <f t="shared" si="15"/>
        <v>0</v>
      </c>
      <c r="M52" s="1447">
        <f>IFERROR(G52*VLOOKUP(W52,livestock_intensity!$B$7:$M$29,12,FALSE)/Z52,0)</f>
        <v>0</v>
      </c>
      <c r="N52" s="933">
        <f>VLOOKUP($W52,feed_mix_n,MATCH(N$5,feed_mix_w!$B$5:$AC$5,0),FALSE)/$Z52*VLOOKUP(N$5,feed_intensity_w,11,FALSE)</f>
        <v>8.4231442321629899</v>
      </c>
      <c r="O52" s="1486">
        <f t="shared" si="16"/>
        <v>0</v>
      </c>
      <c r="P52" s="939">
        <f>IFERROR(G52*VLOOKUP(W52,livestock_intensity!$B$7:$Q$29,16,FALSE)/Z52,0)</f>
        <v>0</v>
      </c>
      <c r="Q52" s="1530"/>
      <c r="R52" s="900">
        <f t="shared" si="17"/>
        <v>0</v>
      </c>
      <c r="S52" s="900">
        <f t="shared" si="18"/>
        <v>0</v>
      </c>
      <c r="T52" s="1483">
        <v>2748</v>
      </c>
      <c r="U52" s="1211" t="s">
        <v>2921</v>
      </c>
      <c r="V52" s="1212" t="str">
        <f>IFERROR(VLOOKUP(W52,constant_ag_extr!$D$7:$E$594,2,FALSE),"")</f>
        <v>Cattle</v>
      </c>
      <c r="W52" s="1213">
        <f t="shared" si="19"/>
        <v>866</v>
      </c>
      <c r="X52" s="1099">
        <f>IFERROR(IF(VLOOKUP(B52,cnst_grazing!$C$10:$H$25,5,FALSE)="", IF(VLOOKUP(B52, cnst_grazing!$C$10:$H$25,3,FALSE)="", VLOOKUP(B52, cnst_grazing!$C$10:$H$25,4,FALSE),VLOOKUP(B52, cnst_grazing!$C$10:$H$25,3,FALSE)), VLOOKUP(B52,cnst_grazing!$C$10:$H$25,5,FALSE)),1)</f>
        <v>1</v>
      </c>
      <c r="Y52" s="1099">
        <f>IFERROR(IF(VLOOKUP(B52,cnst_grazing!$C$10:$H$25,6,FALSE)="", IF(VLOOKUP(B52, cnst_grazing!$C$10:$H$25,4,FALSE)="", VLOOKUP(B52, cnst_grazing!$C$10:$H$25,3,FALSE),VLOOKUP(B52, cnst_grazing!$C$10:$H$25,4,FALSE)), VLOOKUP(B52,cnst_grazing!$C$10:$H$25,6,FALSE)),1)</f>
        <v>1</v>
      </c>
      <c r="Z52" s="937">
        <f t="shared" si="20"/>
        <v>1.0672905605517913</v>
      </c>
      <c r="AA52" s="933">
        <f t="shared" si="21"/>
        <v>11.783394116294726</v>
      </c>
      <c r="AB52" s="933">
        <f>VLOOKUP($W52,feed_mix_n,MATCH(AB$5,feed_mix_w!$B$5:$AC$5,0),FALSE)/$Z52*VLOOKUP(AB$5,feed_intensity_w,11,FALSE)</f>
        <v>0.9263741064740183</v>
      </c>
      <c r="AC52" s="933">
        <f>VLOOKUP($W52,feed_mix_n,MATCH(AC$5,feed_mix_w!$B$5:$AC$5,0),FALSE)/$Z52*VLOOKUP(AC$5,feed_intensity_w,11,FALSE)</f>
        <v>0.3881684931356052</v>
      </c>
      <c r="AD52" s="933">
        <f>VLOOKUP($W52,feed_mix_n,MATCH(AD$5,feed_mix_w!$B$5:$AC$5,0),FALSE)/$Z52*VLOOKUP(AD$5,feed_intensity_w,11,FALSE)</f>
        <v>0</v>
      </c>
      <c r="AE52" s="933">
        <f>VLOOKUP($W52,feed_mix_n,MATCH(AE$5,feed_mix_w!$B$5:$AC$5,0),FALSE)/$Z52*VLOOKUP(AE$5,feed_intensity_w,11,FALSE)</f>
        <v>0.73733180560851852</v>
      </c>
      <c r="AF52" s="933">
        <f>VLOOKUP($W52,feed_mix_n,MATCH(AF$5,feed_mix_w!$B$5:$AC$5,0),FALSE)/$Z52*VLOOKUP(AF$5,feed_intensity_w,11,FALSE)</f>
        <v>0.36866590280425926</v>
      </c>
      <c r="AG52" s="933">
        <f>VLOOKUP($W52,feed_mix_n,MATCH(AG$5,feed_mix_w!$B$5:$AC$5,0),FALSE)/$Z52*VLOOKUP(AG$5,feed_intensity_w,11,FALSE)</f>
        <v>0</v>
      </c>
      <c r="AH52" s="933">
        <f>VLOOKUP($W52,feed_mix_n,MATCH(AH$5,feed_mix_w!$B$5:$AC$5,0),FALSE)/$Z52*VLOOKUP(AH$5,feed_intensity_w,11,FALSE)</f>
        <v>0.36866590280425926</v>
      </c>
      <c r="AI52" s="933">
        <f>VLOOKUP($W52,feed_mix_n,MATCH(AI$5,feed_mix_w!$B$5:$AC$5,0),FALSE)/$Z52*VLOOKUP(AI$5,feed_intensity_w,11,FALSE)</f>
        <v>0</v>
      </c>
      <c r="AJ52" s="933">
        <f>VLOOKUP($W52,feed_mix_n,MATCH(AJ$5,feed_mix_w!$B$5:$AC$5,0),FALSE)/$Z52*VLOOKUP(AJ$5,feed_intensity_w,11,FALSE)</f>
        <v>0</v>
      </c>
      <c r="AK52" s="933">
        <f>VLOOKUP($W52,feed_mix_n,MATCH(AK$5,feed_mix_w!$B$5:$AC$5,0),FALSE)/$Z52*VLOOKUP(AK$5,feed_intensity_w,11,FALSE)</f>
        <v>0</v>
      </c>
      <c r="AL52" s="933">
        <f>VLOOKUP($W52,feed_mix_n,MATCH(AL$5,feed_mix_w!$B$5:$AC$5,0),FALSE)/$Z52*VLOOKUP(AL$5,feed_intensity_w,11,FALSE)</f>
        <v>0</v>
      </c>
      <c r="AM52" s="933">
        <f>VLOOKUP($W52,feed_mix_n,MATCH(AM$5,feed_mix_w!$B$5:$AC$5,0),FALSE)/$Z52*VLOOKUP(AM$5,feed_intensity_w,11,FALSE)</f>
        <v>0.26917882296150841</v>
      </c>
      <c r="AN52" s="933">
        <f>VLOOKUP($W52,feed_mix_n,MATCH(AN$5,feed_mix_w!$B$5:$AC$5,0),FALSE)/$Z52*VLOOKUP(AN$5,feed_intensity_w,11,FALSE)</f>
        <v>0</v>
      </c>
      <c r="AO52" s="933">
        <f>VLOOKUP($W52,feed_mix_n,MATCH(AO$5,feed_mix_w!$B$5:$AC$5,0),FALSE)/$Z52*VLOOKUP(AO$5,feed_intensity_w,11,FALSE)</f>
        <v>0</v>
      </c>
      <c r="AP52" s="933">
        <f>VLOOKUP($W52,feed_mix_n,MATCH(AP$5,feed_mix_w!$B$5:$AC$5,0),FALSE)/$Z52*VLOOKUP(AP$5,feed_intensity_w,11,FALSE)</f>
        <v>0</v>
      </c>
      <c r="AQ52" s="933">
        <f>VLOOKUP($W52,feed_mix_n,MATCH(AQ$5,feed_mix_w!$B$5:$AC$5,0),FALSE)/$Z52*VLOOKUP(AQ$5,feed_intensity_w,11,FALSE)</f>
        <v>0</v>
      </c>
      <c r="AR52" s="933">
        <f>VLOOKUP($W52,feed_mix_n,MATCH(AR$5,feed_mix_w!$B$5:$AC$5,0),FALSE)/$Z52*VLOOKUP(AR$5,feed_intensity_w,11,FALSE)</f>
        <v>0.30186485034356575</v>
      </c>
      <c r="AS52" s="1105">
        <f>VLOOKUP($W52,feed_mix_n,MATCH(AS$5,feed_mix_w!$B$5:$AC$5,0),FALSE)/$Z52*VLOOKUP(AS$5,feed_intensity_w,11,FALSE)</f>
        <v>0</v>
      </c>
    </row>
    <row r="53" spans="1:45" ht="12.75" customHeight="1">
      <c r="A53" s="1008" t="s">
        <v>1500</v>
      </c>
      <c r="B53" s="1102">
        <v>930</v>
      </c>
      <c r="C53" s="1103" t="s">
        <v>2868</v>
      </c>
      <c r="D53" s="1158"/>
      <c r="E53" s="1158"/>
      <c r="F53" s="1012">
        <f t="shared" si="11"/>
        <v>0</v>
      </c>
      <c r="G53" s="1012">
        <f t="shared" si="12"/>
        <v>0</v>
      </c>
      <c r="H53" s="933">
        <f t="shared" si="13"/>
        <v>1.6801249420658677</v>
      </c>
      <c r="I53" s="1486">
        <f t="shared" si="14"/>
        <v>0</v>
      </c>
      <c r="J53" s="1006">
        <f>IFERROR(G53*VLOOKUP(W53,livestock_intensity!$B$7:$I$29,8,FALSE)/Z53,0)</f>
        <v>0</v>
      </c>
      <c r="K53" s="933">
        <f>VLOOKUP($W53,feed_mix_n,MATCH(K$5,feed_mix_w!$B$5:$AC$5,0),FALSE)/$Z53*VLOOKUP(K$5,feed_intensity_w,11,FALSE)</f>
        <v>0</v>
      </c>
      <c r="L53" s="1486">
        <f t="shared" si="15"/>
        <v>0</v>
      </c>
      <c r="M53" s="1447">
        <f>IFERROR(G53*VLOOKUP(W53,livestock_intensity!$B$7:$M$29,12,FALSE)/Z53,0)</f>
        <v>0</v>
      </c>
      <c r="N53" s="933">
        <f>VLOOKUP($W53,feed_mix_n,MATCH(N$5,feed_mix_w!$B$5:$AC$5,0),FALSE)/$Z53*VLOOKUP(N$5,feed_intensity_w,11,FALSE)</f>
        <v>4.211572116081495</v>
      </c>
      <c r="O53" s="1486">
        <f t="shared" si="16"/>
        <v>0</v>
      </c>
      <c r="P53" s="939">
        <f>IFERROR(G53*VLOOKUP(W53,livestock_intensity!$B$7:$Q$29,16,FALSE)/Z53,0)</f>
        <v>0</v>
      </c>
      <c r="Q53" s="1530"/>
      <c r="R53" s="900">
        <f t="shared" si="17"/>
        <v>0</v>
      </c>
      <c r="S53" s="900">
        <f t="shared" si="18"/>
        <v>0</v>
      </c>
      <c r="T53" s="1483">
        <v>2748</v>
      </c>
      <c r="U53" s="1211" t="s">
        <v>2921</v>
      </c>
      <c r="V53" s="1212" t="str">
        <f>IFERROR(VLOOKUP(W53,constant_ag_extr!$D$7:$E$594,2,FALSE),"")</f>
        <v>Cattle</v>
      </c>
      <c r="W53" s="1213">
        <f t="shared" si="19"/>
        <v>866</v>
      </c>
      <c r="X53" s="1099">
        <f>IFERROR(IF(VLOOKUP(B53,cnst_grazing!$C$10:$H$25,5,FALSE)="", IF(VLOOKUP(B53, cnst_grazing!$C$10:$H$25,3,FALSE)="", VLOOKUP(B53, cnst_grazing!$C$10:$H$25,4,FALSE),VLOOKUP(B53, cnst_grazing!$C$10:$H$25,3,FALSE)), VLOOKUP(B53,cnst_grazing!$C$10:$H$25,5,FALSE)),1)</f>
        <v>1</v>
      </c>
      <c r="Y53" s="1099">
        <f>IFERROR(IF(VLOOKUP(B53,cnst_grazing!$C$10:$H$25,6,FALSE)="", IF(VLOOKUP(B53, cnst_grazing!$C$10:$H$25,4,FALSE)="", VLOOKUP(B53, cnst_grazing!$C$10:$H$25,3,FALSE),VLOOKUP(B53, cnst_grazing!$C$10:$H$25,4,FALSE)), VLOOKUP(B53,cnst_grazing!$C$10:$H$25,6,FALSE)),1)</f>
        <v>1</v>
      </c>
      <c r="Z53" s="937">
        <f t="shared" si="20"/>
        <v>2.1345811211035826</v>
      </c>
      <c r="AA53" s="1487">
        <f t="shared" si="21"/>
        <v>5.8916970581473631</v>
      </c>
      <c r="AB53" s="933">
        <f>VLOOKUP($W53,feed_mix_n,MATCH(AB$5,feed_mix_w!$B$5:$AC$5,0),FALSE)/$Z53*VLOOKUP(AB$5,feed_intensity_w,11,FALSE)</f>
        <v>0.46318705323700915</v>
      </c>
      <c r="AC53" s="933">
        <f>VLOOKUP($W53,feed_mix_n,MATCH(AC$5,feed_mix_w!$B$5:$AC$5,0),FALSE)/$Z53*VLOOKUP(AC$5,feed_intensity_w,11,FALSE)</f>
        <v>0.1940842465678026</v>
      </c>
      <c r="AD53" s="933">
        <f>VLOOKUP($W53,feed_mix_n,MATCH(AD$5,feed_mix_w!$B$5:$AC$5,0),FALSE)/$Z53*VLOOKUP(AD$5,feed_intensity_w,11,FALSE)</f>
        <v>0</v>
      </c>
      <c r="AE53" s="933">
        <f>VLOOKUP($W53,feed_mix_n,MATCH(AE$5,feed_mix_w!$B$5:$AC$5,0),FALSE)/$Z53*VLOOKUP(AE$5,feed_intensity_w,11,FALSE)</f>
        <v>0.36866590280425926</v>
      </c>
      <c r="AF53" s="933">
        <f>VLOOKUP($W53,feed_mix_n,MATCH(AF$5,feed_mix_w!$B$5:$AC$5,0),FALSE)/$Z53*VLOOKUP(AF$5,feed_intensity_w,11,FALSE)</f>
        <v>0.18433295140212963</v>
      </c>
      <c r="AG53" s="933">
        <f>VLOOKUP($W53,feed_mix_n,MATCH(AG$5,feed_mix_w!$B$5:$AC$5,0),FALSE)/$Z53*VLOOKUP(AG$5,feed_intensity_w,11,FALSE)</f>
        <v>0</v>
      </c>
      <c r="AH53" s="933">
        <f>VLOOKUP($W53,feed_mix_n,MATCH(AH$5,feed_mix_w!$B$5:$AC$5,0),FALSE)/$Z53*VLOOKUP(AH$5,feed_intensity_w,11,FALSE)</f>
        <v>0.18433295140212963</v>
      </c>
      <c r="AI53" s="933">
        <f>VLOOKUP($W53,feed_mix_n,MATCH(AI$5,feed_mix_w!$B$5:$AC$5,0),FALSE)/$Z53*VLOOKUP(AI$5,feed_intensity_w,11,FALSE)</f>
        <v>0</v>
      </c>
      <c r="AJ53" s="933">
        <f>VLOOKUP($W53,feed_mix_n,MATCH(AJ$5,feed_mix_w!$B$5:$AC$5,0),FALSE)/$Z53*VLOOKUP(AJ$5,feed_intensity_w,11,FALSE)</f>
        <v>0</v>
      </c>
      <c r="AK53" s="933">
        <f>VLOOKUP($W53,feed_mix_n,MATCH(AK$5,feed_mix_w!$B$5:$AC$5,0),FALSE)/$Z53*VLOOKUP(AK$5,feed_intensity_w,11,FALSE)</f>
        <v>0</v>
      </c>
      <c r="AL53" s="933">
        <f>VLOOKUP($W53,feed_mix_n,MATCH(AL$5,feed_mix_w!$B$5:$AC$5,0),FALSE)/$Z53*VLOOKUP(AL$5,feed_intensity_w,11,FALSE)</f>
        <v>0</v>
      </c>
      <c r="AM53" s="933">
        <f>VLOOKUP($W53,feed_mix_n,MATCH(AM$5,feed_mix_w!$B$5:$AC$5,0),FALSE)/$Z53*VLOOKUP(AM$5,feed_intensity_w,11,FALSE)</f>
        <v>0.13458941148075421</v>
      </c>
      <c r="AN53" s="933">
        <f>VLOOKUP($W53,feed_mix_n,MATCH(AN$5,feed_mix_w!$B$5:$AC$5,0),FALSE)/$Z53*VLOOKUP(AN$5,feed_intensity_w,11,FALSE)</f>
        <v>0</v>
      </c>
      <c r="AO53" s="933">
        <f>VLOOKUP($W53,feed_mix_n,MATCH(AO$5,feed_mix_w!$B$5:$AC$5,0),FALSE)/$Z53*VLOOKUP(AO$5,feed_intensity_w,11,FALSE)</f>
        <v>0</v>
      </c>
      <c r="AP53" s="933">
        <f>VLOOKUP($W53,feed_mix_n,MATCH(AP$5,feed_mix_w!$B$5:$AC$5,0),FALSE)/$Z53*VLOOKUP(AP$5,feed_intensity_w,11,FALSE)</f>
        <v>0</v>
      </c>
      <c r="AQ53" s="933">
        <f>VLOOKUP($W53,feed_mix_n,MATCH(AQ$5,feed_mix_w!$B$5:$AC$5,0),FALSE)/$Z53*VLOOKUP(AQ$5,feed_intensity_w,11,FALSE)</f>
        <v>0</v>
      </c>
      <c r="AR53" s="933">
        <f>VLOOKUP($W53,feed_mix_n,MATCH(AR$5,feed_mix_w!$B$5:$AC$5,0),FALSE)/$Z53*VLOOKUP(AR$5,feed_intensity_w,11,FALSE)</f>
        <v>0.15093242517178287</v>
      </c>
      <c r="AS53" s="1105">
        <f>VLOOKUP($W53,feed_mix_n,MATCH(AS$5,feed_mix_w!$B$5:$AC$5,0),FALSE)/$Z53*VLOOKUP(AS$5,feed_intensity_w,11,FALSE)</f>
        <v>0</v>
      </c>
    </row>
    <row r="54" spans="1:45" ht="12.75" customHeight="1">
      <c r="A54" s="1008" t="s">
        <v>2276</v>
      </c>
      <c r="B54" s="1102">
        <v>946</v>
      </c>
      <c r="C54" s="1103" t="s">
        <v>2277</v>
      </c>
      <c r="D54" s="1158">
        <v>18189</v>
      </c>
      <c r="E54" s="1158">
        <v>196</v>
      </c>
      <c r="F54" s="1012">
        <f t="shared" si="11"/>
        <v>3799.3953567498647</v>
      </c>
      <c r="G54" s="1012">
        <f t="shared" si="12"/>
        <v>36.45673989817994</v>
      </c>
      <c r="H54" s="933">
        <f t="shared" si="13"/>
        <v>7.4332076928141086</v>
      </c>
      <c r="I54" s="1486">
        <f t="shared" si="14"/>
        <v>28241.694793835301</v>
      </c>
      <c r="J54" s="1006">
        <f>IFERROR(G54*VLOOKUP(W54,livestock_intensity!$B$7:$I$29,8,FALSE)/Z54,0)</f>
        <v>270.99051946607415</v>
      </c>
      <c r="K54" s="933">
        <f>VLOOKUP($W54,feed_mix_n,MATCH(K$5,feed_mix_w!$B$5:$AC$5,0),FALSE)/$Z54*VLOOKUP(K$5,feed_intensity_w,11,FALSE)</f>
        <v>0</v>
      </c>
      <c r="L54" s="1486">
        <f t="shared" si="15"/>
        <v>0</v>
      </c>
      <c r="M54" s="1447">
        <f>IFERROR(G54*VLOOKUP(W54,livestock_intensity!$B$7:$M$29,12,FALSE)/Z54,0)</f>
        <v>0</v>
      </c>
      <c r="N54" s="933">
        <f>VLOOKUP($W54,feed_mix_n,MATCH(N$5,feed_mix_w!$B$5:$AC$5,0),FALSE)/$Z54*VLOOKUP(N$5,feed_intensity_w,11,FALSE)</f>
        <v>18.632834659073268</v>
      </c>
      <c r="O54" s="1486">
        <f t="shared" si="16"/>
        <v>70793.505486770926</v>
      </c>
      <c r="P54" s="939">
        <f>IFERROR(G54*VLOOKUP(W54,livestock_intensity!$B$7:$Q$29,16,FALSE)/Z54,0)</f>
        <v>679.29240673162644</v>
      </c>
      <c r="Q54" s="1530"/>
      <c r="R54" s="900">
        <f t="shared" si="17"/>
        <v>99035.200280606223</v>
      </c>
      <c r="S54" s="900">
        <f t="shared" si="18"/>
        <v>950.28292619770059</v>
      </c>
      <c r="T54" s="1483" t="s">
        <v>2862</v>
      </c>
      <c r="U54" s="1211" t="s">
        <v>415</v>
      </c>
      <c r="V54" s="1212" t="str">
        <f>IFERROR(VLOOKUP(W54,constant_ag_extr!$D$7:$E$594,2,FALSE),"")</f>
        <v>Buffaloes</v>
      </c>
      <c r="W54" s="1213">
        <f t="shared" si="19"/>
        <v>946</v>
      </c>
      <c r="X54" s="1099">
        <f>IFERROR(IF(VLOOKUP(B54,cnst_grazing!$C$10:$H$25,5,FALSE)="", IF(VLOOKUP(B54, cnst_grazing!$C$10:$H$25,3,FALSE)="", VLOOKUP(B54, cnst_grazing!$C$10:$H$25,4,FALSE),VLOOKUP(B54, cnst_grazing!$C$10:$H$25,3,FALSE)), VLOOKUP(B54,cnst_grazing!$C$10:$H$25,5,FALSE)),1)</f>
        <v>0.20888423534827999</v>
      </c>
      <c r="Y54" s="1099">
        <f>IFERROR(IF(VLOOKUP(B54,cnst_grazing!$C$10:$H$25,6,FALSE)="", IF(VLOOKUP(B54, cnst_grazing!$C$10:$H$25,4,FALSE)="", VLOOKUP(B54, cnst_grazing!$C$10:$H$25,3,FALSE),VLOOKUP(B54, cnst_grazing!$C$10:$H$25,4,FALSE)), VLOOKUP(B54,cnst_grazing!$C$10:$H$25,6,FALSE)),1)</f>
        <v>0.18600377499071399</v>
      </c>
      <c r="Z54" s="937">
        <f t="shared" si="20"/>
        <v>1</v>
      </c>
      <c r="AA54" s="1487">
        <f t="shared" si="21"/>
        <v>26.066042351887376</v>
      </c>
      <c r="AB54" s="933">
        <f>VLOOKUP($W54,feed_mix_n,MATCH(AB$5,feed_mix_w!$B$5:$AC$5,0),FALSE)/$Z54*VLOOKUP(AB$5,feed_intensity_w,11,FALSE)</f>
        <v>2.0492318643277767</v>
      </c>
      <c r="AC54" s="933">
        <f>VLOOKUP($W54,feed_mix_n,MATCH(AC$5,feed_mix_w!$B$5:$AC$5,0),FALSE)/$Z54*VLOOKUP(AC$5,feed_intensity_w,11,FALSE)</f>
        <v>0.85866739938276704</v>
      </c>
      <c r="AD54" s="933">
        <f>VLOOKUP($W54,feed_mix_n,MATCH(AD$5,feed_mix_w!$B$5:$AC$5,0),FALSE)/$Z54*VLOOKUP(AD$5,feed_intensity_w,11,FALSE)</f>
        <v>0</v>
      </c>
      <c r="AE54" s="933">
        <f>VLOOKUP($W54,feed_mix_n,MATCH(AE$5,feed_mix_w!$B$5:$AC$5,0),FALSE)/$Z54*VLOOKUP(AE$5,feed_intensity_w,11,FALSE)</f>
        <v>1.6310514511101433</v>
      </c>
      <c r="AF54" s="933">
        <f>VLOOKUP($W54,feed_mix_n,MATCH(AF$5,feed_mix_w!$B$5:$AC$5,0),FALSE)/$Z54*VLOOKUP(AF$5,feed_intensity_w,11,FALSE)</f>
        <v>0.81552572555507163</v>
      </c>
      <c r="AG54" s="933">
        <f>VLOOKUP($W54,feed_mix_n,MATCH(AG$5,feed_mix_w!$B$5:$AC$5,0),FALSE)/$Z54*VLOOKUP(AG$5,feed_intensity_w,11,FALSE)</f>
        <v>0</v>
      </c>
      <c r="AH54" s="933">
        <f>VLOOKUP($W54,feed_mix_n,MATCH(AH$5,feed_mix_w!$B$5:$AC$5,0),FALSE)/$Z54*VLOOKUP(AH$5,feed_intensity_w,11,FALSE)</f>
        <v>0.81552572555507163</v>
      </c>
      <c r="AI54" s="933">
        <f>VLOOKUP($W54,feed_mix_n,MATCH(AI$5,feed_mix_w!$B$5:$AC$5,0),FALSE)/$Z54*VLOOKUP(AI$5,feed_intensity_w,11,FALSE)</f>
        <v>0</v>
      </c>
      <c r="AJ54" s="933">
        <f>VLOOKUP($W54,feed_mix_n,MATCH(AJ$5,feed_mix_w!$B$5:$AC$5,0),FALSE)/$Z54*VLOOKUP(AJ$5,feed_intensity_w,11,FALSE)</f>
        <v>0</v>
      </c>
      <c r="AK54" s="933">
        <f>VLOOKUP($W54,feed_mix_n,MATCH(AK$5,feed_mix_w!$B$5:$AC$5,0),FALSE)/$Z54*VLOOKUP(AK$5,feed_intensity_w,11,FALSE)</f>
        <v>0</v>
      </c>
      <c r="AL54" s="933">
        <f>VLOOKUP($W54,feed_mix_n,MATCH(AL$5,feed_mix_w!$B$5:$AC$5,0),FALSE)/$Z54*VLOOKUP(AL$5,feed_intensity_w,11,FALSE)</f>
        <v>0</v>
      </c>
      <c r="AM54" s="933">
        <f>VLOOKUP($W54,feed_mix_n,MATCH(AM$5,feed_mix_w!$B$5:$AC$5,0),FALSE)/$Z54*VLOOKUP(AM$5,feed_intensity_w,11,FALSE)</f>
        <v>0.59545038808836681</v>
      </c>
      <c r="AN54" s="933">
        <f>VLOOKUP($W54,feed_mix_n,MATCH(AN$5,feed_mix_w!$B$5:$AC$5,0),FALSE)/$Z54*VLOOKUP(AN$5,feed_intensity_w,11,FALSE)</f>
        <v>0</v>
      </c>
      <c r="AO54" s="933">
        <f>VLOOKUP($W54,feed_mix_n,MATCH(AO$5,feed_mix_w!$B$5:$AC$5,0),FALSE)/$Z54*VLOOKUP(AO$5,feed_intensity_w,11,FALSE)</f>
        <v>0</v>
      </c>
      <c r="AP54" s="933">
        <f>VLOOKUP($W54,feed_mix_n,MATCH(AP$5,feed_mix_w!$B$5:$AC$5,0),FALSE)/$Z54*VLOOKUP(AP$5,feed_intensity_w,11,FALSE)</f>
        <v>0</v>
      </c>
      <c r="AQ54" s="933">
        <f>VLOOKUP($W54,feed_mix_n,MATCH(AQ$5,feed_mix_w!$B$5:$AC$5,0),FALSE)/$Z54*VLOOKUP(AQ$5,feed_intensity_w,11,FALSE)</f>
        <v>0</v>
      </c>
      <c r="AR54" s="933">
        <f>VLOOKUP($W54,feed_mix_n,MATCH(AR$5,feed_mix_w!$B$5:$AC$5,0),FALSE)/$Z54*VLOOKUP(AR$5,feed_intensity_w,11,FALSE)</f>
        <v>0.66775513879491177</v>
      </c>
      <c r="AS54" s="1105">
        <f>VLOOKUP($W54,feed_mix_n,MATCH(AS$5,feed_mix_w!$B$5:$AC$5,0),FALSE)/$Z54*VLOOKUP(AS$5,feed_intensity_w,11,FALSE)</f>
        <v>0</v>
      </c>
    </row>
    <row r="55" spans="1:45" ht="12.75" customHeight="1">
      <c r="A55" s="1008" t="s">
        <v>4630</v>
      </c>
      <c r="B55" s="1102">
        <v>947</v>
      </c>
      <c r="C55" s="1103" t="s">
        <v>4631</v>
      </c>
      <c r="D55" s="1158"/>
      <c r="E55" s="1158"/>
      <c r="F55" s="1012">
        <f t="shared" si="11"/>
        <v>0</v>
      </c>
      <c r="G55" s="1012">
        <f t="shared" si="12"/>
        <v>0</v>
      </c>
      <c r="H55" s="933">
        <f t="shared" si="13"/>
        <v>9.7899773854711594</v>
      </c>
      <c r="I55" s="1486">
        <f t="shared" si="14"/>
        <v>0</v>
      </c>
      <c r="J55" s="1006">
        <f>IFERROR(G55*VLOOKUP(W55,livestock_intensity!$B$7:$I$29,8,FALSE)/Z55,0)</f>
        <v>0</v>
      </c>
      <c r="K55" s="933">
        <f>VLOOKUP($W55,feed_mix_n,MATCH(K$5,feed_mix_w!$B$5:$AC$5,0),FALSE)/$Z55*VLOOKUP(K$5,feed_intensity_w,11,FALSE)</f>
        <v>0</v>
      </c>
      <c r="L55" s="1486">
        <f t="shared" si="15"/>
        <v>0</v>
      </c>
      <c r="M55" s="1447">
        <f>IFERROR(G55*VLOOKUP(W55,livestock_intensity!$B$7:$M$29,12,FALSE)/Z55,0)</f>
        <v>0</v>
      </c>
      <c r="N55" s="933">
        <f>VLOOKUP($W55,feed_mix_n,MATCH(N$5,feed_mix_w!$B$5:$AC$5,0),FALSE)/$Z55*VLOOKUP(N$5,feed_intensity_w,11,FALSE)</f>
        <v>24.540553348979646</v>
      </c>
      <c r="O55" s="1486">
        <f t="shared" si="16"/>
        <v>0</v>
      </c>
      <c r="P55" s="939">
        <f>IFERROR(G55*VLOOKUP(W55,livestock_intensity!$B$7:$Q$29,16,FALSE)/Z55,0)</f>
        <v>0</v>
      </c>
      <c r="Q55" s="1530"/>
      <c r="R55" s="900">
        <f t="shared" si="17"/>
        <v>0</v>
      </c>
      <c r="S55" s="900">
        <f t="shared" si="18"/>
        <v>0</v>
      </c>
      <c r="T55" s="1483" t="s">
        <v>2862</v>
      </c>
      <c r="U55" s="1211" t="s">
        <v>2921</v>
      </c>
      <c r="V55" s="1212" t="str">
        <f>IFERROR(VLOOKUP(W55,constant_ag_extr!$D$7:$E$594,2,FALSE),"")</f>
        <v>Buffaloes</v>
      </c>
      <c r="W55" s="1213">
        <f t="shared" si="19"/>
        <v>946</v>
      </c>
      <c r="X55" s="1099">
        <f>IFERROR(IF(VLOOKUP(B55,cnst_grazing!$C$10:$H$25,5,FALSE)="", IF(VLOOKUP(B55, cnst_grazing!$C$10:$H$25,3,FALSE)="", VLOOKUP(B55, cnst_grazing!$C$10:$H$25,4,FALSE),VLOOKUP(B55, cnst_grazing!$C$10:$H$25,3,FALSE)), VLOOKUP(B55,cnst_grazing!$C$10:$H$25,5,FALSE)),1)</f>
        <v>1</v>
      </c>
      <c r="Y55" s="1099">
        <f>IFERROR(IF(VLOOKUP(B55,cnst_grazing!$C$10:$H$25,6,FALSE)="", IF(VLOOKUP(B55, cnst_grazing!$C$10:$H$25,4,FALSE)="", VLOOKUP(B55, cnst_grazing!$C$10:$H$25,3,FALSE),VLOOKUP(B55, cnst_grazing!$C$10:$H$25,4,FALSE)), VLOOKUP(B55,cnst_grazing!$C$10:$H$25,6,FALSE)),1)</f>
        <v>1</v>
      </c>
      <c r="Z55" s="937">
        <f t="shared" si="20"/>
        <v>0.7592670953301055</v>
      </c>
      <c r="AA55" s="1487">
        <f t="shared" si="21"/>
        <v>34.330530734450804</v>
      </c>
      <c r="AB55" s="933">
        <f>VLOOKUP($W55,feed_mix_n,MATCH(AB$5,feed_mix_w!$B$5:$AC$5,0),FALSE)/$Z55*VLOOKUP(AB$5,feed_intensity_w,11,FALSE)</f>
        <v>2.6989604540110288</v>
      </c>
      <c r="AC55" s="933">
        <f>VLOOKUP($W55,feed_mix_n,MATCH(AC$5,feed_mix_w!$B$5:$AC$5,0),FALSE)/$Z55*VLOOKUP(AC$5,feed_intensity_w,11,FALSE)</f>
        <v>1.1309161224871009</v>
      </c>
      <c r="AD55" s="933">
        <f>VLOOKUP($W55,feed_mix_n,MATCH(AD$5,feed_mix_w!$B$5:$AC$5,0),FALSE)/$Z55*VLOOKUP(AD$5,feed_intensity_w,11,FALSE)</f>
        <v>0</v>
      </c>
      <c r="AE55" s="933">
        <f>VLOOKUP($W55,feed_mix_n,MATCH(AE$5,feed_mix_w!$B$5:$AC$5,0),FALSE)/$Z55*VLOOKUP(AE$5,feed_intensity_w,11,FALSE)</f>
        <v>2.1481919355414885</v>
      </c>
      <c r="AF55" s="933">
        <f>VLOOKUP($W55,feed_mix_n,MATCH(AF$5,feed_mix_w!$B$5:$AC$5,0),FALSE)/$Z55*VLOOKUP(AF$5,feed_intensity_w,11,FALSE)</f>
        <v>1.0740959677707442</v>
      </c>
      <c r="AG55" s="933">
        <f>VLOOKUP($W55,feed_mix_n,MATCH(AG$5,feed_mix_w!$B$5:$AC$5,0),FALSE)/$Z55*VLOOKUP(AG$5,feed_intensity_w,11,FALSE)</f>
        <v>0</v>
      </c>
      <c r="AH55" s="933">
        <f>VLOOKUP($W55,feed_mix_n,MATCH(AH$5,feed_mix_w!$B$5:$AC$5,0),FALSE)/$Z55*VLOOKUP(AH$5,feed_intensity_w,11,FALSE)</f>
        <v>1.0740959677707442</v>
      </c>
      <c r="AI55" s="933">
        <f>VLOOKUP($W55,feed_mix_n,MATCH(AI$5,feed_mix_w!$B$5:$AC$5,0),FALSE)/$Z55*VLOOKUP(AI$5,feed_intensity_w,11,FALSE)</f>
        <v>0</v>
      </c>
      <c r="AJ55" s="933">
        <f>VLOOKUP($W55,feed_mix_n,MATCH(AJ$5,feed_mix_w!$B$5:$AC$5,0),FALSE)/$Z55*VLOOKUP(AJ$5,feed_intensity_w,11,FALSE)</f>
        <v>0</v>
      </c>
      <c r="AK55" s="933">
        <f>VLOOKUP($W55,feed_mix_n,MATCH(AK$5,feed_mix_w!$B$5:$AC$5,0),FALSE)/$Z55*VLOOKUP(AK$5,feed_intensity_w,11,FALSE)</f>
        <v>0</v>
      </c>
      <c r="AL55" s="933">
        <f>VLOOKUP($W55,feed_mix_n,MATCH(AL$5,feed_mix_w!$B$5:$AC$5,0),FALSE)/$Z55*VLOOKUP(AL$5,feed_intensity_w,11,FALSE)</f>
        <v>0</v>
      </c>
      <c r="AM55" s="933">
        <f>VLOOKUP($W55,feed_mix_n,MATCH(AM$5,feed_mix_w!$B$5:$AC$5,0),FALSE)/$Z55*VLOOKUP(AM$5,feed_intensity_w,11,FALSE)</f>
        <v>0.78424363672639297</v>
      </c>
      <c r="AN55" s="933">
        <f>VLOOKUP($W55,feed_mix_n,MATCH(AN$5,feed_mix_w!$B$5:$AC$5,0),FALSE)/$Z55*VLOOKUP(AN$5,feed_intensity_w,11,FALSE)</f>
        <v>0</v>
      </c>
      <c r="AO55" s="933">
        <f>VLOOKUP($W55,feed_mix_n,MATCH(AO$5,feed_mix_w!$B$5:$AC$5,0),FALSE)/$Z55*VLOOKUP(AO$5,feed_intensity_w,11,FALSE)</f>
        <v>0</v>
      </c>
      <c r="AP55" s="933">
        <f>VLOOKUP($W55,feed_mix_n,MATCH(AP$5,feed_mix_w!$B$5:$AC$5,0),FALSE)/$Z55*VLOOKUP(AP$5,feed_intensity_w,11,FALSE)</f>
        <v>0</v>
      </c>
      <c r="AQ55" s="933">
        <f>VLOOKUP($W55,feed_mix_n,MATCH(AQ$5,feed_mix_w!$B$5:$AC$5,0),FALSE)/$Z55*VLOOKUP(AQ$5,feed_intensity_w,11,FALSE)</f>
        <v>0</v>
      </c>
      <c r="AR55" s="933">
        <f>VLOOKUP($W55,feed_mix_n,MATCH(AR$5,feed_mix_w!$B$5:$AC$5,0),FALSE)/$Z55*VLOOKUP(AR$5,feed_intensity_w,11,FALSE)</f>
        <v>0.87947330116366085</v>
      </c>
      <c r="AS55" s="1105">
        <f>VLOOKUP($W55,feed_mix_n,MATCH(AS$5,feed_mix_w!$B$5:$AC$5,0),FALSE)/$Z55*VLOOKUP(AS$5,feed_intensity_w,11,FALSE)</f>
        <v>0</v>
      </c>
    </row>
    <row r="56" spans="1:45" ht="12.75" customHeight="1">
      <c r="A56" s="1008" t="s">
        <v>7368</v>
      </c>
      <c r="B56" s="1102">
        <v>953</v>
      </c>
      <c r="C56" s="1103" t="s">
        <v>1272</v>
      </c>
      <c r="D56" s="1158"/>
      <c r="E56" s="1158"/>
      <c r="F56" s="1012">
        <f t="shared" si="11"/>
        <v>0</v>
      </c>
      <c r="G56" s="1012">
        <f t="shared" si="12"/>
        <v>0</v>
      </c>
      <c r="H56" s="933" t="e">
        <f t="shared" si="13"/>
        <v>#N/A</v>
      </c>
      <c r="I56" s="1486">
        <f t="shared" si="14"/>
        <v>0</v>
      </c>
      <c r="J56" s="1006">
        <f>IFERROR(G56*VLOOKUP(W56,livestock_intensity!$B$7:$I$29,8,FALSE)/Z56,0)</f>
        <v>0</v>
      </c>
      <c r="K56" s="933" t="e">
        <f>VLOOKUP($W56,feed_mix_n,MATCH(K$5,feed_mix_w!$B$5:$AC$5,0),FALSE)/$Z56*VLOOKUP(K$5,feed_intensity_w,11,FALSE)</f>
        <v>#N/A</v>
      </c>
      <c r="L56" s="1486">
        <f t="shared" si="15"/>
        <v>0</v>
      </c>
      <c r="M56" s="1447">
        <f>IFERROR(G56*VLOOKUP(W56,livestock_intensity!$B$7:$M$29,12,FALSE)/Z56,0)</f>
        <v>0</v>
      </c>
      <c r="N56" s="933" t="e">
        <f>VLOOKUP($W56,feed_mix_n,MATCH(N$5,feed_mix_w!$B$5:$AC$5,0),FALSE)/$Z56*VLOOKUP(N$5,feed_intensity_w,11,FALSE)</f>
        <v>#N/A</v>
      </c>
      <c r="O56" s="1486">
        <f t="shared" si="16"/>
        <v>0</v>
      </c>
      <c r="P56" s="939">
        <f>IFERROR(G56*VLOOKUP(W56,livestock_intensity!$B$7:$Q$29,16,FALSE)/Z56,0)</f>
        <v>0</v>
      </c>
      <c r="Q56" s="1530"/>
      <c r="R56" s="900">
        <f t="shared" si="17"/>
        <v>0</v>
      </c>
      <c r="S56" s="900">
        <f t="shared" si="18"/>
        <v>0</v>
      </c>
      <c r="T56" s="1483" t="s">
        <v>2862</v>
      </c>
      <c r="U56" s="1211" t="s">
        <v>2921</v>
      </c>
      <c r="V56" s="1212" t="str">
        <f>IFERROR(VLOOKUP(W56,constant_ag_extr!$D$7:$E$594,2,FALSE),"")</f>
        <v/>
      </c>
      <c r="W56" s="1213">
        <f t="shared" si="19"/>
        <v>0</v>
      </c>
      <c r="X56" s="1099">
        <f>IFERROR(IF(VLOOKUP(B56,cnst_grazing!$C$10:$H$25,5,FALSE)="", IF(VLOOKUP(B56, cnst_grazing!$C$10:$H$25,3,FALSE)="", VLOOKUP(B56, cnst_grazing!$C$10:$H$25,4,FALSE),VLOOKUP(B56, cnst_grazing!$C$10:$H$25,3,FALSE)), VLOOKUP(B56,cnst_grazing!$C$10:$H$25,5,FALSE)),1)</f>
        <v>1</v>
      </c>
      <c r="Y56" s="1099">
        <f>IFERROR(IF(VLOOKUP(B56,cnst_grazing!$C$10:$H$25,6,FALSE)="", IF(VLOOKUP(B56, cnst_grazing!$C$10:$H$25,4,FALSE)="", VLOOKUP(B56, cnst_grazing!$C$10:$H$25,3,FALSE),VLOOKUP(B56, cnst_grazing!$C$10:$H$25,4,FALSE)), VLOOKUP(B56,cnst_grazing!$C$10:$H$25,6,FALSE)),1)</f>
        <v>1</v>
      </c>
      <c r="Z56" s="937">
        <f t="shared" si="20"/>
        <v>1</v>
      </c>
      <c r="AA56" s="1487" t="e">
        <f t="shared" si="21"/>
        <v>#N/A</v>
      </c>
      <c r="AB56" s="933" t="e">
        <f>VLOOKUP($W56,feed_mix_n,MATCH(AB$5,feed_mix_w!$B$5:$AC$5,0),FALSE)/$Z56*VLOOKUP(AB$5,feed_intensity_w,11,FALSE)</f>
        <v>#N/A</v>
      </c>
      <c r="AC56" s="933" t="e">
        <f>VLOOKUP($W56,feed_mix_n,MATCH(AC$5,feed_mix_w!$B$5:$AC$5,0),FALSE)/$Z56*VLOOKUP(AC$5,feed_intensity_w,11,FALSE)</f>
        <v>#N/A</v>
      </c>
      <c r="AD56" s="933" t="e">
        <f>VLOOKUP($W56,feed_mix_n,MATCH(AD$5,feed_mix_w!$B$5:$AC$5,0),FALSE)/$Z56*VLOOKUP(AD$5,feed_intensity_w,11,FALSE)</f>
        <v>#N/A</v>
      </c>
      <c r="AE56" s="933" t="e">
        <f>VLOOKUP($W56,feed_mix_n,MATCH(AE$5,feed_mix_w!$B$5:$AC$5,0),FALSE)/$Z56*VLOOKUP(AE$5,feed_intensity_w,11,FALSE)</f>
        <v>#N/A</v>
      </c>
      <c r="AF56" s="933" t="e">
        <f>VLOOKUP($W56,feed_mix_n,MATCH(AF$5,feed_mix_w!$B$5:$AC$5,0),FALSE)/$Z56*VLOOKUP(AF$5,feed_intensity_w,11,FALSE)</f>
        <v>#N/A</v>
      </c>
      <c r="AG56" s="933" t="e">
        <f>VLOOKUP($W56,feed_mix_n,MATCH(AG$5,feed_mix_w!$B$5:$AC$5,0),FALSE)/$Z56*VLOOKUP(AG$5,feed_intensity_w,11,FALSE)</f>
        <v>#N/A</v>
      </c>
      <c r="AH56" s="933" t="e">
        <f>VLOOKUP($W56,feed_mix_n,MATCH(AH$5,feed_mix_w!$B$5:$AC$5,0),FALSE)/$Z56*VLOOKUP(AH$5,feed_intensity_w,11,FALSE)</f>
        <v>#N/A</v>
      </c>
      <c r="AI56" s="933" t="e">
        <f>VLOOKUP($W56,feed_mix_n,MATCH(AI$5,feed_mix_w!$B$5:$AC$5,0),FALSE)/$Z56*VLOOKUP(AI$5,feed_intensity_w,11,FALSE)</f>
        <v>#N/A</v>
      </c>
      <c r="AJ56" s="933" t="e">
        <f>VLOOKUP($W56,feed_mix_n,MATCH(AJ$5,feed_mix_w!$B$5:$AC$5,0),FALSE)/$Z56*VLOOKUP(AJ$5,feed_intensity_w,11,FALSE)</f>
        <v>#N/A</v>
      </c>
      <c r="AK56" s="933" t="e">
        <f>VLOOKUP($W56,feed_mix_n,MATCH(AK$5,feed_mix_w!$B$5:$AC$5,0),FALSE)/$Z56*VLOOKUP(AK$5,feed_intensity_w,11,FALSE)</f>
        <v>#N/A</v>
      </c>
      <c r="AL56" s="933" t="e">
        <f>VLOOKUP($W56,feed_mix_n,MATCH(AL$5,feed_mix_w!$B$5:$AC$5,0),FALSE)/$Z56*VLOOKUP(AL$5,feed_intensity_w,11,FALSE)</f>
        <v>#N/A</v>
      </c>
      <c r="AM56" s="933" t="e">
        <f>VLOOKUP($W56,feed_mix_n,MATCH(AM$5,feed_mix_w!$B$5:$AC$5,0),FALSE)/$Z56*VLOOKUP(AM$5,feed_intensity_w,11,FALSE)</f>
        <v>#N/A</v>
      </c>
      <c r="AN56" s="933" t="e">
        <f>VLOOKUP($W56,feed_mix_n,MATCH(AN$5,feed_mix_w!$B$5:$AC$5,0),FALSE)/$Z56*VLOOKUP(AN$5,feed_intensity_w,11,FALSE)</f>
        <v>#N/A</v>
      </c>
      <c r="AO56" s="933" t="e">
        <f>VLOOKUP($W56,feed_mix_n,MATCH(AO$5,feed_mix_w!$B$5:$AC$5,0),FALSE)/$Z56*VLOOKUP(AO$5,feed_intensity_w,11,FALSE)</f>
        <v>#N/A</v>
      </c>
      <c r="AP56" s="933" t="e">
        <f>VLOOKUP($W56,feed_mix_n,MATCH(AP$5,feed_mix_w!$B$5:$AC$5,0),FALSE)/$Z56*VLOOKUP(AP$5,feed_intensity_w,11,FALSE)</f>
        <v>#N/A</v>
      </c>
      <c r="AQ56" s="933" t="e">
        <f>VLOOKUP($W56,feed_mix_n,MATCH(AQ$5,feed_mix_w!$B$5:$AC$5,0),FALSE)/$Z56*VLOOKUP(AQ$5,feed_intensity_w,11,FALSE)</f>
        <v>#N/A</v>
      </c>
      <c r="AR56" s="933" t="e">
        <f>VLOOKUP($W56,feed_mix_n,MATCH(AR$5,feed_mix_w!$B$5:$AC$5,0),FALSE)/$Z56*VLOOKUP(AR$5,feed_intensity_w,11,FALSE)</f>
        <v>#N/A</v>
      </c>
      <c r="AS56" s="1105" t="e">
        <f>VLOOKUP($W56,feed_mix_n,MATCH(AS$5,feed_mix_w!$B$5:$AC$5,0),FALSE)/$Z56*VLOOKUP(AS$5,feed_intensity_w,11,FALSE)</f>
        <v>#N/A</v>
      </c>
    </row>
    <row r="57" spans="1:45" ht="12.75" customHeight="1">
      <c r="A57" s="1008" t="s">
        <v>7369</v>
      </c>
      <c r="B57" s="1102">
        <v>958</v>
      </c>
      <c r="C57" s="1103" t="s">
        <v>1619</v>
      </c>
      <c r="D57" s="1158">
        <v>0</v>
      </c>
      <c r="E57" s="1158"/>
      <c r="F57" s="1012">
        <f t="shared" si="11"/>
        <v>0</v>
      </c>
      <c r="G57" s="1012">
        <f t="shared" si="12"/>
        <v>0</v>
      </c>
      <c r="H57" s="933">
        <f t="shared" si="13"/>
        <v>4.8925403865824366</v>
      </c>
      <c r="I57" s="1486">
        <f t="shared" si="14"/>
        <v>0</v>
      </c>
      <c r="J57" s="1006">
        <f>IFERROR(G57*VLOOKUP(W57,livestock_intensity!$B$7:$I$29,8,FALSE)/Z57,0)</f>
        <v>0</v>
      </c>
      <c r="K57" s="933">
        <f>VLOOKUP($W57,feed_mix_n,MATCH(K$5,feed_mix_w!$B$5:$AC$5,0),FALSE)/$Z57*VLOOKUP(K$5,feed_intensity_w,11,FALSE)</f>
        <v>0</v>
      </c>
      <c r="L57" s="1486">
        <f t="shared" si="15"/>
        <v>0</v>
      </c>
      <c r="M57" s="1447">
        <f>IFERROR(G57*VLOOKUP(W57,livestock_intensity!$B$7:$M$29,12,FALSE)/Z57,0)</f>
        <v>0</v>
      </c>
      <c r="N57" s="933">
        <f>VLOOKUP($W57,feed_mix_n,MATCH(N$5,feed_mix_w!$B$5:$AC$5,0),FALSE)/$Z57*VLOOKUP(N$5,feed_intensity_w,11,FALSE)</f>
        <v>12.264139501195123</v>
      </c>
      <c r="O57" s="1486">
        <f t="shared" si="16"/>
        <v>0</v>
      </c>
      <c r="P57" s="939">
        <f>IFERROR(G57*VLOOKUP(W57,livestock_intensity!$B$7:$Q$29,16,FALSE)/Z57,0)</f>
        <v>0</v>
      </c>
      <c r="Q57" s="1530"/>
      <c r="R57" s="900">
        <f t="shared" si="17"/>
        <v>0</v>
      </c>
      <c r="S57" s="900">
        <f t="shared" si="18"/>
        <v>0</v>
      </c>
      <c r="T57" s="1483">
        <v>2748</v>
      </c>
      <c r="U57" s="1211" t="s">
        <v>2921</v>
      </c>
      <c r="V57" s="1212" t="str">
        <f>IFERROR(VLOOKUP(W57,constant_ag_extr!$D$7:$E$594,2,FALSE),"")</f>
        <v>Buffaloes</v>
      </c>
      <c r="W57" s="1213">
        <f t="shared" si="19"/>
        <v>946</v>
      </c>
      <c r="X57" s="1099">
        <f>IFERROR(IF(VLOOKUP(B57,cnst_grazing!$C$10:$H$25,5,FALSE)="", IF(VLOOKUP(B57, cnst_grazing!$C$10:$H$25,3,FALSE)="", VLOOKUP(B57, cnst_grazing!$C$10:$H$25,4,FALSE),VLOOKUP(B57, cnst_grazing!$C$10:$H$25,3,FALSE)), VLOOKUP(B57,cnst_grazing!$C$10:$H$25,5,FALSE)),1)</f>
        <v>1</v>
      </c>
      <c r="Y57" s="1099">
        <f>IFERROR(IF(VLOOKUP(B57,cnst_grazing!$C$10:$H$25,6,FALSE)="", IF(VLOOKUP(B57, cnst_grazing!$C$10:$H$25,4,FALSE)="", VLOOKUP(B57, cnst_grazing!$C$10:$H$25,3,FALSE),VLOOKUP(B57, cnst_grazing!$C$10:$H$25,4,FALSE)), VLOOKUP(B57,cnst_grazing!$C$10:$H$25,6,FALSE)),1)</f>
        <v>1</v>
      </c>
      <c r="Z57" s="937">
        <f t="shared" si="20"/>
        <v>1.5192940896715605</v>
      </c>
      <c r="AA57" s="1487">
        <f t="shared" si="21"/>
        <v>17.15667988777756</v>
      </c>
      <c r="AB57" s="933">
        <f>VLOOKUP($W57,feed_mix_n,MATCH(AB$5,feed_mix_w!$B$5:$AC$5,0),FALSE)/$Z57*VLOOKUP(AB$5,feed_intensity_w,11,FALSE)</f>
        <v>1.348805263088187</v>
      </c>
      <c r="AC57" s="933">
        <f>VLOOKUP($W57,feed_mix_n,MATCH(AC$5,feed_mix_w!$B$5:$AC$5,0),FALSE)/$Z57*VLOOKUP(AC$5,feed_intensity_w,11,FALSE)</f>
        <v>0.56517523843483974</v>
      </c>
      <c r="AD57" s="933">
        <f>VLOOKUP($W57,feed_mix_n,MATCH(AD$5,feed_mix_w!$B$5:$AC$5,0),FALSE)/$Z57*VLOOKUP(AD$5,feed_intensity_w,11,FALSE)</f>
        <v>0</v>
      </c>
      <c r="AE57" s="933">
        <f>VLOOKUP($W57,feed_mix_n,MATCH(AE$5,feed_mix_w!$B$5:$AC$5,0),FALSE)/$Z57*VLOOKUP(AE$5,feed_intensity_w,11,FALSE)</f>
        <v>1.0735587416539891</v>
      </c>
      <c r="AF57" s="933">
        <f>VLOOKUP($W57,feed_mix_n,MATCH(AF$5,feed_mix_w!$B$5:$AC$5,0),FALSE)/$Z57*VLOOKUP(AF$5,feed_intensity_w,11,FALSE)</f>
        <v>0.53677937082699456</v>
      </c>
      <c r="AG57" s="933">
        <f>VLOOKUP($W57,feed_mix_n,MATCH(AG$5,feed_mix_w!$B$5:$AC$5,0),FALSE)/$Z57*VLOOKUP(AG$5,feed_intensity_w,11,FALSE)</f>
        <v>0</v>
      </c>
      <c r="AH57" s="933">
        <f>VLOOKUP($W57,feed_mix_n,MATCH(AH$5,feed_mix_w!$B$5:$AC$5,0),FALSE)/$Z57*VLOOKUP(AH$5,feed_intensity_w,11,FALSE)</f>
        <v>0.53677937082699456</v>
      </c>
      <c r="AI57" s="933">
        <f>VLOOKUP($W57,feed_mix_n,MATCH(AI$5,feed_mix_w!$B$5:$AC$5,0),FALSE)/$Z57*VLOOKUP(AI$5,feed_intensity_w,11,FALSE)</f>
        <v>0</v>
      </c>
      <c r="AJ57" s="933">
        <f>VLOOKUP($W57,feed_mix_n,MATCH(AJ$5,feed_mix_w!$B$5:$AC$5,0),FALSE)/$Z57*VLOOKUP(AJ$5,feed_intensity_w,11,FALSE)</f>
        <v>0</v>
      </c>
      <c r="AK57" s="933">
        <f>VLOOKUP($W57,feed_mix_n,MATCH(AK$5,feed_mix_w!$B$5:$AC$5,0),FALSE)/$Z57*VLOOKUP(AK$5,feed_intensity_w,11,FALSE)</f>
        <v>0</v>
      </c>
      <c r="AL57" s="933">
        <f>VLOOKUP($W57,feed_mix_n,MATCH(AL$5,feed_mix_w!$B$5:$AC$5,0),FALSE)/$Z57*VLOOKUP(AL$5,feed_intensity_w,11,FALSE)</f>
        <v>0</v>
      </c>
      <c r="AM57" s="933">
        <f>VLOOKUP($W57,feed_mix_n,MATCH(AM$5,feed_mix_w!$B$5:$AC$5,0),FALSE)/$Z57*VLOOKUP(AM$5,feed_intensity_w,11,FALSE)</f>
        <v>0.39192569242278219</v>
      </c>
      <c r="AN57" s="933">
        <f>VLOOKUP($W57,feed_mix_n,MATCH(AN$5,feed_mix_w!$B$5:$AC$5,0),FALSE)/$Z57*VLOOKUP(AN$5,feed_intensity_w,11,FALSE)</f>
        <v>0</v>
      </c>
      <c r="AO57" s="933">
        <f>VLOOKUP($W57,feed_mix_n,MATCH(AO$5,feed_mix_w!$B$5:$AC$5,0),FALSE)/$Z57*VLOOKUP(AO$5,feed_intensity_w,11,FALSE)</f>
        <v>0</v>
      </c>
      <c r="AP57" s="933">
        <f>VLOOKUP($W57,feed_mix_n,MATCH(AP$5,feed_mix_w!$B$5:$AC$5,0),FALSE)/$Z57*VLOOKUP(AP$5,feed_intensity_w,11,FALSE)</f>
        <v>0</v>
      </c>
      <c r="AQ57" s="933">
        <f>VLOOKUP($W57,feed_mix_n,MATCH(AQ$5,feed_mix_w!$B$5:$AC$5,0),FALSE)/$Z57*VLOOKUP(AQ$5,feed_intensity_w,11,FALSE)</f>
        <v>0</v>
      </c>
      <c r="AR57" s="933">
        <f>VLOOKUP($W57,feed_mix_n,MATCH(AR$5,feed_mix_w!$B$5:$AC$5,0),FALSE)/$Z57*VLOOKUP(AR$5,feed_intensity_w,11,FALSE)</f>
        <v>0.43951670932865039</v>
      </c>
      <c r="AS57" s="1105">
        <f>VLOOKUP($W57,feed_mix_n,MATCH(AS$5,feed_mix_w!$B$5:$AC$5,0),FALSE)/$Z57*VLOOKUP(AS$5,feed_intensity_w,11,FALSE)</f>
        <v>0</v>
      </c>
    </row>
    <row r="58" spans="1:45" ht="12.75" customHeight="1">
      <c r="A58" s="1008" t="s">
        <v>7370</v>
      </c>
      <c r="B58" s="1102">
        <v>959</v>
      </c>
      <c r="C58" s="1103" t="s">
        <v>5512</v>
      </c>
      <c r="D58" s="1158"/>
      <c r="E58" s="1158"/>
      <c r="F58" s="1012">
        <f t="shared" si="11"/>
        <v>0</v>
      </c>
      <c r="G58" s="1012">
        <f t="shared" si="12"/>
        <v>0</v>
      </c>
      <c r="H58" s="933">
        <f t="shared" si="13"/>
        <v>11.304503253469946</v>
      </c>
      <c r="I58" s="1486">
        <f t="shared" si="14"/>
        <v>0</v>
      </c>
      <c r="J58" s="1006">
        <f>IFERROR(G58*VLOOKUP(W58,livestock_intensity!$B$7:$I$29,8,FALSE)/Z58,0)</f>
        <v>0</v>
      </c>
      <c r="K58" s="933">
        <f>VLOOKUP($W58,feed_mix_n,MATCH(K$5,feed_mix_w!$B$5:$AC$5,0),FALSE)/$Z58*VLOOKUP(K$5,feed_intensity_w,11,FALSE)</f>
        <v>0</v>
      </c>
      <c r="L58" s="1486">
        <f t="shared" si="15"/>
        <v>0</v>
      </c>
      <c r="M58" s="1447">
        <f>IFERROR(G58*VLOOKUP(W58,livestock_intensity!$B$7:$M$29,12,FALSE)/Z58,0)</f>
        <v>0</v>
      </c>
      <c r="N58" s="933">
        <f>VLOOKUP($W58,feed_mix_n,MATCH(N$5,feed_mix_w!$B$5:$AC$5,0),FALSE)/$Z58*VLOOKUP(N$5,feed_intensity_w,11,FALSE)</f>
        <v>28.337017977916595</v>
      </c>
      <c r="O58" s="1486">
        <f t="shared" si="16"/>
        <v>0</v>
      </c>
      <c r="P58" s="939">
        <f>IFERROR(G58*VLOOKUP(W58,livestock_intensity!$B$7:$Q$29,16,FALSE)/Z58,0)</f>
        <v>0</v>
      </c>
      <c r="Q58" s="1530"/>
      <c r="R58" s="900">
        <f t="shared" si="17"/>
        <v>0</v>
      </c>
      <c r="S58" s="900">
        <f t="shared" si="18"/>
        <v>0</v>
      </c>
      <c r="T58" s="1483">
        <v>2748</v>
      </c>
      <c r="U58" s="1211" t="s">
        <v>2921</v>
      </c>
      <c r="V58" s="1212" t="str">
        <f>IFERROR(VLOOKUP(W58,constant_ag_extr!$D$7:$E$594,2,FALSE),"")</f>
        <v>Buffaloes</v>
      </c>
      <c r="W58" s="1213">
        <f t="shared" si="19"/>
        <v>946</v>
      </c>
      <c r="X58" s="1099">
        <f>IFERROR(IF(VLOOKUP(B58,cnst_grazing!$C$10:$H$25,5,FALSE)="", IF(VLOOKUP(B58, cnst_grazing!$C$10:$H$25,3,FALSE)="", VLOOKUP(B58, cnst_grazing!$C$10:$H$25,4,FALSE),VLOOKUP(B58, cnst_grazing!$C$10:$H$25,3,FALSE)), VLOOKUP(B58,cnst_grazing!$C$10:$H$25,5,FALSE)),1)</f>
        <v>1</v>
      </c>
      <c r="Y58" s="1099">
        <f>IFERROR(IF(VLOOKUP(B58,cnst_grazing!$C$10:$H$25,6,FALSE)="", IF(VLOOKUP(B58, cnst_grazing!$C$10:$H$25,4,FALSE)="", VLOOKUP(B58, cnst_grazing!$C$10:$H$25,3,FALSE),VLOOKUP(B58, cnst_grazing!$C$10:$H$25,4,FALSE)), VLOOKUP(B58,cnst_grazing!$C$10:$H$25,6,FALSE)),1)</f>
        <v>1</v>
      </c>
      <c r="Z58" s="937">
        <f t="shared" si="20"/>
        <v>0.65754394741161815</v>
      </c>
      <c r="AA58" s="1487">
        <f t="shared" si="21"/>
        <v>39.641521231386541</v>
      </c>
      <c r="AB58" s="933">
        <f>VLOOKUP($W58,feed_mix_n,MATCH(AB$5,feed_mix_w!$B$5:$AC$5,0),FALSE)/$Z58*VLOOKUP(AB$5,feed_intensity_w,11,FALSE)</f>
        <v>3.1164941482534414</v>
      </c>
      <c r="AC58" s="933">
        <f>VLOOKUP($W58,feed_mix_n,MATCH(AC$5,feed_mix_w!$B$5:$AC$5,0),FALSE)/$Z58*VLOOKUP(AC$5,feed_intensity_w,11,FALSE)</f>
        <v>1.3058707372531664</v>
      </c>
      <c r="AD58" s="933">
        <f>VLOOKUP($W58,feed_mix_n,MATCH(AD$5,feed_mix_w!$B$5:$AC$5,0),FALSE)/$Z58*VLOOKUP(AD$5,feed_intensity_w,11,FALSE)</f>
        <v>0</v>
      </c>
      <c r="AE58" s="933">
        <f>VLOOKUP($W58,feed_mix_n,MATCH(AE$5,feed_mix_w!$B$5:$AC$5,0),FALSE)/$Z58*VLOOKUP(AE$5,feed_intensity_w,11,FALSE)</f>
        <v>2.4805208192253589</v>
      </c>
      <c r="AF58" s="933">
        <f>VLOOKUP($W58,feed_mix_n,MATCH(AF$5,feed_mix_w!$B$5:$AC$5,0),FALSE)/$Z58*VLOOKUP(AF$5,feed_intensity_w,11,FALSE)</f>
        <v>1.2402604096126795</v>
      </c>
      <c r="AG58" s="933">
        <f>VLOOKUP($W58,feed_mix_n,MATCH(AG$5,feed_mix_w!$B$5:$AC$5,0),FALSE)/$Z58*VLOOKUP(AG$5,feed_intensity_w,11,FALSE)</f>
        <v>0</v>
      </c>
      <c r="AH58" s="933">
        <f>VLOOKUP($W58,feed_mix_n,MATCH(AH$5,feed_mix_w!$B$5:$AC$5,0),FALSE)/$Z58*VLOOKUP(AH$5,feed_intensity_w,11,FALSE)</f>
        <v>1.2402604096126795</v>
      </c>
      <c r="AI58" s="933">
        <f>VLOOKUP($W58,feed_mix_n,MATCH(AI$5,feed_mix_w!$B$5:$AC$5,0),FALSE)/$Z58*VLOOKUP(AI$5,feed_intensity_w,11,FALSE)</f>
        <v>0</v>
      </c>
      <c r="AJ58" s="933">
        <f>VLOOKUP($W58,feed_mix_n,MATCH(AJ$5,feed_mix_w!$B$5:$AC$5,0),FALSE)/$Z58*VLOOKUP(AJ$5,feed_intensity_w,11,FALSE)</f>
        <v>0</v>
      </c>
      <c r="AK58" s="933">
        <f>VLOOKUP($W58,feed_mix_n,MATCH(AK$5,feed_mix_w!$B$5:$AC$5,0),FALSE)/$Z58*VLOOKUP(AK$5,feed_intensity_w,11,FALSE)</f>
        <v>0</v>
      </c>
      <c r="AL58" s="933">
        <f>VLOOKUP($W58,feed_mix_n,MATCH(AL$5,feed_mix_w!$B$5:$AC$5,0),FALSE)/$Z58*VLOOKUP(AL$5,feed_intensity_w,11,FALSE)</f>
        <v>0</v>
      </c>
      <c r="AM58" s="933">
        <f>VLOOKUP($W58,feed_mix_n,MATCH(AM$5,feed_mix_w!$B$5:$AC$5,0),FALSE)/$Z58*VLOOKUP(AM$5,feed_intensity_w,11,FALSE)</f>
        <v>0.90556743839300968</v>
      </c>
      <c r="AN58" s="933">
        <f>VLOOKUP($W58,feed_mix_n,MATCH(AN$5,feed_mix_w!$B$5:$AC$5,0),FALSE)/$Z58*VLOOKUP(AN$5,feed_intensity_w,11,FALSE)</f>
        <v>0</v>
      </c>
      <c r="AO58" s="933">
        <f>VLOOKUP($W58,feed_mix_n,MATCH(AO$5,feed_mix_w!$B$5:$AC$5,0),FALSE)/$Z58*VLOOKUP(AO$5,feed_intensity_w,11,FALSE)</f>
        <v>0</v>
      </c>
      <c r="AP58" s="933">
        <f>VLOOKUP($W58,feed_mix_n,MATCH(AP$5,feed_mix_w!$B$5:$AC$5,0),FALSE)/$Z58*VLOOKUP(AP$5,feed_intensity_w,11,FALSE)</f>
        <v>0</v>
      </c>
      <c r="AQ58" s="933">
        <f>VLOOKUP($W58,feed_mix_n,MATCH(AQ$5,feed_mix_w!$B$5:$AC$5,0),FALSE)/$Z58*VLOOKUP(AQ$5,feed_intensity_w,11,FALSE)</f>
        <v>0</v>
      </c>
      <c r="AR58" s="933">
        <f>VLOOKUP($W58,feed_mix_n,MATCH(AR$5,feed_mix_w!$B$5:$AC$5,0),FALSE)/$Z58*VLOOKUP(AR$5,feed_intensity_w,11,FALSE)</f>
        <v>1.0155292911196119</v>
      </c>
      <c r="AS58" s="1105">
        <f>VLOOKUP($W58,feed_mix_n,MATCH(AS$5,feed_mix_w!$B$5:$AC$5,0),FALSE)/$Z58*VLOOKUP(AS$5,feed_intensity_w,11,FALSE)</f>
        <v>0</v>
      </c>
    </row>
    <row r="59" spans="1:45" ht="12.75" customHeight="1">
      <c r="A59" s="1008" t="s">
        <v>1961</v>
      </c>
      <c r="B59" s="1102">
        <v>976</v>
      </c>
      <c r="C59" s="1103">
        <v>104.1</v>
      </c>
      <c r="D59" s="1158">
        <v>3404</v>
      </c>
      <c r="E59" s="1158">
        <v>54496</v>
      </c>
      <c r="F59" s="1012">
        <f t="shared" si="11"/>
        <v>77.679107935313993</v>
      </c>
      <c r="G59" s="1012">
        <f t="shared" si="12"/>
        <v>1027.586182425719</v>
      </c>
      <c r="H59" s="933">
        <f t="shared" si="13"/>
        <v>0</v>
      </c>
      <c r="I59" s="1486">
        <f t="shared" si="14"/>
        <v>0</v>
      </c>
      <c r="J59" s="1006">
        <f>IFERROR(G59*VLOOKUP(W59,livestock_intensity!$B$7:$I$29,8,FALSE)/Z59,0)</f>
        <v>0</v>
      </c>
      <c r="K59" s="933">
        <f>VLOOKUP($W59,feed_mix_n,MATCH(K$5,feed_mix_w!$B$5:$AC$5,0),FALSE)/$Z59*VLOOKUP(K$5,feed_intensity_w,11,FALSE)</f>
        <v>0</v>
      </c>
      <c r="L59" s="1486">
        <f t="shared" si="15"/>
        <v>0</v>
      </c>
      <c r="M59" s="1447">
        <f>IFERROR(G59*VLOOKUP(W59,livestock_intensity!$B$7:$M$29,12,FALSE)/Z59,0)</f>
        <v>0</v>
      </c>
      <c r="N59" s="933">
        <f>VLOOKUP($W59,feed_mix_n,MATCH(N$5,feed_mix_w!$B$5:$AC$5,0),FALSE)/$Z59*VLOOKUP(N$5,feed_intensity_w,11,FALSE)</f>
        <v>3.6199325374776703</v>
      </c>
      <c r="O59" s="1486">
        <f t="shared" si="16"/>
        <v>281.19313029728301</v>
      </c>
      <c r="P59" s="939">
        <f>IFERROR(G59*VLOOKUP(W59,livestock_intensity!$B$7:$Q$29,16,FALSE)/Z59,0)</f>
        <v>3211.7123183732597</v>
      </c>
      <c r="Q59" s="1530"/>
      <c r="R59" s="900">
        <f t="shared" si="17"/>
        <v>281.19313029728301</v>
      </c>
      <c r="S59" s="900">
        <f t="shared" si="18"/>
        <v>3211.7123183732597</v>
      </c>
      <c r="T59" s="1483" t="s">
        <v>2862</v>
      </c>
      <c r="U59" s="1211" t="s">
        <v>415</v>
      </c>
      <c r="V59" s="1212" t="str">
        <f>IFERROR(VLOOKUP(W59,constant_ag_extr!$D$7:$E$594,2,FALSE),"")</f>
        <v>Sheep</v>
      </c>
      <c r="W59" s="1213">
        <f t="shared" si="19"/>
        <v>976</v>
      </c>
      <c r="X59" s="1099">
        <f>IFERROR(IF(VLOOKUP(B59,cnst_grazing!$C$10:$H$25,5,FALSE)="", IF(VLOOKUP(B59, cnst_grazing!$C$10:$H$25,3,FALSE)="", VLOOKUP(B59, cnst_grazing!$C$10:$H$25,4,FALSE),VLOOKUP(B59, cnst_grazing!$C$10:$H$25,3,FALSE)), VLOOKUP(B59,cnst_grazing!$C$10:$H$25,5,FALSE)),1)</f>
        <v>2.2819949452207399E-2</v>
      </c>
      <c r="Y59" s="1099">
        <f>IFERROR(IF(VLOOKUP(B59,cnst_grazing!$C$10:$H$25,6,FALSE)="", IF(VLOOKUP(B59, cnst_grazing!$C$10:$H$25,4,FALSE)="", VLOOKUP(B59, cnst_grazing!$C$10:$H$25,3,FALSE),VLOOKUP(B59, cnst_grazing!$C$10:$H$25,4,FALSE)), VLOOKUP(B59,cnst_grazing!$C$10:$H$25,6,FALSE)),1)</f>
        <v>1.8856176277629901E-2</v>
      </c>
      <c r="Z59" s="937">
        <f t="shared" si="20"/>
        <v>1</v>
      </c>
      <c r="AA59" s="1487">
        <f t="shared" si="21"/>
        <v>3.6199325374776703</v>
      </c>
      <c r="AB59" s="933">
        <f>VLOOKUP($W59,feed_mix_n,MATCH(AB$5,feed_mix_w!$B$5:$AC$5,0),FALSE)/$Z59*VLOOKUP(AB$5,feed_intensity_w,11,FALSE)</f>
        <v>0</v>
      </c>
      <c r="AC59" s="933">
        <f>VLOOKUP($W59,feed_mix_n,MATCH(AC$5,feed_mix_w!$B$5:$AC$5,0),FALSE)/$Z59*VLOOKUP(AC$5,feed_intensity_w,11,FALSE)</f>
        <v>0</v>
      </c>
      <c r="AD59" s="933">
        <f>VLOOKUP($W59,feed_mix_n,MATCH(AD$5,feed_mix_w!$B$5:$AC$5,0),FALSE)/$Z59*VLOOKUP(AD$5,feed_intensity_w,11,FALSE)</f>
        <v>0</v>
      </c>
      <c r="AE59" s="933">
        <f>VLOOKUP($W59,feed_mix_n,MATCH(AE$5,feed_mix_w!$B$5:$AC$5,0),FALSE)/$Z59*VLOOKUP(AE$5,feed_intensity_w,11,FALSE)</f>
        <v>0</v>
      </c>
      <c r="AF59" s="933">
        <f>VLOOKUP($W59,feed_mix_n,MATCH(AF$5,feed_mix_w!$B$5:$AC$5,0),FALSE)/$Z59*VLOOKUP(AF$5,feed_intensity_w,11,FALSE)</f>
        <v>0</v>
      </c>
      <c r="AG59" s="933">
        <f>VLOOKUP($W59,feed_mix_n,MATCH(AG$5,feed_mix_w!$B$5:$AC$5,0),FALSE)/$Z59*VLOOKUP(AG$5,feed_intensity_w,11,FALSE)</f>
        <v>0</v>
      </c>
      <c r="AH59" s="933">
        <f>VLOOKUP($W59,feed_mix_n,MATCH(AH$5,feed_mix_w!$B$5:$AC$5,0),FALSE)/$Z59*VLOOKUP(AH$5,feed_intensity_w,11,FALSE)</f>
        <v>0</v>
      </c>
      <c r="AI59" s="933">
        <f>VLOOKUP($W59,feed_mix_n,MATCH(AI$5,feed_mix_w!$B$5:$AC$5,0),FALSE)/$Z59*VLOOKUP(AI$5,feed_intensity_w,11,FALSE)</f>
        <v>0</v>
      </c>
      <c r="AJ59" s="933">
        <f>VLOOKUP($W59,feed_mix_n,MATCH(AJ$5,feed_mix_w!$B$5:$AC$5,0),FALSE)/$Z59*VLOOKUP(AJ$5,feed_intensity_w,11,FALSE)</f>
        <v>0</v>
      </c>
      <c r="AK59" s="933">
        <f>VLOOKUP($W59,feed_mix_n,MATCH(AK$5,feed_mix_w!$B$5:$AC$5,0),FALSE)/$Z59*VLOOKUP(AK$5,feed_intensity_w,11,FALSE)</f>
        <v>0</v>
      </c>
      <c r="AL59" s="933">
        <f>VLOOKUP($W59,feed_mix_n,MATCH(AL$5,feed_mix_w!$B$5:$AC$5,0),FALSE)/$Z59*VLOOKUP(AL$5,feed_intensity_w,11,FALSE)</f>
        <v>0</v>
      </c>
      <c r="AM59" s="933">
        <f>VLOOKUP($W59,feed_mix_n,MATCH(AM$5,feed_mix_w!$B$5:$AC$5,0),FALSE)/$Z59*VLOOKUP(AM$5,feed_intensity_w,11,FALSE)</f>
        <v>0</v>
      </c>
      <c r="AN59" s="933">
        <f>VLOOKUP($W59,feed_mix_n,MATCH(AN$5,feed_mix_w!$B$5:$AC$5,0),FALSE)/$Z59*VLOOKUP(AN$5,feed_intensity_w,11,FALSE)</f>
        <v>0</v>
      </c>
      <c r="AO59" s="933">
        <f>VLOOKUP($W59,feed_mix_n,MATCH(AO$5,feed_mix_w!$B$5:$AC$5,0),FALSE)/$Z59*VLOOKUP(AO$5,feed_intensity_w,11,FALSE)</f>
        <v>0</v>
      </c>
      <c r="AP59" s="933">
        <f>VLOOKUP($W59,feed_mix_n,MATCH(AP$5,feed_mix_w!$B$5:$AC$5,0),FALSE)/$Z59*VLOOKUP(AP$5,feed_intensity_w,11,FALSE)</f>
        <v>0</v>
      </c>
      <c r="AQ59" s="933">
        <f>VLOOKUP($W59,feed_mix_n,MATCH(AQ$5,feed_mix_w!$B$5:$AC$5,0),FALSE)/$Z59*VLOOKUP(AQ$5,feed_intensity_w,11,FALSE)</f>
        <v>0</v>
      </c>
      <c r="AR59" s="933">
        <f>VLOOKUP($W59,feed_mix_n,MATCH(AR$5,feed_mix_w!$B$5:$AC$5,0),FALSE)/$Z59*VLOOKUP(AR$5,feed_intensity_w,11,FALSE)</f>
        <v>0</v>
      </c>
      <c r="AS59" s="1105">
        <f>VLOOKUP($W59,feed_mix_n,MATCH(AS$5,feed_mix_w!$B$5:$AC$5,0),FALSE)/$Z59*VLOOKUP(AS$5,feed_intensity_w,11,FALSE)</f>
        <v>0</v>
      </c>
    </row>
    <row r="60" spans="1:45" ht="12.75" customHeight="1">
      <c r="A60" s="1008" t="s">
        <v>7371</v>
      </c>
      <c r="B60" s="1102">
        <v>977</v>
      </c>
      <c r="C60" s="1103" t="s">
        <v>1955</v>
      </c>
      <c r="D60" s="1158">
        <v>69446</v>
      </c>
      <c r="E60" s="1158">
        <v>3643</v>
      </c>
      <c r="F60" s="1012">
        <f t="shared" si="11"/>
        <v>69446</v>
      </c>
      <c r="G60" s="1012">
        <f t="shared" si="12"/>
        <v>3643</v>
      </c>
      <c r="H60" s="933">
        <f t="shared" si="13"/>
        <v>0</v>
      </c>
      <c r="I60" s="1486">
        <f t="shared" si="14"/>
        <v>0</v>
      </c>
      <c r="J60" s="1006">
        <f>IFERROR(G60*VLOOKUP(W60,livestock_intensity!$B$7:$I$29,8,FALSE)/Z60,0)</f>
        <v>0</v>
      </c>
      <c r="K60" s="933">
        <f>VLOOKUP($W60,feed_mix_n,MATCH(K$5,feed_mix_w!$B$5:$AC$5,0),FALSE)/$Z60*VLOOKUP(K$5,feed_intensity_w,11,FALSE)</f>
        <v>0</v>
      </c>
      <c r="L60" s="1486">
        <f t="shared" si="15"/>
        <v>0</v>
      </c>
      <c r="M60" s="1447">
        <f>IFERROR(G60*VLOOKUP(W60,livestock_intensity!$B$7:$M$29,12,FALSE)/Z60,0)</f>
        <v>0</v>
      </c>
      <c r="N60" s="933">
        <f>VLOOKUP($W60,feed_mix_n,MATCH(N$5,feed_mix_w!$B$5:$AC$5,0),FALSE)/$Z60*VLOOKUP(N$5,feed_intensity_w,11,FALSE)</f>
        <v>5.5912416807527112</v>
      </c>
      <c r="O60" s="1486">
        <f t="shared" si="16"/>
        <v>388289.36976155278</v>
      </c>
      <c r="P60" s="939">
        <f>IFERROR(G60*VLOOKUP(W60,livestock_intensity!$B$7:$Q$29,16,FALSE)/Z60,0)</f>
        <v>17586.739912081601</v>
      </c>
      <c r="Q60" s="1530"/>
      <c r="R60" s="900">
        <f t="shared" si="17"/>
        <v>388289.36976155278</v>
      </c>
      <c r="S60" s="900">
        <f t="shared" si="18"/>
        <v>17586.739912081601</v>
      </c>
      <c r="T60" s="1483">
        <v>2732</v>
      </c>
      <c r="U60" s="1211" t="s">
        <v>2921</v>
      </c>
      <c r="V60" s="1212" t="str">
        <f>IFERROR(VLOOKUP(W60,constant_ag_extr!$D$7:$E$594,2,FALSE),"")</f>
        <v>Sheep</v>
      </c>
      <c r="W60" s="1213">
        <f t="shared" si="19"/>
        <v>976</v>
      </c>
      <c r="X60" s="1099">
        <f>IFERROR(IF(VLOOKUP(B60,cnst_grazing!$C$10:$H$25,5,FALSE)="", IF(VLOOKUP(B60, cnst_grazing!$C$10:$H$25,3,FALSE)="", VLOOKUP(B60, cnst_grazing!$C$10:$H$25,4,FALSE),VLOOKUP(B60, cnst_grazing!$C$10:$H$25,3,FALSE)), VLOOKUP(B60,cnst_grazing!$C$10:$H$25,5,FALSE)),1)</f>
        <v>1</v>
      </c>
      <c r="Y60" s="1099">
        <f>IFERROR(IF(VLOOKUP(B60,cnst_grazing!$C$10:$H$25,6,FALSE)="", IF(VLOOKUP(B60, cnst_grazing!$C$10:$H$25,4,FALSE)="", VLOOKUP(B60, cnst_grazing!$C$10:$H$25,3,FALSE),VLOOKUP(B60, cnst_grazing!$C$10:$H$25,4,FALSE)), VLOOKUP(B60,cnst_grazing!$C$10:$H$25,6,FALSE)),1)</f>
        <v>1</v>
      </c>
      <c r="Z60" s="937">
        <f t="shared" si="20"/>
        <v>0.64742909431708617</v>
      </c>
      <c r="AA60" s="1487">
        <f t="shared" si="21"/>
        <v>5.5912416807527112</v>
      </c>
      <c r="AB60" s="933">
        <f>VLOOKUP($W60,feed_mix_n,MATCH(AB$5,feed_mix_w!$B$5:$AC$5,0),FALSE)/$Z60*VLOOKUP(AB$5,feed_intensity_w,11,FALSE)</f>
        <v>0</v>
      </c>
      <c r="AC60" s="933">
        <f>VLOOKUP($W60,feed_mix_n,MATCH(AC$5,feed_mix_w!$B$5:$AC$5,0),FALSE)/$Z60*VLOOKUP(AC$5,feed_intensity_w,11,FALSE)</f>
        <v>0</v>
      </c>
      <c r="AD60" s="933">
        <f>VLOOKUP($W60,feed_mix_n,MATCH(AD$5,feed_mix_w!$B$5:$AC$5,0),FALSE)/$Z60*VLOOKUP(AD$5,feed_intensity_w,11,FALSE)</f>
        <v>0</v>
      </c>
      <c r="AE60" s="933">
        <f>VLOOKUP($W60,feed_mix_n,MATCH(AE$5,feed_mix_w!$B$5:$AC$5,0),FALSE)/$Z60*VLOOKUP(AE$5,feed_intensity_w,11,FALSE)</f>
        <v>0</v>
      </c>
      <c r="AF60" s="933">
        <f>VLOOKUP($W60,feed_mix_n,MATCH(AF$5,feed_mix_w!$B$5:$AC$5,0),FALSE)/$Z60*VLOOKUP(AF$5,feed_intensity_w,11,FALSE)</f>
        <v>0</v>
      </c>
      <c r="AG60" s="933">
        <f>VLOOKUP($W60,feed_mix_n,MATCH(AG$5,feed_mix_w!$B$5:$AC$5,0),FALSE)/$Z60*VLOOKUP(AG$5,feed_intensity_w,11,FALSE)</f>
        <v>0</v>
      </c>
      <c r="AH60" s="933">
        <f>VLOOKUP($W60,feed_mix_n,MATCH(AH$5,feed_mix_w!$B$5:$AC$5,0),FALSE)/$Z60*VLOOKUP(AH$5,feed_intensity_w,11,FALSE)</f>
        <v>0</v>
      </c>
      <c r="AI60" s="933">
        <f>VLOOKUP($W60,feed_mix_n,MATCH(AI$5,feed_mix_w!$B$5:$AC$5,0),FALSE)/$Z60*VLOOKUP(AI$5,feed_intensity_w,11,FALSE)</f>
        <v>0</v>
      </c>
      <c r="AJ60" s="933">
        <f>VLOOKUP($W60,feed_mix_n,MATCH(AJ$5,feed_mix_w!$B$5:$AC$5,0),FALSE)/$Z60*VLOOKUP(AJ$5,feed_intensity_w,11,FALSE)</f>
        <v>0</v>
      </c>
      <c r="AK60" s="933">
        <f>VLOOKUP($W60,feed_mix_n,MATCH(AK$5,feed_mix_w!$B$5:$AC$5,0),FALSE)/$Z60*VLOOKUP(AK$5,feed_intensity_w,11,FALSE)</f>
        <v>0</v>
      </c>
      <c r="AL60" s="933">
        <f>VLOOKUP($W60,feed_mix_n,MATCH(AL$5,feed_mix_w!$B$5:$AC$5,0),FALSE)/$Z60*VLOOKUP(AL$5,feed_intensity_w,11,FALSE)</f>
        <v>0</v>
      </c>
      <c r="AM60" s="933">
        <f>VLOOKUP($W60,feed_mix_n,MATCH(AM$5,feed_mix_w!$B$5:$AC$5,0),FALSE)/$Z60*VLOOKUP(AM$5,feed_intensity_w,11,FALSE)</f>
        <v>0</v>
      </c>
      <c r="AN60" s="933">
        <f>VLOOKUP($W60,feed_mix_n,MATCH(AN$5,feed_mix_w!$B$5:$AC$5,0),FALSE)/$Z60*VLOOKUP(AN$5,feed_intensity_w,11,FALSE)</f>
        <v>0</v>
      </c>
      <c r="AO60" s="933">
        <f>VLOOKUP($W60,feed_mix_n,MATCH(AO$5,feed_mix_w!$B$5:$AC$5,0),FALSE)/$Z60*VLOOKUP(AO$5,feed_intensity_w,11,FALSE)</f>
        <v>0</v>
      </c>
      <c r="AP60" s="933">
        <f>VLOOKUP($W60,feed_mix_n,MATCH(AP$5,feed_mix_w!$B$5:$AC$5,0),FALSE)/$Z60*VLOOKUP(AP$5,feed_intensity_w,11,FALSE)</f>
        <v>0</v>
      </c>
      <c r="AQ60" s="933">
        <f>VLOOKUP($W60,feed_mix_n,MATCH(AQ$5,feed_mix_w!$B$5:$AC$5,0),FALSE)/$Z60*VLOOKUP(AQ$5,feed_intensity_w,11,FALSE)</f>
        <v>0</v>
      </c>
      <c r="AR60" s="933">
        <f>VLOOKUP($W60,feed_mix_n,MATCH(AR$5,feed_mix_w!$B$5:$AC$5,0),FALSE)/$Z60*VLOOKUP(AR$5,feed_intensity_w,11,FALSE)</f>
        <v>0</v>
      </c>
      <c r="AS60" s="1105">
        <f>VLOOKUP($W60,feed_mix_n,MATCH(AS$5,feed_mix_w!$B$5:$AC$5,0),FALSE)/$Z60*VLOOKUP(AS$5,feed_intensity_w,11,FALSE)</f>
        <v>0</v>
      </c>
    </row>
    <row r="61" spans="1:45" ht="12.75" customHeight="1">
      <c r="A61" s="1008" t="s">
        <v>7372</v>
      </c>
      <c r="B61" s="1102">
        <v>978</v>
      </c>
      <c r="C61" s="1103" t="s">
        <v>689</v>
      </c>
      <c r="D61" s="1158">
        <v>3265</v>
      </c>
      <c r="E61" s="1158">
        <v>1871</v>
      </c>
      <c r="F61" s="1012">
        <f t="shared" si="11"/>
        <v>3265</v>
      </c>
      <c r="G61" s="1012">
        <f t="shared" si="12"/>
        <v>1871</v>
      </c>
      <c r="H61" s="933">
        <f t="shared" si="13"/>
        <v>0</v>
      </c>
      <c r="I61" s="1486">
        <f t="shared" si="14"/>
        <v>0</v>
      </c>
      <c r="J61" s="1006">
        <f>IFERROR(G61*VLOOKUP(W61,livestock_intensity!$B$7:$I$29,8,FALSE)/Z61,0)</f>
        <v>0</v>
      </c>
      <c r="K61" s="933">
        <f>VLOOKUP($W61,feed_mix_n,MATCH(K$5,feed_mix_w!$B$5:$AC$5,0),FALSE)/$Z61*VLOOKUP(K$5,feed_intensity_w,11,FALSE)</f>
        <v>0</v>
      </c>
      <c r="L61" s="1486">
        <f t="shared" si="15"/>
        <v>0</v>
      </c>
      <c r="M61" s="1447">
        <f>IFERROR(G61*VLOOKUP(W61,livestock_intensity!$B$7:$M$29,12,FALSE)/Z61,0)</f>
        <v>0</v>
      </c>
      <c r="N61" s="933">
        <f>VLOOKUP($W61,feed_mix_n,MATCH(N$5,feed_mix_w!$B$5:$AC$5,0),FALSE)/$Z61*VLOOKUP(N$5,feed_intensity_w,11,FALSE)</f>
        <v>1.8809238872446195</v>
      </c>
      <c r="O61" s="1486">
        <f t="shared" si="16"/>
        <v>6141.2164918536828</v>
      </c>
      <c r="P61" s="939">
        <f>IFERROR(G61*VLOOKUP(W61,livestock_intensity!$B$7:$Q$29,16,FALSE)/Z61,0)</f>
        <v>3038.5257007364621</v>
      </c>
      <c r="Q61" s="1530"/>
      <c r="R61" s="900">
        <f t="shared" si="17"/>
        <v>6141.2164918536828</v>
      </c>
      <c r="S61" s="900">
        <f t="shared" si="18"/>
        <v>3038.5257007364621</v>
      </c>
      <c r="T61" s="1483">
        <v>2736</v>
      </c>
      <c r="U61" s="1211" t="s">
        <v>2921</v>
      </c>
      <c r="V61" s="1212" t="str">
        <f>IFERROR(VLOOKUP(W61,constant_ag_extr!$D$7:$E$594,2,FALSE),"")</f>
        <v>Sheep</v>
      </c>
      <c r="W61" s="1213">
        <f t="shared" si="19"/>
        <v>976</v>
      </c>
      <c r="X61" s="1099">
        <f>IFERROR(IF(VLOOKUP(B61,cnst_grazing!$C$10:$H$25,5,FALSE)="", IF(VLOOKUP(B61, cnst_grazing!$C$10:$H$25,3,FALSE)="", VLOOKUP(B61, cnst_grazing!$C$10:$H$25,4,FALSE),VLOOKUP(B61, cnst_grazing!$C$10:$H$25,3,FALSE)), VLOOKUP(B61,cnst_grazing!$C$10:$H$25,5,FALSE)),1)</f>
        <v>1</v>
      </c>
      <c r="Y61" s="1099">
        <f>IFERROR(IF(VLOOKUP(B61,cnst_grazing!$C$10:$H$25,6,FALSE)="", IF(VLOOKUP(B61, cnst_grazing!$C$10:$H$25,4,FALSE)="", VLOOKUP(B61, cnst_grazing!$C$10:$H$25,3,FALSE),VLOOKUP(B61, cnst_grazing!$C$10:$H$25,4,FALSE)), VLOOKUP(B61,cnst_grazing!$C$10:$H$25,6,FALSE)),1)</f>
        <v>1</v>
      </c>
      <c r="Z61" s="937">
        <f t="shared" si="20"/>
        <v>1.9245502500266181</v>
      </c>
      <c r="AA61" s="1487">
        <f t="shared" si="21"/>
        <v>1.8809238872446195</v>
      </c>
      <c r="AB61" s="933">
        <f>VLOOKUP($W61,feed_mix_n,MATCH(AB$5,feed_mix_w!$B$5:$AC$5,0),FALSE)/$Z61*VLOOKUP(AB$5,feed_intensity_w,11,FALSE)</f>
        <v>0</v>
      </c>
      <c r="AC61" s="933">
        <f>VLOOKUP($W61,feed_mix_n,MATCH(AC$5,feed_mix_w!$B$5:$AC$5,0),FALSE)/$Z61*VLOOKUP(AC$5,feed_intensity_w,11,FALSE)</f>
        <v>0</v>
      </c>
      <c r="AD61" s="933">
        <f>VLOOKUP($W61,feed_mix_n,MATCH(AD$5,feed_mix_w!$B$5:$AC$5,0),FALSE)/$Z61*VLOOKUP(AD$5,feed_intensity_w,11,FALSE)</f>
        <v>0</v>
      </c>
      <c r="AE61" s="933">
        <f>VLOOKUP($W61,feed_mix_n,MATCH(AE$5,feed_mix_w!$B$5:$AC$5,0),FALSE)/$Z61*VLOOKUP(AE$5,feed_intensity_w,11,FALSE)</f>
        <v>0</v>
      </c>
      <c r="AF61" s="933">
        <f>VLOOKUP($W61,feed_mix_n,MATCH(AF$5,feed_mix_w!$B$5:$AC$5,0),FALSE)/$Z61*VLOOKUP(AF$5,feed_intensity_w,11,FALSE)</f>
        <v>0</v>
      </c>
      <c r="AG61" s="933">
        <f>VLOOKUP($W61,feed_mix_n,MATCH(AG$5,feed_mix_w!$B$5:$AC$5,0),FALSE)/$Z61*VLOOKUP(AG$5,feed_intensity_w,11,FALSE)</f>
        <v>0</v>
      </c>
      <c r="AH61" s="933">
        <f>VLOOKUP($W61,feed_mix_n,MATCH(AH$5,feed_mix_w!$B$5:$AC$5,0),FALSE)/$Z61*VLOOKUP(AH$5,feed_intensity_w,11,FALSE)</f>
        <v>0</v>
      </c>
      <c r="AI61" s="933">
        <f>VLOOKUP($W61,feed_mix_n,MATCH(AI$5,feed_mix_w!$B$5:$AC$5,0),FALSE)/$Z61*VLOOKUP(AI$5,feed_intensity_w,11,FALSE)</f>
        <v>0</v>
      </c>
      <c r="AJ61" s="933">
        <f>VLOOKUP($W61,feed_mix_n,MATCH(AJ$5,feed_mix_w!$B$5:$AC$5,0),FALSE)/$Z61*VLOOKUP(AJ$5,feed_intensity_w,11,FALSE)</f>
        <v>0</v>
      </c>
      <c r="AK61" s="933">
        <f>VLOOKUP($W61,feed_mix_n,MATCH(AK$5,feed_mix_w!$B$5:$AC$5,0),FALSE)/$Z61*VLOOKUP(AK$5,feed_intensity_w,11,FALSE)</f>
        <v>0</v>
      </c>
      <c r="AL61" s="933">
        <f>VLOOKUP($W61,feed_mix_n,MATCH(AL$5,feed_mix_w!$B$5:$AC$5,0),FALSE)/$Z61*VLOOKUP(AL$5,feed_intensity_w,11,FALSE)</f>
        <v>0</v>
      </c>
      <c r="AM61" s="933">
        <f>VLOOKUP($W61,feed_mix_n,MATCH(AM$5,feed_mix_w!$B$5:$AC$5,0),FALSE)/$Z61*VLOOKUP(AM$5,feed_intensity_w,11,FALSE)</f>
        <v>0</v>
      </c>
      <c r="AN61" s="933">
        <f>VLOOKUP($W61,feed_mix_n,MATCH(AN$5,feed_mix_w!$B$5:$AC$5,0),FALSE)/$Z61*VLOOKUP(AN$5,feed_intensity_w,11,FALSE)</f>
        <v>0</v>
      </c>
      <c r="AO61" s="933">
        <f>VLOOKUP($W61,feed_mix_n,MATCH(AO$5,feed_mix_w!$B$5:$AC$5,0),FALSE)/$Z61*VLOOKUP(AO$5,feed_intensity_w,11,FALSE)</f>
        <v>0</v>
      </c>
      <c r="AP61" s="933">
        <f>VLOOKUP($W61,feed_mix_n,MATCH(AP$5,feed_mix_w!$B$5:$AC$5,0),FALSE)/$Z61*VLOOKUP(AP$5,feed_intensity_w,11,FALSE)</f>
        <v>0</v>
      </c>
      <c r="AQ61" s="933">
        <f>VLOOKUP($W61,feed_mix_n,MATCH(AQ$5,feed_mix_w!$B$5:$AC$5,0),FALSE)/$Z61*VLOOKUP(AQ$5,feed_intensity_w,11,FALSE)</f>
        <v>0</v>
      </c>
      <c r="AR61" s="933">
        <f>VLOOKUP($W61,feed_mix_n,MATCH(AR$5,feed_mix_w!$B$5:$AC$5,0),FALSE)/$Z61*VLOOKUP(AR$5,feed_intensity_w,11,FALSE)</f>
        <v>0</v>
      </c>
      <c r="AS61" s="1105">
        <f>VLOOKUP($W61,feed_mix_n,MATCH(AS$5,feed_mix_w!$B$5:$AC$5,0),FALSE)/$Z61*VLOOKUP(AS$5,feed_intensity_w,11,FALSE)</f>
        <v>0</v>
      </c>
    </row>
    <row r="62" spans="1:45" ht="12.75" customHeight="1">
      <c r="A62" s="1008" t="s">
        <v>3655</v>
      </c>
      <c r="B62" s="1102">
        <v>979</v>
      </c>
      <c r="C62" s="1103" t="s">
        <v>1269</v>
      </c>
      <c r="D62" s="1158"/>
      <c r="E62" s="1158"/>
      <c r="F62" s="1012">
        <f t="shared" si="11"/>
        <v>0</v>
      </c>
      <c r="G62" s="1012">
        <f t="shared" si="12"/>
        <v>0</v>
      </c>
      <c r="H62" s="933">
        <f t="shared" si="13"/>
        <v>0</v>
      </c>
      <c r="I62" s="1486">
        <f t="shared" si="14"/>
        <v>0</v>
      </c>
      <c r="J62" s="1006">
        <f>IFERROR(G62*VLOOKUP(W62,livestock_intensity!$B$7:$I$29,8,FALSE)/Z62,0)</f>
        <v>0</v>
      </c>
      <c r="K62" s="933">
        <f>VLOOKUP($W62,feed_mix_n,MATCH(K$5,feed_mix_w!$B$5:$AC$5,0),FALSE)/$Z62*VLOOKUP(K$5,feed_intensity_w,11,FALSE)</f>
        <v>0</v>
      </c>
      <c r="L62" s="1486">
        <f t="shared" si="15"/>
        <v>0</v>
      </c>
      <c r="M62" s="1447">
        <f>IFERROR(G62*VLOOKUP(W62,livestock_intensity!$B$7:$M$29,12,FALSE)/Z62,0)</f>
        <v>0</v>
      </c>
      <c r="N62" s="933">
        <f>VLOOKUP($W62,feed_mix_n,MATCH(N$5,feed_mix_w!$B$5:$AC$5,0),FALSE)/$Z62*VLOOKUP(N$5,feed_intensity_w,11,FALSE)</f>
        <v>0.52888557506032563</v>
      </c>
      <c r="O62" s="1486">
        <f t="shared" si="16"/>
        <v>0</v>
      </c>
      <c r="P62" s="939">
        <f>IFERROR(G62*VLOOKUP(W62,livestock_intensity!$B$7:$Q$29,16,FALSE)/Z62,0)</f>
        <v>0</v>
      </c>
      <c r="Q62" s="1530"/>
      <c r="R62" s="900">
        <f t="shared" si="17"/>
        <v>0</v>
      </c>
      <c r="S62" s="900">
        <f t="shared" si="18"/>
        <v>0</v>
      </c>
      <c r="T62" s="1483">
        <v>2737</v>
      </c>
      <c r="U62" s="1211" t="s">
        <v>2921</v>
      </c>
      <c r="V62" s="1212" t="str">
        <f>IFERROR(VLOOKUP(W62,constant_ag_extr!$D$7:$E$594,2,FALSE),"")</f>
        <v>Sheep</v>
      </c>
      <c r="W62" s="1213">
        <f t="shared" si="19"/>
        <v>976</v>
      </c>
      <c r="X62" s="1099">
        <f>IFERROR(IF(VLOOKUP(B62,cnst_grazing!$C$10:$H$25,5,FALSE)="", IF(VLOOKUP(B62, cnst_grazing!$C$10:$H$25,3,FALSE)="", VLOOKUP(B62, cnst_grazing!$C$10:$H$25,4,FALSE),VLOOKUP(B62, cnst_grazing!$C$10:$H$25,3,FALSE)), VLOOKUP(B62,cnst_grazing!$C$10:$H$25,5,FALSE)),1)</f>
        <v>1</v>
      </c>
      <c r="Y62" s="1099">
        <f>IFERROR(IF(VLOOKUP(B62,cnst_grazing!$C$10:$H$25,6,FALSE)="", IF(VLOOKUP(B62, cnst_grazing!$C$10:$H$25,4,FALSE)="", VLOOKUP(B62, cnst_grazing!$C$10:$H$25,3,FALSE),VLOOKUP(B62, cnst_grazing!$C$10:$H$25,4,FALSE)), VLOOKUP(B62,cnst_grazing!$C$10:$H$25,6,FALSE)),1)</f>
        <v>1</v>
      </c>
      <c r="Z62" s="937">
        <f t="shared" si="20"/>
        <v>6.8444531448315162</v>
      </c>
      <c r="AA62" s="1487">
        <f t="shared" si="21"/>
        <v>0.52888557506032563</v>
      </c>
      <c r="AB62" s="933">
        <f>VLOOKUP($W62,feed_mix_n,MATCH(AB$5,feed_mix_w!$B$5:$AC$5,0),FALSE)/$Z62*VLOOKUP(AB$5,feed_intensity_w,11,FALSE)</f>
        <v>0</v>
      </c>
      <c r="AC62" s="933">
        <f>VLOOKUP($W62,feed_mix_n,MATCH(AC$5,feed_mix_w!$B$5:$AC$5,0),FALSE)/$Z62*VLOOKUP(AC$5,feed_intensity_w,11,FALSE)</f>
        <v>0</v>
      </c>
      <c r="AD62" s="933">
        <f>VLOOKUP($W62,feed_mix_n,MATCH(AD$5,feed_mix_w!$B$5:$AC$5,0),FALSE)/$Z62*VLOOKUP(AD$5,feed_intensity_w,11,FALSE)</f>
        <v>0</v>
      </c>
      <c r="AE62" s="933">
        <f>VLOOKUP($W62,feed_mix_n,MATCH(AE$5,feed_mix_w!$B$5:$AC$5,0),FALSE)/$Z62*VLOOKUP(AE$5,feed_intensity_w,11,FALSE)</f>
        <v>0</v>
      </c>
      <c r="AF62" s="933">
        <f>VLOOKUP($W62,feed_mix_n,MATCH(AF$5,feed_mix_w!$B$5:$AC$5,0),FALSE)/$Z62*VLOOKUP(AF$5,feed_intensity_w,11,FALSE)</f>
        <v>0</v>
      </c>
      <c r="AG62" s="933">
        <f>VLOOKUP($W62,feed_mix_n,MATCH(AG$5,feed_mix_w!$B$5:$AC$5,0),FALSE)/$Z62*VLOOKUP(AG$5,feed_intensity_w,11,FALSE)</f>
        <v>0</v>
      </c>
      <c r="AH62" s="933">
        <f>VLOOKUP($W62,feed_mix_n,MATCH(AH$5,feed_mix_w!$B$5:$AC$5,0),FALSE)/$Z62*VLOOKUP(AH$5,feed_intensity_w,11,FALSE)</f>
        <v>0</v>
      </c>
      <c r="AI62" s="933">
        <f>VLOOKUP($W62,feed_mix_n,MATCH(AI$5,feed_mix_w!$B$5:$AC$5,0),FALSE)/$Z62*VLOOKUP(AI$5,feed_intensity_w,11,FALSE)</f>
        <v>0</v>
      </c>
      <c r="AJ62" s="933">
        <f>VLOOKUP($W62,feed_mix_n,MATCH(AJ$5,feed_mix_w!$B$5:$AC$5,0),FALSE)/$Z62*VLOOKUP(AJ$5,feed_intensity_w,11,FALSE)</f>
        <v>0</v>
      </c>
      <c r="AK62" s="933">
        <f>VLOOKUP($W62,feed_mix_n,MATCH(AK$5,feed_mix_w!$B$5:$AC$5,0),FALSE)/$Z62*VLOOKUP(AK$5,feed_intensity_w,11,FALSE)</f>
        <v>0</v>
      </c>
      <c r="AL62" s="933">
        <f>VLOOKUP($W62,feed_mix_n,MATCH(AL$5,feed_mix_w!$B$5:$AC$5,0),FALSE)/$Z62*VLOOKUP(AL$5,feed_intensity_w,11,FALSE)</f>
        <v>0</v>
      </c>
      <c r="AM62" s="933">
        <f>VLOOKUP($W62,feed_mix_n,MATCH(AM$5,feed_mix_w!$B$5:$AC$5,0),FALSE)/$Z62*VLOOKUP(AM$5,feed_intensity_w,11,FALSE)</f>
        <v>0</v>
      </c>
      <c r="AN62" s="933">
        <f>VLOOKUP($W62,feed_mix_n,MATCH(AN$5,feed_mix_w!$B$5:$AC$5,0),FALSE)/$Z62*VLOOKUP(AN$5,feed_intensity_w,11,FALSE)</f>
        <v>0</v>
      </c>
      <c r="AO62" s="933">
        <f>VLOOKUP($W62,feed_mix_n,MATCH(AO$5,feed_mix_w!$B$5:$AC$5,0),FALSE)/$Z62*VLOOKUP(AO$5,feed_intensity_w,11,FALSE)</f>
        <v>0</v>
      </c>
      <c r="AP62" s="933">
        <f>VLOOKUP($W62,feed_mix_n,MATCH(AP$5,feed_mix_w!$B$5:$AC$5,0),FALSE)/$Z62*VLOOKUP(AP$5,feed_intensity_w,11,FALSE)</f>
        <v>0</v>
      </c>
      <c r="AQ62" s="933">
        <f>VLOOKUP($W62,feed_mix_n,MATCH(AQ$5,feed_mix_w!$B$5:$AC$5,0),FALSE)/$Z62*VLOOKUP(AQ$5,feed_intensity_w,11,FALSE)</f>
        <v>0</v>
      </c>
      <c r="AR62" s="933">
        <f>VLOOKUP($W62,feed_mix_n,MATCH(AR$5,feed_mix_w!$B$5:$AC$5,0),FALSE)/$Z62*VLOOKUP(AR$5,feed_intensity_w,11,FALSE)</f>
        <v>0</v>
      </c>
      <c r="AS62" s="1105">
        <f>VLOOKUP($W62,feed_mix_n,MATCH(AS$5,feed_mix_w!$B$5:$AC$5,0),FALSE)/$Z62*VLOOKUP(AS$5,feed_intensity_w,11,FALSE)</f>
        <v>0</v>
      </c>
    </row>
    <row r="63" spans="1:45" ht="12.75" customHeight="1">
      <c r="A63" s="1008" t="s">
        <v>7373</v>
      </c>
      <c r="B63" s="1102">
        <v>982</v>
      </c>
      <c r="C63" s="1103" t="s">
        <v>1957</v>
      </c>
      <c r="D63" s="1158"/>
      <c r="E63" s="1158"/>
      <c r="F63" s="1012">
        <f t="shared" si="11"/>
        <v>0</v>
      </c>
      <c r="G63" s="1012">
        <f t="shared" si="12"/>
        <v>0</v>
      </c>
      <c r="H63" s="933">
        <f t="shared" si="13"/>
        <v>1.2307180065971477</v>
      </c>
      <c r="I63" s="1486">
        <f t="shared" si="14"/>
        <v>0</v>
      </c>
      <c r="J63" s="1006">
        <f>IFERROR(G63*VLOOKUP(W63,livestock_intensity!$B$7:$I$29,8,FALSE)/Z63,0)</f>
        <v>0</v>
      </c>
      <c r="K63" s="933">
        <f>VLOOKUP($W63,feed_mix_n,MATCH(K$5,feed_mix_w!$B$5:$AC$5,0),FALSE)/$Z63*VLOOKUP(K$5,feed_intensity_w,11,FALSE)</f>
        <v>0</v>
      </c>
      <c r="L63" s="1486">
        <f t="shared" si="15"/>
        <v>0</v>
      </c>
      <c r="M63" s="1447">
        <f>IFERROR(G63*VLOOKUP(W63,livestock_intensity!$B$7:$M$29,12,FALSE)/Z63,0)</f>
        <v>0</v>
      </c>
      <c r="N63" s="933">
        <f>VLOOKUP($W63,feed_mix_n,MATCH(N$5,feed_mix_w!$B$5:$AC$5,0),FALSE)/$Z63*VLOOKUP(N$5,feed_intensity_w,11,FALSE)</f>
        <v>2.3338382420746724</v>
      </c>
      <c r="O63" s="1486">
        <f t="shared" si="16"/>
        <v>0</v>
      </c>
      <c r="P63" s="939">
        <f>IFERROR(G63*VLOOKUP(W63,livestock_intensity!$B$7:$Q$29,16,FALSE)/Z63,0)</f>
        <v>0</v>
      </c>
      <c r="Q63" s="1530"/>
      <c r="R63" s="900">
        <f t="shared" si="17"/>
        <v>0</v>
      </c>
      <c r="S63" s="900">
        <f t="shared" si="18"/>
        <v>0</v>
      </c>
      <c r="T63" s="1483" t="s">
        <v>2862</v>
      </c>
      <c r="U63" s="1211" t="s">
        <v>415</v>
      </c>
      <c r="V63" s="1212" t="str">
        <f>IFERROR(VLOOKUP(W63,constant_ag_extr!$D$7:$E$594,2,FALSE),"")</f>
        <v>Sheep milk, whole, fresh</v>
      </c>
      <c r="W63" s="1213">
        <f t="shared" si="19"/>
        <v>982</v>
      </c>
      <c r="X63" s="1099">
        <f>IFERROR(IF(VLOOKUP(B63,cnst_grazing!$C$10:$H$25,5,FALSE)="", IF(VLOOKUP(B63, cnst_grazing!$C$10:$H$25,3,FALSE)="", VLOOKUP(B63, cnst_grazing!$C$10:$H$25,4,FALSE),VLOOKUP(B63, cnst_grazing!$C$10:$H$25,3,FALSE)), VLOOKUP(B63,cnst_grazing!$C$10:$H$25,5,FALSE)),1)</f>
        <v>1</v>
      </c>
      <c r="Y63" s="1099">
        <f>IFERROR(IF(VLOOKUP(B63,cnst_grazing!$C$10:$H$25,6,FALSE)="", IF(VLOOKUP(B63, cnst_grazing!$C$10:$H$25,4,FALSE)="", VLOOKUP(B63, cnst_grazing!$C$10:$H$25,3,FALSE),VLOOKUP(B63, cnst_grazing!$C$10:$H$25,4,FALSE)), VLOOKUP(B63,cnst_grazing!$C$10:$H$25,6,FALSE)),1)</f>
        <v>1</v>
      </c>
      <c r="Z63" s="937">
        <f t="shared" si="20"/>
        <v>1</v>
      </c>
      <c r="AA63" s="1487">
        <f t="shared" si="21"/>
        <v>3.5645562486718201</v>
      </c>
      <c r="AB63" s="933">
        <f>VLOOKUP($W63,feed_mix_n,MATCH(AB$5,feed_mix_w!$B$5:$AC$5,0),FALSE)/$Z63*VLOOKUP(AB$5,feed_intensity_w,11,FALSE)</f>
        <v>0.27246997759631825</v>
      </c>
      <c r="AC63" s="933">
        <f>VLOOKUP($W63,feed_mix_n,MATCH(AC$5,feed_mix_w!$B$5:$AC$5,0),FALSE)/$Z63*VLOOKUP(AC$5,feed_intensity_w,11,FALSE)</f>
        <v>0.28542534784034707</v>
      </c>
      <c r="AD63" s="933">
        <f>VLOOKUP($W63,feed_mix_n,MATCH(AD$5,feed_mix_w!$B$5:$AC$5,0),FALSE)/$Z63*VLOOKUP(AD$5,feed_intensity_w,11,FALSE)</f>
        <v>0</v>
      </c>
      <c r="AE63" s="933">
        <f>VLOOKUP($W63,feed_mix_n,MATCH(AE$5,feed_mix_w!$B$5:$AC$5,0),FALSE)/$Z63*VLOOKUP(AE$5,feed_intensity_w,11,FALSE)</f>
        <v>0.27108483920157006</v>
      </c>
      <c r="AF63" s="933">
        <f>VLOOKUP($W63,feed_mix_n,MATCH(AF$5,feed_mix_w!$B$5:$AC$5,0),FALSE)/$Z63*VLOOKUP(AF$5,feed_intensity_w,11,FALSE)</f>
        <v>0.10843393568062804</v>
      </c>
      <c r="AG63" s="933">
        <f>VLOOKUP($W63,feed_mix_n,MATCH(AG$5,feed_mix_w!$B$5:$AC$5,0),FALSE)/$Z63*VLOOKUP(AG$5,feed_intensity_w,11,FALSE)</f>
        <v>0</v>
      </c>
      <c r="AH63" s="933">
        <f>VLOOKUP($W63,feed_mix_n,MATCH(AH$5,feed_mix_w!$B$5:$AC$5,0),FALSE)/$Z63*VLOOKUP(AH$5,feed_intensity_w,11,FALSE)</f>
        <v>0.10843393568062804</v>
      </c>
      <c r="AI63" s="933">
        <f>VLOOKUP($W63,feed_mix_n,MATCH(AI$5,feed_mix_w!$B$5:$AC$5,0),FALSE)/$Z63*VLOOKUP(AI$5,feed_intensity_w,11,FALSE)</f>
        <v>0</v>
      </c>
      <c r="AJ63" s="933">
        <f>VLOOKUP($W63,feed_mix_n,MATCH(AJ$5,feed_mix_w!$B$5:$AC$5,0),FALSE)/$Z63*VLOOKUP(AJ$5,feed_intensity_w,11,FALSE)</f>
        <v>0</v>
      </c>
      <c r="AK63" s="933">
        <f>VLOOKUP($W63,feed_mix_n,MATCH(AK$5,feed_mix_w!$B$5:$AC$5,0),FALSE)/$Z63*VLOOKUP(AK$5,feed_intensity_w,11,FALSE)</f>
        <v>0</v>
      </c>
      <c r="AL63" s="933">
        <f>VLOOKUP($W63,feed_mix_n,MATCH(AL$5,feed_mix_w!$B$5:$AC$5,0),FALSE)/$Z63*VLOOKUP(AL$5,feed_intensity_w,11,FALSE)</f>
        <v>0</v>
      </c>
      <c r="AM63" s="933">
        <f>VLOOKUP($W63,feed_mix_n,MATCH(AM$5,feed_mix_w!$B$5:$AC$5,0),FALSE)/$Z63*VLOOKUP(AM$5,feed_intensity_w,11,FALSE)</f>
        <v>7.9172277537943619E-2</v>
      </c>
      <c r="AN63" s="933">
        <f>VLOOKUP($W63,feed_mix_n,MATCH(AN$5,feed_mix_w!$B$5:$AC$5,0),FALSE)/$Z63*VLOOKUP(AN$5,feed_intensity_w,11,FALSE)</f>
        <v>0</v>
      </c>
      <c r="AO63" s="933">
        <f>VLOOKUP($W63,feed_mix_n,MATCH(AO$5,feed_mix_w!$B$5:$AC$5,0),FALSE)/$Z63*VLOOKUP(AO$5,feed_intensity_w,11,FALSE)</f>
        <v>0</v>
      </c>
      <c r="AP63" s="933">
        <f>VLOOKUP($W63,feed_mix_n,MATCH(AP$5,feed_mix_w!$B$5:$AC$5,0),FALSE)/$Z63*VLOOKUP(AP$5,feed_intensity_w,11,FALSE)</f>
        <v>0</v>
      </c>
      <c r="AQ63" s="933">
        <f>VLOOKUP($W63,feed_mix_n,MATCH(AQ$5,feed_mix_w!$B$5:$AC$5,0),FALSE)/$Z63*VLOOKUP(AQ$5,feed_intensity_w,11,FALSE)</f>
        <v>0</v>
      </c>
      <c r="AR63" s="933">
        <f>VLOOKUP($W63,feed_mix_n,MATCH(AR$5,feed_mix_w!$B$5:$AC$5,0),FALSE)/$Z63*VLOOKUP(AR$5,feed_intensity_w,11,FALSE)</f>
        <v>0.10569769305971263</v>
      </c>
      <c r="AS63" s="1105">
        <f>VLOOKUP($W63,feed_mix_n,MATCH(AS$5,feed_mix_w!$B$5:$AC$5,0),FALSE)/$Z63*VLOOKUP(AS$5,feed_intensity_w,11,FALSE)</f>
        <v>0</v>
      </c>
    </row>
    <row r="64" spans="1:45" ht="12.75" customHeight="1">
      <c r="A64" s="1008" t="s">
        <v>106</v>
      </c>
      <c r="B64" s="1102">
        <v>983</v>
      </c>
      <c r="C64" s="1103">
        <v>910.1</v>
      </c>
      <c r="D64" s="1158"/>
      <c r="E64" s="1158"/>
      <c r="F64" s="1012">
        <f t="shared" si="11"/>
        <v>0</v>
      </c>
      <c r="G64" s="1012">
        <f t="shared" si="12"/>
        <v>0</v>
      </c>
      <c r="H64" s="933">
        <f t="shared" si="13"/>
        <v>2.9192206821192168</v>
      </c>
      <c r="I64" s="1486">
        <f t="shared" si="14"/>
        <v>0</v>
      </c>
      <c r="J64" s="1006">
        <f>IFERROR(G64*VLOOKUP(W64,livestock_intensity!$B$7:$I$29,8,FALSE)/Z64,0)</f>
        <v>0</v>
      </c>
      <c r="K64" s="933">
        <f>VLOOKUP($W64,feed_mix_n,MATCH(K$5,feed_mix_w!$B$5:$AC$5,0),FALSE)/$Z64*VLOOKUP(K$5,feed_intensity_w,11,FALSE)</f>
        <v>0</v>
      </c>
      <c r="L64" s="1486">
        <f t="shared" si="15"/>
        <v>0</v>
      </c>
      <c r="M64" s="1447">
        <f>IFERROR(G64*VLOOKUP(W64,livestock_intensity!$B$7:$M$29,12,FALSE)/Z64,0)</f>
        <v>0</v>
      </c>
      <c r="N64" s="933">
        <f>VLOOKUP($W64,feed_mix_n,MATCH(N$5,feed_mix_w!$B$5:$AC$5,0),FALSE)/$Z64*VLOOKUP(N$5,feed_intensity_w,11,FALSE)</f>
        <v>5.5357838501303753</v>
      </c>
      <c r="O64" s="1486">
        <f t="shared" si="16"/>
        <v>0</v>
      </c>
      <c r="P64" s="939">
        <f>IFERROR(G64*VLOOKUP(W64,livestock_intensity!$B$7:$Q$29,16,FALSE)/Z64,0)</f>
        <v>0</v>
      </c>
      <c r="Q64" s="1530"/>
      <c r="R64" s="900">
        <f t="shared" si="17"/>
        <v>0</v>
      </c>
      <c r="S64" s="900">
        <f t="shared" si="18"/>
        <v>0</v>
      </c>
      <c r="T64" s="1483">
        <v>2740</v>
      </c>
      <c r="U64" s="1211" t="s">
        <v>2921</v>
      </c>
      <c r="V64" s="1212" t="str">
        <f>IFERROR(VLOOKUP(W64,constant_ag_extr!$D$7:$E$594,2,FALSE),"")</f>
        <v>Sheep milk, whole, fresh</v>
      </c>
      <c r="W64" s="1213">
        <f t="shared" si="19"/>
        <v>982</v>
      </c>
      <c r="X64" s="1099">
        <f>IFERROR(IF(VLOOKUP(B64,cnst_grazing!$C$10:$H$25,5,FALSE)="", IF(VLOOKUP(B64, cnst_grazing!$C$10:$H$25,3,FALSE)="", VLOOKUP(B64, cnst_grazing!$C$10:$H$25,4,FALSE),VLOOKUP(B64, cnst_grazing!$C$10:$H$25,3,FALSE)), VLOOKUP(B64,cnst_grazing!$C$10:$H$25,5,FALSE)),1)</f>
        <v>1</v>
      </c>
      <c r="Y64" s="1099">
        <f>IFERROR(IF(VLOOKUP(B64,cnst_grazing!$C$10:$H$25,6,FALSE)="", IF(VLOOKUP(B64, cnst_grazing!$C$10:$H$25,4,FALSE)="", VLOOKUP(B64, cnst_grazing!$C$10:$H$25,3,FALSE),VLOOKUP(B64, cnst_grazing!$C$10:$H$25,4,FALSE)), VLOOKUP(B64,cnst_grazing!$C$10:$H$25,6,FALSE)),1)</f>
        <v>1</v>
      </c>
      <c r="Z64" s="937">
        <f t="shared" si="20"/>
        <v>0.42159128774865501</v>
      </c>
      <c r="AA64" s="1487">
        <f t="shared" si="21"/>
        <v>8.4550045322495926</v>
      </c>
      <c r="AB64" s="933">
        <f>VLOOKUP($W64,feed_mix_n,MATCH(AB$5,feed_mix_w!$B$5:$AC$5,0),FALSE)/$Z64*VLOOKUP(AB$5,feed_intensity_w,11,FALSE)</f>
        <v>0.64628939333955082</v>
      </c>
      <c r="AC64" s="933">
        <f>VLOOKUP($W64,feed_mix_n,MATCH(AC$5,feed_mix_w!$B$5:$AC$5,0),FALSE)/$Z64*VLOOKUP(AC$5,feed_intensity_w,11,FALSE)</f>
        <v>0.67701908491646168</v>
      </c>
      <c r="AD64" s="933">
        <f>VLOOKUP($W64,feed_mix_n,MATCH(AD$5,feed_mix_w!$B$5:$AC$5,0),FALSE)/$Z64*VLOOKUP(AD$5,feed_intensity_w,11,FALSE)</f>
        <v>0</v>
      </c>
      <c r="AE64" s="933">
        <f>VLOOKUP($W64,feed_mix_n,MATCH(AE$5,feed_mix_w!$B$5:$AC$5,0),FALSE)/$Z64*VLOOKUP(AE$5,feed_intensity_w,11,FALSE)</f>
        <v>0.64300389282044623</v>
      </c>
      <c r="AF64" s="933">
        <f>VLOOKUP($W64,feed_mix_n,MATCH(AF$5,feed_mix_w!$B$5:$AC$5,0),FALSE)/$Z64*VLOOKUP(AF$5,feed_intensity_w,11,FALSE)</f>
        <v>0.25720155712817849</v>
      </c>
      <c r="AG64" s="933">
        <f>VLOOKUP($W64,feed_mix_n,MATCH(AG$5,feed_mix_w!$B$5:$AC$5,0),FALSE)/$Z64*VLOOKUP(AG$5,feed_intensity_w,11,FALSE)</f>
        <v>0</v>
      </c>
      <c r="AH64" s="933">
        <f>VLOOKUP($W64,feed_mix_n,MATCH(AH$5,feed_mix_w!$B$5:$AC$5,0),FALSE)/$Z64*VLOOKUP(AH$5,feed_intensity_w,11,FALSE)</f>
        <v>0.25720155712817849</v>
      </c>
      <c r="AI64" s="933">
        <f>VLOOKUP($W64,feed_mix_n,MATCH(AI$5,feed_mix_w!$B$5:$AC$5,0),FALSE)/$Z64*VLOOKUP(AI$5,feed_intensity_w,11,FALSE)</f>
        <v>0</v>
      </c>
      <c r="AJ64" s="933">
        <f>VLOOKUP($W64,feed_mix_n,MATCH(AJ$5,feed_mix_w!$B$5:$AC$5,0),FALSE)/$Z64*VLOOKUP(AJ$5,feed_intensity_w,11,FALSE)</f>
        <v>0</v>
      </c>
      <c r="AK64" s="933">
        <f>VLOOKUP($W64,feed_mix_n,MATCH(AK$5,feed_mix_w!$B$5:$AC$5,0),FALSE)/$Z64*VLOOKUP(AK$5,feed_intensity_w,11,FALSE)</f>
        <v>0</v>
      </c>
      <c r="AL64" s="933">
        <f>VLOOKUP($W64,feed_mix_n,MATCH(AL$5,feed_mix_w!$B$5:$AC$5,0),FALSE)/$Z64*VLOOKUP(AL$5,feed_intensity_w,11,FALSE)</f>
        <v>0</v>
      </c>
      <c r="AM64" s="933">
        <f>VLOOKUP($W64,feed_mix_n,MATCH(AM$5,feed_mix_w!$B$5:$AC$5,0),FALSE)/$Z64*VLOOKUP(AM$5,feed_intensity_w,11,FALSE)</f>
        <v>0.18779391282190033</v>
      </c>
      <c r="AN64" s="933">
        <f>VLOOKUP($W64,feed_mix_n,MATCH(AN$5,feed_mix_w!$B$5:$AC$5,0),FALSE)/$Z64*VLOOKUP(AN$5,feed_intensity_w,11,FALSE)</f>
        <v>0</v>
      </c>
      <c r="AO64" s="933">
        <f>VLOOKUP($W64,feed_mix_n,MATCH(AO$5,feed_mix_w!$B$5:$AC$5,0),FALSE)/$Z64*VLOOKUP(AO$5,feed_intensity_w,11,FALSE)</f>
        <v>0</v>
      </c>
      <c r="AP64" s="933">
        <f>VLOOKUP($W64,feed_mix_n,MATCH(AP$5,feed_mix_w!$B$5:$AC$5,0),FALSE)/$Z64*VLOOKUP(AP$5,feed_intensity_w,11,FALSE)</f>
        <v>0</v>
      </c>
      <c r="AQ64" s="933">
        <f>VLOOKUP($W64,feed_mix_n,MATCH(AQ$5,feed_mix_w!$B$5:$AC$5,0),FALSE)/$Z64*VLOOKUP(AQ$5,feed_intensity_w,11,FALSE)</f>
        <v>0</v>
      </c>
      <c r="AR64" s="933">
        <f>VLOOKUP($W64,feed_mix_n,MATCH(AR$5,feed_mix_w!$B$5:$AC$5,0),FALSE)/$Z64*VLOOKUP(AR$5,feed_intensity_w,11,FALSE)</f>
        <v>0.25071128396450082</v>
      </c>
      <c r="AS64" s="1105">
        <f>VLOOKUP($W64,feed_mix_n,MATCH(AS$5,feed_mix_w!$B$5:$AC$5,0),FALSE)/$Z64*VLOOKUP(AS$5,feed_intensity_w,11,FALSE)</f>
        <v>0</v>
      </c>
    </row>
    <row r="65" spans="1:45" ht="12.75" customHeight="1">
      <c r="A65" s="1008" t="s">
        <v>7374</v>
      </c>
      <c r="B65" s="1102">
        <v>984</v>
      </c>
      <c r="C65" s="1103" t="s">
        <v>544</v>
      </c>
      <c r="D65" s="1158">
        <v>0</v>
      </c>
      <c r="E65" s="1158"/>
      <c r="F65" s="1012">
        <f t="shared" si="11"/>
        <v>0</v>
      </c>
      <c r="G65" s="1012">
        <f t="shared" si="12"/>
        <v>0</v>
      </c>
      <c r="H65" s="933">
        <f t="shared" si="13"/>
        <v>7.2317131499412453</v>
      </c>
      <c r="I65" s="1486">
        <f t="shared" si="14"/>
        <v>0</v>
      </c>
      <c r="J65" s="1006">
        <f>IFERROR(G65*VLOOKUP(W65,livestock_intensity!$B$7:$I$29,8,FALSE)/Z65,0)</f>
        <v>0</v>
      </c>
      <c r="K65" s="933">
        <f>VLOOKUP($W65,feed_mix_n,MATCH(K$5,feed_mix_w!$B$5:$AC$5,0),FALSE)/$Z65*VLOOKUP(K$5,feed_intensity_w,11,FALSE)</f>
        <v>0</v>
      </c>
      <c r="L65" s="1486">
        <f t="shared" si="15"/>
        <v>0</v>
      </c>
      <c r="M65" s="1447">
        <f>IFERROR(G65*VLOOKUP(W65,livestock_intensity!$B$7:$M$29,12,FALSE)/Z65,0)</f>
        <v>0</v>
      </c>
      <c r="N65" s="933">
        <f>VLOOKUP($W65,feed_mix_n,MATCH(N$5,feed_mix_w!$B$5:$AC$5,0),FALSE)/$Z65*VLOOKUP(N$5,feed_intensity_w,11,FALSE)</f>
        <v>13.713660330454358</v>
      </c>
      <c r="O65" s="1486">
        <f t="shared" si="16"/>
        <v>0</v>
      </c>
      <c r="P65" s="939">
        <f>IFERROR(G65*VLOOKUP(W65,livestock_intensity!$B$7:$Q$29,16,FALSE)/Z65,0)</f>
        <v>0</v>
      </c>
      <c r="Q65" s="1530"/>
      <c r="R65" s="900">
        <f t="shared" si="17"/>
        <v>0</v>
      </c>
      <c r="S65" s="900">
        <f t="shared" si="18"/>
        <v>0</v>
      </c>
      <c r="T65" s="1483">
        <v>2741</v>
      </c>
      <c r="U65" s="1211" t="s">
        <v>2921</v>
      </c>
      <c r="V65" s="1212" t="str">
        <f>IFERROR(VLOOKUP(W65,constant_ag_extr!$D$7:$E$594,2,FALSE),"")</f>
        <v>Sheep milk, whole, fresh</v>
      </c>
      <c r="W65" s="1213">
        <f t="shared" si="19"/>
        <v>982</v>
      </c>
      <c r="X65" s="1099">
        <f>IFERROR(IF(VLOOKUP(B65,cnst_grazing!$C$10:$H$25,5,FALSE)="", IF(VLOOKUP(B65, cnst_grazing!$C$10:$H$25,3,FALSE)="", VLOOKUP(B65, cnst_grazing!$C$10:$H$25,4,FALSE),VLOOKUP(B65, cnst_grazing!$C$10:$H$25,3,FALSE)), VLOOKUP(B65,cnst_grazing!$C$10:$H$25,5,FALSE)),1)</f>
        <v>1</v>
      </c>
      <c r="Y65" s="1099">
        <f>IFERROR(IF(VLOOKUP(B65,cnst_grazing!$C$10:$H$25,6,FALSE)="", IF(VLOOKUP(B65, cnst_grazing!$C$10:$H$25,4,FALSE)="", VLOOKUP(B65, cnst_grazing!$C$10:$H$25,3,FALSE),VLOOKUP(B65, cnst_grazing!$C$10:$H$25,4,FALSE)), VLOOKUP(B65,cnst_grazing!$C$10:$H$25,6,FALSE)),1)</f>
        <v>1</v>
      </c>
      <c r="Z65" s="937">
        <f t="shared" si="20"/>
        <v>0.17018346567122158</v>
      </c>
      <c r="AA65" s="1487">
        <f t="shared" si="21"/>
        <v>20.945373480395602</v>
      </c>
      <c r="AB65" s="933">
        <f>VLOOKUP($W65,feed_mix_n,MATCH(AB$5,feed_mix_w!$B$5:$AC$5,0),FALSE)/$Z65*VLOOKUP(AB$5,feed_intensity_w,11,FALSE)</f>
        <v>1.6010367195289379</v>
      </c>
      <c r="AC65" s="933">
        <f>VLOOKUP($W65,feed_mix_n,MATCH(AC$5,feed_mix_w!$B$5:$AC$5,0),FALSE)/$Z65*VLOOKUP(AC$5,feed_intensity_w,11,FALSE)</f>
        <v>1.6771626239634931</v>
      </c>
      <c r="AD65" s="933">
        <f>VLOOKUP($W65,feed_mix_n,MATCH(AD$5,feed_mix_w!$B$5:$AC$5,0),FALSE)/$Z65*VLOOKUP(AD$5,feed_intensity_w,11,FALSE)</f>
        <v>0</v>
      </c>
      <c r="AE65" s="933">
        <f>VLOOKUP($W65,feed_mix_n,MATCH(AE$5,feed_mix_w!$B$5:$AC$5,0),FALSE)/$Z65*VLOOKUP(AE$5,feed_intensity_w,11,FALSE)</f>
        <v>1.5928976304036517</v>
      </c>
      <c r="AF65" s="933">
        <f>VLOOKUP($W65,feed_mix_n,MATCH(AF$5,feed_mix_w!$B$5:$AC$5,0),FALSE)/$Z65*VLOOKUP(AF$5,feed_intensity_w,11,FALSE)</f>
        <v>0.63715905216146063</v>
      </c>
      <c r="AG65" s="933">
        <f>VLOOKUP($W65,feed_mix_n,MATCH(AG$5,feed_mix_w!$B$5:$AC$5,0),FALSE)/$Z65*VLOOKUP(AG$5,feed_intensity_w,11,FALSE)</f>
        <v>0</v>
      </c>
      <c r="AH65" s="933">
        <f>VLOOKUP($W65,feed_mix_n,MATCH(AH$5,feed_mix_w!$B$5:$AC$5,0),FALSE)/$Z65*VLOOKUP(AH$5,feed_intensity_w,11,FALSE)</f>
        <v>0.63715905216146063</v>
      </c>
      <c r="AI65" s="933">
        <f>VLOOKUP($W65,feed_mix_n,MATCH(AI$5,feed_mix_w!$B$5:$AC$5,0),FALSE)/$Z65*VLOOKUP(AI$5,feed_intensity_w,11,FALSE)</f>
        <v>0</v>
      </c>
      <c r="AJ65" s="933">
        <f>VLOOKUP($W65,feed_mix_n,MATCH(AJ$5,feed_mix_w!$B$5:$AC$5,0),FALSE)/$Z65*VLOOKUP(AJ$5,feed_intensity_w,11,FALSE)</f>
        <v>0</v>
      </c>
      <c r="AK65" s="933">
        <f>VLOOKUP($W65,feed_mix_n,MATCH(AK$5,feed_mix_w!$B$5:$AC$5,0),FALSE)/$Z65*VLOOKUP(AK$5,feed_intensity_w,11,FALSE)</f>
        <v>0</v>
      </c>
      <c r="AL65" s="933">
        <f>VLOOKUP($W65,feed_mix_n,MATCH(AL$5,feed_mix_w!$B$5:$AC$5,0),FALSE)/$Z65*VLOOKUP(AL$5,feed_intensity_w,11,FALSE)</f>
        <v>0</v>
      </c>
      <c r="AM65" s="933">
        <f>VLOOKUP($W65,feed_mix_n,MATCH(AM$5,feed_mix_w!$B$5:$AC$5,0),FALSE)/$Z65*VLOOKUP(AM$5,feed_intensity_w,11,FALSE)</f>
        <v>0.4652172126456573</v>
      </c>
      <c r="AN65" s="933">
        <f>VLOOKUP($W65,feed_mix_n,MATCH(AN$5,feed_mix_w!$B$5:$AC$5,0),FALSE)/$Z65*VLOOKUP(AN$5,feed_intensity_w,11,FALSE)</f>
        <v>0</v>
      </c>
      <c r="AO65" s="933">
        <f>VLOOKUP($W65,feed_mix_n,MATCH(AO$5,feed_mix_w!$B$5:$AC$5,0),FALSE)/$Z65*VLOOKUP(AO$5,feed_intensity_w,11,FALSE)</f>
        <v>0</v>
      </c>
      <c r="AP65" s="933">
        <f>VLOOKUP($W65,feed_mix_n,MATCH(AP$5,feed_mix_w!$B$5:$AC$5,0),FALSE)/$Z65*VLOOKUP(AP$5,feed_intensity_w,11,FALSE)</f>
        <v>0</v>
      </c>
      <c r="AQ65" s="933">
        <f>VLOOKUP($W65,feed_mix_n,MATCH(AQ$5,feed_mix_w!$B$5:$AC$5,0),FALSE)/$Z65*VLOOKUP(AQ$5,feed_intensity_w,11,FALSE)</f>
        <v>0</v>
      </c>
      <c r="AR65" s="933">
        <f>VLOOKUP($W65,feed_mix_n,MATCH(AR$5,feed_mix_w!$B$5:$AC$5,0),FALSE)/$Z65*VLOOKUP(AR$5,feed_intensity_w,11,FALSE)</f>
        <v>0.62108085907658384</v>
      </c>
      <c r="AS65" s="1105">
        <f>VLOOKUP($W65,feed_mix_n,MATCH(AS$5,feed_mix_w!$B$5:$AC$5,0),FALSE)/$Z65*VLOOKUP(AS$5,feed_intensity_w,11,FALSE)</f>
        <v>0</v>
      </c>
    </row>
    <row r="66" spans="1:45" ht="12.75" customHeight="1">
      <c r="A66" s="1008" t="s">
        <v>1960</v>
      </c>
      <c r="B66" s="1102">
        <v>987</v>
      </c>
      <c r="C66" s="1103" t="s">
        <v>1090</v>
      </c>
      <c r="D66" s="1158">
        <v>1034</v>
      </c>
      <c r="E66" s="1158">
        <v>4234</v>
      </c>
      <c r="F66" s="1012">
        <f t="shared" si="11"/>
        <v>1034</v>
      </c>
      <c r="G66" s="1012">
        <f t="shared" si="12"/>
        <v>4234</v>
      </c>
      <c r="H66" s="933">
        <f t="shared" si="13"/>
        <v>0</v>
      </c>
      <c r="I66" s="1486">
        <f t="shared" si="14"/>
        <v>0</v>
      </c>
      <c r="J66" s="1006">
        <f>IFERROR(G66*VLOOKUP(W66,livestock_intensity!$B$7:$I$29,8,FALSE)/Z66,0)</f>
        <v>0</v>
      </c>
      <c r="K66" s="933">
        <f>VLOOKUP($W66,feed_mix_n,MATCH(K$5,feed_mix_w!$B$5:$AC$5,0),FALSE)/$Z66*VLOOKUP(K$5,feed_intensity_w,11,FALSE)</f>
        <v>0</v>
      </c>
      <c r="L66" s="1486">
        <f t="shared" si="15"/>
        <v>0</v>
      </c>
      <c r="M66" s="1447">
        <f>IFERROR(G66*VLOOKUP(W66,livestock_intensity!$B$7:$M$29,12,FALSE)/Z66,0)</f>
        <v>0</v>
      </c>
      <c r="N66" s="933">
        <f>VLOOKUP($W66,feed_mix_n,MATCH(N$5,feed_mix_w!$B$5:$AC$5,0),FALSE)/$Z66*VLOOKUP(N$5,feed_intensity_w,11,FALSE)</f>
        <v>67.827747526651422</v>
      </c>
      <c r="O66" s="1486">
        <f t="shared" si="16"/>
        <v>70133.890942557569</v>
      </c>
      <c r="P66" s="939">
        <f>IFERROR(G66*VLOOKUP(W66,livestock_intensity!$B$7:$Q$29,16,FALSE)/Z66,0)</f>
        <v>146959.33837055598</v>
      </c>
      <c r="Q66" s="1530"/>
      <c r="R66" s="900">
        <f t="shared" si="17"/>
        <v>70133.890942557569</v>
      </c>
      <c r="S66" s="900">
        <f t="shared" si="18"/>
        <v>146959.33837055598</v>
      </c>
      <c r="T66" s="1483" t="s">
        <v>2862</v>
      </c>
      <c r="U66" s="1211" t="s">
        <v>2921</v>
      </c>
      <c r="V66" s="1212" t="str">
        <f>IFERROR(VLOOKUP(W66,constant_ag_extr!$D$7:$E$594,2,FALSE),"")</f>
        <v>Wool, greasy</v>
      </c>
      <c r="W66" s="1213">
        <f t="shared" si="19"/>
        <v>987</v>
      </c>
      <c r="X66" s="1099">
        <f>IFERROR(IF(VLOOKUP(B66,cnst_grazing!$C$10:$H$25,5,FALSE)="", IF(VLOOKUP(B66, cnst_grazing!$C$10:$H$25,3,FALSE)="", VLOOKUP(B66, cnst_grazing!$C$10:$H$25,4,FALSE),VLOOKUP(B66, cnst_grazing!$C$10:$H$25,3,FALSE)), VLOOKUP(B66,cnst_grazing!$C$10:$H$25,5,FALSE)),1)</f>
        <v>1</v>
      </c>
      <c r="Y66" s="1099">
        <f>IFERROR(IF(VLOOKUP(B66,cnst_grazing!$C$10:$H$25,6,FALSE)="", IF(VLOOKUP(B66, cnst_grazing!$C$10:$H$25,4,FALSE)="", VLOOKUP(B66, cnst_grazing!$C$10:$H$25,3,FALSE),VLOOKUP(B66, cnst_grazing!$C$10:$H$25,4,FALSE)), VLOOKUP(B66,cnst_grazing!$C$10:$H$25,6,FALSE)),1)</f>
        <v>1</v>
      </c>
      <c r="Z66" s="937">
        <f t="shared" si="20"/>
        <v>1</v>
      </c>
      <c r="AA66" s="1487">
        <f t="shared" si="21"/>
        <v>67.827747526651422</v>
      </c>
      <c r="AB66" s="933">
        <f>VLOOKUP($W66,feed_mix_n,MATCH(AB$5,feed_mix_w!$B$5:$AC$5,0),FALSE)/$Z66*VLOOKUP(AB$5,feed_intensity_w,11,FALSE)</f>
        <v>0</v>
      </c>
      <c r="AC66" s="933">
        <f>VLOOKUP($W66,feed_mix_n,MATCH(AC$5,feed_mix_w!$B$5:$AC$5,0),FALSE)/$Z66*VLOOKUP(AC$5,feed_intensity_w,11,FALSE)</f>
        <v>0</v>
      </c>
      <c r="AD66" s="933">
        <f>VLOOKUP($W66,feed_mix_n,MATCH(AD$5,feed_mix_w!$B$5:$AC$5,0),FALSE)/$Z66*VLOOKUP(AD$5,feed_intensity_w,11,FALSE)</f>
        <v>0</v>
      </c>
      <c r="AE66" s="933">
        <f>VLOOKUP($W66,feed_mix_n,MATCH(AE$5,feed_mix_w!$B$5:$AC$5,0),FALSE)/$Z66*VLOOKUP(AE$5,feed_intensity_w,11,FALSE)</f>
        <v>0</v>
      </c>
      <c r="AF66" s="933">
        <f>VLOOKUP($W66,feed_mix_n,MATCH(AF$5,feed_mix_w!$B$5:$AC$5,0),FALSE)/$Z66*VLOOKUP(AF$5,feed_intensity_w,11,FALSE)</f>
        <v>0</v>
      </c>
      <c r="AG66" s="933">
        <f>VLOOKUP($W66,feed_mix_n,MATCH(AG$5,feed_mix_w!$B$5:$AC$5,0),FALSE)/$Z66*VLOOKUP(AG$5,feed_intensity_w,11,FALSE)</f>
        <v>0</v>
      </c>
      <c r="AH66" s="933">
        <f>VLOOKUP($W66,feed_mix_n,MATCH(AH$5,feed_mix_w!$B$5:$AC$5,0),FALSE)/$Z66*VLOOKUP(AH$5,feed_intensity_w,11,FALSE)</f>
        <v>0</v>
      </c>
      <c r="AI66" s="933">
        <f>VLOOKUP($W66,feed_mix_n,MATCH(AI$5,feed_mix_w!$B$5:$AC$5,0),FALSE)/$Z66*VLOOKUP(AI$5,feed_intensity_w,11,FALSE)</f>
        <v>0</v>
      </c>
      <c r="AJ66" s="933">
        <f>VLOOKUP($W66,feed_mix_n,MATCH(AJ$5,feed_mix_w!$B$5:$AC$5,0),FALSE)/$Z66*VLOOKUP(AJ$5,feed_intensity_w,11,FALSE)</f>
        <v>0</v>
      </c>
      <c r="AK66" s="933">
        <f>VLOOKUP($W66,feed_mix_n,MATCH(AK$5,feed_mix_w!$B$5:$AC$5,0),FALSE)/$Z66*VLOOKUP(AK$5,feed_intensity_w,11,FALSE)</f>
        <v>0</v>
      </c>
      <c r="AL66" s="933">
        <f>VLOOKUP($W66,feed_mix_n,MATCH(AL$5,feed_mix_w!$B$5:$AC$5,0),FALSE)/$Z66*VLOOKUP(AL$5,feed_intensity_w,11,FALSE)</f>
        <v>0</v>
      </c>
      <c r="AM66" s="933">
        <f>VLOOKUP($W66,feed_mix_n,MATCH(AM$5,feed_mix_w!$B$5:$AC$5,0),FALSE)/$Z66*VLOOKUP(AM$5,feed_intensity_w,11,FALSE)</f>
        <v>0</v>
      </c>
      <c r="AN66" s="933">
        <f>VLOOKUP($W66,feed_mix_n,MATCH(AN$5,feed_mix_w!$B$5:$AC$5,0),FALSE)/$Z66*VLOOKUP(AN$5,feed_intensity_w,11,FALSE)</f>
        <v>0</v>
      </c>
      <c r="AO66" s="933">
        <f>VLOOKUP($W66,feed_mix_n,MATCH(AO$5,feed_mix_w!$B$5:$AC$5,0),FALSE)/$Z66*VLOOKUP(AO$5,feed_intensity_w,11,FALSE)</f>
        <v>0</v>
      </c>
      <c r="AP66" s="933">
        <f>VLOOKUP($W66,feed_mix_n,MATCH(AP$5,feed_mix_w!$B$5:$AC$5,0),FALSE)/$Z66*VLOOKUP(AP$5,feed_intensity_w,11,FALSE)</f>
        <v>0</v>
      </c>
      <c r="AQ66" s="933">
        <f>VLOOKUP($W66,feed_mix_n,MATCH(AQ$5,feed_mix_w!$B$5:$AC$5,0),FALSE)/$Z66*VLOOKUP(AQ$5,feed_intensity_w,11,FALSE)</f>
        <v>0</v>
      </c>
      <c r="AR66" s="933">
        <f>VLOOKUP($W66,feed_mix_n,MATCH(AR$5,feed_mix_w!$B$5:$AC$5,0),FALSE)/$Z66*VLOOKUP(AR$5,feed_intensity_w,11,FALSE)</f>
        <v>0</v>
      </c>
      <c r="AS66" s="1105">
        <f>VLOOKUP($W66,feed_mix_n,MATCH(AS$5,feed_mix_w!$B$5:$AC$5,0),FALSE)/$Z66*VLOOKUP(AS$5,feed_intensity_w,11,FALSE)</f>
        <v>0</v>
      </c>
    </row>
    <row r="67" spans="1:45" ht="12.75" customHeight="1">
      <c r="A67" s="1008" t="s">
        <v>7375</v>
      </c>
      <c r="B67" s="1102">
        <v>988</v>
      </c>
      <c r="C67" s="1103">
        <v>5101.2</v>
      </c>
      <c r="D67" s="1158">
        <v>2416</v>
      </c>
      <c r="E67" s="1158">
        <v>406</v>
      </c>
      <c r="F67" s="1012">
        <f t="shared" si="11"/>
        <v>2416</v>
      </c>
      <c r="G67" s="1012">
        <f t="shared" si="12"/>
        <v>406</v>
      </c>
      <c r="H67" s="933">
        <f t="shared" si="13"/>
        <v>0</v>
      </c>
      <c r="I67" s="1486">
        <f t="shared" si="14"/>
        <v>0</v>
      </c>
      <c r="J67" s="1006">
        <f>IFERROR(G67*VLOOKUP(W67,livestock_intensity!$B$7:$I$29,8,FALSE)/Z67,0)</f>
        <v>0</v>
      </c>
      <c r="K67" s="933">
        <f>VLOOKUP($W67,feed_mix_n,MATCH(K$5,feed_mix_w!$B$5:$AC$5,0),FALSE)/$Z67*VLOOKUP(K$5,feed_intensity_w,11,FALSE)</f>
        <v>0</v>
      </c>
      <c r="L67" s="1486">
        <f t="shared" si="15"/>
        <v>0</v>
      </c>
      <c r="M67" s="1447">
        <f>IFERROR(G67*VLOOKUP(W67,livestock_intensity!$B$7:$M$29,12,FALSE)/Z67,0)</f>
        <v>0</v>
      </c>
      <c r="N67" s="933">
        <f>VLOOKUP($W67,feed_mix_n,MATCH(N$5,feed_mix_w!$B$5:$AC$5,0),FALSE)/$Z67*VLOOKUP(N$5,feed_intensity_w,11,FALSE)</f>
        <v>65.889200473545799</v>
      </c>
      <c r="O67" s="1486">
        <f t="shared" si="16"/>
        <v>159188.30834408666</v>
      </c>
      <c r="P67" s="939">
        <f>IFERROR(G67*VLOOKUP(W67,livestock_intensity!$B$7:$Q$29,16,FALSE)/Z67,0)</f>
        <v>13689.235998975231</v>
      </c>
      <c r="Q67" s="1530"/>
      <c r="R67" s="900">
        <f t="shared" si="17"/>
        <v>159188.30834408666</v>
      </c>
      <c r="S67" s="900">
        <f t="shared" si="18"/>
        <v>13689.235998975231</v>
      </c>
      <c r="T67" s="1483" t="s">
        <v>2862</v>
      </c>
      <c r="U67" s="1211" t="s">
        <v>2921</v>
      </c>
      <c r="V67" s="1212" t="str">
        <f>IFERROR(VLOOKUP(W67,constant_ag_extr!$D$7:$E$594,2,FALSE),"")</f>
        <v>Wool, greasy</v>
      </c>
      <c r="W67" s="1213">
        <f t="shared" si="19"/>
        <v>987</v>
      </c>
      <c r="X67" s="1099">
        <f>IFERROR(IF(VLOOKUP(B67,cnst_grazing!$C$10:$H$25,5,FALSE)="", IF(VLOOKUP(B67, cnst_grazing!$C$10:$H$25,3,FALSE)="", VLOOKUP(B67, cnst_grazing!$C$10:$H$25,4,FALSE),VLOOKUP(B67, cnst_grazing!$C$10:$H$25,3,FALSE)), VLOOKUP(B67,cnst_grazing!$C$10:$H$25,5,FALSE)),1)</f>
        <v>1</v>
      </c>
      <c r="Y67" s="1099">
        <f>IFERROR(IF(VLOOKUP(B67,cnst_grazing!$C$10:$H$25,6,FALSE)="", IF(VLOOKUP(B67, cnst_grazing!$C$10:$H$25,4,FALSE)="", VLOOKUP(B67, cnst_grazing!$C$10:$H$25,3,FALSE),VLOOKUP(B67, cnst_grazing!$C$10:$H$25,4,FALSE)), VLOOKUP(B67,cnst_grazing!$C$10:$H$25,6,FALSE)),1)</f>
        <v>1</v>
      </c>
      <c r="Z67" s="937">
        <f t="shared" si="20"/>
        <v>1.0294213169862934</v>
      </c>
      <c r="AA67" s="1487">
        <f t="shared" si="21"/>
        <v>65.889200473545799</v>
      </c>
      <c r="AB67" s="933">
        <f>VLOOKUP($W67,feed_mix_n,MATCH(AB$5,feed_mix_w!$B$5:$AC$5,0),FALSE)/$Z67*VLOOKUP(AB$5,feed_intensity_w,11,FALSE)</f>
        <v>0</v>
      </c>
      <c r="AC67" s="933">
        <f>VLOOKUP($W67,feed_mix_n,MATCH(AC$5,feed_mix_w!$B$5:$AC$5,0),FALSE)/$Z67*VLOOKUP(AC$5,feed_intensity_w,11,FALSE)</f>
        <v>0</v>
      </c>
      <c r="AD67" s="933">
        <f>VLOOKUP($W67,feed_mix_n,MATCH(AD$5,feed_mix_w!$B$5:$AC$5,0),FALSE)/$Z67*VLOOKUP(AD$5,feed_intensity_w,11,FALSE)</f>
        <v>0</v>
      </c>
      <c r="AE67" s="933">
        <f>VLOOKUP($W67,feed_mix_n,MATCH(AE$5,feed_mix_w!$B$5:$AC$5,0),FALSE)/$Z67*VLOOKUP(AE$5,feed_intensity_w,11,FALSE)</f>
        <v>0</v>
      </c>
      <c r="AF67" s="933">
        <f>VLOOKUP($W67,feed_mix_n,MATCH(AF$5,feed_mix_w!$B$5:$AC$5,0),FALSE)/$Z67*VLOOKUP(AF$5,feed_intensity_w,11,FALSE)</f>
        <v>0</v>
      </c>
      <c r="AG67" s="933">
        <f>VLOOKUP($W67,feed_mix_n,MATCH(AG$5,feed_mix_w!$B$5:$AC$5,0),FALSE)/$Z67*VLOOKUP(AG$5,feed_intensity_w,11,FALSE)</f>
        <v>0</v>
      </c>
      <c r="AH67" s="933">
        <f>VLOOKUP($W67,feed_mix_n,MATCH(AH$5,feed_mix_w!$B$5:$AC$5,0),FALSE)/$Z67*VLOOKUP(AH$5,feed_intensity_w,11,FALSE)</f>
        <v>0</v>
      </c>
      <c r="AI67" s="933">
        <f>VLOOKUP($W67,feed_mix_n,MATCH(AI$5,feed_mix_w!$B$5:$AC$5,0),FALSE)/$Z67*VLOOKUP(AI$5,feed_intensity_w,11,FALSE)</f>
        <v>0</v>
      </c>
      <c r="AJ67" s="933">
        <f>VLOOKUP($W67,feed_mix_n,MATCH(AJ$5,feed_mix_w!$B$5:$AC$5,0),FALSE)/$Z67*VLOOKUP(AJ$5,feed_intensity_w,11,FALSE)</f>
        <v>0</v>
      </c>
      <c r="AK67" s="933">
        <f>VLOOKUP($W67,feed_mix_n,MATCH(AK$5,feed_mix_w!$B$5:$AC$5,0),FALSE)/$Z67*VLOOKUP(AK$5,feed_intensity_w,11,FALSE)</f>
        <v>0</v>
      </c>
      <c r="AL67" s="933">
        <f>VLOOKUP($W67,feed_mix_n,MATCH(AL$5,feed_mix_w!$B$5:$AC$5,0),FALSE)/$Z67*VLOOKUP(AL$5,feed_intensity_w,11,FALSE)</f>
        <v>0</v>
      </c>
      <c r="AM67" s="933">
        <f>VLOOKUP($W67,feed_mix_n,MATCH(AM$5,feed_mix_w!$B$5:$AC$5,0),FALSE)/$Z67*VLOOKUP(AM$5,feed_intensity_w,11,FALSE)</f>
        <v>0</v>
      </c>
      <c r="AN67" s="933">
        <f>VLOOKUP($W67,feed_mix_n,MATCH(AN$5,feed_mix_w!$B$5:$AC$5,0),FALSE)/$Z67*VLOOKUP(AN$5,feed_intensity_w,11,FALSE)</f>
        <v>0</v>
      </c>
      <c r="AO67" s="933">
        <f>VLOOKUP($W67,feed_mix_n,MATCH(AO$5,feed_mix_w!$B$5:$AC$5,0),FALSE)/$Z67*VLOOKUP(AO$5,feed_intensity_w,11,FALSE)</f>
        <v>0</v>
      </c>
      <c r="AP67" s="933">
        <f>VLOOKUP($W67,feed_mix_n,MATCH(AP$5,feed_mix_w!$B$5:$AC$5,0),FALSE)/$Z67*VLOOKUP(AP$5,feed_intensity_w,11,FALSE)</f>
        <v>0</v>
      </c>
      <c r="AQ67" s="933">
        <f>VLOOKUP($W67,feed_mix_n,MATCH(AQ$5,feed_mix_w!$B$5:$AC$5,0),FALSE)/$Z67*VLOOKUP(AQ$5,feed_intensity_w,11,FALSE)</f>
        <v>0</v>
      </c>
      <c r="AR67" s="933">
        <f>VLOOKUP($W67,feed_mix_n,MATCH(AR$5,feed_mix_w!$B$5:$AC$5,0),FALSE)/$Z67*VLOOKUP(AR$5,feed_intensity_w,11,FALSE)</f>
        <v>0</v>
      </c>
      <c r="AS67" s="1105">
        <f>VLOOKUP($W67,feed_mix_n,MATCH(AS$5,feed_mix_w!$B$5:$AC$5,0),FALSE)/$Z67*VLOOKUP(AS$5,feed_intensity_w,11,FALSE)</f>
        <v>0</v>
      </c>
    </row>
    <row r="68" spans="1:45" ht="12.75" customHeight="1">
      <c r="A68" s="1008" t="s">
        <v>7376</v>
      </c>
      <c r="B68" s="1102">
        <v>994</v>
      </c>
      <c r="C68" s="1103"/>
      <c r="D68" s="1158">
        <v>5125</v>
      </c>
      <c r="E68" s="1158">
        <v>3323</v>
      </c>
      <c r="F68" s="1012">
        <f t="shared" si="11"/>
        <v>5125</v>
      </c>
      <c r="G68" s="1012">
        <f t="shared" si="12"/>
        <v>3323</v>
      </c>
      <c r="H68" s="933">
        <f t="shared" si="13"/>
        <v>0</v>
      </c>
      <c r="I68" s="1486">
        <f t="shared" si="14"/>
        <v>0</v>
      </c>
      <c r="J68" s="1006">
        <f>IFERROR(G68*VLOOKUP(W68,livestock_intensity!$B$7:$I$29,8,FALSE)/Z68,0)</f>
        <v>0</v>
      </c>
      <c r="K68" s="933">
        <f>VLOOKUP($W68,feed_mix_n,MATCH(K$5,feed_mix_w!$B$5:$AC$5,0),FALSE)/$Z68*VLOOKUP(K$5,feed_intensity_w,11,FALSE)</f>
        <v>0</v>
      </c>
      <c r="L68" s="1486">
        <f t="shared" si="15"/>
        <v>0</v>
      </c>
      <c r="M68" s="1447">
        <f>IFERROR(G68*VLOOKUP(W68,livestock_intensity!$B$7:$M$29,12,FALSE)/Z68,0)</f>
        <v>0</v>
      </c>
      <c r="N68" s="933">
        <f>VLOOKUP($W68,feed_mix_n,MATCH(N$5,feed_mix_w!$B$5:$AC$5,0),FALSE)/$Z68*VLOOKUP(N$5,feed_intensity_w,11,FALSE)</f>
        <v>76.966612205577931</v>
      </c>
      <c r="O68" s="1486">
        <f t="shared" si="16"/>
        <v>394453.88755358692</v>
      </c>
      <c r="P68" s="939">
        <f>IFERROR(G68*VLOOKUP(W68,livestock_intensity!$B$7:$Q$29,16,FALSE)/Z68,0)</f>
        <v>130879.5073575984</v>
      </c>
      <c r="Q68" s="1530"/>
      <c r="R68" s="900">
        <f t="shared" si="17"/>
        <v>394453.88755358692</v>
      </c>
      <c r="S68" s="900">
        <f t="shared" si="18"/>
        <v>130879.5073575984</v>
      </c>
      <c r="T68" s="1483" t="s">
        <v>2862</v>
      </c>
      <c r="U68" s="1211"/>
      <c r="V68" s="1212" t="str">
        <f>IFERROR(VLOOKUP(W68,constant_ag_extr!$D$7:$E$594,2,FALSE),"")</f>
        <v>Wool, greasy</v>
      </c>
      <c r="W68" s="1213">
        <f t="shared" si="19"/>
        <v>987</v>
      </c>
      <c r="X68" s="1099">
        <f>IFERROR(IF(VLOOKUP(B68,cnst_grazing!$C$10:$H$25,5,FALSE)="", IF(VLOOKUP(B68, cnst_grazing!$C$10:$H$25,3,FALSE)="", VLOOKUP(B68, cnst_grazing!$C$10:$H$25,4,FALSE),VLOOKUP(B68, cnst_grazing!$C$10:$H$25,3,FALSE)), VLOOKUP(B68,cnst_grazing!$C$10:$H$25,5,FALSE)),1)</f>
        <v>1</v>
      </c>
      <c r="Y68" s="1099">
        <f>IFERROR(IF(VLOOKUP(B68,cnst_grazing!$C$10:$H$25,6,FALSE)="", IF(VLOOKUP(B68, cnst_grazing!$C$10:$H$25,4,FALSE)="", VLOOKUP(B68, cnst_grazing!$C$10:$H$25,3,FALSE),VLOOKUP(B68, cnst_grazing!$C$10:$H$25,4,FALSE)), VLOOKUP(B68,cnst_grazing!$C$10:$H$25,6,FALSE)),1)</f>
        <v>1</v>
      </c>
      <c r="Z68" s="937">
        <f t="shared" si="20"/>
        <v>0.88126195999745194</v>
      </c>
      <c r="AA68" s="1487">
        <f t="shared" si="21"/>
        <v>76.966612205577931</v>
      </c>
      <c r="AB68" s="933">
        <f>VLOOKUP($W68,feed_mix_n,MATCH(AB$5,feed_mix_w!$B$5:$AC$5,0),FALSE)/$Z68*VLOOKUP(AB$5,feed_intensity_w,11,FALSE)</f>
        <v>0</v>
      </c>
      <c r="AC68" s="933">
        <f>VLOOKUP($W68,feed_mix_n,MATCH(AC$5,feed_mix_w!$B$5:$AC$5,0),FALSE)/$Z68*VLOOKUP(AC$5,feed_intensity_w,11,FALSE)</f>
        <v>0</v>
      </c>
      <c r="AD68" s="933">
        <f>VLOOKUP($W68,feed_mix_n,MATCH(AD$5,feed_mix_w!$B$5:$AC$5,0),FALSE)/$Z68*VLOOKUP(AD$5,feed_intensity_w,11,FALSE)</f>
        <v>0</v>
      </c>
      <c r="AE68" s="933">
        <f>VLOOKUP($W68,feed_mix_n,MATCH(AE$5,feed_mix_w!$B$5:$AC$5,0),FALSE)/$Z68*VLOOKUP(AE$5,feed_intensity_w,11,FALSE)</f>
        <v>0</v>
      </c>
      <c r="AF68" s="933">
        <f>VLOOKUP($W68,feed_mix_n,MATCH(AF$5,feed_mix_w!$B$5:$AC$5,0),FALSE)/$Z68*VLOOKUP(AF$5,feed_intensity_w,11,FALSE)</f>
        <v>0</v>
      </c>
      <c r="AG68" s="933">
        <f>VLOOKUP($W68,feed_mix_n,MATCH(AG$5,feed_mix_w!$B$5:$AC$5,0),FALSE)/$Z68*VLOOKUP(AG$5,feed_intensity_w,11,FALSE)</f>
        <v>0</v>
      </c>
      <c r="AH68" s="933">
        <f>VLOOKUP($W68,feed_mix_n,MATCH(AH$5,feed_mix_w!$B$5:$AC$5,0),FALSE)/$Z68*VLOOKUP(AH$5,feed_intensity_w,11,FALSE)</f>
        <v>0</v>
      </c>
      <c r="AI68" s="933">
        <f>VLOOKUP($W68,feed_mix_n,MATCH(AI$5,feed_mix_w!$B$5:$AC$5,0),FALSE)/$Z68*VLOOKUP(AI$5,feed_intensity_w,11,FALSE)</f>
        <v>0</v>
      </c>
      <c r="AJ68" s="933">
        <f>VLOOKUP($W68,feed_mix_n,MATCH(AJ$5,feed_mix_w!$B$5:$AC$5,0),FALSE)/$Z68*VLOOKUP(AJ$5,feed_intensity_w,11,FALSE)</f>
        <v>0</v>
      </c>
      <c r="AK68" s="933">
        <f>VLOOKUP($W68,feed_mix_n,MATCH(AK$5,feed_mix_w!$B$5:$AC$5,0),FALSE)/$Z68*VLOOKUP(AK$5,feed_intensity_w,11,FALSE)</f>
        <v>0</v>
      </c>
      <c r="AL68" s="933">
        <f>VLOOKUP($W68,feed_mix_n,MATCH(AL$5,feed_mix_w!$B$5:$AC$5,0),FALSE)/$Z68*VLOOKUP(AL$5,feed_intensity_w,11,FALSE)</f>
        <v>0</v>
      </c>
      <c r="AM68" s="933">
        <f>VLOOKUP($W68,feed_mix_n,MATCH(AM$5,feed_mix_w!$B$5:$AC$5,0),FALSE)/$Z68*VLOOKUP(AM$5,feed_intensity_w,11,FALSE)</f>
        <v>0</v>
      </c>
      <c r="AN68" s="933">
        <f>VLOOKUP($W68,feed_mix_n,MATCH(AN$5,feed_mix_w!$B$5:$AC$5,0),FALSE)/$Z68*VLOOKUP(AN$5,feed_intensity_w,11,FALSE)</f>
        <v>0</v>
      </c>
      <c r="AO68" s="933">
        <f>VLOOKUP($W68,feed_mix_n,MATCH(AO$5,feed_mix_w!$B$5:$AC$5,0),FALSE)/$Z68*VLOOKUP(AO$5,feed_intensity_w,11,FALSE)</f>
        <v>0</v>
      </c>
      <c r="AP68" s="933">
        <f>VLOOKUP($W68,feed_mix_n,MATCH(AP$5,feed_mix_w!$B$5:$AC$5,0),FALSE)/$Z68*VLOOKUP(AP$5,feed_intensity_w,11,FALSE)</f>
        <v>0</v>
      </c>
      <c r="AQ68" s="933">
        <f>VLOOKUP($W68,feed_mix_n,MATCH(AQ$5,feed_mix_w!$B$5:$AC$5,0),FALSE)/$Z68*VLOOKUP(AQ$5,feed_intensity_w,11,FALSE)</f>
        <v>0</v>
      </c>
      <c r="AR68" s="933">
        <f>VLOOKUP($W68,feed_mix_n,MATCH(AR$5,feed_mix_w!$B$5:$AC$5,0),FALSE)/$Z68*VLOOKUP(AR$5,feed_intensity_w,11,FALSE)</f>
        <v>0</v>
      </c>
      <c r="AS68" s="1105">
        <f>VLOOKUP($W68,feed_mix_n,MATCH(AS$5,feed_mix_w!$B$5:$AC$5,0),FALSE)/$Z68*VLOOKUP(AS$5,feed_intensity_w,11,FALSE)</f>
        <v>0</v>
      </c>
    </row>
    <row r="69" spans="1:45" ht="12.75" customHeight="1">
      <c r="A69" s="1008" t="s">
        <v>7377</v>
      </c>
      <c r="B69" s="1102">
        <v>995</v>
      </c>
      <c r="C69" s="1103" t="s">
        <v>5167</v>
      </c>
      <c r="D69" s="1158"/>
      <c r="E69" s="1158"/>
      <c r="F69" s="1012">
        <f t="shared" si="11"/>
        <v>0</v>
      </c>
      <c r="G69" s="1012">
        <f t="shared" si="12"/>
        <v>0</v>
      </c>
      <c r="H69" s="933">
        <f t="shared" si="13"/>
        <v>0</v>
      </c>
      <c r="I69" s="1486">
        <f t="shared" si="14"/>
        <v>0</v>
      </c>
      <c r="J69" s="1006">
        <f>IFERROR(G69*VLOOKUP(W69,livestock_intensity!$B$7:$I$29,8,FALSE)/Z69,0)</f>
        <v>0</v>
      </c>
      <c r="K69" s="933">
        <f>VLOOKUP($W69,feed_mix_n,MATCH(K$5,feed_mix_w!$B$5:$AC$5,0),FALSE)/$Z69*VLOOKUP(K$5,feed_intensity_w,11,FALSE)</f>
        <v>0</v>
      </c>
      <c r="L69" s="1486">
        <f t="shared" si="15"/>
        <v>0</v>
      </c>
      <c r="M69" s="1447">
        <f>IFERROR(G69*VLOOKUP(W69,livestock_intensity!$B$7:$M$29,12,FALSE)/Z69,0)</f>
        <v>0</v>
      </c>
      <c r="N69" s="933">
        <f>VLOOKUP($W69,feed_mix_n,MATCH(N$5,feed_mix_w!$B$5:$AC$5,0),FALSE)/$Z69*VLOOKUP(N$5,feed_intensity_w,11,FALSE)</f>
        <v>0.63227276551373968</v>
      </c>
      <c r="O69" s="1486">
        <f t="shared" si="16"/>
        <v>0</v>
      </c>
      <c r="P69" s="939">
        <f>IFERROR(G69*VLOOKUP(W69,livestock_intensity!$B$7:$Q$29,16,FALSE)/Z69,0)</f>
        <v>0</v>
      </c>
      <c r="Q69" s="1530"/>
      <c r="R69" s="900">
        <f t="shared" si="17"/>
        <v>0</v>
      </c>
      <c r="S69" s="900">
        <f t="shared" si="18"/>
        <v>0</v>
      </c>
      <c r="T69" s="1483">
        <v>2748</v>
      </c>
      <c r="U69" s="1211" t="s">
        <v>2921</v>
      </c>
      <c r="V69" s="1212" t="str">
        <f>IFERROR(VLOOKUP(W69,constant_ag_extr!$D$7:$E$594,2,FALSE),"")</f>
        <v>Sheep</v>
      </c>
      <c r="W69" s="1213">
        <f t="shared" si="19"/>
        <v>976</v>
      </c>
      <c r="X69" s="1099">
        <f>IFERROR(IF(VLOOKUP(B69,cnst_grazing!$C$10:$H$25,5,FALSE)="", IF(VLOOKUP(B69, cnst_grazing!$C$10:$H$25,3,FALSE)="", VLOOKUP(B69, cnst_grazing!$C$10:$H$25,4,FALSE),VLOOKUP(B69, cnst_grazing!$C$10:$H$25,3,FALSE)), VLOOKUP(B69,cnst_grazing!$C$10:$H$25,5,FALSE)),1)</f>
        <v>1</v>
      </c>
      <c r="Y69" s="1099">
        <f>IFERROR(IF(VLOOKUP(B69,cnst_grazing!$C$10:$H$25,6,FALSE)="", IF(VLOOKUP(B69, cnst_grazing!$C$10:$H$25,4,FALSE)="", VLOOKUP(B69, cnst_grazing!$C$10:$H$25,3,FALSE),VLOOKUP(B69, cnst_grazing!$C$10:$H$25,4,FALSE)), VLOOKUP(B69,cnst_grazing!$C$10:$H$25,6,FALSE)),1)</f>
        <v>1</v>
      </c>
      <c r="Z69" s="937">
        <f t="shared" si="20"/>
        <v>5.7252703815834476</v>
      </c>
      <c r="AA69" s="1487">
        <f t="shared" si="21"/>
        <v>0.63227276551373968</v>
      </c>
      <c r="AB69" s="933">
        <f>VLOOKUP($W69,feed_mix_n,MATCH(AB$5,feed_mix_w!$B$5:$AC$5,0),FALSE)/$Z69*VLOOKUP(AB$5,feed_intensity_w,11,FALSE)</f>
        <v>0</v>
      </c>
      <c r="AC69" s="933">
        <f>VLOOKUP($W69,feed_mix_n,MATCH(AC$5,feed_mix_w!$B$5:$AC$5,0),FALSE)/$Z69*VLOOKUP(AC$5,feed_intensity_w,11,FALSE)</f>
        <v>0</v>
      </c>
      <c r="AD69" s="933">
        <f>VLOOKUP($W69,feed_mix_n,MATCH(AD$5,feed_mix_w!$B$5:$AC$5,0),FALSE)/$Z69*VLOOKUP(AD$5,feed_intensity_w,11,FALSE)</f>
        <v>0</v>
      </c>
      <c r="AE69" s="933">
        <f>VLOOKUP($W69,feed_mix_n,MATCH(AE$5,feed_mix_w!$B$5:$AC$5,0),FALSE)/$Z69*VLOOKUP(AE$5,feed_intensity_w,11,FALSE)</f>
        <v>0</v>
      </c>
      <c r="AF69" s="933">
        <f>VLOOKUP($W69,feed_mix_n,MATCH(AF$5,feed_mix_w!$B$5:$AC$5,0),FALSE)/$Z69*VLOOKUP(AF$5,feed_intensity_w,11,FALSE)</f>
        <v>0</v>
      </c>
      <c r="AG69" s="933">
        <f>VLOOKUP($W69,feed_mix_n,MATCH(AG$5,feed_mix_w!$B$5:$AC$5,0),FALSE)/$Z69*VLOOKUP(AG$5,feed_intensity_w,11,FALSE)</f>
        <v>0</v>
      </c>
      <c r="AH69" s="933">
        <f>VLOOKUP($W69,feed_mix_n,MATCH(AH$5,feed_mix_w!$B$5:$AC$5,0),FALSE)/$Z69*VLOOKUP(AH$5,feed_intensity_w,11,FALSE)</f>
        <v>0</v>
      </c>
      <c r="AI69" s="933">
        <f>VLOOKUP($W69,feed_mix_n,MATCH(AI$5,feed_mix_w!$B$5:$AC$5,0),FALSE)/$Z69*VLOOKUP(AI$5,feed_intensity_w,11,FALSE)</f>
        <v>0</v>
      </c>
      <c r="AJ69" s="933">
        <f>VLOOKUP($W69,feed_mix_n,MATCH(AJ$5,feed_mix_w!$B$5:$AC$5,0),FALSE)/$Z69*VLOOKUP(AJ$5,feed_intensity_w,11,FALSE)</f>
        <v>0</v>
      </c>
      <c r="AK69" s="933">
        <f>VLOOKUP($W69,feed_mix_n,MATCH(AK$5,feed_mix_w!$B$5:$AC$5,0),FALSE)/$Z69*VLOOKUP(AK$5,feed_intensity_w,11,FALSE)</f>
        <v>0</v>
      </c>
      <c r="AL69" s="933">
        <f>VLOOKUP($W69,feed_mix_n,MATCH(AL$5,feed_mix_w!$B$5:$AC$5,0),FALSE)/$Z69*VLOOKUP(AL$5,feed_intensity_w,11,FALSE)</f>
        <v>0</v>
      </c>
      <c r="AM69" s="933">
        <f>VLOOKUP($W69,feed_mix_n,MATCH(AM$5,feed_mix_w!$B$5:$AC$5,0),FALSE)/$Z69*VLOOKUP(AM$5,feed_intensity_w,11,FALSE)</f>
        <v>0</v>
      </c>
      <c r="AN69" s="933">
        <f>VLOOKUP($W69,feed_mix_n,MATCH(AN$5,feed_mix_w!$B$5:$AC$5,0),FALSE)/$Z69*VLOOKUP(AN$5,feed_intensity_w,11,FALSE)</f>
        <v>0</v>
      </c>
      <c r="AO69" s="933">
        <f>VLOOKUP($W69,feed_mix_n,MATCH(AO$5,feed_mix_w!$B$5:$AC$5,0),FALSE)/$Z69*VLOOKUP(AO$5,feed_intensity_w,11,FALSE)</f>
        <v>0</v>
      </c>
      <c r="AP69" s="933">
        <f>VLOOKUP($W69,feed_mix_n,MATCH(AP$5,feed_mix_w!$B$5:$AC$5,0),FALSE)/$Z69*VLOOKUP(AP$5,feed_intensity_w,11,FALSE)</f>
        <v>0</v>
      </c>
      <c r="AQ69" s="933">
        <f>VLOOKUP($W69,feed_mix_n,MATCH(AQ$5,feed_mix_w!$B$5:$AC$5,0),FALSE)/$Z69*VLOOKUP(AQ$5,feed_intensity_w,11,FALSE)</f>
        <v>0</v>
      </c>
      <c r="AR69" s="933">
        <f>VLOOKUP($W69,feed_mix_n,MATCH(AR$5,feed_mix_w!$B$5:$AC$5,0),FALSE)/$Z69*VLOOKUP(AR$5,feed_intensity_w,11,FALSE)</f>
        <v>0</v>
      </c>
      <c r="AS69" s="1105">
        <f>VLOOKUP($W69,feed_mix_n,MATCH(AS$5,feed_mix_w!$B$5:$AC$5,0),FALSE)/$Z69*VLOOKUP(AS$5,feed_intensity_w,11,FALSE)</f>
        <v>0</v>
      </c>
    </row>
    <row r="70" spans="1:45" ht="12.75" customHeight="1">
      <c r="A70" s="1008" t="s">
        <v>7378</v>
      </c>
      <c r="B70" s="1102">
        <v>996</v>
      </c>
      <c r="C70" s="1103" t="s">
        <v>5636</v>
      </c>
      <c r="D70" s="1158"/>
      <c r="E70" s="1158"/>
      <c r="F70" s="1012">
        <f t="shared" si="11"/>
        <v>0</v>
      </c>
      <c r="G70" s="1012">
        <f t="shared" si="12"/>
        <v>0</v>
      </c>
      <c r="H70" s="933">
        <f t="shared" si="13"/>
        <v>0</v>
      </c>
      <c r="I70" s="1486">
        <f t="shared" si="14"/>
        <v>0</v>
      </c>
      <c r="J70" s="1006">
        <f>IFERROR(G70*VLOOKUP(W70,livestock_intensity!$B$7:$I$29,8,FALSE)/Z70,0)</f>
        <v>0</v>
      </c>
      <c r="K70" s="933">
        <f>VLOOKUP($W70,feed_mix_n,MATCH(K$5,feed_mix_w!$B$5:$AC$5,0),FALSE)/$Z70*VLOOKUP(K$5,feed_intensity_w,11,FALSE)</f>
        <v>0</v>
      </c>
      <c r="L70" s="1486">
        <f t="shared" si="15"/>
        <v>0</v>
      </c>
      <c r="M70" s="1447">
        <f>IFERROR(G70*VLOOKUP(W70,livestock_intensity!$B$7:$M$29,12,FALSE)/Z70,0)</f>
        <v>0</v>
      </c>
      <c r="N70" s="933">
        <f>VLOOKUP($W70,feed_mix_n,MATCH(N$5,feed_mix_w!$B$5:$AC$5,0),FALSE)/$Z70*VLOOKUP(N$5,feed_intensity_w,11,FALSE)</f>
        <v>1.9181623803658203</v>
      </c>
      <c r="O70" s="1486">
        <f t="shared" si="16"/>
        <v>0</v>
      </c>
      <c r="P70" s="939">
        <f>IFERROR(G70*VLOOKUP(W70,livestock_intensity!$B$7:$Q$29,16,FALSE)/Z70,0)</f>
        <v>0</v>
      </c>
      <c r="Q70" s="1530"/>
      <c r="R70" s="900">
        <f t="shared" si="17"/>
        <v>0</v>
      </c>
      <c r="S70" s="900">
        <f t="shared" si="18"/>
        <v>0</v>
      </c>
      <c r="T70" s="1483">
        <v>2748</v>
      </c>
      <c r="U70" s="1211" t="s">
        <v>2921</v>
      </c>
      <c r="V70" s="1212" t="str">
        <f>IFERROR(VLOOKUP(W70,constant_ag_extr!$D$7:$E$594,2,FALSE),"")</f>
        <v>Sheep</v>
      </c>
      <c r="W70" s="1213">
        <f t="shared" si="19"/>
        <v>976</v>
      </c>
      <c r="X70" s="1099">
        <f>IFERROR(IF(VLOOKUP(B70,cnst_grazing!$C$10:$H$25,5,FALSE)="", IF(VLOOKUP(B70, cnst_grazing!$C$10:$H$25,3,FALSE)="", VLOOKUP(B70, cnst_grazing!$C$10:$H$25,4,FALSE),VLOOKUP(B70, cnst_grazing!$C$10:$H$25,3,FALSE)), VLOOKUP(B70,cnst_grazing!$C$10:$H$25,5,FALSE)),1)</f>
        <v>1</v>
      </c>
      <c r="Y70" s="1099">
        <f>IFERROR(IF(VLOOKUP(B70,cnst_grazing!$C$10:$H$25,6,FALSE)="", IF(VLOOKUP(B70, cnst_grazing!$C$10:$H$25,4,FALSE)="", VLOOKUP(B70, cnst_grazing!$C$10:$H$25,3,FALSE),VLOOKUP(B70, cnst_grazing!$C$10:$H$25,4,FALSE)), VLOOKUP(B70,cnst_grazing!$C$10:$H$25,6,FALSE)),1)</f>
        <v>1</v>
      </c>
      <c r="Z70" s="937">
        <f t="shared" si="20"/>
        <v>1.8871877451726993</v>
      </c>
      <c r="AA70" s="1487">
        <f t="shared" si="21"/>
        <v>1.9181623803658203</v>
      </c>
      <c r="AB70" s="933">
        <f>VLOOKUP($W70,feed_mix_n,MATCH(AB$5,feed_mix_w!$B$5:$AC$5,0),FALSE)/$Z70*VLOOKUP(AB$5,feed_intensity_w,11,FALSE)</f>
        <v>0</v>
      </c>
      <c r="AC70" s="933">
        <f>VLOOKUP($W70,feed_mix_n,MATCH(AC$5,feed_mix_w!$B$5:$AC$5,0),FALSE)/$Z70*VLOOKUP(AC$5,feed_intensity_w,11,FALSE)</f>
        <v>0</v>
      </c>
      <c r="AD70" s="933">
        <f>VLOOKUP($W70,feed_mix_n,MATCH(AD$5,feed_mix_w!$B$5:$AC$5,0),FALSE)/$Z70*VLOOKUP(AD$5,feed_intensity_w,11,FALSE)</f>
        <v>0</v>
      </c>
      <c r="AE70" s="933">
        <f>VLOOKUP($W70,feed_mix_n,MATCH(AE$5,feed_mix_w!$B$5:$AC$5,0),FALSE)/$Z70*VLOOKUP(AE$5,feed_intensity_w,11,FALSE)</f>
        <v>0</v>
      </c>
      <c r="AF70" s="933">
        <f>VLOOKUP($W70,feed_mix_n,MATCH(AF$5,feed_mix_w!$B$5:$AC$5,0),FALSE)/$Z70*VLOOKUP(AF$5,feed_intensity_w,11,FALSE)</f>
        <v>0</v>
      </c>
      <c r="AG70" s="933">
        <f>VLOOKUP($W70,feed_mix_n,MATCH(AG$5,feed_mix_w!$B$5:$AC$5,0),FALSE)/$Z70*VLOOKUP(AG$5,feed_intensity_w,11,FALSE)</f>
        <v>0</v>
      </c>
      <c r="AH70" s="933">
        <f>VLOOKUP($W70,feed_mix_n,MATCH(AH$5,feed_mix_w!$B$5:$AC$5,0),FALSE)/$Z70*VLOOKUP(AH$5,feed_intensity_w,11,FALSE)</f>
        <v>0</v>
      </c>
      <c r="AI70" s="933">
        <f>VLOOKUP($W70,feed_mix_n,MATCH(AI$5,feed_mix_w!$B$5:$AC$5,0),FALSE)/$Z70*VLOOKUP(AI$5,feed_intensity_w,11,FALSE)</f>
        <v>0</v>
      </c>
      <c r="AJ70" s="933">
        <f>VLOOKUP($W70,feed_mix_n,MATCH(AJ$5,feed_mix_w!$B$5:$AC$5,0),FALSE)/$Z70*VLOOKUP(AJ$5,feed_intensity_w,11,FALSE)</f>
        <v>0</v>
      </c>
      <c r="AK70" s="933">
        <f>VLOOKUP($W70,feed_mix_n,MATCH(AK$5,feed_mix_w!$B$5:$AC$5,0),FALSE)/$Z70*VLOOKUP(AK$5,feed_intensity_w,11,FALSE)</f>
        <v>0</v>
      </c>
      <c r="AL70" s="933">
        <f>VLOOKUP($W70,feed_mix_n,MATCH(AL$5,feed_mix_w!$B$5:$AC$5,0),FALSE)/$Z70*VLOOKUP(AL$5,feed_intensity_w,11,FALSE)</f>
        <v>0</v>
      </c>
      <c r="AM70" s="933">
        <f>VLOOKUP($W70,feed_mix_n,MATCH(AM$5,feed_mix_w!$B$5:$AC$5,0),FALSE)/$Z70*VLOOKUP(AM$5,feed_intensity_w,11,FALSE)</f>
        <v>0</v>
      </c>
      <c r="AN70" s="933">
        <f>VLOOKUP($W70,feed_mix_n,MATCH(AN$5,feed_mix_w!$B$5:$AC$5,0),FALSE)/$Z70*VLOOKUP(AN$5,feed_intensity_w,11,FALSE)</f>
        <v>0</v>
      </c>
      <c r="AO70" s="933">
        <f>VLOOKUP($W70,feed_mix_n,MATCH(AO$5,feed_mix_w!$B$5:$AC$5,0),FALSE)/$Z70*VLOOKUP(AO$5,feed_intensity_w,11,FALSE)</f>
        <v>0</v>
      </c>
      <c r="AP70" s="933">
        <f>VLOOKUP($W70,feed_mix_n,MATCH(AP$5,feed_mix_w!$B$5:$AC$5,0),FALSE)/$Z70*VLOOKUP(AP$5,feed_intensity_w,11,FALSE)</f>
        <v>0</v>
      </c>
      <c r="AQ70" s="933">
        <f>VLOOKUP($W70,feed_mix_n,MATCH(AQ$5,feed_mix_w!$B$5:$AC$5,0),FALSE)/$Z70*VLOOKUP(AQ$5,feed_intensity_w,11,FALSE)</f>
        <v>0</v>
      </c>
      <c r="AR70" s="933">
        <f>VLOOKUP($W70,feed_mix_n,MATCH(AR$5,feed_mix_w!$B$5:$AC$5,0),FALSE)/$Z70*VLOOKUP(AR$5,feed_intensity_w,11,FALSE)</f>
        <v>0</v>
      </c>
      <c r="AS70" s="1105">
        <f>VLOOKUP($W70,feed_mix_n,MATCH(AS$5,feed_mix_w!$B$5:$AC$5,0),FALSE)/$Z70*VLOOKUP(AS$5,feed_intensity_w,11,FALSE)</f>
        <v>0</v>
      </c>
    </row>
    <row r="71" spans="1:45" ht="12.75" customHeight="1">
      <c r="A71" s="1008" t="s">
        <v>7379</v>
      </c>
      <c r="B71" s="1102">
        <v>997</v>
      </c>
      <c r="C71" s="1103" t="s">
        <v>5635</v>
      </c>
      <c r="D71" s="1158">
        <v>42</v>
      </c>
      <c r="E71" s="1158">
        <v>187</v>
      </c>
      <c r="F71" s="1012">
        <f t="shared" ref="F71:F102" si="22">D71*X71</f>
        <v>42</v>
      </c>
      <c r="G71" s="1012">
        <f t="shared" ref="G71:G102" si="23">E71*Y71</f>
        <v>187</v>
      </c>
      <c r="H71" s="933">
        <f t="shared" ref="H71:H102" si="24">SUM(AB71:AP71)+AR71+AS71</f>
        <v>0</v>
      </c>
      <c r="I71" s="1486">
        <f t="shared" ref="I71:I102" si="25">IFERROR(F71*VLOOKUP(B71,livestock_intensity_w,7,FALSE),0)</f>
        <v>0</v>
      </c>
      <c r="J71" s="1006">
        <f>IFERROR(G71*VLOOKUP(W71,livestock_intensity!$B$7:$I$29,8,FALSE)/Z71,0)</f>
        <v>0</v>
      </c>
      <c r="K71" s="933">
        <f>VLOOKUP($W71,feed_mix_n,MATCH(K$5,feed_mix_w!$B$5:$AC$5,0),FALSE)/$Z71*VLOOKUP(K$5,feed_intensity_w,11,FALSE)</f>
        <v>0</v>
      </c>
      <c r="L71" s="1486">
        <f t="shared" ref="L71:L102" si="26">IFERROR(F71*VLOOKUP($B71,livestock_intensity_w,10,FALSE),0)</f>
        <v>0</v>
      </c>
      <c r="M71" s="1447">
        <f>IFERROR(G71*VLOOKUP(W71,livestock_intensity!$B$7:$M$29,12,FALSE)/Z71,0)</f>
        <v>0</v>
      </c>
      <c r="N71" s="933">
        <f>VLOOKUP($W71,feed_mix_n,MATCH(N$5,feed_mix_w!$B$5:$AC$5,0),FALSE)/$Z71*VLOOKUP(N$5,feed_intensity_w,11,FALSE)</f>
        <v>4.9712765132544829</v>
      </c>
      <c r="O71" s="1486">
        <f t="shared" ref="O71:O102" si="27">IFERROR(F71*VLOOKUP(B71,livestock_intensity_w,13,FALSE),0)</f>
        <v>208.79361355668829</v>
      </c>
      <c r="P71" s="939">
        <f>IFERROR(G71*VLOOKUP(W71,livestock_intensity!$B$7:$Q$29,16,FALSE)/Z71,0)</f>
        <v>802.65225736436855</v>
      </c>
      <c r="Q71" s="1530"/>
      <c r="R71" s="900">
        <f t="shared" ref="R71:R102" si="28">IFERROR(SUM(I71,L71,O71),0)</f>
        <v>208.79361355668829</v>
      </c>
      <c r="S71" s="900">
        <f t="shared" ref="S71:S102" si="29">IFERROR(SUM(J71,M71,P71),0)</f>
        <v>802.65225736436855</v>
      </c>
      <c r="T71" s="1483">
        <v>2748</v>
      </c>
      <c r="U71" s="1211" t="s">
        <v>2921</v>
      </c>
      <c r="V71" s="1212" t="str">
        <f>IFERROR(VLOOKUP(W71,constant_ag_extr!$D$7:$E$594,2,FALSE),"")</f>
        <v>Sheep</v>
      </c>
      <c r="W71" s="1213">
        <f t="shared" ref="W71:W102" si="30">IFERROR(VLOOKUP(B71,constant_ag_extr,3,FALSE),"")</f>
        <v>976</v>
      </c>
      <c r="X71" s="1099">
        <f>IFERROR(IF(VLOOKUP(B71,cnst_grazing!$C$10:$H$25,5,FALSE)="", IF(VLOOKUP(B71, cnst_grazing!$C$10:$H$25,3,FALSE)="", VLOOKUP(B71, cnst_grazing!$C$10:$H$25,4,FALSE),VLOOKUP(B71, cnst_grazing!$C$10:$H$25,3,FALSE)), VLOOKUP(B71,cnst_grazing!$C$10:$H$25,5,FALSE)),1)</f>
        <v>1</v>
      </c>
      <c r="Y71" s="1099">
        <f>IFERROR(IF(VLOOKUP(B71,cnst_grazing!$C$10:$H$25,6,FALSE)="", IF(VLOOKUP(B71, cnst_grazing!$C$10:$H$25,4,FALSE)="", VLOOKUP(B71, cnst_grazing!$C$10:$H$25,3,FALSE),VLOOKUP(B71, cnst_grazing!$C$10:$H$25,4,FALSE)), VLOOKUP(B71,cnst_grazing!$C$10:$H$25,6,FALSE)),1)</f>
        <v>1</v>
      </c>
      <c r="Z71" s="937">
        <f t="shared" ref="Z71:Z102" si="31">IFERROR(VLOOKUP(B71,constant_ag_extr,14,FALSE),"-")</f>
        <v>0.72816962159038201</v>
      </c>
      <c r="AA71" s="1487">
        <f t="shared" ref="AA71:AA102" si="32">H71+N71</f>
        <v>4.9712765132544829</v>
      </c>
      <c r="AB71" s="933">
        <f>VLOOKUP($W71,feed_mix_n,MATCH(AB$5,feed_mix_w!$B$5:$AC$5,0),FALSE)/$Z71*VLOOKUP(AB$5,feed_intensity_w,11,FALSE)</f>
        <v>0</v>
      </c>
      <c r="AC71" s="933">
        <f>VLOOKUP($W71,feed_mix_n,MATCH(AC$5,feed_mix_w!$B$5:$AC$5,0),FALSE)/$Z71*VLOOKUP(AC$5,feed_intensity_w,11,FALSE)</f>
        <v>0</v>
      </c>
      <c r="AD71" s="933">
        <f>VLOOKUP($W71,feed_mix_n,MATCH(AD$5,feed_mix_w!$B$5:$AC$5,0),FALSE)/$Z71*VLOOKUP(AD$5,feed_intensity_w,11,FALSE)</f>
        <v>0</v>
      </c>
      <c r="AE71" s="933">
        <f>VLOOKUP($W71,feed_mix_n,MATCH(AE$5,feed_mix_w!$B$5:$AC$5,0),FALSE)/$Z71*VLOOKUP(AE$5,feed_intensity_w,11,FALSE)</f>
        <v>0</v>
      </c>
      <c r="AF71" s="933">
        <f>VLOOKUP($W71,feed_mix_n,MATCH(AF$5,feed_mix_w!$B$5:$AC$5,0),FALSE)/$Z71*VLOOKUP(AF$5,feed_intensity_w,11,FALSE)</f>
        <v>0</v>
      </c>
      <c r="AG71" s="933">
        <f>VLOOKUP($W71,feed_mix_n,MATCH(AG$5,feed_mix_w!$B$5:$AC$5,0),FALSE)/$Z71*VLOOKUP(AG$5,feed_intensity_w,11,FALSE)</f>
        <v>0</v>
      </c>
      <c r="AH71" s="933">
        <f>VLOOKUP($W71,feed_mix_n,MATCH(AH$5,feed_mix_w!$B$5:$AC$5,0),FALSE)/$Z71*VLOOKUP(AH$5,feed_intensity_w,11,FALSE)</f>
        <v>0</v>
      </c>
      <c r="AI71" s="933">
        <f>VLOOKUP($W71,feed_mix_n,MATCH(AI$5,feed_mix_w!$B$5:$AC$5,0),FALSE)/$Z71*VLOOKUP(AI$5,feed_intensity_w,11,FALSE)</f>
        <v>0</v>
      </c>
      <c r="AJ71" s="933">
        <f>VLOOKUP($W71,feed_mix_n,MATCH(AJ$5,feed_mix_w!$B$5:$AC$5,0),FALSE)/$Z71*VLOOKUP(AJ$5,feed_intensity_w,11,FALSE)</f>
        <v>0</v>
      </c>
      <c r="AK71" s="933">
        <f>VLOOKUP($W71,feed_mix_n,MATCH(AK$5,feed_mix_w!$B$5:$AC$5,0),FALSE)/$Z71*VLOOKUP(AK$5,feed_intensity_w,11,FALSE)</f>
        <v>0</v>
      </c>
      <c r="AL71" s="933">
        <f>VLOOKUP($W71,feed_mix_n,MATCH(AL$5,feed_mix_w!$B$5:$AC$5,0),FALSE)/$Z71*VLOOKUP(AL$5,feed_intensity_w,11,FALSE)</f>
        <v>0</v>
      </c>
      <c r="AM71" s="933">
        <f>VLOOKUP($W71,feed_mix_n,MATCH(AM$5,feed_mix_w!$B$5:$AC$5,0),FALSE)/$Z71*VLOOKUP(AM$5,feed_intensity_w,11,FALSE)</f>
        <v>0</v>
      </c>
      <c r="AN71" s="933">
        <f>VLOOKUP($W71,feed_mix_n,MATCH(AN$5,feed_mix_w!$B$5:$AC$5,0),FALSE)/$Z71*VLOOKUP(AN$5,feed_intensity_w,11,FALSE)</f>
        <v>0</v>
      </c>
      <c r="AO71" s="933">
        <f>VLOOKUP($W71,feed_mix_n,MATCH(AO$5,feed_mix_w!$B$5:$AC$5,0),FALSE)/$Z71*VLOOKUP(AO$5,feed_intensity_w,11,FALSE)</f>
        <v>0</v>
      </c>
      <c r="AP71" s="933">
        <f>VLOOKUP($W71,feed_mix_n,MATCH(AP$5,feed_mix_w!$B$5:$AC$5,0),FALSE)/$Z71*VLOOKUP(AP$5,feed_intensity_w,11,FALSE)</f>
        <v>0</v>
      </c>
      <c r="AQ71" s="933">
        <f>VLOOKUP($W71,feed_mix_n,MATCH(AQ$5,feed_mix_w!$B$5:$AC$5,0),FALSE)/$Z71*VLOOKUP(AQ$5,feed_intensity_w,11,FALSE)</f>
        <v>0</v>
      </c>
      <c r="AR71" s="933">
        <f>VLOOKUP($W71,feed_mix_n,MATCH(AR$5,feed_mix_w!$B$5:$AC$5,0),FALSE)/$Z71*VLOOKUP(AR$5,feed_intensity_w,11,FALSE)</f>
        <v>0</v>
      </c>
      <c r="AS71" s="1105">
        <f>VLOOKUP($W71,feed_mix_n,MATCH(AS$5,feed_mix_w!$B$5:$AC$5,0),FALSE)/$Z71*VLOOKUP(AS$5,feed_intensity_w,11,FALSE)</f>
        <v>0</v>
      </c>
    </row>
    <row r="72" spans="1:45" ht="12.75" customHeight="1">
      <c r="A72" s="1008" t="s">
        <v>356</v>
      </c>
      <c r="B72" s="1102">
        <v>998</v>
      </c>
      <c r="C72" s="1103" t="s">
        <v>699</v>
      </c>
      <c r="D72" s="1158"/>
      <c r="E72" s="1158"/>
      <c r="F72" s="1012">
        <f t="shared" si="22"/>
        <v>0</v>
      </c>
      <c r="G72" s="1012">
        <f t="shared" si="23"/>
        <v>0</v>
      </c>
      <c r="H72" s="933">
        <f t="shared" si="24"/>
        <v>0</v>
      </c>
      <c r="I72" s="1486">
        <f t="shared" si="25"/>
        <v>0</v>
      </c>
      <c r="J72" s="1006">
        <f>IFERROR(G72*VLOOKUP(W72,livestock_intensity!$B$7:$I$29,8,FALSE)/Z72,0)</f>
        <v>0</v>
      </c>
      <c r="K72" s="933">
        <f>VLOOKUP($W72,feed_mix_n,MATCH(K$5,feed_mix_w!$B$5:$AC$5,0),FALSE)/$Z72*VLOOKUP(K$5,feed_intensity_w,11,FALSE)</f>
        <v>0</v>
      </c>
      <c r="L72" s="1486">
        <f t="shared" si="26"/>
        <v>0</v>
      </c>
      <c r="M72" s="1447">
        <f>IFERROR(G72*VLOOKUP(W72,livestock_intensity!$B$7:$M$29,12,FALSE)/Z72,0)</f>
        <v>0</v>
      </c>
      <c r="N72" s="933">
        <f>VLOOKUP($W72,feed_mix_n,MATCH(N$5,feed_mix_w!$B$5:$AC$5,0),FALSE)/$Z72*VLOOKUP(N$5,feed_intensity_w,11,FALSE)</f>
        <v>1.032641164192297</v>
      </c>
      <c r="O72" s="1486">
        <f t="shared" si="27"/>
        <v>0</v>
      </c>
      <c r="P72" s="939">
        <f>IFERROR(G72*VLOOKUP(W72,livestock_intensity!$B$7:$Q$29,16,FALSE)/Z72,0)</f>
        <v>0</v>
      </c>
      <c r="Q72" s="1530"/>
      <c r="R72" s="900">
        <f t="shared" si="28"/>
        <v>0</v>
      </c>
      <c r="S72" s="900">
        <f t="shared" si="29"/>
        <v>0</v>
      </c>
      <c r="T72" s="1483">
        <v>2748</v>
      </c>
      <c r="U72" s="1211" t="s">
        <v>2921</v>
      </c>
      <c r="V72" s="1212" t="str">
        <f>IFERROR(VLOOKUP(W72,constant_ag_extr!$D$7:$E$594,2,FALSE),"")</f>
        <v>Sheep</v>
      </c>
      <c r="W72" s="1213">
        <f t="shared" si="30"/>
        <v>976</v>
      </c>
      <c r="X72" s="1099">
        <f>IFERROR(IF(VLOOKUP(B72,cnst_grazing!$C$10:$H$25,5,FALSE)="", IF(VLOOKUP(B72, cnst_grazing!$C$10:$H$25,3,FALSE)="", VLOOKUP(B72, cnst_grazing!$C$10:$H$25,4,FALSE),VLOOKUP(B72, cnst_grazing!$C$10:$H$25,3,FALSE)), VLOOKUP(B72,cnst_grazing!$C$10:$H$25,5,FALSE)),1)</f>
        <v>1</v>
      </c>
      <c r="Y72" s="1099">
        <f>IFERROR(IF(VLOOKUP(B72,cnst_grazing!$C$10:$H$25,6,FALSE)="", IF(VLOOKUP(B72, cnst_grazing!$C$10:$H$25,4,FALSE)="", VLOOKUP(B72, cnst_grazing!$C$10:$H$25,3,FALSE),VLOOKUP(B72, cnst_grazing!$C$10:$H$25,4,FALSE)), VLOOKUP(B72,cnst_grazing!$C$10:$H$25,6,FALSE)),1)</f>
        <v>1</v>
      </c>
      <c r="Z72" s="937">
        <f t="shared" si="31"/>
        <v>3.5055086539273108</v>
      </c>
      <c r="AA72" s="1487">
        <f t="shared" si="32"/>
        <v>1.032641164192297</v>
      </c>
      <c r="AB72" s="933">
        <f>VLOOKUP($W72,feed_mix_n,MATCH(AB$5,feed_mix_w!$B$5:$AC$5,0),FALSE)/$Z72*VLOOKUP(AB$5,feed_intensity_w,11,FALSE)</f>
        <v>0</v>
      </c>
      <c r="AC72" s="933">
        <f>VLOOKUP($W72,feed_mix_n,MATCH(AC$5,feed_mix_w!$B$5:$AC$5,0),FALSE)/$Z72*VLOOKUP(AC$5,feed_intensity_w,11,FALSE)</f>
        <v>0</v>
      </c>
      <c r="AD72" s="933">
        <f>VLOOKUP($W72,feed_mix_n,MATCH(AD$5,feed_mix_w!$B$5:$AC$5,0),FALSE)/$Z72*VLOOKUP(AD$5,feed_intensity_w,11,FALSE)</f>
        <v>0</v>
      </c>
      <c r="AE72" s="933">
        <f>VLOOKUP($W72,feed_mix_n,MATCH(AE$5,feed_mix_w!$B$5:$AC$5,0),FALSE)/$Z72*VLOOKUP(AE$5,feed_intensity_w,11,FALSE)</f>
        <v>0</v>
      </c>
      <c r="AF72" s="933">
        <f>VLOOKUP($W72,feed_mix_n,MATCH(AF$5,feed_mix_w!$B$5:$AC$5,0),FALSE)/$Z72*VLOOKUP(AF$5,feed_intensity_w,11,FALSE)</f>
        <v>0</v>
      </c>
      <c r="AG72" s="933">
        <f>VLOOKUP($W72,feed_mix_n,MATCH(AG$5,feed_mix_w!$B$5:$AC$5,0),FALSE)/$Z72*VLOOKUP(AG$5,feed_intensity_w,11,FALSE)</f>
        <v>0</v>
      </c>
      <c r="AH72" s="933">
        <f>VLOOKUP($W72,feed_mix_n,MATCH(AH$5,feed_mix_w!$B$5:$AC$5,0),FALSE)/$Z72*VLOOKUP(AH$5,feed_intensity_w,11,FALSE)</f>
        <v>0</v>
      </c>
      <c r="AI72" s="933">
        <f>VLOOKUP($W72,feed_mix_n,MATCH(AI$5,feed_mix_w!$B$5:$AC$5,0),FALSE)/$Z72*VLOOKUP(AI$5,feed_intensity_w,11,FALSE)</f>
        <v>0</v>
      </c>
      <c r="AJ72" s="933">
        <f>VLOOKUP($W72,feed_mix_n,MATCH(AJ$5,feed_mix_w!$B$5:$AC$5,0),FALSE)/$Z72*VLOOKUP(AJ$5,feed_intensity_w,11,FALSE)</f>
        <v>0</v>
      </c>
      <c r="AK72" s="933">
        <f>VLOOKUP($W72,feed_mix_n,MATCH(AK$5,feed_mix_w!$B$5:$AC$5,0),FALSE)/$Z72*VLOOKUP(AK$5,feed_intensity_w,11,FALSE)</f>
        <v>0</v>
      </c>
      <c r="AL72" s="933">
        <f>VLOOKUP($W72,feed_mix_n,MATCH(AL$5,feed_mix_w!$B$5:$AC$5,0),FALSE)/$Z72*VLOOKUP(AL$5,feed_intensity_w,11,FALSE)</f>
        <v>0</v>
      </c>
      <c r="AM72" s="933">
        <f>VLOOKUP($W72,feed_mix_n,MATCH(AM$5,feed_mix_w!$B$5:$AC$5,0),FALSE)/$Z72*VLOOKUP(AM$5,feed_intensity_w,11,FALSE)</f>
        <v>0</v>
      </c>
      <c r="AN72" s="933">
        <f>VLOOKUP($W72,feed_mix_n,MATCH(AN$5,feed_mix_w!$B$5:$AC$5,0),FALSE)/$Z72*VLOOKUP(AN$5,feed_intensity_w,11,FALSE)</f>
        <v>0</v>
      </c>
      <c r="AO72" s="933">
        <f>VLOOKUP($W72,feed_mix_n,MATCH(AO$5,feed_mix_w!$B$5:$AC$5,0),FALSE)/$Z72*VLOOKUP(AO$5,feed_intensity_w,11,FALSE)</f>
        <v>0</v>
      </c>
      <c r="AP72" s="933">
        <f>VLOOKUP($W72,feed_mix_n,MATCH(AP$5,feed_mix_w!$B$5:$AC$5,0),FALSE)/$Z72*VLOOKUP(AP$5,feed_intensity_w,11,FALSE)</f>
        <v>0</v>
      </c>
      <c r="AQ72" s="933">
        <f>VLOOKUP($W72,feed_mix_n,MATCH(AQ$5,feed_mix_w!$B$5:$AC$5,0),FALSE)/$Z72*VLOOKUP(AQ$5,feed_intensity_w,11,FALSE)</f>
        <v>0</v>
      </c>
      <c r="AR72" s="933">
        <f>VLOOKUP($W72,feed_mix_n,MATCH(AR$5,feed_mix_w!$B$5:$AC$5,0),FALSE)/$Z72*VLOOKUP(AR$5,feed_intensity_w,11,FALSE)</f>
        <v>0</v>
      </c>
      <c r="AS72" s="1105">
        <f>VLOOKUP($W72,feed_mix_n,MATCH(AS$5,feed_mix_w!$B$5:$AC$5,0),FALSE)/$Z72*VLOOKUP(AS$5,feed_intensity_w,11,FALSE)</f>
        <v>0</v>
      </c>
    </row>
    <row r="73" spans="1:45" ht="12.75" customHeight="1">
      <c r="A73" s="1008" t="s">
        <v>7380</v>
      </c>
      <c r="B73" s="1102">
        <v>999</v>
      </c>
      <c r="C73" s="1103">
        <v>4102.1000000000004</v>
      </c>
      <c r="D73" s="1158">
        <v>157</v>
      </c>
      <c r="E73" s="1158">
        <v>1308</v>
      </c>
      <c r="F73" s="1012">
        <f t="shared" si="22"/>
        <v>157</v>
      </c>
      <c r="G73" s="1012">
        <f t="shared" si="23"/>
        <v>1308</v>
      </c>
      <c r="H73" s="933">
        <f t="shared" si="24"/>
        <v>0</v>
      </c>
      <c r="I73" s="1486">
        <f t="shared" si="25"/>
        <v>0</v>
      </c>
      <c r="J73" s="1006">
        <f>IFERROR(G73*VLOOKUP(W73,livestock_intensity!$B$7:$I$29,8,FALSE)/Z73,0)</f>
        <v>0</v>
      </c>
      <c r="K73" s="933">
        <f>VLOOKUP($W73,feed_mix_n,MATCH(K$5,feed_mix_w!$B$5:$AC$5,0),FALSE)/$Z73*VLOOKUP(K$5,feed_intensity_w,11,FALSE)</f>
        <v>0</v>
      </c>
      <c r="L73" s="1486">
        <f t="shared" si="26"/>
        <v>0</v>
      </c>
      <c r="M73" s="1447">
        <f>IFERROR(G73*VLOOKUP(W73,livestock_intensity!$B$7:$M$29,12,FALSE)/Z73,0)</f>
        <v>0</v>
      </c>
      <c r="N73" s="933">
        <f>VLOOKUP($W73,feed_mix_n,MATCH(N$5,feed_mix_w!$B$5:$AC$5,0),FALSE)/$Z73*VLOOKUP(N$5,feed_intensity_w,11,FALSE)</f>
        <v>2.4118341578392557</v>
      </c>
      <c r="O73" s="1486">
        <f t="shared" si="27"/>
        <v>378.65796278076317</v>
      </c>
      <c r="P73" s="939">
        <f>IFERROR(G73*VLOOKUP(W73,livestock_intensity!$B$7:$Q$29,16,FALSE)/Z73,0)</f>
        <v>2723.7866707956337</v>
      </c>
      <c r="Q73" s="1530"/>
      <c r="R73" s="900">
        <f t="shared" si="28"/>
        <v>378.65796278076317</v>
      </c>
      <c r="S73" s="900">
        <f t="shared" si="29"/>
        <v>2723.7866707956337</v>
      </c>
      <c r="T73" s="1483">
        <v>2748</v>
      </c>
      <c r="U73" s="1211" t="s">
        <v>2921</v>
      </c>
      <c r="V73" s="1212" t="str">
        <f>IFERROR(VLOOKUP(W73,constant_ag_extr!$D$7:$E$594,2,FALSE),"")</f>
        <v>Sheep</v>
      </c>
      <c r="W73" s="1213">
        <f t="shared" si="30"/>
        <v>976</v>
      </c>
      <c r="X73" s="1099">
        <f>IFERROR(IF(VLOOKUP(B73,cnst_grazing!$C$10:$H$25,5,FALSE)="", IF(VLOOKUP(B73, cnst_grazing!$C$10:$H$25,3,FALSE)="", VLOOKUP(B73, cnst_grazing!$C$10:$H$25,4,FALSE),VLOOKUP(B73, cnst_grazing!$C$10:$H$25,3,FALSE)), VLOOKUP(B73,cnst_grazing!$C$10:$H$25,5,FALSE)),1)</f>
        <v>1</v>
      </c>
      <c r="Y73" s="1099">
        <f>IFERROR(IF(VLOOKUP(B73,cnst_grazing!$C$10:$H$25,6,FALSE)="", IF(VLOOKUP(B73, cnst_grazing!$C$10:$H$25,4,FALSE)="", VLOOKUP(B73, cnst_grazing!$C$10:$H$25,3,FALSE),VLOOKUP(B73, cnst_grazing!$C$10:$H$25,4,FALSE)), VLOOKUP(B73,cnst_grazing!$C$10:$H$25,6,FALSE)),1)</f>
        <v>1</v>
      </c>
      <c r="Z73" s="937">
        <f t="shared" si="31"/>
        <v>1.5009044157168507</v>
      </c>
      <c r="AA73" s="1487">
        <f t="shared" si="32"/>
        <v>2.4118341578392557</v>
      </c>
      <c r="AB73" s="933">
        <f>VLOOKUP($W73,feed_mix_n,MATCH(AB$5,feed_mix_w!$B$5:$AC$5,0),FALSE)/$Z73*VLOOKUP(AB$5,feed_intensity_w,11,FALSE)</f>
        <v>0</v>
      </c>
      <c r="AC73" s="933">
        <f>VLOOKUP($W73,feed_mix_n,MATCH(AC$5,feed_mix_w!$B$5:$AC$5,0),FALSE)/$Z73*VLOOKUP(AC$5,feed_intensity_w,11,FALSE)</f>
        <v>0</v>
      </c>
      <c r="AD73" s="933">
        <f>VLOOKUP($W73,feed_mix_n,MATCH(AD$5,feed_mix_w!$B$5:$AC$5,0),FALSE)/$Z73*VLOOKUP(AD$5,feed_intensity_w,11,FALSE)</f>
        <v>0</v>
      </c>
      <c r="AE73" s="933">
        <f>VLOOKUP($W73,feed_mix_n,MATCH(AE$5,feed_mix_w!$B$5:$AC$5,0),FALSE)/$Z73*VLOOKUP(AE$5,feed_intensity_w,11,FALSE)</f>
        <v>0</v>
      </c>
      <c r="AF73" s="933">
        <f>VLOOKUP($W73,feed_mix_n,MATCH(AF$5,feed_mix_w!$B$5:$AC$5,0),FALSE)/$Z73*VLOOKUP(AF$5,feed_intensity_w,11,FALSE)</f>
        <v>0</v>
      </c>
      <c r="AG73" s="933">
        <f>VLOOKUP($W73,feed_mix_n,MATCH(AG$5,feed_mix_w!$B$5:$AC$5,0),FALSE)/$Z73*VLOOKUP(AG$5,feed_intensity_w,11,FALSE)</f>
        <v>0</v>
      </c>
      <c r="AH73" s="933">
        <f>VLOOKUP($W73,feed_mix_n,MATCH(AH$5,feed_mix_w!$B$5:$AC$5,0),FALSE)/$Z73*VLOOKUP(AH$5,feed_intensity_w,11,FALSE)</f>
        <v>0</v>
      </c>
      <c r="AI73" s="933">
        <f>VLOOKUP($W73,feed_mix_n,MATCH(AI$5,feed_mix_w!$B$5:$AC$5,0),FALSE)/$Z73*VLOOKUP(AI$5,feed_intensity_w,11,FALSE)</f>
        <v>0</v>
      </c>
      <c r="AJ73" s="933">
        <f>VLOOKUP($W73,feed_mix_n,MATCH(AJ$5,feed_mix_w!$B$5:$AC$5,0),FALSE)/$Z73*VLOOKUP(AJ$5,feed_intensity_w,11,FALSE)</f>
        <v>0</v>
      </c>
      <c r="AK73" s="933">
        <f>VLOOKUP($W73,feed_mix_n,MATCH(AK$5,feed_mix_w!$B$5:$AC$5,0),FALSE)/$Z73*VLOOKUP(AK$5,feed_intensity_w,11,FALSE)</f>
        <v>0</v>
      </c>
      <c r="AL73" s="933">
        <f>VLOOKUP($W73,feed_mix_n,MATCH(AL$5,feed_mix_w!$B$5:$AC$5,0),FALSE)/$Z73*VLOOKUP(AL$5,feed_intensity_w,11,FALSE)</f>
        <v>0</v>
      </c>
      <c r="AM73" s="933">
        <f>VLOOKUP($W73,feed_mix_n,MATCH(AM$5,feed_mix_w!$B$5:$AC$5,0),FALSE)/$Z73*VLOOKUP(AM$5,feed_intensity_w,11,FALSE)</f>
        <v>0</v>
      </c>
      <c r="AN73" s="933">
        <f>VLOOKUP($W73,feed_mix_n,MATCH(AN$5,feed_mix_w!$B$5:$AC$5,0),FALSE)/$Z73*VLOOKUP(AN$5,feed_intensity_w,11,FALSE)</f>
        <v>0</v>
      </c>
      <c r="AO73" s="933">
        <f>VLOOKUP($W73,feed_mix_n,MATCH(AO$5,feed_mix_w!$B$5:$AC$5,0),FALSE)/$Z73*VLOOKUP(AO$5,feed_intensity_w,11,FALSE)</f>
        <v>0</v>
      </c>
      <c r="AP73" s="933">
        <f>VLOOKUP($W73,feed_mix_n,MATCH(AP$5,feed_mix_w!$B$5:$AC$5,0),FALSE)/$Z73*VLOOKUP(AP$5,feed_intensity_w,11,FALSE)</f>
        <v>0</v>
      </c>
      <c r="AQ73" s="933">
        <f>VLOOKUP($W73,feed_mix_n,MATCH(AQ$5,feed_mix_w!$B$5:$AC$5,0),FALSE)/$Z73*VLOOKUP(AQ$5,feed_intensity_w,11,FALSE)</f>
        <v>0</v>
      </c>
      <c r="AR73" s="933">
        <f>VLOOKUP($W73,feed_mix_n,MATCH(AR$5,feed_mix_w!$B$5:$AC$5,0),FALSE)/$Z73*VLOOKUP(AR$5,feed_intensity_w,11,FALSE)</f>
        <v>0</v>
      </c>
      <c r="AS73" s="1105">
        <f>VLOOKUP($W73,feed_mix_n,MATCH(AS$5,feed_mix_w!$B$5:$AC$5,0),FALSE)/$Z73*VLOOKUP(AS$5,feed_intensity_w,11,FALSE)</f>
        <v>0</v>
      </c>
    </row>
    <row r="74" spans="1:45" ht="12.75" customHeight="1">
      <c r="A74" s="1008" t="s">
        <v>275</v>
      </c>
      <c r="B74" s="1102">
        <v>1007</v>
      </c>
      <c r="C74" s="1103">
        <v>5104</v>
      </c>
      <c r="D74" s="1158"/>
      <c r="E74" s="1158"/>
      <c r="F74" s="1012">
        <f t="shared" si="22"/>
        <v>0</v>
      </c>
      <c r="G74" s="1012">
        <f t="shared" si="23"/>
        <v>0</v>
      </c>
      <c r="H74" s="933">
        <f t="shared" si="24"/>
        <v>0</v>
      </c>
      <c r="I74" s="1486">
        <f t="shared" si="25"/>
        <v>0</v>
      </c>
      <c r="J74" s="1006">
        <f>IFERROR(G74*VLOOKUP(W74,livestock_intensity!$B$7:$I$29,8,FALSE)/Z74,0)</f>
        <v>0</v>
      </c>
      <c r="K74" s="933">
        <f>VLOOKUP($W74,feed_mix_n,MATCH(K$5,feed_mix_w!$B$5:$AC$5,0),FALSE)/$Z74*VLOOKUP(K$5,feed_intensity_w,11,FALSE)</f>
        <v>0</v>
      </c>
      <c r="L74" s="1486">
        <f t="shared" si="26"/>
        <v>0</v>
      </c>
      <c r="M74" s="1447">
        <f>IFERROR(G74*VLOOKUP(W74,livestock_intensity!$B$7:$M$29,12,FALSE)/Z74,0)</f>
        <v>0</v>
      </c>
      <c r="N74" s="933">
        <f>VLOOKUP($W74,feed_mix_n,MATCH(N$5,feed_mix_w!$B$5:$AC$5,0),FALSE)/$Z74*VLOOKUP(N$5,feed_intensity_w,11,FALSE)</f>
        <v>65.889200473545799</v>
      </c>
      <c r="O74" s="1486">
        <f t="shared" si="27"/>
        <v>0</v>
      </c>
      <c r="P74" s="939">
        <f>IFERROR(G74*VLOOKUP(W74,livestock_intensity!$B$7:$Q$29,16,FALSE)/Z74,0)</f>
        <v>0</v>
      </c>
      <c r="Q74" s="1530"/>
      <c r="R74" s="900">
        <f t="shared" si="28"/>
        <v>0</v>
      </c>
      <c r="S74" s="900">
        <f t="shared" si="29"/>
        <v>0</v>
      </c>
      <c r="T74" s="1483" t="s">
        <v>2862</v>
      </c>
      <c r="U74" s="1211" t="s">
        <v>2921</v>
      </c>
      <c r="V74" s="1212" t="str">
        <f>IFERROR(VLOOKUP(W74,constant_ag_extr!$D$7:$E$594,2,FALSE),"")</f>
        <v>Wool, greasy</v>
      </c>
      <c r="W74" s="1213">
        <f t="shared" si="30"/>
        <v>987</v>
      </c>
      <c r="X74" s="1099">
        <f>IFERROR(IF(VLOOKUP(B74,cnst_grazing!$C$10:$H$25,5,FALSE)="", IF(VLOOKUP(B74, cnst_grazing!$C$10:$H$25,3,FALSE)="", VLOOKUP(B74, cnst_grazing!$C$10:$H$25,4,FALSE),VLOOKUP(B74, cnst_grazing!$C$10:$H$25,3,FALSE)), VLOOKUP(B74,cnst_grazing!$C$10:$H$25,5,FALSE)),1)</f>
        <v>1</v>
      </c>
      <c r="Y74" s="1099">
        <f>IFERROR(IF(VLOOKUP(B74,cnst_grazing!$C$10:$H$25,6,FALSE)="", IF(VLOOKUP(B74, cnst_grazing!$C$10:$H$25,4,FALSE)="", VLOOKUP(B74, cnst_grazing!$C$10:$H$25,3,FALSE),VLOOKUP(B74, cnst_grazing!$C$10:$H$25,4,FALSE)), VLOOKUP(B74,cnst_grazing!$C$10:$H$25,6,FALSE)),1)</f>
        <v>1</v>
      </c>
      <c r="Z74" s="937">
        <f t="shared" si="31"/>
        <v>1.0294213169862934</v>
      </c>
      <c r="AA74" s="1487">
        <f t="shared" si="32"/>
        <v>65.889200473545799</v>
      </c>
      <c r="AB74" s="933">
        <f>VLOOKUP($W74,feed_mix_n,MATCH(AB$5,feed_mix_w!$B$5:$AC$5,0),FALSE)/$Z74*VLOOKUP(AB$5,feed_intensity_w,11,FALSE)</f>
        <v>0</v>
      </c>
      <c r="AC74" s="933">
        <f>VLOOKUP($W74,feed_mix_n,MATCH(AC$5,feed_mix_w!$B$5:$AC$5,0),FALSE)/$Z74*VLOOKUP(AC$5,feed_intensity_w,11,FALSE)</f>
        <v>0</v>
      </c>
      <c r="AD74" s="933">
        <f>VLOOKUP($W74,feed_mix_n,MATCH(AD$5,feed_mix_w!$B$5:$AC$5,0),FALSE)/$Z74*VLOOKUP(AD$5,feed_intensity_w,11,FALSE)</f>
        <v>0</v>
      </c>
      <c r="AE74" s="933">
        <f>VLOOKUP($W74,feed_mix_n,MATCH(AE$5,feed_mix_w!$B$5:$AC$5,0),FALSE)/$Z74*VLOOKUP(AE$5,feed_intensity_w,11,FALSE)</f>
        <v>0</v>
      </c>
      <c r="AF74" s="933">
        <f>VLOOKUP($W74,feed_mix_n,MATCH(AF$5,feed_mix_w!$B$5:$AC$5,0),FALSE)/$Z74*VLOOKUP(AF$5,feed_intensity_w,11,FALSE)</f>
        <v>0</v>
      </c>
      <c r="AG74" s="933">
        <f>VLOOKUP($W74,feed_mix_n,MATCH(AG$5,feed_mix_w!$B$5:$AC$5,0),FALSE)/$Z74*VLOOKUP(AG$5,feed_intensity_w,11,FALSE)</f>
        <v>0</v>
      </c>
      <c r="AH74" s="933">
        <f>VLOOKUP($W74,feed_mix_n,MATCH(AH$5,feed_mix_w!$B$5:$AC$5,0),FALSE)/$Z74*VLOOKUP(AH$5,feed_intensity_w,11,FALSE)</f>
        <v>0</v>
      </c>
      <c r="AI74" s="933">
        <f>VLOOKUP($W74,feed_mix_n,MATCH(AI$5,feed_mix_w!$B$5:$AC$5,0),FALSE)/$Z74*VLOOKUP(AI$5,feed_intensity_w,11,FALSE)</f>
        <v>0</v>
      </c>
      <c r="AJ74" s="933">
        <f>VLOOKUP($W74,feed_mix_n,MATCH(AJ$5,feed_mix_w!$B$5:$AC$5,0),FALSE)/$Z74*VLOOKUP(AJ$5,feed_intensity_w,11,FALSE)</f>
        <v>0</v>
      </c>
      <c r="AK74" s="933">
        <f>VLOOKUP($W74,feed_mix_n,MATCH(AK$5,feed_mix_w!$B$5:$AC$5,0),FALSE)/$Z74*VLOOKUP(AK$5,feed_intensity_w,11,FALSE)</f>
        <v>0</v>
      </c>
      <c r="AL74" s="933">
        <f>VLOOKUP($W74,feed_mix_n,MATCH(AL$5,feed_mix_w!$B$5:$AC$5,0),FALSE)/$Z74*VLOOKUP(AL$5,feed_intensity_w,11,FALSE)</f>
        <v>0</v>
      </c>
      <c r="AM74" s="933">
        <f>VLOOKUP($W74,feed_mix_n,MATCH(AM$5,feed_mix_w!$B$5:$AC$5,0),FALSE)/$Z74*VLOOKUP(AM$5,feed_intensity_w,11,FALSE)</f>
        <v>0</v>
      </c>
      <c r="AN74" s="933">
        <f>VLOOKUP($W74,feed_mix_n,MATCH(AN$5,feed_mix_w!$B$5:$AC$5,0),FALSE)/$Z74*VLOOKUP(AN$5,feed_intensity_w,11,FALSE)</f>
        <v>0</v>
      </c>
      <c r="AO74" s="933">
        <f>VLOOKUP($W74,feed_mix_n,MATCH(AO$5,feed_mix_w!$B$5:$AC$5,0),FALSE)/$Z74*VLOOKUP(AO$5,feed_intensity_w,11,FALSE)</f>
        <v>0</v>
      </c>
      <c r="AP74" s="933">
        <f>VLOOKUP($W74,feed_mix_n,MATCH(AP$5,feed_mix_w!$B$5:$AC$5,0),FALSE)/$Z74*VLOOKUP(AP$5,feed_intensity_w,11,FALSE)</f>
        <v>0</v>
      </c>
      <c r="AQ74" s="933">
        <f>VLOOKUP($W74,feed_mix_n,MATCH(AQ$5,feed_mix_w!$B$5:$AC$5,0),FALSE)/$Z74*VLOOKUP(AQ$5,feed_intensity_w,11,FALSE)</f>
        <v>0</v>
      </c>
      <c r="AR74" s="933">
        <f>VLOOKUP($W74,feed_mix_n,MATCH(AR$5,feed_mix_w!$B$5:$AC$5,0),FALSE)/$Z74*VLOOKUP(AR$5,feed_intensity_w,11,FALSE)</f>
        <v>0</v>
      </c>
      <c r="AS74" s="1105">
        <f>VLOOKUP($W74,feed_mix_n,MATCH(AS$5,feed_mix_w!$B$5:$AC$5,0),FALSE)/$Z74*VLOOKUP(AS$5,feed_intensity_w,11,FALSE)</f>
        <v>0</v>
      </c>
    </row>
    <row r="75" spans="1:45" ht="12.75" customHeight="1">
      <c r="A75" s="1008" t="s">
        <v>5445</v>
      </c>
      <c r="B75" s="1102">
        <v>1008</v>
      </c>
      <c r="C75" s="1103" t="s">
        <v>1274</v>
      </c>
      <c r="D75" s="1158"/>
      <c r="E75" s="1158"/>
      <c r="F75" s="1012">
        <f t="shared" si="22"/>
        <v>0</v>
      </c>
      <c r="G75" s="1012">
        <f t="shared" si="23"/>
        <v>0</v>
      </c>
      <c r="H75" s="933" t="e">
        <f t="shared" si="24"/>
        <v>#N/A</v>
      </c>
      <c r="I75" s="1486">
        <f t="shared" si="25"/>
        <v>0</v>
      </c>
      <c r="J75" s="1006">
        <f>IFERROR(G75*VLOOKUP(W75,livestock_intensity!$B$7:$I$29,8,FALSE)/Z75,0)</f>
        <v>0</v>
      </c>
      <c r="K75" s="933" t="e">
        <f>VLOOKUP($W75,feed_mix_n,MATCH(K$5,feed_mix_w!$B$5:$AC$5,0),FALSE)/$Z75*VLOOKUP(K$5,feed_intensity_w,11,FALSE)</f>
        <v>#N/A</v>
      </c>
      <c r="L75" s="1486">
        <f t="shared" si="26"/>
        <v>0</v>
      </c>
      <c r="M75" s="1447">
        <f>IFERROR(G75*VLOOKUP(W75,livestock_intensity!$B$7:$M$29,12,FALSE)/Z75,0)</f>
        <v>0</v>
      </c>
      <c r="N75" s="933" t="e">
        <f>VLOOKUP($W75,feed_mix_n,MATCH(N$5,feed_mix_w!$B$5:$AC$5,0),FALSE)/$Z75*VLOOKUP(N$5,feed_intensity_w,11,FALSE)</f>
        <v>#N/A</v>
      </c>
      <c r="O75" s="1486">
        <f t="shared" si="27"/>
        <v>0</v>
      </c>
      <c r="P75" s="939">
        <f>IFERROR(G75*VLOOKUP(W75,livestock_intensity!$B$7:$Q$29,16,FALSE)/Z75,0)</f>
        <v>0</v>
      </c>
      <c r="Q75" s="1530"/>
      <c r="R75" s="900">
        <f t="shared" si="28"/>
        <v>0</v>
      </c>
      <c r="S75" s="900">
        <f t="shared" si="29"/>
        <v>0</v>
      </c>
      <c r="T75" s="1483" t="s">
        <v>2862</v>
      </c>
      <c r="U75" s="1211" t="s">
        <v>2921</v>
      </c>
      <c r="V75" s="1212">
        <f>IFERROR(VLOOKUP(W75,constant_ag_extr!$D$7:$E$594,2,FALSE),"")</f>
        <v>0</v>
      </c>
      <c r="W75" s="1213" t="str">
        <f t="shared" si="30"/>
        <v/>
      </c>
      <c r="X75" s="1099">
        <f>IFERROR(IF(VLOOKUP(B75,cnst_grazing!$C$10:$H$25,5,FALSE)="", IF(VLOOKUP(B75, cnst_grazing!$C$10:$H$25,3,FALSE)="", VLOOKUP(B75, cnst_grazing!$C$10:$H$25,4,FALSE),VLOOKUP(B75, cnst_grazing!$C$10:$H$25,3,FALSE)), VLOOKUP(B75,cnst_grazing!$C$10:$H$25,5,FALSE)),1)</f>
        <v>1</v>
      </c>
      <c r="Y75" s="1099">
        <f>IFERROR(IF(VLOOKUP(B75,cnst_grazing!$C$10:$H$25,6,FALSE)="", IF(VLOOKUP(B75, cnst_grazing!$C$10:$H$25,4,FALSE)="", VLOOKUP(B75, cnst_grazing!$C$10:$H$25,3,FALSE),VLOOKUP(B75, cnst_grazing!$C$10:$H$25,4,FALSE)), VLOOKUP(B75,cnst_grazing!$C$10:$H$25,6,FALSE)),1)</f>
        <v>1</v>
      </c>
      <c r="Z75" s="937">
        <f t="shared" si="31"/>
        <v>1</v>
      </c>
      <c r="AA75" s="1487" t="e">
        <f t="shared" si="32"/>
        <v>#N/A</v>
      </c>
      <c r="AB75" s="933" t="e">
        <f>VLOOKUP($W75,feed_mix_n,MATCH(AB$5,feed_mix_w!$B$5:$AC$5,0),FALSE)/$Z75*VLOOKUP(AB$5,feed_intensity_w,11,FALSE)</f>
        <v>#N/A</v>
      </c>
      <c r="AC75" s="933" t="e">
        <f>VLOOKUP($W75,feed_mix_n,MATCH(AC$5,feed_mix_w!$B$5:$AC$5,0),FALSE)/$Z75*VLOOKUP(AC$5,feed_intensity_w,11,FALSE)</f>
        <v>#N/A</v>
      </c>
      <c r="AD75" s="933" t="e">
        <f>VLOOKUP($W75,feed_mix_n,MATCH(AD$5,feed_mix_w!$B$5:$AC$5,0),FALSE)/$Z75*VLOOKUP(AD$5,feed_intensity_w,11,FALSE)</f>
        <v>#N/A</v>
      </c>
      <c r="AE75" s="933" t="e">
        <f>VLOOKUP($W75,feed_mix_n,MATCH(AE$5,feed_mix_w!$B$5:$AC$5,0),FALSE)/$Z75*VLOOKUP(AE$5,feed_intensity_w,11,FALSE)</f>
        <v>#N/A</v>
      </c>
      <c r="AF75" s="933" t="e">
        <f>VLOOKUP($W75,feed_mix_n,MATCH(AF$5,feed_mix_w!$B$5:$AC$5,0),FALSE)/$Z75*VLOOKUP(AF$5,feed_intensity_w,11,FALSE)</f>
        <v>#N/A</v>
      </c>
      <c r="AG75" s="933" t="e">
        <f>VLOOKUP($W75,feed_mix_n,MATCH(AG$5,feed_mix_w!$B$5:$AC$5,0),FALSE)/$Z75*VLOOKUP(AG$5,feed_intensity_w,11,FALSE)</f>
        <v>#N/A</v>
      </c>
      <c r="AH75" s="933" t="e">
        <f>VLOOKUP($W75,feed_mix_n,MATCH(AH$5,feed_mix_w!$B$5:$AC$5,0),FALSE)/$Z75*VLOOKUP(AH$5,feed_intensity_w,11,FALSE)</f>
        <v>#N/A</v>
      </c>
      <c r="AI75" s="933" t="e">
        <f>VLOOKUP($W75,feed_mix_n,MATCH(AI$5,feed_mix_w!$B$5:$AC$5,0),FALSE)/$Z75*VLOOKUP(AI$5,feed_intensity_w,11,FALSE)</f>
        <v>#N/A</v>
      </c>
      <c r="AJ75" s="933" t="e">
        <f>VLOOKUP($W75,feed_mix_n,MATCH(AJ$5,feed_mix_w!$B$5:$AC$5,0),FALSE)/$Z75*VLOOKUP(AJ$5,feed_intensity_w,11,FALSE)</f>
        <v>#N/A</v>
      </c>
      <c r="AK75" s="933" t="e">
        <f>VLOOKUP($W75,feed_mix_n,MATCH(AK$5,feed_mix_w!$B$5:$AC$5,0),FALSE)/$Z75*VLOOKUP(AK$5,feed_intensity_w,11,FALSE)</f>
        <v>#N/A</v>
      </c>
      <c r="AL75" s="933" t="e">
        <f>VLOOKUP($W75,feed_mix_n,MATCH(AL$5,feed_mix_w!$B$5:$AC$5,0),FALSE)/$Z75*VLOOKUP(AL$5,feed_intensity_w,11,FALSE)</f>
        <v>#N/A</v>
      </c>
      <c r="AM75" s="933" t="e">
        <f>VLOOKUP($W75,feed_mix_n,MATCH(AM$5,feed_mix_w!$B$5:$AC$5,0),FALSE)/$Z75*VLOOKUP(AM$5,feed_intensity_w,11,FALSE)</f>
        <v>#N/A</v>
      </c>
      <c r="AN75" s="933" t="e">
        <f>VLOOKUP($W75,feed_mix_n,MATCH(AN$5,feed_mix_w!$B$5:$AC$5,0),FALSE)/$Z75*VLOOKUP(AN$5,feed_intensity_w,11,FALSE)</f>
        <v>#N/A</v>
      </c>
      <c r="AO75" s="933" t="e">
        <f>VLOOKUP($W75,feed_mix_n,MATCH(AO$5,feed_mix_w!$B$5:$AC$5,0),FALSE)/$Z75*VLOOKUP(AO$5,feed_intensity_w,11,FALSE)</f>
        <v>#N/A</v>
      </c>
      <c r="AP75" s="933" t="e">
        <f>VLOOKUP($W75,feed_mix_n,MATCH(AP$5,feed_mix_w!$B$5:$AC$5,0),FALSE)/$Z75*VLOOKUP(AP$5,feed_intensity_w,11,FALSE)</f>
        <v>#N/A</v>
      </c>
      <c r="AQ75" s="933" t="e">
        <f>VLOOKUP($W75,feed_mix_n,MATCH(AQ$5,feed_mix_w!$B$5:$AC$5,0),FALSE)/$Z75*VLOOKUP(AQ$5,feed_intensity_w,11,FALSE)</f>
        <v>#N/A</v>
      </c>
      <c r="AR75" s="933" t="e">
        <f>VLOOKUP($W75,feed_mix_n,MATCH(AR$5,feed_mix_w!$B$5:$AC$5,0),FALSE)/$Z75*VLOOKUP(AR$5,feed_intensity_w,11,FALSE)</f>
        <v>#N/A</v>
      </c>
      <c r="AS75" s="1105" t="e">
        <f>VLOOKUP($W75,feed_mix_n,MATCH(AS$5,feed_mix_w!$B$5:$AC$5,0),FALSE)/$Z75*VLOOKUP(AS$5,feed_intensity_w,11,FALSE)</f>
        <v>#N/A</v>
      </c>
    </row>
    <row r="76" spans="1:45" ht="12.75" customHeight="1">
      <c r="A76" s="1008" t="s">
        <v>7381</v>
      </c>
      <c r="B76" s="1102">
        <v>1009</v>
      </c>
      <c r="C76" s="1103">
        <v>5103</v>
      </c>
      <c r="D76" s="1158">
        <v>522</v>
      </c>
      <c r="E76" s="1158">
        <v>372</v>
      </c>
      <c r="F76" s="1012">
        <f t="shared" si="22"/>
        <v>522</v>
      </c>
      <c r="G76" s="1012">
        <f t="shared" si="23"/>
        <v>372</v>
      </c>
      <c r="H76" s="933">
        <f t="shared" si="24"/>
        <v>0</v>
      </c>
      <c r="I76" s="1486">
        <f t="shared" si="25"/>
        <v>0</v>
      </c>
      <c r="J76" s="1006">
        <f>IFERROR(G76*VLOOKUP(W76,livestock_intensity!$B$7:$I$29,8,FALSE)/Z76,0)</f>
        <v>0</v>
      </c>
      <c r="K76" s="933">
        <f>VLOOKUP($W76,feed_mix_n,MATCH(K$5,feed_mix_w!$B$5:$AC$5,0),FALSE)/$Z76*VLOOKUP(K$5,feed_intensity_w,11,FALSE)</f>
        <v>0</v>
      </c>
      <c r="L76" s="1486">
        <f t="shared" si="26"/>
        <v>0</v>
      </c>
      <c r="M76" s="1447">
        <f>IFERROR(G76*VLOOKUP(W76,livestock_intensity!$B$7:$M$29,12,FALSE)/Z76,0)</f>
        <v>0</v>
      </c>
      <c r="N76" s="933">
        <f>VLOOKUP($W76,feed_mix_n,MATCH(N$5,feed_mix_w!$B$5:$AC$5,0),FALSE)/$Z76*VLOOKUP(N$5,feed_intensity_w,11,FALSE)</f>
        <v>65.889200473545799</v>
      </c>
      <c r="O76" s="1486">
        <f t="shared" si="27"/>
        <v>34394.162647190904</v>
      </c>
      <c r="P76" s="939">
        <f>IFERROR(G76*VLOOKUP(W76,livestock_intensity!$B$7:$Q$29,16,FALSE)/Z76,0)</f>
        <v>12542.846777386172</v>
      </c>
      <c r="Q76" s="1530"/>
      <c r="R76" s="900">
        <f t="shared" si="28"/>
        <v>34394.162647190904</v>
      </c>
      <c r="S76" s="900">
        <f t="shared" si="29"/>
        <v>12542.846777386172</v>
      </c>
      <c r="T76" s="1483" t="s">
        <v>2862</v>
      </c>
      <c r="U76" s="1211" t="s">
        <v>2921</v>
      </c>
      <c r="V76" s="1212" t="str">
        <f>IFERROR(VLOOKUP(W76,constant_ag_extr!$D$7:$E$594,2,FALSE),"")</f>
        <v>Wool, greasy</v>
      </c>
      <c r="W76" s="1213">
        <f t="shared" si="30"/>
        <v>987</v>
      </c>
      <c r="X76" s="1099">
        <f>IFERROR(IF(VLOOKUP(B76,cnst_grazing!$C$10:$H$25,5,FALSE)="", IF(VLOOKUP(B76, cnst_grazing!$C$10:$H$25,3,FALSE)="", VLOOKUP(B76, cnst_grazing!$C$10:$H$25,4,FALSE),VLOOKUP(B76, cnst_grazing!$C$10:$H$25,3,FALSE)), VLOOKUP(B76,cnst_grazing!$C$10:$H$25,5,FALSE)),1)</f>
        <v>1</v>
      </c>
      <c r="Y76" s="1099">
        <f>IFERROR(IF(VLOOKUP(B76,cnst_grazing!$C$10:$H$25,6,FALSE)="", IF(VLOOKUP(B76, cnst_grazing!$C$10:$H$25,4,FALSE)="", VLOOKUP(B76, cnst_grazing!$C$10:$H$25,3,FALSE),VLOOKUP(B76, cnst_grazing!$C$10:$H$25,4,FALSE)), VLOOKUP(B76,cnst_grazing!$C$10:$H$25,6,FALSE)),1)</f>
        <v>1</v>
      </c>
      <c r="Z76" s="937">
        <f t="shared" si="31"/>
        <v>1.0294213169862934</v>
      </c>
      <c r="AA76" s="1487">
        <f t="shared" si="32"/>
        <v>65.889200473545799</v>
      </c>
      <c r="AB76" s="933">
        <f>VLOOKUP($W76,feed_mix_n,MATCH(AB$5,feed_mix_w!$B$5:$AC$5,0),FALSE)/$Z76*VLOOKUP(AB$5,feed_intensity_w,11,FALSE)</f>
        <v>0</v>
      </c>
      <c r="AC76" s="933">
        <f>VLOOKUP($W76,feed_mix_n,MATCH(AC$5,feed_mix_w!$B$5:$AC$5,0),FALSE)/$Z76*VLOOKUP(AC$5,feed_intensity_w,11,FALSE)</f>
        <v>0</v>
      </c>
      <c r="AD76" s="933">
        <f>VLOOKUP($W76,feed_mix_n,MATCH(AD$5,feed_mix_w!$B$5:$AC$5,0),FALSE)/$Z76*VLOOKUP(AD$5,feed_intensity_w,11,FALSE)</f>
        <v>0</v>
      </c>
      <c r="AE76" s="933">
        <f>VLOOKUP($W76,feed_mix_n,MATCH(AE$5,feed_mix_w!$B$5:$AC$5,0),FALSE)/$Z76*VLOOKUP(AE$5,feed_intensity_w,11,FALSE)</f>
        <v>0</v>
      </c>
      <c r="AF76" s="933">
        <f>VLOOKUP($W76,feed_mix_n,MATCH(AF$5,feed_mix_w!$B$5:$AC$5,0),FALSE)/$Z76*VLOOKUP(AF$5,feed_intensity_w,11,FALSE)</f>
        <v>0</v>
      </c>
      <c r="AG76" s="933">
        <f>VLOOKUP($W76,feed_mix_n,MATCH(AG$5,feed_mix_w!$B$5:$AC$5,0),FALSE)/$Z76*VLOOKUP(AG$5,feed_intensity_w,11,FALSE)</f>
        <v>0</v>
      </c>
      <c r="AH76" s="933">
        <f>VLOOKUP($W76,feed_mix_n,MATCH(AH$5,feed_mix_w!$B$5:$AC$5,0),FALSE)/$Z76*VLOOKUP(AH$5,feed_intensity_w,11,FALSE)</f>
        <v>0</v>
      </c>
      <c r="AI76" s="933">
        <f>VLOOKUP($W76,feed_mix_n,MATCH(AI$5,feed_mix_w!$B$5:$AC$5,0),FALSE)/$Z76*VLOOKUP(AI$5,feed_intensity_w,11,FALSE)</f>
        <v>0</v>
      </c>
      <c r="AJ76" s="933">
        <f>VLOOKUP($W76,feed_mix_n,MATCH(AJ$5,feed_mix_w!$B$5:$AC$5,0),FALSE)/$Z76*VLOOKUP(AJ$5,feed_intensity_w,11,FALSE)</f>
        <v>0</v>
      </c>
      <c r="AK76" s="933">
        <f>VLOOKUP($W76,feed_mix_n,MATCH(AK$5,feed_mix_w!$B$5:$AC$5,0),FALSE)/$Z76*VLOOKUP(AK$5,feed_intensity_w,11,FALSE)</f>
        <v>0</v>
      </c>
      <c r="AL76" s="933">
        <f>VLOOKUP($W76,feed_mix_n,MATCH(AL$5,feed_mix_w!$B$5:$AC$5,0),FALSE)/$Z76*VLOOKUP(AL$5,feed_intensity_w,11,FALSE)</f>
        <v>0</v>
      </c>
      <c r="AM76" s="933">
        <f>VLOOKUP($W76,feed_mix_n,MATCH(AM$5,feed_mix_w!$B$5:$AC$5,0),FALSE)/$Z76*VLOOKUP(AM$5,feed_intensity_w,11,FALSE)</f>
        <v>0</v>
      </c>
      <c r="AN76" s="933">
        <f>VLOOKUP($W76,feed_mix_n,MATCH(AN$5,feed_mix_w!$B$5:$AC$5,0),FALSE)/$Z76*VLOOKUP(AN$5,feed_intensity_w,11,FALSE)</f>
        <v>0</v>
      </c>
      <c r="AO76" s="933">
        <f>VLOOKUP($W76,feed_mix_n,MATCH(AO$5,feed_mix_w!$B$5:$AC$5,0),FALSE)/$Z76*VLOOKUP(AO$5,feed_intensity_w,11,FALSE)</f>
        <v>0</v>
      </c>
      <c r="AP76" s="933">
        <f>VLOOKUP($W76,feed_mix_n,MATCH(AP$5,feed_mix_w!$B$5:$AC$5,0),FALSE)/$Z76*VLOOKUP(AP$5,feed_intensity_w,11,FALSE)</f>
        <v>0</v>
      </c>
      <c r="AQ76" s="933">
        <f>VLOOKUP($W76,feed_mix_n,MATCH(AQ$5,feed_mix_w!$B$5:$AC$5,0),FALSE)/$Z76*VLOOKUP(AQ$5,feed_intensity_w,11,FALSE)</f>
        <v>0</v>
      </c>
      <c r="AR76" s="933">
        <f>VLOOKUP($W76,feed_mix_n,MATCH(AR$5,feed_mix_w!$B$5:$AC$5,0),FALSE)/$Z76*VLOOKUP(AR$5,feed_intensity_w,11,FALSE)</f>
        <v>0</v>
      </c>
      <c r="AS76" s="1105">
        <f>VLOOKUP($W76,feed_mix_n,MATCH(AS$5,feed_mix_w!$B$5:$AC$5,0),FALSE)/$Z76*VLOOKUP(AS$5,feed_intensity_w,11,FALSE)</f>
        <v>0</v>
      </c>
    </row>
    <row r="77" spans="1:45" ht="12.75" customHeight="1">
      <c r="A77" s="1008" t="s">
        <v>408</v>
      </c>
      <c r="B77" s="1102">
        <v>1016</v>
      </c>
      <c r="C77" s="1103">
        <v>104.2</v>
      </c>
      <c r="D77" s="1158">
        <v>56</v>
      </c>
      <c r="E77" s="1158">
        <v>5386</v>
      </c>
      <c r="F77" s="1012">
        <f t="shared" si="22"/>
        <v>1.0038423651521888</v>
      </c>
      <c r="G77" s="1012">
        <f t="shared" si="23"/>
        <v>79.777935569867495</v>
      </c>
      <c r="H77" s="933">
        <f t="shared" si="24"/>
        <v>0</v>
      </c>
      <c r="I77" s="1486">
        <f t="shared" si="25"/>
        <v>0</v>
      </c>
      <c r="J77" s="1006">
        <f>IFERROR(G77*VLOOKUP(W77,livestock_intensity!$B$7:$I$29,8,FALSE)/Z77,0)</f>
        <v>0</v>
      </c>
      <c r="K77" s="933">
        <f>VLOOKUP($W77,feed_mix_n,MATCH(K$5,feed_mix_w!$B$5:$AC$5,0),FALSE)/$Z77*VLOOKUP(K$5,feed_intensity_w,11,FALSE)</f>
        <v>0</v>
      </c>
      <c r="L77" s="1486">
        <f t="shared" si="26"/>
        <v>0</v>
      </c>
      <c r="M77" s="1447">
        <f>IFERROR(G77*VLOOKUP(W77,livestock_intensity!$B$7:$M$29,12,FALSE)/Z77,0)</f>
        <v>0</v>
      </c>
      <c r="N77" s="933">
        <f>VLOOKUP($W77,feed_mix_n,MATCH(N$5,feed_mix_w!$B$5:$AC$5,0),FALSE)/$Z77*VLOOKUP(N$5,feed_intensity_w,11,FALSE)</f>
        <v>14.663685217413287</v>
      </c>
      <c r="O77" s="1486">
        <f t="shared" si="27"/>
        <v>14.720028450495342</v>
      </c>
      <c r="P77" s="939">
        <f>IFERROR(G77*VLOOKUP(W77,livestock_intensity!$B$7:$Q$29,16,FALSE)/Z77,0)</f>
        <v>1216.3821447892542</v>
      </c>
      <c r="Q77" s="1530"/>
      <c r="R77" s="900">
        <f t="shared" si="28"/>
        <v>14.720028450495342</v>
      </c>
      <c r="S77" s="900">
        <f t="shared" si="29"/>
        <v>1216.3821447892542</v>
      </c>
      <c r="T77" s="1483" t="s">
        <v>2862</v>
      </c>
      <c r="U77" s="1211" t="s">
        <v>415</v>
      </c>
      <c r="V77" s="1212" t="str">
        <f>IFERROR(VLOOKUP(W77,constant_ag_extr!$D$7:$E$594,2,FALSE),"")</f>
        <v>Goats</v>
      </c>
      <c r="W77" s="1213">
        <f t="shared" si="30"/>
        <v>1016</v>
      </c>
      <c r="X77" s="1099">
        <f>IFERROR(IF(VLOOKUP(B77,cnst_grazing!$C$10:$H$25,5,FALSE)="", IF(VLOOKUP(B77, cnst_grazing!$C$10:$H$25,3,FALSE)="", VLOOKUP(B77, cnst_grazing!$C$10:$H$25,4,FALSE),VLOOKUP(B77, cnst_grazing!$C$10:$H$25,3,FALSE)), VLOOKUP(B77,cnst_grazing!$C$10:$H$25,5,FALSE)),1)</f>
        <v>1.79257565205748E-2</v>
      </c>
      <c r="Y77" s="1099">
        <f>IFERROR(IF(VLOOKUP(B77,cnst_grazing!$C$10:$H$25,6,FALSE)="", IF(VLOOKUP(B77, cnst_grazing!$C$10:$H$25,4,FALSE)="", VLOOKUP(B77, cnst_grazing!$C$10:$H$25,3,FALSE),VLOOKUP(B77, cnst_grazing!$C$10:$H$25,4,FALSE)), VLOOKUP(B77,cnst_grazing!$C$10:$H$25,6,FALSE)),1)</f>
        <v>1.4812093496076401E-2</v>
      </c>
      <c r="Z77" s="937">
        <f t="shared" si="31"/>
        <v>1</v>
      </c>
      <c r="AA77" s="1487">
        <f t="shared" si="32"/>
        <v>14.663685217413287</v>
      </c>
      <c r="AB77" s="933">
        <f>VLOOKUP($W77,feed_mix_n,MATCH(AB$5,feed_mix_w!$B$5:$AC$5,0),FALSE)/$Z77*VLOOKUP(AB$5,feed_intensity_w,11,FALSE)</f>
        <v>0</v>
      </c>
      <c r="AC77" s="933">
        <f>VLOOKUP($W77,feed_mix_n,MATCH(AC$5,feed_mix_w!$B$5:$AC$5,0),FALSE)/$Z77*VLOOKUP(AC$5,feed_intensity_w,11,FALSE)</f>
        <v>0</v>
      </c>
      <c r="AD77" s="933">
        <f>VLOOKUP($W77,feed_mix_n,MATCH(AD$5,feed_mix_w!$B$5:$AC$5,0),FALSE)/$Z77*VLOOKUP(AD$5,feed_intensity_w,11,FALSE)</f>
        <v>0</v>
      </c>
      <c r="AE77" s="933">
        <f>VLOOKUP($W77,feed_mix_n,MATCH(AE$5,feed_mix_w!$B$5:$AC$5,0),FALSE)/$Z77*VLOOKUP(AE$5,feed_intensity_w,11,FALSE)</f>
        <v>0</v>
      </c>
      <c r="AF77" s="933">
        <f>VLOOKUP($W77,feed_mix_n,MATCH(AF$5,feed_mix_w!$B$5:$AC$5,0),FALSE)/$Z77*VLOOKUP(AF$5,feed_intensity_w,11,FALSE)</f>
        <v>0</v>
      </c>
      <c r="AG77" s="933">
        <f>VLOOKUP($W77,feed_mix_n,MATCH(AG$5,feed_mix_w!$B$5:$AC$5,0),FALSE)/$Z77*VLOOKUP(AG$5,feed_intensity_w,11,FALSE)</f>
        <v>0</v>
      </c>
      <c r="AH77" s="933">
        <f>VLOOKUP($W77,feed_mix_n,MATCH(AH$5,feed_mix_w!$B$5:$AC$5,0),FALSE)/$Z77*VLOOKUP(AH$5,feed_intensity_w,11,FALSE)</f>
        <v>0</v>
      </c>
      <c r="AI77" s="933">
        <f>VLOOKUP($W77,feed_mix_n,MATCH(AI$5,feed_mix_w!$B$5:$AC$5,0),FALSE)/$Z77*VLOOKUP(AI$5,feed_intensity_w,11,FALSE)</f>
        <v>0</v>
      </c>
      <c r="AJ77" s="933">
        <f>VLOOKUP($W77,feed_mix_n,MATCH(AJ$5,feed_mix_w!$B$5:$AC$5,0),FALSE)/$Z77*VLOOKUP(AJ$5,feed_intensity_w,11,FALSE)</f>
        <v>0</v>
      </c>
      <c r="AK77" s="933">
        <f>VLOOKUP($W77,feed_mix_n,MATCH(AK$5,feed_mix_w!$B$5:$AC$5,0),FALSE)/$Z77*VLOOKUP(AK$5,feed_intensity_w,11,FALSE)</f>
        <v>0</v>
      </c>
      <c r="AL77" s="933">
        <f>VLOOKUP($W77,feed_mix_n,MATCH(AL$5,feed_mix_w!$B$5:$AC$5,0),FALSE)/$Z77*VLOOKUP(AL$5,feed_intensity_w,11,FALSE)</f>
        <v>0</v>
      </c>
      <c r="AM77" s="933">
        <f>VLOOKUP($W77,feed_mix_n,MATCH(AM$5,feed_mix_w!$B$5:$AC$5,0),FALSE)/$Z77*VLOOKUP(AM$5,feed_intensity_w,11,FALSE)</f>
        <v>0</v>
      </c>
      <c r="AN77" s="933">
        <f>VLOOKUP($W77,feed_mix_n,MATCH(AN$5,feed_mix_w!$B$5:$AC$5,0),FALSE)/$Z77*VLOOKUP(AN$5,feed_intensity_w,11,FALSE)</f>
        <v>0</v>
      </c>
      <c r="AO77" s="933">
        <f>VLOOKUP($W77,feed_mix_n,MATCH(AO$5,feed_mix_w!$B$5:$AC$5,0),FALSE)/$Z77*VLOOKUP(AO$5,feed_intensity_w,11,FALSE)</f>
        <v>0</v>
      </c>
      <c r="AP77" s="933">
        <f>VLOOKUP($W77,feed_mix_n,MATCH(AP$5,feed_mix_w!$B$5:$AC$5,0),FALSE)/$Z77*VLOOKUP(AP$5,feed_intensity_w,11,FALSE)</f>
        <v>0</v>
      </c>
      <c r="AQ77" s="933">
        <f>VLOOKUP($W77,feed_mix_n,MATCH(AQ$5,feed_mix_w!$B$5:$AC$5,0),FALSE)/$Z77*VLOOKUP(AQ$5,feed_intensity_w,11,FALSE)</f>
        <v>0</v>
      </c>
      <c r="AR77" s="933">
        <f>VLOOKUP($W77,feed_mix_n,MATCH(AR$5,feed_mix_w!$B$5:$AC$5,0),FALSE)/$Z77*VLOOKUP(AR$5,feed_intensity_w,11,FALSE)</f>
        <v>0</v>
      </c>
      <c r="AS77" s="1105">
        <f>VLOOKUP($W77,feed_mix_n,MATCH(AS$5,feed_mix_w!$B$5:$AC$5,0),FALSE)/$Z77*VLOOKUP(AS$5,feed_intensity_w,11,FALSE)</f>
        <v>0</v>
      </c>
    </row>
    <row r="78" spans="1:45" ht="12.75" customHeight="1">
      <c r="A78" s="1008" t="s">
        <v>7382</v>
      </c>
      <c r="B78" s="1102">
        <v>1017</v>
      </c>
      <c r="C78" s="1103">
        <v>204.5</v>
      </c>
      <c r="D78" s="1158">
        <v>15921</v>
      </c>
      <c r="E78" s="1158">
        <v>204</v>
      </c>
      <c r="F78" s="1012">
        <f t="shared" si="22"/>
        <v>15921</v>
      </c>
      <c r="G78" s="1012">
        <f t="shared" si="23"/>
        <v>204</v>
      </c>
      <c r="H78" s="933">
        <f t="shared" si="24"/>
        <v>0</v>
      </c>
      <c r="I78" s="1486">
        <f t="shared" si="25"/>
        <v>0</v>
      </c>
      <c r="J78" s="1006">
        <f>IFERROR(G78*VLOOKUP(W78,livestock_intensity!$B$7:$I$29,8,FALSE)/Z78,0)</f>
        <v>0</v>
      </c>
      <c r="K78" s="933">
        <f>VLOOKUP($W78,feed_mix_n,MATCH(K$5,feed_mix_w!$B$5:$AC$5,0),FALSE)/$Z78*VLOOKUP(K$5,feed_intensity_w,11,FALSE)</f>
        <v>0</v>
      </c>
      <c r="L78" s="1486">
        <f t="shared" si="26"/>
        <v>0</v>
      </c>
      <c r="M78" s="1447">
        <f>IFERROR(G78*VLOOKUP(W78,livestock_intensity!$B$7:$M$29,12,FALSE)/Z78,0)</f>
        <v>0</v>
      </c>
      <c r="N78" s="933">
        <f>VLOOKUP($W78,feed_mix_n,MATCH(N$5,feed_mix_w!$B$5:$AC$5,0),FALSE)/$Z78*VLOOKUP(N$5,feed_intensity_w,11,FALSE)</f>
        <v>25.408469571691203</v>
      </c>
      <c r="O78" s="1486">
        <f t="shared" si="27"/>
        <v>404528.24405089562</v>
      </c>
      <c r="P78" s="939">
        <f>IFERROR(G78*VLOOKUP(W78,livestock_intensity!$B$7:$Q$29,16,FALSE)/Z78,0)</f>
        <v>5389.553508150525</v>
      </c>
      <c r="Q78" s="1530"/>
      <c r="R78" s="900">
        <f t="shared" si="28"/>
        <v>404528.24405089562</v>
      </c>
      <c r="S78" s="900">
        <f t="shared" si="29"/>
        <v>5389.553508150525</v>
      </c>
      <c r="T78" s="1483">
        <v>2732</v>
      </c>
      <c r="U78" s="1211" t="s">
        <v>2921</v>
      </c>
      <c r="V78" s="1212" t="str">
        <f>IFERROR(VLOOKUP(W78,constant_ag_extr!$D$7:$E$594,2,FALSE),"")</f>
        <v>Goats</v>
      </c>
      <c r="W78" s="1213">
        <f t="shared" si="30"/>
        <v>1016</v>
      </c>
      <c r="X78" s="1099">
        <f>IFERROR(IF(VLOOKUP(B78,cnst_grazing!$C$10:$H$25,5,FALSE)="", IF(VLOOKUP(B78, cnst_grazing!$C$10:$H$25,3,FALSE)="", VLOOKUP(B78, cnst_grazing!$C$10:$H$25,4,FALSE),VLOOKUP(B78, cnst_grazing!$C$10:$H$25,3,FALSE)), VLOOKUP(B78,cnst_grazing!$C$10:$H$25,5,FALSE)),1)</f>
        <v>1</v>
      </c>
      <c r="Y78" s="1099">
        <f>IFERROR(IF(VLOOKUP(B78,cnst_grazing!$C$10:$H$25,6,FALSE)="", IF(VLOOKUP(B78, cnst_grazing!$C$10:$H$25,4,FALSE)="", VLOOKUP(B78, cnst_grazing!$C$10:$H$25,3,FALSE),VLOOKUP(B78, cnst_grazing!$C$10:$H$25,4,FALSE)), VLOOKUP(B78,cnst_grazing!$C$10:$H$25,6,FALSE)),1)</f>
        <v>1</v>
      </c>
      <c r="Z78" s="937">
        <f t="shared" si="31"/>
        <v>0.57711800295720295</v>
      </c>
      <c r="AA78" s="1487">
        <f t="shared" si="32"/>
        <v>25.408469571691203</v>
      </c>
      <c r="AB78" s="933">
        <f>VLOOKUP($W78,feed_mix_n,MATCH(AB$5,feed_mix_w!$B$5:$AC$5,0),FALSE)/$Z78*VLOOKUP(AB$5,feed_intensity_w,11,FALSE)</f>
        <v>0</v>
      </c>
      <c r="AC78" s="933">
        <f>VLOOKUP($W78,feed_mix_n,MATCH(AC$5,feed_mix_w!$B$5:$AC$5,0),FALSE)/$Z78*VLOOKUP(AC$5,feed_intensity_w,11,FALSE)</f>
        <v>0</v>
      </c>
      <c r="AD78" s="933">
        <f>VLOOKUP($W78,feed_mix_n,MATCH(AD$5,feed_mix_w!$B$5:$AC$5,0),FALSE)/$Z78*VLOOKUP(AD$5,feed_intensity_w,11,FALSE)</f>
        <v>0</v>
      </c>
      <c r="AE78" s="933">
        <f>VLOOKUP($W78,feed_mix_n,MATCH(AE$5,feed_mix_w!$B$5:$AC$5,0),FALSE)/$Z78*VLOOKUP(AE$5,feed_intensity_w,11,FALSE)</f>
        <v>0</v>
      </c>
      <c r="AF78" s="933">
        <f>VLOOKUP($W78,feed_mix_n,MATCH(AF$5,feed_mix_w!$B$5:$AC$5,0),FALSE)/$Z78*VLOOKUP(AF$5,feed_intensity_w,11,FALSE)</f>
        <v>0</v>
      </c>
      <c r="AG78" s="933">
        <f>VLOOKUP($W78,feed_mix_n,MATCH(AG$5,feed_mix_w!$B$5:$AC$5,0),FALSE)/$Z78*VLOOKUP(AG$5,feed_intensity_w,11,FALSE)</f>
        <v>0</v>
      </c>
      <c r="AH78" s="933">
        <f>VLOOKUP($W78,feed_mix_n,MATCH(AH$5,feed_mix_w!$B$5:$AC$5,0),FALSE)/$Z78*VLOOKUP(AH$5,feed_intensity_w,11,FALSE)</f>
        <v>0</v>
      </c>
      <c r="AI78" s="933">
        <f>VLOOKUP($W78,feed_mix_n,MATCH(AI$5,feed_mix_w!$B$5:$AC$5,0),FALSE)/$Z78*VLOOKUP(AI$5,feed_intensity_w,11,FALSE)</f>
        <v>0</v>
      </c>
      <c r="AJ78" s="933">
        <f>VLOOKUP($W78,feed_mix_n,MATCH(AJ$5,feed_mix_w!$B$5:$AC$5,0),FALSE)/$Z78*VLOOKUP(AJ$5,feed_intensity_w,11,FALSE)</f>
        <v>0</v>
      </c>
      <c r="AK78" s="933">
        <f>VLOOKUP($W78,feed_mix_n,MATCH(AK$5,feed_mix_w!$B$5:$AC$5,0),FALSE)/$Z78*VLOOKUP(AK$5,feed_intensity_w,11,FALSE)</f>
        <v>0</v>
      </c>
      <c r="AL78" s="933">
        <f>VLOOKUP($W78,feed_mix_n,MATCH(AL$5,feed_mix_w!$B$5:$AC$5,0),FALSE)/$Z78*VLOOKUP(AL$5,feed_intensity_w,11,FALSE)</f>
        <v>0</v>
      </c>
      <c r="AM78" s="933">
        <f>VLOOKUP($W78,feed_mix_n,MATCH(AM$5,feed_mix_w!$B$5:$AC$5,0),FALSE)/$Z78*VLOOKUP(AM$5,feed_intensity_w,11,FALSE)</f>
        <v>0</v>
      </c>
      <c r="AN78" s="933">
        <f>VLOOKUP($W78,feed_mix_n,MATCH(AN$5,feed_mix_w!$B$5:$AC$5,0),FALSE)/$Z78*VLOOKUP(AN$5,feed_intensity_w,11,FALSE)</f>
        <v>0</v>
      </c>
      <c r="AO78" s="933">
        <f>VLOOKUP($W78,feed_mix_n,MATCH(AO$5,feed_mix_w!$B$5:$AC$5,0),FALSE)/$Z78*VLOOKUP(AO$5,feed_intensity_w,11,FALSE)</f>
        <v>0</v>
      </c>
      <c r="AP78" s="933">
        <f>VLOOKUP($W78,feed_mix_n,MATCH(AP$5,feed_mix_w!$B$5:$AC$5,0),FALSE)/$Z78*VLOOKUP(AP$5,feed_intensity_w,11,FALSE)</f>
        <v>0</v>
      </c>
      <c r="AQ78" s="933">
        <f>VLOOKUP($W78,feed_mix_n,MATCH(AQ$5,feed_mix_w!$B$5:$AC$5,0),FALSE)/$Z78*VLOOKUP(AQ$5,feed_intensity_w,11,FALSE)</f>
        <v>0</v>
      </c>
      <c r="AR78" s="933">
        <f>VLOOKUP($W78,feed_mix_n,MATCH(AR$5,feed_mix_w!$B$5:$AC$5,0),FALSE)/$Z78*VLOOKUP(AR$5,feed_intensity_w,11,FALSE)</f>
        <v>0</v>
      </c>
      <c r="AS78" s="1105">
        <f>VLOOKUP($W78,feed_mix_n,MATCH(AS$5,feed_mix_w!$B$5:$AC$5,0),FALSE)/$Z78*VLOOKUP(AS$5,feed_intensity_w,11,FALSE)</f>
        <v>0</v>
      </c>
    </row>
    <row r="79" spans="1:45" ht="12.75" customHeight="1">
      <c r="A79" s="1008" t="s">
        <v>7383</v>
      </c>
      <c r="B79" s="1102">
        <v>1018</v>
      </c>
      <c r="C79" s="1103" t="s">
        <v>687</v>
      </c>
      <c r="D79" s="1158"/>
      <c r="E79" s="1158"/>
      <c r="F79" s="1012">
        <f t="shared" si="22"/>
        <v>0</v>
      </c>
      <c r="G79" s="1012">
        <f t="shared" si="23"/>
        <v>0</v>
      </c>
      <c r="H79" s="933">
        <f t="shared" si="24"/>
        <v>0</v>
      </c>
      <c r="I79" s="1486">
        <f t="shared" si="25"/>
        <v>0</v>
      </c>
      <c r="J79" s="1006">
        <f>IFERROR(G79*VLOOKUP(W79,livestock_intensity!$B$7:$I$29,8,FALSE)/Z79,0)</f>
        <v>0</v>
      </c>
      <c r="K79" s="933">
        <f>VLOOKUP($W79,feed_mix_n,MATCH(K$5,feed_mix_w!$B$5:$AC$5,0),FALSE)/$Z79*VLOOKUP(K$5,feed_intensity_w,11,FALSE)</f>
        <v>0</v>
      </c>
      <c r="L79" s="1486">
        <f t="shared" si="26"/>
        <v>0</v>
      </c>
      <c r="M79" s="1447">
        <f>IFERROR(G79*VLOOKUP(W79,livestock_intensity!$B$7:$M$29,12,FALSE)/Z79,0)</f>
        <v>0</v>
      </c>
      <c r="N79" s="933">
        <f>VLOOKUP($W79,feed_mix_n,MATCH(N$5,feed_mix_w!$B$5:$AC$5,0),FALSE)/$Z79*VLOOKUP(N$5,feed_intensity_w,11,FALSE)</f>
        <v>1.51254872870877</v>
      </c>
      <c r="O79" s="1486">
        <f t="shared" si="27"/>
        <v>0</v>
      </c>
      <c r="P79" s="939">
        <f>IFERROR(G79*VLOOKUP(W79,livestock_intensity!$B$7:$Q$29,16,FALSE)/Z79,0)</f>
        <v>0</v>
      </c>
      <c r="Q79" s="1530"/>
      <c r="R79" s="900">
        <f t="shared" si="28"/>
        <v>0</v>
      </c>
      <c r="S79" s="900">
        <f t="shared" si="29"/>
        <v>0</v>
      </c>
      <c r="T79" s="1483">
        <v>2736</v>
      </c>
      <c r="U79" s="1211" t="s">
        <v>2921</v>
      </c>
      <c r="V79" s="1212" t="str">
        <f>IFERROR(VLOOKUP(W79,constant_ag_extr!$D$7:$E$594,2,FALSE),"")</f>
        <v>Goats</v>
      </c>
      <c r="W79" s="1213">
        <f t="shared" si="30"/>
        <v>1016</v>
      </c>
      <c r="X79" s="1099">
        <f>IFERROR(IF(VLOOKUP(B79,cnst_grazing!$C$10:$H$25,5,FALSE)="", IF(VLOOKUP(B79, cnst_grazing!$C$10:$H$25,3,FALSE)="", VLOOKUP(B79, cnst_grazing!$C$10:$H$25,4,FALSE),VLOOKUP(B79, cnst_grazing!$C$10:$H$25,3,FALSE)), VLOOKUP(B79,cnst_grazing!$C$10:$H$25,5,FALSE)),1)</f>
        <v>1</v>
      </c>
      <c r="Y79" s="1099">
        <f>IFERROR(IF(VLOOKUP(B79,cnst_grazing!$C$10:$H$25,6,FALSE)="", IF(VLOOKUP(B79, cnst_grazing!$C$10:$H$25,4,FALSE)="", VLOOKUP(B79, cnst_grazing!$C$10:$H$25,3,FALSE),VLOOKUP(B79, cnst_grazing!$C$10:$H$25,4,FALSE)), VLOOKUP(B79,cnst_grazing!$C$10:$H$25,6,FALSE)),1)</f>
        <v>1</v>
      </c>
      <c r="Z79" s="937">
        <f t="shared" si="31"/>
        <v>9.6946861539669911</v>
      </c>
      <c r="AA79" s="1487">
        <f t="shared" si="32"/>
        <v>1.51254872870877</v>
      </c>
      <c r="AB79" s="933">
        <f>VLOOKUP($W79,feed_mix_n,MATCH(AB$5,feed_mix_w!$B$5:$AC$5,0),FALSE)/$Z79*VLOOKUP(AB$5,feed_intensity_w,11,FALSE)</f>
        <v>0</v>
      </c>
      <c r="AC79" s="933">
        <f>VLOOKUP($W79,feed_mix_n,MATCH(AC$5,feed_mix_w!$B$5:$AC$5,0),FALSE)/$Z79*VLOOKUP(AC$5,feed_intensity_w,11,FALSE)</f>
        <v>0</v>
      </c>
      <c r="AD79" s="933">
        <f>VLOOKUP($W79,feed_mix_n,MATCH(AD$5,feed_mix_w!$B$5:$AC$5,0),FALSE)/$Z79*VLOOKUP(AD$5,feed_intensity_w,11,FALSE)</f>
        <v>0</v>
      </c>
      <c r="AE79" s="933">
        <f>VLOOKUP($W79,feed_mix_n,MATCH(AE$5,feed_mix_w!$B$5:$AC$5,0),FALSE)/$Z79*VLOOKUP(AE$5,feed_intensity_w,11,FALSE)</f>
        <v>0</v>
      </c>
      <c r="AF79" s="933">
        <f>VLOOKUP($W79,feed_mix_n,MATCH(AF$5,feed_mix_w!$B$5:$AC$5,0),FALSE)/$Z79*VLOOKUP(AF$5,feed_intensity_w,11,FALSE)</f>
        <v>0</v>
      </c>
      <c r="AG79" s="933">
        <f>VLOOKUP($W79,feed_mix_n,MATCH(AG$5,feed_mix_w!$B$5:$AC$5,0),FALSE)/$Z79*VLOOKUP(AG$5,feed_intensity_w,11,FALSE)</f>
        <v>0</v>
      </c>
      <c r="AH79" s="933">
        <f>VLOOKUP($W79,feed_mix_n,MATCH(AH$5,feed_mix_w!$B$5:$AC$5,0),FALSE)/$Z79*VLOOKUP(AH$5,feed_intensity_w,11,FALSE)</f>
        <v>0</v>
      </c>
      <c r="AI79" s="933">
        <f>VLOOKUP($W79,feed_mix_n,MATCH(AI$5,feed_mix_w!$B$5:$AC$5,0),FALSE)/$Z79*VLOOKUP(AI$5,feed_intensity_w,11,FALSE)</f>
        <v>0</v>
      </c>
      <c r="AJ79" s="933">
        <f>VLOOKUP($W79,feed_mix_n,MATCH(AJ$5,feed_mix_w!$B$5:$AC$5,0),FALSE)/$Z79*VLOOKUP(AJ$5,feed_intensity_w,11,FALSE)</f>
        <v>0</v>
      </c>
      <c r="AK79" s="933">
        <f>VLOOKUP($W79,feed_mix_n,MATCH(AK$5,feed_mix_w!$B$5:$AC$5,0),FALSE)/$Z79*VLOOKUP(AK$5,feed_intensity_w,11,FALSE)</f>
        <v>0</v>
      </c>
      <c r="AL79" s="933">
        <f>VLOOKUP($W79,feed_mix_n,MATCH(AL$5,feed_mix_w!$B$5:$AC$5,0),FALSE)/$Z79*VLOOKUP(AL$5,feed_intensity_w,11,FALSE)</f>
        <v>0</v>
      </c>
      <c r="AM79" s="933">
        <f>VLOOKUP($W79,feed_mix_n,MATCH(AM$5,feed_mix_w!$B$5:$AC$5,0),FALSE)/$Z79*VLOOKUP(AM$5,feed_intensity_w,11,FALSE)</f>
        <v>0</v>
      </c>
      <c r="AN79" s="933">
        <f>VLOOKUP($W79,feed_mix_n,MATCH(AN$5,feed_mix_w!$B$5:$AC$5,0),FALSE)/$Z79*VLOOKUP(AN$5,feed_intensity_w,11,FALSE)</f>
        <v>0</v>
      </c>
      <c r="AO79" s="933">
        <f>VLOOKUP($W79,feed_mix_n,MATCH(AO$5,feed_mix_w!$B$5:$AC$5,0),FALSE)/$Z79*VLOOKUP(AO$5,feed_intensity_w,11,FALSE)</f>
        <v>0</v>
      </c>
      <c r="AP79" s="933">
        <f>VLOOKUP($W79,feed_mix_n,MATCH(AP$5,feed_mix_w!$B$5:$AC$5,0),FALSE)/$Z79*VLOOKUP(AP$5,feed_intensity_w,11,FALSE)</f>
        <v>0</v>
      </c>
      <c r="AQ79" s="933">
        <f>VLOOKUP($W79,feed_mix_n,MATCH(AQ$5,feed_mix_w!$B$5:$AC$5,0),FALSE)/$Z79*VLOOKUP(AQ$5,feed_intensity_w,11,FALSE)</f>
        <v>0</v>
      </c>
      <c r="AR79" s="933">
        <f>VLOOKUP($W79,feed_mix_n,MATCH(AR$5,feed_mix_w!$B$5:$AC$5,0),FALSE)/$Z79*VLOOKUP(AR$5,feed_intensity_w,11,FALSE)</f>
        <v>0</v>
      </c>
      <c r="AS79" s="1105">
        <f>VLOOKUP($W79,feed_mix_n,MATCH(AS$5,feed_mix_w!$B$5:$AC$5,0),FALSE)/$Z79*VLOOKUP(AS$5,feed_intensity_w,11,FALSE)</f>
        <v>0</v>
      </c>
    </row>
    <row r="80" spans="1:45" ht="12.75" customHeight="1">
      <c r="A80" s="1008" t="s">
        <v>7384</v>
      </c>
      <c r="B80" s="1102">
        <v>1020</v>
      </c>
      <c r="C80" s="1103"/>
      <c r="D80" s="1158"/>
      <c r="E80" s="1158"/>
      <c r="F80" s="1012">
        <f t="shared" si="22"/>
        <v>0</v>
      </c>
      <c r="G80" s="1012">
        <f t="shared" si="23"/>
        <v>0</v>
      </c>
      <c r="H80" s="933" t="e">
        <f t="shared" si="24"/>
        <v>#N/A</v>
      </c>
      <c r="I80" s="1486">
        <f t="shared" si="25"/>
        <v>0</v>
      </c>
      <c r="J80" s="1006">
        <f>IFERROR(G80*VLOOKUP(W80,livestock_intensity!$B$7:$I$29,8,FALSE)/Z80,0)</f>
        <v>0</v>
      </c>
      <c r="K80" s="933" t="e">
        <f>VLOOKUP($W80,feed_mix_n,MATCH(K$5,feed_mix_w!$B$5:$AC$5,0),FALSE)/$Z80*VLOOKUP(K$5,feed_intensity_w,11,FALSE)</f>
        <v>#N/A</v>
      </c>
      <c r="L80" s="1486">
        <f t="shared" si="26"/>
        <v>0</v>
      </c>
      <c r="M80" s="1447">
        <f>IFERROR(G80*VLOOKUP(W80,livestock_intensity!$B$7:$M$29,12,FALSE)/Z80,0)</f>
        <v>0</v>
      </c>
      <c r="N80" s="933" t="e">
        <f>VLOOKUP($W80,feed_mix_n,MATCH(N$5,feed_mix_w!$B$5:$AC$5,0),FALSE)/$Z80*VLOOKUP(N$5,feed_intensity_w,11,FALSE)</f>
        <v>#N/A</v>
      </c>
      <c r="O80" s="1486">
        <f t="shared" si="27"/>
        <v>0</v>
      </c>
      <c r="P80" s="939">
        <f>IFERROR(G80*VLOOKUP(W80,livestock_intensity!$B$7:$Q$29,16,FALSE)/Z80,0)</f>
        <v>0</v>
      </c>
      <c r="Q80" s="1530"/>
      <c r="R80" s="900">
        <f t="shared" si="28"/>
        <v>0</v>
      </c>
      <c r="S80" s="900">
        <f t="shared" si="29"/>
        <v>0</v>
      </c>
      <c r="T80" s="1483" t="s">
        <v>2862</v>
      </c>
      <c r="U80" s="1211" t="s">
        <v>415</v>
      </c>
      <c r="V80" s="1212" t="str">
        <f>IFERROR(VLOOKUP(W80,constant_ag_extr!$D$7:$E$594,2,FALSE),"")</f>
        <v>Goat milk, whole, fresh</v>
      </c>
      <c r="W80" s="1213">
        <f t="shared" si="30"/>
        <v>1020</v>
      </c>
      <c r="X80" s="1099">
        <f>IFERROR(IF(VLOOKUP(B80,cnst_grazing!$C$10:$H$25,5,FALSE)="", IF(VLOOKUP(B80, cnst_grazing!$C$10:$H$25,3,FALSE)="", VLOOKUP(B80, cnst_grazing!$C$10:$H$25,4,FALSE),VLOOKUP(B80, cnst_grazing!$C$10:$H$25,3,FALSE)), VLOOKUP(B80,cnst_grazing!$C$10:$H$25,5,FALSE)),1)</f>
        <v>1</v>
      </c>
      <c r="Y80" s="1099">
        <f>IFERROR(IF(VLOOKUP(B80,cnst_grazing!$C$10:$H$25,6,FALSE)="", IF(VLOOKUP(B80, cnst_grazing!$C$10:$H$25,4,FALSE)="", VLOOKUP(B80, cnst_grazing!$C$10:$H$25,3,FALSE),VLOOKUP(B80, cnst_grazing!$C$10:$H$25,4,FALSE)), VLOOKUP(B80,cnst_grazing!$C$10:$H$25,6,FALSE)),1)</f>
        <v>1</v>
      </c>
      <c r="Z80" s="937">
        <f t="shared" si="31"/>
        <v>1</v>
      </c>
      <c r="AA80" s="1487" t="e">
        <f t="shared" si="32"/>
        <v>#N/A</v>
      </c>
      <c r="AB80" s="933" t="e">
        <f>VLOOKUP($W80,feed_mix_n,MATCH(AB$5,feed_mix_w!$B$5:$AC$5,0),FALSE)/$Z80*VLOOKUP(AB$5,feed_intensity_w,11,FALSE)</f>
        <v>#N/A</v>
      </c>
      <c r="AC80" s="933" t="e">
        <f>VLOOKUP($W80,feed_mix_n,MATCH(AC$5,feed_mix_w!$B$5:$AC$5,0),FALSE)/$Z80*VLOOKUP(AC$5,feed_intensity_w,11,FALSE)</f>
        <v>#N/A</v>
      </c>
      <c r="AD80" s="933" t="e">
        <f>VLOOKUP($W80,feed_mix_n,MATCH(AD$5,feed_mix_w!$B$5:$AC$5,0),FALSE)/$Z80*VLOOKUP(AD$5,feed_intensity_w,11,FALSE)</f>
        <v>#N/A</v>
      </c>
      <c r="AE80" s="933" t="e">
        <f>VLOOKUP($W80,feed_mix_n,MATCH(AE$5,feed_mix_w!$B$5:$AC$5,0),FALSE)/$Z80*VLOOKUP(AE$5,feed_intensity_w,11,FALSE)</f>
        <v>#N/A</v>
      </c>
      <c r="AF80" s="933" t="e">
        <f>VLOOKUP($W80,feed_mix_n,MATCH(AF$5,feed_mix_w!$B$5:$AC$5,0),FALSE)/$Z80*VLOOKUP(AF$5,feed_intensity_w,11,FALSE)</f>
        <v>#N/A</v>
      </c>
      <c r="AG80" s="933" t="e">
        <f>VLOOKUP($W80,feed_mix_n,MATCH(AG$5,feed_mix_w!$B$5:$AC$5,0),FALSE)/$Z80*VLOOKUP(AG$5,feed_intensity_w,11,FALSE)</f>
        <v>#N/A</v>
      </c>
      <c r="AH80" s="933" t="e">
        <f>VLOOKUP($W80,feed_mix_n,MATCH(AH$5,feed_mix_w!$B$5:$AC$5,0),FALSE)/$Z80*VLOOKUP(AH$5,feed_intensity_w,11,FALSE)</f>
        <v>#N/A</v>
      </c>
      <c r="AI80" s="933" t="e">
        <f>VLOOKUP($W80,feed_mix_n,MATCH(AI$5,feed_mix_w!$B$5:$AC$5,0),FALSE)/$Z80*VLOOKUP(AI$5,feed_intensity_w,11,FALSE)</f>
        <v>#N/A</v>
      </c>
      <c r="AJ80" s="933" t="e">
        <f>VLOOKUP($W80,feed_mix_n,MATCH(AJ$5,feed_mix_w!$B$5:$AC$5,0),FALSE)/$Z80*VLOOKUP(AJ$5,feed_intensity_w,11,FALSE)</f>
        <v>#N/A</v>
      </c>
      <c r="AK80" s="933" t="e">
        <f>VLOOKUP($W80,feed_mix_n,MATCH(AK$5,feed_mix_w!$B$5:$AC$5,0),FALSE)/$Z80*VLOOKUP(AK$5,feed_intensity_w,11,FALSE)</f>
        <v>#N/A</v>
      </c>
      <c r="AL80" s="933" t="e">
        <f>VLOOKUP($W80,feed_mix_n,MATCH(AL$5,feed_mix_w!$B$5:$AC$5,0),FALSE)/$Z80*VLOOKUP(AL$5,feed_intensity_w,11,FALSE)</f>
        <v>#N/A</v>
      </c>
      <c r="AM80" s="933" t="e">
        <f>VLOOKUP($W80,feed_mix_n,MATCH(AM$5,feed_mix_w!$B$5:$AC$5,0),FALSE)/$Z80*VLOOKUP(AM$5,feed_intensity_w,11,FALSE)</f>
        <v>#N/A</v>
      </c>
      <c r="AN80" s="933" t="e">
        <f>VLOOKUP($W80,feed_mix_n,MATCH(AN$5,feed_mix_w!$B$5:$AC$5,0),FALSE)/$Z80*VLOOKUP(AN$5,feed_intensity_w,11,FALSE)</f>
        <v>#N/A</v>
      </c>
      <c r="AO80" s="933" t="e">
        <f>VLOOKUP($W80,feed_mix_n,MATCH(AO$5,feed_mix_w!$B$5:$AC$5,0),FALSE)/$Z80*VLOOKUP(AO$5,feed_intensity_w,11,FALSE)</f>
        <v>#N/A</v>
      </c>
      <c r="AP80" s="933" t="e">
        <f>VLOOKUP($W80,feed_mix_n,MATCH(AP$5,feed_mix_w!$B$5:$AC$5,0),FALSE)/$Z80*VLOOKUP(AP$5,feed_intensity_w,11,FALSE)</f>
        <v>#N/A</v>
      </c>
      <c r="AQ80" s="933" t="e">
        <f>VLOOKUP($W80,feed_mix_n,MATCH(AQ$5,feed_mix_w!$B$5:$AC$5,0),FALSE)/$Z80*VLOOKUP(AQ$5,feed_intensity_w,11,FALSE)</f>
        <v>#N/A</v>
      </c>
      <c r="AR80" s="933" t="e">
        <f>VLOOKUP($W80,feed_mix_n,MATCH(AR$5,feed_mix_w!$B$5:$AC$5,0),FALSE)/$Z80*VLOOKUP(AR$5,feed_intensity_w,11,FALSE)</f>
        <v>#N/A</v>
      </c>
      <c r="AS80" s="1105" t="e">
        <f>VLOOKUP($W80,feed_mix_n,MATCH(AS$5,feed_mix_w!$B$5:$AC$5,0),FALSE)/$Z80*VLOOKUP(AS$5,feed_intensity_w,11,FALSE)</f>
        <v>#N/A</v>
      </c>
    </row>
    <row r="81" spans="1:45" ht="12.75" customHeight="1">
      <c r="A81" s="1008" t="s">
        <v>5484</v>
      </c>
      <c r="B81" s="1102">
        <v>1021</v>
      </c>
      <c r="C81" s="1103" t="s">
        <v>543</v>
      </c>
      <c r="D81" s="1158"/>
      <c r="E81" s="1158"/>
      <c r="F81" s="1012">
        <f t="shared" si="22"/>
        <v>0</v>
      </c>
      <c r="G81" s="1012">
        <f t="shared" si="23"/>
        <v>0</v>
      </c>
      <c r="H81" s="933" t="e">
        <f t="shared" si="24"/>
        <v>#N/A</v>
      </c>
      <c r="I81" s="1486">
        <f t="shared" si="25"/>
        <v>0</v>
      </c>
      <c r="J81" s="1006">
        <f>IFERROR(G81*VLOOKUP(W81,livestock_intensity!$B$7:$I$29,8,FALSE)/Z81,0)</f>
        <v>0</v>
      </c>
      <c r="K81" s="933" t="e">
        <f>VLOOKUP($W81,feed_mix_n,MATCH(K$5,feed_mix_w!$B$5:$AC$5,0),FALSE)/$Z81*VLOOKUP(K$5,feed_intensity_w,11,FALSE)</f>
        <v>#N/A</v>
      </c>
      <c r="L81" s="1486">
        <f t="shared" si="26"/>
        <v>0</v>
      </c>
      <c r="M81" s="1447">
        <f>IFERROR(G81*VLOOKUP(W81,livestock_intensity!$B$7:$M$29,12,FALSE)/Z81,0)</f>
        <v>0</v>
      </c>
      <c r="N81" s="933" t="e">
        <f>VLOOKUP($W81,feed_mix_n,MATCH(N$5,feed_mix_w!$B$5:$AC$5,0),FALSE)/$Z81*VLOOKUP(N$5,feed_intensity_w,11,FALSE)</f>
        <v>#N/A</v>
      </c>
      <c r="O81" s="1486">
        <f t="shared" si="27"/>
        <v>0</v>
      </c>
      <c r="P81" s="939">
        <f>IFERROR(G81*VLOOKUP(W81,livestock_intensity!$B$7:$Q$29,16,FALSE)/Z81,0)</f>
        <v>0</v>
      </c>
      <c r="Q81" s="1530"/>
      <c r="R81" s="900">
        <f t="shared" si="28"/>
        <v>0</v>
      </c>
      <c r="S81" s="900">
        <f t="shared" si="29"/>
        <v>0</v>
      </c>
      <c r="T81" s="1483" t="s">
        <v>2862</v>
      </c>
      <c r="U81" s="1211" t="s">
        <v>2921</v>
      </c>
      <c r="V81" s="1212" t="str">
        <f>IFERROR(VLOOKUP(W81,constant_ag_extr!$D$7:$E$594,2,FALSE),"")</f>
        <v>Goat milk, whole, fresh</v>
      </c>
      <c r="W81" s="1213">
        <f t="shared" si="30"/>
        <v>1020</v>
      </c>
      <c r="X81" s="1099">
        <f>IFERROR(IF(VLOOKUP(B81,cnst_grazing!$C$10:$H$25,5,FALSE)="", IF(VLOOKUP(B81, cnst_grazing!$C$10:$H$25,3,FALSE)="", VLOOKUP(B81, cnst_grazing!$C$10:$H$25,4,FALSE),VLOOKUP(B81, cnst_grazing!$C$10:$H$25,3,FALSE)), VLOOKUP(B81,cnst_grazing!$C$10:$H$25,5,FALSE)),1)</f>
        <v>1</v>
      </c>
      <c r="Y81" s="1099">
        <f>IFERROR(IF(VLOOKUP(B81,cnst_grazing!$C$10:$H$25,6,FALSE)="", IF(VLOOKUP(B81, cnst_grazing!$C$10:$H$25,4,FALSE)="", VLOOKUP(B81, cnst_grazing!$C$10:$H$25,3,FALSE),VLOOKUP(B81, cnst_grazing!$C$10:$H$25,4,FALSE)), VLOOKUP(B81,cnst_grazing!$C$10:$H$25,6,FALSE)),1)</f>
        <v>1</v>
      </c>
      <c r="Z81" s="937">
        <f t="shared" si="31"/>
        <v>0.15</v>
      </c>
      <c r="AA81" s="1487" t="e">
        <f t="shared" si="32"/>
        <v>#N/A</v>
      </c>
      <c r="AB81" s="933" t="e">
        <f>VLOOKUP($W81,feed_mix_n,MATCH(AB$5,feed_mix_w!$B$5:$AC$5,0),FALSE)/$Z81*VLOOKUP(AB$5,feed_intensity_w,11,FALSE)</f>
        <v>#N/A</v>
      </c>
      <c r="AC81" s="933" t="e">
        <f>VLOOKUP($W81,feed_mix_n,MATCH(AC$5,feed_mix_w!$B$5:$AC$5,0),FALSE)/$Z81*VLOOKUP(AC$5,feed_intensity_w,11,FALSE)</f>
        <v>#N/A</v>
      </c>
      <c r="AD81" s="933" t="e">
        <f>VLOOKUP($W81,feed_mix_n,MATCH(AD$5,feed_mix_w!$B$5:$AC$5,0),FALSE)/$Z81*VLOOKUP(AD$5,feed_intensity_w,11,FALSE)</f>
        <v>#N/A</v>
      </c>
      <c r="AE81" s="933" t="e">
        <f>VLOOKUP($W81,feed_mix_n,MATCH(AE$5,feed_mix_w!$B$5:$AC$5,0),FALSE)/$Z81*VLOOKUP(AE$5,feed_intensity_w,11,FALSE)</f>
        <v>#N/A</v>
      </c>
      <c r="AF81" s="933" t="e">
        <f>VLOOKUP($W81,feed_mix_n,MATCH(AF$5,feed_mix_w!$B$5:$AC$5,0),FALSE)/$Z81*VLOOKUP(AF$5,feed_intensity_w,11,FALSE)</f>
        <v>#N/A</v>
      </c>
      <c r="AG81" s="933" t="e">
        <f>VLOOKUP($W81,feed_mix_n,MATCH(AG$5,feed_mix_w!$B$5:$AC$5,0),FALSE)/$Z81*VLOOKUP(AG$5,feed_intensity_w,11,FALSE)</f>
        <v>#N/A</v>
      </c>
      <c r="AH81" s="933" t="e">
        <f>VLOOKUP($W81,feed_mix_n,MATCH(AH$5,feed_mix_w!$B$5:$AC$5,0),FALSE)/$Z81*VLOOKUP(AH$5,feed_intensity_w,11,FALSE)</f>
        <v>#N/A</v>
      </c>
      <c r="AI81" s="933" t="e">
        <f>VLOOKUP($W81,feed_mix_n,MATCH(AI$5,feed_mix_w!$B$5:$AC$5,0),FALSE)/$Z81*VLOOKUP(AI$5,feed_intensity_w,11,FALSE)</f>
        <v>#N/A</v>
      </c>
      <c r="AJ81" s="933" t="e">
        <f>VLOOKUP($W81,feed_mix_n,MATCH(AJ$5,feed_mix_w!$B$5:$AC$5,0),FALSE)/$Z81*VLOOKUP(AJ$5,feed_intensity_w,11,FALSE)</f>
        <v>#N/A</v>
      </c>
      <c r="AK81" s="933" t="e">
        <f>VLOOKUP($W81,feed_mix_n,MATCH(AK$5,feed_mix_w!$B$5:$AC$5,0),FALSE)/$Z81*VLOOKUP(AK$5,feed_intensity_w,11,FALSE)</f>
        <v>#N/A</v>
      </c>
      <c r="AL81" s="933" t="e">
        <f>VLOOKUP($W81,feed_mix_n,MATCH(AL$5,feed_mix_w!$B$5:$AC$5,0),FALSE)/$Z81*VLOOKUP(AL$5,feed_intensity_w,11,FALSE)</f>
        <v>#N/A</v>
      </c>
      <c r="AM81" s="933" t="e">
        <f>VLOOKUP($W81,feed_mix_n,MATCH(AM$5,feed_mix_w!$B$5:$AC$5,0),FALSE)/$Z81*VLOOKUP(AM$5,feed_intensity_w,11,FALSE)</f>
        <v>#N/A</v>
      </c>
      <c r="AN81" s="933" t="e">
        <f>VLOOKUP($W81,feed_mix_n,MATCH(AN$5,feed_mix_w!$B$5:$AC$5,0),FALSE)/$Z81*VLOOKUP(AN$5,feed_intensity_w,11,FALSE)</f>
        <v>#N/A</v>
      </c>
      <c r="AO81" s="933" t="e">
        <f>VLOOKUP($W81,feed_mix_n,MATCH(AO$5,feed_mix_w!$B$5:$AC$5,0),FALSE)/$Z81*VLOOKUP(AO$5,feed_intensity_w,11,FALSE)</f>
        <v>#N/A</v>
      </c>
      <c r="AP81" s="933" t="e">
        <f>VLOOKUP($W81,feed_mix_n,MATCH(AP$5,feed_mix_w!$B$5:$AC$5,0),FALSE)/$Z81*VLOOKUP(AP$5,feed_intensity_w,11,FALSE)</f>
        <v>#N/A</v>
      </c>
      <c r="AQ81" s="933" t="e">
        <f>VLOOKUP($W81,feed_mix_n,MATCH(AQ$5,feed_mix_w!$B$5:$AC$5,0),FALSE)/$Z81*VLOOKUP(AQ$5,feed_intensity_w,11,FALSE)</f>
        <v>#N/A</v>
      </c>
      <c r="AR81" s="933" t="e">
        <f>VLOOKUP($W81,feed_mix_n,MATCH(AR$5,feed_mix_w!$B$5:$AC$5,0),FALSE)/$Z81*VLOOKUP(AR$5,feed_intensity_w,11,FALSE)</f>
        <v>#N/A</v>
      </c>
      <c r="AS81" s="1105" t="e">
        <f>VLOOKUP($W81,feed_mix_n,MATCH(AS$5,feed_mix_w!$B$5:$AC$5,0),FALSE)/$Z81*VLOOKUP(AS$5,feed_intensity_w,11,FALSE)</f>
        <v>#N/A</v>
      </c>
    </row>
    <row r="82" spans="1:45" ht="12.75" customHeight="1">
      <c r="A82" s="1008" t="s">
        <v>7385</v>
      </c>
      <c r="B82" s="1102">
        <v>1022</v>
      </c>
      <c r="C82" s="1103"/>
      <c r="D82" s="1158"/>
      <c r="E82" s="1158"/>
      <c r="F82" s="1012">
        <f t="shared" si="22"/>
        <v>0</v>
      </c>
      <c r="G82" s="1012">
        <f t="shared" si="23"/>
        <v>0</v>
      </c>
      <c r="H82" s="933" t="e">
        <f t="shared" si="24"/>
        <v>#N/A</v>
      </c>
      <c r="I82" s="1486">
        <f t="shared" si="25"/>
        <v>0</v>
      </c>
      <c r="J82" s="1006">
        <f>IFERROR(G82*VLOOKUP(W82,livestock_intensity!$B$7:$I$29,8,FALSE)/Z82,0)</f>
        <v>0</v>
      </c>
      <c r="K82" s="933" t="e">
        <f>VLOOKUP($W82,feed_mix_n,MATCH(K$5,feed_mix_w!$B$5:$AC$5,0),FALSE)/$Z82*VLOOKUP(K$5,feed_intensity_w,11,FALSE)</f>
        <v>#N/A</v>
      </c>
      <c r="L82" s="1486">
        <f t="shared" si="26"/>
        <v>0</v>
      </c>
      <c r="M82" s="1447">
        <f>IFERROR(G82*VLOOKUP(W82,livestock_intensity!$B$7:$M$29,12,FALSE)/Z82,0)</f>
        <v>0</v>
      </c>
      <c r="N82" s="933" t="e">
        <f>VLOOKUP($W82,feed_mix_n,MATCH(N$5,feed_mix_w!$B$5:$AC$5,0),FALSE)/$Z82*VLOOKUP(N$5,feed_intensity_w,11,FALSE)</f>
        <v>#N/A</v>
      </c>
      <c r="O82" s="1486">
        <f t="shared" si="27"/>
        <v>0</v>
      </c>
      <c r="P82" s="939">
        <f>IFERROR(G82*VLOOKUP(W82,livestock_intensity!$B$7:$Q$29,16,FALSE)/Z82,0)</f>
        <v>0</v>
      </c>
      <c r="Q82" s="1530"/>
      <c r="R82" s="900">
        <f t="shared" si="28"/>
        <v>0</v>
      </c>
      <c r="S82" s="900">
        <f t="shared" si="29"/>
        <v>0</v>
      </c>
      <c r="T82" s="1483" t="s">
        <v>2862</v>
      </c>
      <c r="U82" s="1211"/>
      <c r="V82" s="1212">
        <f>IFERROR(VLOOKUP(W82,constant_ag_extr!$D$7:$E$594,2,FALSE),"")</f>
        <v>0</v>
      </c>
      <c r="W82" s="1213" t="str">
        <f t="shared" si="30"/>
        <v/>
      </c>
      <c r="X82" s="1099">
        <f>IFERROR(IF(VLOOKUP(B82,cnst_grazing!$C$10:$H$25,5,FALSE)="", IF(VLOOKUP(B82, cnst_grazing!$C$10:$H$25,3,FALSE)="", VLOOKUP(B82, cnst_grazing!$C$10:$H$25,4,FALSE),VLOOKUP(B82, cnst_grazing!$C$10:$H$25,3,FALSE)), VLOOKUP(B82,cnst_grazing!$C$10:$H$25,5,FALSE)),1)</f>
        <v>1</v>
      </c>
      <c r="Y82" s="1099">
        <f>IFERROR(IF(VLOOKUP(B82,cnst_grazing!$C$10:$H$25,6,FALSE)="", IF(VLOOKUP(B82, cnst_grazing!$C$10:$H$25,4,FALSE)="", VLOOKUP(B82, cnst_grazing!$C$10:$H$25,3,FALSE),VLOOKUP(B82, cnst_grazing!$C$10:$H$25,4,FALSE)), VLOOKUP(B82,cnst_grazing!$C$10:$H$25,6,FALSE)),1)</f>
        <v>1</v>
      </c>
      <c r="Z82" s="937" t="str">
        <f t="shared" si="31"/>
        <v>-</v>
      </c>
      <c r="AA82" s="1487" t="e">
        <f t="shared" si="32"/>
        <v>#N/A</v>
      </c>
      <c r="AB82" s="933" t="e">
        <f>VLOOKUP($W82,feed_mix_n,MATCH(AB$5,feed_mix_w!$B$5:$AC$5,0),FALSE)/$Z82*VLOOKUP(AB$5,feed_intensity_w,11,FALSE)</f>
        <v>#N/A</v>
      </c>
      <c r="AC82" s="933" t="e">
        <f>VLOOKUP($W82,feed_mix_n,MATCH(AC$5,feed_mix_w!$B$5:$AC$5,0),FALSE)/$Z82*VLOOKUP(AC$5,feed_intensity_w,11,FALSE)</f>
        <v>#N/A</v>
      </c>
      <c r="AD82" s="933" t="e">
        <f>VLOOKUP($W82,feed_mix_n,MATCH(AD$5,feed_mix_w!$B$5:$AC$5,0),FALSE)/$Z82*VLOOKUP(AD$5,feed_intensity_w,11,FALSE)</f>
        <v>#N/A</v>
      </c>
      <c r="AE82" s="933" t="e">
        <f>VLOOKUP($W82,feed_mix_n,MATCH(AE$5,feed_mix_w!$B$5:$AC$5,0),FALSE)/$Z82*VLOOKUP(AE$5,feed_intensity_w,11,FALSE)</f>
        <v>#N/A</v>
      </c>
      <c r="AF82" s="933" t="e">
        <f>VLOOKUP($W82,feed_mix_n,MATCH(AF$5,feed_mix_w!$B$5:$AC$5,0),FALSE)/$Z82*VLOOKUP(AF$5,feed_intensity_w,11,FALSE)</f>
        <v>#N/A</v>
      </c>
      <c r="AG82" s="933" t="e">
        <f>VLOOKUP($W82,feed_mix_n,MATCH(AG$5,feed_mix_w!$B$5:$AC$5,0),FALSE)/$Z82*VLOOKUP(AG$5,feed_intensity_w,11,FALSE)</f>
        <v>#N/A</v>
      </c>
      <c r="AH82" s="933" t="e">
        <f>VLOOKUP($W82,feed_mix_n,MATCH(AH$5,feed_mix_w!$B$5:$AC$5,0),FALSE)/$Z82*VLOOKUP(AH$5,feed_intensity_w,11,FALSE)</f>
        <v>#N/A</v>
      </c>
      <c r="AI82" s="933" t="e">
        <f>VLOOKUP($W82,feed_mix_n,MATCH(AI$5,feed_mix_w!$B$5:$AC$5,0),FALSE)/$Z82*VLOOKUP(AI$5,feed_intensity_w,11,FALSE)</f>
        <v>#N/A</v>
      </c>
      <c r="AJ82" s="933" t="e">
        <f>VLOOKUP($W82,feed_mix_n,MATCH(AJ$5,feed_mix_w!$B$5:$AC$5,0),FALSE)/$Z82*VLOOKUP(AJ$5,feed_intensity_w,11,FALSE)</f>
        <v>#N/A</v>
      </c>
      <c r="AK82" s="933" t="e">
        <f>VLOOKUP($W82,feed_mix_n,MATCH(AK$5,feed_mix_w!$B$5:$AC$5,0),FALSE)/$Z82*VLOOKUP(AK$5,feed_intensity_w,11,FALSE)</f>
        <v>#N/A</v>
      </c>
      <c r="AL82" s="933" t="e">
        <f>VLOOKUP($W82,feed_mix_n,MATCH(AL$5,feed_mix_w!$B$5:$AC$5,0),FALSE)/$Z82*VLOOKUP(AL$5,feed_intensity_w,11,FALSE)</f>
        <v>#N/A</v>
      </c>
      <c r="AM82" s="933" t="e">
        <f>VLOOKUP($W82,feed_mix_n,MATCH(AM$5,feed_mix_w!$B$5:$AC$5,0),FALSE)/$Z82*VLOOKUP(AM$5,feed_intensity_w,11,FALSE)</f>
        <v>#N/A</v>
      </c>
      <c r="AN82" s="933" t="e">
        <f>VLOOKUP($W82,feed_mix_n,MATCH(AN$5,feed_mix_w!$B$5:$AC$5,0),FALSE)/$Z82*VLOOKUP(AN$5,feed_intensity_w,11,FALSE)</f>
        <v>#N/A</v>
      </c>
      <c r="AO82" s="933" t="e">
        <f>VLOOKUP($W82,feed_mix_n,MATCH(AO$5,feed_mix_w!$B$5:$AC$5,0),FALSE)/$Z82*VLOOKUP(AO$5,feed_intensity_w,11,FALSE)</f>
        <v>#N/A</v>
      </c>
      <c r="AP82" s="933" t="e">
        <f>VLOOKUP($W82,feed_mix_n,MATCH(AP$5,feed_mix_w!$B$5:$AC$5,0),FALSE)/$Z82*VLOOKUP(AP$5,feed_intensity_w,11,FALSE)</f>
        <v>#N/A</v>
      </c>
      <c r="AQ82" s="933" t="e">
        <f>VLOOKUP($W82,feed_mix_n,MATCH(AQ$5,feed_mix_w!$B$5:$AC$5,0),FALSE)/$Z82*VLOOKUP(AQ$5,feed_intensity_w,11,FALSE)</f>
        <v>#N/A</v>
      </c>
      <c r="AR82" s="933" t="e">
        <f>VLOOKUP($W82,feed_mix_n,MATCH(AR$5,feed_mix_w!$B$5:$AC$5,0),FALSE)/$Z82*VLOOKUP(AR$5,feed_intensity_w,11,FALSE)</f>
        <v>#N/A</v>
      </c>
      <c r="AS82" s="1105" t="e">
        <f>VLOOKUP($W82,feed_mix_n,MATCH(AS$5,feed_mix_w!$B$5:$AC$5,0),FALSE)/$Z82*VLOOKUP(AS$5,feed_intensity_w,11,FALSE)</f>
        <v>#N/A</v>
      </c>
    </row>
    <row r="83" spans="1:45" ht="12.75" customHeight="1">
      <c r="A83" s="1008" t="s">
        <v>7386</v>
      </c>
      <c r="B83" s="1102">
        <v>1023</v>
      </c>
      <c r="C83" s="1103"/>
      <c r="D83" s="1158"/>
      <c r="E83" s="1158"/>
      <c r="F83" s="1012">
        <f t="shared" si="22"/>
        <v>0</v>
      </c>
      <c r="G83" s="1012">
        <f t="shared" si="23"/>
        <v>0</v>
      </c>
      <c r="H83" s="933" t="e">
        <f t="shared" si="24"/>
        <v>#N/A</v>
      </c>
      <c r="I83" s="1486">
        <f t="shared" si="25"/>
        <v>0</v>
      </c>
      <c r="J83" s="1006">
        <f>IFERROR(G83*VLOOKUP(W83,livestock_intensity!$B$7:$I$29,8,FALSE)/Z83,0)</f>
        <v>0</v>
      </c>
      <c r="K83" s="933" t="e">
        <f>VLOOKUP($W83,feed_mix_n,MATCH(K$5,feed_mix_w!$B$5:$AC$5,0),FALSE)/$Z83*VLOOKUP(K$5,feed_intensity_w,11,FALSE)</f>
        <v>#N/A</v>
      </c>
      <c r="L83" s="1486">
        <f t="shared" si="26"/>
        <v>0</v>
      </c>
      <c r="M83" s="1447">
        <f>IFERROR(G83*VLOOKUP(W83,livestock_intensity!$B$7:$M$29,12,FALSE)/Z83,0)</f>
        <v>0</v>
      </c>
      <c r="N83" s="933" t="e">
        <f>VLOOKUP($W83,feed_mix_n,MATCH(N$5,feed_mix_w!$B$5:$AC$5,0),FALSE)/$Z83*VLOOKUP(N$5,feed_intensity_w,11,FALSE)</f>
        <v>#N/A</v>
      </c>
      <c r="O83" s="1486">
        <f t="shared" si="27"/>
        <v>0</v>
      </c>
      <c r="P83" s="939">
        <f>IFERROR(G83*VLOOKUP(W83,livestock_intensity!$B$7:$Q$29,16,FALSE)/Z83,0)</f>
        <v>0</v>
      </c>
      <c r="Q83" s="1530"/>
      <c r="R83" s="900">
        <f t="shared" si="28"/>
        <v>0</v>
      </c>
      <c r="S83" s="900">
        <f t="shared" si="29"/>
        <v>0</v>
      </c>
      <c r="T83" s="1483" t="s">
        <v>2862</v>
      </c>
      <c r="U83" s="1211"/>
      <c r="V83" s="1212">
        <f>IFERROR(VLOOKUP(W83,constant_ag_extr!$D$7:$E$594,2,FALSE),"")</f>
        <v>0</v>
      </c>
      <c r="W83" s="1213" t="str">
        <f t="shared" si="30"/>
        <v/>
      </c>
      <c r="X83" s="1099">
        <f>IFERROR(IF(VLOOKUP(B83,cnst_grazing!$C$10:$H$25,5,FALSE)="", IF(VLOOKUP(B83, cnst_grazing!$C$10:$H$25,3,FALSE)="", VLOOKUP(B83, cnst_grazing!$C$10:$H$25,4,FALSE),VLOOKUP(B83, cnst_grazing!$C$10:$H$25,3,FALSE)), VLOOKUP(B83,cnst_grazing!$C$10:$H$25,5,FALSE)),1)</f>
        <v>1</v>
      </c>
      <c r="Y83" s="1099">
        <f>IFERROR(IF(VLOOKUP(B83,cnst_grazing!$C$10:$H$25,6,FALSE)="", IF(VLOOKUP(B83, cnst_grazing!$C$10:$H$25,4,FALSE)="", VLOOKUP(B83, cnst_grazing!$C$10:$H$25,3,FALSE),VLOOKUP(B83, cnst_grazing!$C$10:$H$25,4,FALSE)), VLOOKUP(B83,cnst_grazing!$C$10:$H$25,6,FALSE)),1)</f>
        <v>1</v>
      </c>
      <c r="Z83" s="937" t="str">
        <f t="shared" si="31"/>
        <v>-</v>
      </c>
      <c r="AA83" s="1487" t="e">
        <f t="shared" si="32"/>
        <v>#N/A</v>
      </c>
      <c r="AB83" s="933" t="e">
        <f>VLOOKUP($W83,feed_mix_n,MATCH(AB$5,feed_mix_w!$B$5:$AC$5,0),FALSE)/$Z83*VLOOKUP(AB$5,feed_intensity_w,11,FALSE)</f>
        <v>#N/A</v>
      </c>
      <c r="AC83" s="933" t="e">
        <f>VLOOKUP($W83,feed_mix_n,MATCH(AC$5,feed_mix_w!$B$5:$AC$5,0),FALSE)/$Z83*VLOOKUP(AC$5,feed_intensity_w,11,FALSE)</f>
        <v>#N/A</v>
      </c>
      <c r="AD83" s="933" t="e">
        <f>VLOOKUP($W83,feed_mix_n,MATCH(AD$5,feed_mix_w!$B$5:$AC$5,0),FALSE)/$Z83*VLOOKUP(AD$5,feed_intensity_w,11,FALSE)</f>
        <v>#N/A</v>
      </c>
      <c r="AE83" s="933" t="e">
        <f>VLOOKUP($W83,feed_mix_n,MATCH(AE$5,feed_mix_w!$B$5:$AC$5,0),FALSE)/$Z83*VLOOKUP(AE$5,feed_intensity_w,11,FALSE)</f>
        <v>#N/A</v>
      </c>
      <c r="AF83" s="933" t="e">
        <f>VLOOKUP($W83,feed_mix_n,MATCH(AF$5,feed_mix_w!$B$5:$AC$5,0),FALSE)/$Z83*VLOOKUP(AF$5,feed_intensity_w,11,FALSE)</f>
        <v>#N/A</v>
      </c>
      <c r="AG83" s="933" t="e">
        <f>VLOOKUP($W83,feed_mix_n,MATCH(AG$5,feed_mix_w!$B$5:$AC$5,0),FALSE)/$Z83*VLOOKUP(AG$5,feed_intensity_w,11,FALSE)</f>
        <v>#N/A</v>
      </c>
      <c r="AH83" s="933" t="e">
        <f>VLOOKUP($W83,feed_mix_n,MATCH(AH$5,feed_mix_w!$B$5:$AC$5,0),FALSE)/$Z83*VLOOKUP(AH$5,feed_intensity_w,11,FALSE)</f>
        <v>#N/A</v>
      </c>
      <c r="AI83" s="933" t="e">
        <f>VLOOKUP($W83,feed_mix_n,MATCH(AI$5,feed_mix_w!$B$5:$AC$5,0),FALSE)/$Z83*VLOOKUP(AI$5,feed_intensity_w,11,FALSE)</f>
        <v>#N/A</v>
      </c>
      <c r="AJ83" s="933" t="e">
        <f>VLOOKUP($W83,feed_mix_n,MATCH(AJ$5,feed_mix_w!$B$5:$AC$5,0),FALSE)/$Z83*VLOOKUP(AJ$5,feed_intensity_w,11,FALSE)</f>
        <v>#N/A</v>
      </c>
      <c r="AK83" s="933" t="e">
        <f>VLOOKUP($W83,feed_mix_n,MATCH(AK$5,feed_mix_w!$B$5:$AC$5,0),FALSE)/$Z83*VLOOKUP(AK$5,feed_intensity_w,11,FALSE)</f>
        <v>#N/A</v>
      </c>
      <c r="AL83" s="933" t="e">
        <f>VLOOKUP($W83,feed_mix_n,MATCH(AL$5,feed_mix_w!$B$5:$AC$5,0),FALSE)/$Z83*VLOOKUP(AL$5,feed_intensity_w,11,FALSE)</f>
        <v>#N/A</v>
      </c>
      <c r="AM83" s="933" t="e">
        <f>VLOOKUP($W83,feed_mix_n,MATCH(AM$5,feed_mix_w!$B$5:$AC$5,0),FALSE)/$Z83*VLOOKUP(AM$5,feed_intensity_w,11,FALSE)</f>
        <v>#N/A</v>
      </c>
      <c r="AN83" s="933" t="e">
        <f>VLOOKUP($W83,feed_mix_n,MATCH(AN$5,feed_mix_w!$B$5:$AC$5,0),FALSE)/$Z83*VLOOKUP(AN$5,feed_intensity_w,11,FALSE)</f>
        <v>#N/A</v>
      </c>
      <c r="AO83" s="933" t="e">
        <f>VLOOKUP($W83,feed_mix_n,MATCH(AO$5,feed_mix_w!$B$5:$AC$5,0),FALSE)/$Z83*VLOOKUP(AO$5,feed_intensity_w,11,FALSE)</f>
        <v>#N/A</v>
      </c>
      <c r="AP83" s="933" t="e">
        <f>VLOOKUP($W83,feed_mix_n,MATCH(AP$5,feed_mix_w!$B$5:$AC$5,0),FALSE)/$Z83*VLOOKUP(AP$5,feed_intensity_w,11,FALSE)</f>
        <v>#N/A</v>
      </c>
      <c r="AQ83" s="933" t="e">
        <f>VLOOKUP($W83,feed_mix_n,MATCH(AQ$5,feed_mix_w!$B$5:$AC$5,0),FALSE)/$Z83*VLOOKUP(AQ$5,feed_intensity_w,11,FALSE)</f>
        <v>#N/A</v>
      </c>
      <c r="AR83" s="933" t="e">
        <f>VLOOKUP($W83,feed_mix_n,MATCH(AR$5,feed_mix_w!$B$5:$AC$5,0),FALSE)/$Z83*VLOOKUP(AR$5,feed_intensity_w,11,FALSE)</f>
        <v>#N/A</v>
      </c>
      <c r="AS83" s="1105" t="e">
        <f>VLOOKUP($W83,feed_mix_n,MATCH(AS$5,feed_mix_w!$B$5:$AC$5,0),FALSE)/$Z83*VLOOKUP(AS$5,feed_intensity_w,11,FALSE)</f>
        <v>#N/A</v>
      </c>
    </row>
    <row r="84" spans="1:45" ht="12.75" customHeight="1">
      <c r="A84" s="1008" t="s">
        <v>7387</v>
      </c>
      <c r="B84" s="1102">
        <v>1026</v>
      </c>
      <c r="C84" s="1103" t="s">
        <v>701</v>
      </c>
      <c r="D84" s="1158"/>
      <c r="E84" s="1158"/>
      <c r="F84" s="1012">
        <f t="shared" si="22"/>
        <v>0</v>
      </c>
      <c r="G84" s="1012">
        <f t="shared" si="23"/>
        <v>0</v>
      </c>
      <c r="H84" s="933">
        <f t="shared" si="24"/>
        <v>0</v>
      </c>
      <c r="I84" s="1486">
        <f t="shared" si="25"/>
        <v>0</v>
      </c>
      <c r="J84" s="1006">
        <f>IFERROR(G84*VLOOKUP(W84,livestock_intensity!$B$7:$I$29,8,FALSE)/Z84,0)</f>
        <v>0</v>
      </c>
      <c r="K84" s="933">
        <f>VLOOKUP($W84,feed_mix_n,MATCH(K$5,feed_mix_w!$B$5:$AC$5,0),FALSE)/$Z84*VLOOKUP(K$5,feed_intensity_w,11,FALSE)</f>
        <v>0</v>
      </c>
      <c r="L84" s="1486">
        <f t="shared" si="26"/>
        <v>0</v>
      </c>
      <c r="M84" s="1447">
        <f>IFERROR(G84*VLOOKUP(W84,livestock_intensity!$B$7:$M$29,12,FALSE)/Z84,0)</f>
        <v>0</v>
      </c>
      <c r="N84" s="933">
        <f>VLOOKUP($W84,feed_mix_n,MATCH(N$5,feed_mix_w!$B$5:$AC$5,0),FALSE)/$Z84*VLOOKUP(N$5,feed_intensity_w,11,FALSE)</f>
        <v>10.428021745905738</v>
      </c>
      <c r="O84" s="1486">
        <f t="shared" si="27"/>
        <v>0</v>
      </c>
      <c r="P84" s="939">
        <f>IFERROR(G84*VLOOKUP(W84,livestock_intensity!$B$7:$Q$29,16,FALSE)/Z84,0)</f>
        <v>0</v>
      </c>
      <c r="Q84" s="1530"/>
      <c r="R84" s="900">
        <f t="shared" si="28"/>
        <v>0</v>
      </c>
      <c r="S84" s="900">
        <f t="shared" si="29"/>
        <v>0</v>
      </c>
      <c r="T84" s="1483">
        <v>2748</v>
      </c>
      <c r="U84" s="1211" t="s">
        <v>2921</v>
      </c>
      <c r="V84" s="1212" t="str">
        <f>IFERROR(VLOOKUP(W84,constant_ag_extr!$D$7:$E$594,2,FALSE),"")</f>
        <v>Goats</v>
      </c>
      <c r="W84" s="1213">
        <f t="shared" si="30"/>
        <v>1016</v>
      </c>
      <c r="X84" s="1099">
        <f>IFERROR(IF(VLOOKUP(B84,cnst_grazing!$C$10:$H$25,5,FALSE)="", IF(VLOOKUP(B84, cnst_grazing!$C$10:$H$25,3,FALSE)="", VLOOKUP(B84, cnst_grazing!$C$10:$H$25,4,FALSE),VLOOKUP(B84, cnst_grazing!$C$10:$H$25,3,FALSE)), VLOOKUP(B84,cnst_grazing!$C$10:$H$25,5,FALSE)),1)</f>
        <v>1</v>
      </c>
      <c r="Y84" s="1099">
        <f>IFERROR(IF(VLOOKUP(B84,cnst_grazing!$C$10:$H$25,6,FALSE)="", IF(VLOOKUP(B84, cnst_grazing!$C$10:$H$25,4,FALSE)="", VLOOKUP(B84, cnst_grazing!$C$10:$H$25,3,FALSE),VLOOKUP(B84, cnst_grazing!$C$10:$H$25,4,FALSE)), VLOOKUP(B84,cnst_grazing!$C$10:$H$25,6,FALSE)),1)</f>
        <v>1</v>
      </c>
      <c r="Z84" s="937">
        <f t="shared" si="31"/>
        <v>1.4061809204771325</v>
      </c>
      <c r="AA84" s="1487">
        <f t="shared" si="32"/>
        <v>10.428021745905738</v>
      </c>
      <c r="AB84" s="933">
        <f>VLOOKUP($W84,feed_mix_n,MATCH(AB$5,feed_mix_w!$B$5:$AC$5,0),FALSE)/$Z84*VLOOKUP(AB$5,feed_intensity_w,11,FALSE)</f>
        <v>0</v>
      </c>
      <c r="AC84" s="933">
        <f>VLOOKUP($W84,feed_mix_n,MATCH(AC$5,feed_mix_w!$B$5:$AC$5,0),FALSE)/$Z84*VLOOKUP(AC$5,feed_intensity_w,11,FALSE)</f>
        <v>0</v>
      </c>
      <c r="AD84" s="933">
        <f>VLOOKUP($W84,feed_mix_n,MATCH(AD$5,feed_mix_w!$B$5:$AC$5,0),FALSE)/$Z84*VLOOKUP(AD$5,feed_intensity_w,11,FALSE)</f>
        <v>0</v>
      </c>
      <c r="AE84" s="933">
        <f>VLOOKUP($W84,feed_mix_n,MATCH(AE$5,feed_mix_w!$B$5:$AC$5,0),FALSE)/$Z84*VLOOKUP(AE$5,feed_intensity_w,11,FALSE)</f>
        <v>0</v>
      </c>
      <c r="AF84" s="933">
        <f>VLOOKUP($W84,feed_mix_n,MATCH(AF$5,feed_mix_w!$B$5:$AC$5,0),FALSE)/$Z84*VLOOKUP(AF$5,feed_intensity_w,11,FALSE)</f>
        <v>0</v>
      </c>
      <c r="AG84" s="933">
        <f>VLOOKUP($W84,feed_mix_n,MATCH(AG$5,feed_mix_w!$B$5:$AC$5,0),FALSE)/$Z84*VLOOKUP(AG$5,feed_intensity_w,11,FALSE)</f>
        <v>0</v>
      </c>
      <c r="AH84" s="933">
        <f>VLOOKUP($W84,feed_mix_n,MATCH(AH$5,feed_mix_w!$B$5:$AC$5,0),FALSE)/$Z84*VLOOKUP(AH$5,feed_intensity_w,11,FALSE)</f>
        <v>0</v>
      </c>
      <c r="AI84" s="933">
        <f>VLOOKUP($W84,feed_mix_n,MATCH(AI$5,feed_mix_w!$B$5:$AC$5,0),FALSE)/$Z84*VLOOKUP(AI$5,feed_intensity_w,11,FALSE)</f>
        <v>0</v>
      </c>
      <c r="AJ84" s="933">
        <f>VLOOKUP($W84,feed_mix_n,MATCH(AJ$5,feed_mix_w!$B$5:$AC$5,0),FALSE)/$Z84*VLOOKUP(AJ$5,feed_intensity_w,11,FALSE)</f>
        <v>0</v>
      </c>
      <c r="AK84" s="933">
        <f>VLOOKUP($W84,feed_mix_n,MATCH(AK$5,feed_mix_w!$B$5:$AC$5,0),FALSE)/$Z84*VLOOKUP(AK$5,feed_intensity_w,11,FALSE)</f>
        <v>0</v>
      </c>
      <c r="AL84" s="933">
        <f>VLOOKUP($W84,feed_mix_n,MATCH(AL$5,feed_mix_w!$B$5:$AC$5,0),FALSE)/$Z84*VLOOKUP(AL$5,feed_intensity_w,11,FALSE)</f>
        <v>0</v>
      </c>
      <c r="AM84" s="933">
        <f>VLOOKUP($W84,feed_mix_n,MATCH(AM$5,feed_mix_w!$B$5:$AC$5,0),FALSE)/$Z84*VLOOKUP(AM$5,feed_intensity_w,11,FALSE)</f>
        <v>0</v>
      </c>
      <c r="AN84" s="933">
        <f>VLOOKUP($W84,feed_mix_n,MATCH(AN$5,feed_mix_w!$B$5:$AC$5,0),FALSE)/$Z84*VLOOKUP(AN$5,feed_intensity_w,11,FALSE)</f>
        <v>0</v>
      </c>
      <c r="AO84" s="933">
        <f>VLOOKUP($W84,feed_mix_n,MATCH(AO$5,feed_mix_w!$B$5:$AC$5,0),FALSE)/$Z84*VLOOKUP(AO$5,feed_intensity_w,11,FALSE)</f>
        <v>0</v>
      </c>
      <c r="AP84" s="933">
        <f>VLOOKUP($W84,feed_mix_n,MATCH(AP$5,feed_mix_w!$B$5:$AC$5,0),FALSE)/$Z84*VLOOKUP(AP$5,feed_intensity_w,11,FALSE)</f>
        <v>0</v>
      </c>
      <c r="AQ84" s="933">
        <f>VLOOKUP($W84,feed_mix_n,MATCH(AQ$5,feed_mix_w!$B$5:$AC$5,0),FALSE)/$Z84*VLOOKUP(AQ$5,feed_intensity_w,11,FALSE)</f>
        <v>0</v>
      </c>
      <c r="AR84" s="933">
        <f>VLOOKUP($W84,feed_mix_n,MATCH(AR$5,feed_mix_w!$B$5:$AC$5,0),FALSE)/$Z84*VLOOKUP(AR$5,feed_intensity_w,11,FALSE)</f>
        <v>0</v>
      </c>
      <c r="AS84" s="1105">
        <f>VLOOKUP($W84,feed_mix_n,MATCH(AS$5,feed_mix_w!$B$5:$AC$5,0),FALSE)/$Z84*VLOOKUP(AS$5,feed_intensity_w,11,FALSE)</f>
        <v>0</v>
      </c>
    </row>
    <row r="85" spans="1:45" ht="12.75" customHeight="1">
      <c r="A85" s="1008" t="s">
        <v>1560</v>
      </c>
      <c r="B85" s="1102">
        <v>1027</v>
      </c>
      <c r="C85" s="1103" t="s">
        <v>1749</v>
      </c>
      <c r="D85" s="1158"/>
      <c r="E85" s="1158"/>
      <c r="F85" s="1012">
        <f t="shared" si="22"/>
        <v>0</v>
      </c>
      <c r="G85" s="1012">
        <f t="shared" si="23"/>
        <v>0</v>
      </c>
      <c r="H85" s="933">
        <f t="shared" si="24"/>
        <v>0</v>
      </c>
      <c r="I85" s="1486">
        <f t="shared" si="25"/>
        <v>0</v>
      </c>
      <c r="J85" s="1006">
        <f>IFERROR(G85*VLOOKUP(W85,livestock_intensity!$B$7:$I$29,8,FALSE)/Z85,0)</f>
        <v>0</v>
      </c>
      <c r="K85" s="933">
        <f>VLOOKUP($W85,feed_mix_n,MATCH(K$5,feed_mix_w!$B$5:$AC$5,0),FALSE)/$Z85*VLOOKUP(K$5,feed_intensity_w,11,FALSE)</f>
        <v>0</v>
      </c>
      <c r="L85" s="1486">
        <f t="shared" si="26"/>
        <v>0</v>
      </c>
      <c r="M85" s="1447">
        <f>IFERROR(G85*VLOOKUP(W85,livestock_intensity!$B$7:$M$29,12,FALSE)/Z85,0)</f>
        <v>0</v>
      </c>
      <c r="N85" s="933">
        <f>VLOOKUP($W85,feed_mix_n,MATCH(N$5,feed_mix_w!$B$5:$AC$5,0),FALSE)/$Z85*VLOOKUP(N$5,feed_intensity_w,11,FALSE)</f>
        <v>17.358552726989906</v>
      </c>
      <c r="O85" s="1486">
        <f t="shared" si="27"/>
        <v>0</v>
      </c>
      <c r="P85" s="939">
        <f>IFERROR(G85*VLOOKUP(W85,livestock_intensity!$B$7:$Q$29,16,FALSE)/Z85,0)</f>
        <v>0</v>
      </c>
      <c r="Q85" s="1530"/>
      <c r="R85" s="900">
        <f t="shared" si="28"/>
        <v>0</v>
      </c>
      <c r="S85" s="900">
        <f t="shared" si="29"/>
        <v>0</v>
      </c>
      <c r="T85" s="1483">
        <v>2748</v>
      </c>
      <c r="U85" s="1211" t="s">
        <v>2921</v>
      </c>
      <c r="V85" s="1212" t="str">
        <f>IFERROR(VLOOKUP(W85,constant_ag_extr!$D$7:$E$594,2,FALSE),"")</f>
        <v>Goats</v>
      </c>
      <c r="W85" s="1213">
        <f t="shared" si="30"/>
        <v>1016</v>
      </c>
      <c r="X85" s="1099">
        <f>IFERROR(IF(VLOOKUP(B85,cnst_grazing!$C$10:$H$25,5,FALSE)="", IF(VLOOKUP(B85, cnst_grazing!$C$10:$H$25,3,FALSE)="", VLOOKUP(B85, cnst_grazing!$C$10:$H$25,4,FALSE),VLOOKUP(B85, cnst_grazing!$C$10:$H$25,3,FALSE)), VLOOKUP(B85,cnst_grazing!$C$10:$H$25,5,FALSE)),1)</f>
        <v>1</v>
      </c>
      <c r="Y85" s="1099">
        <f>IFERROR(IF(VLOOKUP(B85,cnst_grazing!$C$10:$H$25,6,FALSE)="", IF(VLOOKUP(B85, cnst_grazing!$C$10:$H$25,4,FALSE)="", VLOOKUP(B85, cnst_grazing!$C$10:$H$25,3,FALSE),VLOOKUP(B85, cnst_grazing!$C$10:$H$25,4,FALSE)), VLOOKUP(B85,cnst_grazing!$C$10:$H$25,6,FALSE)),1)</f>
        <v>1</v>
      </c>
      <c r="Z85" s="937">
        <f t="shared" si="31"/>
        <v>0.84475275376002334</v>
      </c>
      <c r="AA85" s="1487">
        <f t="shared" si="32"/>
        <v>17.358552726989906</v>
      </c>
      <c r="AB85" s="933">
        <f>VLOOKUP($W85,feed_mix_n,MATCH(AB$5,feed_mix_w!$B$5:$AC$5,0),FALSE)/$Z85*VLOOKUP(AB$5,feed_intensity_w,11,FALSE)</f>
        <v>0</v>
      </c>
      <c r="AC85" s="933">
        <f>VLOOKUP($W85,feed_mix_n,MATCH(AC$5,feed_mix_w!$B$5:$AC$5,0),FALSE)/$Z85*VLOOKUP(AC$5,feed_intensity_w,11,FALSE)</f>
        <v>0</v>
      </c>
      <c r="AD85" s="933">
        <f>VLOOKUP($W85,feed_mix_n,MATCH(AD$5,feed_mix_w!$B$5:$AC$5,0),FALSE)/$Z85*VLOOKUP(AD$5,feed_intensity_w,11,FALSE)</f>
        <v>0</v>
      </c>
      <c r="AE85" s="933">
        <f>VLOOKUP($W85,feed_mix_n,MATCH(AE$5,feed_mix_w!$B$5:$AC$5,0),FALSE)/$Z85*VLOOKUP(AE$5,feed_intensity_w,11,FALSE)</f>
        <v>0</v>
      </c>
      <c r="AF85" s="933">
        <f>VLOOKUP($W85,feed_mix_n,MATCH(AF$5,feed_mix_w!$B$5:$AC$5,0),FALSE)/$Z85*VLOOKUP(AF$5,feed_intensity_w,11,FALSE)</f>
        <v>0</v>
      </c>
      <c r="AG85" s="933">
        <f>VLOOKUP($W85,feed_mix_n,MATCH(AG$5,feed_mix_w!$B$5:$AC$5,0),FALSE)/$Z85*VLOOKUP(AG$5,feed_intensity_w,11,FALSE)</f>
        <v>0</v>
      </c>
      <c r="AH85" s="933">
        <f>VLOOKUP($W85,feed_mix_n,MATCH(AH$5,feed_mix_w!$B$5:$AC$5,0),FALSE)/$Z85*VLOOKUP(AH$5,feed_intensity_w,11,FALSE)</f>
        <v>0</v>
      </c>
      <c r="AI85" s="933">
        <f>VLOOKUP($W85,feed_mix_n,MATCH(AI$5,feed_mix_w!$B$5:$AC$5,0),FALSE)/$Z85*VLOOKUP(AI$5,feed_intensity_w,11,FALSE)</f>
        <v>0</v>
      </c>
      <c r="AJ85" s="933">
        <f>VLOOKUP($W85,feed_mix_n,MATCH(AJ$5,feed_mix_w!$B$5:$AC$5,0),FALSE)/$Z85*VLOOKUP(AJ$5,feed_intensity_w,11,FALSE)</f>
        <v>0</v>
      </c>
      <c r="AK85" s="933">
        <f>VLOOKUP($W85,feed_mix_n,MATCH(AK$5,feed_mix_w!$B$5:$AC$5,0),FALSE)/$Z85*VLOOKUP(AK$5,feed_intensity_w,11,FALSE)</f>
        <v>0</v>
      </c>
      <c r="AL85" s="933">
        <f>VLOOKUP($W85,feed_mix_n,MATCH(AL$5,feed_mix_w!$B$5:$AC$5,0),FALSE)/$Z85*VLOOKUP(AL$5,feed_intensity_w,11,FALSE)</f>
        <v>0</v>
      </c>
      <c r="AM85" s="933">
        <f>VLOOKUP($W85,feed_mix_n,MATCH(AM$5,feed_mix_w!$B$5:$AC$5,0),FALSE)/$Z85*VLOOKUP(AM$5,feed_intensity_w,11,FALSE)</f>
        <v>0</v>
      </c>
      <c r="AN85" s="933">
        <f>VLOOKUP($W85,feed_mix_n,MATCH(AN$5,feed_mix_w!$B$5:$AC$5,0),FALSE)/$Z85*VLOOKUP(AN$5,feed_intensity_w,11,FALSE)</f>
        <v>0</v>
      </c>
      <c r="AO85" s="933">
        <f>VLOOKUP($W85,feed_mix_n,MATCH(AO$5,feed_mix_w!$B$5:$AC$5,0),FALSE)/$Z85*VLOOKUP(AO$5,feed_intensity_w,11,FALSE)</f>
        <v>0</v>
      </c>
      <c r="AP85" s="933">
        <f>VLOOKUP($W85,feed_mix_n,MATCH(AP$5,feed_mix_w!$B$5:$AC$5,0),FALSE)/$Z85*VLOOKUP(AP$5,feed_intensity_w,11,FALSE)</f>
        <v>0</v>
      </c>
      <c r="AQ85" s="933">
        <f>VLOOKUP($W85,feed_mix_n,MATCH(AQ$5,feed_mix_w!$B$5:$AC$5,0),FALSE)/$Z85*VLOOKUP(AQ$5,feed_intensity_w,11,FALSE)</f>
        <v>0</v>
      </c>
      <c r="AR85" s="933">
        <f>VLOOKUP($W85,feed_mix_n,MATCH(AR$5,feed_mix_w!$B$5:$AC$5,0),FALSE)/$Z85*VLOOKUP(AR$5,feed_intensity_w,11,FALSE)</f>
        <v>0</v>
      </c>
      <c r="AS85" s="1105">
        <f>VLOOKUP($W85,feed_mix_n,MATCH(AS$5,feed_mix_w!$B$5:$AC$5,0),FALSE)/$Z85*VLOOKUP(AS$5,feed_intensity_w,11,FALSE)</f>
        <v>0</v>
      </c>
    </row>
    <row r="86" spans="1:45" ht="12.75" customHeight="1">
      <c r="A86" s="1008" t="s">
        <v>2856</v>
      </c>
      <c r="B86" s="1102">
        <v>1028</v>
      </c>
      <c r="C86" s="1103" t="s">
        <v>2857</v>
      </c>
      <c r="D86" s="1158"/>
      <c r="E86" s="1158"/>
      <c r="F86" s="1012">
        <f t="shared" si="22"/>
        <v>0</v>
      </c>
      <c r="G86" s="1012">
        <f t="shared" si="23"/>
        <v>0</v>
      </c>
      <c r="H86" s="933">
        <f t="shared" si="24"/>
        <v>0</v>
      </c>
      <c r="I86" s="1486">
        <f t="shared" si="25"/>
        <v>0</v>
      </c>
      <c r="J86" s="1006">
        <f>IFERROR(G86*VLOOKUP(W86,livestock_intensity!$B$7:$I$29,8,FALSE)/Z86,0)</f>
        <v>0</v>
      </c>
      <c r="K86" s="933">
        <f>VLOOKUP($W86,feed_mix_n,MATCH(K$5,feed_mix_w!$B$5:$AC$5,0),FALSE)/$Z86*VLOOKUP(K$5,feed_intensity_w,11,FALSE)</f>
        <v>0</v>
      </c>
      <c r="L86" s="1486">
        <f t="shared" si="26"/>
        <v>0</v>
      </c>
      <c r="M86" s="1447">
        <f>IFERROR(G86*VLOOKUP(W86,livestock_intensity!$B$7:$M$29,12,FALSE)/Z86,0)</f>
        <v>0</v>
      </c>
      <c r="N86" s="933">
        <f>VLOOKUP($W86,feed_mix_n,MATCH(N$5,feed_mix_w!$B$5:$AC$5,0),FALSE)/$Z86*VLOOKUP(N$5,feed_intensity_w,11,FALSE)</f>
        <v>2.3283053464393451</v>
      </c>
      <c r="O86" s="1486">
        <f t="shared" si="27"/>
        <v>0</v>
      </c>
      <c r="P86" s="939">
        <f>IFERROR(G86*VLOOKUP(W86,livestock_intensity!$B$7:$Q$29,16,FALSE)/Z86,0)</f>
        <v>0</v>
      </c>
      <c r="Q86" s="1530"/>
      <c r="R86" s="900">
        <f t="shared" si="28"/>
        <v>0</v>
      </c>
      <c r="S86" s="900">
        <f t="shared" si="29"/>
        <v>0</v>
      </c>
      <c r="T86" s="1483">
        <v>2748</v>
      </c>
      <c r="U86" s="1211" t="s">
        <v>2921</v>
      </c>
      <c r="V86" s="1212" t="str">
        <f>IFERROR(VLOOKUP(W86,constant_ag_extr!$D$7:$E$594,2,FALSE),"")</f>
        <v>Goats</v>
      </c>
      <c r="W86" s="1213">
        <f t="shared" si="30"/>
        <v>1016</v>
      </c>
      <c r="X86" s="1099">
        <f>IFERROR(IF(VLOOKUP(B86,cnst_grazing!$C$10:$H$25,5,FALSE)="", IF(VLOOKUP(B86, cnst_grazing!$C$10:$H$25,3,FALSE)="", VLOOKUP(B86, cnst_grazing!$C$10:$H$25,4,FALSE),VLOOKUP(B86, cnst_grazing!$C$10:$H$25,3,FALSE)), VLOOKUP(B86,cnst_grazing!$C$10:$H$25,5,FALSE)),1)</f>
        <v>1</v>
      </c>
      <c r="Y86" s="1099">
        <f>IFERROR(IF(VLOOKUP(B86,cnst_grazing!$C$10:$H$25,6,FALSE)="", IF(VLOOKUP(B86, cnst_grazing!$C$10:$H$25,4,FALSE)="", VLOOKUP(B86, cnst_grazing!$C$10:$H$25,3,FALSE),VLOOKUP(B86, cnst_grazing!$C$10:$H$25,4,FALSE)), VLOOKUP(B86,cnst_grazing!$C$10:$H$25,6,FALSE)),1)</f>
        <v>1</v>
      </c>
      <c r="Z86" s="937">
        <f t="shared" si="31"/>
        <v>6.2980077934530021</v>
      </c>
      <c r="AA86" s="1487">
        <f t="shared" si="32"/>
        <v>2.3283053464393451</v>
      </c>
      <c r="AB86" s="933">
        <f>VLOOKUP($W86,feed_mix_n,MATCH(AB$5,feed_mix_w!$B$5:$AC$5,0),FALSE)/$Z86*VLOOKUP(AB$5,feed_intensity_w,11,FALSE)</f>
        <v>0</v>
      </c>
      <c r="AC86" s="933">
        <f>VLOOKUP($W86,feed_mix_n,MATCH(AC$5,feed_mix_w!$B$5:$AC$5,0),FALSE)/$Z86*VLOOKUP(AC$5,feed_intensity_w,11,FALSE)</f>
        <v>0</v>
      </c>
      <c r="AD86" s="933">
        <f>VLOOKUP($W86,feed_mix_n,MATCH(AD$5,feed_mix_w!$B$5:$AC$5,0),FALSE)/$Z86*VLOOKUP(AD$5,feed_intensity_w,11,FALSE)</f>
        <v>0</v>
      </c>
      <c r="AE86" s="933">
        <f>VLOOKUP($W86,feed_mix_n,MATCH(AE$5,feed_mix_w!$B$5:$AC$5,0),FALSE)/$Z86*VLOOKUP(AE$5,feed_intensity_w,11,FALSE)</f>
        <v>0</v>
      </c>
      <c r="AF86" s="933">
        <f>VLOOKUP($W86,feed_mix_n,MATCH(AF$5,feed_mix_w!$B$5:$AC$5,0),FALSE)/$Z86*VLOOKUP(AF$5,feed_intensity_w,11,FALSE)</f>
        <v>0</v>
      </c>
      <c r="AG86" s="933">
        <f>VLOOKUP($W86,feed_mix_n,MATCH(AG$5,feed_mix_w!$B$5:$AC$5,0),FALSE)/$Z86*VLOOKUP(AG$5,feed_intensity_w,11,FALSE)</f>
        <v>0</v>
      </c>
      <c r="AH86" s="933">
        <f>VLOOKUP($W86,feed_mix_n,MATCH(AH$5,feed_mix_w!$B$5:$AC$5,0),FALSE)/$Z86*VLOOKUP(AH$5,feed_intensity_w,11,FALSE)</f>
        <v>0</v>
      </c>
      <c r="AI86" s="933">
        <f>VLOOKUP($W86,feed_mix_n,MATCH(AI$5,feed_mix_w!$B$5:$AC$5,0),FALSE)/$Z86*VLOOKUP(AI$5,feed_intensity_w,11,FALSE)</f>
        <v>0</v>
      </c>
      <c r="AJ86" s="933">
        <f>VLOOKUP($W86,feed_mix_n,MATCH(AJ$5,feed_mix_w!$B$5:$AC$5,0),FALSE)/$Z86*VLOOKUP(AJ$5,feed_intensity_w,11,FALSE)</f>
        <v>0</v>
      </c>
      <c r="AK86" s="933">
        <f>VLOOKUP($W86,feed_mix_n,MATCH(AK$5,feed_mix_w!$B$5:$AC$5,0),FALSE)/$Z86*VLOOKUP(AK$5,feed_intensity_w,11,FALSE)</f>
        <v>0</v>
      </c>
      <c r="AL86" s="933">
        <f>VLOOKUP($W86,feed_mix_n,MATCH(AL$5,feed_mix_w!$B$5:$AC$5,0),FALSE)/$Z86*VLOOKUP(AL$5,feed_intensity_w,11,FALSE)</f>
        <v>0</v>
      </c>
      <c r="AM86" s="933">
        <f>VLOOKUP($W86,feed_mix_n,MATCH(AM$5,feed_mix_w!$B$5:$AC$5,0),FALSE)/$Z86*VLOOKUP(AM$5,feed_intensity_w,11,FALSE)</f>
        <v>0</v>
      </c>
      <c r="AN86" s="933">
        <f>VLOOKUP($W86,feed_mix_n,MATCH(AN$5,feed_mix_w!$B$5:$AC$5,0),FALSE)/$Z86*VLOOKUP(AN$5,feed_intensity_w,11,FALSE)</f>
        <v>0</v>
      </c>
      <c r="AO86" s="933">
        <f>VLOOKUP($W86,feed_mix_n,MATCH(AO$5,feed_mix_w!$B$5:$AC$5,0),FALSE)/$Z86*VLOOKUP(AO$5,feed_intensity_w,11,FALSE)</f>
        <v>0</v>
      </c>
      <c r="AP86" s="933">
        <f>VLOOKUP($W86,feed_mix_n,MATCH(AP$5,feed_mix_w!$B$5:$AC$5,0),FALSE)/$Z86*VLOOKUP(AP$5,feed_intensity_w,11,FALSE)</f>
        <v>0</v>
      </c>
      <c r="AQ86" s="933">
        <f>VLOOKUP($W86,feed_mix_n,MATCH(AQ$5,feed_mix_w!$B$5:$AC$5,0),FALSE)/$Z86*VLOOKUP(AQ$5,feed_intensity_w,11,FALSE)</f>
        <v>0</v>
      </c>
      <c r="AR86" s="933">
        <f>VLOOKUP($W86,feed_mix_n,MATCH(AR$5,feed_mix_w!$B$5:$AC$5,0),FALSE)/$Z86*VLOOKUP(AR$5,feed_intensity_w,11,FALSE)</f>
        <v>0</v>
      </c>
      <c r="AS86" s="1105">
        <f>VLOOKUP($W86,feed_mix_n,MATCH(AS$5,feed_mix_w!$B$5:$AC$5,0),FALSE)/$Z86*VLOOKUP(AS$5,feed_intensity_w,11,FALSE)</f>
        <v>0</v>
      </c>
    </row>
    <row r="87" spans="1:45" ht="12.75" customHeight="1">
      <c r="A87" s="1008" t="s">
        <v>2263</v>
      </c>
      <c r="B87" s="1102">
        <v>1030</v>
      </c>
      <c r="C87" s="1103" t="s">
        <v>1271</v>
      </c>
      <c r="D87" s="1158"/>
      <c r="E87" s="1158"/>
      <c r="F87" s="1012">
        <f t="shared" si="22"/>
        <v>0</v>
      </c>
      <c r="G87" s="1012">
        <f t="shared" si="23"/>
        <v>0</v>
      </c>
      <c r="H87" s="933">
        <f t="shared" si="24"/>
        <v>0</v>
      </c>
      <c r="I87" s="1486">
        <f t="shared" si="25"/>
        <v>0</v>
      </c>
      <c r="J87" s="1006">
        <f>IFERROR(G87*VLOOKUP(W87,livestock_intensity!$B$7:$I$29,8,FALSE)/Z87,0)</f>
        <v>0</v>
      </c>
      <c r="K87" s="933">
        <f>VLOOKUP($W87,feed_mix_n,MATCH(K$5,feed_mix_w!$B$5:$AC$5,0),FALSE)/$Z87*VLOOKUP(K$5,feed_intensity_w,11,FALSE)</f>
        <v>0</v>
      </c>
      <c r="L87" s="1486">
        <f t="shared" si="26"/>
        <v>0</v>
      </c>
      <c r="M87" s="1447">
        <f>IFERROR(G87*VLOOKUP(W87,livestock_intensity!$B$7:$M$29,12,FALSE)/Z87,0)</f>
        <v>0</v>
      </c>
      <c r="N87" s="933">
        <f>VLOOKUP($W87,feed_mix_n,MATCH(N$5,feed_mix_w!$B$5:$AC$5,0),FALSE)/$Z87*VLOOKUP(N$5,feed_intensity_w,11,FALSE)</f>
        <v>309.99673629207302</v>
      </c>
      <c r="O87" s="1486">
        <f t="shared" si="27"/>
        <v>0</v>
      </c>
      <c r="P87" s="939">
        <f>IFERROR(G87*VLOOKUP(W87,livestock_intensity!$B$7:$Q$29,16,FALSE)/Z87,0)</f>
        <v>0</v>
      </c>
      <c r="Q87" s="1530"/>
      <c r="R87" s="900">
        <f t="shared" si="28"/>
        <v>0</v>
      </c>
      <c r="S87" s="900">
        <f t="shared" si="29"/>
        <v>0</v>
      </c>
      <c r="T87" s="1483" t="s">
        <v>2862</v>
      </c>
      <c r="U87" s="1211" t="s">
        <v>2921</v>
      </c>
      <c r="V87" s="1212" t="str">
        <f>IFERROR(VLOOKUP(W87,constant_ag_extr!$D$7:$E$594,2,FALSE),"")</f>
        <v>Goats</v>
      </c>
      <c r="W87" s="1213">
        <f t="shared" si="30"/>
        <v>1016</v>
      </c>
      <c r="X87" s="1099">
        <f>IFERROR(IF(VLOOKUP(B87,cnst_grazing!$C$10:$H$25,5,FALSE)="", IF(VLOOKUP(B87, cnst_grazing!$C$10:$H$25,3,FALSE)="", VLOOKUP(B87, cnst_grazing!$C$10:$H$25,4,FALSE),VLOOKUP(B87, cnst_grazing!$C$10:$H$25,3,FALSE)), VLOOKUP(B87,cnst_grazing!$C$10:$H$25,5,FALSE)),1)</f>
        <v>1</v>
      </c>
      <c r="Y87" s="1099">
        <f>IFERROR(IF(VLOOKUP(B87,cnst_grazing!$C$10:$H$25,6,FALSE)="", IF(VLOOKUP(B87, cnst_grazing!$C$10:$H$25,4,FALSE)="", VLOOKUP(B87, cnst_grazing!$C$10:$H$25,3,FALSE),VLOOKUP(B87, cnst_grazing!$C$10:$H$25,4,FALSE)), VLOOKUP(B87,cnst_grazing!$C$10:$H$25,6,FALSE)),1)</f>
        <v>1</v>
      </c>
      <c r="Z87" s="937">
        <f t="shared" si="31"/>
        <v>4.7302708385927782E-2</v>
      </c>
      <c r="AA87" s="1487">
        <f t="shared" si="32"/>
        <v>309.99673629207302</v>
      </c>
      <c r="AB87" s="933">
        <f>VLOOKUP($W87,feed_mix_n,MATCH(AB$5,feed_mix_w!$B$5:$AC$5,0),FALSE)/$Z87*VLOOKUP(AB$5,feed_intensity_w,11,FALSE)</f>
        <v>0</v>
      </c>
      <c r="AC87" s="933">
        <f>VLOOKUP($W87,feed_mix_n,MATCH(AC$5,feed_mix_w!$B$5:$AC$5,0),FALSE)/$Z87*VLOOKUP(AC$5,feed_intensity_w,11,FALSE)</f>
        <v>0</v>
      </c>
      <c r="AD87" s="933">
        <f>VLOOKUP($W87,feed_mix_n,MATCH(AD$5,feed_mix_w!$B$5:$AC$5,0),FALSE)/$Z87*VLOOKUP(AD$5,feed_intensity_w,11,FALSE)</f>
        <v>0</v>
      </c>
      <c r="AE87" s="933">
        <f>VLOOKUP($W87,feed_mix_n,MATCH(AE$5,feed_mix_w!$B$5:$AC$5,0),FALSE)/$Z87*VLOOKUP(AE$5,feed_intensity_w,11,FALSE)</f>
        <v>0</v>
      </c>
      <c r="AF87" s="933">
        <f>VLOOKUP($W87,feed_mix_n,MATCH(AF$5,feed_mix_w!$B$5:$AC$5,0),FALSE)/$Z87*VLOOKUP(AF$5,feed_intensity_w,11,FALSE)</f>
        <v>0</v>
      </c>
      <c r="AG87" s="933">
        <f>VLOOKUP($W87,feed_mix_n,MATCH(AG$5,feed_mix_w!$B$5:$AC$5,0),FALSE)/$Z87*VLOOKUP(AG$5,feed_intensity_w,11,FALSE)</f>
        <v>0</v>
      </c>
      <c r="AH87" s="933">
        <f>VLOOKUP($W87,feed_mix_n,MATCH(AH$5,feed_mix_w!$B$5:$AC$5,0),FALSE)/$Z87*VLOOKUP(AH$5,feed_intensity_w,11,FALSE)</f>
        <v>0</v>
      </c>
      <c r="AI87" s="933">
        <f>VLOOKUP($W87,feed_mix_n,MATCH(AI$5,feed_mix_w!$B$5:$AC$5,0),FALSE)/$Z87*VLOOKUP(AI$5,feed_intensity_w,11,FALSE)</f>
        <v>0</v>
      </c>
      <c r="AJ87" s="933">
        <f>VLOOKUP($W87,feed_mix_n,MATCH(AJ$5,feed_mix_w!$B$5:$AC$5,0),FALSE)/$Z87*VLOOKUP(AJ$5,feed_intensity_w,11,FALSE)</f>
        <v>0</v>
      </c>
      <c r="AK87" s="933">
        <f>VLOOKUP($W87,feed_mix_n,MATCH(AK$5,feed_mix_w!$B$5:$AC$5,0),FALSE)/$Z87*VLOOKUP(AK$5,feed_intensity_w,11,FALSE)</f>
        <v>0</v>
      </c>
      <c r="AL87" s="933">
        <f>VLOOKUP($W87,feed_mix_n,MATCH(AL$5,feed_mix_w!$B$5:$AC$5,0),FALSE)/$Z87*VLOOKUP(AL$5,feed_intensity_w,11,FALSE)</f>
        <v>0</v>
      </c>
      <c r="AM87" s="933">
        <f>VLOOKUP($W87,feed_mix_n,MATCH(AM$5,feed_mix_w!$B$5:$AC$5,0),FALSE)/$Z87*VLOOKUP(AM$5,feed_intensity_w,11,FALSE)</f>
        <v>0</v>
      </c>
      <c r="AN87" s="933">
        <f>VLOOKUP($W87,feed_mix_n,MATCH(AN$5,feed_mix_w!$B$5:$AC$5,0),FALSE)/$Z87*VLOOKUP(AN$5,feed_intensity_w,11,FALSE)</f>
        <v>0</v>
      </c>
      <c r="AO87" s="933">
        <f>VLOOKUP($W87,feed_mix_n,MATCH(AO$5,feed_mix_w!$B$5:$AC$5,0),FALSE)/$Z87*VLOOKUP(AO$5,feed_intensity_w,11,FALSE)</f>
        <v>0</v>
      </c>
      <c r="AP87" s="933">
        <f>VLOOKUP($W87,feed_mix_n,MATCH(AP$5,feed_mix_w!$B$5:$AC$5,0),FALSE)/$Z87*VLOOKUP(AP$5,feed_intensity_w,11,FALSE)</f>
        <v>0</v>
      </c>
      <c r="AQ87" s="933">
        <f>VLOOKUP($W87,feed_mix_n,MATCH(AQ$5,feed_mix_w!$B$5:$AC$5,0),FALSE)/$Z87*VLOOKUP(AQ$5,feed_intensity_w,11,FALSE)</f>
        <v>0</v>
      </c>
      <c r="AR87" s="933">
        <f>VLOOKUP($W87,feed_mix_n,MATCH(AR$5,feed_mix_w!$B$5:$AC$5,0),FALSE)/$Z87*VLOOKUP(AR$5,feed_intensity_w,11,FALSE)</f>
        <v>0</v>
      </c>
      <c r="AS87" s="1105">
        <f>VLOOKUP($W87,feed_mix_n,MATCH(AS$5,feed_mix_w!$B$5:$AC$5,0),FALSE)/$Z87*VLOOKUP(AS$5,feed_intensity_w,11,FALSE)</f>
        <v>0</v>
      </c>
    </row>
    <row r="88" spans="1:45" ht="12.75" customHeight="1">
      <c r="A88" s="1008" t="s">
        <v>7388</v>
      </c>
      <c r="B88" s="1102">
        <v>1031</v>
      </c>
      <c r="C88" s="1103" t="s">
        <v>1259</v>
      </c>
      <c r="D88" s="1158"/>
      <c r="E88" s="1158"/>
      <c r="F88" s="1012">
        <f t="shared" si="22"/>
        <v>0</v>
      </c>
      <c r="G88" s="1012">
        <f t="shared" si="23"/>
        <v>0</v>
      </c>
      <c r="H88" s="933">
        <f t="shared" si="24"/>
        <v>0</v>
      </c>
      <c r="I88" s="1486">
        <f t="shared" si="25"/>
        <v>0</v>
      </c>
      <c r="J88" s="1006">
        <f>IFERROR(G88*VLOOKUP(W88,livestock_intensity!$B$7:$I$29,8,FALSE)/Z88,0)</f>
        <v>0</v>
      </c>
      <c r="K88" s="933">
        <f>VLOOKUP($W88,feed_mix_n,MATCH(K$5,feed_mix_w!$B$5:$AC$5,0),FALSE)/$Z88*VLOOKUP(K$5,feed_intensity_w,11,FALSE)</f>
        <v>0</v>
      </c>
      <c r="L88" s="1486">
        <f t="shared" si="26"/>
        <v>0</v>
      </c>
      <c r="M88" s="1447">
        <f>IFERROR(G88*VLOOKUP(W88,livestock_intensity!$B$7:$M$29,12,FALSE)/Z88,0)</f>
        <v>0</v>
      </c>
      <c r="N88" s="933">
        <f>VLOOKUP($W88,feed_mix_n,MATCH(N$5,feed_mix_w!$B$5:$AC$5,0),FALSE)/$Z88*VLOOKUP(N$5,feed_intensity_w,11,FALSE)</f>
        <v>5.5407048167437223</v>
      </c>
      <c r="O88" s="1486">
        <f t="shared" si="27"/>
        <v>0</v>
      </c>
      <c r="P88" s="939">
        <f>IFERROR(G88*VLOOKUP(W88,livestock_intensity!$B$7:$Q$29,16,FALSE)/Z88,0)</f>
        <v>0</v>
      </c>
      <c r="Q88" s="1530"/>
      <c r="R88" s="900">
        <f t="shared" si="28"/>
        <v>0</v>
      </c>
      <c r="S88" s="900">
        <f t="shared" si="29"/>
        <v>0</v>
      </c>
      <c r="T88" s="1483" t="s">
        <v>2862</v>
      </c>
      <c r="U88" s="1211" t="s">
        <v>2921</v>
      </c>
      <c r="V88" s="1212" t="str">
        <f>IFERROR(VLOOKUP(W88,constant_ag_extr!$D$7:$E$594,2,FALSE),"")</f>
        <v>Goats</v>
      </c>
      <c r="W88" s="1213">
        <f t="shared" si="30"/>
        <v>1016</v>
      </c>
      <c r="X88" s="1099">
        <f>IFERROR(IF(VLOOKUP(B88,cnst_grazing!$C$10:$H$25,5,FALSE)="", IF(VLOOKUP(B88, cnst_grazing!$C$10:$H$25,3,FALSE)="", VLOOKUP(B88, cnst_grazing!$C$10:$H$25,4,FALSE),VLOOKUP(B88, cnst_grazing!$C$10:$H$25,3,FALSE)), VLOOKUP(B88,cnst_grazing!$C$10:$H$25,5,FALSE)),1)</f>
        <v>1</v>
      </c>
      <c r="Y88" s="1099">
        <f>IFERROR(IF(VLOOKUP(B88,cnst_grazing!$C$10:$H$25,6,FALSE)="", IF(VLOOKUP(B88, cnst_grazing!$C$10:$H$25,4,FALSE)="", VLOOKUP(B88, cnst_grazing!$C$10:$H$25,3,FALSE),VLOOKUP(B88, cnst_grazing!$C$10:$H$25,4,FALSE)), VLOOKUP(B88,cnst_grazing!$C$10:$H$25,6,FALSE)),1)</f>
        <v>1</v>
      </c>
      <c r="Z88" s="937">
        <f t="shared" si="31"/>
        <v>2.6465378868587965</v>
      </c>
      <c r="AA88" s="1487">
        <f t="shared" si="32"/>
        <v>5.5407048167437223</v>
      </c>
      <c r="AB88" s="933">
        <f>VLOOKUP($W88,feed_mix_n,MATCH(AB$5,feed_mix_w!$B$5:$AC$5,0),FALSE)/$Z88*VLOOKUP(AB$5,feed_intensity_w,11,FALSE)</f>
        <v>0</v>
      </c>
      <c r="AC88" s="933">
        <f>VLOOKUP($W88,feed_mix_n,MATCH(AC$5,feed_mix_w!$B$5:$AC$5,0),FALSE)/$Z88*VLOOKUP(AC$5,feed_intensity_w,11,FALSE)</f>
        <v>0</v>
      </c>
      <c r="AD88" s="933">
        <f>VLOOKUP($W88,feed_mix_n,MATCH(AD$5,feed_mix_w!$B$5:$AC$5,0),FALSE)/$Z88*VLOOKUP(AD$5,feed_intensity_w,11,FALSE)</f>
        <v>0</v>
      </c>
      <c r="AE88" s="933">
        <f>VLOOKUP($W88,feed_mix_n,MATCH(AE$5,feed_mix_w!$B$5:$AC$5,0),FALSE)/$Z88*VLOOKUP(AE$5,feed_intensity_w,11,FALSE)</f>
        <v>0</v>
      </c>
      <c r="AF88" s="933">
        <f>VLOOKUP($W88,feed_mix_n,MATCH(AF$5,feed_mix_w!$B$5:$AC$5,0),FALSE)/$Z88*VLOOKUP(AF$5,feed_intensity_w,11,FALSE)</f>
        <v>0</v>
      </c>
      <c r="AG88" s="933">
        <f>VLOOKUP($W88,feed_mix_n,MATCH(AG$5,feed_mix_w!$B$5:$AC$5,0),FALSE)/$Z88*VLOOKUP(AG$5,feed_intensity_w,11,FALSE)</f>
        <v>0</v>
      </c>
      <c r="AH88" s="933">
        <f>VLOOKUP($W88,feed_mix_n,MATCH(AH$5,feed_mix_w!$B$5:$AC$5,0),FALSE)/$Z88*VLOOKUP(AH$5,feed_intensity_w,11,FALSE)</f>
        <v>0</v>
      </c>
      <c r="AI88" s="933">
        <f>VLOOKUP($W88,feed_mix_n,MATCH(AI$5,feed_mix_w!$B$5:$AC$5,0),FALSE)/$Z88*VLOOKUP(AI$5,feed_intensity_w,11,FALSE)</f>
        <v>0</v>
      </c>
      <c r="AJ88" s="933">
        <f>VLOOKUP($W88,feed_mix_n,MATCH(AJ$5,feed_mix_w!$B$5:$AC$5,0),FALSE)/$Z88*VLOOKUP(AJ$5,feed_intensity_w,11,FALSE)</f>
        <v>0</v>
      </c>
      <c r="AK88" s="933">
        <f>VLOOKUP($W88,feed_mix_n,MATCH(AK$5,feed_mix_w!$B$5:$AC$5,0),FALSE)/$Z88*VLOOKUP(AK$5,feed_intensity_w,11,FALSE)</f>
        <v>0</v>
      </c>
      <c r="AL88" s="933">
        <f>VLOOKUP($W88,feed_mix_n,MATCH(AL$5,feed_mix_w!$B$5:$AC$5,0),FALSE)/$Z88*VLOOKUP(AL$5,feed_intensity_w,11,FALSE)</f>
        <v>0</v>
      </c>
      <c r="AM88" s="933">
        <f>VLOOKUP($W88,feed_mix_n,MATCH(AM$5,feed_mix_w!$B$5:$AC$5,0),FALSE)/$Z88*VLOOKUP(AM$5,feed_intensity_w,11,FALSE)</f>
        <v>0</v>
      </c>
      <c r="AN88" s="933">
        <f>VLOOKUP($W88,feed_mix_n,MATCH(AN$5,feed_mix_w!$B$5:$AC$5,0),FALSE)/$Z88*VLOOKUP(AN$5,feed_intensity_w,11,FALSE)</f>
        <v>0</v>
      </c>
      <c r="AO88" s="933">
        <f>VLOOKUP($W88,feed_mix_n,MATCH(AO$5,feed_mix_w!$B$5:$AC$5,0),FALSE)/$Z88*VLOOKUP(AO$5,feed_intensity_w,11,FALSE)</f>
        <v>0</v>
      </c>
      <c r="AP88" s="933">
        <f>VLOOKUP($W88,feed_mix_n,MATCH(AP$5,feed_mix_w!$B$5:$AC$5,0),FALSE)/$Z88*VLOOKUP(AP$5,feed_intensity_w,11,FALSE)</f>
        <v>0</v>
      </c>
      <c r="AQ88" s="933">
        <f>VLOOKUP($W88,feed_mix_n,MATCH(AQ$5,feed_mix_w!$B$5:$AC$5,0),FALSE)/$Z88*VLOOKUP(AQ$5,feed_intensity_w,11,FALSE)</f>
        <v>0</v>
      </c>
      <c r="AR88" s="933">
        <f>VLOOKUP($W88,feed_mix_n,MATCH(AR$5,feed_mix_w!$B$5:$AC$5,0),FALSE)/$Z88*VLOOKUP(AR$5,feed_intensity_w,11,FALSE)</f>
        <v>0</v>
      </c>
      <c r="AS88" s="1105">
        <f>VLOOKUP($W88,feed_mix_n,MATCH(AS$5,feed_mix_w!$B$5:$AC$5,0),FALSE)/$Z88*VLOOKUP(AS$5,feed_intensity_w,11,FALSE)</f>
        <v>0</v>
      </c>
    </row>
    <row r="89" spans="1:45" ht="12.75" customHeight="1">
      <c r="A89" s="1008" t="s">
        <v>1750</v>
      </c>
      <c r="B89" s="1102">
        <v>1034</v>
      </c>
      <c r="C89" s="1103">
        <v>103</v>
      </c>
      <c r="D89" s="1158">
        <v>4958270</v>
      </c>
      <c r="E89" s="1158">
        <v>34004</v>
      </c>
      <c r="F89" s="1012">
        <f t="shared" si="22"/>
        <v>244856.37628305974</v>
      </c>
      <c r="G89" s="1012">
        <f t="shared" si="23"/>
        <v>1955.7424406539385</v>
      </c>
      <c r="H89" s="933">
        <f t="shared" si="24"/>
        <v>1.2974217913643014</v>
      </c>
      <c r="I89" s="1486">
        <f t="shared" si="25"/>
        <v>317681.99834413879</v>
      </c>
      <c r="J89" s="1006">
        <f>IFERROR(G89*VLOOKUP(W89,livestock_intensity!$B$7:$I$29,8,FALSE)/Z89,0)</f>
        <v>3207.9741754487577</v>
      </c>
      <c r="K89" s="933">
        <f>VLOOKUP($W89,feed_mix_n,MATCH(K$5,feed_mix_w!$B$5:$AC$5,0),FALSE)/$Z89*VLOOKUP(K$5,feed_intensity_w,11,FALSE)</f>
        <v>0.11794477765807192</v>
      </c>
      <c r="L89" s="1486">
        <f t="shared" si="26"/>
        <v>28879.530858866674</v>
      </c>
      <c r="M89" s="1447">
        <f>IFERROR(G89*VLOOKUP(W89,livestock_intensity!$B$7:$M$29,12,FALSE)/Z89,0)</f>
        <v>64.498802844249411</v>
      </c>
      <c r="N89" s="933">
        <f>VLOOKUP($W89,feed_mix_n,MATCH(N$5,feed_mix_w!$B$5:$AC$5,0),FALSE)/$Z89*VLOOKUP(N$5,feed_intensity_w,11,FALSE)</f>
        <v>0</v>
      </c>
      <c r="O89" s="1486">
        <f t="shared" si="27"/>
        <v>0</v>
      </c>
      <c r="P89" s="939">
        <f>IFERROR(G89*VLOOKUP(W89,livestock_intensity!$B$7:$Q$29,16,FALSE)/Z89,0)</f>
        <v>0</v>
      </c>
      <c r="Q89" s="1530"/>
      <c r="R89" s="900">
        <f t="shared" si="28"/>
        <v>346561.52920300548</v>
      </c>
      <c r="S89" s="900">
        <f t="shared" si="29"/>
        <v>3272.4729782930071</v>
      </c>
      <c r="T89" s="1483" t="s">
        <v>2862</v>
      </c>
      <c r="U89" s="1211" t="s">
        <v>415</v>
      </c>
      <c r="V89" s="1212" t="str">
        <f>IFERROR(VLOOKUP(W89,constant_ag_extr!$D$7:$E$594,2,FALSE),"")</f>
        <v>Pigs</v>
      </c>
      <c r="W89" s="1213">
        <f t="shared" si="30"/>
        <v>1034</v>
      </c>
      <c r="X89" s="1099">
        <f>IFERROR(IF(VLOOKUP(B89,cnst_grazing!$C$10:$H$25,5,FALSE)="", IF(VLOOKUP(B89, cnst_grazing!$C$10:$H$25,3,FALSE)="", VLOOKUP(B89, cnst_grazing!$C$10:$H$25,4,FALSE),VLOOKUP(B89, cnst_grazing!$C$10:$H$25,3,FALSE)), VLOOKUP(B89,cnst_grazing!$C$10:$H$25,5,FALSE)),1)</f>
        <v>4.9383429358034102E-2</v>
      </c>
      <c r="Y89" s="1099">
        <f>IFERROR(IF(VLOOKUP(B89,cnst_grazing!$C$10:$H$25,6,FALSE)="", IF(VLOOKUP(B89, cnst_grazing!$C$10:$H$25,4,FALSE)="", VLOOKUP(B89, cnst_grazing!$C$10:$H$25,3,FALSE),VLOOKUP(B89, cnst_grazing!$C$10:$H$25,4,FALSE)), VLOOKUP(B89,cnst_grazing!$C$10:$H$25,6,FALSE)),1)</f>
        <v>5.7515070010996899E-2</v>
      </c>
      <c r="Z89" s="937">
        <f t="shared" si="31"/>
        <v>1</v>
      </c>
      <c r="AA89" s="1487">
        <f t="shared" si="32"/>
        <v>1.2974217913643014</v>
      </c>
      <c r="AB89" s="933">
        <f>VLOOKUP($W89,feed_mix_n,MATCH(AB$5,feed_mix_w!$B$5:$AC$5,0),FALSE)/$Z89*VLOOKUP(AB$5,feed_intensity_w,11,FALSE)</f>
        <v>0.5485761748691188</v>
      </c>
      <c r="AC89" s="933">
        <f>VLOOKUP($W89,feed_mix_n,MATCH(AC$5,feed_mix_w!$B$5:$AC$5,0),FALSE)/$Z89*VLOOKUP(AC$5,feed_intensity_w,11,FALSE)</f>
        <v>0</v>
      </c>
      <c r="AD89" s="933">
        <f>VLOOKUP($W89,feed_mix_n,MATCH(AD$5,feed_mix_w!$B$5:$AC$5,0),FALSE)/$Z89*VLOOKUP(AD$5,feed_intensity_w,11,FALSE)</f>
        <v>0.25447922387499505</v>
      </c>
      <c r="AE89" s="933">
        <f>VLOOKUP($W89,feed_mix_n,MATCH(AE$5,feed_mix_w!$B$5:$AC$5,0),FALSE)/$Z89*VLOOKUP(AE$5,feed_intensity_w,11,FALSE)</f>
        <v>0.10495911785761522</v>
      </c>
      <c r="AF89" s="933">
        <f>VLOOKUP($W89,feed_mix_n,MATCH(AF$5,feed_mix_w!$B$5:$AC$5,0),FALSE)/$Z89*VLOOKUP(AF$5,feed_intensity_w,11,FALSE)</f>
        <v>0</v>
      </c>
      <c r="AG89" s="933">
        <f>VLOOKUP($W89,feed_mix_n,MATCH(AG$5,feed_mix_w!$B$5:$AC$5,0),FALSE)/$Z89*VLOOKUP(AG$5,feed_intensity_w,11,FALSE)</f>
        <v>0</v>
      </c>
      <c r="AH89" s="933">
        <f>VLOOKUP($W89,feed_mix_n,MATCH(AH$5,feed_mix_w!$B$5:$AC$5,0),FALSE)/$Z89*VLOOKUP(AH$5,feed_intensity_w,11,FALSE)</f>
        <v>0.25190188285827653</v>
      </c>
      <c r="AI89" s="933">
        <f>VLOOKUP($W89,feed_mix_n,MATCH(AI$5,feed_mix_w!$B$5:$AC$5,0),FALSE)/$Z89*VLOOKUP(AI$5,feed_intensity_w,11,FALSE)</f>
        <v>0</v>
      </c>
      <c r="AJ89" s="933">
        <f>VLOOKUP($W89,feed_mix_n,MATCH(AJ$5,feed_mix_w!$B$5:$AC$5,0),FALSE)/$Z89*VLOOKUP(AJ$5,feed_intensity_w,11,FALSE)</f>
        <v>0</v>
      </c>
      <c r="AK89" s="933">
        <f>VLOOKUP($W89,feed_mix_n,MATCH(AK$5,feed_mix_w!$B$5:$AC$5,0),FALSE)/$Z89*VLOOKUP(AK$5,feed_intensity_w,11,FALSE)</f>
        <v>0</v>
      </c>
      <c r="AL89" s="933">
        <f>VLOOKUP($W89,feed_mix_n,MATCH(AL$5,feed_mix_w!$B$5:$AC$5,0),FALSE)/$Z89*VLOOKUP(AL$5,feed_intensity_w,11,FALSE)</f>
        <v>0</v>
      </c>
      <c r="AM89" s="933">
        <f>VLOOKUP($W89,feed_mix_n,MATCH(AM$5,feed_mix_w!$B$5:$AC$5,0),FALSE)/$Z89*VLOOKUP(AM$5,feed_intensity_w,11,FALSE)</f>
        <v>0</v>
      </c>
      <c r="AN89" s="933">
        <f>VLOOKUP($W89,feed_mix_n,MATCH(AN$5,feed_mix_w!$B$5:$AC$5,0),FALSE)/$Z89*VLOOKUP(AN$5,feed_intensity_w,11,FALSE)</f>
        <v>0</v>
      </c>
      <c r="AO89" s="933">
        <f>VLOOKUP($W89,feed_mix_n,MATCH(AO$5,feed_mix_w!$B$5:$AC$5,0),FALSE)/$Z89*VLOOKUP(AO$5,feed_intensity_w,11,FALSE)</f>
        <v>0</v>
      </c>
      <c r="AP89" s="933">
        <f>VLOOKUP($W89,feed_mix_n,MATCH(AP$5,feed_mix_w!$B$5:$AC$5,0),FALSE)/$Z89*VLOOKUP(AP$5,feed_intensity_w,11,FALSE)</f>
        <v>0</v>
      </c>
      <c r="AQ89" s="933">
        <f>VLOOKUP($W89,feed_mix_n,MATCH(AQ$5,feed_mix_w!$B$5:$AC$5,0),FALSE)/$Z89*VLOOKUP(AQ$5,feed_intensity_w,11,FALSE)</f>
        <v>0</v>
      </c>
      <c r="AR89" s="933">
        <f>VLOOKUP($W89,feed_mix_n,MATCH(AR$5,feed_mix_w!$B$5:$AC$5,0),FALSE)/$Z89*VLOOKUP(AR$5,feed_intensity_w,11,FALSE)</f>
        <v>0.13750539190429587</v>
      </c>
      <c r="AS89" s="1105">
        <f>VLOOKUP($W89,feed_mix_n,MATCH(AS$5,feed_mix_w!$B$5:$AC$5,0),FALSE)/$Z89*VLOOKUP(AS$5,feed_intensity_w,11,FALSE)</f>
        <v>0</v>
      </c>
    </row>
    <row r="90" spans="1:45" ht="12.75" customHeight="1">
      <c r="A90" s="1008" t="s">
        <v>7389</v>
      </c>
      <c r="B90" s="1102">
        <v>1035</v>
      </c>
      <c r="C90" s="1103" t="s">
        <v>139</v>
      </c>
      <c r="D90" s="1158">
        <v>75049</v>
      </c>
      <c r="E90" s="1158">
        <v>431299</v>
      </c>
      <c r="F90" s="1012">
        <f t="shared" si="22"/>
        <v>75049</v>
      </c>
      <c r="G90" s="1012">
        <f t="shared" si="23"/>
        <v>431299</v>
      </c>
      <c r="H90" s="933">
        <f t="shared" si="24"/>
        <v>1.550739269762901</v>
      </c>
      <c r="I90" s="1486">
        <f t="shared" si="25"/>
        <v>116381.43145643595</v>
      </c>
      <c r="J90" s="1006">
        <f>IFERROR(G90*VLOOKUP(W90,livestock_intensity!$B$7:$I$29,8,FALSE)/Z90,0)</f>
        <v>845581.06865563814</v>
      </c>
      <c r="K90" s="933">
        <f>VLOOKUP($W90,feed_mix_n,MATCH(K$5,feed_mix_w!$B$5:$AC$5,0),FALSE)/$Z90*VLOOKUP(K$5,feed_intensity_w,11,FALSE)</f>
        <v>0.14097312038014742</v>
      </c>
      <c r="L90" s="1486">
        <f t="shared" si="26"/>
        <v>10579.891711409684</v>
      </c>
      <c r="M90" s="1447">
        <f>IFERROR(G90*VLOOKUP(W90,livestock_intensity!$B$7:$M$29,12,FALSE)/Z90,0)</f>
        <v>17001.061621208464</v>
      </c>
      <c r="N90" s="933">
        <f>VLOOKUP($W90,feed_mix_n,MATCH(N$5,feed_mix_w!$B$5:$AC$5,0),FALSE)/$Z90*VLOOKUP(N$5,feed_intensity_w,11,FALSE)</f>
        <v>0</v>
      </c>
      <c r="O90" s="1486">
        <f t="shared" si="27"/>
        <v>0</v>
      </c>
      <c r="P90" s="939">
        <f>IFERROR(G90*VLOOKUP(W90,livestock_intensity!$B$7:$Q$29,16,FALSE)/Z90,0)</f>
        <v>0</v>
      </c>
      <c r="Q90" s="1530"/>
      <c r="R90" s="900">
        <f t="shared" si="28"/>
        <v>126961.32316784564</v>
      </c>
      <c r="S90" s="900">
        <f t="shared" si="29"/>
        <v>862582.13027684658</v>
      </c>
      <c r="T90" s="1483" t="s">
        <v>2862</v>
      </c>
      <c r="U90" s="1211" t="s">
        <v>2921</v>
      </c>
      <c r="V90" s="1212" t="str">
        <f>IFERROR(VLOOKUP(W90,constant_ag_extr!$D$7:$E$594,2,FALSE),"")</f>
        <v>Pigs</v>
      </c>
      <c r="W90" s="1213">
        <f t="shared" si="30"/>
        <v>1034</v>
      </c>
      <c r="X90" s="1099">
        <f>IFERROR(IF(VLOOKUP(B90,cnst_grazing!$C$10:$H$25,5,FALSE)="", IF(VLOOKUP(B90, cnst_grazing!$C$10:$H$25,3,FALSE)="", VLOOKUP(B90, cnst_grazing!$C$10:$H$25,4,FALSE),VLOOKUP(B90, cnst_grazing!$C$10:$H$25,3,FALSE)), VLOOKUP(B90,cnst_grazing!$C$10:$H$25,5,FALSE)),1)</f>
        <v>1</v>
      </c>
      <c r="Y90" s="1099">
        <f>IFERROR(IF(VLOOKUP(B90,cnst_grazing!$C$10:$H$25,6,FALSE)="", IF(VLOOKUP(B90, cnst_grazing!$C$10:$H$25,4,FALSE)="", VLOOKUP(B90, cnst_grazing!$C$10:$H$25,3,FALSE),VLOOKUP(B90, cnst_grazing!$C$10:$H$25,4,FALSE)), VLOOKUP(B90,cnst_grazing!$C$10:$H$25,6,FALSE)),1)</f>
        <v>1</v>
      </c>
      <c r="Z90" s="937">
        <f t="shared" si="31"/>
        <v>0.83664727956664808</v>
      </c>
      <c r="AA90" s="1487">
        <f t="shared" si="32"/>
        <v>1.550739269762901</v>
      </c>
      <c r="AB90" s="933">
        <f>VLOOKUP($W90,feed_mix_n,MATCH(AB$5,feed_mix_w!$B$5:$AC$5,0),FALSE)/$Z90*VLOOKUP(AB$5,feed_intensity_w,11,FALSE)</f>
        <v>0.65568392830161437</v>
      </c>
      <c r="AC90" s="933">
        <f>VLOOKUP($W90,feed_mix_n,MATCH(AC$5,feed_mix_w!$B$5:$AC$5,0),FALSE)/$Z90*VLOOKUP(AC$5,feed_intensity_w,11,FALSE)</f>
        <v>0</v>
      </c>
      <c r="AD90" s="933">
        <f>VLOOKUP($W90,feed_mix_n,MATCH(AD$5,feed_mix_w!$B$5:$AC$5,0),FALSE)/$Z90*VLOOKUP(AD$5,feed_intensity_w,11,FALSE)</f>
        <v>0.30416548298203483</v>
      </c>
      <c r="AE90" s="933">
        <f>VLOOKUP($W90,feed_mix_n,MATCH(AE$5,feed_mix_w!$B$5:$AC$5,0),FALSE)/$Z90*VLOOKUP(AE$5,feed_intensity_w,11,FALSE)</f>
        <v>0.12545205180369451</v>
      </c>
      <c r="AF90" s="933">
        <f>VLOOKUP($W90,feed_mix_n,MATCH(AF$5,feed_mix_w!$B$5:$AC$5,0),FALSE)/$Z90*VLOOKUP(AF$5,feed_intensity_w,11,FALSE)</f>
        <v>0</v>
      </c>
      <c r="AG90" s="933">
        <f>VLOOKUP($W90,feed_mix_n,MATCH(AG$5,feed_mix_w!$B$5:$AC$5,0),FALSE)/$Z90*VLOOKUP(AG$5,feed_intensity_w,11,FALSE)</f>
        <v>0</v>
      </c>
      <c r="AH90" s="933">
        <f>VLOOKUP($W90,feed_mix_n,MATCH(AH$5,feed_mix_w!$B$5:$AC$5,0),FALSE)/$Z90*VLOOKUP(AH$5,feed_intensity_w,11,FALSE)</f>
        <v>0.30108492432886685</v>
      </c>
      <c r="AI90" s="933">
        <f>VLOOKUP($W90,feed_mix_n,MATCH(AI$5,feed_mix_w!$B$5:$AC$5,0),FALSE)/$Z90*VLOOKUP(AI$5,feed_intensity_w,11,FALSE)</f>
        <v>0</v>
      </c>
      <c r="AJ90" s="933">
        <f>VLOOKUP($W90,feed_mix_n,MATCH(AJ$5,feed_mix_w!$B$5:$AC$5,0),FALSE)/$Z90*VLOOKUP(AJ$5,feed_intensity_w,11,FALSE)</f>
        <v>0</v>
      </c>
      <c r="AK90" s="933">
        <f>VLOOKUP($W90,feed_mix_n,MATCH(AK$5,feed_mix_w!$B$5:$AC$5,0),FALSE)/$Z90*VLOOKUP(AK$5,feed_intensity_w,11,FALSE)</f>
        <v>0</v>
      </c>
      <c r="AL90" s="933">
        <f>VLOOKUP($W90,feed_mix_n,MATCH(AL$5,feed_mix_w!$B$5:$AC$5,0),FALSE)/$Z90*VLOOKUP(AL$5,feed_intensity_w,11,FALSE)</f>
        <v>0</v>
      </c>
      <c r="AM90" s="933">
        <f>VLOOKUP($W90,feed_mix_n,MATCH(AM$5,feed_mix_w!$B$5:$AC$5,0),FALSE)/$Z90*VLOOKUP(AM$5,feed_intensity_w,11,FALSE)</f>
        <v>0</v>
      </c>
      <c r="AN90" s="933">
        <f>VLOOKUP($W90,feed_mix_n,MATCH(AN$5,feed_mix_w!$B$5:$AC$5,0),FALSE)/$Z90*VLOOKUP(AN$5,feed_intensity_w,11,FALSE)</f>
        <v>0</v>
      </c>
      <c r="AO90" s="933">
        <f>VLOOKUP($W90,feed_mix_n,MATCH(AO$5,feed_mix_w!$B$5:$AC$5,0),FALSE)/$Z90*VLOOKUP(AO$5,feed_intensity_w,11,FALSE)</f>
        <v>0</v>
      </c>
      <c r="AP90" s="933">
        <f>VLOOKUP($W90,feed_mix_n,MATCH(AP$5,feed_mix_w!$B$5:$AC$5,0),FALSE)/$Z90*VLOOKUP(AP$5,feed_intensity_w,11,FALSE)</f>
        <v>0</v>
      </c>
      <c r="AQ90" s="933">
        <f>VLOOKUP($W90,feed_mix_n,MATCH(AQ$5,feed_mix_w!$B$5:$AC$5,0),FALSE)/$Z90*VLOOKUP(AQ$5,feed_intensity_w,11,FALSE)</f>
        <v>0</v>
      </c>
      <c r="AR90" s="933">
        <f>VLOOKUP($W90,feed_mix_n,MATCH(AR$5,feed_mix_w!$B$5:$AC$5,0),FALSE)/$Z90*VLOOKUP(AR$5,feed_intensity_w,11,FALSE)</f>
        <v>0.16435288234669035</v>
      </c>
      <c r="AS90" s="1105">
        <f>VLOOKUP($W90,feed_mix_n,MATCH(AS$5,feed_mix_w!$B$5:$AC$5,0),FALSE)/$Z90*VLOOKUP(AS$5,feed_intensity_w,11,FALSE)</f>
        <v>0</v>
      </c>
    </row>
    <row r="91" spans="1:45" ht="12.75" customHeight="1">
      <c r="A91" s="1008" t="s">
        <v>7390</v>
      </c>
      <c r="B91" s="1102">
        <v>1036</v>
      </c>
      <c r="C91" s="1103" t="s">
        <v>688</v>
      </c>
      <c r="D91" s="1158">
        <v>26891</v>
      </c>
      <c r="E91" s="1158">
        <v>393583</v>
      </c>
      <c r="F91" s="1012">
        <f t="shared" si="22"/>
        <v>26891</v>
      </c>
      <c r="G91" s="1012">
        <f t="shared" si="23"/>
        <v>393583</v>
      </c>
      <c r="H91" s="933">
        <f t="shared" si="24"/>
        <v>0.85332636022329666</v>
      </c>
      <c r="I91" s="1486">
        <f t="shared" si="25"/>
        <v>22946.79915276467</v>
      </c>
      <c r="J91" s="1006">
        <f>IFERROR(G91*VLOOKUP(W91,livestock_intensity!$B$7:$I$29,8,FALSE)/Z91,0)</f>
        <v>424609.30639960337</v>
      </c>
      <c r="K91" s="933">
        <f>VLOOKUP($W91,feed_mix_n,MATCH(K$5,feed_mix_w!$B$5:$AC$5,0),FALSE)/$Z91*VLOOKUP(K$5,feed_intensity_w,11,FALSE)</f>
        <v>7.7573375517668047E-2</v>
      </c>
      <c r="L91" s="1486">
        <f t="shared" si="26"/>
        <v>2086.0256410456113</v>
      </c>
      <c r="M91" s="1447">
        <f>IFERROR(G91*VLOOKUP(W91,livestock_intensity!$B$7:$M$29,12,FALSE)/Z91,0)</f>
        <v>8537.0986303125155</v>
      </c>
      <c r="N91" s="933">
        <f>VLOOKUP($W91,feed_mix_n,MATCH(N$5,feed_mix_w!$B$5:$AC$5,0),FALSE)/$Z91*VLOOKUP(N$5,feed_intensity_w,11,FALSE)</f>
        <v>0</v>
      </c>
      <c r="O91" s="1486">
        <f t="shared" si="27"/>
        <v>0</v>
      </c>
      <c r="P91" s="939">
        <f>IFERROR(G91*VLOOKUP(W91,livestock_intensity!$B$7:$Q$29,16,FALSE)/Z91,0)</f>
        <v>0</v>
      </c>
      <c r="Q91" s="1530"/>
      <c r="R91" s="900">
        <f t="shared" si="28"/>
        <v>25032.82479381028</v>
      </c>
      <c r="S91" s="900">
        <f t="shared" si="29"/>
        <v>433146.40502991591</v>
      </c>
      <c r="T91" s="1483">
        <v>2736</v>
      </c>
      <c r="U91" s="1211" t="s">
        <v>2921</v>
      </c>
      <c r="V91" s="1212" t="str">
        <f>IFERROR(VLOOKUP(W91,constant_ag_extr!$D$7:$E$594,2,FALSE),"")</f>
        <v>Pigs</v>
      </c>
      <c r="W91" s="1213">
        <f t="shared" si="30"/>
        <v>1034</v>
      </c>
      <c r="X91" s="1099">
        <f>IFERROR(IF(VLOOKUP(B91,cnst_grazing!$C$10:$H$25,5,FALSE)="", IF(VLOOKUP(B91, cnst_grazing!$C$10:$H$25,3,FALSE)="", VLOOKUP(B91, cnst_grazing!$C$10:$H$25,4,FALSE),VLOOKUP(B91, cnst_grazing!$C$10:$H$25,3,FALSE)), VLOOKUP(B91,cnst_grazing!$C$10:$H$25,5,FALSE)),1)</f>
        <v>1</v>
      </c>
      <c r="Y91" s="1099">
        <f>IFERROR(IF(VLOOKUP(B91,cnst_grazing!$C$10:$H$25,6,FALSE)="", IF(VLOOKUP(B91, cnst_grazing!$C$10:$H$25,4,FALSE)="", VLOOKUP(B91, cnst_grazing!$C$10:$H$25,3,FALSE),VLOOKUP(B91, cnst_grazing!$C$10:$H$25,4,FALSE)), VLOOKUP(B91,cnst_grazing!$C$10:$H$25,6,FALSE)),1)</f>
        <v>1</v>
      </c>
      <c r="Z91" s="937">
        <f t="shared" si="31"/>
        <v>1.5204285861095335</v>
      </c>
      <c r="AA91" s="1487">
        <f t="shared" si="32"/>
        <v>0.85332636022329666</v>
      </c>
      <c r="AB91" s="933">
        <f>VLOOKUP($W91,feed_mix_n,MATCH(AB$5,feed_mix_w!$B$5:$AC$5,0),FALSE)/$Z91*VLOOKUP(AB$5,feed_intensity_w,11,FALSE)</f>
        <v>0.36080364436768009</v>
      </c>
      <c r="AC91" s="933">
        <f>VLOOKUP($W91,feed_mix_n,MATCH(AC$5,feed_mix_w!$B$5:$AC$5,0),FALSE)/$Z91*VLOOKUP(AC$5,feed_intensity_w,11,FALSE)</f>
        <v>0</v>
      </c>
      <c r="AD91" s="933">
        <f>VLOOKUP($W91,feed_mix_n,MATCH(AD$5,feed_mix_w!$B$5:$AC$5,0),FALSE)/$Z91*VLOOKUP(AD$5,feed_intensity_w,11,FALSE)</f>
        <v>0.16737334867279458</v>
      </c>
      <c r="AE91" s="933">
        <f>VLOOKUP($W91,feed_mix_n,MATCH(AE$5,feed_mix_w!$B$5:$AC$5,0),FALSE)/$Z91*VLOOKUP(AE$5,feed_intensity_w,11,FALSE)</f>
        <v>6.9032586480226726E-2</v>
      </c>
      <c r="AF91" s="933">
        <f>VLOOKUP($W91,feed_mix_n,MATCH(AF$5,feed_mix_w!$B$5:$AC$5,0),FALSE)/$Z91*VLOOKUP(AF$5,feed_intensity_w,11,FALSE)</f>
        <v>0</v>
      </c>
      <c r="AG91" s="933">
        <f>VLOOKUP($W91,feed_mix_n,MATCH(AG$5,feed_mix_w!$B$5:$AC$5,0),FALSE)/$Z91*VLOOKUP(AG$5,feed_intensity_w,11,FALSE)</f>
        <v>0</v>
      </c>
      <c r="AH91" s="933">
        <f>VLOOKUP($W91,feed_mix_n,MATCH(AH$5,feed_mix_w!$B$5:$AC$5,0),FALSE)/$Z91*VLOOKUP(AH$5,feed_intensity_w,11,FALSE)</f>
        <v>0.16567820755254414</v>
      </c>
      <c r="AI91" s="933">
        <f>VLOOKUP($W91,feed_mix_n,MATCH(AI$5,feed_mix_w!$B$5:$AC$5,0),FALSE)/$Z91*VLOOKUP(AI$5,feed_intensity_w,11,FALSE)</f>
        <v>0</v>
      </c>
      <c r="AJ91" s="933">
        <f>VLOOKUP($W91,feed_mix_n,MATCH(AJ$5,feed_mix_w!$B$5:$AC$5,0),FALSE)/$Z91*VLOOKUP(AJ$5,feed_intensity_w,11,FALSE)</f>
        <v>0</v>
      </c>
      <c r="AK91" s="933">
        <f>VLOOKUP($W91,feed_mix_n,MATCH(AK$5,feed_mix_w!$B$5:$AC$5,0),FALSE)/$Z91*VLOOKUP(AK$5,feed_intensity_w,11,FALSE)</f>
        <v>0</v>
      </c>
      <c r="AL91" s="933">
        <f>VLOOKUP($W91,feed_mix_n,MATCH(AL$5,feed_mix_w!$B$5:$AC$5,0),FALSE)/$Z91*VLOOKUP(AL$5,feed_intensity_w,11,FALSE)</f>
        <v>0</v>
      </c>
      <c r="AM91" s="933">
        <f>VLOOKUP($W91,feed_mix_n,MATCH(AM$5,feed_mix_w!$B$5:$AC$5,0),FALSE)/$Z91*VLOOKUP(AM$5,feed_intensity_w,11,FALSE)</f>
        <v>0</v>
      </c>
      <c r="AN91" s="933">
        <f>VLOOKUP($W91,feed_mix_n,MATCH(AN$5,feed_mix_w!$B$5:$AC$5,0),FALSE)/$Z91*VLOOKUP(AN$5,feed_intensity_w,11,FALSE)</f>
        <v>0</v>
      </c>
      <c r="AO91" s="933">
        <f>VLOOKUP($W91,feed_mix_n,MATCH(AO$5,feed_mix_w!$B$5:$AC$5,0),FALSE)/$Z91*VLOOKUP(AO$5,feed_intensity_w,11,FALSE)</f>
        <v>0</v>
      </c>
      <c r="AP91" s="933">
        <f>VLOOKUP($W91,feed_mix_n,MATCH(AP$5,feed_mix_w!$B$5:$AC$5,0),FALSE)/$Z91*VLOOKUP(AP$5,feed_intensity_w,11,FALSE)</f>
        <v>0</v>
      </c>
      <c r="AQ91" s="933">
        <f>VLOOKUP($W91,feed_mix_n,MATCH(AQ$5,feed_mix_w!$B$5:$AC$5,0),FALSE)/$Z91*VLOOKUP(AQ$5,feed_intensity_w,11,FALSE)</f>
        <v>0</v>
      </c>
      <c r="AR91" s="933">
        <f>VLOOKUP($W91,feed_mix_n,MATCH(AR$5,feed_mix_w!$B$5:$AC$5,0),FALSE)/$Z91*VLOOKUP(AR$5,feed_intensity_w,11,FALSE)</f>
        <v>9.0438573150051133E-2</v>
      </c>
      <c r="AS91" s="1105">
        <f>VLOOKUP($W91,feed_mix_n,MATCH(AS$5,feed_mix_w!$B$5:$AC$5,0),FALSE)/$Z91*VLOOKUP(AS$5,feed_intensity_w,11,FALSE)</f>
        <v>0</v>
      </c>
    </row>
    <row r="92" spans="1:45" ht="12.75" customHeight="1">
      <c r="A92" s="1008" t="s">
        <v>7391</v>
      </c>
      <c r="B92" s="1102">
        <v>1037</v>
      </c>
      <c r="C92" s="1103" t="s">
        <v>1266</v>
      </c>
      <c r="D92" s="1158">
        <v>1909</v>
      </c>
      <c r="E92" s="1158">
        <v>25549</v>
      </c>
      <c r="F92" s="1012">
        <f t="shared" si="22"/>
        <v>1909</v>
      </c>
      <c r="G92" s="1012">
        <f t="shared" si="23"/>
        <v>25549</v>
      </c>
      <c r="H92" s="933">
        <f t="shared" si="24"/>
        <v>0.79158842863271695</v>
      </c>
      <c r="I92" s="1486">
        <f t="shared" si="25"/>
        <v>1511.1423102598567</v>
      </c>
      <c r="J92" s="1006">
        <f>IFERROR(G92*VLOOKUP(W92,livestock_intensity!$B$7:$I$29,8,FALSE)/Z92,0)</f>
        <v>25568.859610728694</v>
      </c>
      <c r="K92" s="933">
        <f>VLOOKUP($W92,feed_mix_n,MATCH(K$5,feed_mix_w!$B$5:$AC$5,0),FALSE)/$Z92*VLOOKUP(K$5,feed_intensity_w,11,FALSE)</f>
        <v>7.196096275954475E-2</v>
      </c>
      <c r="L92" s="1486">
        <f t="shared" si="26"/>
        <v>137.37347790797094</v>
      </c>
      <c r="M92" s="1447">
        <f>IFERROR(G92*VLOOKUP(W92,livestock_intensity!$B$7:$M$29,12,FALSE)/Z92,0)</f>
        <v>514.08170539714013</v>
      </c>
      <c r="N92" s="933">
        <f>VLOOKUP($W92,feed_mix_n,MATCH(N$5,feed_mix_w!$B$5:$AC$5,0),FALSE)/$Z92*VLOOKUP(N$5,feed_intensity_w,11,FALSE)</f>
        <v>0</v>
      </c>
      <c r="O92" s="1486">
        <f t="shared" si="27"/>
        <v>0</v>
      </c>
      <c r="P92" s="939">
        <f>IFERROR(G92*VLOOKUP(W92,livestock_intensity!$B$7:$Q$29,16,FALSE)/Z92,0)</f>
        <v>0</v>
      </c>
      <c r="Q92" s="1530"/>
      <c r="R92" s="900">
        <f t="shared" si="28"/>
        <v>1648.5157881678276</v>
      </c>
      <c r="S92" s="900">
        <f t="shared" si="29"/>
        <v>26082.941316125834</v>
      </c>
      <c r="T92" s="1483">
        <v>2737</v>
      </c>
      <c r="U92" s="1211" t="s">
        <v>2921</v>
      </c>
      <c r="V92" s="1212" t="str">
        <f>IFERROR(VLOOKUP(W92,constant_ag_extr!$D$7:$E$594,2,FALSE),"")</f>
        <v>Pigs</v>
      </c>
      <c r="W92" s="1213">
        <f t="shared" si="30"/>
        <v>1034</v>
      </c>
      <c r="X92" s="1099">
        <f>IFERROR(IF(VLOOKUP(B92,cnst_grazing!$C$10:$H$25,5,FALSE)="", IF(VLOOKUP(B92, cnst_grazing!$C$10:$H$25,3,FALSE)="", VLOOKUP(B92, cnst_grazing!$C$10:$H$25,4,FALSE),VLOOKUP(B92, cnst_grazing!$C$10:$H$25,3,FALSE)), VLOOKUP(B92,cnst_grazing!$C$10:$H$25,5,FALSE)),1)</f>
        <v>1</v>
      </c>
      <c r="Y92" s="1099">
        <f>IFERROR(IF(VLOOKUP(B92,cnst_grazing!$C$10:$H$25,6,FALSE)="", IF(VLOOKUP(B92, cnst_grazing!$C$10:$H$25,4,FALSE)="", VLOOKUP(B92, cnst_grazing!$C$10:$H$25,3,FALSE),VLOOKUP(B92, cnst_grazing!$C$10:$H$25,4,FALSE)), VLOOKUP(B92,cnst_grazing!$C$10:$H$25,6,FALSE)),1)</f>
        <v>1</v>
      </c>
      <c r="Z92" s="937">
        <f t="shared" si="31"/>
        <v>1.6390105570457778</v>
      </c>
      <c r="AA92" s="1487">
        <f t="shared" si="32"/>
        <v>0.79158842863271695</v>
      </c>
      <c r="AB92" s="933">
        <f>VLOOKUP($W92,feed_mix_n,MATCH(AB$5,feed_mix_w!$B$5:$AC$5,0),FALSE)/$Z92*VLOOKUP(AB$5,feed_intensity_w,11,FALSE)</f>
        <v>0.33469959818800427</v>
      </c>
      <c r="AC92" s="933">
        <f>VLOOKUP($W92,feed_mix_n,MATCH(AC$5,feed_mix_w!$B$5:$AC$5,0),FALSE)/$Z92*VLOOKUP(AC$5,feed_intensity_w,11,FALSE)</f>
        <v>0</v>
      </c>
      <c r="AD92" s="933">
        <f>VLOOKUP($W92,feed_mix_n,MATCH(AD$5,feed_mix_w!$B$5:$AC$5,0),FALSE)/$Z92*VLOOKUP(AD$5,feed_intensity_w,11,FALSE)</f>
        <v>0.15526393212114459</v>
      </c>
      <c r="AE92" s="933">
        <f>VLOOKUP($W92,feed_mix_n,MATCH(AE$5,feed_mix_w!$B$5:$AC$5,0),FALSE)/$Z92*VLOOKUP(AE$5,feed_intensity_w,11,FALSE)</f>
        <v>6.403809750121317E-2</v>
      </c>
      <c r="AF92" s="933">
        <f>VLOOKUP($W92,feed_mix_n,MATCH(AF$5,feed_mix_w!$B$5:$AC$5,0),FALSE)/$Z92*VLOOKUP(AF$5,feed_intensity_w,11,FALSE)</f>
        <v>0</v>
      </c>
      <c r="AG92" s="933">
        <f>VLOOKUP($W92,feed_mix_n,MATCH(AG$5,feed_mix_w!$B$5:$AC$5,0),FALSE)/$Z92*VLOOKUP(AG$5,feed_intensity_w,11,FALSE)</f>
        <v>0</v>
      </c>
      <c r="AH92" s="933">
        <f>VLOOKUP($W92,feed_mix_n,MATCH(AH$5,feed_mix_w!$B$5:$AC$5,0),FALSE)/$Z92*VLOOKUP(AH$5,feed_intensity_w,11,FALSE)</f>
        <v>0.15369143400291158</v>
      </c>
      <c r="AI92" s="933">
        <f>VLOOKUP($W92,feed_mix_n,MATCH(AI$5,feed_mix_w!$B$5:$AC$5,0),FALSE)/$Z92*VLOOKUP(AI$5,feed_intensity_w,11,FALSE)</f>
        <v>0</v>
      </c>
      <c r="AJ92" s="933">
        <f>VLOOKUP($W92,feed_mix_n,MATCH(AJ$5,feed_mix_w!$B$5:$AC$5,0),FALSE)/$Z92*VLOOKUP(AJ$5,feed_intensity_w,11,FALSE)</f>
        <v>0</v>
      </c>
      <c r="AK92" s="933">
        <f>VLOOKUP($W92,feed_mix_n,MATCH(AK$5,feed_mix_w!$B$5:$AC$5,0),FALSE)/$Z92*VLOOKUP(AK$5,feed_intensity_w,11,FALSE)</f>
        <v>0</v>
      </c>
      <c r="AL92" s="933">
        <f>VLOOKUP($W92,feed_mix_n,MATCH(AL$5,feed_mix_w!$B$5:$AC$5,0),FALSE)/$Z92*VLOOKUP(AL$5,feed_intensity_w,11,FALSE)</f>
        <v>0</v>
      </c>
      <c r="AM92" s="933">
        <f>VLOOKUP($W92,feed_mix_n,MATCH(AM$5,feed_mix_w!$B$5:$AC$5,0),FALSE)/$Z92*VLOOKUP(AM$5,feed_intensity_w,11,FALSE)</f>
        <v>0</v>
      </c>
      <c r="AN92" s="933">
        <f>VLOOKUP($W92,feed_mix_n,MATCH(AN$5,feed_mix_w!$B$5:$AC$5,0),FALSE)/$Z92*VLOOKUP(AN$5,feed_intensity_w,11,FALSE)</f>
        <v>0</v>
      </c>
      <c r="AO92" s="933">
        <f>VLOOKUP($W92,feed_mix_n,MATCH(AO$5,feed_mix_w!$B$5:$AC$5,0),FALSE)/$Z92*VLOOKUP(AO$5,feed_intensity_w,11,FALSE)</f>
        <v>0</v>
      </c>
      <c r="AP92" s="933">
        <f>VLOOKUP($W92,feed_mix_n,MATCH(AP$5,feed_mix_w!$B$5:$AC$5,0),FALSE)/$Z92*VLOOKUP(AP$5,feed_intensity_w,11,FALSE)</f>
        <v>0</v>
      </c>
      <c r="AQ92" s="933">
        <f>VLOOKUP($W92,feed_mix_n,MATCH(AQ$5,feed_mix_w!$B$5:$AC$5,0),FALSE)/$Z92*VLOOKUP(AQ$5,feed_intensity_w,11,FALSE)</f>
        <v>0</v>
      </c>
      <c r="AR92" s="933">
        <f>VLOOKUP($W92,feed_mix_n,MATCH(AR$5,feed_mix_w!$B$5:$AC$5,0),FALSE)/$Z92*VLOOKUP(AR$5,feed_intensity_w,11,FALSE)</f>
        <v>8.3895366819443443E-2</v>
      </c>
      <c r="AS92" s="1105">
        <f>VLOOKUP($W92,feed_mix_n,MATCH(AS$5,feed_mix_w!$B$5:$AC$5,0),FALSE)/$Z92*VLOOKUP(AS$5,feed_intensity_w,11,FALSE)</f>
        <v>0</v>
      </c>
    </row>
    <row r="93" spans="1:45" ht="12.75" customHeight="1">
      <c r="A93" s="1008" t="s">
        <v>7392</v>
      </c>
      <c r="B93" s="1102">
        <v>1038</v>
      </c>
      <c r="C93" s="1103" t="s">
        <v>692</v>
      </c>
      <c r="D93" s="1158">
        <v>258927</v>
      </c>
      <c r="E93" s="1158">
        <v>1059090</v>
      </c>
      <c r="F93" s="1012">
        <f t="shared" si="22"/>
        <v>258927</v>
      </c>
      <c r="G93" s="1012">
        <f t="shared" si="23"/>
        <v>1059090</v>
      </c>
      <c r="H93" s="933">
        <f t="shared" si="24"/>
        <v>2.0002475199507557</v>
      </c>
      <c r="I93" s="1486">
        <f t="shared" si="25"/>
        <v>517918.08959828934</v>
      </c>
      <c r="J93" s="1006">
        <f>IFERROR(G93*VLOOKUP(W93,livestock_intensity!$B$7:$I$29,8,FALSE)/Z93,0)</f>
        <v>2678271.6437340681</v>
      </c>
      <c r="K93" s="933">
        <f>VLOOKUP($W93,feed_mix_n,MATCH(K$5,feed_mix_w!$B$5:$AC$5,0),FALSE)/$Z93*VLOOKUP(K$5,feed_intensity_w,11,FALSE)</f>
        <v>0.18183658589056206</v>
      </c>
      <c r="L93" s="1486">
        <f t="shared" si="26"/>
        <v>47082.401674885565</v>
      </c>
      <c r="M93" s="1447">
        <f>IFERROR(G93*VLOOKUP(W93,livestock_intensity!$B$7:$M$29,12,FALSE)/Z93,0)</f>
        <v>53848.723607128937</v>
      </c>
      <c r="N93" s="933">
        <f>VLOOKUP($W93,feed_mix_n,MATCH(N$5,feed_mix_w!$B$5:$AC$5,0),FALSE)/$Z93*VLOOKUP(N$5,feed_intensity_w,11,FALSE)</f>
        <v>0</v>
      </c>
      <c r="O93" s="1486">
        <f t="shared" si="27"/>
        <v>0</v>
      </c>
      <c r="P93" s="939">
        <f>IFERROR(G93*VLOOKUP(W93,livestock_intensity!$B$7:$Q$29,16,FALSE)/Z93,0)</f>
        <v>0</v>
      </c>
      <c r="Q93" s="1530"/>
      <c r="R93" s="900">
        <f t="shared" si="28"/>
        <v>565000.49127317488</v>
      </c>
      <c r="S93" s="900">
        <f t="shared" si="29"/>
        <v>2732120.3673411971</v>
      </c>
      <c r="T93" s="1483" t="s">
        <v>2862</v>
      </c>
      <c r="U93" s="1211" t="s">
        <v>2921</v>
      </c>
      <c r="V93" s="1212" t="str">
        <f>IFERROR(VLOOKUP(W93,constant_ag_extr!$D$7:$E$594,2,FALSE),"")</f>
        <v>Pigs</v>
      </c>
      <c r="W93" s="1213">
        <f t="shared" si="30"/>
        <v>1034</v>
      </c>
      <c r="X93" s="1099">
        <f>IFERROR(IF(VLOOKUP(B93,cnst_grazing!$C$10:$H$25,5,FALSE)="", IF(VLOOKUP(B93, cnst_grazing!$C$10:$H$25,3,FALSE)="", VLOOKUP(B93, cnst_grazing!$C$10:$H$25,4,FALSE),VLOOKUP(B93, cnst_grazing!$C$10:$H$25,3,FALSE)), VLOOKUP(B93,cnst_grazing!$C$10:$H$25,5,FALSE)),1)</f>
        <v>1</v>
      </c>
      <c r="Y93" s="1099">
        <f>IFERROR(IF(VLOOKUP(B93,cnst_grazing!$C$10:$H$25,6,FALSE)="", IF(VLOOKUP(B93, cnst_grazing!$C$10:$H$25,4,FALSE)="", VLOOKUP(B93, cnst_grazing!$C$10:$H$25,3,FALSE),VLOOKUP(B93, cnst_grazing!$C$10:$H$25,4,FALSE)), VLOOKUP(B93,cnst_grazing!$C$10:$H$25,6,FALSE)),1)</f>
        <v>1</v>
      </c>
      <c r="Z93" s="937">
        <f t="shared" si="31"/>
        <v>0.64863062117244508</v>
      </c>
      <c r="AA93" s="1487">
        <f t="shared" si="32"/>
        <v>2.0002475199507557</v>
      </c>
      <c r="AB93" s="933">
        <f>VLOOKUP($W93,feed_mix_n,MATCH(AB$5,feed_mix_w!$B$5:$AC$5,0),FALSE)/$Z93*VLOOKUP(AB$5,feed_intensity_w,11,FALSE)</f>
        <v>0.84574510817501825</v>
      </c>
      <c r="AC93" s="933">
        <f>VLOOKUP($W93,feed_mix_n,MATCH(AC$5,feed_mix_w!$B$5:$AC$5,0),FALSE)/$Z93*VLOOKUP(AC$5,feed_intensity_w,11,FALSE)</f>
        <v>0</v>
      </c>
      <c r="AD93" s="933">
        <f>VLOOKUP($W93,feed_mix_n,MATCH(AD$5,feed_mix_w!$B$5:$AC$5,0),FALSE)/$Z93*VLOOKUP(AD$5,feed_intensity_w,11,FALSE)</f>
        <v>0.39233304066805552</v>
      </c>
      <c r="AE93" s="933">
        <f>VLOOKUP($W93,feed_mix_n,MATCH(AE$5,feed_mix_w!$B$5:$AC$5,0),FALSE)/$Z93*VLOOKUP(AE$5,feed_intensity_w,11,FALSE)</f>
        <v>0.161816470625291</v>
      </c>
      <c r="AF93" s="933">
        <f>VLOOKUP($W93,feed_mix_n,MATCH(AF$5,feed_mix_w!$B$5:$AC$5,0),FALSE)/$Z93*VLOOKUP(AF$5,feed_intensity_w,11,FALSE)</f>
        <v>0</v>
      </c>
      <c r="AG93" s="933">
        <f>VLOOKUP($W93,feed_mix_n,MATCH(AG$5,feed_mix_w!$B$5:$AC$5,0),FALSE)/$Z93*VLOOKUP(AG$5,feed_intensity_w,11,FALSE)</f>
        <v>0</v>
      </c>
      <c r="AH93" s="933">
        <f>VLOOKUP($W93,feed_mix_n,MATCH(AH$5,feed_mix_w!$B$5:$AC$5,0),FALSE)/$Z93*VLOOKUP(AH$5,feed_intensity_w,11,FALSE)</f>
        <v>0.38835952950069841</v>
      </c>
      <c r="AI93" s="933">
        <f>VLOOKUP($W93,feed_mix_n,MATCH(AI$5,feed_mix_w!$B$5:$AC$5,0),FALSE)/$Z93*VLOOKUP(AI$5,feed_intensity_w,11,FALSE)</f>
        <v>0</v>
      </c>
      <c r="AJ93" s="933">
        <f>VLOOKUP($W93,feed_mix_n,MATCH(AJ$5,feed_mix_w!$B$5:$AC$5,0),FALSE)/$Z93*VLOOKUP(AJ$5,feed_intensity_w,11,FALSE)</f>
        <v>0</v>
      </c>
      <c r="AK93" s="933">
        <f>VLOOKUP($W93,feed_mix_n,MATCH(AK$5,feed_mix_w!$B$5:$AC$5,0),FALSE)/$Z93*VLOOKUP(AK$5,feed_intensity_w,11,FALSE)</f>
        <v>0</v>
      </c>
      <c r="AL93" s="933">
        <f>VLOOKUP($W93,feed_mix_n,MATCH(AL$5,feed_mix_w!$B$5:$AC$5,0),FALSE)/$Z93*VLOOKUP(AL$5,feed_intensity_w,11,FALSE)</f>
        <v>0</v>
      </c>
      <c r="AM93" s="933">
        <f>VLOOKUP($W93,feed_mix_n,MATCH(AM$5,feed_mix_w!$B$5:$AC$5,0),FALSE)/$Z93*VLOOKUP(AM$5,feed_intensity_w,11,FALSE)</f>
        <v>0</v>
      </c>
      <c r="AN93" s="933">
        <f>VLOOKUP($W93,feed_mix_n,MATCH(AN$5,feed_mix_w!$B$5:$AC$5,0),FALSE)/$Z93*VLOOKUP(AN$5,feed_intensity_w,11,FALSE)</f>
        <v>0</v>
      </c>
      <c r="AO93" s="933">
        <f>VLOOKUP($W93,feed_mix_n,MATCH(AO$5,feed_mix_w!$B$5:$AC$5,0),FALSE)/$Z93*VLOOKUP(AO$5,feed_intensity_w,11,FALSE)</f>
        <v>0</v>
      </c>
      <c r="AP93" s="933">
        <f>VLOOKUP($W93,feed_mix_n,MATCH(AP$5,feed_mix_w!$B$5:$AC$5,0),FALSE)/$Z93*VLOOKUP(AP$5,feed_intensity_w,11,FALSE)</f>
        <v>0</v>
      </c>
      <c r="AQ93" s="933">
        <f>VLOOKUP($W93,feed_mix_n,MATCH(AQ$5,feed_mix_w!$B$5:$AC$5,0),FALSE)/$Z93*VLOOKUP(AQ$5,feed_intensity_w,11,FALSE)</f>
        <v>0</v>
      </c>
      <c r="AR93" s="933">
        <f>VLOOKUP($W93,feed_mix_n,MATCH(AR$5,feed_mix_w!$B$5:$AC$5,0),FALSE)/$Z93*VLOOKUP(AR$5,feed_intensity_w,11,FALSE)</f>
        <v>0.21199337098169257</v>
      </c>
      <c r="AS93" s="1105">
        <f>VLOOKUP($W93,feed_mix_n,MATCH(AS$5,feed_mix_w!$B$5:$AC$5,0),FALSE)/$Z93*VLOOKUP(AS$5,feed_intensity_w,11,FALSE)</f>
        <v>0</v>
      </c>
    </row>
    <row r="94" spans="1:45" ht="12.75" customHeight="1">
      <c r="A94" s="1008" t="s">
        <v>7393</v>
      </c>
      <c r="B94" s="1102">
        <v>1039</v>
      </c>
      <c r="C94" s="1103" t="s">
        <v>540</v>
      </c>
      <c r="D94" s="1158">
        <v>20161</v>
      </c>
      <c r="E94" s="1158">
        <v>79984</v>
      </c>
      <c r="F94" s="1012">
        <f t="shared" si="22"/>
        <v>20161</v>
      </c>
      <c r="G94" s="1012">
        <f t="shared" si="23"/>
        <v>79984</v>
      </c>
      <c r="H94" s="933">
        <f t="shared" si="24"/>
        <v>2.0139471035881833</v>
      </c>
      <c r="I94" s="1486">
        <f t="shared" si="25"/>
        <v>40603.187555441364</v>
      </c>
      <c r="J94" s="1006">
        <f>IFERROR(G94*VLOOKUP(W94,livestock_intensity!$B$7:$I$29,8,FALSE)/Z94,0)</f>
        <v>203652.24135903965</v>
      </c>
      <c r="K94" s="933">
        <f>VLOOKUP($W94,feed_mix_n,MATCH(K$5,feed_mix_w!$B$5:$AC$5,0),FALSE)/$Z94*VLOOKUP(K$5,feed_intensity_w,11,FALSE)</f>
        <v>0.18308197451967198</v>
      </c>
      <c r="L94" s="1486">
        <f t="shared" si="26"/>
        <v>3691.1156882911068</v>
      </c>
      <c r="M94" s="1447">
        <f>IFERROR(G94*VLOOKUP(W94,livestock_intensity!$B$7:$M$29,12,FALSE)/Z94,0)</f>
        <v>4094.5858806262722</v>
      </c>
      <c r="N94" s="933">
        <f>VLOOKUP($W94,feed_mix_n,MATCH(N$5,feed_mix_w!$B$5:$AC$5,0),FALSE)/$Z94*VLOOKUP(N$5,feed_intensity_w,11,FALSE)</f>
        <v>0</v>
      </c>
      <c r="O94" s="1486">
        <f t="shared" si="27"/>
        <v>0</v>
      </c>
      <c r="P94" s="939">
        <f>IFERROR(G94*VLOOKUP(W94,livestock_intensity!$B$7:$Q$29,16,FALSE)/Z94,0)</f>
        <v>0</v>
      </c>
      <c r="Q94" s="1530"/>
      <c r="R94" s="900">
        <f t="shared" si="28"/>
        <v>44294.303243732473</v>
      </c>
      <c r="S94" s="900">
        <f t="shared" si="29"/>
        <v>207746.82723966593</v>
      </c>
      <c r="T94" s="1483" t="s">
        <v>2862</v>
      </c>
      <c r="U94" s="1211" t="s">
        <v>2921</v>
      </c>
      <c r="V94" s="1212" t="str">
        <f>IFERROR(VLOOKUP(W94,constant_ag_extr!$D$7:$E$594,2,FALSE),"")</f>
        <v>Pigs</v>
      </c>
      <c r="W94" s="1213">
        <f t="shared" si="30"/>
        <v>1034</v>
      </c>
      <c r="X94" s="1099">
        <f>IFERROR(IF(VLOOKUP(B94,cnst_grazing!$C$10:$H$25,5,FALSE)="", IF(VLOOKUP(B94, cnst_grazing!$C$10:$H$25,3,FALSE)="", VLOOKUP(B94, cnst_grazing!$C$10:$H$25,4,FALSE),VLOOKUP(B94, cnst_grazing!$C$10:$H$25,3,FALSE)), VLOOKUP(B94,cnst_grazing!$C$10:$H$25,5,FALSE)),1)</f>
        <v>1</v>
      </c>
      <c r="Y94" s="1099">
        <f>IFERROR(IF(VLOOKUP(B94,cnst_grazing!$C$10:$H$25,6,FALSE)="", IF(VLOOKUP(B94, cnst_grazing!$C$10:$H$25,4,FALSE)="", VLOOKUP(B94, cnst_grazing!$C$10:$H$25,3,FALSE),VLOOKUP(B94, cnst_grazing!$C$10:$H$25,4,FALSE)), VLOOKUP(B94,cnst_grazing!$C$10:$H$25,6,FALSE)),1)</f>
        <v>1</v>
      </c>
      <c r="Z94" s="937">
        <f t="shared" si="31"/>
        <v>0.64421840526631902</v>
      </c>
      <c r="AA94" s="1487">
        <f t="shared" si="32"/>
        <v>2.0139471035881833</v>
      </c>
      <c r="AB94" s="933">
        <f>VLOOKUP($W94,feed_mix_n,MATCH(AB$5,feed_mix_w!$B$5:$AC$5,0),FALSE)/$Z94*VLOOKUP(AB$5,feed_intensity_w,11,FALSE)</f>
        <v>0.85153756922287593</v>
      </c>
      <c r="AC94" s="933">
        <f>VLOOKUP($W94,feed_mix_n,MATCH(AC$5,feed_mix_w!$B$5:$AC$5,0),FALSE)/$Z94*VLOOKUP(AC$5,feed_intensity_w,11,FALSE)</f>
        <v>0</v>
      </c>
      <c r="AD94" s="933">
        <f>VLOOKUP($W94,feed_mix_n,MATCH(AD$5,feed_mix_w!$B$5:$AC$5,0),FALSE)/$Z94*VLOOKUP(AD$5,feed_intensity_w,11,FALSE)</f>
        <v>0.39502010776887642</v>
      </c>
      <c r="AE94" s="933">
        <f>VLOOKUP($W94,feed_mix_n,MATCH(AE$5,feed_mix_w!$B$5:$AC$5,0),FALSE)/$Z94*VLOOKUP(AE$5,feed_intensity_w,11,FALSE)</f>
        <v>0.16292474260220069</v>
      </c>
      <c r="AF94" s="933">
        <f>VLOOKUP($W94,feed_mix_n,MATCH(AF$5,feed_mix_w!$B$5:$AC$5,0),FALSE)/$Z94*VLOOKUP(AF$5,feed_intensity_w,11,FALSE)</f>
        <v>0</v>
      </c>
      <c r="AG94" s="933">
        <f>VLOOKUP($W94,feed_mix_n,MATCH(AG$5,feed_mix_w!$B$5:$AC$5,0),FALSE)/$Z94*VLOOKUP(AG$5,feed_intensity_w,11,FALSE)</f>
        <v>0</v>
      </c>
      <c r="AH94" s="933">
        <f>VLOOKUP($W94,feed_mix_n,MATCH(AH$5,feed_mix_w!$B$5:$AC$5,0),FALSE)/$Z94*VLOOKUP(AH$5,feed_intensity_w,11,FALSE)</f>
        <v>0.3910193822452816</v>
      </c>
      <c r="AI94" s="933">
        <f>VLOOKUP($W94,feed_mix_n,MATCH(AI$5,feed_mix_w!$B$5:$AC$5,0),FALSE)/$Z94*VLOOKUP(AI$5,feed_intensity_w,11,FALSE)</f>
        <v>0</v>
      </c>
      <c r="AJ94" s="933">
        <f>VLOOKUP($W94,feed_mix_n,MATCH(AJ$5,feed_mix_w!$B$5:$AC$5,0),FALSE)/$Z94*VLOOKUP(AJ$5,feed_intensity_w,11,FALSE)</f>
        <v>0</v>
      </c>
      <c r="AK94" s="933">
        <f>VLOOKUP($W94,feed_mix_n,MATCH(AK$5,feed_mix_w!$B$5:$AC$5,0),FALSE)/$Z94*VLOOKUP(AK$5,feed_intensity_w,11,FALSE)</f>
        <v>0</v>
      </c>
      <c r="AL94" s="933">
        <f>VLOOKUP($W94,feed_mix_n,MATCH(AL$5,feed_mix_w!$B$5:$AC$5,0),FALSE)/$Z94*VLOOKUP(AL$5,feed_intensity_w,11,FALSE)</f>
        <v>0</v>
      </c>
      <c r="AM94" s="933">
        <f>VLOOKUP($W94,feed_mix_n,MATCH(AM$5,feed_mix_w!$B$5:$AC$5,0),FALSE)/$Z94*VLOOKUP(AM$5,feed_intensity_w,11,FALSE)</f>
        <v>0</v>
      </c>
      <c r="AN94" s="933">
        <f>VLOOKUP($W94,feed_mix_n,MATCH(AN$5,feed_mix_w!$B$5:$AC$5,0),FALSE)/$Z94*VLOOKUP(AN$5,feed_intensity_w,11,FALSE)</f>
        <v>0</v>
      </c>
      <c r="AO94" s="933">
        <f>VLOOKUP($W94,feed_mix_n,MATCH(AO$5,feed_mix_w!$B$5:$AC$5,0),FALSE)/$Z94*VLOOKUP(AO$5,feed_intensity_w,11,FALSE)</f>
        <v>0</v>
      </c>
      <c r="AP94" s="933">
        <f>VLOOKUP($W94,feed_mix_n,MATCH(AP$5,feed_mix_w!$B$5:$AC$5,0),FALSE)/$Z94*VLOOKUP(AP$5,feed_intensity_w,11,FALSE)</f>
        <v>0</v>
      </c>
      <c r="AQ94" s="933">
        <f>VLOOKUP($W94,feed_mix_n,MATCH(AQ$5,feed_mix_w!$B$5:$AC$5,0),FALSE)/$Z94*VLOOKUP(AQ$5,feed_intensity_w,11,FALSE)</f>
        <v>0</v>
      </c>
      <c r="AR94" s="933">
        <f>VLOOKUP($W94,feed_mix_n,MATCH(AR$5,feed_mix_w!$B$5:$AC$5,0),FALSE)/$Z94*VLOOKUP(AR$5,feed_intensity_w,11,FALSE)</f>
        <v>0.21344530174894852</v>
      </c>
      <c r="AS94" s="1105">
        <f>VLOOKUP($W94,feed_mix_n,MATCH(AS$5,feed_mix_w!$B$5:$AC$5,0),FALSE)/$Z94*VLOOKUP(AS$5,feed_intensity_w,11,FALSE)</f>
        <v>0</v>
      </c>
    </row>
    <row r="95" spans="1:45" ht="12.75" customHeight="1">
      <c r="A95" s="1008" t="s">
        <v>2985</v>
      </c>
      <c r="B95" s="1102">
        <v>1040</v>
      </c>
      <c r="C95" s="1103" t="s">
        <v>690</v>
      </c>
      <c r="D95" s="1158"/>
      <c r="E95" s="1158"/>
      <c r="F95" s="1012">
        <f t="shared" si="22"/>
        <v>0</v>
      </c>
      <c r="G95" s="1012">
        <f t="shared" si="23"/>
        <v>0</v>
      </c>
      <c r="H95" s="933">
        <f t="shared" si="24"/>
        <v>0.51747760113628072</v>
      </c>
      <c r="I95" s="1486">
        <f t="shared" si="25"/>
        <v>0</v>
      </c>
      <c r="J95" s="1006">
        <f>IFERROR(G95*VLOOKUP(W95,livestock_intensity!$B$7:$I$29,8,FALSE)/Z95,0)</f>
        <v>0</v>
      </c>
      <c r="K95" s="933">
        <f>VLOOKUP($W95,feed_mix_n,MATCH(K$5,feed_mix_w!$B$5:$AC$5,0),FALSE)/$Z95*VLOOKUP(K$5,feed_intensity_w,11,FALSE)</f>
        <v>4.7042358171640625E-2</v>
      </c>
      <c r="L95" s="1486">
        <f t="shared" si="26"/>
        <v>0</v>
      </c>
      <c r="M95" s="1447">
        <f>IFERROR(G95*VLOOKUP(W95,livestock_intensity!$B$7:$M$29,12,FALSE)/Z95,0)</f>
        <v>0</v>
      </c>
      <c r="N95" s="933">
        <f>VLOOKUP($W95,feed_mix_n,MATCH(N$5,feed_mix_w!$B$5:$AC$5,0),FALSE)/$Z95*VLOOKUP(N$5,feed_intensity_w,11,FALSE)</f>
        <v>0</v>
      </c>
      <c r="O95" s="1486">
        <f t="shared" si="27"/>
        <v>0</v>
      </c>
      <c r="P95" s="939">
        <f>IFERROR(G95*VLOOKUP(W95,livestock_intensity!$B$7:$Q$29,16,FALSE)/Z95,0)</f>
        <v>0</v>
      </c>
      <c r="Q95" s="1530"/>
      <c r="R95" s="900">
        <f t="shared" si="28"/>
        <v>0</v>
      </c>
      <c r="S95" s="900">
        <f t="shared" si="29"/>
        <v>0</v>
      </c>
      <c r="T95" s="1483">
        <v>2737</v>
      </c>
      <c r="U95" s="1211" t="s">
        <v>2921</v>
      </c>
      <c r="V95" s="1212" t="str">
        <f>IFERROR(VLOOKUP(W95,constant_ag_extr!$D$7:$E$594,2,FALSE),"")</f>
        <v>Pigs</v>
      </c>
      <c r="W95" s="1213">
        <f t="shared" si="30"/>
        <v>1034</v>
      </c>
      <c r="X95" s="1099">
        <f>IFERROR(IF(VLOOKUP(B95,cnst_grazing!$C$10:$H$25,5,FALSE)="", IF(VLOOKUP(B95, cnst_grazing!$C$10:$H$25,3,FALSE)="", VLOOKUP(B95, cnst_grazing!$C$10:$H$25,4,FALSE),VLOOKUP(B95, cnst_grazing!$C$10:$H$25,3,FALSE)), VLOOKUP(B95,cnst_grazing!$C$10:$H$25,5,FALSE)),1)</f>
        <v>1</v>
      </c>
      <c r="Y95" s="1099">
        <f>IFERROR(IF(VLOOKUP(B95,cnst_grazing!$C$10:$H$25,6,FALSE)="", IF(VLOOKUP(B95, cnst_grazing!$C$10:$H$25,4,FALSE)="", VLOOKUP(B95, cnst_grazing!$C$10:$H$25,3,FALSE),VLOOKUP(B95, cnst_grazing!$C$10:$H$25,4,FALSE)), VLOOKUP(B95,cnst_grazing!$C$10:$H$25,6,FALSE)),1)</f>
        <v>1</v>
      </c>
      <c r="Z95" s="937">
        <f t="shared" si="31"/>
        <v>2.5072037678836998</v>
      </c>
      <c r="AA95" s="1487">
        <f t="shared" si="32"/>
        <v>0.51747760113628072</v>
      </c>
      <c r="AB95" s="933">
        <f>VLOOKUP($W95,feed_mix_n,MATCH(AB$5,feed_mix_w!$B$5:$AC$5,0),FALSE)/$Z95*VLOOKUP(AB$5,feed_intensity_w,11,FALSE)</f>
        <v>0.21879999619343476</v>
      </c>
      <c r="AC95" s="933">
        <f>VLOOKUP($W95,feed_mix_n,MATCH(AC$5,feed_mix_w!$B$5:$AC$5,0),FALSE)/$Z95*VLOOKUP(AC$5,feed_intensity_w,11,FALSE)</f>
        <v>0</v>
      </c>
      <c r="AD95" s="933">
        <f>VLOOKUP($W95,feed_mix_n,MATCH(AD$5,feed_mix_w!$B$5:$AC$5,0),FALSE)/$Z95*VLOOKUP(AD$5,feed_intensity_w,11,FALSE)</f>
        <v>0.1014992188248815</v>
      </c>
      <c r="AE95" s="933">
        <f>VLOOKUP($W95,feed_mix_n,MATCH(AE$5,feed_mix_w!$B$5:$AC$5,0),FALSE)/$Z95*VLOOKUP(AE$5,feed_intensity_w,11,FALSE)</f>
        <v>4.1863018555611829E-2</v>
      </c>
      <c r="AF95" s="933">
        <f>VLOOKUP($W95,feed_mix_n,MATCH(AF$5,feed_mix_w!$B$5:$AC$5,0),FALSE)/$Z95*VLOOKUP(AF$5,feed_intensity_w,11,FALSE)</f>
        <v>0</v>
      </c>
      <c r="AG95" s="933">
        <f>VLOOKUP($W95,feed_mix_n,MATCH(AG$5,feed_mix_w!$B$5:$AC$5,0),FALSE)/$Z95*VLOOKUP(AG$5,feed_intensity_w,11,FALSE)</f>
        <v>0</v>
      </c>
      <c r="AH95" s="933">
        <f>VLOOKUP($W95,feed_mix_n,MATCH(AH$5,feed_mix_w!$B$5:$AC$5,0),FALSE)/$Z95*VLOOKUP(AH$5,feed_intensity_w,11,FALSE)</f>
        <v>0.1004712445334684</v>
      </c>
      <c r="AI95" s="933">
        <f>VLOOKUP($W95,feed_mix_n,MATCH(AI$5,feed_mix_w!$B$5:$AC$5,0),FALSE)/$Z95*VLOOKUP(AI$5,feed_intensity_w,11,FALSE)</f>
        <v>0</v>
      </c>
      <c r="AJ95" s="933">
        <f>VLOOKUP($W95,feed_mix_n,MATCH(AJ$5,feed_mix_w!$B$5:$AC$5,0),FALSE)/$Z95*VLOOKUP(AJ$5,feed_intensity_w,11,FALSE)</f>
        <v>0</v>
      </c>
      <c r="AK95" s="933">
        <f>VLOOKUP($W95,feed_mix_n,MATCH(AK$5,feed_mix_w!$B$5:$AC$5,0),FALSE)/$Z95*VLOOKUP(AK$5,feed_intensity_w,11,FALSE)</f>
        <v>0</v>
      </c>
      <c r="AL95" s="933">
        <f>VLOOKUP($W95,feed_mix_n,MATCH(AL$5,feed_mix_w!$B$5:$AC$5,0),FALSE)/$Z95*VLOOKUP(AL$5,feed_intensity_w,11,FALSE)</f>
        <v>0</v>
      </c>
      <c r="AM95" s="933">
        <f>VLOOKUP($W95,feed_mix_n,MATCH(AM$5,feed_mix_w!$B$5:$AC$5,0),FALSE)/$Z95*VLOOKUP(AM$5,feed_intensity_w,11,FALSE)</f>
        <v>0</v>
      </c>
      <c r="AN95" s="933">
        <f>VLOOKUP($W95,feed_mix_n,MATCH(AN$5,feed_mix_w!$B$5:$AC$5,0),FALSE)/$Z95*VLOOKUP(AN$5,feed_intensity_w,11,FALSE)</f>
        <v>0</v>
      </c>
      <c r="AO95" s="933">
        <f>VLOOKUP($W95,feed_mix_n,MATCH(AO$5,feed_mix_w!$B$5:$AC$5,0),FALSE)/$Z95*VLOOKUP(AO$5,feed_intensity_w,11,FALSE)</f>
        <v>0</v>
      </c>
      <c r="AP95" s="933">
        <f>VLOOKUP($W95,feed_mix_n,MATCH(AP$5,feed_mix_w!$B$5:$AC$5,0),FALSE)/$Z95*VLOOKUP(AP$5,feed_intensity_w,11,FALSE)</f>
        <v>0</v>
      </c>
      <c r="AQ95" s="933">
        <f>VLOOKUP($W95,feed_mix_n,MATCH(AQ$5,feed_mix_w!$B$5:$AC$5,0),FALSE)/$Z95*VLOOKUP(AQ$5,feed_intensity_w,11,FALSE)</f>
        <v>0</v>
      </c>
      <c r="AR95" s="933">
        <f>VLOOKUP($W95,feed_mix_n,MATCH(AR$5,feed_mix_w!$B$5:$AC$5,0),FALSE)/$Z95*VLOOKUP(AR$5,feed_intensity_w,11,FALSE)</f>
        <v>5.4844123028884278E-2</v>
      </c>
      <c r="AS95" s="1105">
        <f>VLOOKUP($W95,feed_mix_n,MATCH(AS$5,feed_mix_w!$B$5:$AC$5,0),FALSE)/$Z95*VLOOKUP(AS$5,feed_intensity_w,11,FALSE)</f>
        <v>0</v>
      </c>
    </row>
    <row r="96" spans="1:45" ht="12.75" customHeight="1">
      <c r="A96" s="1008" t="s">
        <v>7394</v>
      </c>
      <c r="B96" s="1102">
        <v>1041</v>
      </c>
      <c r="C96" s="1103" t="s">
        <v>697</v>
      </c>
      <c r="D96" s="1158">
        <v>4163</v>
      </c>
      <c r="E96" s="1158">
        <v>159486</v>
      </c>
      <c r="F96" s="1012">
        <f t="shared" si="22"/>
        <v>4163</v>
      </c>
      <c r="G96" s="1012">
        <f t="shared" si="23"/>
        <v>159486</v>
      </c>
      <c r="H96" s="933">
        <f t="shared" si="24"/>
        <v>1.8243991408975306</v>
      </c>
      <c r="I96" s="1486">
        <f t="shared" si="25"/>
        <v>7594.9736235564196</v>
      </c>
      <c r="J96" s="1006">
        <f>IFERROR(G96*VLOOKUP(W96,livestock_intensity!$B$7:$I$29,8,FALSE)/Z96,0)</f>
        <v>367858.19886548782</v>
      </c>
      <c r="K96" s="933">
        <f>VLOOKUP($W96,feed_mix_n,MATCH(K$5,feed_mix_w!$B$5:$AC$5,0),FALSE)/$Z96*VLOOKUP(K$5,feed_intensity_w,11,FALSE)</f>
        <v>0.16585072985899696</v>
      </c>
      <c r="L96" s="1486">
        <f t="shared" si="26"/>
        <v>690.43658840300429</v>
      </c>
      <c r="M96" s="1447">
        <f>IFERROR(G96*VLOOKUP(W96,livestock_intensity!$B$7:$M$29,12,FALSE)/Z96,0)</f>
        <v>7396.0737043485551</v>
      </c>
      <c r="N96" s="933">
        <f>VLOOKUP($W96,feed_mix_n,MATCH(N$5,feed_mix_w!$B$5:$AC$5,0),FALSE)/$Z96*VLOOKUP(N$5,feed_intensity_w,11,FALSE)</f>
        <v>0</v>
      </c>
      <c r="O96" s="1486">
        <f t="shared" si="27"/>
        <v>0</v>
      </c>
      <c r="P96" s="939">
        <f>IFERROR(G96*VLOOKUP(W96,livestock_intensity!$B$7:$Q$29,16,FALSE)/Z96,0)</f>
        <v>0</v>
      </c>
      <c r="Q96" s="1530"/>
      <c r="R96" s="900">
        <f t="shared" si="28"/>
        <v>8285.4102119594245</v>
      </c>
      <c r="S96" s="900">
        <f t="shared" si="29"/>
        <v>375254.27256983635</v>
      </c>
      <c r="T96" s="1483" t="s">
        <v>2862</v>
      </c>
      <c r="U96" s="1211" t="s">
        <v>2921</v>
      </c>
      <c r="V96" s="1212" t="str">
        <f>IFERROR(VLOOKUP(W96,constant_ag_extr!$D$7:$E$594,2,FALSE),"")</f>
        <v>Pigs</v>
      </c>
      <c r="W96" s="1213">
        <f t="shared" si="30"/>
        <v>1034</v>
      </c>
      <c r="X96" s="1099">
        <f>IFERROR(IF(VLOOKUP(B96,cnst_grazing!$C$10:$H$25,5,FALSE)="", IF(VLOOKUP(B96, cnst_grazing!$C$10:$H$25,3,FALSE)="", VLOOKUP(B96, cnst_grazing!$C$10:$H$25,4,FALSE),VLOOKUP(B96, cnst_grazing!$C$10:$H$25,3,FALSE)), VLOOKUP(B96,cnst_grazing!$C$10:$H$25,5,FALSE)),1)</f>
        <v>1</v>
      </c>
      <c r="Y96" s="1099">
        <f>IFERROR(IF(VLOOKUP(B96,cnst_grazing!$C$10:$H$25,6,FALSE)="", IF(VLOOKUP(B96, cnst_grazing!$C$10:$H$25,4,FALSE)="", VLOOKUP(B96, cnst_grazing!$C$10:$H$25,3,FALSE),VLOOKUP(B96, cnst_grazing!$C$10:$H$25,4,FALSE)), VLOOKUP(B96,cnst_grazing!$C$10:$H$25,6,FALSE)),1)</f>
        <v>1</v>
      </c>
      <c r="Z96" s="937">
        <f t="shared" si="31"/>
        <v>0.71115018763165083</v>
      </c>
      <c r="AA96" s="1487">
        <f t="shared" si="32"/>
        <v>1.8243991408975306</v>
      </c>
      <c r="AB96" s="933">
        <f>VLOOKUP($W96,feed_mix_n,MATCH(AB$5,feed_mix_w!$B$5:$AC$5,0),FALSE)/$Z96*VLOOKUP(AB$5,feed_intensity_w,11,FALSE)</f>
        <v>0.7713928568254288</v>
      </c>
      <c r="AC96" s="933">
        <f>VLOOKUP($W96,feed_mix_n,MATCH(AC$5,feed_mix_w!$B$5:$AC$5,0),FALSE)/$Z96*VLOOKUP(AC$5,feed_intensity_w,11,FALSE)</f>
        <v>0</v>
      </c>
      <c r="AD96" s="933">
        <f>VLOOKUP($W96,feed_mix_n,MATCH(AD$5,feed_mix_w!$B$5:$AC$5,0),FALSE)/$Z96*VLOOKUP(AD$5,feed_intensity_w,11,FALSE)</f>
        <v>0.35784174468474689</v>
      </c>
      <c r="AE96" s="933">
        <f>VLOOKUP($W96,feed_mix_n,MATCH(AE$5,feed_mix_w!$B$5:$AC$5,0),FALSE)/$Z96*VLOOKUP(AE$5,feed_intensity_w,11,FALSE)</f>
        <v>0.14759064918081707</v>
      </c>
      <c r="AF96" s="933">
        <f>VLOOKUP($W96,feed_mix_n,MATCH(AF$5,feed_mix_w!$B$5:$AC$5,0),FALSE)/$Z96*VLOOKUP(AF$5,feed_intensity_w,11,FALSE)</f>
        <v>0</v>
      </c>
      <c r="AG96" s="933">
        <f>VLOOKUP($W96,feed_mix_n,MATCH(AG$5,feed_mix_w!$B$5:$AC$5,0),FALSE)/$Z96*VLOOKUP(AG$5,feed_intensity_w,11,FALSE)</f>
        <v>0</v>
      </c>
      <c r="AH96" s="933">
        <f>VLOOKUP($W96,feed_mix_n,MATCH(AH$5,feed_mix_w!$B$5:$AC$5,0),FALSE)/$Z96*VLOOKUP(AH$5,feed_intensity_w,11,FALSE)</f>
        <v>0.35421755803396099</v>
      </c>
      <c r="AI96" s="933">
        <f>VLOOKUP($W96,feed_mix_n,MATCH(AI$5,feed_mix_w!$B$5:$AC$5,0),FALSE)/$Z96*VLOOKUP(AI$5,feed_intensity_w,11,FALSE)</f>
        <v>0</v>
      </c>
      <c r="AJ96" s="933">
        <f>VLOOKUP($W96,feed_mix_n,MATCH(AJ$5,feed_mix_w!$B$5:$AC$5,0),FALSE)/$Z96*VLOOKUP(AJ$5,feed_intensity_w,11,FALSE)</f>
        <v>0</v>
      </c>
      <c r="AK96" s="933">
        <f>VLOOKUP($W96,feed_mix_n,MATCH(AK$5,feed_mix_w!$B$5:$AC$5,0),FALSE)/$Z96*VLOOKUP(AK$5,feed_intensity_w,11,FALSE)</f>
        <v>0</v>
      </c>
      <c r="AL96" s="933">
        <f>VLOOKUP($W96,feed_mix_n,MATCH(AL$5,feed_mix_w!$B$5:$AC$5,0),FALSE)/$Z96*VLOOKUP(AL$5,feed_intensity_w,11,FALSE)</f>
        <v>0</v>
      </c>
      <c r="AM96" s="933">
        <f>VLOOKUP($W96,feed_mix_n,MATCH(AM$5,feed_mix_w!$B$5:$AC$5,0),FALSE)/$Z96*VLOOKUP(AM$5,feed_intensity_w,11,FALSE)</f>
        <v>0</v>
      </c>
      <c r="AN96" s="933">
        <f>VLOOKUP($W96,feed_mix_n,MATCH(AN$5,feed_mix_w!$B$5:$AC$5,0),FALSE)/$Z96*VLOOKUP(AN$5,feed_intensity_w,11,FALSE)</f>
        <v>0</v>
      </c>
      <c r="AO96" s="933">
        <f>VLOOKUP($W96,feed_mix_n,MATCH(AO$5,feed_mix_w!$B$5:$AC$5,0),FALSE)/$Z96*VLOOKUP(AO$5,feed_intensity_w,11,FALSE)</f>
        <v>0</v>
      </c>
      <c r="AP96" s="933">
        <f>VLOOKUP($W96,feed_mix_n,MATCH(AP$5,feed_mix_w!$B$5:$AC$5,0),FALSE)/$Z96*VLOOKUP(AP$5,feed_intensity_w,11,FALSE)</f>
        <v>0</v>
      </c>
      <c r="AQ96" s="933">
        <f>VLOOKUP($W96,feed_mix_n,MATCH(AQ$5,feed_mix_w!$B$5:$AC$5,0),FALSE)/$Z96*VLOOKUP(AQ$5,feed_intensity_w,11,FALSE)</f>
        <v>0</v>
      </c>
      <c r="AR96" s="933">
        <f>VLOOKUP($W96,feed_mix_n,MATCH(AR$5,feed_mix_w!$B$5:$AC$5,0),FALSE)/$Z96*VLOOKUP(AR$5,feed_intensity_w,11,FALSE)</f>
        <v>0.19335633217257689</v>
      </c>
      <c r="AS96" s="1105">
        <f>VLOOKUP($W96,feed_mix_n,MATCH(AS$5,feed_mix_w!$B$5:$AC$5,0),FALSE)/$Z96*VLOOKUP(AS$5,feed_intensity_w,11,FALSE)</f>
        <v>0</v>
      </c>
    </row>
    <row r="97" spans="1:45" ht="12.75" customHeight="1">
      <c r="A97" s="1008" t="s">
        <v>7395</v>
      </c>
      <c r="B97" s="1102">
        <v>1042</v>
      </c>
      <c r="C97" s="1103" t="s">
        <v>693</v>
      </c>
      <c r="D97" s="1158">
        <v>25749</v>
      </c>
      <c r="E97" s="1158">
        <v>110827</v>
      </c>
      <c r="F97" s="1012">
        <f t="shared" si="22"/>
        <v>25749</v>
      </c>
      <c r="G97" s="1012">
        <f t="shared" si="23"/>
        <v>110827</v>
      </c>
      <c r="H97" s="933">
        <f t="shared" si="24"/>
        <v>1.7622037156396602</v>
      </c>
      <c r="I97" s="1486">
        <f t="shared" si="25"/>
        <v>45374.98347400561</v>
      </c>
      <c r="J97" s="1006">
        <f>IFERROR(G97*VLOOKUP(W97,livestock_intensity!$B$7:$I$29,8,FALSE)/Z97,0)</f>
        <v>246910.58316614572</v>
      </c>
      <c r="K97" s="933">
        <f>VLOOKUP($W97,feed_mix_n,MATCH(K$5,feed_mix_w!$B$5:$AC$5,0),FALSE)/$Z97*VLOOKUP(K$5,feed_intensity_w,11,FALSE)</f>
        <v>0.16019672770471297</v>
      </c>
      <c r="L97" s="1486">
        <f t="shared" si="26"/>
        <v>4124.9055416686542</v>
      </c>
      <c r="M97" s="1447">
        <f>IFERROR(G97*VLOOKUP(W97,livestock_intensity!$B$7:$M$29,12,FALSE)/Z97,0)</f>
        <v>4964.3283121392642</v>
      </c>
      <c r="N97" s="933">
        <f>VLOOKUP($W97,feed_mix_n,MATCH(N$5,feed_mix_w!$B$5:$AC$5,0),FALSE)/$Z97*VLOOKUP(N$5,feed_intensity_w,11,FALSE)</f>
        <v>0</v>
      </c>
      <c r="O97" s="1486">
        <f t="shared" si="27"/>
        <v>0</v>
      </c>
      <c r="P97" s="939">
        <f>IFERROR(G97*VLOOKUP(W97,livestock_intensity!$B$7:$Q$29,16,FALSE)/Z97,0)</f>
        <v>0</v>
      </c>
      <c r="Q97" s="1530"/>
      <c r="R97" s="900">
        <f t="shared" si="28"/>
        <v>49499.889015674264</v>
      </c>
      <c r="S97" s="900">
        <f t="shared" si="29"/>
        <v>251874.91147828498</v>
      </c>
      <c r="T97" s="1483" t="s">
        <v>2862</v>
      </c>
      <c r="U97" s="1211" t="s">
        <v>2921</v>
      </c>
      <c r="V97" s="1212" t="str">
        <f>IFERROR(VLOOKUP(W97,constant_ag_extr!$D$7:$E$594,2,FALSE),"")</f>
        <v>Pigs</v>
      </c>
      <c r="W97" s="1213">
        <f t="shared" si="30"/>
        <v>1034</v>
      </c>
      <c r="X97" s="1099">
        <f>IFERROR(IF(VLOOKUP(B97,cnst_grazing!$C$10:$H$25,5,FALSE)="", IF(VLOOKUP(B97, cnst_grazing!$C$10:$H$25,3,FALSE)="", VLOOKUP(B97, cnst_grazing!$C$10:$H$25,4,FALSE),VLOOKUP(B97, cnst_grazing!$C$10:$H$25,3,FALSE)), VLOOKUP(B97,cnst_grazing!$C$10:$H$25,5,FALSE)),1)</f>
        <v>1</v>
      </c>
      <c r="Y97" s="1099">
        <f>IFERROR(IF(VLOOKUP(B97,cnst_grazing!$C$10:$H$25,6,FALSE)="", IF(VLOOKUP(B97, cnst_grazing!$C$10:$H$25,4,FALSE)="", VLOOKUP(B97, cnst_grazing!$C$10:$H$25,3,FALSE),VLOOKUP(B97, cnst_grazing!$C$10:$H$25,4,FALSE)), VLOOKUP(B97,cnst_grazing!$C$10:$H$25,6,FALSE)),1)</f>
        <v>1</v>
      </c>
      <c r="Z97" s="937">
        <f t="shared" si="31"/>
        <v>0.7362496060186503</v>
      </c>
      <c r="AA97" s="1487">
        <f t="shared" si="32"/>
        <v>1.7622037156396602</v>
      </c>
      <c r="AB97" s="933">
        <f>VLOOKUP($W97,feed_mix_n,MATCH(AB$5,feed_mix_w!$B$5:$AC$5,0),FALSE)/$Z97*VLOOKUP(AB$5,feed_intensity_w,11,FALSE)</f>
        <v>0.74509537307001639</v>
      </c>
      <c r="AC97" s="933">
        <f>VLOOKUP($W97,feed_mix_n,MATCH(AC$5,feed_mix_w!$B$5:$AC$5,0),FALSE)/$Z97*VLOOKUP(AC$5,feed_intensity_w,11,FALSE)</f>
        <v>0</v>
      </c>
      <c r="AD97" s="933">
        <f>VLOOKUP($W97,feed_mix_n,MATCH(AD$5,feed_mix_w!$B$5:$AC$5,0),FALSE)/$Z97*VLOOKUP(AD$5,feed_intensity_w,11,FALSE)</f>
        <v>0.34564259429776684</v>
      </c>
      <c r="AE97" s="933">
        <f>VLOOKUP($W97,feed_mix_n,MATCH(AE$5,feed_mix_w!$B$5:$AC$5,0),FALSE)/$Z97*VLOOKUP(AE$5,feed_intensity_w,11,FALSE)</f>
        <v>0.14255914977692558</v>
      </c>
      <c r="AF97" s="933">
        <f>VLOOKUP($W97,feed_mix_n,MATCH(AF$5,feed_mix_w!$B$5:$AC$5,0),FALSE)/$Z97*VLOOKUP(AF$5,feed_intensity_w,11,FALSE)</f>
        <v>0</v>
      </c>
      <c r="AG97" s="933">
        <f>VLOOKUP($W97,feed_mix_n,MATCH(AG$5,feed_mix_w!$B$5:$AC$5,0),FALSE)/$Z97*VLOOKUP(AG$5,feed_intensity_w,11,FALSE)</f>
        <v>0</v>
      </c>
      <c r="AH97" s="933">
        <f>VLOOKUP($W97,feed_mix_n,MATCH(AH$5,feed_mix_w!$B$5:$AC$5,0),FALSE)/$Z97*VLOOKUP(AH$5,feed_intensity_w,11,FALSE)</f>
        <v>0.34214195946462139</v>
      </c>
      <c r="AI97" s="933">
        <f>VLOOKUP($W97,feed_mix_n,MATCH(AI$5,feed_mix_w!$B$5:$AC$5,0),FALSE)/$Z97*VLOOKUP(AI$5,feed_intensity_w,11,FALSE)</f>
        <v>0</v>
      </c>
      <c r="AJ97" s="933">
        <f>VLOOKUP($W97,feed_mix_n,MATCH(AJ$5,feed_mix_w!$B$5:$AC$5,0),FALSE)/$Z97*VLOOKUP(AJ$5,feed_intensity_w,11,FALSE)</f>
        <v>0</v>
      </c>
      <c r="AK97" s="933">
        <f>VLOOKUP($W97,feed_mix_n,MATCH(AK$5,feed_mix_w!$B$5:$AC$5,0),FALSE)/$Z97*VLOOKUP(AK$5,feed_intensity_w,11,FALSE)</f>
        <v>0</v>
      </c>
      <c r="AL97" s="933">
        <f>VLOOKUP($W97,feed_mix_n,MATCH(AL$5,feed_mix_w!$B$5:$AC$5,0),FALSE)/$Z97*VLOOKUP(AL$5,feed_intensity_w,11,FALSE)</f>
        <v>0</v>
      </c>
      <c r="AM97" s="933">
        <f>VLOOKUP($W97,feed_mix_n,MATCH(AM$5,feed_mix_w!$B$5:$AC$5,0),FALSE)/$Z97*VLOOKUP(AM$5,feed_intensity_w,11,FALSE)</f>
        <v>0</v>
      </c>
      <c r="AN97" s="933">
        <f>VLOOKUP($W97,feed_mix_n,MATCH(AN$5,feed_mix_w!$B$5:$AC$5,0),FALSE)/$Z97*VLOOKUP(AN$5,feed_intensity_w,11,FALSE)</f>
        <v>0</v>
      </c>
      <c r="AO97" s="933">
        <f>VLOOKUP($W97,feed_mix_n,MATCH(AO$5,feed_mix_w!$B$5:$AC$5,0),FALSE)/$Z97*VLOOKUP(AO$5,feed_intensity_w,11,FALSE)</f>
        <v>0</v>
      </c>
      <c r="AP97" s="933">
        <f>VLOOKUP($W97,feed_mix_n,MATCH(AP$5,feed_mix_w!$B$5:$AC$5,0),FALSE)/$Z97*VLOOKUP(AP$5,feed_intensity_w,11,FALSE)</f>
        <v>0</v>
      </c>
      <c r="AQ97" s="933">
        <f>VLOOKUP($W97,feed_mix_n,MATCH(AQ$5,feed_mix_w!$B$5:$AC$5,0),FALSE)/$Z97*VLOOKUP(AQ$5,feed_intensity_w,11,FALSE)</f>
        <v>0</v>
      </c>
      <c r="AR97" s="933">
        <f>VLOOKUP($W97,feed_mix_n,MATCH(AR$5,feed_mix_w!$B$5:$AC$5,0),FALSE)/$Z97*VLOOKUP(AR$5,feed_intensity_w,11,FALSE)</f>
        <v>0.18676463903032992</v>
      </c>
      <c r="AS97" s="1105">
        <f>VLOOKUP($W97,feed_mix_n,MATCH(AS$5,feed_mix_w!$B$5:$AC$5,0),FALSE)/$Z97*VLOOKUP(AS$5,feed_intensity_w,11,FALSE)</f>
        <v>0</v>
      </c>
    </row>
    <row r="98" spans="1:45" ht="12.75" customHeight="1">
      <c r="A98" s="1008" t="s">
        <v>1487</v>
      </c>
      <c r="B98" s="1102">
        <v>1043</v>
      </c>
      <c r="C98" s="1103" t="s">
        <v>1626</v>
      </c>
      <c r="D98" s="1158">
        <v>21887</v>
      </c>
      <c r="E98" s="1158">
        <v>121297</v>
      </c>
      <c r="F98" s="1012">
        <f t="shared" si="22"/>
        <v>21887</v>
      </c>
      <c r="G98" s="1012">
        <f t="shared" si="23"/>
        <v>121297</v>
      </c>
      <c r="H98" s="933">
        <f t="shared" si="24"/>
        <v>0.98948553579089615</v>
      </c>
      <c r="I98" s="1486">
        <f t="shared" si="25"/>
        <v>21656.869921855345</v>
      </c>
      <c r="J98" s="1006">
        <f>IFERROR(G98*VLOOKUP(W98,livestock_intensity!$B$7:$I$29,8,FALSE)/Z98,0)</f>
        <v>151739.10741137413</v>
      </c>
      <c r="K98" s="933">
        <f>VLOOKUP($W98,feed_mix_n,MATCH(K$5,feed_mix_w!$B$5:$AC$5,0),FALSE)/$Z98*VLOOKUP(K$5,feed_intensity_w,11,FALSE)</f>
        <v>8.995120344943093E-2</v>
      </c>
      <c r="L98" s="1486">
        <f t="shared" si="26"/>
        <v>1968.7619898976948</v>
      </c>
      <c r="M98" s="1447">
        <f>IFERROR(G98*VLOOKUP(W98,livestock_intensity!$B$7:$M$29,12,FALSE)/Z98,0)</f>
        <v>3050.8321568142051</v>
      </c>
      <c r="N98" s="933">
        <f>VLOOKUP($W98,feed_mix_n,MATCH(N$5,feed_mix_w!$B$5:$AC$5,0),FALSE)/$Z98*VLOOKUP(N$5,feed_intensity_w,11,FALSE)</f>
        <v>0</v>
      </c>
      <c r="O98" s="1486">
        <f t="shared" si="27"/>
        <v>0</v>
      </c>
      <c r="P98" s="939">
        <f>IFERROR(G98*VLOOKUP(W98,livestock_intensity!$B$7:$Q$29,16,FALSE)/Z98,0)</f>
        <v>0</v>
      </c>
      <c r="Q98" s="1530"/>
      <c r="R98" s="900">
        <f t="shared" si="28"/>
        <v>23625.63191175304</v>
      </c>
      <c r="S98" s="900">
        <f t="shared" si="29"/>
        <v>154789.93956818833</v>
      </c>
      <c r="T98" s="1483" t="s">
        <v>2862</v>
      </c>
      <c r="U98" s="1211" t="s">
        <v>2921</v>
      </c>
      <c r="V98" s="1212" t="str">
        <f>IFERROR(VLOOKUP(W98,constant_ag_extr!$D$7:$E$594,2,FALSE),"")</f>
        <v>Pigs</v>
      </c>
      <c r="W98" s="1213">
        <f t="shared" si="30"/>
        <v>1034</v>
      </c>
      <c r="X98" s="1099">
        <f>IFERROR(IF(VLOOKUP(B98,cnst_grazing!$C$10:$H$25,5,FALSE)="", IF(VLOOKUP(B98, cnst_grazing!$C$10:$H$25,3,FALSE)="", VLOOKUP(B98, cnst_grazing!$C$10:$H$25,4,FALSE),VLOOKUP(B98, cnst_grazing!$C$10:$H$25,3,FALSE)), VLOOKUP(B98,cnst_grazing!$C$10:$H$25,5,FALSE)),1)</f>
        <v>1</v>
      </c>
      <c r="Y98" s="1099">
        <f>IFERROR(IF(VLOOKUP(B98,cnst_grazing!$C$10:$H$25,6,FALSE)="", IF(VLOOKUP(B98, cnst_grazing!$C$10:$H$25,4,FALSE)="", VLOOKUP(B98, cnst_grazing!$C$10:$H$25,3,FALSE),VLOOKUP(B98, cnst_grazing!$C$10:$H$25,4,FALSE)), VLOOKUP(B98,cnst_grazing!$C$10:$H$25,6,FALSE)),1)</f>
        <v>1</v>
      </c>
      <c r="Z98" s="937">
        <f t="shared" si="31"/>
        <v>1.3112084456366224</v>
      </c>
      <c r="AA98" s="1487">
        <f t="shared" si="32"/>
        <v>0.98948553579089615</v>
      </c>
      <c r="AB98" s="933">
        <f>VLOOKUP($W98,feed_mix_n,MATCH(AB$5,feed_mix_w!$B$5:$AC$5,0),FALSE)/$Z98*VLOOKUP(AB$5,feed_intensity_w,11,FALSE)</f>
        <v>0.41837449773500529</v>
      </c>
      <c r="AC98" s="933">
        <f>VLOOKUP($W98,feed_mix_n,MATCH(AC$5,feed_mix_w!$B$5:$AC$5,0),FALSE)/$Z98*VLOOKUP(AC$5,feed_intensity_w,11,FALSE)</f>
        <v>0</v>
      </c>
      <c r="AD98" s="933">
        <f>VLOOKUP($W98,feed_mix_n,MATCH(AD$5,feed_mix_w!$B$5:$AC$5,0),FALSE)/$Z98*VLOOKUP(AD$5,feed_intensity_w,11,FALSE)</f>
        <v>0.19407991515143072</v>
      </c>
      <c r="AE98" s="933">
        <f>VLOOKUP($W98,feed_mix_n,MATCH(AE$5,feed_mix_w!$B$5:$AC$5,0),FALSE)/$Z98*VLOOKUP(AE$5,feed_intensity_w,11,FALSE)</f>
        <v>8.0047621876516442E-2</v>
      </c>
      <c r="AF98" s="933">
        <f>VLOOKUP($W98,feed_mix_n,MATCH(AF$5,feed_mix_w!$B$5:$AC$5,0),FALSE)/$Z98*VLOOKUP(AF$5,feed_intensity_w,11,FALSE)</f>
        <v>0</v>
      </c>
      <c r="AG98" s="933">
        <f>VLOOKUP($W98,feed_mix_n,MATCH(AG$5,feed_mix_w!$B$5:$AC$5,0),FALSE)/$Z98*VLOOKUP(AG$5,feed_intensity_w,11,FALSE)</f>
        <v>0</v>
      </c>
      <c r="AH98" s="933">
        <f>VLOOKUP($W98,feed_mix_n,MATCH(AH$5,feed_mix_w!$B$5:$AC$5,0),FALSE)/$Z98*VLOOKUP(AH$5,feed_intensity_w,11,FALSE)</f>
        <v>0.19211429250363946</v>
      </c>
      <c r="AI98" s="933">
        <f>VLOOKUP($W98,feed_mix_n,MATCH(AI$5,feed_mix_w!$B$5:$AC$5,0),FALSE)/$Z98*VLOOKUP(AI$5,feed_intensity_w,11,FALSE)</f>
        <v>0</v>
      </c>
      <c r="AJ98" s="933">
        <f>VLOOKUP($W98,feed_mix_n,MATCH(AJ$5,feed_mix_w!$B$5:$AC$5,0),FALSE)/$Z98*VLOOKUP(AJ$5,feed_intensity_w,11,FALSE)</f>
        <v>0</v>
      </c>
      <c r="AK98" s="933">
        <f>VLOOKUP($W98,feed_mix_n,MATCH(AK$5,feed_mix_w!$B$5:$AC$5,0),FALSE)/$Z98*VLOOKUP(AK$5,feed_intensity_w,11,FALSE)</f>
        <v>0</v>
      </c>
      <c r="AL98" s="933">
        <f>VLOOKUP($W98,feed_mix_n,MATCH(AL$5,feed_mix_w!$B$5:$AC$5,0),FALSE)/$Z98*VLOOKUP(AL$5,feed_intensity_w,11,FALSE)</f>
        <v>0</v>
      </c>
      <c r="AM98" s="933">
        <f>VLOOKUP($W98,feed_mix_n,MATCH(AM$5,feed_mix_w!$B$5:$AC$5,0),FALSE)/$Z98*VLOOKUP(AM$5,feed_intensity_w,11,FALSE)</f>
        <v>0</v>
      </c>
      <c r="AN98" s="933">
        <f>VLOOKUP($W98,feed_mix_n,MATCH(AN$5,feed_mix_w!$B$5:$AC$5,0),FALSE)/$Z98*VLOOKUP(AN$5,feed_intensity_w,11,FALSE)</f>
        <v>0</v>
      </c>
      <c r="AO98" s="933">
        <f>VLOOKUP($W98,feed_mix_n,MATCH(AO$5,feed_mix_w!$B$5:$AC$5,0),FALSE)/$Z98*VLOOKUP(AO$5,feed_intensity_w,11,FALSE)</f>
        <v>0</v>
      </c>
      <c r="AP98" s="933">
        <f>VLOOKUP($W98,feed_mix_n,MATCH(AP$5,feed_mix_w!$B$5:$AC$5,0),FALSE)/$Z98*VLOOKUP(AP$5,feed_intensity_w,11,FALSE)</f>
        <v>0</v>
      </c>
      <c r="AQ98" s="933">
        <f>VLOOKUP($W98,feed_mix_n,MATCH(AQ$5,feed_mix_w!$B$5:$AC$5,0),FALSE)/$Z98*VLOOKUP(AQ$5,feed_intensity_w,11,FALSE)</f>
        <v>0</v>
      </c>
      <c r="AR98" s="933">
        <f>VLOOKUP($W98,feed_mix_n,MATCH(AR$5,feed_mix_w!$B$5:$AC$5,0),FALSE)/$Z98*VLOOKUP(AR$5,feed_intensity_w,11,FALSE)</f>
        <v>0.10486920852430429</v>
      </c>
      <c r="AS98" s="1105">
        <f>VLOOKUP($W98,feed_mix_n,MATCH(AS$5,feed_mix_w!$B$5:$AC$5,0),FALSE)/$Z98*VLOOKUP(AS$5,feed_intensity_w,11,FALSE)</f>
        <v>0</v>
      </c>
    </row>
    <row r="99" spans="1:45" ht="12.75" customHeight="1">
      <c r="A99" s="1008" t="s">
        <v>2139</v>
      </c>
      <c r="B99" s="1102">
        <v>1045</v>
      </c>
      <c r="C99" s="1103" t="s">
        <v>5637</v>
      </c>
      <c r="D99" s="1158"/>
      <c r="E99" s="1158"/>
      <c r="F99" s="1012">
        <f t="shared" si="22"/>
        <v>0</v>
      </c>
      <c r="G99" s="1012">
        <f t="shared" si="23"/>
        <v>0</v>
      </c>
      <c r="H99" s="933">
        <f t="shared" si="24"/>
        <v>0.93078965544004233</v>
      </c>
      <c r="I99" s="1486">
        <f t="shared" si="25"/>
        <v>0</v>
      </c>
      <c r="J99" s="1006">
        <f>IFERROR(G99*VLOOKUP(W99,livestock_intensity!$B$7:$I$29,8,FALSE)/Z99,0)</f>
        <v>0</v>
      </c>
      <c r="K99" s="933">
        <f>VLOOKUP($W99,feed_mix_n,MATCH(K$5,feed_mix_w!$B$5:$AC$5,0),FALSE)/$Z99*VLOOKUP(K$5,feed_intensity_w,11,FALSE)</f>
        <v>8.4615334572011716E-2</v>
      </c>
      <c r="L99" s="1486">
        <f t="shared" si="26"/>
        <v>0</v>
      </c>
      <c r="M99" s="1447">
        <f>IFERROR(G99*VLOOKUP(W99,livestock_intensity!$B$7:$M$29,12,FALSE)/Z99,0)</f>
        <v>0</v>
      </c>
      <c r="N99" s="933">
        <f>VLOOKUP($W99,feed_mix_n,MATCH(N$5,feed_mix_w!$B$5:$AC$5,0),FALSE)/$Z99*VLOOKUP(N$5,feed_intensity_w,11,FALSE)</f>
        <v>0</v>
      </c>
      <c r="O99" s="1486">
        <f t="shared" si="27"/>
        <v>0</v>
      </c>
      <c r="P99" s="939">
        <f>IFERROR(G99*VLOOKUP(W99,livestock_intensity!$B$7:$Q$29,16,FALSE)/Z99,0)</f>
        <v>0</v>
      </c>
      <c r="Q99" s="1530"/>
      <c r="R99" s="900">
        <f t="shared" si="28"/>
        <v>0</v>
      </c>
      <c r="S99" s="900">
        <f t="shared" si="29"/>
        <v>0</v>
      </c>
      <c r="T99" s="1483">
        <v>2748</v>
      </c>
      <c r="U99" s="1211" t="s">
        <v>2921</v>
      </c>
      <c r="V99" s="1212" t="str">
        <f>IFERROR(VLOOKUP(W99,constant_ag_extr!$D$7:$E$594,2,FALSE),"")</f>
        <v>Pigs</v>
      </c>
      <c r="W99" s="1213">
        <f t="shared" si="30"/>
        <v>1034</v>
      </c>
      <c r="X99" s="1099">
        <f>IFERROR(IF(VLOOKUP(B99,cnst_grazing!$C$10:$H$25,5,FALSE)="", IF(VLOOKUP(B99, cnst_grazing!$C$10:$H$25,3,FALSE)="", VLOOKUP(B99, cnst_grazing!$C$10:$H$25,4,FALSE),VLOOKUP(B99, cnst_grazing!$C$10:$H$25,3,FALSE)), VLOOKUP(B99,cnst_grazing!$C$10:$H$25,5,FALSE)),1)</f>
        <v>1</v>
      </c>
      <c r="Y99" s="1099">
        <f>IFERROR(IF(VLOOKUP(B99,cnst_grazing!$C$10:$H$25,6,FALSE)="", IF(VLOOKUP(B99, cnst_grazing!$C$10:$H$25,4,FALSE)="", VLOOKUP(B99, cnst_grazing!$C$10:$H$25,3,FALSE),VLOOKUP(B99, cnst_grazing!$C$10:$H$25,4,FALSE)), VLOOKUP(B99,cnst_grazing!$C$10:$H$25,6,FALSE)),1)</f>
        <v>1</v>
      </c>
      <c r="Z99" s="937">
        <f t="shared" si="31"/>
        <v>1.3938936512470472</v>
      </c>
      <c r="AA99" s="1487">
        <f t="shared" si="32"/>
        <v>0.93078965544004233</v>
      </c>
      <c r="AB99" s="933">
        <f>VLOOKUP($W99,feed_mix_n,MATCH(AB$5,feed_mix_w!$B$5:$AC$5,0),FALSE)/$Z99*VLOOKUP(AB$5,feed_intensity_w,11,FALSE)</f>
        <v>0.39355669234760848</v>
      </c>
      <c r="AC99" s="933">
        <f>VLOOKUP($W99,feed_mix_n,MATCH(AC$5,feed_mix_w!$B$5:$AC$5,0),FALSE)/$Z99*VLOOKUP(AC$5,feed_intensity_w,11,FALSE)</f>
        <v>0</v>
      </c>
      <c r="AD99" s="933">
        <f>VLOOKUP($W99,feed_mix_n,MATCH(AD$5,feed_mix_w!$B$5:$AC$5,0),FALSE)/$Z99*VLOOKUP(AD$5,feed_intensity_w,11,FALSE)</f>
        <v>0.1825671733617017</v>
      </c>
      <c r="AE99" s="933">
        <f>VLOOKUP($W99,feed_mix_n,MATCH(AE$5,feed_mix_w!$B$5:$AC$5,0),FALSE)/$Z99*VLOOKUP(AE$5,feed_intensity_w,11,FALSE)</f>
        <v>7.5299229438137938E-2</v>
      </c>
      <c r="AF99" s="933">
        <f>VLOOKUP($W99,feed_mix_n,MATCH(AF$5,feed_mix_w!$B$5:$AC$5,0),FALSE)/$Z99*VLOOKUP(AF$5,feed_intensity_w,11,FALSE)</f>
        <v>0</v>
      </c>
      <c r="AG99" s="933">
        <f>VLOOKUP($W99,feed_mix_n,MATCH(AG$5,feed_mix_w!$B$5:$AC$5,0),FALSE)/$Z99*VLOOKUP(AG$5,feed_intensity_w,11,FALSE)</f>
        <v>0</v>
      </c>
      <c r="AH99" s="933">
        <f>VLOOKUP($W99,feed_mix_n,MATCH(AH$5,feed_mix_w!$B$5:$AC$5,0),FALSE)/$Z99*VLOOKUP(AH$5,feed_intensity_w,11,FALSE)</f>
        <v>0.18071815065153102</v>
      </c>
      <c r="AI99" s="933">
        <f>VLOOKUP($W99,feed_mix_n,MATCH(AI$5,feed_mix_w!$B$5:$AC$5,0),FALSE)/$Z99*VLOOKUP(AI$5,feed_intensity_w,11,FALSE)</f>
        <v>0</v>
      </c>
      <c r="AJ99" s="933">
        <f>VLOOKUP($W99,feed_mix_n,MATCH(AJ$5,feed_mix_w!$B$5:$AC$5,0),FALSE)/$Z99*VLOOKUP(AJ$5,feed_intensity_w,11,FALSE)</f>
        <v>0</v>
      </c>
      <c r="AK99" s="933">
        <f>VLOOKUP($W99,feed_mix_n,MATCH(AK$5,feed_mix_w!$B$5:$AC$5,0),FALSE)/$Z99*VLOOKUP(AK$5,feed_intensity_w,11,FALSE)</f>
        <v>0</v>
      </c>
      <c r="AL99" s="933">
        <f>VLOOKUP($W99,feed_mix_n,MATCH(AL$5,feed_mix_w!$B$5:$AC$5,0),FALSE)/$Z99*VLOOKUP(AL$5,feed_intensity_w,11,FALSE)</f>
        <v>0</v>
      </c>
      <c r="AM99" s="933">
        <f>VLOOKUP($W99,feed_mix_n,MATCH(AM$5,feed_mix_w!$B$5:$AC$5,0),FALSE)/$Z99*VLOOKUP(AM$5,feed_intensity_w,11,FALSE)</f>
        <v>0</v>
      </c>
      <c r="AN99" s="933">
        <f>VLOOKUP($W99,feed_mix_n,MATCH(AN$5,feed_mix_w!$B$5:$AC$5,0),FALSE)/$Z99*VLOOKUP(AN$5,feed_intensity_w,11,FALSE)</f>
        <v>0</v>
      </c>
      <c r="AO99" s="933">
        <f>VLOOKUP($W99,feed_mix_n,MATCH(AO$5,feed_mix_w!$B$5:$AC$5,0),FALSE)/$Z99*VLOOKUP(AO$5,feed_intensity_w,11,FALSE)</f>
        <v>0</v>
      </c>
      <c r="AP99" s="933">
        <f>VLOOKUP($W99,feed_mix_n,MATCH(AP$5,feed_mix_w!$B$5:$AC$5,0),FALSE)/$Z99*VLOOKUP(AP$5,feed_intensity_w,11,FALSE)</f>
        <v>0</v>
      </c>
      <c r="AQ99" s="933">
        <f>VLOOKUP($W99,feed_mix_n,MATCH(AQ$5,feed_mix_w!$B$5:$AC$5,0),FALSE)/$Z99*VLOOKUP(AQ$5,feed_intensity_w,11,FALSE)</f>
        <v>0</v>
      </c>
      <c r="AR99" s="933">
        <f>VLOOKUP($W99,feed_mix_n,MATCH(AR$5,feed_mix_w!$B$5:$AC$5,0),FALSE)/$Z99*VLOOKUP(AR$5,feed_intensity_w,11,FALSE)</f>
        <v>9.8648409641063084E-2</v>
      </c>
      <c r="AS99" s="1105">
        <f>VLOOKUP($W99,feed_mix_n,MATCH(AS$5,feed_mix_w!$B$5:$AC$5,0),FALSE)/$Z99*VLOOKUP(AS$5,feed_intensity_w,11,FALSE)</f>
        <v>0</v>
      </c>
    </row>
    <row r="100" spans="1:45" ht="12.75" customHeight="1">
      <c r="A100" s="1008" t="s">
        <v>1561</v>
      </c>
      <c r="B100" s="1102">
        <v>1046</v>
      </c>
      <c r="C100" s="1103" t="s">
        <v>5634</v>
      </c>
      <c r="D100" s="1158"/>
      <c r="E100" s="1158"/>
      <c r="F100" s="1012">
        <f t="shared" si="22"/>
        <v>0</v>
      </c>
      <c r="G100" s="1012">
        <f t="shared" si="23"/>
        <v>0</v>
      </c>
      <c r="H100" s="933">
        <f t="shared" si="24"/>
        <v>4.653948277200211</v>
      </c>
      <c r="I100" s="1486">
        <f t="shared" si="25"/>
        <v>0</v>
      </c>
      <c r="J100" s="1006">
        <f>IFERROR(G100*VLOOKUP(W100,livestock_intensity!$B$7:$I$29,8,FALSE)/Z100,0)</f>
        <v>0</v>
      </c>
      <c r="K100" s="933">
        <f>VLOOKUP($W100,feed_mix_n,MATCH(K$5,feed_mix_w!$B$5:$AC$5,0),FALSE)/$Z100*VLOOKUP(K$5,feed_intensity_w,11,FALSE)</f>
        <v>0.42307667286005857</v>
      </c>
      <c r="L100" s="1486">
        <f t="shared" si="26"/>
        <v>0</v>
      </c>
      <c r="M100" s="1447">
        <f>IFERROR(G100*VLOOKUP(W100,livestock_intensity!$B$7:$M$29,12,FALSE)/Z100,0)</f>
        <v>0</v>
      </c>
      <c r="N100" s="933">
        <f>VLOOKUP($W100,feed_mix_n,MATCH(N$5,feed_mix_w!$B$5:$AC$5,0),FALSE)/$Z100*VLOOKUP(N$5,feed_intensity_w,11,FALSE)</f>
        <v>0</v>
      </c>
      <c r="O100" s="1486">
        <f t="shared" si="27"/>
        <v>0</v>
      </c>
      <c r="P100" s="939">
        <f>IFERROR(G100*VLOOKUP(W100,livestock_intensity!$B$7:$Q$29,16,FALSE)/Z100,0)</f>
        <v>0</v>
      </c>
      <c r="Q100" s="1530"/>
      <c r="R100" s="900">
        <f t="shared" si="28"/>
        <v>0</v>
      </c>
      <c r="S100" s="900">
        <f t="shared" si="29"/>
        <v>0</v>
      </c>
      <c r="T100" s="1483">
        <v>2748</v>
      </c>
      <c r="U100" s="1211" t="s">
        <v>2921</v>
      </c>
      <c r="V100" s="1212" t="str">
        <f>IFERROR(VLOOKUP(W100,constant_ag_extr!$D$7:$E$594,2,FALSE),"")</f>
        <v>Pigs</v>
      </c>
      <c r="W100" s="1213">
        <f t="shared" si="30"/>
        <v>1034</v>
      </c>
      <c r="X100" s="1099">
        <f>IFERROR(IF(VLOOKUP(B100,cnst_grazing!$C$10:$H$25,5,FALSE)="", IF(VLOOKUP(B100, cnst_grazing!$C$10:$H$25,3,FALSE)="", VLOOKUP(B100, cnst_grazing!$C$10:$H$25,4,FALSE),VLOOKUP(B100, cnst_grazing!$C$10:$H$25,3,FALSE)), VLOOKUP(B100,cnst_grazing!$C$10:$H$25,5,FALSE)),1)</f>
        <v>1</v>
      </c>
      <c r="Y100" s="1099">
        <f>IFERROR(IF(VLOOKUP(B100,cnst_grazing!$C$10:$H$25,6,FALSE)="", IF(VLOOKUP(B100, cnst_grazing!$C$10:$H$25,4,FALSE)="", VLOOKUP(B100, cnst_grazing!$C$10:$H$25,3,FALSE),VLOOKUP(B100, cnst_grazing!$C$10:$H$25,4,FALSE)), VLOOKUP(B100,cnst_grazing!$C$10:$H$25,6,FALSE)),1)</f>
        <v>1</v>
      </c>
      <c r="Z100" s="937">
        <f t="shared" si="31"/>
        <v>0.27877873024940947</v>
      </c>
      <c r="AA100" s="1487">
        <f t="shared" si="32"/>
        <v>4.653948277200211</v>
      </c>
      <c r="AB100" s="933">
        <f>VLOOKUP($W100,feed_mix_n,MATCH(AB$5,feed_mix_w!$B$5:$AC$5,0),FALSE)/$Z100*VLOOKUP(AB$5,feed_intensity_w,11,FALSE)</f>
        <v>1.9677834617380423</v>
      </c>
      <c r="AC100" s="933">
        <f>VLOOKUP($W100,feed_mix_n,MATCH(AC$5,feed_mix_w!$B$5:$AC$5,0),FALSE)/$Z100*VLOOKUP(AC$5,feed_intensity_w,11,FALSE)</f>
        <v>0</v>
      </c>
      <c r="AD100" s="933">
        <f>VLOOKUP($W100,feed_mix_n,MATCH(AD$5,feed_mix_w!$B$5:$AC$5,0),FALSE)/$Z100*VLOOKUP(AD$5,feed_intensity_w,11,FALSE)</f>
        <v>0.91283586680850837</v>
      </c>
      <c r="AE100" s="933">
        <f>VLOOKUP($W100,feed_mix_n,MATCH(AE$5,feed_mix_w!$B$5:$AC$5,0),FALSE)/$Z100*VLOOKUP(AE$5,feed_intensity_w,11,FALSE)</f>
        <v>0.37649614719068963</v>
      </c>
      <c r="AF100" s="933">
        <f>VLOOKUP($W100,feed_mix_n,MATCH(AF$5,feed_mix_w!$B$5:$AC$5,0),FALSE)/$Z100*VLOOKUP(AF$5,feed_intensity_w,11,FALSE)</f>
        <v>0</v>
      </c>
      <c r="AG100" s="933">
        <f>VLOOKUP($W100,feed_mix_n,MATCH(AG$5,feed_mix_w!$B$5:$AC$5,0),FALSE)/$Z100*VLOOKUP(AG$5,feed_intensity_w,11,FALSE)</f>
        <v>0</v>
      </c>
      <c r="AH100" s="933">
        <f>VLOOKUP($W100,feed_mix_n,MATCH(AH$5,feed_mix_w!$B$5:$AC$5,0),FALSE)/$Z100*VLOOKUP(AH$5,feed_intensity_w,11,FALSE)</f>
        <v>0.90359075325765503</v>
      </c>
      <c r="AI100" s="933">
        <f>VLOOKUP($W100,feed_mix_n,MATCH(AI$5,feed_mix_w!$B$5:$AC$5,0),FALSE)/$Z100*VLOOKUP(AI$5,feed_intensity_w,11,FALSE)</f>
        <v>0</v>
      </c>
      <c r="AJ100" s="933">
        <f>VLOOKUP($W100,feed_mix_n,MATCH(AJ$5,feed_mix_w!$B$5:$AC$5,0),FALSE)/$Z100*VLOOKUP(AJ$5,feed_intensity_w,11,FALSE)</f>
        <v>0</v>
      </c>
      <c r="AK100" s="933">
        <f>VLOOKUP($W100,feed_mix_n,MATCH(AK$5,feed_mix_w!$B$5:$AC$5,0),FALSE)/$Z100*VLOOKUP(AK$5,feed_intensity_w,11,FALSE)</f>
        <v>0</v>
      </c>
      <c r="AL100" s="933">
        <f>VLOOKUP($W100,feed_mix_n,MATCH(AL$5,feed_mix_w!$B$5:$AC$5,0),FALSE)/$Z100*VLOOKUP(AL$5,feed_intensity_w,11,FALSE)</f>
        <v>0</v>
      </c>
      <c r="AM100" s="933">
        <f>VLOOKUP($W100,feed_mix_n,MATCH(AM$5,feed_mix_w!$B$5:$AC$5,0),FALSE)/$Z100*VLOOKUP(AM$5,feed_intensity_w,11,FALSE)</f>
        <v>0</v>
      </c>
      <c r="AN100" s="933">
        <f>VLOOKUP($W100,feed_mix_n,MATCH(AN$5,feed_mix_w!$B$5:$AC$5,0),FALSE)/$Z100*VLOOKUP(AN$5,feed_intensity_w,11,FALSE)</f>
        <v>0</v>
      </c>
      <c r="AO100" s="933">
        <f>VLOOKUP($W100,feed_mix_n,MATCH(AO$5,feed_mix_w!$B$5:$AC$5,0),FALSE)/$Z100*VLOOKUP(AO$5,feed_intensity_w,11,FALSE)</f>
        <v>0</v>
      </c>
      <c r="AP100" s="933">
        <f>VLOOKUP($W100,feed_mix_n,MATCH(AP$5,feed_mix_w!$B$5:$AC$5,0),FALSE)/$Z100*VLOOKUP(AP$5,feed_intensity_w,11,FALSE)</f>
        <v>0</v>
      </c>
      <c r="AQ100" s="933">
        <f>VLOOKUP($W100,feed_mix_n,MATCH(AQ$5,feed_mix_w!$B$5:$AC$5,0),FALSE)/$Z100*VLOOKUP(AQ$5,feed_intensity_w,11,FALSE)</f>
        <v>0</v>
      </c>
      <c r="AR100" s="933">
        <f>VLOOKUP($W100,feed_mix_n,MATCH(AR$5,feed_mix_w!$B$5:$AC$5,0),FALSE)/$Z100*VLOOKUP(AR$5,feed_intensity_w,11,FALSE)</f>
        <v>0.49324204820531542</v>
      </c>
      <c r="AS100" s="1105">
        <f>VLOOKUP($W100,feed_mix_n,MATCH(AS$5,feed_mix_w!$B$5:$AC$5,0),FALSE)/$Z100*VLOOKUP(AS$5,feed_intensity_w,11,FALSE)</f>
        <v>0</v>
      </c>
    </row>
    <row r="101" spans="1:45" ht="12.75" customHeight="1">
      <c r="A101" s="1008" t="s">
        <v>2858</v>
      </c>
      <c r="B101" s="1102">
        <v>1047</v>
      </c>
      <c r="C101" s="1103" t="s">
        <v>698</v>
      </c>
      <c r="D101" s="1158"/>
      <c r="E101" s="1158"/>
      <c r="F101" s="1012">
        <f t="shared" si="22"/>
        <v>0</v>
      </c>
      <c r="G101" s="1012">
        <f t="shared" si="23"/>
        <v>0</v>
      </c>
      <c r="H101" s="933">
        <f t="shared" si="24"/>
        <v>0.93078965544004233</v>
      </c>
      <c r="I101" s="1486">
        <f t="shared" si="25"/>
        <v>0</v>
      </c>
      <c r="J101" s="1006">
        <f>IFERROR(G101*VLOOKUP(W101,livestock_intensity!$B$7:$I$29,8,FALSE)/Z101,0)</f>
        <v>0</v>
      </c>
      <c r="K101" s="933">
        <f>VLOOKUP($W101,feed_mix_n,MATCH(K$5,feed_mix_w!$B$5:$AC$5,0),FALSE)/$Z101*VLOOKUP(K$5,feed_intensity_w,11,FALSE)</f>
        <v>8.4615334572011716E-2</v>
      </c>
      <c r="L101" s="1486">
        <f t="shared" si="26"/>
        <v>0</v>
      </c>
      <c r="M101" s="1447">
        <f>IFERROR(G101*VLOOKUP(W101,livestock_intensity!$B$7:$M$29,12,FALSE)/Z101,0)</f>
        <v>0</v>
      </c>
      <c r="N101" s="933">
        <f>VLOOKUP($W101,feed_mix_n,MATCH(N$5,feed_mix_w!$B$5:$AC$5,0),FALSE)/$Z101*VLOOKUP(N$5,feed_intensity_w,11,FALSE)</f>
        <v>0</v>
      </c>
      <c r="O101" s="1486">
        <f t="shared" si="27"/>
        <v>0</v>
      </c>
      <c r="P101" s="939">
        <f>IFERROR(G101*VLOOKUP(W101,livestock_intensity!$B$7:$Q$29,16,FALSE)/Z101,0)</f>
        <v>0</v>
      </c>
      <c r="Q101" s="1530"/>
      <c r="R101" s="900">
        <f t="shared" si="28"/>
        <v>0</v>
      </c>
      <c r="S101" s="900">
        <f t="shared" si="29"/>
        <v>0</v>
      </c>
      <c r="T101" s="1483">
        <v>2748</v>
      </c>
      <c r="U101" s="1211" t="s">
        <v>2921</v>
      </c>
      <c r="V101" s="1212" t="str">
        <f>IFERROR(VLOOKUP(W101,constant_ag_extr!$D$7:$E$594,2,FALSE),"")</f>
        <v>Pigs</v>
      </c>
      <c r="W101" s="1213">
        <f t="shared" si="30"/>
        <v>1034</v>
      </c>
      <c r="X101" s="1099">
        <f>IFERROR(IF(VLOOKUP(B101,cnst_grazing!$C$10:$H$25,5,FALSE)="", IF(VLOOKUP(B101, cnst_grazing!$C$10:$H$25,3,FALSE)="", VLOOKUP(B101, cnst_grazing!$C$10:$H$25,4,FALSE),VLOOKUP(B101, cnst_grazing!$C$10:$H$25,3,FALSE)), VLOOKUP(B101,cnst_grazing!$C$10:$H$25,5,FALSE)),1)</f>
        <v>1</v>
      </c>
      <c r="Y101" s="1099">
        <f>IFERROR(IF(VLOOKUP(B101,cnst_grazing!$C$10:$H$25,6,FALSE)="", IF(VLOOKUP(B101, cnst_grazing!$C$10:$H$25,4,FALSE)="", VLOOKUP(B101, cnst_grazing!$C$10:$H$25,3,FALSE),VLOOKUP(B101, cnst_grazing!$C$10:$H$25,4,FALSE)), VLOOKUP(B101,cnst_grazing!$C$10:$H$25,6,FALSE)),1)</f>
        <v>1</v>
      </c>
      <c r="Z101" s="937">
        <f t="shared" si="31"/>
        <v>1.3938936512470472</v>
      </c>
      <c r="AA101" s="1487">
        <f t="shared" si="32"/>
        <v>0.93078965544004233</v>
      </c>
      <c r="AB101" s="933">
        <f>VLOOKUP($W101,feed_mix_n,MATCH(AB$5,feed_mix_w!$B$5:$AC$5,0),FALSE)/$Z101*VLOOKUP(AB$5,feed_intensity_w,11,FALSE)</f>
        <v>0.39355669234760848</v>
      </c>
      <c r="AC101" s="933">
        <f>VLOOKUP($W101,feed_mix_n,MATCH(AC$5,feed_mix_w!$B$5:$AC$5,0),FALSE)/$Z101*VLOOKUP(AC$5,feed_intensity_w,11,FALSE)</f>
        <v>0</v>
      </c>
      <c r="AD101" s="933">
        <f>VLOOKUP($W101,feed_mix_n,MATCH(AD$5,feed_mix_w!$B$5:$AC$5,0),FALSE)/$Z101*VLOOKUP(AD$5,feed_intensity_w,11,FALSE)</f>
        <v>0.1825671733617017</v>
      </c>
      <c r="AE101" s="933">
        <f>VLOOKUP($W101,feed_mix_n,MATCH(AE$5,feed_mix_w!$B$5:$AC$5,0),FALSE)/$Z101*VLOOKUP(AE$5,feed_intensity_w,11,FALSE)</f>
        <v>7.5299229438137938E-2</v>
      </c>
      <c r="AF101" s="933">
        <f>VLOOKUP($W101,feed_mix_n,MATCH(AF$5,feed_mix_w!$B$5:$AC$5,0),FALSE)/$Z101*VLOOKUP(AF$5,feed_intensity_w,11,FALSE)</f>
        <v>0</v>
      </c>
      <c r="AG101" s="933">
        <f>VLOOKUP($W101,feed_mix_n,MATCH(AG$5,feed_mix_w!$B$5:$AC$5,0),FALSE)/$Z101*VLOOKUP(AG$5,feed_intensity_w,11,FALSE)</f>
        <v>0</v>
      </c>
      <c r="AH101" s="933">
        <f>VLOOKUP($W101,feed_mix_n,MATCH(AH$5,feed_mix_w!$B$5:$AC$5,0),FALSE)/$Z101*VLOOKUP(AH$5,feed_intensity_w,11,FALSE)</f>
        <v>0.18071815065153102</v>
      </c>
      <c r="AI101" s="933">
        <f>VLOOKUP($W101,feed_mix_n,MATCH(AI$5,feed_mix_w!$B$5:$AC$5,0),FALSE)/$Z101*VLOOKUP(AI$5,feed_intensity_w,11,FALSE)</f>
        <v>0</v>
      </c>
      <c r="AJ101" s="933">
        <f>VLOOKUP($W101,feed_mix_n,MATCH(AJ$5,feed_mix_w!$B$5:$AC$5,0),FALSE)/$Z101*VLOOKUP(AJ$5,feed_intensity_w,11,FALSE)</f>
        <v>0</v>
      </c>
      <c r="AK101" s="933">
        <f>VLOOKUP($W101,feed_mix_n,MATCH(AK$5,feed_mix_w!$B$5:$AC$5,0),FALSE)/$Z101*VLOOKUP(AK$5,feed_intensity_w,11,FALSE)</f>
        <v>0</v>
      </c>
      <c r="AL101" s="933">
        <f>VLOOKUP($W101,feed_mix_n,MATCH(AL$5,feed_mix_w!$B$5:$AC$5,0),FALSE)/$Z101*VLOOKUP(AL$5,feed_intensity_w,11,FALSE)</f>
        <v>0</v>
      </c>
      <c r="AM101" s="933">
        <f>VLOOKUP($W101,feed_mix_n,MATCH(AM$5,feed_mix_w!$B$5:$AC$5,0),FALSE)/$Z101*VLOOKUP(AM$5,feed_intensity_w,11,FALSE)</f>
        <v>0</v>
      </c>
      <c r="AN101" s="933">
        <f>VLOOKUP($W101,feed_mix_n,MATCH(AN$5,feed_mix_w!$B$5:$AC$5,0),FALSE)/$Z101*VLOOKUP(AN$5,feed_intensity_w,11,FALSE)</f>
        <v>0</v>
      </c>
      <c r="AO101" s="933">
        <f>VLOOKUP($W101,feed_mix_n,MATCH(AO$5,feed_mix_w!$B$5:$AC$5,0),FALSE)/$Z101*VLOOKUP(AO$5,feed_intensity_w,11,FALSE)</f>
        <v>0</v>
      </c>
      <c r="AP101" s="933">
        <f>VLOOKUP($W101,feed_mix_n,MATCH(AP$5,feed_mix_w!$B$5:$AC$5,0),FALSE)/$Z101*VLOOKUP(AP$5,feed_intensity_w,11,FALSE)</f>
        <v>0</v>
      </c>
      <c r="AQ101" s="933">
        <f>VLOOKUP($W101,feed_mix_n,MATCH(AQ$5,feed_mix_w!$B$5:$AC$5,0),FALSE)/$Z101*VLOOKUP(AQ$5,feed_intensity_w,11,FALSE)</f>
        <v>0</v>
      </c>
      <c r="AR101" s="933">
        <f>VLOOKUP($W101,feed_mix_n,MATCH(AR$5,feed_mix_w!$B$5:$AC$5,0),FALSE)/$Z101*VLOOKUP(AR$5,feed_intensity_w,11,FALSE)</f>
        <v>9.8648409641063084E-2</v>
      </c>
      <c r="AS101" s="1105">
        <f>VLOOKUP($W101,feed_mix_n,MATCH(AS$5,feed_mix_w!$B$5:$AC$5,0),FALSE)/$Z101*VLOOKUP(AS$5,feed_intensity_w,11,FALSE)</f>
        <v>0</v>
      </c>
    </row>
    <row r="102" spans="1:45" ht="12.75" customHeight="1">
      <c r="A102" s="1008" t="s">
        <v>4710</v>
      </c>
      <c r="B102" s="1102">
        <v>1057</v>
      </c>
      <c r="C102" s="1103" t="s">
        <v>4711</v>
      </c>
      <c r="D102" s="1158">
        <v>5350000</v>
      </c>
      <c r="E102" s="1158">
        <v>87015000</v>
      </c>
      <c r="F102" s="1012">
        <f t="shared" si="22"/>
        <v>535.95521141877373</v>
      </c>
      <c r="G102" s="1012">
        <f t="shared" si="23"/>
        <v>6678.4715217114535</v>
      </c>
      <c r="H102" s="933">
        <f t="shared" si="24"/>
        <v>1.3329926417355915</v>
      </c>
      <c r="I102" s="1486">
        <f t="shared" si="25"/>
        <v>714.42435312106863</v>
      </c>
      <c r="J102" s="1006">
        <f>IFERROR(G102*VLOOKUP(W102,livestock_intensity!$B$7:$I$29,8,FALSE)/Z102,0)</f>
        <v>11145.654954030833</v>
      </c>
      <c r="K102" s="933">
        <f>VLOOKUP($W102,feed_mix_n,MATCH(K$5,feed_mix_w!$B$5:$AC$5,0),FALSE)/$Z102*VLOOKUP(K$5,feed_intensity_w,11,FALSE)</f>
        <v>0.11377723518864931</v>
      </c>
      <c r="L102" s="1486">
        <f t="shared" si="26"/>
        <v>60.979502140176081</v>
      </c>
      <c r="M102" s="1447">
        <f>IFERROR(G102*VLOOKUP(W102,livestock_intensity!$B$7:$M$29,12,FALSE)/Z102,0)</f>
        <v>210.403065327859</v>
      </c>
      <c r="N102" s="933">
        <f>VLOOKUP($W102,feed_mix_n,MATCH(N$5,feed_mix_w!$B$5:$AC$5,0),FALSE)/$Z102*VLOOKUP(N$5,feed_intensity_w,11,FALSE)</f>
        <v>0</v>
      </c>
      <c r="O102" s="1486">
        <f t="shared" si="27"/>
        <v>0</v>
      </c>
      <c r="P102" s="939">
        <f>IFERROR(G102*VLOOKUP(W102,livestock_intensity!$B$7:$Q$29,16,FALSE)/Z102,0)</f>
        <v>0</v>
      </c>
      <c r="Q102" s="1530"/>
      <c r="R102" s="900">
        <f t="shared" si="28"/>
        <v>775.40385526124476</v>
      </c>
      <c r="S102" s="900">
        <f t="shared" si="29"/>
        <v>11356.058019358692</v>
      </c>
      <c r="T102" s="1483" t="s">
        <v>2862</v>
      </c>
      <c r="U102" s="1211" t="s">
        <v>415</v>
      </c>
      <c r="V102" s="1212" t="str">
        <f>IFERROR(VLOOKUP(W102,constant_ag_extr!$D$7:$E$594,2,FALSE),"")</f>
        <v>Chickens</v>
      </c>
      <c r="W102" s="1213">
        <f t="shared" si="30"/>
        <v>1057</v>
      </c>
      <c r="X102" s="1104">
        <f>IFERROR(IF(VLOOKUP(B102,cnst_grazing!$C$10:$H$25,5,FALSE)="", IF(VLOOKUP(B102, cnst_grazing!$C$10:$H$25,3,FALSE)="", VLOOKUP(B102, cnst_grazing!$C$10:$H$25,4,FALSE),VLOOKUP(B102, cnst_grazing!$C$10:$H$25,3,FALSE)), VLOOKUP(B102,cnst_grazing!$C$10:$H$25,5,FALSE)),1)</f>
        <v>1.00178544190425E-4</v>
      </c>
      <c r="Y102" s="1104">
        <f>IFERROR(IF(VLOOKUP(B102,cnst_grazing!$C$10:$H$25,6,FALSE)="", IF(VLOOKUP(B102, cnst_grazing!$C$10:$H$25,4,FALSE)="", VLOOKUP(B102, cnst_grazing!$C$10:$H$25,3,FALSE),VLOOKUP(B102, cnst_grazing!$C$10:$H$25,4,FALSE)), VLOOKUP(B102,cnst_grazing!$C$10:$H$25,6,FALSE)),1)</f>
        <v>7.6750807581583104E-5</v>
      </c>
      <c r="Z102" s="937">
        <f t="shared" si="31"/>
        <v>1</v>
      </c>
      <c r="AA102" s="1487">
        <f t="shared" si="32"/>
        <v>1.3329926417355915</v>
      </c>
      <c r="AB102" s="933">
        <f>VLOOKUP($W102,feed_mix_n,MATCH(AB$5,feed_mix_w!$B$5:$AC$5,0),FALSE)/$Z102*VLOOKUP(AB$5,feed_intensity_w,11,FALSE)</f>
        <v>0.43760141127240071</v>
      </c>
      <c r="AC102" s="933">
        <f>VLOOKUP($W102,feed_mix_n,MATCH(AC$5,feed_mix_w!$B$5:$AC$5,0),FALSE)/$Z102*VLOOKUP(AC$5,feed_intensity_w,11,FALSE)</f>
        <v>0</v>
      </c>
      <c r="AD102" s="933">
        <f>VLOOKUP($W102,feed_mix_n,MATCH(AD$5,feed_mix_w!$B$5:$AC$5,0),FALSE)/$Z102*VLOOKUP(AD$5,feed_intensity_w,11,FALSE)</f>
        <v>0.3764138273568175</v>
      </c>
      <c r="AE102" s="933">
        <f>VLOOKUP($W102,feed_mix_n,MATCH(AE$5,feed_mix_w!$B$5:$AC$5,0),FALSE)/$Z102*VLOOKUP(AE$5,feed_intensity_w,11,FALSE)</f>
        <v>0</v>
      </c>
      <c r="AF102" s="933">
        <f>VLOOKUP($W102,feed_mix_n,MATCH(AF$5,feed_mix_w!$B$5:$AC$5,0),FALSE)/$Z102*VLOOKUP(AF$5,feed_intensity_w,11,FALSE)</f>
        <v>0</v>
      </c>
      <c r="AG102" s="933">
        <f>VLOOKUP($W102,feed_mix_n,MATCH(AG$5,feed_mix_w!$B$5:$AC$5,0),FALSE)/$Z102*VLOOKUP(AG$5,feed_intensity_w,11,FALSE)</f>
        <v>0</v>
      </c>
      <c r="AH102" s="933">
        <f>VLOOKUP($W102,feed_mix_n,MATCH(AH$5,feed_mix_w!$B$5:$AC$5,0),FALSE)/$Z102*VLOOKUP(AH$5,feed_intensity_w,11,FALSE)</f>
        <v>0.38475159480767979</v>
      </c>
      <c r="AI102" s="933">
        <f>VLOOKUP($W102,feed_mix_n,MATCH(AI$5,feed_mix_w!$B$5:$AC$5,0),FALSE)/$Z102*VLOOKUP(AI$5,feed_intensity_w,11,FALSE)</f>
        <v>0</v>
      </c>
      <c r="AJ102" s="933">
        <f>VLOOKUP($W102,feed_mix_n,MATCH(AJ$5,feed_mix_w!$B$5:$AC$5,0),FALSE)/$Z102*VLOOKUP(AJ$5,feed_intensity_w,11,FALSE)</f>
        <v>0</v>
      </c>
      <c r="AK102" s="933">
        <f>VLOOKUP($W102,feed_mix_n,MATCH(AK$5,feed_mix_w!$B$5:$AC$5,0),FALSE)/$Z102*VLOOKUP(AK$5,feed_intensity_w,11,FALSE)</f>
        <v>0</v>
      </c>
      <c r="AL102" s="933">
        <f>VLOOKUP($W102,feed_mix_n,MATCH(AL$5,feed_mix_w!$B$5:$AC$5,0),FALSE)/$Z102*VLOOKUP(AL$5,feed_intensity_w,11,FALSE)</f>
        <v>0</v>
      </c>
      <c r="AM102" s="933">
        <f>VLOOKUP($W102,feed_mix_n,MATCH(AM$5,feed_mix_w!$B$5:$AC$5,0),FALSE)/$Z102*VLOOKUP(AM$5,feed_intensity_w,11,FALSE)</f>
        <v>0</v>
      </c>
      <c r="AN102" s="933">
        <f>VLOOKUP($W102,feed_mix_n,MATCH(AN$5,feed_mix_w!$B$5:$AC$5,0),FALSE)/$Z102*VLOOKUP(AN$5,feed_intensity_w,11,FALSE)</f>
        <v>0</v>
      </c>
      <c r="AO102" s="933">
        <f>VLOOKUP($W102,feed_mix_n,MATCH(AO$5,feed_mix_w!$B$5:$AC$5,0),FALSE)/$Z102*VLOOKUP(AO$5,feed_intensity_w,11,FALSE)</f>
        <v>0</v>
      </c>
      <c r="AP102" s="933">
        <f>VLOOKUP($W102,feed_mix_n,MATCH(AP$5,feed_mix_w!$B$5:$AC$5,0),FALSE)/$Z102*VLOOKUP(AP$5,feed_intensity_w,11,FALSE)</f>
        <v>0</v>
      </c>
      <c r="AQ102" s="933">
        <f>VLOOKUP($W102,feed_mix_n,MATCH(AQ$5,feed_mix_w!$B$5:$AC$5,0),FALSE)/$Z102*VLOOKUP(AQ$5,feed_intensity_w,11,FALSE)</f>
        <v>0</v>
      </c>
      <c r="AR102" s="933">
        <f>VLOOKUP($W102,feed_mix_n,MATCH(AR$5,feed_mix_w!$B$5:$AC$5,0),FALSE)/$Z102*VLOOKUP(AR$5,feed_intensity_w,11,FALSE)</f>
        <v>0.13422580829869354</v>
      </c>
      <c r="AS102" s="1105">
        <f>VLOOKUP($W102,feed_mix_n,MATCH(AS$5,feed_mix_w!$B$5:$AC$5,0),FALSE)/$Z102*VLOOKUP(AS$5,feed_intensity_w,11,FALSE)</f>
        <v>0</v>
      </c>
    </row>
    <row r="103" spans="1:45" ht="12.75" customHeight="1">
      <c r="A103" s="1008" t="s">
        <v>7396</v>
      </c>
      <c r="B103" s="1102">
        <v>1058</v>
      </c>
      <c r="C103" s="1103" t="s">
        <v>480</v>
      </c>
      <c r="D103" s="1158">
        <v>56142</v>
      </c>
      <c r="E103" s="1158">
        <v>3559990</v>
      </c>
      <c r="F103" s="1012">
        <f t="shared" ref="F103:F134" si="33">D103*X103</f>
        <v>56142</v>
      </c>
      <c r="G103" s="1012">
        <f t="shared" ref="G103:G134" si="34">E103*Y103</f>
        <v>3559990</v>
      </c>
      <c r="H103" s="933">
        <f t="shared" ref="H103:H134" si="35">SUM(AB103:AP103)+AR103+AS103</f>
        <v>1.6003098664041606</v>
      </c>
      <c r="I103" s="1486">
        <f t="shared" ref="I103:I134" si="36">IFERROR(F103*VLOOKUP(B103,livestock_intensity_w,7,FALSE),0)</f>
        <v>89844.596519662387</v>
      </c>
      <c r="J103" s="1006">
        <f>IFERROR(G103*VLOOKUP(W103,livestock_intensity!$B$7:$I$29,8,FALSE)/Z103,0)</f>
        <v>7132694.5212213881</v>
      </c>
      <c r="K103" s="933">
        <f>VLOOKUP($W103,feed_mix_n,MATCH(K$5,feed_mix_w!$B$5:$AC$5,0),FALSE)/$Z103*VLOOKUP(K$5,feed_intensity_w,11,FALSE)</f>
        <v>0.13659402636124884</v>
      </c>
      <c r="L103" s="1486">
        <f t="shared" ref="L103:L134" si="37">IFERROR(F103*VLOOKUP($B103,livestock_intensity_w,10,FALSE),0)</f>
        <v>7668.6618279732329</v>
      </c>
      <c r="M103" s="1447">
        <f>IFERROR(G103*VLOOKUP(W103,livestock_intensity!$B$7:$M$29,12,FALSE)/Z103,0)</f>
        <v>134648.05769619322</v>
      </c>
      <c r="N103" s="933">
        <f>VLOOKUP($W103,feed_mix_n,MATCH(N$5,feed_mix_w!$B$5:$AC$5,0),FALSE)/$Z103*VLOOKUP(N$5,feed_intensity_w,11,FALSE)</f>
        <v>0</v>
      </c>
      <c r="O103" s="1486">
        <f t="shared" ref="O103:O134" si="38">IFERROR(F103*VLOOKUP(B103,livestock_intensity_w,13,FALSE),0)</f>
        <v>0</v>
      </c>
      <c r="P103" s="939">
        <f>IFERROR(G103*VLOOKUP(W103,livestock_intensity!$B$7:$Q$29,16,FALSE)/Z103,0)</f>
        <v>0</v>
      </c>
      <c r="Q103" s="1530"/>
      <c r="R103" s="900">
        <f t="shared" ref="R103:R134" si="39">IFERROR(SUM(I103,L103,O103),0)</f>
        <v>97513.258347635623</v>
      </c>
      <c r="S103" s="900">
        <f t="shared" ref="S103:S134" si="40">IFERROR(SUM(J103,M103,P103),0)</f>
        <v>7267342.5789175816</v>
      </c>
      <c r="T103" s="1483">
        <v>2734</v>
      </c>
      <c r="U103" s="1211" t="s">
        <v>2921</v>
      </c>
      <c r="V103" s="1212" t="str">
        <f>IFERROR(VLOOKUP(W103,constant_ag_extr!$D$7:$E$594,2,FALSE),"")</f>
        <v>Chickens</v>
      </c>
      <c r="W103" s="1213">
        <f t="shared" ref="W103:W134" si="41">IFERROR(VLOOKUP(B103,constant_ag_extr,3,FALSE),"")</f>
        <v>1057</v>
      </c>
      <c r="X103" s="1099">
        <f>IFERROR(IF(VLOOKUP(B103,cnst_grazing!$C$10:$H$25,5,FALSE)="", IF(VLOOKUP(B103, cnst_grazing!$C$10:$H$25,3,FALSE)="", VLOOKUP(B103, cnst_grazing!$C$10:$H$25,4,FALSE),VLOOKUP(B103, cnst_grazing!$C$10:$H$25,3,FALSE)), VLOOKUP(B103,cnst_grazing!$C$10:$H$25,5,FALSE)),1)</f>
        <v>1</v>
      </c>
      <c r="Y103" s="1099">
        <f>IFERROR(IF(VLOOKUP(B103,cnst_grazing!$C$10:$H$25,6,FALSE)="", IF(VLOOKUP(B103, cnst_grazing!$C$10:$H$25,4,FALSE)="", VLOOKUP(B103, cnst_grazing!$C$10:$H$25,3,FALSE),VLOOKUP(B103, cnst_grazing!$C$10:$H$25,4,FALSE)), VLOOKUP(B103,cnst_grazing!$C$10:$H$25,6,FALSE)),1)</f>
        <v>1</v>
      </c>
      <c r="Z103" s="937">
        <f t="shared" ref="Z103:Z134" si="42">IFERROR(VLOOKUP(B103,constant_ag_extr,14,FALSE),"-")</f>
        <v>0.83295908481198</v>
      </c>
      <c r="AA103" s="1487">
        <f t="shared" ref="AA103:AA134" si="43">H103+N103</f>
        <v>1.6003098664041606</v>
      </c>
      <c r="AB103" s="933">
        <f>VLOOKUP($W103,feed_mix_n,MATCH(AB$5,feed_mix_w!$B$5:$AC$5,0),FALSE)/$Z103*VLOOKUP(AB$5,feed_intensity_w,11,FALSE)</f>
        <v>0.5253576307066492</v>
      </c>
      <c r="AC103" s="933">
        <f>VLOOKUP($W103,feed_mix_n,MATCH(AC$5,feed_mix_w!$B$5:$AC$5,0),FALSE)/$Z103*VLOOKUP(AC$5,feed_intensity_w,11,FALSE)</f>
        <v>0</v>
      </c>
      <c r="AD103" s="933">
        <f>VLOOKUP($W103,feed_mix_n,MATCH(AD$5,feed_mix_w!$B$5:$AC$5,0),FALSE)/$Z103*VLOOKUP(AD$5,feed_intensity_w,11,FALSE)</f>
        <v>0.45189954010980465</v>
      </c>
      <c r="AE103" s="933">
        <f>VLOOKUP($W103,feed_mix_n,MATCH(AE$5,feed_mix_w!$B$5:$AC$5,0),FALSE)/$Z103*VLOOKUP(AE$5,feed_intensity_w,11,FALSE)</f>
        <v>0</v>
      </c>
      <c r="AF103" s="933">
        <f>VLOOKUP($W103,feed_mix_n,MATCH(AF$5,feed_mix_w!$B$5:$AC$5,0),FALSE)/$Z103*VLOOKUP(AF$5,feed_intensity_w,11,FALSE)</f>
        <v>0</v>
      </c>
      <c r="AG103" s="933">
        <f>VLOOKUP($W103,feed_mix_n,MATCH(AG$5,feed_mix_w!$B$5:$AC$5,0),FALSE)/$Z103*VLOOKUP(AG$5,feed_intensity_w,11,FALSE)</f>
        <v>0</v>
      </c>
      <c r="AH103" s="933">
        <f>VLOOKUP($W103,feed_mix_n,MATCH(AH$5,feed_mix_w!$B$5:$AC$5,0),FALSE)/$Z103*VLOOKUP(AH$5,feed_intensity_w,11,FALSE)</f>
        <v>0.46190935644159281</v>
      </c>
      <c r="AI103" s="933">
        <f>VLOOKUP($W103,feed_mix_n,MATCH(AI$5,feed_mix_w!$B$5:$AC$5,0),FALSE)/$Z103*VLOOKUP(AI$5,feed_intensity_w,11,FALSE)</f>
        <v>0</v>
      </c>
      <c r="AJ103" s="933">
        <f>VLOOKUP($W103,feed_mix_n,MATCH(AJ$5,feed_mix_w!$B$5:$AC$5,0),FALSE)/$Z103*VLOOKUP(AJ$5,feed_intensity_w,11,FALSE)</f>
        <v>0</v>
      </c>
      <c r="AK103" s="933">
        <f>VLOOKUP($W103,feed_mix_n,MATCH(AK$5,feed_mix_w!$B$5:$AC$5,0),FALSE)/$Z103*VLOOKUP(AK$5,feed_intensity_w,11,FALSE)</f>
        <v>0</v>
      </c>
      <c r="AL103" s="933">
        <f>VLOOKUP($W103,feed_mix_n,MATCH(AL$5,feed_mix_w!$B$5:$AC$5,0),FALSE)/$Z103*VLOOKUP(AL$5,feed_intensity_w,11,FALSE)</f>
        <v>0</v>
      </c>
      <c r="AM103" s="933">
        <f>VLOOKUP($W103,feed_mix_n,MATCH(AM$5,feed_mix_w!$B$5:$AC$5,0),FALSE)/$Z103*VLOOKUP(AM$5,feed_intensity_w,11,FALSE)</f>
        <v>0</v>
      </c>
      <c r="AN103" s="933">
        <f>VLOOKUP($W103,feed_mix_n,MATCH(AN$5,feed_mix_w!$B$5:$AC$5,0),FALSE)/$Z103*VLOOKUP(AN$5,feed_intensity_w,11,FALSE)</f>
        <v>0</v>
      </c>
      <c r="AO103" s="933">
        <f>VLOOKUP($W103,feed_mix_n,MATCH(AO$5,feed_mix_w!$B$5:$AC$5,0),FALSE)/$Z103*VLOOKUP(AO$5,feed_intensity_w,11,FALSE)</f>
        <v>0</v>
      </c>
      <c r="AP103" s="933">
        <f>VLOOKUP($W103,feed_mix_n,MATCH(AP$5,feed_mix_w!$B$5:$AC$5,0),FALSE)/$Z103*VLOOKUP(AP$5,feed_intensity_w,11,FALSE)</f>
        <v>0</v>
      </c>
      <c r="AQ103" s="933">
        <f>VLOOKUP($W103,feed_mix_n,MATCH(AQ$5,feed_mix_w!$B$5:$AC$5,0),FALSE)/$Z103*VLOOKUP(AQ$5,feed_intensity_w,11,FALSE)</f>
        <v>0</v>
      </c>
      <c r="AR103" s="933">
        <f>VLOOKUP($W103,feed_mix_n,MATCH(AR$5,feed_mix_w!$B$5:$AC$5,0),FALSE)/$Z103*VLOOKUP(AR$5,feed_intensity_w,11,FALSE)</f>
        <v>0.16114333914611392</v>
      </c>
      <c r="AS103" s="1105">
        <f>VLOOKUP($W103,feed_mix_n,MATCH(AS$5,feed_mix_w!$B$5:$AC$5,0),FALSE)/$Z103*VLOOKUP(AS$5,feed_intensity_w,11,FALSE)</f>
        <v>0</v>
      </c>
    </row>
    <row r="104" spans="1:45" ht="12.75" customHeight="1">
      <c r="A104" s="1008" t="s">
        <v>7397</v>
      </c>
      <c r="B104" s="1102">
        <v>1059</v>
      </c>
      <c r="C104" s="1103" t="s">
        <v>1641</v>
      </c>
      <c r="D104" s="1158">
        <v>91</v>
      </c>
      <c r="E104" s="1158">
        <v>0</v>
      </c>
      <c r="F104" s="1012">
        <f t="shared" si="33"/>
        <v>91</v>
      </c>
      <c r="G104" s="1012">
        <f t="shared" si="34"/>
        <v>0</v>
      </c>
      <c r="H104" s="933">
        <f t="shared" si="35"/>
        <v>0.84750945940346234</v>
      </c>
      <c r="I104" s="1486">
        <f t="shared" si="36"/>
        <v>77.123360805715066</v>
      </c>
      <c r="J104" s="1006">
        <f>IFERROR(G104*VLOOKUP(W104,livestock_intensity!$B$7:$I$29,8,FALSE)/Z104,0)</f>
        <v>0</v>
      </c>
      <c r="K104" s="933">
        <f>VLOOKUP($W104,feed_mix_n,MATCH(K$5,feed_mix_w!$B$5:$AC$5,0),FALSE)/$Z104*VLOOKUP(K$5,feed_intensity_w,11,FALSE)</f>
        <v>7.2338946268752022E-2</v>
      </c>
      <c r="L104" s="1486">
        <f t="shared" si="37"/>
        <v>6.5828441104564339</v>
      </c>
      <c r="M104" s="1447">
        <f>IFERROR(G104*VLOOKUP(W104,livestock_intensity!$B$7:$M$29,12,FALSE)/Z104,0)</f>
        <v>0</v>
      </c>
      <c r="N104" s="933">
        <f>VLOOKUP($W104,feed_mix_n,MATCH(N$5,feed_mix_w!$B$5:$AC$5,0),FALSE)/$Z104*VLOOKUP(N$5,feed_intensity_w,11,FALSE)</f>
        <v>0</v>
      </c>
      <c r="O104" s="1486">
        <f t="shared" si="38"/>
        <v>0</v>
      </c>
      <c r="P104" s="939">
        <f>IFERROR(G104*VLOOKUP(W104,livestock_intensity!$B$7:$Q$29,16,FALSE)/Z104,0)</f>
        <v>0</v>
      </c>
      <c r="Q104" s="1530"/>
      <c r="R104" s="900">
        <f t="shared" si="39"/>
        <v>83.706204916171501</v>
      </c>
      <c r="S104" s="900">
        <f t="shared" si="40"/>
        <v>0</v>
      </c>
      <c r="T104" s="1483">
        <v>2736</v>
      </c>
      <c r="U104" s="1211" t="s">
        <v>2921</v>
      </c>
      <c r="V104" s="1212" t="str">
        <f>IFERROR(VLOOKUP(W104,constant_ag_extr!$D$7:$E$594,2,FALSE),"")</f>
        <v>Chickens</v>
      </c>
      <c r="W104" s="1213">
        <f t="shared" si="41"/>
        <v>1057</v>
      </c>
      <c r="X104" s="1099">
        <f>IFERROR(IF(VLOOKUP(B104,cnst_grazing!$C$10:$H$25,5,FALSE)="", IF(VLOOKUP(B104, cnst_grazing!$C$10:$H$25,3,FALSE)="", VLOOKUP(B104, cnst_grazing!$C$10:$H$25,4,FALSE),VLOOKUP(B104, cnst_grazing!$C$10:$H$25,3,FALSE)), VLOOKUP(B104,cnst_grazing!$C$10:$H$25,5,FALSE)),1)</f>
        <v>1</v>
      </c>
      <c r="Y104" s="1099">
        <f>IFERROR(IF(VLOOKUP(B104,cnst_grazing!$C$10:$H$25,6,FALSE)="", IF(VLOOKUP(B104, cnst_grazing!$C$10:$H$25,4,FALSE)="", VLOOKUP(B104, cnst_grazing!$C$10:$H$25,3,FALSE),VLOOKUP(B104, cnst_grazing!$C$10:$H$25,4,FALSE)), VLOOKUP(B104,cnst_grazing!$C$10:$H$25,6,FALSE)),1)</f>
        <v>1</v>
      </c>
      <c r="Z104" s="937">
        <f t="shared" si="42"/>
        <v>1.5728351193553012</v>
      </c>
      <c r="AA104" s="1487">
        <f t="shared" si="43"/>
        <v>0.84750945940346234</v>
      </c>
      <c r="AB104" s="933">
        <f>VLOOKUP($W104,feed_mix_n,MATCH(AB$5,feed_mix_w!$B$5:$AC$5,0),FALSE)/$Z104*VLOOKUP(AB$5,feed_intensity_w,11,FALSE)</f>
        <v>0.27822459321214277</v>
      </c>
      <c r="AC104" s="933">
        <f>VLOOKUP($W104,feed_mix_n,MATCH(AC$5,feed_mix_w!$B$5:$AC$5,0),FALSE)/$Z104*VLOOKUP(AC$5,feed_intensity_w,11,FALSE)</f>
        <v>0</v>
      </c>
      <c r="AD104" s="933">
        <f>VLOOKUP($W104,feed_mix_n,MATCH(AD$5,feed_mix_w!$B$5:$AC$5,0),FALSE)/$Z104*VLOOKUP(AD$5,feed_intensity_w,11,FALSE)</f>
        <v>0.23932186071169875</v>
      </c>
      <c r="AE104" s="933">
        <f>VLOOKUP($W104,feed_mix_n,MATCH(AE$5,feed_mix_w!$B$5:$AC$5,0),FALSE)/$Z104*VLOOKUP(AE$5,feed_intensity_w,11,FALSE)</f>
        <v>0</v>
      </c>
      <c r="AF104" s="933">
        <f>VLOOKUP($W104,feed_mix_n,MATCH(AF$5,feed_mix_w!$B$5:$AC$5,0),FALSE)/$Z104*VLOOKUP(AF$5,feed_intensity_w,11,FALSE)</f>
        <v>0</v>
      </c>
      <c r="AG104" s="933">
        <f>VLOOKUP($W104,feed_mix_n,MATCH(AG$5,feed_mix_w!$B$5:$AC$5,0),FALSE)/$Z104*VLOOKUP(AG$5,feed_intensity_w,11,FALSE)</f>
        <v>0</v>
      </c>
      <c r="AH104" s="933">
        <f>VLOOKUP($W104,feed_mix_n,MATCH(AH$5,feed_mix_w!$B$5:$AC$5,0),FALSE)/$Z104*VLOOKUP(AH$5,feed_intensity_w,11,FALSE)</f>
        <v>0.24462296783237392</v>
      </c>
      <c r="AI104" s="933">
        <f>VLOOKUP($W104,feed_mix_n,MATCH(AI$5,feed_mix_w!$B$5:$AC$5,0),FALSE)/$Z104*VLOOKUP(AI$5,feed_intensity_w,11,FALSE)</f>
        <v>0</v>
      </c>
      <c r="AJ104" s="933">
        <f>VLOOKUP($W104,feed_mix_n,MATCH(AJ$5,feed_mix_w!$B$5:$AC$5,0),FALSE)/$Z104*VLOOKUP(AJ$5,feed_intensity_w,11,FALSE)</f>
        <v>0</v>
      </c>
      <c r="AK104" s="933">
        <f>VLOOKUP($W104,feed_mix_n,MATCH(AK$5,feed_mix_w!$B$5:$AC$5,0),FALSE)/$Z104*VLOOKUP(AK$5,feed_intensity_w,11,FALSE)</f>
        <v>0</v>
      </c>
      <c r="AL104" s="933">
        <f>VLOOKUP($W104,feed_mix_n,MATCH(AL$5,feed_mix_w!$B$5:$AC$5,0),FALSE)/$Z104*VLOOKUP(AL$5,feed_intensity_w,11,FALSE)</f>
        <v>0</v>
      </c>
      <c r="AM104" s="933">
        <f>VLOOKUP($W104,feed_mix_n,MATCH(AM$5,feed_mix_w!$B$5:$AC$5,0),FALSE)/$Z104*VLOOKUP(AM$5,feed_intensity_w,11,FALSE)</f>
        <v>0</v>
      </c>
      <c r="AN104" s="933">
        <f>VLOOKUP($W104,feed_mix_n,MATCH(AN$5,feed_mix_w!$B$5:$AC$5,0),FALSE)/$Z104*VLOOKUP(AN$5,feed_intensity_w,11,FALSE)</f>
        <v>0</v>
      </c>
      <c r="AO104" s="933">
        <f>VLOOKUP($W104,feed_mix_n,MATCH(AO$5,feed_mix_w!$B$5:$AC$5,0),FALSE)/$Z104*VLOOKUP(AO$5,feed_intensity_w,11,FALSE)</f>
        <v>0</v>
      </c>
      <c r="AP104" s="933">
        <f>VLOOKUP($W104,feed_mix_n,MATCH(AP$5,feed_mix_w!$B$5:$AC$5,0),FALSE)/$Z104*VLOOKUP(AP$5,feed_intensity_w,11,FALSE)</f>
        <v>0</v>
      </c>
      <c r="AQ104" s="933">
        <f>VLOOKUP($W104,feed_mix_n,MATCH(AQ$5,feed_mix_w!$B$5:$AC$5,0),FALSE)/$Z104*VLOOKUP(AQ$5,feed_intensity_w,11,FALSE)</f>
        <v>0</v>
      </c>
      <c r="AR104" s="933">
        <f>VLOOKUP($W104,feed_mix_n,MATCH(AR$5,feed_mix_w!$B$5:$AC$5,0),FALSE)/$Z104*VLOOKUP(AR$5,feed_intensity_w,11,FALSE)</f>
        <v>8.5340037647246958E-2</v>
      </c>
      <c r="AS104" s="1105">
        <f>VLOOKUP($W104,feed_mix_n,MATCH(AS$5,feed_mix_w!$B$5:$AC$5,0),FALSE)/$Z104*VLOOKUP(AS$5,feed_intensity_w,11,FALSE)</f>
        <v>0</v>
      </c>
    </row>
    <row r="105" spans="1:45" ht="12.75" customHeight="1">
      <c r="A105" s="1008" t="s">
        <v>7398</v>
      </c>
      <c r="B105" s="1102">
        <v>1060</v>
      </c>
      <c r="C105" s="1103" t="s">
        <v>1263</v>
      </c>
      <c r="D105" s="1158">
        <v>0</v>
      </c>
      <c r="E105" s="1158"/>
      <c r="F105" s="1012">
        <f t="shared" si="33"/>
        <v>0</v>
      </c>
      <c r="G105" s="1012">
        <f t="shared" si="34"/>
        <v>0</v>
      </c>
      <c r="H105" s="933">
        <f t="shared" si="35"/>
        <v>32.006197328083211</v>
      </c>
      <c r="I105" s="1486">
        <f t="shared" si="36"/>
        <v>0</v>
      </c>
      <c r="J105" s="1006">
        <f>IFERROR(G105*VLOOKUP(W105,livestock_intensity!$B$7:$I$29,8,FALSE)/Z105,0)</f>
        <v>0</v>
      </c>
      <c r="K105" s="933">
        <f>VLOOKUP($W105,feed_mix_n,MATCH(K$5,feed_mix_w!$B$5:$AC$5,0),FALSE)/$Z105*VLOOKUP(K$5,feed_intensity_w,11,FALSE)</f>
        <v>2.7318805272249769</v>
      </c>
      <c r="L105" s="1486">
        <f t="shared" si="37"/>
        <v>0</v>
      </c>
      <c r="M105" s="1447">
        <f>IFERROR(G105*VLOOKUP(W105,livestock_intensity!$B$7:$M$29,12,FALSE)/Z105,0)</f>
        <v>0</v>
      </c>
      <c r="N105" s="933">
        <f>VLOOKUP($W105,feed_mix_n,MATCH(N$5,feed_mix_w!$B$5:$AC$5,0),FALSE)/$Z105*VLOOKUP(N$5,feed_intensity_w,11,FALSE)</f>
        <v>0</v>
      </c>
      <c r="O105" s="1486">
        <f t="shared" si="38"/>
        <v>0</v>
      </c>
      <c r="P105" s="939">
        <f>IFERROR(G105*VLOOKUP(W105,livestock_intensity!$B$7:$Q$29,16,FALSE)/Z105,0)</f>
        <v>0</v>
      </c>
      <c r="Q105" s="1530"/>
      <c r="R105" s="900">
        <f t="shared" si="39"/>
        <v>0</v>
      </c>
      <c r="S105" s="900">
        <f t="shared" si="40"/>
        <v>0</v>
      </c>
      <c r="T105" s="1483">
        <v>2737</v>
      </c>
      <c r="U105" s="1211" t="s">
        <v>2921</v>
      </c>
      <c r="V105" s="1212" t="str">
        <f>IFERROR(VLOOKUP(W105,constant_ag_extr!$D$7:$E$594,2,FALSE),"")</f>
        <v>Chickens</v>
      </c>
      <c r="W105" s="1213">
        <f t="shared" si="41"/>
        <v>1057</v>
      </c>
      <c r="X105" s="1099">
        <f>IFERROR(IF(VLOOKUP(B105,cnst_grazing!$C$10:$H$25,5,FALSE)="", IF(VLOOKUP(B105, cnst_grazing!$C$10:$H$25,3,FALSE)="", VLOOKUP(B105, cnst_grazing!$C$10:$H$25,4,FALSE),VLOOKUP(B105, cnst_grazing!$C$10:$H$25,3,FALSE)), VLOOKUP(B105,cnst_grazing!$C$10:$H$25,5,FALSE)),1)</f>
        <v>1</v>
      </c>
      <c r="Y105" s="1099">
        <f>IFERROR(IF(VLOOKUP(B105,cnst_grazing!$C$10:$H$25,6,FALSE)="", IF(VLOOKUP(B105, cnst_grazing!$C$10:$H$25,4,FALSE)="", VLOOKUP(B105, cnst_grazing!$C$10:$H$25,3,FALSE),VLOOKUP(B105, cnst_grazing!$C$10:$H$25,4,FALSE)), VLOOKUP(B105,cnst_grazing!$C$10:$H$25,6,FALSE)),1)</f>
        <v>1</v>
      </c>
      <c r="Z105" s="937">
        <f t="shared" si="42"/>
        <v>4.1647954240599E-2</v>
      </c>
      <c r="AA105" s="1487">
        <f t="shared" si="43"/>
        <v>32.006197328083211</v>
      </c>
      <c r="AB105" s="933">
        <f>VLOOKUP($W105,feed_mix_n,MATCH(AB$5,feed_mix_w!$B$5:$AC$5,0),FALSE)/$Z105*VLOOKUP(AB$5,feed_intensity_w,11,FALSE)</f>
        <v>10.507152614132984</v>
      </c>
      <c r="AC105" s="933">
        <f>VLOOKUP($W105,feed_mix_n,MATCH(AC$5,feed_mix_w!$B$5:$AC$5,0),FALSE)/$Z105*VLOOKUP(AC$5,feed_intensity_w,11,FALSE)</f>
        <v>0</v>
      </c>
      <c r="AD105" s="933">
        <f>VLOOKUP($W105,feed_mix_n,MATCH(AD$5,feed_mix_w!$B$5:$AC$5,0),FALSE)/$Z105*VLOOKUP(AD$5,feed_intensity_w,11,FALSE)</f>
        <v>9.0379908021960915</v>
      </c>
      <c r="AE105" s="933">
        <f>VLOOKUP($W105,feed_mix_n,MATCH(AE$5,feed_mix_w!$B$5:$AC$5,0),FALSE)/$Z105*VLOOKUP(AE$5,feed_intensity_w,11,FALSE)</f>
        <v>0</v>
      </c>
      <c r="AF105" s="933">
        <f>VLOOKUP($W105,feed_mix_n,MATCH(AF$5,feed_mix_w!$B$5:$AC$5,0),FALSE)/$Z105*VLOOKUP(AF$5,feed_intensity_w,11,FALSE)</f>
        <v>0</v>
      </c>
      <c r="AG105" s="933">
        <f>VLOOKUP($W105,feed_mix_n,MATCH(AG$5,feed_mix_w!$B$5:$AC$5,0),FALSE)/$Z105*VLOOKUP(AG$5,feed_intensity_w,11,FALSE)</f>
        <v>0</v>
      </c>
      <c r="AH105" s="933">
        <f>VLOOKUP($W105,feed_mix_n,MATCH(AH$5,feed_mix_w!$B$5:$AC$5,0),FALSE)/$Z105*VLOOKUP(AH$5,feed_intensity_w,11,FALSE)</f>
        <v>9.2381871288318553</v>
      </c>
      <c r="AI105" s="933">
        <f>VLOOKUP($W105,feed_mix_n,MATCH(AI$5,feed_mix_w!$B$5:$AC$5,0),FALSE)/$Z105*VLOOKUP(AI$5,feed_intensity_w,11,FALSE)</f>
        <v>0</v>
      </c>
      <c r="AJ105" s="933">
        <f>VLOOKUP($W105,feed_mix_n,MATCH(AJ$5,feed_mix_w!$B$5:$AC$5,0),FALSE)/$Z105*VLOOKUP(AJ$5,feed_intensity_w,11,FALSE)</f>
        <v>0</v>
      </c>
      <c r="AK105" s="933">
        <f>VLOOKUP($W105,feed_mix_n,MATCH(AK$5,feed_mix_w!$B$5:$AC$5,0),FALSE)/$Z105*VLOOKUP(AK$5,feed_intensity_w,11,FALSE)</f>
        <v>0</v>
      </c>
      <c r="AL105" s="933">
        <f>VLOOKUP($W105,feed_mix_n,MATCH(AL$5,feed_mix_w!$B$5:$AC$5,0),FALSE)/$Z105*VLOOKUP(AL$5,feed_intensity_w,11,FALSE)</f>
        <v>0</v>
      </c>
      <c r="AM105" s="933">
        <f>VLOOKUP($W105,feed_mix_n,MATCH(AM$5,feed_mix_w!$B$5:$AC$5,0),FALSE)/$Z105*VLOOKUP(AM$5,feed_intensity_w,11,FALSE)</f>
        <v>0</v>
      </c>
      <c r="AN105" s="933">
        <f>VLOOKUP($W105,feed_mix_n,MATCH(AN$5,feed_mix_w!$B$5:$AC$5,0),FALSE)/$Z105*VLOOKUP(AN$5,feed_intensity_w,11,FALSE)</f>
        <v>0</v>
      </c>
      <c r="AO105" s="933">
        <f>VLOOKUP($W105,feed_mix_n,MATCH(AO$5,feed_mix_w!$B$5:$AC$5,0),FALSE)/$Z105*VLOOKUP(AO$5,feed_intensity_w,11,FALSE)</f>
        <v>0</v>
      </c>
      <c r="AP105" s="933">
        <f>VLOOKUP($W105,feed_mix_n,MATCH(AP$5,feed_mix_w!$B$5:$AC$5,0),FALSE)/$Z105*VLOOKUP(AP$5,feed_intensity_w,11,FALSE)</f>
        <v>0</v>
      </c>
      <c r="AQ105" s="933">
        <f>VLOOKUP($W105,feed_mix_n,MATCH(AQ$5,feed_mix_w!$B$5:$AC$5,0),FALSE)/$Z105*VLOOKUP(AQ$5,feed_intensity_w,11,FALSE)</f>
        <v>0</v>
      </c>
      <c r="AR105" s="933">
        <f>VLOOKUP($W105,feed_mix_n,MATCH(AR$5,feed_mix_w!$B$5:$AC$5,0),FALSE)/$Z105*VLOOKUP(AR$5,feed_intensity_w,11,FALSE)</f>
        <v>3.2228667829222784</v>
      </c>
      <c r="AS105" s="1105">
        <f>VLOOKUP($W105,feed_mix_n,MATCH(AS$5,feed_mix_w!$B$5:$AC$5,0),FALSE)/$Z105*VLOOKUP(AS$5,feed_intensity_w,11,FALSE)</f>
        <v>0</v>
      </c>
    </row>
    <row r="106" spans="1:45" ht="12.75" customHeight="1">
      <c r="A106" s="1008" t="s">
        <v>7399</v>
      </c>
      <c r="B106" s="1102">
        <v>1061</v>
      </c>
      <c r="C106" s="1103" t="s">
        <v>1631</v>
      </c>
      <c r="D106" s="1158">
        <v>30641</v>
      </c>
      <c r="E106" s="1158">
        <v>188981</v>
      </c>
      <c r="F106" s="1012">
        <f t="shared" si="33"/>
        <v>30641</v>
      </c>
      <c r="G106" s="1012">
        <f t="shared" si="34"/>
        <v>188981</v>
      </c>
      <c r="H106" s="933">
        <f t="shared" si="35"/>
        <v>1.7394672460914788</v>
      </c>
      <c r="I106" s="1486">
        <f t="shared" si="36"/>
        <v>53299.015887489004</v>
      </c>
      <c r="J106" s="1006">
        <f>IFERROR(G106*VLOOKUP(W106,livestock_intensity!$B$7:$I$29,8,FALSE)/Z106,0)</f>
        <v>411561.89841365546</v>
      </c>
      <c r="K106" s="933">
        <f>VLOOKUP($W106,feed_mix_n,MATCH(K$5,feed_mix_w!$B$5:$AC$5,0),FALSE)/$Z106*VLOOKUP(K$5,feed_intensity_w,11,FALSE)</f>
        <v>0.14847176778396612</v>
      </c>
      <c r="L106" s="1486">
        <f t="shared" si="37"/>
        <v>4549.3234366685056</v>
      </c>
      <c r="M106" s="1447">
        <f>IFERROR(G106*VLOOKUP(W106,livestock_intensity!$B$7:$M$29,12,FALSE)/Z106,0)</f>
        <v>7769.2953312778882</v>
      </c>
      <c r="N106" s="933">
        <f>VLOOKUP($W106,feed_mix_n,MATCH(N$5,feed_mix_w!$B$5:$AC$5,0),FALSE)/$Z106*VLOOKUP(N$5,feed_intensity_w,11,FALSE)</f>
        <v>0</v>
      </c>
      <c r="O106" s="1486">
        <f t="shared" si="38"/>
        <v>0</v>
      </c>
      <c r="P106" s="939">
        <f>IFERROR(G106*VLOOKUP(W106,livestock_intensity!$B$7:$Q$29,16,FALSE)/Z106,0)</f>
        <v>0</v>
      </c>
      <c r="Q106" s="1530"/>
      <c r="R106" s="900">
        <f t="shared" si="39"/>
        <v>57848.33932415751</v>
      </c>
      <c r="S106" s="900">
        <f t="shared" si="40"/>
        <v>419331.19374493335</v>
      </c>
      <c r="T106" s="1483" t="s">
        <v>2862</v>
      </c>
      <c r="U106" s="1211" t="s">
        <v>2921</v>
      </c>
      <c r="V106" s="1212" t="str">
        <f>IFERROR(VLOOKUP(W106,constant_ag_extr!$D$7:$E$594,2,FALSE),"")</f>
        <v>Chickens</v>
      </c>
      <c r="W106" s="1213">
        <f t="shared" si="41"/>
        <v>1057</v>
      </c>
      <c r="X106" s="1099">
        <f>IFERROR(IF(VLOOKUP(B106,cnst_grazing!$C$10:$H$25,5,FALSE)="", IF(VLOOKUP(B106, cnst_grazing!$C$10:$H$25,3,FALSE)="", VLOOKUP(B106, cnst_grazing!$C$10:$H$25,4,FALSE),VLOOKUP(B106, cnst_grazing!$C$10:$H$25,3,FALSE)), VLOOKUP(B106,cnst_grazing!$C$10:$H$25,5,FALSE)),1)</f>
        <v>1</v>
      </c>
      <c r="Y106" s="1099">
        <f>IFERROR(IF(VLOOKUP(B106,cnst_grazing!$C$10:$H$25,6,FALSE)="", IF(VLOOKUP(B106, cnst_grazing!$C$10:$H$25,4,FALSE)="", VLOOKUP(B106, cnst_grazing!$C$10:$H$25,3,FALSE),VLOOKUP(B106, cnst_grazing!$C$10:$H$25,4,FALSE)), VLOOKUP(B106,cnst_grazing!$C$10:$H$25,6,FALSE)),1)</f>
        <v>1</v>
      </c>
      <c r="Z106" s="937">
        <f t="shared" si="42"/>
        <v>0.76632235802702164</v>
      </c>
      <c r="AA106" s="1487">
        <f t="shared" si="43"/>
        <v>1.7394672460914788</v>
      </c>
      <c r="AB106" s="933">
        <f>VLOOKUP($W106,feed_mix_n,MATCH(AB$5,feed_mix_w!$B$5:$AC$5,0),FALSE)/$Z106*VLOOKUP(AB$5,feed_intensity_w,11,FALSE)</f>
        <v>0.57104090294201004</v>
      </c>
      <c r="AC106" s="933">
        <f>VLOOKUP($W106,feed_mix_n,MATCH(AC$5,feed_mix_w!$B$5:$AC$5,0),FALSE)/$Z106*VLOOKUP(AC$5,feed_intensity_w,11,FALSE)</f>
        <v>0</v>
      </c>
      <c r="AD106" s="933">
        <f>VLOOKUP($W106,feed_mix_n,MATCH(AD$5,feed_mix_w!$B$5:$AC$5,0),FALSE)/$Z106*VLOOKUP(AD$5,feed_intensity_w,11,FALSE)</f>
        <v>0.49119515229326582</v>
      </c>
      <c r="AE106" s="933">
        <f>VLOOKUP($W106,feed_mix_n,MATCH(AE$5,feed_mix_w!$B$5:$AC$5,0),FALSE)/$Z106*VLOOKUP(AE$5,feed_intensity_w,11,FALSE)</f>
        <v>0</v>
      </c>
      <c r="AF106" s="933">
        <f>VLOOKUP($W106,feed_mix_n,MATCH(AF$5,feed_mix_w!$B$5:$AC$5,0),FALSE)/$Z106*VLOOKUP(AF$5,feed_intensity_w,11,FALSE)</f>
        <v>0</v>
      </c>
      <c r="AG106" s="933">
        <f>VLOOKUP($W106,feed_mix_n,MATCH(AG$5,feed_mix_w!$B$5:$AC$5,0),FALSE)/$Z106*VLOOKUP(AG$5,feed_intensity_w,11,FALSE)</f>
        <v>0</v>
      </c>
      <c r="AH106" s="933">
        <f>VLOOKUP($W106,feed_mix_n,MATCH(AH$5,feed_mix_w!$B$5:$AC$5,0),FALSE)/$Z106*VLOOKUP(AH$5,feed_intensity_w,11,FALSE)</f>
        <v>0.50207538743651392</v>
      </c>
      <c r="AI106" s="933">
        <f>VLOOKUP($W106,feed_mix_n,MATCH(AI$5,feed_mix_w!$B$5:$AC$5,0),FALSE)/$Z106*VLOOKUP(AI$5,feed_intensity_w,11,FALSE)</f>
        <v>0</v>
      </c>
      <c r="AJ106" s="933">
        <f>VLOOKUP($W106,feed_mix_n,MATCH(AJ$5,feed_mix_w!$B$5:$AC$5,0),FALSE)/$Z106*VLOOKUP(AJ$5,feed_intensity_w,11,FALSE)</f>
        <v>0</v>
      </c>
      <c r="AK106" s="933">
        <f>VLOOKUP($W106,feed_mix_n,MATCH(AK$5,feed_mix_w!$B$5:$AC$5,0),FALSE)/$Z106*VLOOKUP(AK$5,feed_intensity_w,11,FALSE)</f>
        <v>0</v>
      </c>
      <c r="AL106" s="933">
        <f>VLOOKUP($W106,feed_mix_n,MATCH(AL$5,feed_mix_w!$B$5:$AC$5,0),FALSE)/$Z106*VLOOKUP(AL$5,feed_intensity_w,11,FALSE)</f>
        <v>0</v>
      </c>
      <c r="AM106" s="933">
        <f>VLOOKUP($W106,feed_mix_n,MATCH(AM$5,feed_mix_w!$B$5:$AC$5,0),FALSE)/$Z106*VLOOKUP(AM$5,feed_intensity_w,11,FALSE)</f>
        <v>0</v>
      </c>
      <c r="AN106" s="933">
        <f>VLOOKUP($W106,feed_mix_n,MATCH(AN$5,feed_mix_w!$B$5:$AC$5,0),FALSE)/$Z106*VLOOKUP(AN$5,feed_intensity_w,11,FALSE)</f>
        <v>0</v>
      </c>
      <c r="AO106" s="933">
        <f>VLOOKUP($W106,feed_mix_n,MATCH(AO$5,feed_mix_w!$B$5:$AC$5,0),FALSE)/$Z106*VLOOKUP(AO$5,feed_intensity_w,11,FALSE)</f>
        <v>0</v>
      </c>
      <c r="AP106" s="933">
        <f>VLOOKUP($W106,feed_mix_n,MATCH(AP$5,feed_mix_w!$B$5:$AC$5,0),FALSE)/$Z106*VLOOKUP(AP$5,feed_intensity_w,11,FALSE)</f>
        <v>0</v>
      </c>
      <c r="AQ106" s="933">
        <f>VLOOKUP($W106,feed_mix_n,MATCH(AQ$5,feed_mix_w!$B$5:$AC$5,0),FALSE)/$Z106*VLOOKUP(AQ$5,feed_intensity_w,11,FALSE)</f>
        <v>0</v>
      </c>
      <c r="AR106" s="933">
        <f>VLOOKUP($W106,feed_mix_n,MATCH(AR$5,feed_mix_w!$B$5:$AC$5,0),FALSE)/$Z106*VLOOKUP(AR$5,feed_intensity_w,11,FALSE)</f>
        <v>0.17515580341968903</v>
      </c>
      <c r="AS106" s="1105">
        <f>VLOOKUP($W106,feed_mix_n,MATCH(AS$5,feed_mix_w!$B$5:$AC$5,0),FALSE)/$Z106*VLOOKUP(AS$5,feed_intensity_w,11,FALSE)</f>
        <v>0</v>
      </c>
    </row>
    <row r="107" spans="1:45" ht="12.75" customHeight="1">
      <c r="A107" s="1008" t="s">
        <v>7400</v>
      </c>
      <c r="B107" s="1102">
        <v>1062</v>
      </c>
      <c r="C107" s="1103" t="s">
        <v>5191</v>
      </c>
      <c r="D107" s="1158">
        <v>1946</v>
      </c>
      <c r="E107" s="1158">
        <v>144795</v>
      </c>
      <c r="F107" s="1012">
        <f t="shared" si="33"/>
        <v>1946</v>
      </c>
      <c r="G107" s="1012">
        <f t="shared" si="34"/>
        <v>144795</v>
      </c>
      <c r="H107" s="933">
        <f t="shared" si="35"/>
        <v>1.0580698099780588</v>
      </c>
      <c r="I107" s="1486">
        <f t="shared" si="36"/>
        <v>2059.0038502173024</v>
      </c>
      <c r="J107" s="1006">
        <f>IFERROR(G107*VLOOKUP(W107,livestock_intensity!$B$7:$I$29,8,FALSE)/Z107,0)</f>
        <v>209504.47430964056</v>
      </c>
      <c r="K107" s="933">
        <f>VLOOKUP($W107,feed_mix_n,MATCH(K$5,feed_mix_w!$B$5:$AC$5,0),FALSE)/$Z107*VLOOKUP(K$5,feed_intensity_w,11,FALSE)</f>
        <v>0</v>
      </c>
      <c r="L107" s="1486">
        <f t="shared" si="37"/>
        <v>0</v>
      </c>
      <c r="M107" s="1447">
        <f>IFERROR(G107*VLOOKUP(W107,livestock_intensity!$B$7:$M$29,12,FALSE)/Z107,0)</f>
        <v>0</v>
      </c>
      <c r="N107" s="933">
        <f>VLOOKUP($W107,feed_mix_n,MATCH(N$5,feed_mix_w!$B$5:$AC$5,0),FALSE)/$Z107*VLOOKUP(N$5,feed_intensity_w,11,FALSE)</f>
        <v>0</v>
      </c>
      <c r="O107" s="1486">
        <f t="shared" si="38"/>
        <v>0</v>
      </c>
      <c r="P107" s="939">
        <f>IFERROR(G107*VLOOKUP(W107,livestock_intensity!$B$7:$Q$29,16,FALSE)/Z107,0)</f>
        <v>0</v>
      </c>
      <c r="Q107" s="1530"/>
      <c r="R107" s="900">
        <f t="shared" si="39"/>
        <v>2059.0038502173024</v>
      </c>
      <c r="S107" s="900">
        <f t="shared" si="40"/>
        <v>209504.47430964056</v>
      </c>
      <c r="T107" s="1483">
        <v>2744</v>
      </c>
      <c r="U107" s="1211" t="s">
        <v>415</v>
      </c>
      <c r="V107" s="1212" t="str">
        <f>IFERROR(VLOOKUP(W107,constant_ag_extr!$D$7:$E$594,2,FALSE),"")</f>
        <v>Hen eggs, in shell</v>
      </c>
      <c r="W107" s="1213">
        <f t="shared" si="41"/>
        <v>1062</v>
      </c>
      <c r="X107" s="1099">
        <f>IFERROR(IF(VLOOKUP(B107,cnst_grazing!$C$10:$H$25,5,FALSE)="", IF(VLOOKUP(B107, cnst_grazing!$C$10:$H$25,3,FALSE)="", VLOOKUP(B107, cnst_grazing!$C$10:$H$25,4,FALSE),VLOOKUP(B107, cnst_grazing!$C$10:$H$25,3,FALSE)), VLOOKUP(B107,cnst_grazing!$C$10:$H$25,5,FALSE)),1)</f>
        <v>1</v>
      </c>
      <c r="Y107" s="1099">
        <f>IFERROR(IF(VLOOKUP(B107,cnst_grazing!$C$10:$H$25,6,FALSE)="", IF(VLOOKUP(B107, cnst_grazing!$C$10:$H$25,4,FALSE)="", VLOOKUP(B107, cnst_grazing!$C$10:$H$25,3,FALSE),VLOOKUP(B107, cnst_grazing!$C$10:$H$25,4,FALSE)), VLOOKUP(B107,cnst_grazing!$C$10:$H$25,6,FALSE)),1)</f>
        <v>1</v>
      </c>
      <c r="Z107" s="937">
        <f t="shared" si="42"/>
        <v>1</v>
      </c>
      <c r="AA107" s="1487">
        <f t="shared" si="43"/>
        <v>1.0580698099780588</v>
      </c>
      <c r="AB107" s="933">
        <f>VLOOKUP($W107,feed_mix_n,MATCH(AB$5,feed_mix_w!$B$5:$AC$5,0),FALSE)/$Z107*VLOOKUP(AB$5,feed_intensity_w,11,FALSE)</f>
        <v>0.23330794591973808</v>
      </c>
      <c r="AC107" s="933">
        <f>VLOOKUP($W107,feed_mix_n,MATCH(AC$5,feed_mix_w!$B$5:$AC$5,0),FALSE)/$Z107*VLOOKUP(AC$5,feed_intensity_w,11,FALSE)</f>
        <v>0.27296581828452832</v>
      </c>
      <c r="AD107" s="933">
        <f>VLOOKUP($W107,feed_mix_n,MATCH(AD$5,feed_mix_w!$B$5:$AC$5,0),FALSE)/$Z107*VLOOKUP(AD$5,feed_intensity_w,11,FALSE)</f>
        <v>0</v>
      </c>
      <c r="AE107" s="933">
        <f>VLOOKUP($W107,feed_mix_n,MATCH(AE$5,feed_mix_w!$B$5:$AC$5,0),FALSE)/$Z107*VLOOKUP(AE$5,feed_intensity_w,11,FALSE)</f>
        <v>0.25530205876750361</v>
      </c>
      <c r="AF107" s="933">
        <f>VLOOKUP($W107,feed_mix_n,MATCH(AF$5,feed_mix_w!$B$5:$AC$5,0),FALSE)/$Z107*VLOOKUP(AF$5,feed_intensity_w,11,FALSE)</f>
        <v>1.6849344673578931E-2</v>
      </c>
      <c r="AG107" s="933">
        <f>VLOOKUP($W107,feed_mix_n,MATCH(AG$5,feed_mix_w!$B$5:$AC$5,0),FALSE)/$Z107*VLOOKUP(AG$5,feed_intensity_w,11,FALSE)</f>
        <v>5.7776092956808986E-3</v>
      </c>
      <c r="AH107" s="933">
        <f>VLOOKUP($W107,feed_mix_n,MATCH(AH$5,feed_mix_w!$B$5:$AC$5,0),FALSE)/$Z107*VLOOKUP(AH$5,feed_intensity_w,11,FALSE)</f>
        <v>0.1074022555216434</v>
      </c>
      <c r="AI107" s="933">
        <f>VLOOKUP($W107,feed_mix_n,MATCH(AI$5,feed_mix_w!$B$5:$AC$5,0),FALSE)/$Z107*VLOOKUP(AI$5,feed_intensity_w,11,FALSE)</f>
        <v>0</v>
      </c>
      <c r="AJ107" s="933">
        <f>VLOOKUP($W107,feed_mix_n,MATCH(AJ$5,feed_mix_w!$B$5:$AC$5,0),FALSE)/$Z107*VLOOKUP(AJ$5,feed_intensity_w,11,FALSE)</f>
        <v>0</v>
      </c>
      <c r="AK107" s="933">
        <f>VLOOKUP($W107,feed_mix_n,MATCH(AK$5,feed_mix_w!$B$5:$AC$5,0),FALSE)/$Z107*VLOOKUP(AK$5,feed_intensity_w,11,FALSE)</f>
        <v>2.5568238315073842E-2</v>
      </c>
      <c r="AL107" s="933">
        <f>VLOOKUP($W107,feed_mix_n,MATCH(AL$5,feed_mix_w!$B$5:$AC$5,0),FALSE)/$Z107*VLOOKUP(AL$5,feed_intensity_w,11,FALSE)</f>
        <v>0</v>
      </c>
      <c r="AM107" s="933">
        <f>VLOOKUP($W107,feed_mix_n,MATCH(AM$5,feed_mix_w!$B$5:$AC$5,0),FALSE)/$Z107*VLOOKUP(AM$5,feed_intensity_w,11,FALSE)</f>
        <v>1.4698167354471605E-2</v>
      </c>
      <c r="AN107" s="933">
        <f>VLOOKUP($W107,feed_mix_n,MATCH(AN$5,feed_mix_w!$B$5:$AC$5,0),FALSE)/$Z107*VLOOKUP(AN$5,feed_intensity_w,11,FALSE)</f>
        <v>0</v>
      </c>
      <c r="AO107" s="933">
        <f>VLOOKUP($W107,feed_mix_n,MATCH(AO$5,feed_mix_w!$B$5:$AC$5,0),FALSE)/$Z107*VLOOKUP(AO$5,feed_intensity_w,11,FALSE)</f>
        <v>2.2889999313534373E-2</v>
      </c>
      <c r="AP107" s="933">
        <f>VLOOKUP($W107,feed_mix_n,MATCH(AP$5,feed_mix_w!$B$5:$AC$5,0),FALSE)/$Z107*VLOOKUP(AP$5,feed_intensity_w,11,FALSE)</f>
        <v>1.0704050498649807E-2</v>
      </c>
      <c r="AQ107" s="933">
        <f>VLOOKUP($W107,feed_mix_n,MATCH(AQ$5,feed_mix_w!$B$5:$AC$5,0),FALSE)/$Z107*VLOOKUP(AQ$5,feed_intensity_w,11,FALSE)</f>
        <v>0</v>
      </c>
      <c r="AR107" s="933">
        <f>VLOOKUP($W107,feed_mix_n,MATCH(AR$5,feed_mix_w!$B$5:$AC$5,0),FALSE)/$Z107*VLOOKUP(AR$5,feed_intensity_w,11,FALSE)</f>
        <v>9.2604322033656081E-2</v>
      </c>
      <c r="AS107" s="1105">
        <f>VLOOKUP($W107,feed_mix_n,MATCH(AS$5,feed_mix_w!$B$5:$AC$5,0),FALSE)/$Z107*VLOOKUP(AS$5,feed_intensity_w,11,FALSE)</f>
        <v>0</v>
      </c>
    </row>
    <row r="108" spans="1:45" ht="12.75" customHeight="1">
      <c r="A108" s="1008" t="s">
        <v>7401</v>
      </c>
      <c r="B108" s="1102">
        <v>1063</v>
      </c>
      <c r="C108" s="1103" t="s">
        <v>1262</v>
      </c>
      <c r="D108" s="1158">
        <v>6283</v>
      </c>
      <c r="E108" s="1158">
        <v>30407</v>
      </c>
      <c r="F108" s="1012">
        <f t="shared" si="33"/>
        <v>6283</v>
      </c>
      <c r="G108" s="1012">
        <f t="shared" si="34"/>
        <v>30407</v>
      </c>
      <c r="H108" s="933" t="e">
        <f t="shared" si="35"/>
        <v>#N/A</v>
      </c>
      <c r="I108" s="1486">
        <f t="shared" si="36"/>
        <v>0</v>
      </c>
      <c r="J108" s="1006">
        <f>IFERROR(G108*VLOOKUP(W108,livestock_intensity!$B$7:$I$29,8,FALSE)/Z108,0)</f>
        <v>0</v>
      </c>
      <c r="K108" s="933" t="e">
        <f>VLOOKUP($W108,feed_mix_n,MATCH(K$5,feed_mix_w!$B$5:$AC$5,0),FALSE)/$Z108*VLOOKUP(K$5,feed_intensity_w,11,FALSE)</f>
        <v>#N/A</v>
      </c>
      <c r="L108" s="1486">
        <f t="shared" si="37"/>
        <v>0</v>
      </c>
      <c r="M108" s="1447">
        <f>IFERROR(G108*VLOOKUP(W108,livestock_intensity!$B$7:$M$29,12,FALSE)/Z108,0)</f>
        <v>0</v>
      </c>
      <c r="N108" s="933" t="e">
        <f>VLOOKUP($W108,feed_mix_n,MATCH(N$5,feed_mix_w!$B$5:$AC$5,0),FALSE)/$Z108*VLOOKUP(N$5,feed_intensity_w,11,FALSE)</f>
        <v>#N/A</v>
      </c>
      <c r="O108" s="1486">
        <f t="shared" si="38"/>
        <v>0</v>
      </c>
      <c r="P108" s="939">
        <f>IFERROR(G108*VLOOKUP(W108,livestock_intensity!$B$7:$Q$29,16,FALSE)/Z108,0)</f>
        <v>0</v>
      </c>
      <c r="Q108" s="1530"/>
      <c r="R108" s="900">
        <f t="shared" si="39"/>
        <v>0</v>
      </c>
      <c r="S108" s="900">
        <f t="shared" si="40"/>
        <v>0</v>
      </c>
      <c r="T108" s="1483" t="s">
        <v>2862</v>
      </c>
      <c r="U108" s="1211" t="s">
        <v>2921</v>
      </c>
      <c r="V108" s="1212">
        <f>IFERROR(VLOOKUP(W108,constant_ag_extr!$D$7:$E$594,2,FALSE),"")</f>
        <v>0</v>
      </c>
      <c r="W108" s="1213" t="str">
        <f t="shared" si="41"/>
        <v/>
      </c>
      <c r="X108" s="1099">
        <f>IFERROR(IF(VLOOKUP(B108,cnst_grazing!$C$10:$H$25,5,FALSE)="", IF(VLOOKUP(B108, cnst_grazing!$C$10:$H$25,3,FALSE)="", VLOOKUP(B108, cnst_grazing!$C$10:$H$25,4,FALSE),VLOOKUP(B108, cnst_grazing!$C$10:$H$25,3,FALSE)), VLOOKUP(B108,cnst_grazing!$C$10:$H$25,5,FALSE)),1)</f>
        <v>1</v>
      </c>
      <c r="Y108" s="1099">
        <f>IFERROR(IF(VLOOKUP(B108,cnst_grazing!$C$10:$H$25,6,FALSE)="", IF(VLOOKUP(B108, cnst_grazing!$C$10:$H$25,4,FALSE)="", VLOOKUP(B108, cnst_grazing!$C$10:$H$25,3,FALSE),VLOOKUP(B108, cnst_grazing!$C$10:$H$25,4,FALSE)), VLOOKUP(B108,cnst_grazing!$C$10:$H$25,6,FALSE)),1)</f>
        <v>1</v>
      </c>
      <c r="Z108" s="937">
        <f t="shared" si="42"/>
        <v>1</v>
      </c>
      <c r="AA108" s="1487" t="e">
        <f t="shared" si="43"/>
        <v>#N/A</v>
      </c>
      <c r="AB108" s="933" t="e">
        <f>VLOOKUP($W108,feed_mix_n,MATCH(AB$5,feed_mix_w!$B$5:$AC$5,0),FALSE)/$Z108*VLOOKUP(AB$5,feed_intensity_w,11,FALSE)</f>
        <v>#N/A</v>
      </c>
      <c r="AC108" s="933" t="e">
        <f>VLOOKUP($W108,feed_mix_n,MATCH(AC$5,feed_mix_w!$B$5:$AC$5,0),FALSE)/$Z108*VLOOKUP(AC$5,feed_intensity_w,11,FALSE)</f>
        <v>#N/A</v>
      </c>
      <c r="AD108" s="933" t="e">
        <f>VLOOKUP($W108,feed_mix_n,MATCH(AD$5,feed_mix_w!$B$5:$AC$5,0),FALSE)/$Z108*VLOOKUP(AD$5,feed_intensity_w,11,FALSE)</f>
        <v>#N/A</v>
      </c>
      <c r="AE108" s="933" t="e">
        <f>VLOOKUP($W108,feed_mix_n,MATCH(AE$5,feed_mix_w!$B$5:$AC$5,0),FALSE)/$Z108*VLOOKUP(AE$5,feed_intensity_w,11,FALSE)</f>
        <v>#N/A</v>
      </c>
      <c r="AF108" s="933" t="e">
        <f>VLOOKUP($W108,feed_mix_n,MATCH(AF$5,feed_mix_w!$B$5:$AC$5,0),FALSE)/$Z108*VLOOKUP(AF$5,feed_intensity_w,11,FALSE)</f>
        <v>#N/A</v>
      </c>
      <c r="AG108" s="933" t="e">
        <f>VLOOKUP($W108,feed_mix_n,MATCH(AG$5,feed_mix_w!$B$5:$AC$5,0),FALSE)/$Z108*VLOOKUP(AG$5,feed_intensity_w,11,FALSE)</f>
        <v>#N/A</v>
      </c>
      <c r="AH108" s="933" t="e">
        <f>VLOOKUP($W108,feed_mix_n,MATCH(AH$5,feed_mix_w!$B$5:$AC$5,0),FALSE)/$Z108*VLOOKUP(AH$5,feed_intensity_w,11,FALSE)</f>
        <v>#N/A</v>
      </c>
      <c r="AI108" s="933" t="e">
        <f>VLOOKUP($W108,feed_mix_n,MATCH(AI$5,feed_mix_w!$B$5:$AC$5,0),FALSE)/$Z108*VLOOKUP(AI$5,feed_intensity_w,11,FALSE)</f>
        <v>#N/A</v>
      </c>
      <c r="AJ108" s="933" t="e">
        <f>VLOOKUP($W108,feed_mix_n,MATCH(AJ$5,feed_mix_w!$B$5:$AC$5,0),FALSE)/$Z108*VLOOKUP(AJ$5,feed_intensity_w,11,FALSE)</f>
        <v>#N/A</v>
      </c>
      <c r="AK108" s="933" t="e">
        <f>VLOOKUP($W108,feed_mix_n,MATCH(AK$5,feed_mix_w!$B$5:$AC$5,0),FALSE)/$Z108*VLOOKUP(AK$5,feed_intensity_w,11,FALSE)</f>
        <v>#N/A</v>
      </c>
      <c r="AL108" s="933" t="e">
        <f>VLOOKUP($W108,feed_mix_n,MATCH(AL$5,feed_mix_w!$B$5:$AC$5,0),FALSE)/$Z108*VLOOKUP(AL$5,feed_intensity_w,11,FALSE)</f>
        <v>#N/A</v>
      </c>
      <c r="AM108" s="933" t="e">
        <f>VLOOKUP($W108,feed_mix_n,MATCH(AM$5,feed_mix_w!$B$5:$AC$5,0),FALSE)/$Z108*VLOOKUP(AM$5,feed_intensity_w,11,FALSE)</f>
        <v>#N/A</v>
      </c>
      <c r="AN108" s="933" t="e">
        <f>VLOOKUP($W108,feed_mix_n,MATCH(AN$5,feed_mix_w!$B$5:$AC$5,0),FALSE)/$Z108*VLOOKUP(AN$5,feed_intensity_w,11,FALSE)</f>
        <v>#N/A</v>
      </c>
      <c r="AO108" s="933" t="e">
        <f>VLOOKUP($W108,feed_mix_n,MATCH(AO$5,feed_mix_w!$B$5:$AC$5,0),FALSE)/$Z108*VLOOKUP(AO$5,feed_intensity_w,11,FALSE)</f>
        <v>#N/A</v>
      </c>
      <c r="AP108" s="933" t="e">
        <f>VLOOKUP($W108,feed_mix_n,MATCH(AP$5,feed_mix_w!$B$5:$AC$5,0),FALSE)/$Z108*VLOOKUP(AP$5,feed_intensity_w,11,FALSE)</f>
        <v>#N/A</v>
      </c>
      <c r="AQ108" s="933" t="e">
        <f>VLOOKUP($W108,feed_mix_n,MATCH(AQ$5,feed_mix_w!$B$5:$AC$5,0),FALSE)/$Z108*VLOOKUP(AQ$5,feed_intensity_w,11,FALSE)</f>
        <v>#N/A</v>
      </c>
      <c r="AR108" s="933" t="e">
        <f>VLOOKUP($W108,feed_mix_n,MATCH(AR$5,feed_mix_w!$B$5:$AC$5,0),FALSE)/$Z108*VLOOKUP(AR$5,feed_intensity_w,11,FALSE)</f>
        <v>#N/A</v>
      </c>
      <c r="AS108" s="1105" t="e">
        <f>VLOOKUP($W108,feed_mix_n,MATCH(AS$5,feed_mix_w!$B$5:$AC$5,0),FALSE)/$Z108*VLOOKUP(AS$5,feed_intensity_w,11,FALSE)</f>
        <v>#N/A</v>
      </c>
    </row>
    <row r="109" spans="1:45" ht="12.75" customHeight="1">
      <c r="A109" s="1008" t="s">
        <v>7402</v>
      </c>
      <c r="B109" s="1102">
        <v>1064</v>
      </c>
      <c r="C109" s="1103" t="s">
        <v>1261</v>
      </c>
      <c r="D109" s="1158">
        <v>20</v>
      </c>
      <c r="E109" s="1158">
        <v>14920</v>
      </c>
      <c r="F109" s="1012">
        <f t="shared" si="33"/>
        <v>20</v>
      </c>
      <c r="G109" s="1012">
        <f t="shared" si="34"/>
        <v>14920</v>
      </c>
      <c r="H109" s="933" t="e">
        <f t="shared" si="35"/>
        <v>#N/A</v>
      </c>
      <c r="I109" s="1486">
        <f t="shared" si="36"/>
        <v>0</v>
      </c>
      <c r="J109" s="1006">
        <f>IFERROR(G109*VLOOKUP(W109,livestock_intensity!$B$7:$I$29,8,FALSE)/Z109,0)</f>
        <v>0</v>
      </c>
      <c r="K109" s="933" t="e">
        <f>VLOOKUP($W109,feed_mix_n,MATCH(K$5,feed_mix_w!$B$5:$AC$5,0),FALSE)/$Z109*VLOOKUP(K$5,feed_intensity_w,11,FALSE)</f>
        <v>#N/A</v>
      </c>
      <c r="L109" s="1486">
        <f t="shared" si="37"/>
        <v>0</v>
      </c>
      <c r="M109" s="1447">
        <f>IFERROR(G109*VLOOKUP(W109,livestock_intensity!$B$7:$M$29,12,FALSE)/Z109,0)</f>
        <v>0</v>
      </c>
      <c r="N109" s="933" t="e">
        <f>VLOOKUP($W109,feed_mix_n,MATCH(N$5,feed_mix_w!$B$5:$AC$5,0),FALSE)/$Z109*VLOOKUP(N$5,feed_intensity_w,11,FALSE)</f>
        <v>#N/A</v>
      </c>
      <c r="O109" s="1486">
        <f t="shared" si="38"/>
        <v>0</v>
      </c>
      <c r="P109" s="939">
        <f>IFERROR(G109*VLOOKUP(W109,livestock_intensity!$B$7:$Q$29,16,FALSE)/Z109,0)</f>
        <v>0</v>
      </c>
      <c r="Q109" s="1530"/>
      <c r="R109" s="900">
        <f t="shared" si="39"/>
        <v>0</v>
      </c>
      <c r="S109" s="900">
        <f t="shared" si="40"/>
        <v>0</v>
      </c>
      <c r="T109" s="1483" t="s">
        <v>2862</v>
      </c>
      <c r="U109" s="1211" t="s">
        <v>2921</v>
      </c>
      <c r="V109" s="1212">
        <f>IFERROR(VLOOKUP(W109,constant_ag_extr!$D$7:$E$594,2,FALSE),"")</f>
        <v>0</v>
      </c>
      <c r="W109" s="1213" t="str">
        <f t="shared" si="41"/>
        <v/>
      </c>
      <c r="X109" s="1099">
        <f>IFERROR(IF(VLOOKUP(B109,cnst_grazing!$C$10:$H$25,5,FALSE)="", IF(VLOOKUP(B109, cnst_grazing!$C$10:$H$25,3,FALSE)="", VLOOKUP(B109, cnst_grazing!$C$10:$H$25,4,FALSE),VLOOKUP(B109, cnst_grazing!$C$10:$H$25,3,FALSE)), VLOOKUP(B109,cnst_grazing!$C$10:$H$25,5,FALSE)),1)</f>
        <v>1</v>
      </c>
      <c r="Y109" s="1099">
        <f>IFERROR(IF(VLOOKUP(B109,cnst_grazing!$C$10:$H$25,6,FALSE)="", IF(VLOOKUP(B109, cnst_grazing!$C$10:$H$25,4,FALSE)="", VLOOKUP(B109, cnst_grazing!$C$10:$H$25,3,FALSE),VLOOKUP(B109, cnst_grazing!$C$10:$H$25,4,FALSE)), VLOOKUP(B109,cnst_grazing!$C$10:$H$25,6,FALSE)),1)</f>
        <v>1</v>
      </c>
      <c r="Z109" s="937">
        <f t="shared" si="42"/>
        <v>1</v>
      </c>
      <c r="AA109" s="1487" t="e">
        <f t="shared" si="43"/>
        <v>#N/A</v>
      </c>
      <c r="AB109" s="933" t="e">
        <f>VLOOKUP($W109,feed_mix_n,MATCH(AB$5,feed_mix_w!$B$5:$AC$5,0),FALSE)/$Z109*VLOOKUP(AB$5,feed_intensity_w,11,FALSE)</f>
        <v>#N/A</v>
      </c>
      <c r="AC109" s="933" t="e">
        <f>VLOOKUP($W109,feed_mix_n,MATCH(AC$5,feed_mix_w!$B$5:$AC$5,0),FALSE)/$Z109*VLOOKUP(AC$5,feed_intensity_w,11,FALSE)</f>
        <v>#N/A</v>
      </c>
      <c r="AD109" s="933" t="e">
        <f>VLOOKUP($W109,feed_mix_n,MATCH(AD$5,feed_mix_w!$B$5:$AC$5,0),FALSE)/$Z109*VLOOKUP(AD$5,feed_intensity_w,11,FALSE)</f>
        <v>#N/A</v>
      </c>
      <c r="AE109" s="933" t="e">
        <f>VLOOKUP($W109,feed_mix_n,MATCH(AE$5,feed_mix_w!$B$5:$AC$5,0),FALSE)/$Z109*VLOOKUP(AE$5,feed_intensity_w,11,FALSE)</f>
        <v>#N/A</v>
      </c>
      <c r="AF109" s="933" t="e">
        <f>VLOOKUP($W109,feed_mix_n,MATCH(AF$5,feed_mix_w!$B$5:$AC$5,0),FALSE)/$Z109*VLOOKUP(AF$5,feed_intensity_w,11,FALSE)</f>
        <v>#N/A</v>
      </c>
      <c r="AG109" s="933" t="e">
        <f>VLOOKUP($W109,feed_mix_n,MATCH(AG$5,feed_mix_w!$B$5:$AC$5,0),FALSE)/$Z109*VLOOKUP(AG$5,feed_intensity_w,11,FALSE)</f>
        <v>#N/A</v>
      </c>
      <c r="AH109" s="933" t="e">
        <f>VLOOKUP($W109,feed_mix_n,MATCH(AH$5,feed_mix_w!$B$5:$AC$5,0),FALSE)/$Z109*VLOOKUP(AH$5,feed_intensity_w,11,FALSE)</f>
        <v>#N/A</v>
      </c>
      <c r="AI109" s="933" t="e">
        <f>VLOOKUP($W109,feed_mix_n,MATCH(AI$5,feed_mix_w!$B$5:$AC$5,0),FALSE)/$Z109*VLOOKUP(AI$5,feed_intensity_w,11,FALSE)</f>
        <v>#N/A</v>
      </c>
      <c r="AJ109" s="933" t="e">
        <f>VLOOKUP($W109,feed_mix_n,MATCH(AJ$5,feed_mix_w!$B$5:$AC$5,0),FALSE)/$Z109*VLOOKUP(AJ$5,feed_intensity_w,11,FALSE)</f>
        <v>#N/A</v>
      </c>
      <c r="AK109" s="933" t="e">
        <f>VLOOKUP($W109,feed_mix_n,MATCH(AK$5,feed_mix_w!$B$5:$AC$5,0),FALSE)/$Z109*VLOOKUP(AK$5,feed_intensity_w,11,FALSE)</f>
        <v>#N/A</v>
      </c>
      <c r="AL109" s="933" t="e">
        <f>VLOOKUP($W109,feed_mix_n,MATCH(AL$5,feed_mix_w!$B$5:$AC$5,0),FALSE)/$Z109*VLOOKUP(AL$5,feed_intensity_w,11,FALSE)</f>
        <v>#N/A</v>
      </c>
      <c r="AM109" s="933" t="e">
        <f>VLOOKUP($W109,feed_mix_n,MATCH(AM$5,feed_mix_w!$B$5:$AC$5,0),FALSE)/$Z109*VLOOKUP(AM$5,feed_intensity_w,11,FALSE)</f>
        <v>#N/A</v>
      </c>
      <c r="AN109" s="933" t="e">
        <f>VLOOKUP($W109,feed_mix_n,MATCH(AN$5,feed_mix_w!$B$5:$AC$5,0),FALSE)/$Z109*VLOOKUP(AN$5,feed_intensity_w,11,FALSE)</f>
        <v>#N/A</v>
      </c>
      <c r="AO109" s="933" t="e">
        <f>VLOOKUP($W109,feed_mix_n,MATCH(AO$5,feed_mix_w!$B$5:$AC$5,0),FALSE)/$Z109*VLOOKUP(AO$5,feed_intensity_w,11,FALSE)</f>
        <v>#N/A</v>
      </c>
      <c r="AP109" s="933" t="e">
        <f>VLOOKUP($W109,feed_mix_n,MATCH(AP$5,feed_mix_w!$B$5:$AC$5,0),FALSE)/$Z109*VLOOKUP(AP$5,feed_intensity_w,11,FALSE)</f>
        <v>#N/A</v>
      </c>
      <c r="AQ109" s="933" t="e">
        <f>VLOOKUP($W109,feed_mix_n,MATCH(AQ$5,feed_mix_w!$B$5:$AC$5,0),FALSE)/$Z109*VLOOKUP(AQ$5,feed_intensity_w,11,FALSE)</f>
        <v>#N/A</v>
      </c>
      <c r="AR109" s="933" t="e">
        <f>VLOOKUP($W109,feed_mix_n,MATCH(AR$5,feed_mix_w!$B$5:$AC$5,0),FALSE)/$Z109*VLOOKUP(AR$5,feed_intensity_w,11,FALSE)</f>
        <v>#N/A</v>
      </c>
      <c r="AS109" s="1105" t="e">
        <f>VLOOKUP($W109,feed_mix_n,MATCH(AS$5,feed_mix_w!$B$5:$AC$5,0),FALSE)/$Z109*VLOOKUP(AS$5,feed_intensity_w,11,FALSE)</f>
        <v>#N/A</v>
      </c>
    </row>
    <row r="110" spans="1:45" ht="12.75" customHeight="1">
      <c r="A110" s="1008" t="s">
        <v>3654</v>
      </c>
      <c r="B110" s="1102">
        <v>1065</v>
      </c>
      <c r="C110" s="1103" t="s">
        <v>1267</v>
      </c>
      <c r="D110" s="1158"/>
      <c r="E110" s="1158"/>
      <c r="F110" s="1012">
        <f t="shared" si="33"/>
        <v>0</v>
      </c>
      <c r="G110" s="1012">
        <f t="shared" si="34"/>
        <v>0</v>
      </c>
      <c r="H110" s="933">
        <f t="shared" si="35"/>
        <v>26.671831106736008</v>
      </c>
      <c r="I110" s="1486">
        <f t="shared" si="36"/>
        <v>0</v>
      </c>
      <c r="J110" s="1006">
        <f>IFERROR(G110*VLOOKUP(W110,livestock_intensity!$B$7:$I$29,8,FALSE)/Z110,0)</f>
        <v>0</v>
      </c>
      <c r="K110" s="933">
        <f>VLOOKUP($W110,feed_mix_n,MATCH(K$5,feed_mix_w!$B$5:$AC$5,0),FALSE)/$Z110*VLOOKUP(K$5,feed_intensity_w,11,FALSE)</f>
        <v>2.2765671060208139</v>
      </c>
      <c r="L110" s="1486">
        <f t="shared" si="37"/>
        <v>0</v>
      </c>
      <c r="M110" s="1447">
        <f>IFERROR(G110*VLOOKUP(W110,livestock_intensity!$B$7:$M$29,12,FALSE)/Z110,0)</f>
        <v>0</v>
      </c>
      <c r="N110" s="933">
        <f>VLOOKUP($W110,feed_mix_n,MATCH(N$5,feed_mix_w!$B$5:$AC$5,0),FALSE)/$Z110*VLOOKUP(N$5,feed_intensity_w,11,FALSE)</f>
        <v>0</v>
      </c>
      <c r="O110" s="1486">
        <f t="shared" si="38"/>
        <v>0</v>
      </c>
      <c r="P110" s="939">
        <f>IFERROR(G110*VLOOKUP(W110,livestock_intensity!$B$7:$Q$29,16,FALSE)/Z110,0)</f>
        <v>0</v>
      </c>
      <c r="Q110" s="1530"/>
      <c r="R110" s="900">
        <f t="shared" si="39"/>
        <v>0</v>
      </c>
      <c r="S110" s="900">
        <f t="shared" si="40"/>
        <v>0</v>
      </c>
      <c r="T110" s="1483">
        <v>2737</v>
      </c>
      <c r="U110" s="1211" t="s">
        <v>2921</v>
      </c>
      <c r="V110" s="1212" t="str">
        <f>IFERROR(VLOOKUP(W110,constant_ag_extr!$D$7:$E$594,2,FALSE),"")</f>
        <v>Chickens</v>
      </c>
      <c r="W110" s="1213">
        <f t="shared" si="41"/>
        <v>1057</v>
      </c>
      <c r="X110" s="1099">
        <f>IFERROR(IF(VLOOKUP(B110,cnst_grazing!$C$10:$H$25,5,FALSE)="", IF(VLOOKUP(B110, cnst_grazing!$C$10:$H$25,3,FALSE)="", VLOOKUP(B110, cnst_grazing!$C$10:$H$25,4,FALSE),VLOOKUP(B110, cnst_grazing!$C$10:$H$25,3,FALSE)), VLOOKUP(B110,cnst_grazing!$C$10:$H$25,5,FALSE)),1)</f>
        <v>1</v>
      </c>
      <c r="Y110" s="1099">
        <f>IFERROR(IF(VLOOKUP(B110,cnst_grazing!$C$10:$H$25,6,FALSE)="", IF(VLOOKUP(B110, cnst_grazing!$C$10:$H$25,4,FALSE)="", VLOOKUP(B110, cnst_grazing!$C$10:$H$25,3,FALSE),VLOOKUP(B110, cnst_grazing!$C$10:$H$25,4,FALSE)), VLOOKUP(B110,cnst_grazing!$C$10:$H$25,6,FALSE)),1)</f>
        <v>1</v>
      </c>
      <c r="Z110" s="937">
        <f t="shared" si="42"/>
        <v>4.9977545088718801E-2</v>
      </c>
      <c r="AA110" s="1487">
        <f t="shared" si="43"/>
        <v>26.671831106736008</v>
      </c>
      <c r="AB110" s="933">
        <f>VLOOKUP($W110,feed_mix_n,MATCH(AB$5,feed_mix_w!$B$5:$AC$5,0),FALSE)/$Z110*VLOOKUP(AB$5,feed_intensity_w,11,FALSE)</f>
        <v>8.7559605117774861</v>
      </c>
      <c r="AC110" s="933">
        <f>VLOOKUP($W110,feed_mix_n,MATCH(AC$5,feed_mix_w!$B$5:$AC$5,0),FALSE)/$Z110*VLOOKUP(AC$5,feed_intensity_w,11,FALSE)</f>
        <v>0</v>
      </c>
      <c r="AD110" s="933">
        <f>VLOOKUP($W110,feed_mix_n,MATCH(AD$5,feed_mix_w!$B$5:$AC$5,0),FALSE)/$Z110*VLOOKUP(AD$5,feed_intensity_w,11,FALSE)</f>
        <v>7.531659001830076</v>
      </c>
      <c r="AE110" s="933">
        <f>VLOOKUP($W110,feed_mix_n,MATCH(AE$5,feed_mix_w!$B$5:$AC$5,0),FALSE)/$Z110*VLOOKUP(AE$5,feed_intensity_w,11,FALSE)</f>
        <v>0</v>
      </c>
      <c r="AF110" s="933">
        <f>VLOOKUP($W110,feed_mix_n,MATCH(AF$5,feed_mix_w!$B$5:$AC$5,0),FALSE)/$Z110*VLOOKUP(AF$5,feed_intensity_w,11,FALSE)</f>
        <v>0</v>
      </c>
      <c r="AG110" s="933">
        <f>VLOOKUP($W110,feed_mix_n,MATCH(AG$5,feed_mix_w!$B$5:$AC$5,0),FALSE)/$Z110*VLOOKUP(AG$5,feed_intensity_w,11,FALSE)</f>
        <v>0</v>
      </c>
      <c r="AH110" s="933">
        <f>VLOOKUP($W110,feed_mix_n,MATCH(AH$5,feed_mix_w!$B$5:$AC$5,0),FALSE)/$Z110*VLOOKUP(AH$5,feed_intensity_w,11,FALSE)</f>
        <v>7.6984892740265467</v>
      </c>
      <c r="AI110" s="933">
        <f>VLOOKUP($W110,feed_mix_n,MATCH(AI$5,feed_mix_w!$B$5:$AC$5,0),FALSE)/$Z110*VLOOKUP(AI$5,feed_intensity_w,11,FALSE)</f>
        <v>0</v>
      </c>
      <c r="AJ110" s="933">
        <f>VLOOKUP($W110,feed_mix_n,MATCH(AJ$5,feed_mix_w!$B$5:$AC$5,0),FALSE)/$Z110*VLOOKUP(AJ$5,feed_intensity_w,11,FALSE)</f>
        <v>0</v>
      </c>
      <c r="AK110" s="933">
        <f>VLOOKUP($W110,feed_mix_n,MATCH(AK$5,feed_mix_w!$B$5:$AC$5,0),FALSE)/$Z110*VLOOKUP(AK$5,feed_intensity_w,11,FALSE)</f>
        <v>0</v>
      </c>
      <c r="AL110" s="933">
        <f>VLOOKUP($W110,feed_mix_n,MATCH(AL$5,feed_mix_w!$B$5:$AC$5,0),FALSE)/$Z110*VLOOKUP(AL$5,feed_intensity_w,11,FALSE)</f>
        <v>0</v>
      </c>
      <c r="AM110" s="933">
        <f>VLOOKUP($W110,feed_mix_n,MATCH(AM$5,feed_mix_w!$B$5:$AC$5,0),FALSE)/$Z110*VLOOKUP(AM$5,feed_intensity_w,11,FALSE)</f>
        <v>0</v>
      </c>
      <c r="AN110" s="933">
        <f>VLOOKUP($W110,feed_mix_n,MATCH(AN$5,feed_mix_w!$B$5:$AC$5,0),FALSE)/$Z110*VLOOKUP(AN$5,feed_intensity_w,11,FALSE)</f>
        <v>0</v>
      </c>
      <c r="AO110" s="933">
        <f>VLOOKUP($W110,feed_mix_n,MATCH(AO$5,feed_mix_w!$B$5:$AC$5,0),FALSE)/$Z110*VLOOKUP(AO$5,feed_intensity_w,11,FALSE)</f>
        <v>0</v>
      </c>
      <c r="AP110" s="933">
        <f>VLOOKUP($W110,feed_mix_n,MATCH(AP$5,feed_mix_w!$B$5:$AC$5,0),FALSE)/$Z110*VLOOKUP(AP$5,feed_intensity_w,11,FALSE)</f>
        <v>0</v>
      </c>
      <c r="AQ110" s="933">
        <f>VLOOKUP($W110,feed_mix_n,MATCH(AQ$5,feed_mix_w!$B$5:$AC$5,0),FALSE)/$Z110*VLOOKUP(AQ$5,feed_intensity_w,11,FALSE)</f>
        <v>0</v>
      </c>
      <c r="AR110" s="933">
        <f>VLOOKUP($W110,feed_mix_n,MATCH(AR$5,feed_mix_w!$B$5:$AC$5,0),FALSE)/$Z110*VLOOKUP(AR$5,feed_intensity_w,11,FALSE)</f>
        <v>2.6857223191018984</v>
      </c>
      <c r="AS110" s="1105">
        <f>VLOOKUP($W110,feed_mix_n,MATCH(AS$5,feed_mix_w!$B$5:$AC$5,0),FALSE)/$Z110*VLOOKUP(AS$5,feed_intensity_w,11,FALSE)</f>
        <v>0</v>
      </c>
    </row>
    <row r="111" spans="1:45" ht="12.75" customHeight="1">
      <c r="A111" s="1008" t="s">
        <v>5500</v>
      </c>
      <c r="B111" s="1102">
        <v>1066</v>
      </c>
      <c r="C111" s="1103" t="s">
        <v>1268</v>
      </c>
      <c r="D111" s="1158"/>
      <c r="E111" s="1158"/>
      <c r="F111" s="1012">
        <f t="shared" si="33"/>
        <v>0</v>
      </c>
      <c r="G111" s="1012">
        <f t="shared" si="34"/>
        <v>0</v>
      </c>
      <c r="H111" s="933">
        <f t="shared" si="35"/>
        <v>26.671831106736008</v>
      </c>
      <c r="I111" s="1486">
        <f t="shared" si="36"/>
        <v>0</v>
      </c>
      <c r="J111" s="1006">
        <f>IFERROR(G111*VLOOKUP(W111,livestock_intensity!$B$7:$I$29,8,FALSE)/Z111,0)</f>
        <v>0</v>
      </c>
      <c r="K111" s="933">
        <f>VLOOKUP($W111,feed_mix_n,MATCH(K$5,feed_mix_w!$B$5:$AC$5,0),FALSE)/$Z111*VLOOKUP(K$5,feed_intensity_w,11,FALSE)</f>
        <v>2.2765671060208139</v>
      </c>
      <c r="L111" s="1486">
        <f t="shared" si="37"/>
        <v>0</v>
      </c>
      <c r="M111" s="1447">
        <f>IFERROR(G111*VLOOKUP(W111,livestock_intensity!$B$7:$M$29,12,FALSE)/Z111,0)</f>
        <v>0</v>
      </c>
      <c r="N111" s="933">
        <f>VLOOKUP($W111,feed_mix_n,MATCH(N$5,feed_mix_w!$B$5:$AC$5,0),FALSE)/$Z111*VLOOKUP(N$5,feed_intensity_w,11,FALSE)</f>
        <v>0</v>
      </c>
      <c r="O111" s="1486">
        <f t="shared" si="38"/>
        <v>0</v>
      </c>
      <c r="P111" s="939">
        <f>IFERROR(G111*VLOOKUP(W111,livestock_intensity!$B$7:$Q$29,16,FALSE)/Z111,0)</f>
        <v>0</v>
      </c>
      <c r="Q111" s="1530"/>
      <c r="R111" s="900">
        <f t="shared" si="39"/>
        <v>0</v>
      </c>
      <c r="S111" s="900">
        <f t="shared" si="40"/>
        <v>0</v>
      </c>
      <c r="T111" s="1483" t="s">
        <v>2862</v>
      </c>
      <c r="U111" s="1211" t="s">
        <v>2921</v>
      </c>
      <c r="V111" s="1212" t="str">
        <f>IFERROR(VLOOKUP(W111,constant_ag_extr!$D$7:$E$594,2,FALSE),"")</f>
        <v>Chickens</v>
      </c>
      <c r="W111" s="1213">
        <f t="shared" si="41"/>
        <v>1057</v>
      </c>
      <c r="X111" s="1099">
        <f>IFERROR(IF(VLOOKUP(B111,cnst_grazing!$C$10:$H$25,5,FALSE)="", IF(VLOOKUP(B111, cnst_grazing!$C$10:$H$25,3,FALSE)="", VLOOKUP(B111, cnst_grazing!$C$10:$H$25,4,FALSE),VLOOKUP(B111, cnst_grazing!$C$10:$H$25,3,FALSE)), VLOOKUP(B111,cnst_grazing!$C$10:$H$25,5,FALSE)),1)</f>
        <v>1</v>
      </c>
      <c r="Y111" s="1099">
        <f>IFERROR(IF(VLOOKUP(B111,cnst_grazing!$C$10:$H$25,6,FALSE)="", IF(VLOOKUP(B111, cnst_grazing!$C$10:$H$25,4,FALSE)="", VLOOKUP(B111, cnst_grazing!$C$10:$H$25,3,FALSE),VLOOKUP(B111, cnst_grazing!$C$10:$H$25,4,FALSE)), VLOOKUP(B111,cnst_grazing!$C$10:$H$25,6,FALSE)),1)</f>
        <v>1</v>
      </c>
      <c r="Z111" s="937">
        <f t="shared" si="42"/>
        <v>4.9977545088718801E-2</v>
      </c>
      <c r="AA111" s="1487">
        <f t="shared" si="43"/>
        <v>26.671831106736008</v>
      </c>
      <c r="AB111" s="933">
        <f>VLOOKUP($W111,feed_mix_n,MATCH(AB$5,feed_mix_w!$B$5:$AC$5,0),FALSE)/$Z111*VLOOKUP(AB$5,feed_intensity_w,11,FALSE)</f>
        <v>8.7559605117774861</v>
      </c>
      <c r="AC111" s="933">
        <f>VLOOKUP($W111,feed_mix_n,MATCH(AC$5,feed_mix_w!$B$5:$AC$5,0),FALSE)/$Z111*VLOOKUP(AC$5,feed_intensity_w,11,FALSE)</f>
        <v>0</v>
      </c>
      <c r="AD111" s="933">
        <f>VLOOKUP($W111,feed_mix_n,MATCH(AD$5,feed_mix_w!$B$5:$AC$5,0),FALSE)/$Z111*VLOOKUP(AD$5,feed_intensity_w,11,FALSE)</f>
        <v>7.531659001830076</v>
      </c>
      <c r="AE111" s="933">
        <f>VLOOKUP($W111,feed_mix_n,MATCH(AE$5,feed_mix_w!$B$5:$AC$5,0),FALSE)/$Z111*VLOOKUP(AE$5,feed_intensity_w,11,FALSE)</f>
        <v>0</v>
      </c>
      <c r="AF111" s="933">
        <f>VLOOKUP($W111,feed_mix_n,MATCH(AF$5,feed_mix_w!$B$5:$AC$5,0),FALSE)/$Z111*VLOOKUP(AF$5,feed_intensity_w,11,FALSE)</f>
        <v>0</v>
      </c>
      <c r="AG111" s="933">
        <f>VLOOKUP($W111,feed_mix_n,MATCH(AG$5,feed_mix_w!$B$5:$AC$5,0),FALSE)/$Z111*VLOOKUP(AG$5,feed_intensity_w,11,FALSE)</f>
        <v>0</v>
      </c>
      <c r="AH111" s="933">
        <f>VLOOKUP($W111,feed_mix_n,MATCH(AH$5,feed_mix_w!$B$5:$AC$5,0),FALSE)/$Z111*VLOOKUP(AH$5,feed_intensity_w,11,FALSE)</f>
        <v>7.6984892740265467</v>
      </c>
      <c r="AI111" s="933">
        <f>VLOOKUP($W111,feed_mix_n,MATCH(AI$5,feed_mix_w!$B$5:$AC$5,0),FALSE)/$Z111*VLOOKUP(AI$5,feed_intensity_w,11,FALSE)</f>
        <v>0</v>
      </c>
      <c r="AJ111" s="933">
        <f>VLOOKUP($W111,feed_mix_n,MATCH(AJ$5,feed_mix_w!$B$5:$AC$5,0),FALSE)/$Z111*VLOOKUP(AJ$5,feed_intensity_w,11,FALSE)</f>
        <v>0</v>
      </c>
      <c r="AK111" s="933">
        <f>VLOOKUP($W111,feed_mix_n,MATCH(AK$5,feed_mix_w!$B$5:$AC$5,0),FALSE)/$Z111*VLOOKUP(AK$5,feed_intensity_w,11,FALSE)</f>
        <v>0</v>
      </c>
      <c r="AL111" s="933">
        <f>VLOOKUP($W111,feed_mix_n,MATCH(AL$5,feed_mix_w!$B$5:$AC$5,0),FALSE)/$Z111*VLOOKUP(AL$5,feed_intensity_w,11,FALSE)</f>
        <v>0</v>
      </c>
      <c r="AM111" s="933">
        <f>VLOOKUP($W111,feed_mix_n,MATCH(AM$5,feed_mix_w!$B$5:$AC$5,0),FALSE)/$Z111*VLOOKUP(AM$5,feed_intensity_w,11,FALSE)</f>
        <v>0</v>
      </c>
      <c r="AN111" s="933">
        <f>VLOOKUP($W111,feed_mix_n,MATCH(AN$5,feed_mix_w!$B$5:$AC$5,0),FALSE)/$Z111*VLOOKUP(AN$5,feed_intensity_w,11,FALSE)</f>
        <v>0</v>
      </c>
      <c r="AO111" s="933">
        <f>VLOOKUP($W111,feed_mix_n,MATCH(AO$5,feed_mix_w!$B$5:$AC$5,0),FALSE)/$Z111*VLOOKUP(AO$5,feed_intensity_w,11,FALSE)</f>
        <v>0</v>
      </c>
      <c r="AP111" s="933">
        <f>VLOOKUP($W111,feed_mix_n,MATCH(AP$5,feed_mix_w!$B$5:$AC$5,0),FALSE)/$Z111*VLOOKUP(AP$5,feed_intensity_w,11,FALSE)</f>
        <v>0</v>
      </c>
      <c r="AQ111" s="933">
        <f>VLOOKUP($W111,feed_mix_n,MATCH(AQ$5,feed_mix_w!$B$5:$AC$5,0),FALSE)/$Z111*VLOOKUP(AQ$5,feed_intensity_w,11,FALSE)</f>
        <v>0</v>
      </c>
      <c r="AR111" s="933">
        <f>VLOOKUP($W111,feed_mix_n,MATCH(AR$5,feed_mix_w!$B$5:$AC$5,0),FALSE)/$Z111*VLOOKUP(AR$5,feed_intensity_w,11,FALSE)</f>
        <v>2.6857223191018984</v>
      </c>
      <c r="AS111" s="1105">
        <f>VLOOKUP($W111,feed_mix_n,MATCH(AS$5,feed_mix_w!$B$5:$AC$5,0),FALSE)/$Z111*VLOOKUP(AS$5,feed_intensity_w,11,FALSE)</f>
        <v>0</v>
      </c>
    </row>
    <row r="112" spans="1:45" ht="12.75" customHeight="1">
      <c r="A112" s="1008" t="s">
        <v>3200</v>
      </c>
      <c r="B112" s="1102">
        <v>1068</v>
      </c>
      <c r="C112" s="1103" t="s">
        <v>3201</v>
      </c>
      <c r="D112" s="1158">
        <v>822000</v>
      </c>
      <c r="E112" s="1158">
        <v>500000</v>
      </c>
      <c r="F112" s="1012">
        <f t="shared" si="33"/>
        <v>84.003452341917637</v>
      </c>
      <c r="G112" s="1012">
        <f t="shared" si="34"/>
        <v>39.147457329161753</v>
      </c>
      <c r="H112" s="933">
        <f t="shared" si="35"/>
        <v>2.5163564122877764</v>
      </c>
      <c r="I112" s="1486">
        <f t="shared" si="36"/>
        <v>211.38262595489508</v>
      </c>
      <c r="J112" s="1006">
        <f>IFERROR(G112*VLOOKUP(W112,livestock_intensity!$B$7:$I$29,8,FALSE)/Z112,0)</f>
        <v>72.442161522785767</v>
      </c>
      <c r="K112" s="933">
        <f>VLOOKUP($W112,feed_mix_n,MATCH(K$5,feed_mix_w!$B$5:$AC$5,0),FALSE)/$Z112*VLOOKUP(K$5,feed_intensity_w,11,FALSE)</f>
        <v>0.21478293756112313</v>
      </c>
      <c r="L112" s="1486">
        <f t="shared" si="37"/>
        <v>18.042508259272878</v>
      </c>
      <c r="M112" s="1447">
        <f>IFERROR(G112*VLOOKUP(W112,livestock_intensity!$B$7:$M$29,12,FALSE)/Z112,0)</f>
        <v>1.3675332388057893</v>
      </c>
      <c r="N112" s="933">
        <f>VLOOKUP($W112,feed_mix_n,MATCH(N$5,feed_mix_w!$B$5:$AC$5,0),FALSE)/$Z112*VLOOKUP(N$5,feed_intensity_w,11,FALSE)</f>
        <v>0</v>
      </c>
      <c r="O112" s="1486">
        <f t="shared" si="38"/>
        <v>0</v>
      </c>
      <c r="P112" s="939">
        <f>IFERROR(G112*VLOOKUP(W112,livestock_intensity!$B$7:$Q$29,16,FALSE)/Z112,0)</f>
        <v>0</v>
      </c>
      <c r="Q112" s="1530"/>
      <c r="R112" s="900">
        <f t="shared" si="39"/>
        <v>229.42513421416794</v>
      </c>
      <c r="S112" s="900">
        <f t="shared" si="40"/>
        <v>73.809694761591558</v>
      </c>
      <c r="T112" s="1483" t="s">
        <v>2862</v>
      </c>
      <c r="U112" s="1211" t="s">
        <v>415</v>
      </c>
      <c r="V112" s="1212" t="str">
        <f>IFERROR(VLOOKUP(W112,constant_ag_extr!$D$7:$E$594,2,FALSE),"")</f>
        <v>Ducks</v>
      </c>
      <c r="W112" s="1213">
        <f t="shared" si="41"/>
        <v>1068</v>
      </c>
      <c r="X112" s="1104">
        <f>IFERROR(IF(VLOOKUP(B112,cnst_grazing!$C$10:$H$25,5,FALSE)="", IF(VLOOKUP(B112, cnst_grazing!$C$10:$H$25,3,FALSE)="", VLOOKUP(B112, cnst_grazing!$C$10:$H$25,4,FALSE),VLOOKUP(B112, cnst_grazing!$C$10:$H$25,3,FALSE)), VLOOKUP(B112,cnst_grazing!$C$10:$H$25,5,FALSE)),1)</f>
        <v>1.0219398095123801E-4</v>
      </c>
      <c r="Y112" s="1104">
        <f>IFERROR(IF(VLOOKUP(B112,cnst_grazing!$C$10:$H$25,6,FALSE)="", IF(VLOOKUP(B112, cnst_grazing!$C$10:$H$25,4,FALSE)="", VLOOKUP(B112, cnst_grazing!$C$10:$H$25,3,FALSE),VLOOKUP(B112, cnst_grazing!$C$10:$H$25,4,FALSE)), VLOOKUP(B112,cnst_grazing!$C$10:$H$25,6,FALSE)),1)</f>
        <v>7.8294914658323507E-5</v>
      </c>
      <c r="Z112" s="937">
        <f t="shared" si="42"/>
        <v>1</v>
      </c>
      <c r="AA112" s="1487">
        <f t="shared" si="43"/>
        <v>2.5163564122877764</v>
      </c>
      <c r="AB112" s="933">
        <f>VLOOKUP($W112,feed_mix_n,MATCH(AB$5,feed_mix_w!$B$5:$AC$5,0),FALSE)/$Z112*VLOOKUP(AB$5,feed_intensity_w,11,FALSE)</f>
        <v>0.82608191733732705</v>
      </c>
      <c r="AC112" s="933">
        <f>VLOOKUP($W112,feed_mix_n,MATCH(AC$5,feed_mix_w!$B$5:$AC$5,0),FALSE)/$Z112*VLOOKUP(AC$5,feed_intensity_w,11,FALSE)</f>
        <v>0</v>
      </c>
      <c r="AD112" s="933">
        <f>VLOOKUP($W112,feed_mix_n,MATCH(AD$5,feed_mix_w!$B$5:$AC$5,0),FALSE)/$Z112*VLOOKUP(AD$5,feed_intensity_w,11,FALSE)</f>
        <v>0.71057507632588546</v>
      </c>
      <c r="AE112" s="933">
        <f>VLOOKUP($W112,feed_mix_n,MATCH(AE$5,feed_mix_w!$B$5:$AC$5,0),FALSE)/$Z112*VLOOKUP(AE$5,feed_intensity_w,11,FALSE)</f>
        <v>0</v>
      </c>
      <c r="AF112" s="933">
        <f>VLOOKUP($W112,feed_mix_n,MATCH(AF$5,feed_mix_w!$B$5:$AC$5,0),FALSE)/$Z112*VLOOKUP(AF$5,feed_intensity_w,11,FALSE)</f>
        <v>0</v>
      </c>
      <c r="AG112" s="933">
        <f>VLOOKUP($W112,feed_mix_n,MATCH(AG$5,feed_mix_w!$B$5:$AC$5,0),FALSE)/$Z112*VLOOKUP(AG$5,feed_intensity_w,11,FALSE)</f>
        <v>0</v>
      </c>
      <c r="AH112" s="933">
        <f>VLOOKUP($W112,feed_mix_n,MATCH(AH$5,feed_mix_w!$B$5:$AC$5,0),FALSE)/$Z112*VLOOKUP(AH$5,feed_intensity_w,11,FALSE)</f>
        <v>0.72631469403437054</v>
      </c>
      <c r="AI112" s="933">
        <f>VLOOKUP($W112,feed_mix_n,MATCH(AI$5,feed_mix_w!$B$5:$AC$5,0),FALSE)/$Z112*VLOOKUP(AI$5,feed_intensity_w,11,FALSE)</f>
        <v>0</v>
      </c>
      <c r="AJ112" s="933">
        <f>VLOOKUP($W112,feed_mix_n,MATCH(AJ$5,feed_mix_w!$B$5:$AC$5,0),FALSE)/$Z112*VLOOKUP(AJ$5,feed_intensity_w,11,FALSE)</f>
        <v>0</v>
      </c>
      <c r="AK112" s="933">
        <f>VLOOKUP($W112,feed_mix_n,MATCH(AK$5,feed_mix_w!$B$5:$AC$5,0),FALSE)/$Z112*VLOOKUP(AK$5,feed_intensity_w,11,FALSE)</f>
        <v>0</v>
      </c>
      <c r="AL112" s="933">
        <f>VLOOKUP($W112,feed_mix_n,MATCH(AL$5,feed_mix_w!$B$5:$AC$5,0),FALSE)/$Z112*VLOOKUP(AL$5,feed_intensity_w,11,FALSE)</f>
        <v>0</v>
      </c>
      <c r="AM112" s="933">
        <f>VLOOKUP($W112,feed_mix_n,MATCH(AM$5,feed_mix_w!$B$5:$AC$5,0),FALSE)/$Z112*VLOOKUP(AM$5,feed_intensity_w,11,FALSE)</f>
        <v>0</v>
      </c>
      <c r="AN112" s="933">
        <f>VLOOKUP($W112,feed_mix_n,MATCH(AN$5,feed_mix_w!$B$5:$AC$5,0),FALSE)/$Z112*VLOOKUP(AN$5,feed_intensity_w,11,FALSE)</f>
        <v>0</v>
      </c>
      <c r="AO112" s="933">
        <f>VLOOKUP($W112,feed_mix_n,MATCH(AO$5,feed_mix_w!$B$5:$AC$5,0),FALSE)/$Z112*VLOOKUP(AO$5,feed_intensity_w,11,FALSE)</f>
        <v>0</v>
      </c>
      <c r="AP112" s="933">
        <f>VLOOKUP($W112,feed_mix_n,MATCH(AP$5,feed_mix_w!$B$5:$AC$5,0),FALSE)/$Z112*VLOOKUP(AP$5,feed_intensity_w,11,FALSE)</f>
        <v>0</v>
      </c>
      <c r="AQ112" s="933">
        <f>VLOOKUP($W112,feed_mix_n,MATCH(AQ$5,feed_mix_w!$B$5:$AC$5,0),FALSE)/$Z112*VLOOKUP(AQ$5,feed_intensity_w,11,FALSE)</f>
        <v>0</v>
      </c>
      <c r="AR112" s="933">
        <f>VLOOKUP($W112,feed_mix_n,MATCH(AR$5,feed_mix_w!$B$5:$AC$5,0),FALSE)/$Z112*VLOOKUP(AR$5,feed_intensity_w,11,FALSE)</f>
        <v>0.25338472459019351</v>
      </c>
      <c r="AS112" s="1105">
        <f>VLOOKUP($W112,feed_mix_n,MATCH(AS$5,feed_mix_w!$B$5:$AC$5,0),FALSE)/$Z112*VLOOKUP(AS$5,feed_intensity_w,11,FALSE)</f>
        <v>0</v>
      </c>
    </row>
    <row r="113" spans="1:45" ht="12.75" customHeight="1">
      <c r="A113" s="1008" t="s">
        <v>7403</v>
      </c>
      <c r="B113" s="1102">
        <v>1069</v>
      </c>
      <c r="C113" s="1103" t="s">
        <v>4800</v>
      </c>
      <c r="D113" s="1158">
        <v>1700</v>
      </c>
      <c r="E113" s="1158">
        <v>5930</v>
      </c>
      <c r="F113" s="1012">
        <f t="shared" si="33"/>
        <v>1700</v>
      </c>
      <c r="G113" s="1012">
        <f t="shared" si="34"/>
        <v>5930</v>
      </c>
      <c r="H113" s="933">
        <f t="shared" si="35"/>
        <v>4.075955392905029</v>
      </c>
      <c r="I113" s="1486">
        <f t="shared" si="36"/>
        <v>6929.1241679385494</v>
      </c>
      <c r="J113" s="1006">
        <f>IFERROR(G113*VLOOKUP(W113,livestock_intensity!$B$7:$I$29,8,FALSE)/Z113,0)</f>
        <v>17774.598638080322</v>
      </c>
      <c r="K113" s="933">
        <f>VLOOKUP($W113,feed_mix_n,MATCH(K$5,feed_mix_w!$B$5:$AC$5,0),FALSE)/$Z113*VLOOKUP(K$5,feed_intensity_w,11,FALSE)</f>
        <v>0.34790209700871488</v>
      </c>
      <c r="L113" s="1486">
        <f t="shared" si="37"/>
        <v>591.43356491481529</v>
      </c>
      <c r="M113" s="1447">
        <f>IFERROR(G113*VLOOKUP(W113,livestock_intensity!$B$7:$M$29,12,FALSE)/Z113,0)</f>
        <v>335.54154007899643</v>
      </c>
      <c r="N113" s="933">
        <f>VLOOKUP($W113,feed_mix_n,MATCH(N$5,feed_mix_w!$B$5:$AC$5,0),FALSE)/$Z113*VLOOKUP(N$5,feed_intensity_w,11,FALSE)</f>
        <v>0</v>
      </c>
      <c r="O113" s="1486">
        <f t="shared" si="38"/>
        <v>0</v>
      </c>
      <c r="P113" s="939">
        <f>IFERROR(G113*VLOOKUP(W113,livestock_intensity!$B$7:$Q$29,16,FALSE)/Z113,0)</f>
        <v>0</v>
      </c>
      <c r="Q113" s="1530"/>
      <c r="R113" s="900">
        <f t="shared" si="39"/>
        <v>7520.5577328533645</v>
      </c>
      <c r="S113" s="900">
        <f t="shared" si="40"/>
        <v>18110.140178159319</v>
      </c>
      <c r="T113" s="1483">
        <v>2734</v>
      </c>
      <c r="U113" s="1211" t="s">
        <v>2921</v>
      </c>
      <c r="V113" s="1212" t="str">
        <f>IFERROR(VLOOKUP(W113,constant_ag_extr!$D$7:$E$594,2,FALSE),"")</f>
        <v>Ducks</v>
      </c>
      <c r="W113" s="1213">
        <f t="shared" si="41"/>
        <v>1068</v>
      </c>
      <c r="X113" s="1099">
        <f>IFERROR(IF(VLOOKUP(B113,cnst_grazing!$C$10:$H$25,5,FALSE)="", IF(VLOOKUP(B113, cnst_grazing!$C$10:$H$25,3,FALSE)="", VLOOKUP(B113, cnst_grazing!$C$10:$H$25,4,FALSE),VLOOKUP(B113, cnst_grazing!$C$10:$H$25,3,FALSE)), VLOOKUP(B113,cnst_grazing!$C$10:$H$25,5,FALSE)),1)</f>
        <v>1</v>
      </c>
      <c r="Y113" s="1099">
        <f>IFERROR(IF(VLOOKUP(B113,cnst_grazing!$C$10:$H$25,6,FALSE)="", IF(VLOOKUP(B113, cnst_grazing!$C$10:$H$25,4,FALSE)="", VLOOKUP(B113, cnst_grazing!$C$10:$H$25,3,FALSE),VLOOKUP(B113, cnst_grazing!$C$10:$H$25,4,FALSE)), VLOOKUP(B113,cnst_grazing!$C$10:$H$25,6,FALSE)),1)</f>
        <v>1</v>
      </c>
      <c r="Z113" s="937">
        <f t="shared" si="42"/>
        <v>0.61736603316806926</v>
      </c>
      <c r="AA113" s="1487">
        <f t="shared" si="43"/>
        <v>4.075955392905029</v>
      </c>
      <c r="AB113" s="933">
        <f>VLOOKUP($W113,feed_mix_n,MATCH(AB$5,feed_mix_w!$B$5:$AC$5,0),FALSE)/$Z113*VLOOKUP(AB$5,feed_intensity_w,11,FALSE)</f>
        <v>1.3380747772892745</v>
      </c>
      <c r="AC113" s="933">
        <f>VLOOKUP($W113,feed_mix_n,MATCH(AC$5,feed_mix_w!$B$5:$AC$5,0),FALSE)/$Z113*VLOOKUP(AC$5,feed_intensity_w,11,FALSE)</f>
        <v>0</v>
      </c>
      <c r="AD113" s="933">
        <f>VLOOKUP($W113,feed_mix_n,MATCH(AD$5,feed_mix_w!$B$5:$AC$5,0),FALSE)/$Z113*VLOOKUP(AD$5,feed_intensity_w,11,FALSE)</f>
        <v>1.1509785737312201</v>
      </c>
      <c r="AE113" s="933">
        <f>VLOOKUP($W113,feed_mix_n,MATCH(AE$5,feed_mix_w!$B$5:$AC$5,0),FALSE)/$Z113*VLOOKUP(AE$5,feed_intensity_w,11,FALSE)</f>
        <v>0</v>
      </c>
      <c r="AF113" s="933">
        <f>VLOOKUP($W113,feed_mix_n,MATCH(AF$5,feed_mix_w!$B$5:$AC$5,0),FALSE)/$Z113*VLOOKUP(AF$5,feed_intensity_w,11,FALSE)</f>
        <v>0</v>
      </c>
      <c r="AG113" s="933">
        <f>VLOOKUP($W113,feed_mix_n,MATCH(AG$5,feed_mix_w!$B$5:$AC$5,0),FALSE)/$Z113*VLOOKUP(AG$5,feed_intensity_w,11,FALSE)</f>
        <v>0</v>
      </c>
      <c r="AH113" s="933">
        <f>VLOOKUP($W113,feed_mix_n,MATCH(AH$5,feed_mix_w!$B$5:$AC$5,0),FALSE)/$Z113*VLOOKUP(AH$5,feed_intensity_w,11,FALSE)</f>
        <v>1.1764733642815128</v>
      </c>
      <c r="AI113" s="933">
        <f>VLOOKUP($W113,feed_mix_n,MATCH(AI$5,feed_mix_w!$B$5:$AC$5,0),FALSE)/$Z113*VLOOKUP(AI$5,feed_intensity_w,11,FALSE)</f>
        <v>0</v>
      </c>
      <c r="AJ113" s="933">
        <f>VLOOKUP($W113,feed_mix_n,MATCH(AJ$5,feed_mix_w!$B$5:$AC$5,0),FALSE)/$Z113*VLOOKUP(AJ$5,feed_intensity_w,11,FALSE)</f>
        <v>0</v>
      </c>
      <c r="AK113" s="933">
        <f>VLOOKUP($W113,feed_mix_n,MATCH(AK$5,feed_mix_w!$B$5:$AC$5,0),FALSE)/$Z113*VLOOKUP(AK$5,feed_intensity_w,11,FALSE)</f>
        <v>0</v>
      </c>
      <c r="AL113" s="933">
        <f>VLOOKUP($W113,feed_mix_n,MATCH(AL$5,feed_mix_w!$B$5:$AC$5,0),FALSE)/$Z113*VLOOKUP(AL$5,feed_intensity_w,11,FALSE)</f>
        <v>0</v>
      </c>
      <c r="AM113" s="933">
        <f>VLOOKUP($W113,feed_mix_n,MATCH(AM$5,feed_mix_w!$B$5:$AC$5,0),FALSE)/$Z113*VLOOKUP(AM$5,feed_intensity_w,11,FALSE)</f>
        <v>0</v>
      </c>
      <c r="AN113" s="933">
        <f>VLOOKUP($W113,feed_mix_n,MATCH(AN$5,feed_mix_w!$B$5:$AC$5,0),FALSE)/$Z113*VLOOKUP(AN$5,feed_intensity_w,11,FALSE)</f>
        <v>0</v>
      </c>
      <c r="AO113" s="933">
        <f>VLOOKUP($W113,feed_mix_n,MATCH(AO$5,feed_mix_w!$B$5:$AC$5,0),FALSE)/$Z113*VLOOKUP(AO$5,feed_intensity_w,11,FALSE)</f>
        <v>0</v>
      </c>
      <c r="AP113" s="933">
        <f>VLOOKUP($W113,feed_mix_n,MATCH(AP$5,feed_mix_w!$B$5:$AC$5,0),FALSE)/$Z113*VLOOKUP(AP$5,feed_intensity_w,11,FALSE)</f>
        <v>0</v>
      </c>
      <c r="AQ113" s="933">
        <f>VLOOKUP($W113,feed_mix_n,MATCH(AQ$5,feed_mix_w!$B$5:$AC$5,0),FALSE)/$Z113*VLOOKUP(AQ$5,feed_intensity_w,11,FALSE)</f>
        <v>0</v>
      </c>
      <c r="AR113" s="933">
        <f>VLOOKUP($W113,feed_mix_n,MATCH(AR$5,feed_mix_w!$B$5:$AC$5,0),FALSE)/$Z113*VLOOKUP(AR$5,feed_intensity_w,11,FALSE)</f>
        <v>0.4104286776030211</v>
      </c>
      <c r="AS113" s="1105">
        <f>VLOOKUP($W113,feed_mix_n,MATCH(AS$5,feed_mix_w!$B$5:$AC$5,0),FALSE)/$Z113*VLOOKUP(AS$5,feed_intensity_w,11,FALSE)</f>
        <v>0</v>
      </c>
    </row>
    <row r="114" spans="1:45" ht="12.75" customHeight="1">
      <c r="A114" s="1008" t="s">
        <v>3759</v>
      </c>
      <c r="B114" s="1102">
        <v>1072</v>
      </c>
      <c r="C114" s="1103" t="s">
        <v>3760</v>
      </c>
      <c r="D114" s="1158"/>
      <c r="E114" s="1158"/>
      <c r="F114" s="1012">
        <f t="shared" si="33"/>
        <v>0</v>
      </c>
      <c r="G114" s="1012">
        <f t="shared" si="34"/>
        <v>0</v>
      </c>
      <c r="H114" s="933">
        <f t="shared" si="35"/>
        <v>1.0341346128364648</v>
      </c>
      <c r="I114" s="1486">
        <f t="shared" si="36"/>
        <v>0</v>
      </c>
      <c r="J114" s="1006">
        <f>IFERROR(G114*VLOOKUP(W114,livestock_intensity!$B$7:$I$29,8,FALSE)/Z114,0)</f>
        <v>0</v>
      </c>
      <c r="K114" s="933">
        <f>VLOOKUP($W114,feed_mix_n,MATCH(K$5,feed_mix_w!$B$5:$AC$5,0),FALSE)/$Z114*VLOOKUP(K$5,feed_intensity_w,11,FALSE)</f>
        <v>8.8268286993857345E-2</v>
      </c>
      <c r="L114" s="1486">
        <f t="shared" si="37"/>
        <v>0</v>
      </c>
      <c r="M114" s="1447">
        <f>IFERROR(G114*VLOOKUP(W114,livestock_intensity!$B$7:$M$29,12,FALSE)/Z114,0)</f>
        <v>0</v>
      </c>
      <c r="N114" s="933">
        <f>VLOOKUP($W114,feed_mix_n,MATCH(N$5,feed_mix_w!$B$5:$AC$5,0),FALSE)/$Z114*VLOOKUP(N$5,feed_intensity_w,11,FALSE)</f>
        <v>0</v>
      </c>
      <c r="O114" s="1486">
        <f t="shared" si="38"/>
        <v>0</v>
      </c>
      <c r="P114" s="939">
        <f>IFERROR(G114*VLOOKUP(W114,livestock_intensity!$B$7:$Q$29,16,FALSE)/Z114,0)</f>
        <v>0</v>
      </c>
      <c r="Q114" s="1530"/>
      <c r="R114" s="900">
        <f t="shared" si="39"/>
        <v>0</v>
      </c>
      <c r="S114" s="900">
        <f t="shared" si="40"/>
        <v>0</v>
      </c>
      <c r="T114" s="1483" t="s">
        <v>2862</v>
      </c>
      <c r="U114" s="1211" t="s">
        <v>415</v>
      </c>
      <c r="V114" s="1212" t="str">
        <f>IFERROR(VLOOKUP(W114,constant_ag_extr!$D$7:$E$594,2,FALSE),"")</f>
        <v>Geese and Guinea Fowls</v>
      </c>
      <c r="W114" s="1213">
        <f t="shared" si="41"/>
        <v>1072</v>
      </c>
      <c r="X114" s="1099">
        <f>IFERROR(IF(VLOOKUP(B114,cnst_grazing!$C$10:$H$25,5,FALSE)="", IF(VLOOKUP(B114, cnst_grazing!$C$10:$H$25,3,FALSE)="", VLOOKUP(B114, cnst_grazing!$C$10:$H$25,4,FALSE),VLOOKUP(B114, cnst_grazing!$C$10:$H$25,3,FALSE)), VLOOKUP(B114,cnst_grazing!$C$10:$H$25,5,FALSE)),1)</f>
        <v>3.9471997879445553E-3</v>
      </c>
      <c r="Y114" s="1099">
        <f>IFERROR(IF(VLOOKUP(B114,cnst_grazing!$C$10:$H$25,6,FALSE)="", IF(VLOOKUP(B114, cnst_grazing!$C$10:$H$25,4,FALSE)="", VLOOKUP(B114, cnst_grazing!$C$10:$H$25,3,FALSE),VLOOKUP(B114, cnst_grazing!$C$10:$H$25,4,FALSE)), VLOOKUP(B114,cnst_grazing!$C$10:$H$25,6,FALSE)),1)</f>
        <v>3.9471997879445553E-3</v>
      </c>
      <c r="Z114" s="937">
        <f t="shared" si="42"/>
        <v>1</v>
      </c>
      <c r="AA114" s="1487">
        <f t="shared" si="43"/>
        <v>1.0341346128364648</v>
      </c>
      <c r="AB114" s="933">
        <f>VLOOKUP($W114,feed_mix_n,MATCH(AB$5,feed_mix_w!$B$5:$AC$5,0),FALSE)/$Z114*VLOOKUP(AB$5,feed_intensity_w,11,FALSE)</f>
        <v>0.33949082076976606</v>
      </c>
      <c r="AC114" s="933">
        <f>VLOOKUP($W114,feed_mix_n,MATCH(AC$5,feed_mix_w!$B$5:$AC$5,0),FALSE)/$Z114*VLOOKUP(AC$5,feed_intensity_w,11,FALSE)</f>
        <v>0</v>
      </c>
      <c r="AD114" s="933">
        <f>VLOOKUP($W114,feed_mix_n,MATCH(AD$5,feed_mix_w!$B$5:$AC$5,0),FALSE)/$Z114*VLOOKUP(AD$5,feed_intensity_w,11,FALSE)</f>
        <v>0.29202154267941366</v>
      </c>
      <c r="AE114" s="933">
        <f>VLOOKUP($W114,feed_mix_n,MATCH(AE$5,feed_mix_w!$B$5:$AC$5,0),FALSE)/$Z114*VLOOKUP(AE$5,feed_intensity_w,11,FALSE)</f>
        <v>0</v>
      </c>
      <c r="AF114" s="933">
        <f>VLOOKUP($W114,feed_mix_n,MATCH(AF$5,feed_mix_w!$B$5:$AC$5,0),FALSE)/$Z114*VLOOKUP(AF$5,feed_intensity_w,11,FALSE)</f>
        <v>0</v>
      </c>
      <c r="AG114" s="933">
        <f>VLOOKUP($W114,feed_mix_n,MATCH(AG$5,feed_mix_w!$B$5:$AC$5,0),FALSE)/$Z114*VLOOKUP(AG$5,feed_intensity_w,11,FALSE)</f>
        <v>0</v>
      </c>
      <c r="AH114" s="933">
        <f>VLOOKUP($W114,feed_mix_n,MATCH(AH$5,feed_mix_w!$B$5:$AC$5,0),FALSE)/$Z114*VLOOKUP(AH$5,feed_intensity_w,11,FALSE)</f>
        <v>0.29848997592109405</v>
      </c>
      <c r="AI114" s="933">
        <f>VLOOKUP($W114,feed_mix_n,MATCH(AI$5,feed_mix_w!$B$5:$AC$5,0),FALSE)/$Z114*VLOOKUP(AI$5,feed_intensity_w,11,FALSE)</f>
        <v>0</v>
      </c>
      <c r="AJ114" s="933">
        <f>VLOOKUP($W114,feed_mix_n,MATCH(AJ$5,feed_mix_w!$B$5:$AC$5,0),FALSE)/$Z114*VLOOKUP(AJ$5,feed_intensity_w,11,FALSE)</f>
        <v>0</v>
      </c>
      <c r="AK114" s="933">
        <f>VLOOKUP($W114,feed_mix_n,MATCH(AK$5,feed_mix_w!$B$5:$AC$5,0),FALSE)/$Z114*VLOOKUP(AK$5,feed_intensity_w,11,FALSE)</f>
        <v>0</v>
      </c>
      <c r="AL114" s="933">
        <f>VLOOKUP($W114,feed_mix_n,MATCH(AL$5,feed_mix_w!$B$5:$AC$5,0),FALSE)/$Z114*VLOOKUP(AL$5,feed_intensity_w,11,FALSE)</f>
        <v>0</v>
      </c>
      <c r="AM114" s="933">
        <f>VLOOKUP($W114,feed_mix_n,MATCH(AM$5,feed_mix_w!$B$5:$AC$5,0),FALSE)/$Z114*VLOOKUP(AM$5,feed_intensity_w,11,FALSE)</f>
        <v>0</v>
      </c>
      <c r="AN114" s="933">
        <f>VLOOKUP($W114,feed_mix_n,MATCH(AN$5,feed_mix_w!$B$5:$AC$5,0),FALSE)/$Z114*VLOOKUP(AN$5,feed_intensity_w,11,FALSE)</f>
        <v>0</v>
      </c>
      <c r="AO114" s="933">
        <f>VLOOKUP($W114,feed_mix_n,MATCH(AO$5,feed_mix_w!$B$5:$AC$5,0),FALSE)/$Z114*VLOOKUP(AO$5,feed_intensity_w,11,FALSE)</f>
        <v>0</v>
      </c>
      <c r="AP114" s="933">
        <f>VLOOKUP($W114,feed_mix_n,MATCH(AP$5,feed_mix_w!$B$5:$AC$5,0),FALSE)/$Z114*VLOOKUP(AP$5,feed_intensity_w,11,FALSE)</f>
        <v>0</v>
      </c>
      <c r="AQ114" s="933">
        <f>VLOOKUP($W114,feed_mix_n,MATCH(AQ$5,feed_mix_w!$B$5:$AC$5,0),FALSE)/$Z114*VLOOKUP(AQ$5,feed_intensity_w,11,FALSE)</f>
        <v>0</v>
      </c>
      <c r="AR114" s="933">
        <f>VLOOKUP($W114,feed_mix_n,MATCH(AR$5,feed_mix_w!$B$5:$AC$5,0),FALSE)/$Z114*VLOOKUP(AR$5,feed_intensity_w,11,FALSE)</f>
        <v>0.10413227346619101</v>
      </c>
      <c r="AS114" s="1105">
        <f>VLOOKUP($W114,feed_mix_n,MATCH(AS$5,feed_mix_w!$B$5:$AC$5,0),FALSE)/$Z114*VLOOKUP(AS$5,feed_intensity_w,11,FALSE)</f>
        <v>0</v>
      </c>
    </row>
    <row r="115" spans="1:45" ht="12.75" customHeight="1">
      <c r="A115" s="1008" t="s">
        <v>7404</v>
      </c>
      <c r="B115" s="1102">
        <v>1073</v>
      </c>
      <c r="C115" s="1103" t="s">
        <v>5189</v>
      </c>
      <c r="D115" s="1158"/>
      <c r="E115" s="1158">
        <v>92</v>
      </c>
      <c r="F115" s="1012">
        <f t="shared" si="33"/>
        <v>0</v>
      </c>
      <c r="G115" s="1012">
        <f t="shared" si="34"/>
        <v>92</v>
      </c>
      <c r="H115" s="933">
        <f t="shared" si="35"/>
        <v>0.93116222430174822</v>
      </c>
      <c r="I115" s="1486">
        <f t="shared" si="36"/>
        <v>0</v>
      </c>
      <c r="J115" s="1006">
        <f>IFERROR(G115*VLOOKUP(W115,livestock_intensity!$B$7:$I$29,8,FALSE)/Z115,0)</f>
        <v>0</v>
      </c>
      <c r="K115" s="933">
        <f>VLOOKUP($W115,feed_mix_n,MATCH(K$5,feed_mix_w!$B$5:$AC$5,0),FALSE)/$Z115*VLOOKUP(K$5,feed_intensity_w,11,FALSE)</f>
        <v>7.9479105942567366E-2</v>
      </c>
      <c r="L115" s="1486">
        <f t="shared" si="37"/>
        <v>0</v>
      </c>
      <c r="M115" s="1447">
        <f>IFERROR(G115*VLOOKUP(W115,livestock_intensity!$B$7:$M$29,12,FALSE)/Z115,0)</f>
        <v>0</v>
      </c>
      <c r="N115" s="933">
        <f>VLOOKUP($W115,feed_mix_n,MATCH(N$5,feed_mix_w!$B$5:$AC$5,0),FALSE)/$Z115*VLOOKUP(N$5,feed_intensity_w,11,FALSE)</f>
        <v>0</v>
      </c>
      <c r="O115" s="1486">
        <f t="shared" si="38"/>
        <v>0</v>
      </c>
      <c r="P115" s="939">
        <f>IFERROR(G115*VLOOKUP(W115,livestock_intensity!$B$7:$Q$29,16,FALSE)/Z115,0)</f>
        <v>0</v>
      </c>
      <c r="Q115" s="1530"/>
      <c r="R115" s="900">
        <f t="shared" si="39"/>
        <v>0</v>
      </c>
      <c r="S115" s="900">
        <f t="shared" si="40"/>
        <v>0</v>
      </c>
      <c r="T115" s="1483">
        <v>2734</v>
      </c>
      <c r="U115" s="1211" t="s">
        <v>2921</v>
      </c>
      <c r="V115" s="1212" t="str">
        <f>IFERROR(VLOOKUP(W115,constant_ag_extr!$D$7:$E$594,2,FALSE),"")</f>
        <v>Geese and Guinea Fowls</v>
      </c>
      <c r="W115" s="1213">
        <f t="shared" si="41"/>
        <v>1072</v>
      </c>
      <c r="X115" s="1099">
        <f>IFERROR(IF(VLOOKUP(B115,cnst_grazing!$C$10:$H$25,5,FALSE)="", IF(VLOOKUP(B115, cnst_grazing!$C$10:$H$25,3,FALSE)="", VLOOKUP(B115, cnst_grazing!$C$10:$H$25,4,FALSE),VLOOKUP(B115, cnst_grazing!$C$10:$H$25,3,FALSE)), VLOOKUP(B115,cnst_grazing!$C$10:$H$25,5,FALSE)),1)</f>
        <v>1</v>
      </c>
      <c r="Y115" s="1099">
        <f>IFERROR(IF(VLOOKUP(B115,cnst_grazing!$C$10:$H$25,6,FALSE)="", IF(VLOOKUP(B115, cnst_grazing!$C$10:$H$25,4,FALSE)="", VLOOKUP(B115, cnst_grazing!$C$10:$H$25,3,FALSE),VLOOKUP(B115, cnst_grazing!$C$10:$H$25,4,FALSE)), VLOOKUP(B115,cnst_grazing!$C$10:$H$25,6,FALSE)),1)</f>
        <v>1</v>
      </c>
      <c r="Z115" s="937">
        <f t="shared" si="42"/>
        <v>1.1105848002070022</v>
      </c>
      <c r="AA115" s="1487">
        <f t="shared" si="43"/>
        <v>0.93116222430174822</v>
      </c>
      <c r="AB115" s="933">
        <f>VLOOKUP($W115,feed_mix_n,MATCH(AB$5,feed_mix_w!$B$5:$AC$5,0),FALSE)/$Z115*VLOOKUP(AB$5,feed_intensity_w,11,FALSE)</f>
        <v>0.30568653623432296</v>
      </c>
      <c r="AC115" s="933">
        <f>VLOOKUP($W115,feed_mix_n,MATCH(AC$5,feed_mix_w!$B$5:$AC$5,0),FALSE)/$Z115*VLOOKUP(AC$5,feed_intensity_w,11,FALSE)</f>
        <v>0</v>
      </c>
      <c r="AD115" s="933">
        <f>VLOOKUP($W115,feed_mix_n,MATCH(AD$5,feed_mix_w!$B$5:$AC$5,0),FALSE)/$Z115*VLOOKUP(AD$5,feed_intensity_w,11,FALSE)</f>
        <v>0.2629439396478177</v>
      </c>
      <c r="AE115" s="933">
        <f>VLOOKUP($W115,feed_mix_n,MATCH(AE$5,feed_mix_w!$B$5:$AC$5,0),FALSE)/$Z115*VLOOKUP(AE$5,feed_intensity_w,11,FALSE)</f>
        <v>0</v>
      </c>
      <c r="AF115" s="933">
        <f>VLOOKUP($W115,feed_mix_n,MATCH(AF$5,feed_mix_w!$B$5:$AC$5,0),FALSE)/$Z115*VLOOKUP(AF$5,feed_intensity_w,11,FALSE)</f>
        <v>0</v>
      </c>
      <c r="AG115" s="933">
        <f>VLOOKUP($W115,feed_mix_n,MATCH(AG$5,feed_mix_w!$B$5:$AC$5,0),FALSE)/$Z115*VLOOKUP(AG$5,feed_intensity_w,11,FALSE)</f>
        <v>0</v>
      </c>
      <c r="AH115" s="933">
        <f>VLOOKUP($W115,feed_mix_n,MATCH(AH$5,feed_mix_w!$B$5:$AC$5,0),FALSE)/$Z115*VLOOKUP(AH$5,feed_intensity_w,11,FALSE)</f>
        <v>0.26876828844178169</v>
      </c>
      <c r="AI115" s="933">
        <f>VLOOKUP($W115,feed_mix_n,MATCH(AI$5,feed_mix_w!$B$5:$AC$5,0),FALSE)/$Z115*VLOOKUP(AI$5,feed_intensity_w,11,FALSE)</f>
        <v>0</v>
      </c>
      <c r="AJ115" s="933">
        <f>VLOOKUP($W115,feed_mix_n,MATCH(AJ$5,feed_mix_w!$B$5:$AC$5,0),FALSE)/$Z115*VLOOKUP(AJ$5,feed_intensity_w,11,FALSE)</f>
        <v>0</v>
      </c>
      <c r="AK115" s="933">
        <f>VLOOKUP($W115,feed_mix_n,MATCH(AK$5,feed_mix_w!$B$5:$AC$5,0),FALSE)/$Z115*VLOOKUP(AK$5,feed_intensity_w,11,FALSE)</f>
        <v>0</v>
      </c>
      <c r="AL115" s="933">
        <f>VLOOKUP($W115,feed_mix_n,MATCH(AL$5,feed_mix_w!$B$5:$AC$5,0),FALSE)/$Z115*VLOOKUP(AL$5,feed_intensity_w,11,FALSE)</f>
        <v>0</v>
      </c>
      <c r="AM115" s="933">
        <f>VLOOKUP($W115,feed_mix_n,MATCH(AM$5,feed_mix_w!$B$5:$AC$5,0),FALSE)/$Z115*VLOOKUP(AM$5,feed_intensity_w,11,FALSE)</f>
        <v>0</v>
      </c>
      <c r="AN115" s="933">
        <f>VLOOKUP($W115,feed_mix_n,MATCH(AN$5,feed_mix_w!$B$5:$AC$5,0),FALSE)/$Z115*VLOOKUP(AN$5,feed_intensity_w,11,FALSE)</f>
        <v>0</v>
      </c>
      <c r="AO115" s="933">
        <f>VLOOKUP($W115,feed_mix_n,MATCH(AO$5,feed_mix_w!$B$5:$AC$5,0),FALSE)/$Z115*VLOOKUP(AO$5,feed_intensity_w,11,FALSE)</f>
        <v>0</v>
      </c>
      <c r="AP115" s="933">
        <f>VLOOKUP($W115,feed_mix_n,MATCH(AP$5,feed_mix_w!$B$5:$AC$5,0),FALSE)/$Z115*VLOOKUP(AP$5,feed_intensity_w,11,FALSE)</f>
        <v>0</v>
      </c>
      <c r="AQ115" s="933">
        <f>VLOOKUP($W115,feed_mix_n,MATCH(AQ$5,feed_mix_w!$B$5:$AC$5,0),FALSE)/$Z115*VLOOKUP(AQ$5,feed_intensity_w,11,FALSE)</f>
        <v>0</v>
      </c>
      <c r="AR115" s="933">
        <f>VLOOKUP($W115,feed_mix_n,MATCH(AR$5,feed_mix_w!$B$5:$AC$5,0),FALSE)/$Z115*VLOOKUP(AR$5,feed_intensity_w,11,FALSE)</f>
        <v>9.3763459977825897E-2</v>
      </c>
      <c r="AS115" s="1105">
        <f>VLOOKUP($W115,feed_mix_n,MATCH(AS$5,feed_mix_w!$B$5:$AC$5,0),FALSE)/$Z115*VLOOKUP(AS$5,feed_intensity_w,11,FALSE)</f>
        <v>0</v>
      </c>
    </row>
    <row r="116" spans="1:45" ht="12.75" customHeight="1">
      <c r="A116" s="1008" t="s">
        <v>7405</v>
      </c>
      <c r="B116" s="1102">
        <v>1074</v>
      </c>
      <c r="C116" s="1103" t="s">
        <v>685</v>
      </c>
      <c r="D116" s="1158">
        <v>0</v>
      </c>
      <c r="E116" s="1158">
        <v>207</v>
      </c>
      <c r="F116" s="1012">
        <f t="shared" si="33"/>
        <v>0</v>
      </c>
      <c r="G116" s="1012">
        <f t="shared" si="34"/>
        <v>207</v>
      </c>
      <c r="H116" s="933">
        <f t="shared" si="35"/>
        <v>2.7989321115204868</v>
      </c>
      <c r="I116" s="1486">
        <f t="shared" si="36"/>
        <v>0</v>
      </c>
      <c r="J116" s="1006">
        <f>IFERROR(G116*VLOOKUP(W116,livestock_intensity!$B$7:$I$29,8,FALSE)/Z116,0)</f>
        <v>0</v>
      </c>
      <c r="K116" s="933">
        <f>VLOOKUP($W116,feed_mix_n,MATCH(K$5,feed_mix_w!$B$5:$AC$5,0),FALSE)/$Z116*VLOOKUP(K$5,feed_intensity_w,11,FALSE)</f>
        <v>0.23890211180377768</v>
      </c>
      <c r="L116" s="1486">
        <f t="shared" si="37"/>
        <v>0</v>
      </c>
      <c r="M116" s="1447">
        <f>IFERROR(G116*VLOOKUP(W116,livestock_intensity!$B$7:$M$29,12,FALSE)/Z116,0)</f>
        <v>0</v>
      </c>
      <c r="N116" s="933">
        <f>VLOOKUP($W116,feed_mix_n,MATCH(N$5,feed_mix_w!$B$5:$AC$5,0),FALSE)/$Z116*VLOOKUP(N$5,feed_intensity_w,11,FALSE)</f>
        <v>0</v>
      </c>
      <c r="O116" s="1486">
        <f t="shared" si="38"/>
        <v>0</v>
      </c>
      <c r="P116" s="939">
        <f>IFERROR(G116*VLOOKUP(W116,livestock_intensity!$B$7:$Q$29,16,FALSE)/Z116,0)</f>
        <v>0</v>
      </c>
      <c r="Q116" s="1530"/>
      <c r="R116" s="900">
        <f t="shared" si="39"/>
        <v>0</v>
      </c>
      <c r="S116" s="900">
        <f t="shared" si="40"/>
        <v>0</v>
      </c>
      <c r="T116" s="1483">
        <v>2736</v>
      </c>
      <c r="U116" s="1211" t="s">
        <v>2921</v>
      </c>
      <c r="V116" s="1212" t="str">
        <f>IFERROR(VLOOKUP(W116,constant_ag_extr!$D$7:$E$594,2,FALSE),"")</f>
        <v>Geese and Guinea Fowls</v>
      </c>
      <c r="W116" s="1213">
        <f t="shared" si="41"/>
        <v>1072</v>
      </c>
      <c r="X116" s="1099">
        <f>IFERROR(IF(VLOOKUP(B116,cnst_grazing!$C$10:$H$25,5,FALSE)="", IF(VLOOKUP(B116, cnst_grazing!$C$10:$H$25,3,FALSE)="", VLOOKUP(B116, cnst_grazing!$C$10:$H$25,4,FALSE),VLOOKUP(B116, cnst_grazing!$C$10:$H$25,3,FALSE)), VLOOKUP(B116,cnst_grazing!$C$10:$H$25,5,FALSE)),1)</f>
        <v>1</v>
      </c>
      <c r="Y116" s="1099">
        <f>IFERROR(IF(VLOOKUP(B116,cnst_grazing!$C$10:$H$25,6,FALSE)="", IF(VLOOKUP(B116, cnst_grazing!$C$10:$H$25,4,FALSE)="", VLOOKUP(B116, cnst_grazing!$C$10:$H$25,3,FALSE),VLOOKUP(B116, cnst_grazing!$C$10:$H$25,4,FALSE)), VLOOKUP(B116,cnst_grazing!$C$10:$H$25,6,FALSE)),1)</f>
        <v>1</v>
      </c>
      <c r="Z116" s="937">
        <f t="shared" si="42"/>
        <v>0.36947470379146974</v>
      </c>
      <c r="AA116" s="1487">
        <f t="shared" si="43"/>
        <v>2.7989321115204868</v>
      </c>
      <c r="AB116" s="933">
        <f>VLOOKUP($W116,feed_mix_n,MATCH(AB$5,feed_mix_w!$B$5:$AC$5,0),FALSE)/$Z116*VLOOKUP(AB$5,feed_intensity_w,11,FALSE)</f>
        <v>0.91884726419964469</v>
      </c>
      <c r="AC116" s="933">
        <f>VLOOKUP($W116,feed_mix_n,MATCH(AC$5,feed_mix_w!$B$5:$AC$5,0),FALSE)/$Z116*VLOOKUP(AC$5,feed_intensity_w,11,FALSE)</f>
        <v>0</v>
      </c>
      <c r="AD116" s="933">
        <f>VLOOKUP($W116,feed_mix_n,MATCH(AD$5,feed_mix_w!$B$5:$AC$5,0),FALSE)/$Z116*VLOOKUP(AD$5,feed_intensity_w,11,FALSE)</f>
        <v>0.79036951564681301</v>
      </c>
      <c r="AE116" s="933">
        <f>VLOOKUP($W116,feed_mix_n,MATCH(AE$5,feed_mix_w!$B$5:$AC$5,0),FALSE)/$Z116*VLOOKUP(AE$5,feed_intensity_w,11,FALSE)</f>
        <v>0</v>
      </c>
      <c r="AF116" s="933">
        <f>VLOOKUP($W116,feed_mix_n,MATCH(AF$5,feed_mix_w!$B$5:$AC$5,0),FALSE)/$Z116*VLOOKUP(AF$5,feed_intensity_w,11,FALSE)</f>
        <v>0</v>
      </c>
      <c r="AG116" s="933">
        <f>VLOOKUP($W116,feed_mix_n,MATCH(AG$5,feed_mix_w!$B$5:$AC$5,0),FALSE)/$Z116*VLOOKUP(AG$5,feed_intensity_w,11,FALSE)</f>
        <v>0</v>
      </c>
      <c r="AH116" s="933">
        <f>VLOOKUP($W116,feed_mix_n,MATCH(AH$5,feed_mix_w!$B$5:$AC$5,0),FALSE)/$Z116*VLOOKUP(AH$5,feed_intensity_w,11,FALSE)</f>
        <v>0.80787662283250872</v>
      </c>
      <c r="AI116" s="933">
        <f>VLOOKUP($W116,feed_mix_n,MATCH(AI$5,feed_mix_w!$B$5:$AC$5,0),FALSE)/$Z116*VLOOKUP(AI$5,feed_intensity_w,11,FALSE)</f>
        <v>0</v>
      </c>
      <c r="AJ116" s="933">
        <f>VLOOKUP($W116,feed_mix_n,MATCH(AJ$5,feed_mix_w!$B$5:$AC$5,0),FALSE)/$Z116*VLOOKUP(AJ$5,feed_intensity_w,11,FALSE)</f>
        <v>0</v>
      </c>
      <c r="AK116" s="933">
        <f>VLOOKUP($W116,feed_mix_n,MATCH(AK$5,feed_mix_w!$B$5:$AC$5,0),FALSE)/$Z116*VLOOKUP(AK$5,feed_intensity_w,11,FALSE)</f>
        <v>0</v>
      </c>
      <c r="AL116" s="933">
        <f>VLOOKUP($W116,feed_mix_n,MATCH(AL$5,feed_mix_w!$B$5:$AC$5,0),FALSE)/$Z116*VLOOKUP(AL$5,feed_intensity_w,11,FALSE)</f>
        <v>0</v>
      </c>
      <c r="AM116" s="933">
        <f>VLOOKUP($W116,feed_mix_n,MATCH(AM$5,feed_mix_w!$B$5:$AC$5,0),FALSE)/$Z116*VLOOKUP(AM$5,feed_intensity_w,11,FALSE)</f>
        <v>0</v>
      </c>
      <c r="AN116" s="933">
        <f>VLOOKUP($W116,feed_mix_n,MATCH(AN$5,feed_mix_w!$B$5:$AC$5,0),FALSE)/$Z116*VLOOKUP(AN$5,feed_intensity_w,11,FALSE)</f>
        <v>0</v>
      </c>
      <c r="AO116" s="933">
        <f>VLOOKUP($W116,feed_mix_n,MATCH(AO$5,feed_mix_w!$B$5:$AC$5,0),FALSE)/$Z116*VLOOKUP(AO$5,feed_intensity_w,11,FALSE)</f>
        <v>0</v>
      </c>
      <c r="AP116" s="933">
        <f>VLOOKUP($W116,feed_mix_n,MATCH(AP$5,feed_mix_w!$B$5:$AC$5,0),FALSE)/$Z116*VLOOKUP(AP$5,feed_intensity_w,11,FALSE)</f>
        <v>0</v>
      </c>
      <c r="AQ116" s="933">
        <f>VLOOKUP($W116,feed_mix_n,MATCH(AQ$5,feed_mix_w!$B$5:$AC$5,0),FALSE)/$Z116*VLOOKUP(AQ$5,feed_intensity_w,11,FALSE)</f>
        <v>0</v>
      </c>
      <c r="AR116" s="933">
        <f>VLOOKUP($W116,feed_mix_n,MATCH(AR$5,feed_mix_w!$B$5:$AC$5,0),FALSE)/$Z116*VLOOKUP(AR$5,feed_intensity_w,11,FALSE)</f>
        <v>0.28183870884152035</v>
      </c>
      <c r="AS116" s="1105">
        <f>VLOOKUP($W116,feed_mix_n,MATCH(AS$5,feed_mix_w!$B$5:$AC$5,0),FALSE)/$Z116*VLOOKUP(AS$5,feed_intensity_w,11,FALSE)</f>
        <v>0</v>
      </c>
    </row>
    <row r="117" spans="1:45" ht="12.75" customHeight="1">
      <c r="A117" s="1008" t="s">
        <v>7406</v>
      </c>
      <c r="B117" s="1102">
        <v>1075</v>
      </c>
      <c r="C117" s="1103" t="s">
        <v>684</v>
      </c>
      <c r="D117" s="1158">
        <v>12</v>
      </c>
      <c r="E117" s="1158">
        <v>5</v>
      </c>
      <c r="F117" s="1012">
        <f t="shared" si="33"/>
        <v>12</v>
      </c>
      <c r="G117" s="1012">
        <f t="shared" si="34"/>
        <v>5</v>
      </c>
      <c r="H117" s="933">
        <f t="shared" si="35"/>
        <v>22.71799088713475</v>
      </c>
      <c r="I117" s="1486">
        <f t="shared" si="36"/>
        <v>272.61589064561701</v>
      </c>
      <c r="J117" s="1006">
        <f>IFERROR(G117*VLOOKUP(W117,livestock_intensity!$B$7:$I$29,8,FALSE)/Z117,0)</f>
        <v>83.532525582305198</v>
      </c>
      <c r="K117" s="933">
        <f>VLOOKUP($W117,feed_mix_n,MATCH(K$5,feed_mix_w!$B$5:$AC$5,0),FALSE)/$Z117*VLOOKUP(K$5,feed_intensity_w,11,FALSE)</f>
        <v>1.9390881174060024</v>
      </c>
      <c r="L117" s="1486">
        <f t="shared" si="37"/>
        <v>23.26905740887203</v>
      </c>
      <c r="M117" s="1447">
        <f>IFERROR(G117*VLOOKUP(W117,livestock_intensity!$B$7:$M$29,12,FALSE)/Z117,0)</f>
        <v>1.5768925561292999</v>
      </c>
      <c r="N117" s="933">
        <f>VLOOKUP($W117,feed_mix_n,MATCH(N$5,feed_mix_w!$B$5:$AC$5,0),FALSE)/$Z117*VLOOKUP(N$5,feed_intensity_w,11,FALSE)</f>
        <v>0</v>
      </c>
      <c r="O117" s="1486">
        <f t="shared" si="38"/>
        <v>0</v>
      </c>
      <c r="P117" s="939">
        <f>IFERROR(G117*VLOOKUP(W117,livestock_intensity!$B$7:$Q$29,16,FALSE)/Z117,0)</f>
        <v>0</v>
      </c>
      <c r="Q117" s="1530"/>
      <c r="R117" s="900">
        <f t="shared" si="39"/>
        <v>295.88494805448903</v>
      </c>
      <c r="S117" s="900">
        <f t="shared" si="40"/>
        <v>85.109418138434492</v>
      </c>
      <c r="T117" s="1483">
        <v>2736</v>
      </c>
      <c r="U117" s="1211" t="s">
        <v>2921</v>
      </c>
      <c r="V117" s="1212" t="str">
        <f>IFERROR(VLOOKUP(W117,constant_ag_extr!$D$7:$E$594,2,FALSE),"")</f>
        <v>Ducks</v>
      </c>
      <c r="W117" s="1213">
        <f t="shared" si="41"/>
        <v>1068</v>
      </c>
      <c r="X117" s="1099">
        <f>IFERROR(IF(VLOOKUP(B117,cnst_grazing!$C$10:$H$25,5,FALSE)="", IF(VLOOKUP(B117, cnst_grazing!$C$10:$H$25,3,FALSE)="", VLOOKUP(B117, cnst_grazing!$C$10:$H$25,4,FALSE),VLOOKUP(B117, cnst_grazing!$C$10:$H$25,3,FALSE)), VLOOKUP(B117,cnst_grazing!$C$10:$H$25,5,FALSE)),1)</f>
        <v>1</v>
      </c>
      <c r="Y117" s="1099">
        <f>IFERROR(IF(VLOOKUP(B117,cnst_grazing!$C$10:$H$25,6,FALSE)="", IF(VLOOKUP(B117, cnst_grazing!$C$10:$H$25,4,FALSE)="", VLOOKUP(B117, cnst_grazing!$C$10:$H$25,3,FALSE),VLOOKUP(B117, cnst_grazing!$C$10:$H$25,4,FALSE)), VLOOKUP(B117,cnst_grazing!$C$10:$H$25,6,FALSE)),1)</f>
        <v>1</v>
      </c>
      <c r="Z117" s="937">
        <f t="shared" si="42"/>
        <v>0.1107649186404417</v>
      </c>
      <c r="AA117" s="1487">
        <f t="shared" si="43"/>
        <v>22.71799088713475</v>
      </c>
      <c r="AB117" s="933">
        <f>VLOOKUP($W117,feed_mix_n,MATCH(AB$5,feed_mix_w!$B$5:$AC$5,0),FALSE)/$Z117*VLOOKUP(AB$5,feed_intensity_w,11,FALSE)</f>
        <v>7.4579743069997058</v>
      </c>
      <c r="AC117" s="933">
        <f>VLOOKUP($W117,feed_mix_n,MATCH(AC$5,feed_mix_w!$B$5:$AC$5,0),FALSE)/$Z117*VLOOKUP(AC$5,feed_intensity_w,11,FALSE)</f>
        <v>0</v>
      </c>
      <c r="AD117" s="933">
        <f>VLOOKUP($W117,feed_mix_n,MATCH(AD$5,feed_mix_w!$B$5:$AC$5,0),FALSE)/$Z117*VLOOKUP(AD$5,feed_intensity_w,11,FALSE)</f>
        <v>6.4151636190201229</v>
      </c>
      <c r="AE117" s="933">
        <f>VLOOKUP($W117,feed_mix_n,MATCH(AE$5,feed_mix_w!$B$5:$AC$5,0),FALSE)/$Z117*VLOOKUP(AE$5,feed_intensity_w,11,FALSE)</f>
        <v>0</v>
      </c>
      <c r="AF117" s="933">
        <f>VLOOKUP($W117,feed_mix_n,MATCH(AF$5,feed_mix_w!$B$5:$AC$5,0),FALSE)/$Z117*VLOOKUP(AF$5,feed_intensity_w,11,FALSE)</f>
        <v>0</v>
      </c>
      <c r="AG117" s="933">
        <f>VLOOKUP($W117,feed_mix_n,MATCH(AG$5,feed_mix_w!$B$5:$AC$5,0),FALSE)/$Z117*VLOOKUP(AG$5,feed_intensity_w,11,FALSE)</f>
        <v>0</v>
      </c>
      <c r="AH117" s="933">
        <f>VLOOKUP($W117,feed_mix_n,MATCH(AH$5,feed_mix_w!$B$5:$AC$5,0),FALSE)/$Z117*VLOOKUP(AH$5,feed_intensity_w,11,FALSE)</f>
        <v>6.5572629217747975</v>
      </c>
      <c r="AI117" s="933">
        <f>VLOOKUP($W117,feed_mix_n,MATCH(AI$5,feed_mix_w!$B$5:$AC$5,0),FALSE)/$Z117*VLOOKUP(AI$5,feed_intensity_w,11,FALSE)</f>
        <v>0</v>
      </c>
      <c r="AJ117" s="933">
        <f>VLOOKUP($W117,feed_mix_n,MATCH(AJ$5,feed_mix_w!$B$5:$AC$5,0),FALSE)/$Z117*VLOOKUP(AJ$5,feed_intensity_w,11,FALSE)</f>
        <v>0</v>
      </c>
      <c r="AK117" s="933">
        <f>VLOOKUP($W117,feed_mix_n,MATCH(AK$5,feed_mix_w!$B$5:$AC$5,0),FALSE)/$Z117*VLOOKUP(AK$5,feed_intensity_w,11,FALSE)</f>
        <v>0</v>
      </c>
      <c r="AL117" s="933">
        <f>VLOOKUP($W117,feed_mix_n,MATCH(AL$5,feed_mix_w!$B$5:$AC$5,0),FALSE)/$Z117*VLOOKUP(AL$5,feed_intensity_w,11,FALSE)</f>
        <v>0</v>
      </c>
      <c r="AM117" s="933">
        <f>VLOOKUP($W117,feed_mix_n,MATCH(AM$5,feed_mix_w!$B$5:$AC$5,0),FALSE)/$Z117*VLOOKUP(AM$5,feed_intensity_w,11,FALSE)</f>
        <v>0</v>
      </c>
      <c r="AN117" s="933">
        <f>VLOOKUP($W117,feed_mix_n,MATCH(AN$5,feed_mix_w!$B$5:$AC$5,0),FALSE)/$Z117*VLOOKUP(AN$5,feed_intensity_w,11,FALSE)</f>
        <v>0</v>
      </c>
      <c r="AO117" s="933">
        <f>VLOOKUP($W117,feed_mix_n,MATCH(AO$5,feed_mix_w!$B$5:$AC$5,0),FALSE)/$Z117*VLOOKUP(AO$5,feed_intensity_w,11,FALSE)</f>
        <v>0</v>
      </c>
      <c r="AP117" s="933">
        <f>VLOOKUP($W117,feed_mix_n,MATCH(AP$5,feed_mix_w!$B$5:$AC$5,0),FALSE)/$Z117*VLOOKUP(AP$5,feed_intensity_w,11,FALSE)</f>
        <v>0</v>
      </c>
      <c r="AQ117" s="933">
        <f>VLOOKUP($W117,feed_mix_n,MATCH(AQ$5,feed_mix_w!$B$5:$AC$5,0),FALSE)/$Z117*VLOOKUP(AQ$5,feed_intensity_w,11,FALSE)</f>
        <v>0</v>
      </c>
      <c r="AR117" s="933">
        <f>VLOOKUP($W117,feed_mix_n,MATCH(AR$5,feed_mix_w!$B$5:$AC$5,0),FALSE)/$Z117*VLOOKUP(AR$5,feed_intensity_w,11,FALSE)</f>
        <v>2.2875900393401229</v>
      </c>
      <c r="AS117" s="1105">
        <f>VLOOKUP($W117,feed_mix_n,MATCH(AS$5,feed_mix_w!$B$5:$AC$5,0),FALSE)/$Z117*VLOOKUP(AS$5,feed_intensity_w,11,FALSE)</f>
        <v>0</v>
      </c>
    </row>
    <row r="118" spans="1:45" ht="12.75" customHeight="1">
      <c r="A118" s="1008" t="s">
        <v>4812</v>
      </c>
      <c r="B118" s="1102">
        <v>1079</v>
      </c>
      <c r="C118" s="1103" t="s">
        <v>4346</v>
      </c>
      <c r="D118" s="1158">
        <v>7551000</v>
      </c>
      <c r="E118" s="1158">
        <v>6789000</v>
      </c>
      <c r="F118" s="1012">
        <f t="shared" si="33"/>
        <v>3955.9173384946016</v>
      </c>
      <c r="G118" s="1012">
        <f t="shared" si="34"/>
        <v>2724.9389973702928</v>
      </c>
      <c r="H118" s="933">
        <f t="shared" si="35"/>
        <v>0.83242882673963181</v>
      </c>
      <c r="I118" s="1486">
        <f t="shared" si="36"/>
        <v>3293.0196287620283</v>
      </c>
      <c r="J118" s="1006">
        <f>IFERROR(G118*VLOOKUP(W118,livestock_intensity!$B$7:$I$29,8,FALSE)/Z118,0)</f>
        <v>4565.6581671181593</v>
      </c>
      <c r="K118" s="933">
        <f>VLOOKUP($W118,feed_mix_n,MATCH(K$5,feed_mix_w!$B$5:$AC$5,0),FALSE)/$Z118*VLOOKUP(K$5,feed_intensity_w,11,FALSE)</f>
        <v>7.1051742847169572E-2</v>
      </c>
      <c r="L118" s="1486">
        <f t="shared" si="37"/>
        <v>281.07482145937792</v>
      </c>
      <c r="M118" s="1447">
        <f>IFERROR(G118*VLOOKUP(W118,livestock_intensity!$B$7:$M$29,12,FALSE)/Z118,0)</f>
        <v>86.188609149471191</v>
      </c>
      <c r="N118" s="933">
        <f>VLOOKUP($W118,feed_mix_n,MATCH(N$5,feed_mix_w!$B$5:$AC$5,0),FALSE)/$Z118*VLOOKUP(N$5,feed_intensity_w,11,FALSE)</f>
        <v>0</v>
      </c>
      <c r="O118" s="1486">
        <f t="shared" si="38"/>
        <v>0</v>
      </c>
      <c r="P118" s="939">
        <f>IFERROR(G118*VLOOKUP(W118,livestock_intensity!$B$7:$Q$29,16,FALSE)/Z118,0)</f>
        <v>0</v>
      </c>
      <c r="Q118" s="1530"/>
      <c r="R118" s="900">
        <f t="shared" si="39"/>
        <v>3574.0944502214061</v>
      </c>
      <c r="S118" s="900">
        <f t="shared" si="40"/>
        <v>4651.846776267631</v>
      </c>
      <c r="T118" s="1483" t="s">
        <v>2862</v>
      </c>
      <c r="U118" s="1211" t="s">
        <v>415</v>
      </c>
      <c r="V118" s="1212" t="str">
        <f>IFERROR(VLOOKUP(W118,constant_ag_extr!$D$7:$E$594,2,FALSE),"")</f>
        <v>Turkeys</v>
      </c>
      <c r="W118" s="1213">
        <f t="shared" si="41"/>
        <v>1079</v>
      </c>
      <c r="X118" s="1099">
        <f>IFERROR(IF(VLOOKUP(B118,cnst_grazing!$C$10:$H$25,5,FALSE)="", IF(VLOOKUP(B118, cnst_grazing!$C$10:$H$25,3,FALSE)="", VLOOKUP(B118, cnst_grazing!$C$10:$H$25,4,FALSE),VLOOKUP(B118, cnst_grazing!$C$10:$H$25,3,FALSE)), VLOOKUP(B118,cnst_grazing!$C$10:$H$25,5,FALSE)),1)</f>
        <v>5.2389317156596499E-4</v>
      </c>
      <c r="Y118" s="1099">
        <f>IFERROR(IF(VLOOKUP(B118,cnst_grazing!$C$10:$H$25,6,FALSE)="", IF(VLOOKUP(B118, cnst_grazing!$C$10:$H$25,4,FALSE)="", VLOOKUP(B118, cnst_grazing!$C$10:$H$25,3,FALSE),VLOOKUP(B118, cnst_grazing!$C$10:$H$25,4,FALSE)), VLOOKUP(B118,cnst_grazing!$C$10:$H$25,6,FALSE)),1)</f>
        <v>4.0137560721318201E-4</v>
      </c>
      <c r="Z118" s="937">
        <f t="shared" si="42"/>
        <v>1</v>
      </c>
      <c r="AA118" s="1487">
        <f t="shared" si="43"/>
        <v>0.83242882673963181</v>
      </c>
      <c r="AB118" s="933">
        <f>VLOOKUP($W118,feed_mix_n,MATCH(AB$5,feed_mix_w!$B$5:$AC$5,0),FALSE)/$Z118*VLOOKUP(AB$5,feed_intensity_w,11,FALSE)</f>
        <v>0.27327384860189463</v>
      </c>
      <c r="AC118" s="933">
        <f>VLOOKUP($W118,feed_mix_n,MATCH(AC$5,feed_mix_w!$B$5:$AC$5,0),FALSE)/$Z118*VLOOKUP(AC$5,feed_intensity_w,11,FALSE)</f>
        <v>0</v>
      </c>
      <c r="AD118" s="933">
        <f>VLOOKUP($W118,feed_mix_n,MATCH(AD$5,feed_mix_w!$B$5:$AC$5,0),FALSE)/$Z118*VLOOKUP(AD$5,feed_intensity_w,11,FALSE)</f>
        <v>0.23506335358853589</v>
      </c>
      <c r="AE118" s="933">
        <f>VLOOKUP($W118,feed_mix_n,MATCH(AE$5,feed_mix_w!$B$5:$AC$5,0),FALSE)/$Z118*VLOOKUP(AE$5,feed_intensity_w,11,FALSE)</f>
        <v>0</v>
      </c>
      <c r="AF118" s="933">
        <f>VLOOKUP($W118,feed_mix_n,MATCH(AF$5,feed_mix_w!$B$5:$AC$5,0),FALSE)/$Z118*VLOOKUP(AF$5,feed_intensity_w,11,FALSE)</f>
        <v>0</v>
      </c>
      <c r="AG118" s="933">
        <f>VLOOKUP($W118,feed_mix_n,MATCH(AG$5,feed_mix_w!$B$5:$AC$5,0),FALSE)/$Z118*VLOOKUP(AG$5,feed_intensity_w,11,FALSE)</f>
        <v>0</v>
      </c>
      <c r="AH118" s="933">
        <f>VLOOKUP($W118,feed_mix_n,MATCH(AH$5,feed_mix_w!$B$5:$AC$5,0),FALSE)/$Z118*VLOOKUP(AH$5,feed_intensity_w,11,FALSE)</f>
        <v>0.24027013250046772</v>
      </c>
      <c r="AI118" s="933">
        <f>VLOOKUP($W118,feed_mix_n,MATCH(AI$5,feed_mix_w!$B$5:$AC$5,0),FALSE)/$Z118*VLOOKUP(AI$5,feed_intensity_w,11,FALSE)</f>
        <v>0</v>
      </c>
      <c r="AJ118" s="933">
        <f>VLOOKUP($W118,feed_mix_n,MATCH(AJ$5,feed_mix_w!$B$5:$AC$5,0),FALSE)/$Z118*VLOOKUP(AJ$5,feed_intensity_w,11,FALSE)</f>
        <v>0</v>
      </c>
      <c r="AK118" s="933">
        <f>VLOOKUP($W118,feed_mix_n,MATCH(AK$5,feed_mix_w!$B$5:$AC$5,0),FALSE)/$Z118*VLOOKUP(AK$5,feed_intensity_w,11,FALSE)</f>
        <v>0</v>
      </c>
      <c r="AL118" s="933">
        <f>VLOOKUP($W118,feed_mix_n,MATCH(AL$5,feed_mix_w!$B$5:$AC$5,0),FALSE)/$Z118*VLOOKUP(AL$5,feed_intensity_w,11,FALSE)</f>
        <v>0</v>
      </c>
      <c r="AM118" s="933">
        <f>VLOOKUP($W118,feed_mix_n,MATCH(AM$5,feed_mix_w!$B$5:$AC$5,0),FALSE)/$Z118*VLOOKUP(AM$5,feed_intensity_w,11,FALSE)</f>
        <v>0</v>
      </c>
      <c r="AN118" s="933">
        <f>VLOOKUP($W118,feed_mix_n,MATCH(AN$5,feed_mix_w!$B$5:$AC$5,0),FALSE)/$Z118*VLOOKUP(AN$5,feed_intensity_w,11,FALSE)</f>
        <v>0</v>
      </c>
      <c r="AO118" s="933">
        <f>VLOOKUP($W118,feed_mix_n,MATCH(AO$5,feed_mix_w!$B$5:$AC$5,0),FALSE)/$Z118*VLOOKUP(AO$5,feed_intensity_w,11,FALSE)</f>
        <v>0</v>
      </c>
      <c r="AP118" s="933">
        <f>VLOOKUP($W118,feed_mix_n,MATCH(AP$5,feed_mix_w!$B$5:$AC$5,0),FALSE)/$Z118*VLOOKUP(AP$5,feed_intensity_w,11,FALSE)</f>
        <v>0</v>
      </c>
      <c r="AQ118" s="933">
        <f>VLOOKUP($W118,feed_mix_n,MATCH(AQ$5,feed_mix_w!$B$5:$AC$5,0),FALSE)/$Z118*VLOOKUP(AQ$5,feed_intensity_w,11,FALSE)</f>
        <v>0</v>
      </c>
      <c r="AR118" s="933">
        <f>VLOOKUP($W118,feed_mix_n,MATCH(AR$5,feed_mix_w!$B$5:$AC$5,0),FALSE)/$Z118*VLOOKUP(AR$5,feed_intensity_w,11,FALSE)</f>
        <v>8.3821492048733542E-2</v>
      </c>
      <c r="AS118" s="1105">
        <f>VLOOKUP($W118,feed_mix_n,MATCH(AS$5,feed_mix_w!$B$5:$AC$5,0),FALSE)/$Z118*VLOOKUP(AS$5,feed_intensity_w,11,FALSE)</f>
        <v>0</v>
      </c>
    </row>
    <row r="119" spans="1:45" ht="12.75" customHeight="1">
      <c r="A119" s="1008" t="s">
        <v>7407</v>
      </c>
      <c r="B119" s="1102">
        <v>1080</v>
      </c>
      <c r="C119" s="1103" t="s">
        <v>1598</v>
      </c>
      <c r="D119" s="1158">
        <v>9161</v>
      </c>
      <c r="E119" s="1158">
        <v>310167</v>
      </c>
      <c r="F119" s="1012">
        <f t="shared" si="33"/>
        <v>9161</v>
      </c>
      <c r="G119" s="1012">
        <f t="shared" si="34"/>
        <v>310167</v>
      </c>
      <c r="H119" s="933">
        <f t="shared" si="35"/>
        <v>1.0672164445379895</v>
      </c>
      <c r="I119" s="1486">
        <f t="shared" si="36"/>
        <v>9776.7698484125212</v>
      </c>
      <c r="J119" s="1006">
        <f>IFERROR(G119*VLOOKUP(W119,livestock_intensity!$B$7:$I$29,8,FALSE)/Z119,0)</f>
        <v>666265.91344122577</v>
      </c>
      <c r="K119" s="933">
        <f>VLOOKUP($W119,feed_mix_n,MATCH(K$5,feed_mix_w!$B$5:$AC$5,0),FALSE)/$Z119*VLOOKUP(K$5,feed_intensity_w,11,FALSE)</f>
        <v>9.1091978009191762E-2</v>
      </c>
      <c r="L119" s="1486">
        <f t="shared" si="37"/>
        <v>834.49361054220572</v>
      </c>
      <c r="M119" s="1447">
        <f>IFERROR(G119*VLOOKUP(W119,livestock_intensity!$B$7:$M$29,12,FALSE)/Z119,0)</f>
        <v>12577.492729694992</v>
      </c>
      <c r="N119" s="933">
        <f>VLOOKUP($W119,feed_mix_n,MATCH(N$5,feed_mix_w!$B$5:$AC$5,0),FALSE)/$Z119*VLOOKUP(N$5,feed_intensity_w,11,FALSE)</f>
        <v>0</v>
      </c>
      <c r="O119" s="1486">
        <f t="shared" si="38"/>
        <v>0</v>
      </c>
      <c r="P119" s="939">
        <f>IFERROR(G119*VLOOKUP(W119,livestock_intensity!$B$7:$Q$29,16,FALSE)/Z119,0)</f>
        <v>0</v>
      </c>
      <c r="Q119" s="1530"/>
      <c r="R119" s="900">
        <f t="shared" si="39"/>
        <v>10611.263458954727</v>
      </c>
      <c r="S119" s="900">
        <f t="shared" si="40"/>
        <v>678843.40617092082</v>
      </c>
      <c r="T119" s="1483">
        <v>2734</v>
      </c>
      <c r="U119" s="1211" t="s">
        <v>2921</v>
      </c>
      <c r="V119" s="1212" t="str">
        <f>IFERROR(VLOOKUP(W119,constant_ag_extr!$D$7:$E$594,2,FALSE),"")</f>
        <v>Turkeys</v>
      </c>
      <c r="W119" s="1213">
        <f t="shared" si="41"/>
        <v>1079</v>
      </c>
      <c r="X119" s="1099">
        <f>IFERROR(IF(VLOOKUP(B119,cnst_grazing!$C$10:$H$25,5,FALSE)="", IF(VLOOKUP(B119, cnst_grazing!$C$10:$H$25,3,FALSE)="", VLOOKUP(B119, cnst_grazing!$C$10:$H$25,4,FALSE),VLOOKUP(B119, cnst_grazing!$C$10:$H$25,3,FALSE)), VLOOKUP(B119,cnst_grazing!$C$10:$H$25,5,FALSE)),1)</f>
        <v>1</v>
      </c>
      <c r="Y119" s="1099">
        <f>IFERROR(IF(VLOOKUP(B119,cnst_grazing!$C$10:$H$25,6,FALSE)="", IF(VLOOKUP(B119, cnst_grazing!$C$10:$H$25,4,FALSE)="", VLOOKUP(B119, cnst_grazing!$C$10:$H$25,3,FALSE),VLOOKUP(B119, cnst_grazing!$C$10:$H$25,4,FALSE)), VLOOKUP(B119,cnst_grazing!$C$10:$H$25,6,FALSE)),1)</f>
        <v>1</v>
      </c>
      <c r="Z119" s="937">
        <f t="shared" si="42"/>
        <v>0.78</v>
      </c>
      <c r="AA119" s="1487">
        <f t="shared" si="43"/>
        <v>1.0672164445379895</v>
      </c>
      <c r="AB119" s="933">
        <f>VLOOKUP($W119,feed_mix_n,MATCH(AB$5,feed_mix_w!$B$5:$AC$5,0),FALSE)/$Z119*VLOOKUP(AB$5,feed_intensity_w,11,FALSE)</f>
        <v>0.35035108795114694</v>
      </c>
      <c r="AC119" s="933">
        <f>VLOOKUP($W119,feed_mix_n,MATCH(AC$5,feed_mix_w!$B$5:$AC$5,0),FALSE)/$Z119*VLOOKUP(AC$5,feed_intensity_w,11,FALSE)</f>
        <v>0</v>
      </c>
      <c r="AD119" s="933">
        <f>VLOOKUP($W119,feed_mix_n,MATCH(AD$5,feed_mix_w!$B$5:$AC$5,0),FALSE)/$Z119*VLOOKUP(AD$5,feed_intensity_w,11,FALSE)</f>
        <v>0.30136327383145622</v>
      </c>
      <c r="AE119" s="933">
        <f>VLOOKUP($W119,feed_mix_n,MATCH(AE$5,feed_mix_w!$B$5:$AC$5,0),FALSE)/$Z119*VLOOKUP(AE$5,feed_intensity_w,11,FALSE)</f>
        <v>0</v>
      </c>
      <c r="AF119" s="933">
        <f>VLOOKUP($W119,feed_mix_n,MATCH(AF$5,feed_mix_w!$B$5:$AC$5,0),FALSE)/$Z119*VLOOKUP(AF$5,feed_intensity_w,11,FALSE)</f>
        <v>0</v>
      </c>
      <c r="AG119" s="933">
        <f>VLOOKUP($W119,feed_mix_n,MATCH(AG$5,feed_mix_w!$B$5:$AC$5,0),FALSE)/$Z119*VLOOKUP(AG$5,feed_intensity_w,11,FALSE)</f>
        <v>0</v>
      </c>
      <c r="AH119" s="933">
        <f>VLOOKUP($W119,feed_mix_n,MATCH(AH$5,feed_mix_w!$B$5:$AC$5,0),FALSE)/$Z119*VLOOKUP(AH$5,feed_intensity_w,11,FALSE)</f>
        <v>0.30803863141085608</v>
      </c>
      <c r="AI119" s="933">
        <f>VLOOKUP($W119,feed_mix_n,MATCH(AI$5,feed_mix_w!$B$5:$AC$5,0),FALSE)/$Z119*VLOOKUP(AI$5,feed_intensity_w,11,FALSE)</f>
        <v>0</v>
      </c>
      <c r="AJ119" s="933">
        <f>VLOOKUP($W119,feed_mix_n,MATCH(AJ$5,feed_mix_w!$B$5:$AC$5,0),FALSE)/$Z119*VLOOKUP(AJ$5,feed_intensity_w,11,FALSE)</f>
        <v>0</v>
      </c>
      <c r="AK119" s="933">
        <f>VLOOKUP($W119,feed_mix_n,MATCH(AK$5,feed_mix_w!$B$5:$AC$5,0),FALSE)/$Z119*VLOOKUP(AK$5,feed_intensity_w,11,FALSE)</f>
        <v>0</v>
      </c>
      <c r="AL119" s="933">
        <f>VLOOKUP($W119,feed_mix_n,MATCH(AL$5,feed_mix_w!$B$5:$AC$5,0),FALSE)/$Z119*VLOOKUP(AL$5,feed_intensity_w,11,FALSE)</f>
        <v>0</v>
      </c>
      <c r="AM119" s="933">
        <f>VLOOKUP($W119,feed_mix_n,MATCH(AM$5,feed_mix_w!$B$5:$AC$5,0),FALSE)/$Z119*VLOOKUP(AM$5,feed_intensity_w,11,FALSE)</f>
        <v>0</v>
      </c>
      <c r="AN119" s="933">
        <f>VLOOKUP($W119,feed_mix_n,MATCH(AN$5,feed_mix_w!$B$5:$AC$5,0),FALSE)/$Z119*VLOOKUP(AN$5,feed_intensity_w,11,FALSE)</f>
        <v>0</v>
      </c>
      <c r="AO119" s="933">
        <f>VLOOKUP($W119,feed_mix_n,MATCH(AO$5,feed_mix_w!$B$5:$AC$5,0),FALSE)/$Z119*VLOOKUP(AO$5,feed_intensity_w,11,FALSE)</f>
        <v>0</v>
      </c>
      <c r="AP119" s="933">
        <f>VLOOKUP($W119,feed_mix_n,MATCH(AP$5,feed_mix_w!$B$5:$AC$5,0),FALSE)/$Z119*VLOOKUP(AP$5,feed_intensity_w,11,FALSE)</f>
        <v>0</v>
      </c>
      <c r="AQ119" s="933">
        <f>VLOOKUP($W119,feed_mix_n,MATCH(AQ$5,feed_mix_w!$B$5:$AC$5,0),FALSE)/$Z119*VLOOKUP(AQ$5,feed_intensity_w,11,FALSE)</f>
        <v>0</v>
      </c>
      <c r="AR119" s="933">
        <f>VLOOKUP($W119,feed_mix_n,MATCH(AR$5,feed_mix_w!$B$5:$AC$5,0),FALSE)/$Z119*VLOOKUP(AR$5,feed_intensity_w,11,FALSE)</f>
        <v>0.10746345134453018</v>
      </c>
      <c r="AS119" s="1105">
        <f>VLOOKUP($W119,feed_mix_n,MATCH(AS$5,feed_mix_w!$B$5:$AC$5,0),FALSE)/$Z119*VLOOKUP(AS$5,feed_intensity_w,11,FALSE)</f>
        <v>0</v>
      </c>
    </row>
    <row r="120" spans="1:45" ht="12.75" customHeight="1">
      <c r="A120" s="1008" t="s">
        <v>7408</v>
      </c>
      <c r="B120" s="1102">
        <v>1083</v>
      </c>
      <c r="C120" s="1103" t="s">
        <v>691</v>
      </c>
      <c r="D120" s="1158">
        <v>53000</v>
      </c>
      <c r="E120" s="1158">
        <v>100000</v>
      </c>
      <c r="F120" s="1012">
        <f t="shared" si="33"/>
        <v>53000</v>
      </c>
      <c r="G120" s="1012">
        <f t="shared" si="34"/>
        <v>100000</v>
      </c>
      <c r="H120" s="933" t="e">
        <f t="shared" si="35"/>
        <v>#N/A</v>
      </c>
      <c r="I120" s="1486">
        <f t="shared" si="36"/>
        <v>0</v>
      </c>
      <c r="J120" s="1006">
        <f>IFERROR(G120*VLOOKUP(W120,livestock_intensity!$B$7:$I$29,8,FALSE)/Z120,0)</f>
        <v>0</v>
      </c>
      <c r="K120" s="933" t="e">
        <f>VLOOKUP($W120,feed_mix_n,MATCH(K$5,feed_mix_w!$B$5:$AC$5,0),FALSE)/$Z120*VLOOKUP(K$5,feed_intensity_w,11,FALSE)</f>
        <v>#N/A</v>
      </c>
      <c r="L120" s="1486">
        <f t="shared" si="37"/>
        <v>0</v>
      </c>
      <c r="M120" s="1447">
        <f>IFERROR(G120*VLOOKUP(W120,livestock_intensity!$B$7:$M$29,12,FALSE)/Z120,0)</f>
        <v>0</v>
      </c>
      <c r="N120" s="933" t="e">
        <f>VLOOKUP($W120,feed_mix_n,MATCH(N$5,feed_mix_w!$B$5:$AC$5,0),FALSE)/$Z120*VLOOKUP(N$5,feed_intensity_w,11,FALSE)</f>
        <v>#N/A</v>
      </c>
      <c r="O120" s="1486">
        <f t="shared" si="38"/>
        <v>0</v>
      </c>
      <c r="P120" s="939">
        <f>IFERROR(G120*VLOOKUP(W120,livestock_intensity!$B$7:$Q$29,16,FALSE)/Z120,0)</f>
        <v>0</v>
      </c>
      <c r="Q120" s="1530"/>
      <c r="R120" s="900">
        <f t="shared" si="39"/>
        <v>0</v>
      </c>
      <c r="S120" s="900">
        <f t="shared" si="40"/>
        <v>0</v>
      </c>
      <c r="T120" s="1483" t="s">
        <v>2862</v>
      </c>
      <c r="U120" s="1211" t="s">
        <v>415</v>
      </c>
      <c r="V120" s="1212" t="str">
        <f>IFERROR(VLOOKUP(W120,constant_ag_extr!$D$7:$E$594,2,FALSE),"")</f>
        <v>Pigeons, Other birds</v>
      </c>
      <c r="W120" s="1213">
        <f t="shared" si="41"/>
        <v>1083</v>
      </c>
      <c r="X120" s="1099">
        <f>IFERROR(IF(VLOOKUP(B120,cnst_grazing!$C$10:$H$25,5,FALSE)="", IF(VLOOKUP(B120, cnst_grazing!$C$10:$H$25,3,FALSE)="", VLOOKUP(B120, cnst_grazing!$C$10:$H$25,4,FALSE),VLOOKUP(B120, cnst_grazing!$C$10:$H$25,3,FALSE)), VLOOKUP(B120,cnst_grazing!$C$10:$H$25,5,FALSE)),1)</f>
        <v>1</v>
      </c>
      <c r="Y120" s="1099">
        <f>IFERROR(IF(VLOOKUP(B120,cnst_grazing!$C$10:$H$25,6,FALSE)="", IF(VLOOKUP(B120, cnst_grazing!$C$10:$H$25,4,FALSE)="", VLOOKUP(B120, cnst_grazing!$C$10:$H$25,3,FALSE),VLOOKUP(B120, cnst_grazing!$C$10:$H$25,4,FALSE)), VLOOKUP(B120,cnst_grazing!$C$10:$H$25,6,FALSE)),1)</f>
        <v>1</v>
      </c>
      <c r="Z120" s="937">
        <f t="shared" si="42"/>
        <v>1</v>
      </c>
      <c r="AA120" s="1487" t="e">
        <f t="shared" si="43"/>
        <v>#N/A</v>
      </c>
      <c r="AB120" s="933" t="e">
        <f>VLOOKUP($W120,feed_mix_n,MATCH(AB$5,feed_mix_w!$B$5:$AC$5,0),FALSE)/$Z120*VLOOKUP(AB$5,feed_intensity_w,11,FALSE)</f>
        <v>#N/A</v>
      </c>
      <c r="AC120" s="933" t="e">
        <f>VLOOKUP($W120,feed_mix_n,MATCH(AC$5,feed_mix_w!$B$5:$AC$5,0),FALSE)/$Z120*VLOOKUP(AC$5,feed_intensity_w,11,FALSE)</f>
        <v>#N/A</v>
      </c>
      <c r="AD120" s="933" t="e">
        <f>VLOOKUP($W120,feed_mix_n,MATCH(AD$5,feed_mix_w!$B$5:$AC$5,0),FALSE)/$Z120*VLOOKUP(AD$5,feed_intensity_w,11,FALSE)</f>
        <v>#N/A</v>
      </c>
      <c r="AE120" s="933" t="e">
        <f>VLOOKUP($W120,feed_mix_n,MATCH(AE$5,feed_mix_w!$B$5:$AC$5,0),FALSE)/$Z120*VLOOKUP(AE$5,feed_intensity_w,11,FALSE)</f>
        <v>#N/A</v>
      </c>
      <c r="AF120" s="933" t="e">
        <f>VLOOKUP($W120,feed_mix_n,MATCH(AF$5,feed_mix_w!$B$5:$AC$5,0),FALSE)/$Z120*VLOOKUP(AF$5,feed_intensity_w,11,FALSE)</f>
        <v>#N/A</v>
      </c>
      <c r="AG120" s="933" t="e">
        <f>VLOOKUP($W120,feed_mix_n,MATCH(AG$5,feed_mix_w!$B$5:$AC$5,0),FALSE)/$Z120*VLOOKUP(AG$5,feed_intensity_w,11,FALSE)</f>
        <v>#N/A</v>
      </c>
      <c r="AH120" s="933" t="e">
        <f>VLOOKUP($W120,feed_mix_n,MATCH(AH$5,feed_mix_w!$B$5:$AC$5,0),FALSE)/$Z120*VLOOKUP(AH$5,feed_intensity_w,11,FALSE)</f>
        <v>#N/A</v>
      </c>
      <c r="AI120" s="933" t="e">
        <f>VLOOKUP($W120,feed_mix_n,MATCH(AI$5,feed_mix_w!$B$5:$AC$5,0),FALSE)/$Z120*VLOOKUP(AI$5,feed_intensity_w,11,FALSE)</f>
        <v>#N/A</v>
      </c>
      <c r="AJ120" s="933" t="e">
        <f>VLOOKUP($W120,feed_mix_n,MATCH(AJ$5,feed_mix_w!$B$5:$AC$5,0),FALSE)/$Z120*VLOOKUP(AJ$5,feed_intensity_w,11,FALSE)</f>
        <v>#N/A</v>
      </c>
      <c r="AK120" s="933" t="e">
        <f>VLOOKUP($W120,feed_mix_n,MATCH(AK$5,feed_mix_w!$B$5:$AC$5,0),FALSE)/$Z120*VLOOKUP(AK$5,feed_intensity_w,11,FALSE)</f>
        <v>#N/A</v>
      </c>
      <c r="AL120" s="933" t="e">
        <f>VLOOKUP($W120,feed_mix_n,MATCH(AL$5,feed_mix_w!$B$5:$AC$5,0),FALSE)/$Z120*VLOOKUP(AL$5,feed_intensity_w,11,FALSE)</f>
        <v>#N/A</v>
      </c>
      <c r="AM120" s="933" t="e">
        <f>VLOOKUP($W120,feed_mix_n,MATCH(AM$5,feed_mix_w!$B$5:$AC$5,0),FALSE)/$Z120*VLOOKUP(AM$5,feed_intensity_w,11,FALSE)</f>
        <v>#N/A</v>
      </c>
      <c r="AN120" s="933" t="e">
        <f>VLOOKUP($W120,feed_mix_n,MATCH(AN$5,feed_mix_w!$B$5:$AC$5,0),FALSE)/$Z120*VLOOKUP(AN$5,feed_intensity_w,11,FALSE)</f>
        <v>#N/A</v>
      </c>
      <c r="AO120" s="933" t="e">
        <f>VLOOKUP($W120,feed_mix_n,MATCH(AO$5,feed_mix_w!$B$5:$AC$5,0),FALSE)/$Z120*VLOOKUP(AO$5,feed_intensity_w,11,FALSE)</f>
        <v>#N/A</v>
      </c>
      <c r="AP120" s="933" t="e">
        <f>VLOOKUP($W120,feed_mix_n,MATCH(AP$5,feed_mix_w!$B$5:$AC$5,0),FALSE)/$Z120*VLOOKUP(AP$5,feed_intensity_w,11,FALSE)</f>
        <v>#N/A</v>
      </c>
      <c r="AQ120" s="933" t="e">
        <f>VLOOKUP($W120,feed_mix_n,MATCH(AQ$5,feed_mix_w!$B$5:$AC$5,0),FALSE)/$Z120*VLOOKUP(AQ$5,feed_intensity_w,11,FALSE)</f>
        <v>#N/A</v>
      </c>
      <c r="AR120" s="933" t="e">
        <f>VLOOKUP($W120,feed_mix_n,MATCH(AR$5,feed_mix_w!$B$5:$AC$5,0),FALSE)/$Z120*VLOOKUP(AR$5,feed_intensity_w,11,FALSE)</f>
        <v>#N/A</v>
      </c>
      <c r="AS120" s="1105" t="e">
        <f>VLOOKUP($W120,feed_mix_n,MATCH(AS$5,feed_mix_w!$B$5:$AC$5,0),FALSE)/$Z120*VLOOKUP(AS$5,feed_intensity_w,11,FALSE)</f>
        <v>#N/A</v>
      </c>
    </row>
    <row r="121" spans="1:45" ht="12.75" customHeight="1">
      <c r="A121" s="1008" t="s">
        <v>3391</v>
      </c>
      <c r="B121" s="1102">
        <v>1089</v>
      </c>
      <c r="C121" s="1103" t="s">
        <v>4629</v>
      </c>
      <c r="D121" s="1158"/>
      <c r="E121" s="1158"/>
      <c r="F121" s="1012">
        <f t="shared" si="33"/>
        <v>0</v>
      </c>
      <c r="G121" s="1012">
        <f t="shared" si="34"/>
        <v>0</v>
      </c>
      <c r="H121" s="933" t="e">
        <f t="shared" si="35"/>
        <v>#N/A</v>
      </c>
      <c r="I121" s="1486">
        <f t="shared" si="36"/>
        <v>0</v>
      </c>
      <c r="J121" s="1006">
        <f>IFERROR(G121*VLOOKUP(W121,livestock_intensity!$B$7:$I$29,8,FALSE)/Z121,0)</f>
        <v>0</v>
      </c>
      <c r="K121" s="933" t="e">
        <f>VLOOKUP($W121,feed_mix_n,MATCH(K$5,feed_mix_w!$B$5:$AC$5,0),FALSE)/$Z121*VLOOKUP(K$5,feed_intensity_w,11,FALSE)</f>
        <v>#N/A</v>
      </c>
      <c r="L121" s="1486">
        <f t="shared" si="37"/>
        <v>0</v>
      </c>
      <c r="M121" s="1447">
        <f>IFERROR(G121*VLOOKUP(W121,livestock_intensity!$B$7:$M$29,12,FALSE)/Z121,0)</f>
        <v>0</v>
      </c>
      <c r="N121" s="933" t="e">
        <f>VLOOKUP($W121,feed_mix_n,MATCH(N$5,feed_mix_w!$B$5:$AC$5,0),FALSE)/$Z121*VLOOKUP(N$5,feed_intensity_w,11,FALSE)</f>
        <v>#N/A</v>
      </c>
      <c r="O121" s="1486">
        <f t="shared" si="38"/>
        <v>0</v>
      </c>
      <c r="P121" s="939">
        <f>IFERROR(G121*VLOOKUP(W121,livestock_intensity!$B$7:$Q$29,16,FALSE)/Z121,0)</f>
        <v>0</v>
      </c>
      <c r="Q121" s="1530"/>
      <c r="R121" s="900">
        <f t="shared" si="39"/>
        <v>0</v>
      </c>
      <c r="S121" s="900">
        <f t="shared" si="40"/>
        <v>0</v>
      </c>
      <c r="T121" s="1483" t="s">
        <v>2862</v>
      </c>
      <c r="U121" s="1211" t="s">
        <v>2921</v>
      </c>
      <c r="V121" s="1212">
        <f>IFERROR(VLOOKUP(W121,constant_ag_extr!$D$7:$E$594,2,FALSE),"")</f>
        <v>0</v>
      </c>
      <c r="W121" s="1213" t="str">
        <f t="shared" si="41"/>
        <v/>
      </c>
      <c r="X121" s="1099">
        <f>IFERROR(IF(VLOOKUP(B121,cnst_grazing!$C$10:$H$25,5,FALSE)="", IF(VLOOKUP(B121, cnst_grazing!$C$10:$H$25,3,FALSE)="", VLOOKUP(B121, cnst_grazing!$C$10:$H$25,4,FALSE),VLOOKUP(B121, cnst_grazing!$C$10:$H$25,3,FALSE)), VLOOKUP(B121,cnst_grazing!$C$10:$H$25,5,FALSE)),1)</f>
        <v>1</v>
      </c>
      <c r="Y121" s="1099">
        <f>IFERROR(IF(VLOOKUP(B121,cnst_grazing!$C$10:$H$25,6,FALSE)="", IF(VLOOKUP(B121, cnst_grazing!$C$10:$H$25,4,FALSE)="", VLOOKUP(B121, cnst_grazing!$C$10:$H$25,3,FALSE),VLOOKUP(B121, cnst_grazing!$C$10:$H$25,4,FALSE)), VLOOKUP(B121,cnst_grazing!$C$10:$H$25,6,FALSE)),1)</f>
        <v>1</v>
      </c>
      <c r="Z121" s="937">
        <f t="shared" si="42"/>
        <v>1</v>
      </c>
      <c r="AA121" s="1487" t="e">
        <f t="shared" si="43"/>
        <v>#N/A</v>
      </c>
      <c r="AB121" s="933" t="e">
        <f>VLOOKUP($W121,feed_mix_n,MATCH(AB$5,feed_mix_w!$B$5:$AC$5,0),FALSE)/$Z121*VLOOKUP(AB$5,feed_intensity_w,11,FALSE)</f>
        <v>#N/A</v>
      </c>
      <c r="AC121" s="933" t="e">
        <f>VLOOKUP($W121,feed_mix_n,MATCH(AC$5,feed_mix_w!$B$5:$AC$5,0),FALSE)/$Z121*VLOOKUP(AC$5,feed_intensity_w,11,FALSE)</f>
        <v>#N/A</v>
      </c>
      <c r="AD121" s="933" t="e">
        <f>VLOOKUP($W121,feed_mix_n,MATCH(AD$5,feed_mix_w!$B$5:$AC$5,0),FALSE)/$Z121*VLOOKUP(AD$5,feed_intensity_w,11,FALSE)</f>
        <v>#N/A</v>
      </c>
      <c r="AE121" s="933" t="e">
        <f>VLOOKUP($W121,feed_mix_n,MATCH(AE$5,feed_mix_w!$B$5:$AC$5,0),FALSE)/$Z121*VLOOKUP(AE$5,feed_intensity_w,11,FALSE)</f>
        <v>#N/A</v>
      </c>
      <c r="AF121" s="933" t="e">
        <f>VLOOKUP($W121,feed_mix_n,MATCH(AF$5,feed_mix_w!$B$5:$AC$5,0),FALSE)/$Z121*VLOOKUP(AF$5,feed_intensity_w,11,FALSE)</f>
        <v>#N/A</v>
      </c>
      <c r="AG121" s="933" t="e">
        <f>VLOOKUP($W121,feed_mix_n,MATCH(AG$5,feed_mix_w!$B$5:$AC$5,0),FALSE)/$Z121*VLOOKUP(AG$5,feed_intensity_w,11,FALSE)</f>
        <v>#N/A</v>
      </c>
      <c r="AH121" s="933" t="e">
        <f>VLOOKUP($W121,feed_mix_n,MATCH(AH$5,feed_mix_w!$B$5:$AC$5,0),FALSE)/$Z121*VLOOKUP(AH$5,feed_intensity_w,11,FALSE)</f>
        <v>#N/A</v>
      </c>
      <c r="AI121" s="933" t="e">
        <f>VLOOKUP($W121,feed_mix_n,MATCH(AI$5,feed_mix_w!$B$5:$AC$5,0),FALSE)/$Z121*VLOOKUP(AI$5,feed_intensity_w,11,FALSE)</f>
        <v>#N/A</v>
      </c>
      <c r="AJ121" s="933" t="e">
        <f>VLOOKUP($W121,feed_mix_n,MATCH(AJ$5,feed_mix_w!$B$5:$AC$5,0),FALSE)/$Z121*VLOOKUP(AJ$5,feed_intensity_w,11,FALSE)</f>
        <v>#N/A</v>
      </c>
      <c r="AK121" s="933" t="e">
        <f>VLOOKUP($W121,feed_mix_n,MATCH(AK$5,feed_mix_w!$B$5:$AC$5,0),FALSE)/$Z121*VLOOKUP(AK$5,feed_intensity_w,11,FALSE)</f>
        <v>#N/A</v>
      </c>
      <c r="AL121" s="933" t="e">
        <f>VLOOKUP($W121,feed_mix_n,MATCH(AL$5,feed_mix_w!$B$5:$AC$5,0),FALSE)/$Z121*VLOOKUP(AL$5,feed_intensity_w,11,FALSE)</f>
        <v>#N/A</v>
      </c>
      <c r="AM121" s="933" t="e">
        <f>VLOOKUP($W121,feed_mix_n,MATCH(AM$5,feed_mix_w!$B$5:$AC$5,0),FALSE)/$Z121*VLOOKUP(AM$5,feed_intensity_w,11,FALSE)</f>
        <v>#N/A</v>
      </c>
      <c r="AN121" s="933" t="e">
        <f>VLOOKUP($W121,feed_mix_n,MATCH(AN$5,feed_mix_w!$B$5:$AC$5,0),FALSE)/$Z121*VLOOKUP(AN$5,feed_intensity_w,11,FALSE)</f>
        <v>#N/A</v>
      </c>
      <c r="AO121" s="933" t="e">
        <f>VLOOKUP($W121,feed_mix_n,MATCH(AO$5,feed_mix_w!$B$5:$AC$5,0),FALSE)/$Z121*VLOOKUP(AO$5,feed_intensity_w,11,FALSE)</f>
        <v>#N/A</v>
      </c>
      <c r="AP121" s="933" t="e">
        <f>VLOOKUP($W121,feed_mix_n,MATCH(AP$5,feed_mix_w!$B$5:$AC$5,0),FALSE)/$Z121*VLOOKUP(AP$5,feed_intensity_w,11,FALSE)</f>
        <v>#N/A</v>
      </c>
      <c r="AQ121" s="933" t="e">
        <f>VLOOKUP($W121,feed_mix_n,MATCH(AQ$5,feed_mix_w!$B$5:$AC$5,0),FALSE)/$Z121*VLOOKUP(AQ$5,feed_intensity_w,11,FALSE)</f>
        <v>#N/A</v>
      </c>
      <c r="AR121" s="933" t="e">
        <f>VLOOKUP($W121,feed_mix_n,MATCH(AR$5,feed_mix_w!$B$5:$AC$5,0),FALSE)/$Z121*VLOOKUP(AR$5,feed_intensity_w,11,FALSE)</f>
        <v>#N/A</v>
      </c>
      <c r="AS121" s="1105" t="e">
        <f>VLOOKUP($W121,feed_mix_n,MATCH(AS$5,feed_mix_w!$B$5:$AC$5,0),FALSE)/$Z121*VLOOKUP(AS$5,feed_intensity_w,11,FALSE)</f>
        <v>#N/A</v>
      </c>
    </row>
    <row r="122" spans="1:45" ht="12.75" customHeight="1">
      <c r="A122" s="1008" t="s">
        <v>7409</v>
      </c>
      <c r="B122" s="1102">
        <v>1091</v>
      </c>
      <c r="C122" s="1103" t="s">
        <v>3662</v>
      </c>
      <c r="D122" s="1158">
        <v>1306</v>
      </c>
      <c r="E122" s="1158">
        <v>24038</v>
      </c>
      <c r="F122" s="1012">
        <f t="shared" si="33"/>
        <v>1306</v>
      </c>
      <c r="G122" s="1012">
        <f t="shared" si="34"/>
        <v>24038</v>
      </c>
      <c r="H122" s="933">
        <f t="shared" si="35"/>
        <v>1.0580698099780588</v>
      </c>
      <c r="I122" s="1486">
        <f t="shared" si="36"/>
        <v>1381.8391718313449</v>
      </c>
      <c r="J122" s="1006">
        <f>IFERROR(G122*VLOOKUP(W122,livestock_intensity!$B$7:$I$29,8,FALSE)/Z122,0)</f>
        <v>25433.882092252577</v>
      </c>
      <c r="K122" s="933">
        <f>VLOOKUP($W122,feed_mix_n,MATCH(K$5,feed_mix_w!$B$5:$AC$5,0),FALSE)/$Z122*VLOOKUP(K$5,feed_intensity_w,11,FALSE)</f>
        <v>0</v>
      </c>
      <c r="L122" s="1486">
        <f t="shared" si="37"/>
        <v>0</v>
      </c>
      <c r="M122" s="1447">
        <f>IFERROR(G122*VLOOKUP(W122,livestock_intensity!$B$7:$M$29,12,FALSE)/Z122,0)</f>
        <v>0</v>
      </c>
      <c r="N122" s="933">
        <f>VLOOKUP($W122,feed_mix_n,MATCH(N$5,feed_mix_w!$B$5:$AC$5,0),FALSE)/$Z122*VLOOKUP(N$5,feed_intensity_w,11,FALSE)</f>
        <v>0</v>
      </c>
      <c r="O122" s="1486">
        <f t="shared" si="38"/>
        <v>0</v>
      </c>
      <c r="P122" s="939">
        <f>IFERROR(G122*VLOOKUP(W122,livestock_intensity!$B$7:$Q$29,16,FALSE)/Z122,0)</f>
        <v>0</v>
      </c>
      <c r="Q122" s="1530"/>
      <c r="R122" s="900">
        <f t="shared" si="39"/>
        <v>1381.8391718313449</v>
      </c>
      <c r="S122" s="900">
        <f t="shared" si="40"/>
        <v>25433.882092252577</v>
      </c>
      <c r="T122" s="1483">
        <v>2744</v>
      </c>
      <c r="U122" s="1211" t="s">
        <v>415</v>
      </c>
      <c r="V122" s="1212" t="str">
        <f>IFERROR(VLOOKUP(W122,constant_ag_extr!$D$7:$E$594,2,FALSE),"")</f>
        <v>Other bird eggs,in shell</v>
      </c>
      <c r="W122" s="1213">
        <f t="shared" si="41"/>
        <v>1091</v>
      </c>
      <c r="X122" s="1099">
        <f>IFERROR(IF(VLOOKUP(B122,cnst_grazing!$C$10:$H$25,5,FALSE)="", IF(VLOOKUP(B122, cnst_grazing!$C$10:$H$25,3,FALSE)="", VLOOKUP(B122, cnst_grazing!$C$10:$H$25,4,FALSE),VLOOKUP(B122, cnst_grazing!$C$10:$H$25,3,FALSE)), VLOOKUP(B122,cnst_grazing!$C$10:$H$25,5,FALSE)),1)</f>
        <v>1</v>
      </c>
      <c r="Y122" s="1099">
        <f>IFERROR(IF(VLOOKUP(B122,cnst_grazing!$C$10:$H$25,6,FALSE)="", IF(VLOOKUP(B122, cnst_grazing!$C$10:$H$25,4,FALSE)="", VLOOKUP(B122, cnst_grazing!$C$10:$H$25,3,FALSE),VLOOKUP(B122, cnst_grazing!$C$10:$H$25,4,FALSE)), VLOOKUP(B122,cnst_grazing!$C$10:$H$25,6,FALSE)),1)</f>
        <v>1</v>
      </c>
      <c r="Z122" s="937">
        <f t="shared" si="42"/>
        <v>1</v>
      </c>
      <c r="AA122" s="1487">
        <f t="shared" si="43"/>
        <v>1.0580698099780588</v>
      </c>
      <c r="AB122" s="933">
        <f>VLOOKUP($W122,feed_mix_n,MATCH(AB$5,feed_mix_w!$B$5:$AC$5,0),FALSE)/$Z122*VLOOKUP(AB$5,feed_intensity_w,11,FALSE)</f>
        <v>0.23330794591973808</v>
      </c>
      <c r="AC122" s="933">
        <f>VLOOKUP($W122,feed_mix_n,MATCH(AC$5,feed_mix_w!$B$5:$AC$5,0),FALSE)/$Z122*VLOOKUP(AC$5,feed_intensity_w,11,FALSE)</f>
        <v>0.27296581828452832</v>
      </c>
      <c r="AD122" s="933">
        <f>VLOOKUP($W122,feed_mix_n,MATCH(AD$5,feed_mix_w!$B$5:$AC$5,0),FALSE)/$Z122*VLOOKUP(AD$5,feed_intensity_w,11,FALSE)</f>
        <v>0</v>
      </c>
      <c r="AE122" s="933">
        <f>VLOOKUP($W122,feed_mix_n,MATCH(AE$5,feed_mix_w!$B$5:$AC$5,0),FALSE)/$Z122*VLOOKUP(AE$5,feed_intensity_w,11,FALSE)</f>
        <v>0.25530205876750361</v>
      </c>
      <c r="AF122" s="933">
        <f>VLOOKUP($W122,feed_mix_n,MATCH(AF$5,feed_mix_w!$B$5:$AC$5,0),FALSE)/$Z122*VLOOKUP(AF$5,feed_intensity_w,11,FALSE)</f>
        <v>1.6849344673578931E-2</v>
      </c>
      <c r="AG122" s="933">
        <f>VLOOKUP($W122,feed_mix_n,MATCH(AG$5,feed_mix_w!$B$5:$AC$5,0),FALSE)/$Z122*VLOOKUP(AG$5,feed_intensity_w,11,FALSE)</f>
        <v>5.7776092956808986E-3</v>
      </c>
      <c r="AH122" s="933">
        <f>VLOOKUP($W122,feed_mix_n,MATCH(AH$5,feed_mix_w!$B$5:$AC$5,0),FALSE)/$Z122*VLOOKUP(AH$5,feed_intensity_w,11,FALSE)</f>
        <v>0.1074022555216434</v>
      </c>
      <c r="AI122" s="933">
        <f>VLOOKUP($W122,feed_mix_n,MATCH(AI$5,feed_mix_w!$B$5:$AC$5,0),FALSE)/$Z122*VLOOKUP(AI$5,feed_intensity_w,11,FALSE)</f>
        <v>0</v>
      </c>
      <c r="AJ122" s="933">
        <f>VLOOKUP($W122,feed_mix_n,MATCH(AJ$5,feed_mix_w!$B$5:$AC$5,0),FALSE)/$Z122*VLOOKUP(AJ$5,feed_intensity_w,11,FALSE)</f>
        <v>0</v>
      </c>
      <c r="AK122" s="933">
        <f>VLOOKUP($W122,feed_mix_n,MATCH(AK$5,feed_mix_w!$B$5:$AC$5,0),FALSE)/$Z122*VLOOKUP(AK$5,feed_intensity_w,11,FALSE)</f>
        <v>2.5568238315073842E-2</v>
      </c>
      <c r="AL122" s="933">
        <f>VLOOKUP($W122,feed_mix_n,MATCH(AL$5,feed_mix_w!$B$5:$AC$5,0),FALSE)/$Z122*VLOOKUP(AL$5,feed_intensity_w,11,FALSE)</f>
        <v>0</v>
      </c>
      <c r="AM122" s="933">
        <f>VLOOKUP($W122,feed_mix_n,MATCH(AM$5,feed_mix_w!$B$5:$AC$5,0),FALSE)/$Z122*VLOOKUP(AM$5,feed_intensity_w,11,FALSE)</f>
        <v>1.4698167354471605E-2</v>
      </c>
      <c r="AN122" s="933">
        <f>VLOOKUP($W122,feed_mix_n,MATCH(AN$5,feed_mix_w!$B$5:$AC$5,0),FALSE)/$Z122*VLOOKUP(AN$5,feed_intensity_w,11,FALSE)</f>
        <v>0</v>
      </c>
      <c r="AO122" s="933">
        <f>VLOOKUP($W122,feed_mix_n,MATCH(AO$5,feed_mix_w!$B$5:$AC$5,0),FALSE)/$Z122*VLOOKUP(AO$5,feed_intensity_w,11,FALSE)</f>
        <v>2.2889999313534373E-2</v>
      </c>
      <c r="AP122" s="933">
        <f>VLOOKUP($W122,feed_mix_n,MATCH(AP$5,feed_mix_w!$B$5:$AC$5,0),FALSE)/$Z122*VLOOKUP(AP$5,feed_intensity_w,11,FALSE)</f>
        <v>1.0704050498649807E-2</v>
      </c>
      <c r="AQ122" s="933">
        <f>VLOOKUP($W122,feed_mix_n,MATCH(AQ$5,feed_mix_w!$B$5:$AC$5,0),FALSE)/$Z122*VLOOKUP(AQ$5,feed_intensity_w,11,FALSE)</f>
        <v>0</v>
      </c>
      <c r="AR122" s="933">
        <f>VLOOKUP($W122,feed_mix_n,MATCH(AR$5,feed_mix_w!$B$5:$AC$5,0),FALSE)/$Z122*VLOOKUP(AR$5,feed_intensity_w,11,FALSE)</f>
        <v>9.2604322033656081E-2</v>
      </c>
      <c r="AS122" s="1105">
        <f>VLOOKUP($W122,feed_mix_n,MATCH(AS$5,feed_mix_w!$B$5:$AC$5,0),FALSE)/$Z122*VLOOKUP(AS$5,feed_intensity_w,11,FALSE)</f>
        <v>0</v>
      </c>
    </row>
    <row r="123" spans="1:45" ht="12.75" customHeight="1">
      <c r="A123" s="1008" t="s">
        <v>2783</v>
      </c>
      <c r="B123" s="1102">
        <v>1096</v>
      </c>
      <c r="C123" s="1103" t="s">
        <v>2784</v>
      </c>
      <c r="D123" s="1158">
        <v>16176</v>
      </c>
      <c r="E123" s="1158">
        <v>210084</v>
      </c>
      <c r="F123" s="1012">
        <f t="shared" si="33"/>
        <v>2536.1824601325761</v>
      </c>
      <c r="G123" s="1012">
        <f t="shared" si="34"/>
        <v>53728.831930798959</v>
      </c>
      <c r="H123" s="933">
        <f t="shared" si="35"/>
        <v>13.422308702169609</v>
      </c>
      <c r="I123" s="1486">
        <f t="shared" si="36"/>
        <v>34041.423904927404</v>
      </c>
      <c r="J123" s="1006">
        <f>IFERROR(G123*VLOOKUP(W123,livestock_intensity!$B$7:$I$29,8,FALSE)/Z123,0)</f>
        <v>1069715.5851586941</v>
      </c>
      <c r="K123" s="933">
        <f>VLOOKUP($W123,feed_mix_n,MATCH(K$5,feed_mix_w!$B$5:$AC$5,0),FALSE)/$Z123*VLOOKUP(K$5,feed_intensity_w,11,FALSE)</f>
        <v>0</v>
      </c>
      <c r="L123" s="1486">
        <f t="shared" si="37"/>
        <v>0</v>
      </c>
      <c r="M123" s="1447">
        <f>IFERROR(G123*VLOOKUP(W123,livestock_intensity!$B$7:$M$29,12,FALSE)/Z123,0)</f>
        <v>0</v>
      </c>
      <c r="N123" s="933">
        <f>VLOOKUP($W123,feed_mix_n,MATCH(N$5,feed_mix_w!$B$5:$AC$5,0),FALSE)/$Z123*VLOOKUP(N$5,feed_intensity_w,11,FALSE)</f>
        <v>33.645724581642071</v>
      </c>
      <c r="O123" s="1486">
        <f t="shared" si="38"/>
        <v>85331.696542412072</v>
      </c>
      <c r="P123" s="939">
        <f>IFERROR(G123*VLOOKUP(W123,livestock_intensity!$B$7:$Q$29,16,FALSE)/Z123,0)</f>
        <v>1310163.4052737302</v>
      </c>
      <c r="Q123" s="1530"/>
      <c r="R123" s="900">
        <f t="shared" si="39"/>
        <v>119373.12044733948</v>
      </c>
      <c r="S123" s="900">
        <f t="shared" si="40"/>
        <v>2379878.9904324245</v>
      </c>
      <c r="T123" s="1483" t="s">
        <v>2862</v>
      </c>
      <c r="U123" s="1211" t="s">
        <v>415</v>
      </c>
      <c r="V123" s="1212" t="str">
        <f>IFERROR(VLOOKUP(W123,constant_ag_extr!$D$7:$E$594,2,FALSE),"")</f>
        <v>Horses</v>
      </c>
      <c r="W123" s="1213">
        <f t="shared" si="41"/>
        <v>1096</v>
      </c>
      <c r="X123" s="1099">
        <f>IFERROR(IF(VLOOKUP(B123,cnst_grazing!$C$10:$H$25,5,FALSE)="", IF(VLOOKUP(B123, cnst_grazing!$C$10:$H$25,3,FALSE)="", VLOOKUP(B123, cnst_grazing!$C$10:$H$25,4,FALSE),VLOOKUP(B123, cnst_grazing!$C$10:$H$25,3,FALSE)), VLOOKUP(B123,cnst_grazing!$C$10:$H$25,5,FALSE)),1)</f>
        <v>0.156786749513636</v>
      </c>
      <c r="Y123" s="1099">
        <f>IFERROR(IF(VLOOKUP(B123,cnst_grazing!$C$10:$H$25,6,FALSE)="", IF(VLOOKUP(B123, cnst_grazing!$C$10:$H$25,4,FALSE)="", VLOOKUP(B123, cnst_grazing!$C$10:$H$25,3,FALSE),VLOOKUP(B123, cnst_grazing!$C$10:$H$25,4,FALSE)), VLOOKUP(B123,cnst_grazing!$C$10:$H$25,6,FALSE)),1)</f>
        <v>0.25574928091048799</v>
      </c>
      <c r="Z123" s="937">
        <f t="shared" si="42"/>
        <v>1</v>
      </c>
      <c r="AA123" s="1487">
        <f t="shared" si="43"/>
        <v>47.06803328381168</v>
      </c>
      <c r="AB123" s="933">
        <f>VLOOKUP($W123,feed_mix_n,MATCH(AB$5,feed_mix_w!$B$5:$AC$5,0),FALSE)/$Z123*VLOOKUP(AB$5,feed_intensity_w,11,FALSE)</f>
        <v>3.7003436231063787</v>
      </c>
      <c r="AC123" s="933">
        <f>VLOOKUP($W123,feed_mix_n,MATCH(AC$5,feed_mix_w!$B$5:$AC$5,0),FALSE)/$Z123*VLOOKUP(AC$5,feed_intensity_w,11,FALSE)</f>
        <v>1.5505148494836882</v>
      </c>
      <c r="AD123" s="933">
        <f>VLOOKUP($W123,feed_mix_n,MATCH(AD$5,feed_mix_w!$B$5:$AC$5,0),FALSE)/$Z123*VLOOKUP(AD$5,feed_intensity_w,11,FALSE)</f>
        <v>0</v>
      </c>
      <c r="AE123" s="933">
        <f>VLOOKUP($W123,feed_mix_n,MATCH(AE$5,feed_mix_w!$B$5:$AC$5,0),FALSE)/$Z123*VLOOKUP(AE$5,feed_intensity_w,11,FALSE)</f>
        <v>2.945225936184471</v>
      </c>
      <c r="AF123" s="933">
        <f>VLOOKUP($W123,feed_mix_n,MATCH(AF$5,feed_mix_w!$B$5:$AC$5,0),FALSE)/$Z123*VLOOKUP(AF$5,feed_intensity_w,11,FALSE)</f>
        <v>1.4726129680922355</v>
      </c>
      <c r="AG123" s="933">
        <f>VLOOKUP($W123,feed_mix_n,MATCH(AG$5,feed_mix_w!$B$5:$AC$5,0),FALSE)/$Z123*VLOOKUP(AG$5,feed_intensity_w,11,FALSE)</f>
        <v>0</v>
      </c>
      <c r="AH123" s="933">
        <f>VLOOKUP($W123,feed_mix_n,MATCH(AH$5,feed_mix_w!$B$5:$AC$5,0),FALSE)/$Z123*VLOOKUP(AH$5,feed_intensity_w,11,FALSE)</f>
        <v>1.4726129680922355</v>
      </c>
      <c r="AI123" s="933">
        <f>VLOOKUP($W123,feed_mix_n,MATCH(AI$5,feed_mix_w!$B$5:$AC$5,0),FALSE)/$Z123*VLOOKUP(AI$5,feed_intensity_w,11,FALSE)</f>
        <v>0</v>
      </c>
      <c r="AJ123" s="933">
        <f>VLOOKUP($W123,feed_mix_n,MATCH(AJ$5,feed_mix_w!$B$5:$AC$5,0),FALSE)/$Z123*VLOOKUP(AJ$5,feed_intensity_w,11,FALSE)</f>
        <v>0</v>
      </c>
      <c r="AK123" s="933">
        <f>VLOOKUP($W123,feed_mix_n,MATCH(AK$5,feed_mix_w!$B$5:$AC$5,0),FALSE)/$Z123*VLOOKUP(AK$5,feed_intensity_w,11,FALSE)</f>
        <v>0</v>
      </c>
      <c r="AL123" s="933">
        <f>VLOOKUP($W123,feed_mix_n,MATCH(AL$5,feed_mix_w!$B$5:$AC$5,0),FALSE)/$Z123*VLOOKUP(AL$5,feed_intensity_w,11,FALSE)</f>
        <v>0</v>
      </c>
      <c r="AM123" s="933">
        <f>VLOOKUP($W123,feed_mix_n,MATCH(AM$5,feed_mix_w!$B$5:$AC$5,0),FALSE)/$Z123*VLOOKUP(AM$5,feed_intensity_w,11,FALSE)</f>
        <v>1.075218029152496</v>
      </c>
      <c r="AN123" s="933">
        <f>VLOOKUP($W123,feed_mix_n,MATCH(AN$5,feed_mix_w!$B$5:$AC$5,0),FALSE)/$Z123*VLOOKUP(AN$5,feed_intensity_w,11,FALSE)</f>
        <v>0</v>
      </c>
      <c r="AO123" s="933">
        <f>VLOOKUP($W123,feed_mix_n,MATCH(AO$5,feed_mix_w!$B$5:$AC$5,0),FALSE)/$Z123*VLOOKUP(AO$5,feed_intensity_w,11,FALSE)</f>
        <v>0</v>
      </c>
      <c r="AP123" s="933">
        <f>VLOOKUP($W123,feed_mix_n,MATCH(AP$5,feed_mix_w!$B$5:$AC$5,0),FALSE)/$Z123*VLOOKUP(AP$5,feed_intensity_w,11,FALSE)</f>
        <v>0</v>
      </c>
      <c r="AQ123" s="933">
        <f>VLOOKUP($W123,feed_mix_n,MATCH(AQ$5,feed_mix_w!$B$5:$AC$5,0),FALSE)/$Z123*VLOOKUP(AQ$5,feed_intensity_w,11,FALSE)</f>
        <v>0</v>
      </c>
      <c r="AR123" s="933">
        <f>VLOOKUP($W123,feed_mix_n,MATCH(AR$5,feed_mix_w!$B$5:$AC$5,0),FALSE)/$Z123*VLOOKUP(AR$5,feed_intensity_w,11,FALSE)</f>
        <v>1.2057803280581043</v>
      </c>
      <c r="AS123" s="1105">
        <f>VLOOKUP($W123,feed_mix_n,MATCH(AS$5,feed_mix_w!$B$5:$AC$5,0),FALSE)/$Z123*VLOOKUP(AS$5,feed_intensity_w,11,FALSE)</f>
        <v>0</v>
      </c>
    </row>
    <row r="124" spans="1:45" ht="12.75" customHeight="1">
      <c r="A124" s="1008" t="s">
        <v>7410</v>
      </c>
      <c r="B124" s="1102">
        <v>1097</v>
      </c>
      <c r="C124" s="1103" t="s">
        <v>5193</v>
      </c>
      <c r="D124" s="1158">
        <v>745</v>
      </c>
      <c r="E124" s="1158">
        <v>18</v>
      </c>
      <c r="F124" s="1012">
        <f t="shared" si="33"/>
        <v>745</v>
      </c>
      <c r="G124" s="1012">
        <f t="shared" si="34"/>
        <v>18</v>
      </c>
      <c r="H124" s="933">
        <f t="shared" si="35"/>
        <v>17.257003504548287</v>
      </c>
      <c r="I124" s="1486">
        <f t="shared" si="36"/>
        <v>12856.467610888474</v>
      </c>
      <c r="J124" s="1006">
        <f>IFERROR(G124*VLOOKUP(W124,livestock_intensity!$B$7:$I$29,8,FALSE)/Z124,0)</f>
        <v>460.75663045667403</v>
      </c>
      <c r="K124" s="933">
        <f>VLOOKUP($W124,feed_mix_n,MATCH(K$5,feed_mix_w!$B$5:$AC$5,0),FALSE)/$Z124*VLOOKUP(K$5,feed_intensity_w,11,FALSE)</f>
        <v>0</v>
      </c>
      <c r="L124" s="1486">
        <f t="shared" si="37"/>
        <v>0</v>
      </c>
      <c r="M124" s="1447">
        <f>IFERROR(G124*VLOOKUP(W124,livestock_intensity!$B$7:$M$29,12,FALSE)/Z124,0)</f>
        <v>0</v>
      </c>
      <c r="N124" s="933">
        <f>VLOOKUP($W124,feed_mix_n,MATCH(N$5,feed_mix_w!$B$5:$AC$5,0),FALSE)/$Z124*VLOOKUP(N$5,feed_intensity_w,11,FALSE)</f>
        <v>43.258160716018281</v>
      </c>
      <c r="O124" s="1486">
        <f t="shared" si="38"/>
        <v>32227.32973343362</v>
      </c>
      <c r="P124" s="939">
        <f>IFERROR(G124*VLOOKUP(W124,livestock_intensity!$B$7:$Q$29,16,FALSE)/Z124,0)</f>
        <v>564.32427865581758</v>
      </c>
      <c r="Q124" s="1530"/>
      <c r="R124" s="900">
        <f t="shared" si="39"/>
        <v>45083.797344322098</v>
      </c>
      <c r="S124" s="900">
        <f t="shared" si="40"/>
        <v>1025.0809091124916</v>
      </c>
      <c r="T124" s="1483">
        <v>2735</v>
      </c>
      <c r="U124" s="1211" t="s">
        <v>2921</v>
      </c>
      <c r="V124" s="1212" t="str">
        <f>IFERROR(VLOOKUP(W124,constant_ag_extr!$D$7:$E$594,2,FALSE),"")</f>
        <v>Horses</v>
      </c>
      <c r="W124" s="1213">
        <f t="shared" si="41"/>
        <v>1096</v>
      </c>
      <c r="X124" s="1099">
        <f>IFERROR(IF(VLOOKUP(B124,cnst_grazing!$C$10:$H$25,5,FALSE)="", IF(VLOOKUP(B124, cnst_grazing!$C$10:$H$25,3,FALSE)="", VLOOKUP(B124, cnst_grazing!$C$10:$H$25,4,FALSE),VLOOKUP(B124, cnst_grazing!$C$10:$H$25,3,FALSE)), VLOOKUP(B124,cnst_grazing!$C$10:$H$25,5,FALSE)),1)</f>
        <v>1</v>
      </c>
      <c r="Y124" s="1099">
        <f>IFERROR(IF(VLOOKUP(B124,cnst_grazing!$C$10:$H$25,6,FALSE)="", IF(VLOOKUP(B124, cnst_grazing!$C$10:$H$25,4,FALSE)="", VLOOKUP(B124, cnst_grazing!$C$10:$H$25,3,FALSE),VLOOKUP(B124, cnst_grazing!$C$10:$H$25,4,FALSE)), VLOOKUP(B124,cnst_grazing!$C$10:$H$25,6,FALSE)),1)</f>
        <v>1</v>
      </c>
      <c r="Z124" s="937">
        <f t="shared" si="42"/>
        <v>0.77778906973229744</v>
      </c>
      <c r="AA124" s="1487">
        <f t="shared" si="43"/>
        <v>60.515164220566568</v>
      </c>
      <c r="AB124" s="933">
        <f>VLOOKUP($W124,feed_mix_n,MATCH(AB$5,feed_mix_w!$B$5:$AC$5,0),FALSE)/$Z124*VLOOKUP(AB$5,feed_intensity_w,11,FALSE)</f>
        <v>4.7575155875872328</v>
      </c>
      <c r="AC124" s="933">
        <f>VLOOKUP($W124,feed_mix_n,MATCH(AC$5,feed_mix_w!$B$5:$AC$5,0),FALSE)/$Z124*VLOOKUP(AC$5,feed_intensity_w,11,FALSE)</f>
        <v>1.9934901502503122</v>
      </c>
      <c r="AD124" s="933">
        <f>VLOOKUP($W124,feed_mix_n,MATCH(AD$5,feed_mix_w!$B$5:$AC$5,0),FALSE)/$Z124*VLOOKUP(AD$5,feed_intensity_w,11,FALSE)</f>
        <v>0</v>
      </c>
      <c r="AE124" s="933">
        <f>VLOOKUP($W124,feed_mix_n,MATCH(AE$5,feed_mix_w!$B$5:$AC$5,0),FALSE)/$Z124*VLOOKUP(AE$5,feed_intensity_w,11,FALSE)</f>
        <v>3.7866640851589373</v>
      </c>
      <c r="AF124" s="933">
        <f>VLOOKUP($W124,feed_mix_n,MATCH(AF$5,feed_mix_w!$B$5:$AC$5,0),FALSE)/$Z124*VLOOKUP(AF$5,feed_intensity_w,11,FALSE)</f>
        <v>1.8933320425794686</v>
      </c>
      <c r="AG124" s="933">
        <f>VLOOKUP($W124,feed_mix_n,MATCH(AG$5,feed_mix_w!$B$5:$AC$5,0),FALSE)/$Z124*VLOOKUP(AG$5,feed_intensity_w,11,FALSE)</f>
        <v>0</v>
      </c>
      <c r="AH124" s="933">
        <f>VLOOKUP($W124,feed_mix_n,MATCH(AH$5,feed_mix_w!$B$5:$AC$5,0),FALSE)/$Z124*VLOOKUP(AH$5,feed_intensity_w,11,FALSE)</f>
        <v>1.8933320425794686</v>
      </c>
      <c r="AI124" s="933">
        <f>VLOOKUP($W124,feed_mix_n,MATCH(AI$5,feed_mix_w!$B$5:$AC$5,0),FALSE)/$Z124*VLOOKUP(AI$5,feed_intensity_w,11,FALSE)</f>
        <v>0</v>
      </c>
      <c r="AJ124" s="933">
        <f>VLOOKUP($W124,feed_mix_n,MATCH(AJ$5,feed_mix_w!$B$5:$AC$5,0),FALSE)/$Z124*VLOOKUP(AJ$5,feed_intensity_w,11,FALSE)</f>
        <v>0</v>
      </c>
      <c r="AK124" s="933">
        <f>VLOOKUP($W124,feed_mix_n,MATCH(AK$5,feed_mix_w!$B$5:$AC$5,0),FALSE)/$Z124*VLOOKUP(AK$5,feed_intensity_w,11,FALSE)</f>
        <v>0</v>
      </c>
      <c r="AL124" s="933">
        <f>VLOOKUP($W124,feed_mix_n,MATCH(AL$5,feed_mix_w!$B$5:$AC$5,0),FALSE)/$Z124*VLOOKUP(AL$5,feed_intensity_w,11,FALSE)</f>
        <v>0</v>
      </c>
      <c r="AM124" s="933">
        <f>VLOOKUP($W124,feed_mix_n,MATCH(AM$5,feed_mix_w!$B$5:$AC$5,0),FALSE)/$Z124*VLOOKUP(AM$5,feed_intensity_w,11,FALSE)</f>
        <v>1.3824031102964314</v>
      </c>
      <c r="AN124" s="933">
        <f>VLOOKUP($W124,feed_mix_n,MATCH(AN$5,feed_mix_w!$B$5:$AC$5,0),FALSE)/$Z124*VLOOKUP(AN$5,feed_intensity_w,11,FALSE)</f>
        <v>0</v>
      </c>
      <c r="AO124" s="933">
        <f>VLOOKUP($W124,feed_mix_n,MATCH(AO$5,feed_mix_w!$B$5:$AC$5,0),FALSE)/$Z124*VLOOKUP(AO$5,feed_intensity_w,11,FALSE)</f>
        <v>0</v>
      </c>
      <c r="AP124" s="933">
        <f>VLOOKUP($W124,feed_mix_n,MATCH(AP$5,feed_mix_w!$B$5:$AC$5,0),FALSE)/$Z124*VLOOKUP(AP$5,feed_intensity_w,11,FALSE)</f>
        <v>0</v>
      </c>
      <c r="AQ124" s="933">
        <f>VLOOKUP($W124,feed_mix_n,MATCH(AQ$5,feed_mix_w!$B$5:$AC$5,0),FALSE)/$Z124*VLOOKUP(AQ$5,feed_intensity_w,11,FALSE)</f>
        <v>0</v>
      </c>
      <c r="AR124" s="933">
        <f>VLOOKUP($W124,feed_mix_n,MATCH(AR$5,feed_mix_w!$B$5:$AC$5,0),FALSE)/$Z124*VLOOKUP(AR$5,feed_intensity_w,11,FALSE)</f>
        <v>1.5502664860964357</v>
      </c>
      <c r="AS124" s="1105">
        <f>VLOOKUP($W124,feed_mix_n,MATCH(AS$5,feed_mix_w!$B$5:$AC$5,0),FALSE)/$Z124*VLOOKUP(AS$5,feed_intensity_w,11,FALSE)</f>
        <v>0</v>
      </c>
    </row>
    <row r="125" spans="1:45" ht="12.75" customHeight="1">
      <c r="A125" s="1008" t="s">
        <v>917</v>
      </c>
      <c r="B125" s="1102">
        <v>1098</v>
      </c>
      <c r="C125" s="1103">
        <v>5301.3</v>
      </c>
      <c r="D125" s="1158"/>
      <c r="E125" s="1158"/>
      <c r="F125" s="1012">
        <f t="shared" si="33"/>
        <v>0</v>
      </c>
      <c r="G125" s="1012">
        <f t="shared" si="34"/>
        <v>0</v>
      </c>
      <c r="H125" s="933">
        <f t="shared" si="35"/>
        <v>7.6569429988455759</v>
      </c>
      <c r="I125" s="1486">
        <f t="shared" si="36"/>
        <v>0</v>
      </c>
      <c r="J125" s="1006">
        <f>IFERROR(G125*VLOOKUP(W125,livestock_intensity!$B$7:$I$29,8,FALSE)/Z125,0)</f>
        <v>0</v>
      </c>
      <c r="K125" s="933">
        <f>VLOOKUP($W125,feed_mix_n,MATCH(K$5,feed_mix_w!$B$5:$AC$5,0),FALSE)/$Z125*VLOOKUP(K$5,feed_intensity_w,11,FALSE)</f>
        <v>0</v>
      </c>
      <c r="L125" s="1486">
        <f t="shared" si="37"/>
        <v>0</v>
      </c>
      <c r="M125" s="1447">
        <f>IFERROR(G125*VLOOKUP(W125,livestock_intensity!$B$7:$M$29,12,FALSE)/Z125,0)</f>
        <v>0</v>
      </c>
      <c r="N125" s="933">
        <f>VLOOKUP($W125,feed_mix_n,MATCH(N$5,feed_mix_w!$B$5:$AC$5,0),FALSE)/$Z125*VLOOKUP(N$5,feed_intensity_w,11,FALSE)</f>
        <v>19.193672340053393</v>
      </c>
      <c r="O125" s="1486">
        <f t="shared" si="38"/>
        <v>0</v>
      </c>
      <c r="P125" s="939">
        <f>IFERROR(G125*VLOOKUP(W125,livestock_intensity!$B$7:$Q$29,16,FALSE)/Z125,0)</f>
        <v>0</v>
      </c>
      <c r="Q125" s="1530"/>
      <c r="R125" s="900">
        <f t="shared" si="39"/>
        <v>0</v>
      </c>
      <c r="S125" s="900">
        <f t="shared" si="40"/>
        <v>0</v>
      </c>
      <c r="T125" s="1483">
        <v>2736</v>
      </c>
      <c r="U125" s="1211" t="s">
        <v>2921</v>
      </c>
      <c r="V125" s="1212" t="str">
        <f>IFERROR(VLOOKUP(W125,constant_ag_extr!$D$7:$E$594,2,FALSE),"")</f>
        <v>Horses</v>
      </c>
      <c r="W125" s="1213">
        <f t="shared" si="41"/>
        <v>1096</v>
      </c>
      <c r="X125" s="1099">
        <f>IFERROR(IF(VLOOKUP(B125,cnst_grazing!$C$10:$H$25,5,FALSE)="", IF(VLOOKUP(B125, cnst_grazing!$C$10:$H$25,3,FALSE)="", VLOOKUP(B125, cnst_grazing!$C$10:$H$25,4,FALSE),VLOOKUP(B125, cnst_grazing!$C$10:$H$25,3,FALSE)), VLOOKUP(B125,cnst_grazing!$C$10:$H$25,5,FALSE)),1)</f>
        <v>1</v>
      </c>
      <c r="Y125" s="1099">
        <f>IFERROR(IF(VLOOKUP(B125,cnst_grazing!$C$10:$H$25,6,FALSE)="", IF(VLOOKUP(B125, cnst_grazing!$C$10:$H$25,4,FALSE)="", VLOOKUP(B125, cnst_grazing!$C$10:$H$25,3,FALSE),VLOOKUP(B125, cnst_grazing!$C$10:$H$25,4,FALSE)), VLOOKUP(B125,cnst_grazing!$C$10:$H$25,6,FALSE)),1)</f>
        <v>1</v>
      </c>
      <c r="Z125" s="937">
        <f t="shared" si="42"/>
        <v>1.7529592037178896</v>
      </c>
      <c r="AA125" s="1487">
        <f t="shared" si="43"/>
        <v>26.850615338898969</v>
      </c>
      <c r="AB125" s="933">
        <f>VLOOKUP($W125,feed_mix_n,MATCH(AB$5,feed_mix_w!$B$5:$AC$5,0),FALSE)/$Z125*VLOOKUP(AB$5,feed_intensity_w,11,FALSE)</f>
        <v>2.1109125730126741</v>
      </c>
      <c r="AC125" s="933">
        <f>VLOOKUP($W125,feed_mix_n,MATCH(AC$5,feed_mix_w!$B$5:$AC$5,0),FALSE)/$Z125*VLOOKUP(AC$5,feed_intensity_w,11,FALSE)</f>
        <v>0.88451279767102808</v>
      </c>
      <c r="AD125" s="933">
        <f>VLOOKUP($W125,feed_mix_n,MATCH(AD$5,feed_mix_w!$B$5:$AC$5,0),FALSE)/$Z125*VLOOKUP(AD$5,feed_intensity_w,11,FALSE)</f>
        <v>0</v>
      </c>
      <c r="AE125" s="933">
        <f>VLOOKUP($W125,feed_mix_n,MATCH(AE$5,feed_mix_w!$B$5:$AC$5,0),FALSE)/$Z125*VLOOKUP(AE$5,feed_intensity_w,11,FALSE)</f>
        <v>1.6801451682035022</v>
      </c>
      <c r="AF125" s="933">
        <f>VLOOKUP($W125,feed_mix_n,MATCH(AF$5,feed_mix_w!$B$5:$AC$5,0),FALSE)/$Z125*VLOOKUP(AF$5,feed_intensity_w,11,FALSE)</f>
        <v>0.84007258410175112</v>
      </c>
      <c r="AG125" s="933">
        <f>VLOOKUP($W125,feed_mix_n,MATCH(AG$5,feed_mix_w!$B$5:$AC$5,0),FALSE)/$Z125*VLOOKUP(AG$5,feed_intensity_w,11,FALSE)</f>
        <v>0</v>
      </c>
      <c r="AH125" s="933">
        <f>VLOOKUP($W125,feed_mix_n,MATCH(AH$5,feed_mix_w!$B$5:$AC$5,0),FALSE)/$Z125*VLOOKUP(AH$5,feed_intensity_w,11,FALSE)</f>
        <v>0.84007258410175112</v>
      </c>
      <c r="AI125" s="933">
        <f>VLOOKUP($W125,feed_mix_n,MATCH(AI$5,feed_mix_w!$B$5:$AC$5,0),FALSE)/$Z125*VLOOKUP(AI$5,feed_intensity_w,11,FALSE)</f>
        <v>0</v>
      </c>
      <c r="AJ125" s="933">
        <f>VLOOKUP($W125,feed_mix_n,MATCH(AJ$5,feed_mix_w!$B$5:$AC$5,0),FALSE)/$Z125*VLOOKUP(AJ$5,feed_intensity_w,11,FALSE)</f>
        <v>0</v>
      </c>
      <c r="AK125" s="933">
        <f>VLOOKUP($W125,feed_mix_n,MATCH(AK$5,feed_mix_w!$B$5:$AC$5,0),FALSE)/$Z125*VLOOKUP(AK$5,feed_intensity_w,11,FALSE)</f>
        <v>0</v>
      </c>
      <c r="AL125" s="933">
        <f>VLOOKUP($W125,feed_mix_n,MATCH(AL$5,feed_mix_w!$B$5:$AC$5,0),FALSE)/$Z125*VLOOKUP(AL$5,feed_intensity_w,11,FALSE)</f>
        <v>0</v>
      </c>
      <c r="AM125" s="933">
        <f>VLOOKUP($W125,feed_mix_n,MATCH(AM$5,feed_mix_w!$B$5:$AC$5,0),FALSE)/$Z125*VLOOKUP(AM$5,feed_intensity_w,11,FALSE)</f>
        <v>0.61337310467467954</v>
      </c>
      <c r="AN125" s="933">
        <f>VLOOKUP($W125,feed_mix_n,MATCH(AN$5,feed_mix_w!$B$5:$AC$5,0),FALSE)/$Z125*VLOOKUP(AN$5,feed_intensity_w,11,FALSE)</f>
        <v>0</v>
      </c>
      <c r="AO125" s="933">
        <f>VLOOKUP($W125,feed_mix_n,MATCH(AO$5,feed_mix_w!$B$5:$AC$5,0),FALSE)/$Z125*VLOOKUP(AO$5,feed_intensity_w,11,FALSE)</f>
        <v>0</v>
      </c>
      <c r="AP125" s="933">
        <f>VLOOKUP($W125,feed_mix_n,MATCH(AP$5,feed_mix_w!$B$5:$AC$5,0),FALSE)/$Z125*VLOOKUP(AP$5,feed_intensity_w,11,FALSE)</f>
        <v>0</v>
      </c>
      <c r="AQ125" s="933">
        <f>VLOOKUP($W125,feed_mix_n,MATCH(AQ$5,feed_mix_w!$B$5:$AC$5,0),FALSE)/$Z125*VLOOKUP(AQ$5,feed_intensity_w,11,FALSE)</f>
        <v>0</v>
      </c>
      <c r="AR125" s="933">
        <f>VLOOKUP($W125,feed_mix_n,MATCH(AR$5,feed_mix_w!$B$5:$AC$5,0),FALSE)/$Z125*VLOOKUP(AR$5,feed_intensity_w,11,FALSE)</f>
        <v>0.68785418708018886</v>
      </c>
      <c r="AS125" s="1105">
        <f>VLOOKUP($W125,feed_mix_n,MATCH(AS$5,feed_mix_w!$B$5:$AC$5,0),FALSE)/$Z125*VLOOKUP(AS$5,feed_intensity_w,11,FALSE)</f>
        <v>0</v>
      </c>
    </row>
    <row r="126" spans="1:45" ht="12.75" customHeight="1">
      <c r="A126" s="1008" t="s">
        <v>5448</v>
      </c>
      <c r="B126" s="1102">
        <v>1100</v>
      </c>
      <c r="C126" s="1103">
        <v>503</v>
      </c>
      <c r="D126" s="1158"/>
      <c r="E126" s="1158"/>
      <c r="F126" s="1012">
        <f t="shared" si="33"/>
        <v>0</v>
      </c>
      <c r="G126" s="1012">
        <f t="shared" si="34"/>
        <v>0</v>
      </c>
      <c r="H126" s="933">
        <f t="shared" si="35"/>
        <v>7.0831875908908497</v>
      </c>
      <c r="I126" s="1486">
        <f t="shared" si="36"/>
        <v>0</v>
      </c>
      <c r="J126" s="1006">
        <f>IFERROR(G126*VLOOKUP(W126,livestock_intensity!$B$7:$I$29,8,FALSE)/Z126,0)</f>
        <v>0</v>
      </c>
      <c r="K126" s="933">
        <f>VLOOKUP($W126,feed_mix_n,MATCH(K$5,feed_mix_w!$B$5:$AC$5,0),FALSE)/$Z126*VLOOKUP(K$5,feed_intensity_w,11,FALSE)</f>
        <v>0</v>
      </c>
      <c r="L126" s="1486">
        <f t="shared" si="37"/>
        <v>0</v>
      </c>
      <c r="M126" s="1447">
        <f>IFERROR(G126*VLOOKUP(W126,livestock_intensity!$B$7:$M$29,12,FALSE)/Z126,0)</f>
        <v>0</v>
      </c>
      <c r="N126" s="933">
        <f>VLOOKUP($W126,feed_mix_n,MATCH(N$5,feed_mix_w!$B$5:$AC$5,0),FALSE)/$Z126*VLOOKUP(N$5,feed_intensity_w,11,FALSE)</f>
        <v>17.755438660466513</v>
      </c>
      <c r="O126" s="1486">
        <f t="shared" si="38"/>
        <v>0</v>
      </c>
      <c r="P126" s="939">
        <f>IFERROR(G126*VLOOKUP(W126,livestock_intensity!$B$7:$Q$29,16,FALSE)/Z126,0)</f>
        <v>0</v>
      </c>
      <c r="Q126" s="1530"/>
      <c r="R126" s="900">
        <f t="shared" si="39"/>
        <v>0</v>
      </c>
      <c r="S126" s="900">
        <f t="shared" si="40"/>
        <v>0</v>
      </c>
      <c r="T126" s="1483" t="s">
        <v>2862</v>
      </c>
      <c r="U126" s="1211" t="s">
        <v>2921</v>
      </c>
      <c r="V126" s="1212" t="str">
        <f>IFERROR(VLOOKUP(W126,constant_ag_extr!$D$7:$E$594,2,FALSE),"")</f>
        <v>Horses</v>
      </c>
      <c r="W126" s="1213">
        <f t="shared" si="41"/>
        <v>1096</v>
      </c>
      <c r="X126" s="1099">
        <f>IFERROR(IF(VLOOKUP(B126,cnst_grazing!$C$10:$H$25,5,FALSE)="", IF(VLOOKUP(B126, cnst_grazing!$C$10:$H$25,3,FALSE)="", VLOOKUP(B126, cnst_grazing!$C$10:$H$25,4,FALSE),VLOOKUP(B126, cnst_grazing!$C$10:$H$25,3,FALSE)), VLOOKUP(B126,cnst_grazing!$C$10:$H$25,5,FALSE)),1)</f>
        <v>1</v>
      </c>
      <c r="Y126" s="1099">
        <f>IFERROR(IF(VLOOKUP(B126,cnst_grazing!$C$10:$H$25,6,FALSE)="", IF(VLOOKUP(B126, cnst_grazing!$C$10:$H$25,4,FALSE)="", VLOOKUP(B126, cnst_grazing!$C$10:$H$25,3,FALSE),VLOOKUP(B126, cnst_grazing!$C$10:$H$25,4,FALSE)), VLOOKUP(B126,cnst_grazing!$C$10:$H$25,6,FALSE)),1)</f>
        <v>1</v>
      </c>
      <c r="Z126" s="937">
        <f t="shared" si="42"/>
        <v>1.8949531591441995</v>
      </c>
      <c r="AA126" s="1487">
        <f t="shared" si="43"/>
        <v>24.838626251357361</v>
      </c>
      <c r="AB126" s="933">
        <f>VLOOKUP($W126,feed_mix_n,MATCH(AB$5,feed_mix_w!$B$5:$AC$5,0),FALSE)/$Z126*VLOOKUP(AB$5,feed_intensity_w,11,FALSE)</f>
        <v>1.9527361957471978</v>
      </c>
      <c r="AC126" s="933">
        <f>VLOOKUP($W126,feed_mix_n,MATCH(AC$5,feed_mix_w!$B$5:$AC$5,0),FALSE)/$Z126*VLOOKUP(AC$5,feed_intensity_w,11,FALSE)</f>
        <v>0.81823386609932514</v>
      </c>
      <c r="AD126" s="933">
        <f>VLOOKUP($W126,feed_mix_n,MATCH(AD$5,feed_mix_w!$B$5:$AC$5,0),FALSE)/$Z126*VLOOKUP(AD$5,feed_intensity_w,11,FALSE)</f>
        <v>0</v>
      </c>
      <c r="AE126" s="933">
        <f>VLOOKUP($W126,feed_mix_n,MATCH(AE$5,feed_mix_w!$B$5:$AC$5,0),FALSE)/$Z126*VLOOKUP(AE$5,feed_intensity_w,11,FALSE)</f>
        <v>1.5542473553882443</v>
      </c>
      <c r="AF126" s="933">
        <f>VLOOKUP($W126,feed_mix_n,MATCH(AF$5,feed_mix_w!$B$5:$AC$5,0),FALSE)/$Z126*VLOOKUP(AF$5,feed_intensity_w,11,FALSE)</f>
        <v>0.77712367769412216</v>
      </c>
      <c r="AG126" s="933">
        <f>VLOOKUP($W126,feed_mix_n,MATCH(AG$5,feed_mix_w!$B$5:$AC$5,0),FALSE)/$Z126*VLOOKUP(AG$5,feed_intensity_w,11,FALSE)</f>
        <v>0</v>
      </c>
      <c r="AH126" s="933">
        <f>VLOOKUP($W126,feed_mix_n,MATCH(AH$5,feed_mix_w!$B$5:$AC$5,0),FALSE)/$Z126*VLOOKUP(AH$5,feed_intensity_w,11,FALSE)</f>
        <v>0.77712367769412216</v>
      </c>
      <c r="AI126" s="933">
        <f>VLOOKUP($W126,feed_mix_n,MATCH(AI$5,feed_mix_w!$B$5:$AC$5,0),FALSE)/$Z126*VLOOKUP(AI$5,feed_intensity_w,11,FALSE)</f>
        <v>0</v>
      </c>
      <c r="AJ126" s="933">
        <f>VLOOKUP($W126,feed_mix_n,MATCH(AJ$5,feed_mix_w!$B$5:$AC$5,0),FALSE)/$Z126*VLOOKUP(AJ$5,feed_intensity_w,11,FALSE)</f>
        <v>0</v>
      </c>
      <c r="AK126" s="933">
        <f>VLOOKUP($W126,feed_mix_n,MATCH(AK$5,feed_mix_w!$B$5:$AC$5,0),FALSE)/$Z126*VLOOKUP(AK$5,feed_intensity_w,11,FALSE)</f>
        <v>0</v>
      </c>
      <c r="AL126" s="933">
        <f>VLOOKUP($W126,feed_mix_n,MATCH(AL$5,feed_mix_w!$B$5:$AC$5,0),FALSE)/$Z126*VLOOKUP(AL$5,feed_intensity_w,11,FALSE)</f>
        <v>0</v>
      </c>
      <c r="AM126" s="933">
        <f>VLOOKUP($W126,feed_mix_n,MATCH(AM$5,feed_mix_w!$B$5:$AC$5,0),FALSE)/$Z126*VLOOKUP(AM$5,feed_intensity_w,11,FALSE)</f>
        <v>0.56741140221011421</v>
      </c>
      <c r="AN126" s="933">
        <f>VLOOKUP($W126,feed_mix_n,MATCH(AN$5,feed_mix_w!$B$5:$AC$5,0),FALSE)/$Z126*VLOOKUP(AN$5,feed_intensity_w,11,FALSE)</f>
        <v>0</v>
      </c>
      <c r="AO126" s="933">
        <f>VLOOKUP($W126,feed_mix_n,MATCH(AO$5,feed_mix_w!$B$5:$AC$5,0),FALSE)/$Z126*VLOOKUP(AO$5,feed_intensity_w,11,FALSE)</f>
        <v>0</v>
      </c>
      <c r="AP126" s="933">
        <f>VLOOKUP($W126,feed_mix_n,MATCH(AP$5,feed_mix_w!$B$5:$AC$5,0),FALSE)/$Z126*VLOOKUP(AP$5,feed_intensity_w,11,FALSE)</f>
        <v>0</v>
      </c>
      <c r="AQ126" s="933">
        <f>VLOOKUP($W126,feed_mix_n,MATCH(AQ$5,feed_mix_w!$B$5:$AC$5,0),FALSE)/$Z126*VLOOKUP(AQ$5,feed_intensity_w,11,FALSE)</f>
        <v>0</v>
      </c>
      <c r="AR126" s="933">
        <f>VLOOKUP($W126,feed_mix_n,MATCH(AR$5,feed_mix_w!$B$5:$AC$5,0),FALSE)/$Z126*VLOOKUP(AR$5,feed_intensity_w,11,FALSE)</f>
        <v>0.63631141605772457</v>
      </c>
      <c r="AS126" s="1105">
        <f>VLOOKUP($W126,feed_mix_n,MATCH(AS$5,feed_mix_w!$B$5:$AC$5,0),FALSE)/$Z126*VLOOKUP(AS$5,feed_intensity_w,11,FALSE)</f>
        <v>0</v>
      </c>
    </row>
    <row r="127" spans="1:45" ht="12.75" customHeight="1">
      <c r="A127" s="1008" t="s">
        <v>297</v>
      </c>
      <c r="B127" s="1102">
        <v>1103</v>
      </c>
      <c r="C127" s="1103" t="s">
        <v>1622</v>
      </c>
      <c r="D127" s="1158"/>
      <c r="E127" s="1158"/>
      <c r="F127" s="1012">
        <f t="shared" si="33"/>
        <v>0</v>
      </c>
      <c r="G127" s="1012">
        <f t="shared" si="34"/>
        <v>0</v>
      </c>
      <c r="H127" s="933">
        <f t="shared" si="35"/>
        <v>38.349453434770318</v>
      </c>
      <c r="I127" s="1486">
        <f t="shared" si="36"/>
        <v>0</v>
      </c>
      <c r="J127" s="1006">
        <f>IFERROR(G127*VLOOKUP(W127,livestock_intensity!$B$7:$I$29,8,FALSE)/Z127,0)</f>
        <v>0</v>
      </c>
      <c r="K127" s="933">
        <f>VLOOKUP($W127,feed_mix_n,MATCH(K$5,feed_mix_w!$B$5:$AC$5,0),FALSE)/$Z127*VLOOKUP(K$5,feed_intensity_w,11,FALSE)</f>
        <v>0</v>
      </c>
      <c r="L127" s="1486">
        <f t="shared" si="37"/>
        <v>0</v>
      </c>
      <c r="M127" s="1447">
        <f>IFERROR(G127*VLOOKUP(W127,livestock_intensity!$B$7:$M$29,12,FALSE)/Z127,0)</f>
        <v>0</v>
      </c>
      <c r="N127" s="933">
        <f>VLOOKUP($W127,feed_mix_n,MATCH(N$5,feed_mix_w!$B$5:$AC$5,0),FALSE)/$Z127*VLOOKUP(N$5,feed_intensity_w,11,FALSE)</f>
        <v>96.130641661834503</v>
      </c>
      <c r="O127" s="1486">
        <f t="shared" si="38"/>
        <v>0</v>
      </c>
      <c r="P127" s="939">
        <f>IFERROR(G127*VLOOKUP(W127,livestock_intensity!$B$7:$Q$29,16,FALSE)/Z127,0)</f>
        <v>0</v>
      </c>
      <c r="Q127" s="1530"/>
      <c r="R127" s="900">
        <f t="shared" si="39"/>
        <v>0</v>
      </c>
      <c r="S127" s="900">
        <f t="shared" si="40"/>
        <v>0</v>
      </c>
      <c r="T127" s="1483">
        <v>2748</v>
      </c>
      <c r="U127" s="1211" t="s">
        <v>2921</v>
      </c>
      <c r="V127" s="1212" t="str">
        <f>IFERROR(VLOOKUP(W127,constant_ag_extr!$D$7:$E$594,2,FALSE),"")</f>
        <v>Horses</v>
      </c>
      <c r="W127" s="1213">
        <f t="shared" si="41"/>
        <v>1096</v>
      </c>
      <c r="X127" s="1099">
        <f>IFERROR(IF(VLOOKUP(B127,cnst_grazing!$C$10:$H$25,5,FALSE)="", IF(VLOOKUP(B127, cnst_grazing!$C$10:$H$25,3,FALSE)="", VLOOKUP(B127, cnst_grazing!$C$10:$H$25,4,FALSE),VLOOKUP(B127, cnst_grazing!$C$10:$H$25,3,FALSE)), VLOOKUP(B127,cnst_grazing!$C$10:$H$25,5,FALSE)),1)</f>
        <v>1</v>
      </c>
      <c r="Y127" s="1099">
        <f>IFERROR(IF(VLOOKUP(B127,cnst_grazing!$C$10:$H$25,6,FALSE)="", IF(VLOOKUP(B127, cnst_grazing!$C$10:$H$25,4,FALSE)="", VLOOKUP(B127, cnst_grazing!$C$10:$H$25,3,FALSE),VLOOKUP(B127, cnst_grazing!$C$10:$H$25,4,FALSE)), VLOOKUP(B127,cnst_grazing!$C$10:$H$25,6,FALSE)),1)</f>
        <v>1</v>
      </c>
      <c r="Z127" s="937">
        <f t="shared" si="42"/>
        <v>0.35</v>
      </c>
      <c r="AA127" s="1487">
        <f t="shared" si="43"/>
        <v>134.48009509660483</v>
      </c>
      <c r="AB127" s="933">
        <f>VLOOKUP($W127,feed_mix_n,MATCH(AB$5,feed_mix_w!$B$5:$AC$5,0),FALSE)/$Z127*VLOOKUP(AB$5,feed_intensity_w,11,FALSE)</f>
        <v>10.572410351732511</v>
      </c>
      <c r="AC127" s="933">
        <f>VLOOKUP($W127,feed_mix_n,MATCH(AC$5,feed_mix_w!$B$5:$AC$5,0),FALSE)/$Z127*VLOOKUP(AC$5,feed_intensity_w,11,FALSE)</f>
        <v>4.430042427096252</v>
      </c>
      <c r="AD127" s="933">
        <f>VLOOKUP($W127,feed_mix_n,MATCH(AD$5,feed_mix_w!$B$5:$AC$5,0),FALSE)/$Z127*VLOOKUP(AD$5,feed_intensity_w,11,FALSE)</f>
        <v>0</v>
      </c>
      <c r="AE127" s="933">
        <f>VLOOKUP($W127,feed_mix_n,MATCH(AE$5,feed_mix_w!$B$5:$AC$5,0),FALSE)/$Z127*VLOOKUP(AE$5,feed_intensity_w,11,FALSE)</f>
        <v>8.4149312462413466</v>
      </c>
      <c r="AF127" s="933">
        <f>VLOOKUP($W127,feed_mix_n,MATCH(AF$5,feed_mix_w!$B$5:$AC$5,0),FALSE)/$Z127*VLOOKUP(AF$5,feed_intensity_w,11,FALSE)</f>
        <v>4.2074656231206733</v>
      </c>
      <c r="AG127" s="933">
        <f>VLOOKUP($W127,feed_mix_n,MATCH(AG$5,feed_mix_w!$B$5:$AC$5,0),FALSE)/$Z127*VLOOKUP(AG$5,feed_intensity_w,11,FALSE)</f>
        <v>0</v>
      </c>
      <c r="AH127" s="933">
        <f>VLOOKUP($W127,feed_mix_n,MATCH(AH$5,feed_mix_w!$B$5:$AC$5,0),FALSE)/$Z127*VLOOKUP(AH$5,feed_intensity_w,11,FALSE)</f>
        <v>4.2074656231206733</v>
      </c>
      <c r="AI127" s="933">
        <f>VLOOKUP($W127,feed_mix_n,MATCH(AI$5,feed_mix_w!$B$5:$AC$5,0),FALSE)/$Z127*VLOOKUP(AI$5,feed_intensity_w,11,FALSE)</f>
        <v>0</v>
      </c>
      <c r="AJ127" s="933">
        <f>VLOOKUP($W127,feed_mix_n,MATCH(AJ$5,feed_mix_w!$B$5:$AC$5,0),FALSE)/$Z127*VLOOKUP(AJ$5,feed_intensity_w,11,FALSE)</f>
        <v>0</v>
      </c>
      <c r="AK127" s="933">
        <f>VLOOKUP($W127,feed_mix_n,MATCH(AK$5,feed_mix_w!$B$5:$AC$5,0),FALSE)/$Z127*VLOOKUP(AK$5,feed_intensity_w,11,FALSE)</f>
        <v>0</v>
      </c>
      <c r="AL127" s="933">
        <f>VLOOKUP($W127,feed_mix_n,MATCH(AL$5,feed_mix_w!$B$5:$AC$5,0),FALSE)/$Z127*VLOOKUP(AL$5,feed_intensity_w,11,FALSE)</f>
        <v>0</v>
      </c>
      <c r="AM127" s="933">
        <f>VLOOKUP($W127,feed_mix_n,MATCH(AM$5,feed_mix_w!$B$5:$AC$5,0),FALSE)/$Z127*VLOOKUP(AM$5,feed_intensity_w,11,FALSE)</f>
        <v>3.0720515118642742</v>
      </c>
      <c r="AN127" s="933">
        <f>VLOOKUP($W127,feed_mix_n,MATCH(AN$5,feed_mix_w!$B$5:$AC$5,0),FALSE)/$Z127*VLOOKUP(AN$5,feed_intensity_w,11,FALSE)</f>
        <v>0</v>
      </c>
      <c r="AO127" s="933">
        <f>VLOOKUP($W127,feed_mix_n,MATCH(AO$5,feed_mix_w!$B$5:$AC$5,0),FALSE)/$Z127*VLOOKUP(AO$5,feed_intensity_w,11,FALSE)</f>
        <v>0</v>
      </c>
      <c r="AP127" s="933">
        <f>VLOOKUP($W127,feed_mix_n,MATCH(AP$5,feed_mix_w!$B$5:$AC$5,0),FALSE)/$Z127*VLOOKUP(AP$5,feed_intensity_w,11,FALSE)</f>
        <v>0</v>
      </c>
      <c r="AQ127" s="933">
        <f>VLOOKUP($W127,feed_mix_n,MATCH(AQ$5,feed_mix_w!$B$5:$AC$5,0),FALSE)/$Z127*VLOOKUP(AQ$5,feed_intensity_w,11,FALSE)</f>
        <v>0</v>
      </c>
      <c r="AR127" s="933">
        <f>VLOOKUP($W127,feed_mix_n,MATCH(AR$5,feed_mix_w!$B$5:$AC$5,0),FALSE)/$Z127*VLOOKUP(AR$5,feed_intensity_w,11,FALSE)</f>
        <v>3.4450866515945839</v>
      </c>
      <c r="AS127" s="1105">
        <f>VLOOKUP($W127,feed_mix_n,MATCH(AS$5,feed_mix_w!$B$5:$AC$5,0),FALSE)/$Z127*VLOOKUP(AS$5,feed_intensity_w,11,FALSE)</f>
        <v>0</v>
      </c>
    </row>
    <row r="128" spans="1:45" ht="12.75" customHeight="1">
      <c r="A128" s="1008" t="s">
        <v>7411</v>
      </c>
      <c r="B128" s="1102">
        <v>1104</v>
      </c>
      <c r="C128" s="1103" t="s">
        <v>5510</v>
      </c>
      <c r="D128" s="1158"/>
      <c r="E128" s="1158"/>
      <c r="F128" s="1012">
        <f t="shared" si="33"/>
        <v>0</v>
      </c>
      <c r="G128" s="1012">
        <f t="shared" si="34"/>
        <v>0</v>
      </c>
      <c r="H128" s="933">
        <f t="shared" si="35"/>
        <v>78.954757071585931</v>
      </c>
      <c r="I128" s="1486">
        <f t="shared" si="36"/>
        <v>0</v>
      </c>
      <c r="J128" s="1006">
        <f>IFERROR(G128*VLOOKUP(W128,livestock_intensity!$B$7:$I$29,8,FALSE)/Z128,0)</f>
        <v>0</v>
      </c>
      <c r="K128" s="933">
        <f>VLOOKUP($W128,feed_mix_n,MATCH(K$5,feed_mix_w!$B$5:$AC$5,0),FALSE)/$Z128*VLOOKUP(K$5,feed_intensity_w,11,FALSE)</f>
        <v>0</v>
      </c>
      <c r="L128" s="1486">
        <f t="shared" si="37"/>
        <v>0</v>
      </c>
      <c r="M128" s="1447">
        <f>IFERROR(G128*VLOOKUP(W128,livestock_intensity!$B$7:$M$29,12,FALSE)/Z128,0)</f>
        <v>0</v>
      </c>
      <c r="N128" s="933">
        <f>VLOOKUP($W128,feed_mix_n,MATCH(N$5,feed_mix_w!$B$5:$AC$5,0),FALSE)/$Z128*VLOOKUP(N$5,feed_intensity_w,11,FALSE)</f>
        <v>197.91602695083569</v>
      </c>
      <c r="O128" s="1486">
        <f t="shared" si="38"/>
        <v>0</v>
      </c>
      <c r="P128" s="939">
        <f>IFERROR(G128*VLOOKUP(W128,livestock_intensity!$B$7:$Q$29,16,FALSE)/Z128,0)</f>
        <v>0</v>
      </c>
      <c r="Q128" s="1530"/>
      <c r="R128" s="900">
        <f t="shared" si="39"/>
        <v>0</v>
      </c>
      <c r="S128" s="900">
        <f t="shared" si="40"/>
        <v>0</v>
      </c>
      <c r="T128" s="1483">
        <v>2748</v>
      </c>
      <c r="U128" s="1211" t="s">
        <v>2921</v>
      </c>
      <c r="V128" s="1212" t="str">
        <f>IFERROR(VLOOKUP(W128,constant_ag_extr!$D$7:$E$594,2,FALSE),"")</f>
        <v>Horses</v>
      </c>
      <c r="W128" s="1213">
        <f t="shared" si="41"/>
        <v>1096</v>
      </c>
      <c r="X128" s="1099">
        <f>IFERROR(IF(VLOOKUP(B128,cnst_grazing!$C$10:$H$25,5,FALSE)="", IF(VLOOKUP(B128, cnst_grazing!$C$10:$H$25,3,FALSE)="", VLOOKUP(B128, cnst_grazing!$C$10:$H$25,4,FALSE),VLOOKUP(B128, cnst_grazing!$C$10:$H$25,3,FALSE)), VLOOKUP(B128,cnst_grazing!$C$10:$H$25,5,FALSE)),1)</f>
        <v>1</v>
      </c>
      <c r="Y128" s="1099">
        <f>IFERROR(IF(VLOOKUP(B128,cnst_grazing!$C$10:$H$25,6,FALSE)="", IF(VLOOKUP(B128, cnst_grazing!$C$10:$H$25,4,FALSE)="", VLOOKUP(B128, cnst_grazing!$C$10:$H$25,3,FALSE),VLOOKUP(B128, cnst_grazing!$C$10:$H$25,4,FALSE)), VLOOKUP(B128,cnst_grazing!$C$10:$H$25,6,FALSE)),1)</f>
        <v>1</v>
      </c>
      <c r="Z128" s="937">
        <f t="shared" si="42"/>
        <v>0.17</v>
      </c>
      <c r="AA128" s="1487">
        <f t="shared" si="43"/>
        <v>276.87078402242162</v>
      </c>
      <c r="AB128" s="933">
        <f>VLOOKUP($W128,feed_mix_n,MATCH(AB$5,feed_mix_w!$B$5:$AC$5,0),FALSE)/$Z128*VLOOKUP(AB$5,feed_intensity_w,11,FALSE)</f>
        <v>21.766727194743403</v>
      </c>
      <c r="AC128" s="933">
        <f>VLOOKUP($W128,feed_mix_n,MATCH(AC$5,feed_mix_w!$B$5:$AC$5,0),FALSE)/$Z128*VLOOKUP(AC$5,feed_intensity_w,11,FALSE)</f>
        <v>9.120675585198164</v>
      </c>
      <c r="AD128" s="933">
        <f>VLOOKUP($W128,feed_mix_n,MATCH(AD$5,feed_mix_w!$B$5:$AC$5,0),FALSE)/$Z128*VLOOKUP(AD$5,feed_intensity_w,11,FALSE)</f>
        <v>0</v>
      </c>
      <c r="AE128" s="933">
        <f>VLOOKUP($W128,feed_mix_n,MATCH(AE$5,feed_mix_w!$B$5:$AC$5,0),FALSE)/$Z128*VLOOKUP(AE$5,feed_intensity_w,11,FALSE)</f>
        <v>17.324858448143942</v>
      </c>
      <c r="AF128" s="933">
        <f>VLOOKUP($W128,feed_mix_n,MATCH(AF$5,feed_mix_w!$B$5:$AC$5,0),FALSE)/$Z128*VLOOKUP(AF$5,feed_intensity_w,11,FALSE)</f>
        <v>8.6624292240719711</v>
      </c>
      <c r="AG128" s="933">
        <f>VLOOKUP($W128,feed_mix_n,MATCH(AG$5,feed_mix_w!$B$5:$AC$5,0),FALSE)/$Z128*VLOOKUP(AG$5,feed_intensity_w,11,FALSE)</f>
        <v>0</v>
      </c>
      <c r="AH128" s="933">
        <f>VLOOKUP($W128,feed_mix_n,MATCH(AH$5,feed_mix_w!$B$5:$AC$5,0),FALSE)/$Z128*VLOOKUP(AH$5,feed_intensity_w,11,FALSE)</f>
        <v>8.6624292240719711</v>
      </c>
      <c r="AI128" s="933">
        <f>VLOOKUP($W128,feed_mix_n,MATCH(AI$5,feed_mix_w!$B$5:$AC$5,0),FALSE)/$Z128*VLOOKUP(AI$5,feed_intensity_w,11,FALSE)</f>
        <v>0</v>
      </c>
      <c r="AJ128" s="933">
        <f>VLOOKUP($W128,feed_mix_n,MATCH(AJ$5,feed_mix_w!$B$5:$AC$5,0),FALSE)/$Z128*VLOOKUP(AJ$5,feed_intensity_w,11,FALSE)</f>
        <v>0</v>
      </c>
      <c r="AK128" s="933">
        <f>VLOOKUP($W128,feed_mix_n,MATCH(AK$5,feed_mix_w!$B$5:$AC$5,0),FALSE)/$Z128*VLOOKUP(AK$5,feed_intensity_w,11,FALSE)</f>
        <v>0</v>
      </c>
      <c r="AL128" s="933">
        <f>VLOOKUP($W128,feed_mix_n,MATCH(AL$5,feed_mix_w!$B$5:$AC$5,0),FALSE)/$Z128*VLOOKUP(AL$5,feed_intensity_w,11,FALSE)</f>
        <v>0</v>
      </c>
      <c r="AM128" s="933">
        <f>VLOOKUP($W128,feed_mix_n,MATCH(AM$5,feed_mix_w!$B$5:$AC$5,0),FALSE)/$Z128*VLOOKUP(AM$5,feed_intensity_w,11,FALSE)</f>
        <v>6.3248119361911508</v>
      </c>
      <c r="AN128" s="933">
        <f>VLOOKUP($W128,feed_mix_n,MATCH(AN$5,feed_mix_w!$B$5:$AC$5,0),FALSE)/$Z128*VLOOKUP(AN$5,feed_intensity_w,11,FALSE)</f>
        <v>0</v>
      </c>
      <c r="AO128" s="933">
        <f>VLOOKUP($W128,feed_mix_n,MATCH(AO$5,feed_mix_w!$B$5:$AC$5,0),FALSE)/$Z128*VLOOKUP(AO$5,feed_intensity_w,11,FALSE)</f>
        <v>0</v>
      </c>
      <c r="AP128" s="933">
        <f>VLOOKUP($W128,feed_mix_n,MATCH(AP$5,feed_mix_w!$B$5:$AC$5,0),FALSE)/$Z128*VLOOKUP(AP$5,feed_intensity_w,11,FALSE)</f>
        <v>0</v>
      </c>
      <c r="AQ128" s="933">
        <f>VLOOKUP($W128,feed_mix_n,MATCH(AQ$5,feed_mix_w!$B$5:$AC$5,0),FALSE)/$Z128*VLOOKUP(AQ$5,feed_intensity_w,11,FALSE)</f>
        <v>0</v>
      </c>
      <c r="AR128" s="933">
        <f>VLOOKUP($W128,feed_mix_n,MATCH(AR$5,feed_mix_w!$B$5:$AC$5,0),FALSE)/$Z128*VLOOKUP(AR$5,feed_intensity_w,11,FALSE)</f>
        <v>7.0928254591653186</v>
      </c>
      <c r="AS128" s="1105">
        <f>VLOOKUP($W128,feed_mix_n,MATCH(AS$5,feed_mix_w!$B$5:$AC$5,0),FALSE)/$Z128*VLOOKUP(AS$5,feed_intensity_w,11,FALSE)</f>
        <v>0</v>
      </c>
    </row>
    <row r="129" spans="1:45" ht="12.75" customHeight="1">
      <c r="A129" s="1008" t="s">
        <v>1542</v>
      </c>
      <c r="B129" s="1102">
        <v>1105</v>
      </c>
      <c r="C129" s="1103" t="s">
        <v>1618</v>
      </c>
      <c r="D129" s="1158"/>
      <c r="E129" s="1158"/>
      <c r="F129" s="1012">
        <f t="shared" si="33"/>
        <v>0</v>
      </c>
      <c r="G129" s="1012">
        <f t="shared" si="34"/>
        <v>0</v>
      </c>
      <c r="H129" s="933">
        <f t="shared" si="35"/>
        <v>78.954757071585931</v>
      </c>
      <c r="I129" s="1486">
        <f t="shared" si="36"/>
        <v>0</v>
      </c>
      <c r="J129" s="1006">
        <f>IFERROR(G129*VLOOKUP(W129,livestock_intensity!$B$7:$I$29,8,FALSE)/Z129,0)</f>
        <v>0</v>
      </c>
      <c r="K129" s="933">
        <f>VLOOKUP($W129,feed_mix_n,MATCH(K$5,feed_mix_w!$B$5:$AC$5,0),FALSE)/$Z129*VLOOKUP(K$5,feed_intensity_w,11,FALSE)</f>
        <v>0</v>
      </c>
      <c r="L129" s="1486">
        <f t="shared" si="37"/>
        <v>0</v>
      </c>
      <c r="M129" s="1447">
        <f>IFERROR(G129*VLOOKUP(W129,livestock_intensity!$B$7:$M$29,12,FALSE)/Z129,0)</f>
        <v>0</v>
      </c>
      <c r="N129" s="933">
        <f>VLOOKUP($W129,feed_mix_n,MATCH(N$5,feed_mix_w!$B$5:$AC$5,0),FALSE)/$Z129*VLOOKUP(N$5,feed_intensity_w,11,FALSE)</f>
        <v>197.91602695083569</v>
      </c>
      <c r="O129" s="1486">
        <f t="shared" si="38"/>
        <v>0</v>
      </c>
      <c r="P129" s="939">
        <f>IFERROR(G129*VLOOKUP(W129,livestock_intensity!$B$7:$Q$29,16,FALSE)/Z129,0)</f>
        <v>0</v>
      </c>
      <c r="Q129" s="1530"/>
      <c r="R129" s="900">
        <f t="shared" si="39"/>
        <v>0</v>
      </c>
      <c r="S129" s="900">
        <f t="shared" si="40"/>
        <v>0</v>
      </c>
      <c r="T129" s="1483">
        <v>2748</v>
      </c>
      <c r="U129" s="1211" t="s">
        <v>2921</v>
      </c>
      <c r="V129" s="1212" t="str">
        <f>IFERROR(VLOOKUP(W129,constant_ag_extr!$D$7:$E$594,2,FALSE),"")</f>
        <v>Horses</v>
      </c>
      <c r="W129" s="1213">
        <f t="shared" si="41"/>
        <v>1096</v>
      </c>
      <c r="X129" s="1099">
        <f>IFERROR(IF(VLOOKUP(B129,cnst_grazing!$C$10:$H$25,5,FALSE)="", IF(VLOOKUP(B129, cnst_grazing!$C$10:$H$25,3,FALSE)="", VLOOKUP(B129, cnst_grazing!$C$10:$H$25,4,FALSE),VLOOKUP(B129, cnst_grazing!$C$10:$H$25,3,FALSE)), VLOOKUP(B129,cnst_grazing!$C$10:$H$25,5,FALSE)),1)</f>
        <v>1</v>
      </c>
      <c r="Y129" s="1099">
        <f>IFERROR(IF(VLOOKUP(B129,cnst_grazing!$C$10:$H$25,6,FALSE)="", IF(VLOOKUP(B129, cnst_grazing!$C$10:$H$25,4,FALSE)="", VLOOKUP(B129, cnst_grazing!$C$10:$H$25,3,FALSE),VLOOKUP(B129, cnst_grazing!$C$10:$H$25,4,FALSE)), VLOOKUP(B129,cnst_grazing!$C$10:$H$25,6,FALSE)),1)</f>
        <v>1</v>
      </c>
      <c r="Z129" s="937">
        <f t="shared" si="42"/>
        <v>0.17</v>
      </c>
      <c r="AA129" s="1487">
        <f t="shared" si="43"/>
        <v>276.87078402242162</v>
      </c>
      <c r="AB129" s="933">
        <f>VLOOKUP($W129,feed_mix_n,MATCH(AB$5,feed_mix_w!$B$5:$AC$5,0),FALSE)/$Z129*VLOOKUP(AB$5,feed_intensity_w,11,FALSE)</f>
        <v>21.766727194743403</v>
      </c>
      <c r="AC129" s="933">
        <f>VLOOKUP($W129,feed_mix_n,MATCH(AC$5,feed_mix_w!$B$5:$AC$5,0),FALSE)/$Z129*VLOOKUP(AC$5,feed_intensity_w,11,FALSE)</f>
        <v>9.120675585198164</v>
      </c>
      <c r="AD129" s="933">
        <f>VLOOKUP($W129,feed_mix_n,MATCH(AD$5,feed_mix_w!$B$5:$AC$5,0),FALSE)/$Z129*VLOOKUP(AD$5,feed_intensity_w,11,FALSE)</f>
        <v>0</v>
      </c>
      <c r="AE129" s="933">
        <f>VLOOKUP($W129,feed_mix_n,MATCH(AE$5,feed_mix_w!$B$5:$AC$5,0),FALSE)/$Z129*VLOOKUP(AE$5,feed_intensity_w,11,FALSE)</f>
        <v>17.324858448143942</v>
      </c>
      <c r="AF129" s="933">
        <f>VLOOKUP($W129,feed_mix_n,MATCH(AF$5,feed_mix_w!$B$5:$AC$5,0),FALSE)/$Z129*VLOOKUP(AF$5,feed_intensity_w,11,FALSE)</f>
        <v>8.6624292240719711</v>
      </c>
      <c r="AG129" s="933">
        <f>VLOOKUP($W129,feed_mix_n,MATCH(AG$5,feed_mix_w!$B$5:$AC$5,0),FALSE)/$Z129*VLOOKUP(AG$5,feed_intensity_w,11,FALSE)</f>
        <v>0</v>
      </c>
      <c r="AH129" s="933">
        <f>VLOOKUP($W129,feed_mix_n,MATCH(AH$5,feed_mix_w!$B$5:$AC$5,0),FALSE)/$Z129*VLOOKUP(AH$5,feed_intensity_w,11,FALSE)</f>
        <v>8.6624292240719711</v>
      </c>
      <c r="AI129" s="933">
        <f>VLOOKUP($W129,feed_mix_n,MATCH(AI$5,feed_mix_w!$B$5:$AC$5,0),FALSE)/$Z129*VLOOKUP(AI$5,feed_intensity_w,11,FALSE)</f>
        <v>0</v>
      </c>
      <c r="AJ129" s="933">
        <f>VLOOKUP($W129,feed_mix_n,MATCH(AJ$5,feed_mix_w!$B$5:$AC$5,0),FALSE)/$Z129*VLOOKUP(AJ$5,feed_intensity_w,11,FALSE)</f>
        <v>0</v>
      </c>
      <c r="AK129" s="933">
        <f>VLOOKUP($W129,feed_mix_n,MATCH(AK$5,feed_mix_w!$B$5:$AC$5,0),FALSE)/$Z129*VLOOKUP(AK$5,feed_intensity_w,11,FALSE)</f>
        <v>0</v>
      </c>
      <c r="AL129" s="933">
        <f>VLOOKUP($W129,feed_mix_n,MATCH(AL$5,feed_mix_w!$B$5:$AC$5,0),FALSE)/$Z129*VLOOKUP(AL$5,feed_intensity_w,11,FALSE)</f>
        <v>0</v>
      </c>
      <c r="AM129" s="933">
        <f>VLOOKUP($W129,feed_mix_n,MATCH(AM$5,feed_mix_w!$B$5:$AC$5,0),FALSE)/$Z129*VLOOKUP(AM$5,feed_intensity_w,11,FALSE)</f>
        <v>6.3248119361911508</v>
      </c>
      <c r="AN129" s="933">
        <f>VLOOKUP($W129,feed_mix_n,MATCH(AN$5,feed_mix_w!$B$5:$AC$5,0),FALSE)/$Z129*VLOOKUP(AN$5,feed_intensity_w,11,FALSE)</f>
        <v>0</v>
      </c>
      <c r="AO129" s="933">
        <f>VLOOKUP($W129,feed_mix_n,MATCH(AO$5,feed_mix_w!$B$5:$AC$5,0),FALSE)/$Z129*VLOOKUP(AO$5,feed_intensity_w,11,FALSE)</f>
        <v>0</v>
      </c>
      <c r="AP129" s="933">
        <f>VLOOKUP($W129,feed_mix_n,MATCH(AP$5,feed_mix_w!$B$5:$AC$5,0),FALSE)/$Z129*VLOOKUP(AP$5,feed_intensity_w,11,FALSE)</f>
        <v>0</v>
      </c>
      <c r="AQ129" s="933">
        <f>VLOOKUP($W129,feed_mix_n,MATCH(AQ$5,feed_mix_w!$B$5:$AC$5,0),FALSE)/$Z129*VLOOKUP(AQ$5,feed_intensity_w,11,FALSE)</f>
        <v>0</v>
      </c>
      <c r="AR129" s="933">
        <f>VLOOKUP($W129,feed_mix_n,MATCH(AR$5,feed_mix_w!$B$5:$AC$5,0),FALSE)/$Z129*VLOOKUP(AR$5,feed_intensity_w,11,FALSE)</f>
        <v>7.0928254591653186</v>
      </c>
      <c r="AS129" s="1105">
        <f>VLOOKUP($W129,feed_mix_n,MATCH(AS$5,feed_mix_w!$B$5:$AC$5,0),FALSE)/$Z129*VLOOKUP(AS$5,feed_intensity_w,11,FALSE)</f>
        <v>0</v>
      </c>
    </row>
    <row r="130" spans="1:45" ht="12.75" customHeight="1">
      <c r="A130" s="1008" t="s">
        <v>3389</v>
      </c>
      <c r="B130" s="1102">
        <v>1107</v>
      </c>
      <c r="C130" s="1103" t="s">
        <v>539</v>
      </c>
      <c r="D130" s="1158">
        <v>7</v>
      </c>
      <c r="E130" s="1158">
        <v>227</v>
      </c>
      <c r="F130" s="1012">
        <f t="shared" si="33"/>
        <v>0.55124209778476163</v>
      </c>
      <c r="G130" s="1012">
        <f t="shared" si="34"/>
        <v>29.159176775930369</v>
      </c>
      <c r="H130" s="933">
        <f t="shared" si="35"/>
        <v>9.975041159636687</v>
      </c>
      <c r="I130" s="1486">
        <f t="shared" si="36"/>
        <v>5.4986626143274684</v>
      </c>
      <c r="J130" s="1006">
        <f>IFERROR(G130*VLOOKUP(W130,livestock_intensity!$B$7:$I$29,8,FALSE)/Z130,0)</f>
        <v>483.22075625632937</v>
      </c>
      <c r="K130" s="933">
        <f>VLOOKUP($W130,feed_mix_n,MATCH(K$5,feed_mix_w!$B$5:$AC$5,0),FALSE)/$Z130*VLOOKUP(K$5,feed_intensity_w,11,FALSE)</f>
        <v>0</v>
      </c>
      <c r="L130" s="1486">
        <f t="shared" si="37"/>
        <v>0</v>
      </c>
      <c r="M130" s="1447">
        <f>IFERROR(G130*VLOOKUP(W130,livestock_intensity!$B$7:$M$29,12,FALSE)/Z130,0)</f>
        <v>0</v>
      </c>
      <c r="N130" s="933">
        <f>VLOOKUP($W130,feed_mix_n,MATCH(N$5,feed_mix_w!$B$5:$AC$5,0),FALSE)/$Z130*VLOOKUP(N$5,feed_intensity_w,11,FALSE)</f>
        <v>25.00445303373403</v>
      </c>
      <c r="O130" s="1486">
        <f t="shared" si="38"/>
        <v>13.783507144276093</v>
      </c>
      <c r="P130" s="939">
        <f>IFERROR(G130*VLOOKUP(W130,livestock_intensity!$B$7:$Q$29,16,FALSE)/Z130,0)</f>
        <v>591.83774019417831</v>
      </c>
      <c r="Q130" s="1530"/>
      <c r="R130" s="900">
        <f t="shared" si="39"/>
        <v>19.282169758603562</v>
      </c>
      <c r="S130" s="900">
        <f t="shared" si="40"/>
        <v>1075.0584964505076</v>
      </c>
      <c r="T130" s="1483" t="s">
        <v>2862</v>
      </c>
      <c r="U130" s="1211" t="s">
        <v>415</v>
      </c>
      <c r="V130" s="1212" t="str">
        <f>IFERROR(VLOOKUP(W130,constant_ag_extr!$D$7:$E$594,2,FALSE),"")</f>
        <v>Asses</v>
      </c>
      <c r="W130" s="1213">
        <f t="shared" si="41"/>
        <v>1107</v>
      </c>
      <c r="X130" s="1099">
        <f>IFERROR(IF(VLOOKUP(B130,cnst_grazing!$C$10:$H$25,5,FALSE)="", IF(VLOOKUP(B130, cnst_grazing!$C$10:$H$25,3,FALSE)="", VLOOKUP(B130, cnst_grazing!$C$10:$H$25,4,FALSE),VLOOKUP(B130, cnst_grazing!$C$10:$H$25,3,FALSE)), VLOOKUP(B130,cnst_grazing!$C$10:$H$25,5,FALSE)),1)</f>
        <v>7.8748871112108806E-2</v>
      </c>
      <c r="Y130" s="1099">
        <f>IFERROR(IF(VLOOKUP(B130,cnst_grazing!$C$10:$H$25,6,FALSE)="", IF(VLOOKUP(B130, cnst_grazing!$C$10:$H$25,4,FALSE)="", VLOOKUP(B130, cnst_grazing!$C$10:$H$25,3,FALSE),VLOOKUP(B130, cnst_grazing!$C$10:$H$25,4,FALSE)), VLOOKUP(B130,cnst_grazing!$C$10:$H$25,6,FALSE)),1)</f>
        <v>0.128454523241984</v>
      </c>
      <c r="Z130" s="937">
        <f t="shared" si="42"/>
        <v>1</v>
      </c>
      <c r="AA130" s="1487">
        <f t="shared" si="43"/>
        <v>34.979494193370719</v>
      </c>
      <c r="AB130" s="933">
        <f>VLOOKUP($W130,feed_mix_n,MATCH(AB$5,feed_mix_w!$B$5:$AC$5,0),FALSE)/$Z130*VLOOKUP(AB$5,feed_intensity_w,11,FALSE)</f>
        <v>2.7499799598051933</v>
      </c>
      <c r="AC130" s="933">
        <f>VLOOKUP($W130,feed_mix_n,MATCH(AC$5,feed_mix_w!$B$5:$AC$5,0),FALSE)/$Z130*VLOOKUP(AC$5,feed_intensity_w,11,FALSE)</f>
        <v>1.1522942725738119</v>
      </c>
      <c r="AD130" s="933">
        <f>VLOOKUP($W130,feed_mix_n,MATCH(AD$5,feed_mix_w!$B$5:$AC$5,0),FALSE)/$Z130*VLOOKUP(AD$5,feed_intensity_w,11,FALSE)</f>
        <v>0</v>
      </c>
      <c r="AE130" s="933">
        <f>VLOOKUP($W130,feed_mix_n,MATCH(AE$5,feed_mix_w!$B$5:$AC$5,0),FALSE)/$Z130*VLOOKUP(AE$5,feed_intensity_w,11,FALSE)</f>
        <v>2.1888000484686185</v>
      </c>
      <c r="AF130" s="933">
        <f>VLOOKUP($W130,feed_mix_n,MATCH(AF$5,feed_mix_w!$B$5:$AC$5,0),FALSE)/$Z130*VLOOKUP(AF$5,feed_intensity_w,11,FALSE)</f>
        <v>1.0944000242343093</v>
      </c>
      <c r="AG130" s="933">
        <f>VLOOKUP($W130,feed_mix_n,MATCH(AG$5,feed_mix_w!$B$5:$AC$5,0),FALSE)/$Z130*VLOOKUP(AG$5,feed_intensity_w,11,FALSE)</f>
        <v>0</v>
      </c>
      <c r="AH130" s="933">
        <f>VLOOKUP($W130,feed_mix_n,MATCH(AH$5,feed_mix_w!$B$5:$AC$5,0),FALSE)/$Z130*VLOOKUP(AH$5,feed_intensity_w,11,FALSE)</f>
        <v>1.0944000242343093</v>
      </c>
      <c r="AI130" s="933">
        <f>VLOOKUP($W130,feed_mix_n,MATCH(AI$5,feed_mix_w!$B$5:$AC$5,0),FALSE)/$Z130*VLOOKUP(AI$5,feed_intensity_w,11,FALSE)</f>
        <v>0</v>
      </c>
      <c r="AJ130" s="933">
        <f>VLOOKUP($W130,feed_mix_n,MATCH(AJ$5,feed_mix_w!$B$5:$AC$5,0),FALSE)/$Z130*VLOOKUP(AJ$5,feed_intensity_w,11,FALSE)</f>
        <v>0</v>
      </c>
      <c r="AK130" s="933">
        <f>VLOOKUP($W130,feed_mix_n,MATCH(AK$5,feed_mix_w!$B$5:$AC$5,0),FALSE)/$Z130*VLOOKUP(AK$5,feed_intensity_w,11,FALSE)</f>
        <v>0</v>
      </c>
      <c r="AL130" s="933">
        <f>VLOOKUP($W130,feed_mix_n,MATCH(AL$5,feed_mix_w!$B$5:$AC$5,0),FALSE)/$Z130*VLOOKUP(AL$5,feed_intensity_w,11,FALSE)</f>
        <v>0</v>
      </c>
      <c r="AM130" s="933">
        <f>VLOOKUP($W130,feed_mix_n,MATCH(AM$5,feed_mix_w!$B$5:$AC$5,0),FALSE)/$Z130*VLOOKUP(AM$5,feed_intensity_w,11,FALSE)</f>
        <v>0.79906850113244088</v>
      </c>
      <c r="AN130" s="933">
        <f>VLOOKUP($W130,feed_mix_n,MATCH(AN$5,feed_mix_w!$B$5:$AC$5,0),FALSE)/$Z130*VLOOKUP(AN$5,feed_intensity_w,11,FALSE)</f>
        <v>0</v>
      </c>
      <c r="AO130" s="933">
        <f>VLOOKUP($W130,feed_mix_n,MATCH(AO$5,feed_mix_w!$B$5:$AC$5,0),FALSE)/$Z130*VLOOKUP(AO$5,feed_intensity_w,11,FALSE)</f>
        <v>0</v>
      </c>
      <c r="AP130" s="933">
        <f>VLOOKUP($W130,feed_mix_n,MATCH(AP$5,feed_mix_w!$B$5:$AC$5,0),FALSE)/$Z130*VLOOKUP(AP$5,feed_intensity_w,11,FALSE)</f>
        <v>0</v>
      </c>
      <c r="AQ130" s="933">
        <f>VLOOKUP($W130,feed_mix_n,MATCH(AQ$5,feed_mix_w!$B$5:$AC$5,0),FALSE)/$Z130*VLOOKUP(AQ$5,feed_intensity_w,11,FALSE)</f>
        <v>0</v>
      </c>
      <c r="AR130" s="933">
        <f>VLOOKUP($W130,feed_mix_n,MATCH(AR$5,feed_mix_w!$B$5:$AC$5,0),FALSE)/$Z130*VLOOKUP(AR$5,feed_intensity_w,11,FALSE)</f>
        <v>0.89609832918800592</v>
      </c>
      <c r="AS130" s="1105">
        <f>VLOOKUP($W130,feed_mix_n,MATCH(AS$5,feed_mix_w!$B$5:$AC$5,0),FALSE)/$Z130*VLOOKUP(AS$5,feed_intensity_w,11,FALSE)</f>
        <v>0</v>
      </c>
    </row>
    <row r="131" spans="1:45" ht="12.75" customHeight="1">
      <c r="A131" s="1008" t="s">
        <v>7412</v>
      </c>
      <c r="B131" s="1102">
        <v>1108</v>
      </c>
      <c r="C131" s="1103" t="s">
        <v>15</v>
      </c>
      <c r="D131" s="1158"/>
      <c r="E131" s="1158"/>
      <c r="F131" s="1012">
        <f t="shared" si="33"/>
        <v>0</v>
      </c>
      <c r="G131" s="1012">
        <f t="shared" si="34"/>
        <v>0</v>
      </c>
      <c r="H131" s="933">
        <f t="shared" si="35"/>
        <v>13.125054157416693</v>
      </c>
      <c r="I131" s="1486">
        <f t="shared" si="36"/>
        <v>0</v>
      </c>
      <c r="J131" s="1006">
        <f>IFERROR(G131*VLOOKUP(W131,livestock_intensity!$B$7:$I$29,8,FALSE)/Z131,0)</f>
        <v>0</v>
      </c>
      <c r="K131" s="933">
        <f>VLOOKUP($W131,feed_mix_n,MATCH(K$5,feed_mix_w!$B$5:$AC$5,0),FALSE)/$Z131*VLOOKUP(K$5,feed_intensity_w,11,FALSE)</f>
        <v>0</v>
      </c>
      <c r="L131" s="1486">
        <f t="shared" si="37"/>
        <v>0</v>
      </c>
      <c r="M131" s="1447">
        <f>IFERROR(G131*VLOOKUP(W131,livestock_intensity!$B$7:$M$29,12,FALSE)/Z131,0)</f>
        <v>0</v>
      </c>
      <c r="N131" s="933">
        <f>VLOOKUP($W131,feed_mix_n,MATCH(N$5,feed_mix_w!$B$5:$AC$5,0),FALSE)/$Z131*VLOOKUP(N$5,feed_intensity_w,11,FALSE)</f>
        <v>32.900596097018465</v>
      </c>
      <c r="O131" s="1486">
        <f t="shared" si="38"/>
        <v>0</v>
      </c>
      <c r="P131" s="939">
        <f>IFERROR(G131*VLOOKUP(W131,livestock_intensity!$B$7:$Q$29,16,FALSE)/Z131,0)</f>
        <v>0</v>
      </c>
      <c r="Q131" s="1530"/>
      <c r="R131" s="900">
        <f t="shared" si="39"/>
        <v>0</v>
      </c>
      <c r="S131" s="900">
        <f t="shared" si="40"/>
        <v>0</v>
      </c>
      <c r="T131" s="1483">
        <v>2735</v>
      </c>
      <c r="U131" s="1211" t="s">
        <v>2921</v>
      </c>
      <c r="V131" s="1212" t="str">
        <f>IFERROR(VLOOKUP(W131,constant_ag_extr!$D$7:$E$594,2,FALSE),"")</f>
        <v>Asses</v>
      </c>
      <c r="W131" s="1213">
        <f t="shared" si="41"/>
        <v>1107</v>
      </c>
      <c r="X131" s="1099">
        <f>IFERROR(IF(VLOOKUP(B131,cnst_grazing!$C$10:$H$25,5,FALSE)="", IF(VLOOKUP(B131, cnst_grazing!$C$10:$H$25,3,FALSE)="", VLOOKUP(B131, cnst_grazing!$C$10:$H$25,4,FALSE),VLOOKUP(B131, cnst_grazing!$C$10:$H$25,3,FALSE)), VLOOKUP(B131,cnst_grazing!$C$10:$H$25,5,FALSE)),1)</f>
        <v>1</v>
      </c>
      <c r="Y131" s="1099">
        <f>IFERROR(IF(VLOOKUP(B131,cnst_grazing!$C$10:$H$25,6,FALSE)="", IF(VLOOKUP(B131, cnst_grazing!$C$10:$H$25,4,FALSE)="", VLOOKUP(B131, cnst_grazing!$C$10:$H$25,3,FALSE),VLOOKUP(B131, cnst_grazing!$C$10:$H$25,4,FALSE)), VLOOKUP(B131,cnst_grazing!$C$10:$H$25,6,FALSE)),1)</f>
        <v>1</v>
      </c>
      <c r="Z131" s="937">
        <f t="shared" si="42"/>
        <v>0.76</v>
      </c>
      <c r="AA131" s="1487">
        <f t="shared" si="43"/>
        <v>46.025650254435156</v>
      </c>
      <c r="AB131" s="933">
        <f>VLOOKUP($W131,feed_mix_n,MATCH(AB$5,feed_mix_w!$B$5:$AC$5,0),FALSE)/$Z131*VLOOKUP(AB$5,feed_intensity_w,11,FALSE)</f>
        <v>3.6183946839542016</v>
      </c>
      <c r="AC131" s="933">
        <f>VLOOKUP($W131,feed_mix_n,MATCH(AC$5,feed_mix_w!$B$5:$AC$5,0),FALSE)/$Z131*VLOOKUP(AC$5,feed_intensity_w,11,FALSE)</f>
        <v>1.516176674439226</v>
      </c>
      <c r="AD131" s="933">
        <f>VLOOKUP($W131,feed_mix_n,MATCH(AD$5,feed_mix_w!$B$5:$AC$5,0),FALSE)/$Z131*VLOOKUP(AD$5,feed_intensity_w,11,FALSE)</f>
        <v>0</v>
      </c>
      <c r="AE131" s="933">
        <f>VLOOKUP($W131,feed_mix_n,MATCH(AE$5,feed_mix_w!$B$5:$AC$5,0),FALSE)/$Z131*VLOOKUP(AE$5,feed_intensity_w,11,FALSE)</f>
        <v>2.8800000637744976</v>
      </c>
      <c r="AF131" s="933">
        <f>VLOOKUP($W131,feed_mix_n,MATCH(AF$5,feed_mix_w!$B$5:$AC$5,0),FALSE)/$Z131*VLOOKUP(AF$5,feed_intensity_w,11,FALSE)</f>
        <v>1.4400000318872488</v>
      </c>
      <c r="AG131" s="933">
        <f>VLOOKUP($W131,feed_mix_n,MATCH(AG$5,feed_mix_w!$B$5:$AC$5,0),FALSE)/$Z131*VLOOKUP(AG$5,feed_intensity_w,11,FALSE)</f>
        <v>0</v>
      </c>
      <c r="AH131" s="933">
        <f>VLOOKUP($W131,feed_mix_n,MATCH(AH$5,feed_mix_w!$B$5:$AC$5,0),FALSE)/$Z131*VLOOKUP(AH$5,feed_intensity_w,11,FALSE)</f>
        <v>1.4400000318872488</v>
      </c>
      <c r="AI131" s="933">
        <f>VLOOKUP($W131,feed_mix_n,MATCH(AI$5,feed_mix_w!$B$5:$AC$5,0),FALSE)/$Z131*VLOOKUP(AI$5,feed_intensity_w,11,FALSE)</f>
        <v>0</v>
      </c>
      <c r="AJ131" s="933">
        <f>VLOOKUP($W131,feed_mix_n,MATCH(AJ$5,feed_mix_w!$B$5:$AC$5,0),FALSE)/$Z131*VLOOKUP(AJ$5,feed_intensity_w,11,FALSE)</f>
        <v>0</v>
      </c>
      <c r="AK131" s="933">
        <f>VLOOKUP($W131,feed_mix_n,MATCH(AK$5,feed_mix_w!$B$5:$AC$5,0),FALSE)/$Z131*VLOOKUP(AK$5,feed_intensity_w,11,FALSE)</f>
        <v>0</v>
      </c>
      <c r="AL131" s="933">
        <f>VLOOKUP($W131,feed_mix_n,MATCH(AL$5,feed_mix_w!$B$5:$AC$5,0),FALSE)/$Z131*VLOOKUP(AL$5,feed_intensity_w,11,FALSE)</f>
        <v>0</v>
      </c>
      <c r="AM131" s="933">
        <f>VLOOKUP($W131,feed_mix_n,MATCH(AM$5,feed_mix_w!$B$5:$AC$5,0),FALSE)/$Z131*VLOOKUP(AM$5,feed_intensity_w,11,FALSE)</f>
        <v>1.0514059225426853</v>
      </c>
      <c r="AN131" s="933">
        <f>VLOOKUP($W131,feed_mix_n,MATCH(AN$5,feed_mix_w!$B$5:$AC$5,0),FALSE)/$Z131*VLOOKUP(AN$5,feed_intensity_w,11,FALSE)</f>
        <v>0</v>
      </c>
      <c r="AO131" s="933">
        <f>VLOOKUP($W131,feed_mix_n,MATCH(AO$5,feed_mix_w!$B$5:$AC$5,0),FALSE)/$Z131*VLOOKUP(AO$5,feed_intensity_w,11,FALSE)</f>
        <v>0</v>
      </c>
      <c r="AP131" s="933">
        <f>VLOOKUP($W131,feed_mix_n,MATCH(AP$5,feed_mix_w!$B$5:$AC$5,0),FALSE)/$Z131*VLOOKUP(AP$5,feed_intensity_w,11,FALSE)</f>
        <v>0</v>
      </c>
      <c r="AQ131" s="933">
        <f>VLOOKUP($W131,feed_mix_n,MATCH(AQ$5,feed_mix_w!$B$5:$AC$5,0),FALSE)/$Z131*VLOOKUP(AQ$5,feed_intensity_w,11,FALSE)</f>
        <v>0</v>
      </c>
      <c r="AR131" s="933">
        <f>VLOOKUP($W131,feed_mix_n,MATCH(AR$5,feed_mix_w!$B$5:$AC$5,0),FALSE)/$Z131*VLOOKUP(AR$5,feed_intensity_w,11,FALSE)</f>
        <v>1.1790767489315868</v>
      </c>
      <c r="AS131" s="1105">
        <f>VLOOKUP($W131,feed_mix_n,MATCH(AS$5,feed_mix_w!$B$5:$AC$5,0),FALSE)/$Z131*VLOOKUP(AS$5,feed_intensity_w,11,FALSE)</f>
        <v>0</v>
      </c>
    </row>
    <row r="132" spans="1:45" ht="12.75" customHeight="1">
      <c r="A132" s="1008" t="s">
        <v>5166</v>
      </c>
      <c r="B132" s="1102">
        <v>1110</v>
      </c>
      <c r="C132" s="1103"/>
      <c r="D132" s="1158">
        <v>24</v>
      </c>
      <c r="E132" s="1158">
        <v>1489</v>
      </c>
      <c r="F132" s="1012">
        <f t="shared" si="33"/>
        <v>2.4279219147764159</v>
      </c>
      <c r="G132" s="1012">
        <f t="shared" si="34"/>
        <v>245.71022861267457</v>
      </c>
      <c r="H132" s="933">
        <f t="shared" si="35"/>
        <v>11.35817830785339</v>
      </c>
      <c r="I132" s="1486">
        <f t="shared" si="36"/>
        <v>27.576770025575353</v>
      </c>
      <c r="J132" s="1006">
        <f>IFERROR(G132*VLOOKUP(W132,livestock_intensity!$B$7:$I$29,8,FALSE)/Z132,0)</f>
        <v>2790.8205886461774</v>
      </c>
      <c r="K132" s="933">
        <f>VLOOKUP($W132,feed_mix_n,MATCH(K$5,feed_mix_w!$B$5:$AC$5,0),FALSE)/$Z132*VLOOKUP(K$5,feed_intensity_w,11,FALSE)</f>
        <v>0</v>
      </c>
      <c r="L132" s="1486">
        <f t="shared" si="37"/>
        <v>0</v>
      </c>
      <c r="M132" s="1447">
        <f>IFERROR(G132*VLOOKUP(W132,livestock_intensity!$B$7:$M$29,12,FALSE)/Z132,0)</f>
        <v>0</v>
      </c>
      <c r="N132" s="933">
        <f>VLOOKUP($W132,feed_mix_n,MATCH(N$5,feed_mix_w!$B$5:$AC$5,0),FALSE)/$Z132*VLOOKUP(N$5,feed_intensity_w,11,FALSE)</f>
        <v>28.47156533014655</v>
      </c>
      <c r="O132" s="1486">
        <f t="shared" si="38"/>
        <v>69.126737413051231</v>
      </c>
      <c r="P132" s="939">
        <f>IFERROR(G132*VLOOKUP(W132,livestock_intensity!$B$7:$Q$29,16,FALSE)/Z132,0)</f>
        <v>6995.7548262310083</v>
      </c>
      <c r="Q132" s="1530"/>
      <c r="R132" s="900">
        <f t="shared" si="39"/>
        <v>96.703507438626588</v>
      </c>
      <c r="S132" s="900">
        <f t="shared" si="40"/>
        <v>9786.5754148771848</v>
      </c>
      <c r="T132" s="1483" t="s">
        <v>2862</v>
      </c>
      <c r="U132" s="1211"/>
      <c r="V132" s="1212" t="str">
        <f>IFERROR(VLOOKUP(W132,constant_ag_extr!$D$7:$E$594,2,FALSE),"")</f>
        <v>Mules</v>
      </c>
      <c r="W132" s="1213">
        <f t="shared" si="41"/>
        <v>1110</v>
      </c>
      <c r="X132" s="1099">
        <f>IFERROR(IF(VLOOKUP(B132,cnst_grazing!$C$10:$H$25,5,FALSE)="", IF(VLOOKUP(B132, cnst_grazing!$C$10:$H$25,3,FALSE)="", VLOOKUP(B132, cnst_grazing!$C$10:$H$25,4,FALSE),VLOOKUP(B132, cnst_grazing!$C$10:$H$25,3,FALSE)), VLOOKUP(B132,cnst_grazing!$C$10:$H$25,5,FALSE)),1)</f>
        <v>0.101163413115684</v>
      </c>
      <c r="Y132" s="1099">
        <f>IFERROR(IF(VLOOKUP(B132,cnst_grazing!$C$10:$H$25,6,FALSE)="", IF(VLOOKUP(B132, cnst_grazing!$C$10:$H$25,4,FALSE)="", VLOOKUP(B132, cnst_grazing!$C$10:$H$25,3,FALSE),VLOOKUP(B132, cnst_grazing!$C$10:$H$25,4,FALSE)), VLOOKUP(B132,cnst_grazing!$C$10:$H$25,6,FALSE)),1)</f>
        <v>0.165016943326175</v>
      </c>
      <c r="Z132" s="937">
        <f t="shared" si="42"/>
        <v>1</v>
      </c>
      <c r="AA132" s="1487">
        <f t="shared" si="43"/>
        <v>39.82974363799994</v>
      </c>
      <c r="AB132" s="933">
        <f>VLOOKUP($W132,feed_mix_n,MATCH(AB$5,feed_mix_w!$B$5:$AC$5,0),FALSE)/$Z132*VLOOKUP(AB$5,feed_intensity_w,11,FALSE)</f>
        <v>3.1312916134000712</v>
      </c>
      <c r="AC132" s="933">
        <f>VLOOKUP($W132,feed_mix_n,MATCH(AC$5,feed_mix_w!$B$5:$AC$5,0),FALSE)/$Z132*VLOOKUP(AC$5,feed_intensity_w,11,FALSE)</f>
        <v>1.3120711585603384</v>
      </c>
      <c r="AD132" s="933">
        <f>VLOOKUP($W132,feed_mix_n,MATCH(AD$5,feed_mix_w!$B$5:$AC$5,0),FALSE)/$Z132*VLOOKUP(AD$5,feed_intensity_w,11,FALSE)</f>
        <v>0</v>
      </c>
      <c r="AE132" s="933">
        <f>VLOOKUP($W132,feed_mix_n,MATCH(AE$5,feed_mix_w!$B$5:$AC$5,0),FALSE)/$Z132*VLOOKUP(AE$5,feed_intensity_w,11,FALSE)</f>
        <v>2.4922986113924157</v>
      </c>
      <c r="AF132" s="933">
        <f>VLOOKUP($W132,feed_mix_n,MATCH(AF$5,feed_mix_w!$B$5:$AC$5,0),FALSE)/$Z132*VLOOKUP(AF$5,feed_intensity_w,11,FALSE)</f>
        <v>1.2461493056962079</v>
      </c>
      <c r="AG132" s="933">
        <f>VLOOKUP($W132,feed_mix_n,MATCH(AG$5,feed_mix_w!$B$5:$AC$5,0),FALSE)/$Z132*VLOOKUP(AG$5,feed_intensity_w,11,FALSE)</f>
        <v>0</v>
      </c>
      <c r="AH132" s="933">
        <f>VLOOKUP($W132,feed_mix_n,MATCH(AH$5,feed_mix_w!$B$5:$AC$5,0),FALSE)/$Z132*VLOOKUP(AH$5,feed_intensity_w,11,FALSE)</f>
        <v>1.2461493056962079</v>
      </c>
      <c r="AI132" s="933">
        <f>VLOOKUP($W132,feed_mix_n,MATCH(AI$5,feed_mix_w!$B$5:$AC$5,0),FALSE)/$Z132*VLOOKUP(AI$5,feed_intensity_w,11,FALSE)</f>
        <v>0</v>
      </c>
      <c r="AJ132" s="933">
        <f>VLOOKUP($W132,feed_mix_n,MATCH(AJ$5,feed_mix_w!$B$5:$AC$5,0),FALSE)/$Z132*VLOOKUP(AJ$5,feed_intensity_w,11,FALSE)</f>
        <v>0</v>
      </c>
      <c r="AK132" s="933">
        <f>VLOOKUP($W132,feed_mix_n,MATCH(AK$5,feed_mix_w!$B$5:$AC$5,0),FALSE)/$Z132*VLOOKUP(AK$5,feed_intensity_w,11,FALSE)</f>
        <v>0</v>
      </c>
      <c r="AL132" s="933">
        <f>VLOOKUP($W132,feed_mix_n,MATCH(AL$5,feed_mix_w!$B$5:$AC$5,0),FALSE)/$Z132*VLOOKUP(AL$5,feed_intensity_w,11,FALSE)</f>
        <v>0</v>
      </c>
      <c r="AM132" s="933">
        <f>VLOOKUP($W132,feed_mix_n,MATCH(AM$5,feed_mix_w!$B$5:$AC$5,0),FALSE)/$Z132*VLOOKUP(AM$5,feed_intensity_w,11,FALSE)</f>
        <v>0.9098671745613105</v>
      </c>
      <c r="AN132" s="933">
        <f>VLOOKUP($W132,feed_mix_n,MATCH(AN$5,feed_mix_w!$B$5:$AC$5,0),FALSE)/$Z132*VLOOKUP(AN$5,feed_intensity_w,11,FALSE)</f>
        <v>0</v>
      </c>
      <c r="AO132" s="933">
        <f>VLOOKUP($W132,feed_mix_n,MATCH(AO$5,feed_mix_w!$B$5:$AC$5,0),FALSE)/$Z132*VLOOKUP(AO$5,feed_intensity_w,11,FALSE)</f>
        <v>0</v>
      </c>
      <c r="AP132" s="933">
        <f>VLOOKUP($W132,feed_mix_n,MATCH(AP$5,feed_mix_w!$B$5:$AC$5,0),FALSE)/$Z132*VLOOKUP(AP$5,feed_intensity_w,11,FALSE)</f>
        <v>0</v>
      </c>
      <c r="AQ132" s="933">
        <f>VLOOKUP($W132,feed_mix_n,MATCH(AQ$5,feed_mix_w!$B$5:$AC$5,0),FALSE)/$Z132*VLOOKUP(AQ$5,feed_intensity_w,11,FALSE)</f>
        <v>0</v>
      </c>
      <c r="AR132" s="933">
        <f>VLOOKUP($W132,feed_mix_n,MATCH(AR$5,feed_mix_w!$B$5:$AC$5,0),FALSE)/$Z132*VLOOKUP(AR$5,feed_intensity_w,11,FALSE)</f>
        <v>1.0203511385468387</v>
      </c>
      <c r="AS132" s="1105">
        <f>VLOOKUP($W132,feed_mix_n,MATCH(AS$5,feed_mix_w!$B$5:$AC$5,0),FALSE)/$Z132*VLOOKUP(AS$5,feed_intensity_w,11,FALSE)</f>
        <v>0</v>
      </c>
    </row>
    <row r="133" spans="1:45" ht="12.75" customHeight="1">
      <c r="A133" s="1008" t="s">
        <v>5071</v>
      </c>
      <c r="B133" s="1102">
        <v>1126</v>
      </c>
      <c r="C133" s="1103" t="s">
        <v>5072</v>
      </c>
      <c r="D133" s="1158"/>
      <c r="E133" s="1158">
        <v>955</v>
      </c>
      <c r="F133" s="1012">
        <f t="shared" si="33"/>
        <v>0</v>
      </c>
      <c r="G133" s="1012">
        <f t="shared" si="34"/>
        <v>200.45450635254383</v>
      </c>
      <c r="H133" s="933">
        <f t="shared" si="35"/>
        <v>10.779748464888581</v>
      </c>
      <c r="I133" s="1486">
        <f t="shared" si="36"/>
        <v>0</v>
      </c>
      <c r="J133" s="1006">
        <f>IFERROR(G133*VLOOKUP(W133,livestock_intensity!$B$7:$I$29,8,FALSE)/Z133,0)</f>
        <v>0</v>
      </c>
      <c r="K133" s="933">
        <f>VLOOKUP($W133,feed_mix_n,MATCH(K$5,feed_mix_w!$B$5:$AC$5,0),FALSE)/$Z133*VLOOKUP(K$5,feed_intensity_w,11,FALSE)</f>
        <v>0</v>
      </c>
      <c r="L133" s="1486">
        <f t="shared" si="37"/>
        <v>0</v>
      </c>
      <c r="M133" s="1447">
        <f>IFERROR(G133*VLOOKUP(W133,livestock_intensity!$B$7:$M$29,12,FALSE)/Z133,0)</f>
        <v>0</v>
      </c>
      <c r="N133" s="933">
        <f>VLOOKUP($W133,feed_mix_n,MATCH(N$5,feed_mix_w!$B$5:$AC$5,0),FALSE)/$Z133*VLOOKUP(N$5,feed_intensity_w,11,FALSE)</f>
        <v>27.021614236185304</v>
      </c>
      <c r="O133" s="1486">
        <f t="shared" si="38"/>
        <v>0</v>
      </c>
      <c r="P133" s="939">
        <f>IFERROR(G133*VLOOKUP(W133,livestock_intensity!$B$7:$Q$29,16,FALSE)/Z133,0)</f>
        <v>0</v>
      </c>
      <c r="Q133" s="1530"/>
      <c r="R133" s="900">
        <f t="shared" si="39"/>
        <v>0</v>
      </c>
      <c r="S133" s="900">
        <f t="shared" si="40"/>
        <v>0</v>
      </c>
      <c r="T133" s="1483" t="s">
        <v>2862</v>
      </c>
      <c r="U133" s="1211" t="s">
        <v>415</v>
      </c>
      <c r="V133" s="1212" t="str">
        <f>IFERROR(VLOOKUP(W133,constant_ag_extr!$D$7:$E$594,2,FALSE),"")</f>
        <v>Camels</v>
      </c>
      <c r="W133" s="1213">
        <f t="shared" si="41"/>
        <v>1126</v>
      </c>
      <c r="X133" s="1099">
        <f>IFERROR(IF(VLOOKUP(B133,cnst_grazing!$C$10:$H$25,5,FALSE)="", IF(VLOOKUP(B133, cnst_grazing!$C$10:$H$25,3,FALSE)="", VLOOKUP(B133, cnst_grazing!$C$10:$H$25,4,FALSE),VLOOKUP(B133, cnst_grazing!$C$10:$H$25,3,FALSE)), VLOOKUP(B133,cnst_grazing!$C$10:$H$25,5,FALSE)),1)</f>
        <v>0.20990000665187836</v>
      </c>
      <c r="Y133" s="1099">
        <f>IFERROR(IF(VLOOKUP(B133,cnst_grazing!$C$10:$H$25,6,FALSE)="", IF(VLOOKUP(B133, cnst_grazing!$C$10:$H$25,4,FALSE)="", VLOOKUP(B133, cnst_grazing!$C$10:$H$25,3,FALSE),VLOOKUP(B133, cnst_grazing!$C$10:$H$25,4,FALSE)), VLOOKUP(B133,cnst_grazing!$C$10:$H$25,6,FALSE)),1)</f>
        <v>0.20990000665187836</v>
      </c>
      <c r="Z133" s="937">
        <f t="shared" si="42"/>
        <v>1</v>
      </c>
      <c r="AA133" s="1487">
        <f t="shared" si="43"/>
        <v>37.801362701073884</v>
      </c>
      <c r="AB133" s="933">
        <f>VLOOKUP($W133,feed_mix_n,MATCH(AB$5,feed_mix_w!$B$5:$AC$5,0),FALSE)/$Z133*VLOOKUP(AB$5,feed_intensity_w,11,FALSE)</f>
        <v>2.9718265594870084</v>
      </c>
      <c r="AC133" s="933">
        <f>VLOOKUP($W133,feed_mix_n,MATCH(AC$5,feed_mix_w!$B$5:$AC$5,0),FALSE)/$Z133*VLOOKUP(AC$5,feed_intensity_w,11,FALSE)</f>
        <v>1.2452522467917182</v>
      </c>
      <c r="AD133" s="933">
        <f>VLOOKUP($W133,feed_mix_n,MATCH(AD$5,feed_mix_w!$B$5:$AC$5,0),FALSE)/$Z133*VLOOKUP(AD$5,feed_intensity_w,11,FALSE)</f>
        <v>0</v>
      </c>
      <c r="AE133" s="933">
        <f>VLOOKUP($W133,feed_mix_n,MATCH(AE$5,feed_mix_w!$B$5:$AC$5,0),FALSE)/$Z133*VLOOKUP(AE$5,feed_intensity_w,11,FALSE)</f>
        <v>2.3653750981902726</v>
      </c>
      <c r="AF133" s="933">
        <f>VLOOKUP($W133,feed_mix_n,MATCH(AF$5,feed_mix_w!$B$5:$AC$5,0),FALSE)/$Z133*VLOOKUP(AF$5,feed_intensity_w,11,FALSE)</f>
        <v>1.1826875490951363</v>
      </c>
      <c r="AG133" s="933">
        <f>VLOOKUP($W133,feed_mix_n,MATCH(AG$5,feed_mix_w!$B$5:$AC$5,0),FALSE)/$Z133*VLOOKUP(AG$5,feed_intensity_w,11,FALSE)</f>
        <v>0</v>
      </c>
      <c r="AH133" s="933">
        <f>VLOOKUP($W133,feed_mix_n,MATCH(AH$5,feed_mix_w!$B$5:$AC$5,0),FALSE)/$Z133*VLOOKUP(AH$5,feed_intensity_w,11,FALSE)</f>
        <v>1.1826875490951363</v>
      </c>
      <c r="AI133" s="933">
        <f>VLOOKUP($W133,feed_mix_n,MATCH(AI$5,feed_mix_w!$B$5:$AC$5,0),FALSE)/$Z133*VLOOKUP(AI$5,feed_intensity_w,11,FALSE)</f>
        <v>0</v>
      </c>
      <c r="AJ133" s="933">
        <f>VLOOKUP($W133,feed_mix_n,MATCH(AJ$5,feed_mix_w!$B$5:$AC$5,0),FALSE)/$Z133*VLOOKUP(AJ$5,feed_intensity_w,11,FALSE)</f>
        <v>0</v>
      </c>
      <c r="AK133" s="933">
        <f>VLOOKUP($W133,feed_mix_n,MATCH(AK$5,feed_mix_w!$B$5:$AC$5,0),FALSE)/$Z133*VLOOKUP(AK$5,feed_intensity_w,11,FALSE)</f>
        <v>0</v>
      </c>
      <c r="AL133" s="933">
        <f>VLOOKUP($W133,feed_mix_n,MATCH(AL$5,feed_mix_w!$B$5:$AC$5,0),FALSE)/$Z133*VLOOKUP(AL$5,feed_intensity_w,11,FALSE)</f>
        <v>0</v>
      </c>
      <c r="AM133" s="933">
        <f>VLOOKUP($W133,feed_mix_n,MATCH(AM$5,feed_mix_w!$B$5:$AC$5,0),FALSE)/$Z133*VLOOKUP(AM$5,feed_intensity_w,11,FALSE)</f>
        <v>0.86353101812534083</v>
      </c>
      <c r="AN133" s="933">
        <f>VLOOKUP($W133,feed_mix_n,MATCH(AN$5,feed_mix_w!$B$5:$AC$5,0),FALSE)/$Z133*VLOOKUP(AN$5,feed_intensity_w,11,FALSE)</f>
        <v>0</v>
      </c>
      <c r="AO133" s="933">
        <f>VLOOKUP($W133,feed_mix_n,MATCH(AO$5,feed_mix_w!$B$5:$AC$5,0),FALSE)/$Z133*VLOOKUP(AO$5,feed_intensity_w,11,FALSE)</f>
        <v>0</v>
      </c>
      <c r="AP133" s="933">
        <f>VLOOKUP($W133,feed_mix_n,MATCH(AP$5,feed_mix_w!$B$5:$AC$5,0),FALSE)/$Z133*VLOOKUP(AP$5,feed_intensity_w,11,FALSE)</f>
        <v>0</v>
      </c>
      <c r="AQ133" s="933">
        <f>VLOOKUP($W133,feed_mix_n,MATCH(AQ$5,feed_mix_w!$B$5:$AC$5,0),FALSE)/$Z133*VLOOKUP(AQ$5,feed_intensity_w,11,FALSE)</f>
        <v>0</v>
      </c>
      <c r="AR133" s="933">
        <f>VLOOKUP($W133,feed_mix_n,MATCH(AR$5,feed_mix_w!$B$5:$AC$5,0),FALSE)/$Z133*VLOOKUP(AR$5,feed_intensity_w,11,FALSE)</f>
        <v>0.96838844410396963</v>
      </c>
      <c r="AS133" s="1105">
        <f>VLOOKUP($W133,feed_mix_n,MATCH(AS$5,feed_mix_w!$B$5:$AC$5,0),FALSE)/$Z133*VLOOKUP(AS$5,feed_intensity_w,11,FALSE)</f>
        <v>0</v>
      </c>
    </row>
    <row r="134" spans="1:45" ht="12.75" customHeight="1">
      <c r="A134" s="1008" t="s">
        <v>4634</v>
      </c>
      <c r="B134" s="1102">
        <v>1127</v>
      </c>
      <c r="C134" s="1103" t="s">
        <v>4635</v>
      </c>
      <c r="D134" s="1158"/>
      <c r="E134" s="1158"/>
      <c r="F134" s="1012">
        <f t="shared" si="33"/>
        <v>0</v>
      </c>
      <c r="G134" s="1012">
        <f t="shared" si="34"/>
        <v>0</v>
      </c>
      <c r="H134" s="933">
        <f t="shared" si="35"/>
        <v>12.50729073586934</v>
      </c>
      <c r="I134" s="1486">
        <f t="shared" si="36"/>
        <v>0</v>
      </c>
      <c r="J134" s="1006">
        <f>IFERROR(G134*VLOOKUP(W134,livestock_intensity!$B$7:$I$29,8,FALSE)/Z134,0)</f>
        <v>0</v>
      </c>
      <c r="K134" s="933">
        <f>VLOOKUP($W134,feed_mix_n,MATCH(K$5,feed_mix_w!$B$5:$AC$5,0),FALSE)/$Z134*VLOOKUP(K$5,feed_intensity_w,11,FALSE)</f>
        <v>0</v>
      </c>
      <c r="L134" s="1486">
        <f t="shared" si="37"/>
        <v>0</v>
      </c>
      <c r="M134" s="1447">
        <f>IFERROR(G134*VLOOKUP(W134,livestock_intensity!$B$7:$M$29,12,FALSE)/Z134,0)</f>
        <v>0</v>
      </c>
      <c r="N134" s="933">
        <f>VLOOKUP($W134,feed_mix_n,MATCH(N$5,feed_mix_w!$B$5:$AC$5,0),FALSE)/$Z134*VLOOKUP(N$5,feed_intensity_w,11,FALSE)</f>
        <v>31.352047453174841</v>
      </c>
      <c r="O134" s="1486">
        <f t="shared" si="38"/>
        <v>0</v>
      </c>
      <c r="P134" s="939">
        <f>IFERROR(G134*VLOOKUP(W134,livestock_intensity!$B$7:$Q$29,16,FALSE)/Z134,0)</f>
        <v>0</v>
      </c>
      <c r="Q134" s="1530"/>
      <c r="R134" s="900">
        <f t="shared" si="39"/>
        <v>0</v>
      </c>
      <c r="S134" s="900">
        <f t="shared" si="40"/>
        <v>0</v>
      </c>
      <c r="T134" s="1483">
        <v>2735</v>
      </c>
      <c r="U134" s="1211" t="s">
        <v>2921</v>
      </c>
      <c r="V134" s="1212" t="str">
        <f>IFERROR(VLOOKUP(W134,constant_ag_extr!$D$7:$E$594,2,FALSE),"")</f>
        <v>Camels</v>
      </c>
      <c r="W134" s="1213">
        <f t="shared" si="41"/>
        <v>1126</v>
      </c>
      <c r="X134" s="1099">
        <f>IFERROR(IF(VLOOKUP(B134,cnst_grazing!$C$10:$H$25,5,FALSE)="", IF(VLOOKUP(B134, cnst_grazing!$C$10:$H$25,3,FALSE)="", VLOOKUP(B134, cnst_grazing!$C$10:$H$25,4,FALSE),VLOOKUP(B134, cnst_grazing!$C$10:$H$25,3,FALSE)), VLOOKUP(B134,cnst_grazing!$C$10:$H$25,5,FALSE)),1)</f>
        <v>1</v>
      </c>
      <c r="Y134" s="1099">
        <f>IFERROR(IF(VLOOKUP(B134,cnst_grazing!$C$10:$H$25,6,FALSE)="", IF(VLOOKUP(B134, cnst_grazing!$C$10:$H$25,4,FALSE)="", VLOOKUP(B134, cnst_grazing!$C$10:$H$25,3,FALSE),VLOOKUP(B134, cnst_grazing!$C$10:$H$25,4,FALSE)), VLOOKUP(B134,cnst_grazing!$C$10:$H$25,6,FALSE)),1)</f>
        <v>1</v>
      </c>
      <c r="Z134" s="937">
        <f t="shared" si="42"/>
        <v>0.86187717968157707</v>
      </c>
      <c r="AA134" s="1487">
        <f t="shared" si="43"/>
        <v>43.85933818904418</v>
      </c>
      <c r="AB134" s="933">
        <f>VLOOKUP($W134,feed_mix_n,MATCH(AB$5,feed_mix_w!$B$5:$AC$5,0),FALSE)/$Z134*VLOOKUP(AB$5,feed_intensity_w,11,FALSE)</f>
        <v>3.4480859100886718</v>
      </c>
      <c r="AC134" s="933">
        <f>VLOOKUP($W134,feed_mix_n,MATCH(AC$5,feed_mix_w!$B$5:$AC$5,0),FALSE)/$Z134*VLOOKUP(AC$5,feed_intensity_w,11,FALSE)</f>
        <v>1.444814036324503</v>
      </c>
      <c r="AD134" s="933">
        <f>VLOOKUP($W134,feed_mix_n,MATCH(AD$5,feed_mix_w!$B$5:$AC$5,0),FALSE)/$Z134*VLOOKUP(AD$5,feed_intensity_w,11,FALSE)</f>
        <v>0</v>
      </c>
      <c r="AE134" s="933">
        <f>VLOOKUP($W134,feed_mix_n,MATCH(AE$5,feed_mix_w!$B$5:$AC$5,0),FALSE)/$Z134*VLOOKUP(AE$5,feed_intensity_w,11,FALSE)</f>
        <v>2.744445675037094</v>
      </c>
      <c r="AF134" s="933">
        <f>VLOOKUP($W134,feed_mix_n,MATCH(AF$5,feed_mix_w!$B$5:$AC$5,0),FALSE)/$Z134*VLOOKUP(AF$5,feed_intensity_w,11,FALSE)</f>
        <v>1.372222837518547</v>
      </c>
      <c r="AG134" s="933">
        <f>VLOOKUP($W134,feed_mix_n,MATCH(AG$5,feed_mix_w!$B$5:$AC$5,0),FALSE)/$Z134*VLOOKUP(AG$5,feed_intensity_w,11,FALSE)</f>
        <v>0</v>
      </c>
      <c r="AH134" s="933">
        <f>VLOOKUP($W134,feed_mix_n,MATCH(AH$5,feed_mix_w!$B$5:$AC$5,0),FALSE)/$Z134*VLOOKUP(AH$5,feed_intensity_w,11,FALSE)</f>
        <v>1.372222837518547</v>
      </c>
      <c r="AI134" s="933">
        <f>VLOOKUP($W134,feed_mix_n,MATCH(AI$5,feed_mix_w!$B$5:$AC$5,0),FALSE)/$Z134*VLOOKUP(AI$5,feed_intensity_w,11,FALSE)</f>
        <v>0</v>
      </c>
      <c r="AJ134" s="933">
        <f>VLOOKUP($W134,feed_mix_n,MATCH(AJ$5,feed_mix_w!$B$5:$AC$5,0),FALSE)/$Z134*VLOOKUP(AJ$5,feed_intensity_w,11,FALSE)</f>
        <v>0</v>
      </c>
      <c r="AK134" s="933">
        <f>VLOOKUP($W134,feed_mix_n,MATCH(AK$5,feed_mix_w!$B$5:$AC$5,0),FALSE)/$Z134*VLOOKUP(AK$5,feed_intensity_w,11,FALSE)</f>
        <v>0</v>
      </c>
      <c r="AL134" s="933">
        <f>VLOOKUP($W134,feed_mix_n,MATCH(AL$5,feed_mix_w!$B$5:$AC$5,0),FALSE)/$Z134*VLOOKUP(AL$5,feed_intensity_w,11,FALSE)</f>
        <v>0</v>
      </c>
      <c r="AM134" s="933">
        <f>VLOOKUP($W134,feed_mix_n,MATCH(AM$5,feed_mix_w!$B$5:$AC$5,0),FALSE)/$Z134*VLOOKUP(AM$5,feed_intensity_w,11,FALSE)</f>
        <v>1.0019188794908978</v>
      </c>
      <c r="AN134" s="933">
        <f>VLOOKUP($W134,feed_mix_n,MATCH(AN$5,feed_mix_w!$B$5:$AC$5,0),FALSE)/$Z134*VLOOKUP(AN$5,feed_intensity_w,11,FALSE)</f>
        <v>0</v>
      </c>
      <c r="AO134" s="933">
        <f>VLOOKUP($W134,feed_mix_n,MATCH(AO$5,feed_mix_w!$B$5:$AC$5,0),FALSE)/$Z134*VLOOKUP(AO$5,feed_intensity_w,11,FALSE)</f>
        <v>0</v>
      </c>
      <c r="AP134" s="933">
        <f>VLOOKUP($W134,feed_mix_n,MATCH(AP$5,feed_mix_w!$B$5:$AC$5,0),FALSE)/$Z134*VLOOKUP(AP$5,feed_intensity_w,11,FALSE)</f>
        <v>0</v>
      </c>
      <c r="AQ134" s="933">
        <f>VLOOKUP($W134,feed_mix_n,MATCH(AQ$5,feed_mix_w!$B$5:$AC$5,0),FALSE)/$Z134*VLOOKUP(AQ$5,feed_intensity_w,11,FALSE)</f>
        <v>0</v>
      </c>
      <c r="AR134" s="933">
        <f>VLOOKUP($W134,feed_mix_n,MATCH(AR$5,feed_mix_w!$B$5:$AC$5,0),FALSE)/$Z134*VLOOKUP(AR$5,feed_intensity_w,11,FALSE)</f>
        <v>1.123580559891078</v>
      </c>
      <c r="AS134" s="1105">
        <f>VLOOKUP($W134,feed_mix_n,MATCH(AS$5,feed_mix_w!$B$5:$AC$5,0),FALSE)/$Z134*VLOOKUP(AS$5,feed_intensity_w,11,FALSE)</f>
        <v>0</v>
      </c>
    </row>
    <row r="135" spans="1:45" ht="12.75" customHeight="1">
      <c r="A135" s="1008" t="s">
        <v>7413</v>
      </c>
      <c r="B135" s="1102">
        <v>1129</v>
      </c>
      <c r="C135" s="1103" t="s">
        <v>1264</v>
      </c>
      <c r="D135" s="1158"/>
      <c r="E135" s="1158"/>
      <c r="F135" s="1012">
        <f t="shared" ref="F135:F166" si="44">D135*X135</f>
        <v>0</v>
      </c>
      <c r="G135" s="1012">
        <f t="shared" ref="G135:G166" si="45">E135*Y135</f>
        <v>0</v>
      </c>
      <c r="H135" s="933">
        <f t="shared" ref="H135:H166" si="46">SUM(AB135:AP135)+AR135+AS135</f>
        <v>21.236791760464726</v>
      </c>
      <c r="I135" s="1486">
        <f t="shared" ref="I135:I166" si="47">IFERROR(F135*VLOOKUP(B135,livestock_intensity_w,7,FALSE),0)</f>
        <v>0</v>
      </c>
      <c r="J135" s="1006">
        <f>IFERROR(G135*VLOOKUP(W135,livestock_intensity!$B$7:$I$29,8,FALSE)/Z135,0)</f>
        <v>0</v>
      </c>
      <c r="K135" s="933">
        <f>VLOOKUP($W135,feed_mix_n,MATCH(K$5,feed_mix_w!$B$5:$AC$5,0),FALSE)/$Z135*VLOOKUP(K$5,feed_intensity_w,11,FALSE)</f>
        <v>0</v>
      </c>
      <c r="L135" s="1486">
        <f t="shared" ref="L135:L166" si="48">IFERROR(F135*VLOOKUP($B135,livestock_intensity_w,10,FALSE),0)</f>
        <v>0</v>
      </c>
      <c r="M135" s="1447">
        <f>IFERROR(G135*VLOOKUP(W135,livestock_intensity!$B$7:$M$29,12,FALSE)/Z135,0)</f>
        <v>0</v>
      </c>
      <c r="N135" s="933">
        <f>VLOOKUP($W135,feed_mix_n,MATCH(N$5,feed_mix_w!$B$5:$AC$5,0),FALSE)/$Z135*VLOOKUP(N$5,feed_intensity_w,11,FALSE)</f>
        <v>53.234302862873683</v>
      </c>
      <c r="O135" s="1486">
        <f t="shared" ref="O135:O166" si="49">IFERROR(F135*VLOOKUP(B135,livestock_intensity_w,13,FALSE),0)</f>
        <v>0</v>
      </c>
      <c r="P135" s="939">
        <f>IFERROR(G135*VLOOKUP(W135,livestock_intensity!$B$7:$Q$29,16,FALSE)/Z135,0)</f>
        <v>0</v>
      </c>
      <c r="Q135" s="1530"/>
      <c r="R135" s="900">
        <f t="shared" ref="R135:R166" si="50">IFERROR(SUM(I135,L135,O135),0)</f>
        <v>0</v>
      </c>
      <c r="S135" s="900">
        <f t="shared" ref="S135:S166" si="51">IFERROR(SUM(J135,M135,P135),0)</f>
        <v>0</v>
      </c>
      <c r="T135" s="1483">
        <v>2737</v>
      </c>
      <c r="U135" s="1211" t="s">
        <v>2921</v>
      </c>
      <c r="V135" s="1212" t="str">
        <f>IFERROR(VLOOKUP(W135,constant_ag_extr!$D$7:$E$594,2,FALSE),"")</f>
        <v>Camels</v>
      </c>
      <c r="W135" s="1213">
        <f t="shared" ref="W135:W166" si="52">IFERROR(VLOOKUP(B135,constant_ag_extr,3,FALSE),"")</f>
        <v>1126</v>
      </c>
      <c r="X135" s="1099">
        <f>IFERROR(IF(VLOOKUP(B135,cnst_grazing!$C$10:$H$25,5,FALSE)="", IF(VLOOKUP(B135, cnst_grazing!$C$10:$H$25,3,FALSE)="", VLOOKUP(B135, cnst_grazing!$C$10:$H$25,4,FALSE),VLOOKUP(B135, cnst_grazing!$C$10:$H$25,3,FALSE)), VLOOKUP(B135,cnst_grazing!$C$10:$H$25,5,FALSE)),1)</f>
        <v>1</v>
      </c>
      <c r="Y135" s="1099">
        <f>IFERROR(IF(VLOOKUP(B135,cnst_grazing!$C$10:$H$25,6,FALSE)="", IF(VLOOKUP(B135, cnst_grazing!$C$10:$H$25,4,FALSE)="", VLOOKUP(B135, cnst_grazing!$C$10:$H$25,3,FALSE),VLOOKUP(B135, cnst_grazing!$C$10:$H$25,4,FALSE)), VLOOKUP(B135,cnst_grazing!$C$10:$H$25,6,FALSE)),1)</f>
        <v>1</v>
      </c>
      <c r="Z135" s="937">
        <f t="shared" ref="Z135:Z166" si="53">IFERROR(VLOOKUP(B135,constant_ag_extr,14,FALSE),"-")</f>
        <v>0.50759778531880695</v>
      </c>
      <c r="AA135" s="1487">
        <f t="shared" ref="AA135:AA166" si="54">H135+N135</f>
        <v>74.471094623338416</v>
      </c>
      <c r="AB135" s="933">
        <f>VLOOKUP($W135,feed_mix_n,MATCH(AB$5,feed_mix_w!$B$5:$AC$5,0),FALSE)/$Z135*VLOOKUP(AB$5,feed_intensity_w,11,FALSE)</f>
        <v>5.8546877969936242</v>
      </c>
      <c r="AC135" s="933">
        <f>VLOOKUP($W135,feed_mix_n,MATCH(AC$5,feed_mix_w!$B$5:$AC$5,0),FALSE)/$Z135*VLOOKUP(AC$5,feed_intensity_w,11,FALSE)</f>
        <v>2.4532263197515976</v>
      </c>
      <c r="AD135" s="933">
        <f>VLOOKUP($W135,feed_mix_n,MATCH(AD$5,feed_mix_w!$B$5:$AC$5,0),FALSE)/$Z135*VLOOKUP(AD$5,feed_intensity_w,11,FALSE)</f>
        <v>0</v>
      </c>
      <c r="AE135" s="933">
        <f>VLOOKUP($W135,feed_mix_n,MATCH(AE$5,feed_mix_w!$B$5:$AC$5,0),FALSE)/$Z135*VLOOKUP(AE$5,feed_intensity_w,11,FALSE)</f>
        <v>4.6599397527013471</v>
      </c>
      <c r="AF135" s="933">
        <f>VLOOKUP($W135,feed_mix_n,MATCH(AF$5,feed_mix_w!$B$5:$AC$5,0),FALSE)/$Z135*VLOOKUP(AF$5,feed_intensity_w,11,FALSE)</f>
        <v>2.3299698763506735</v>
      </c>
      <c r="AG135" s="933">
        <f>VLOOKUP($W135,feed_mix_n,MATCH(AG$5,feed_mix_w!$B$5:$AC$5,0),FALSE)/$Z135*VLOOKUP(AG$5,feed_intensity_w,11,FALSE)</f>
        <v>0</v>
      </c>
      <c r="AH135" s="933">
        <f>VLOOKUP($W135,feed_mix_n,MATCH(AH$5,feed_mix_w!$B$5:$AC$5,0),FALSE)/$Z135*VLOOKUP(AH$5,feed_intensity_w,11,FALSE)</f>
        <v>2.3299698763506735</v>
      </c>
      <c r="AI135" s="933">
        <f>VLOOKUP($W135,feed_mix_n,MATCH(AI$5,feed_mix_w!$B$5:$AC$5,0),FALSE)/$Z135*VLOOKUP(AI$5,feed_intensity_w,11,FALSE)</f>
        <v>0</v>
      </c>
      <c r="AJ135" s="933">
        <f>VLOOKUP($W135,feed_mix_n,MATCH(AJ$5,feed_mix_w!$B$5:$AC$5,0),FALSE)/$Z135*VLOOKUP(AJ$5,feed_intensity_w,11,FALSE)</f>
        <v>0</v>
      </c>
      <c r="AK135" s="933">
        <f>VLOOKUP($W135,feed_mix_n,MATCH(AK$5,feed_mix_w!$B$5:$AC$5,0),FALSE)/$Z135*VLOOKUP(AK$5,feed_intensity_w,11,FALSE)</f>
        <v>0</v>
      </c>
      <c r="AL135" s="933">
        <f>VLOOKUP($W135,feed_mix_n,MATCH(AL$5,feed_mix_w!$B$5:$AC$5,0),FALSE)/$Z135*VLOOKUP(AL$5,feed_intensity_w,11,FALSE)</f>
        <v>0</v>
      </c>
      <c r="AM135" s="933">
        <f>VLOOKUP($W135,feed_mix_n,MATCH(AM$5,feed_mix_w!$B$5:$AC$5,0),FALSE)/$Z135*VLOOKUP(AM$5,feed_intensity_w,11,FALSE)</f>
        <v>1.701211161870974</v>
      </c>
      <c r="AN135" s="933">
        <f>VLOOKUP($W135,feed_mix_n,MATCH(AN$5,feed_mix_w!$B$5:$AC$5,0),FALSE)/$Z135*VLOOKUP(AN$5,feed_intensity_w,11,FALSE)</f>
        <v>0</v>
      </c>
      <c r="AO135" s="933">
        <f>VLOOKUP($W135,feed_mix_n,MATCH(AO$5,feed_mix_w!$B$5:$AC$5,0),FALSE)/$Z135*VLOOKUP(AO$5,feed_intensity_w,11,FALSE)</f>
        <v>0</v>
      </c>
      <c r="AP135" s="933">
        <f>VLOOKUP($W135,feed_mix_n,MATCH(AP$5,feed_mix_w!$B$5:$AC$5,0),FALSE)/$Z135*VLOOKUP(AP$5,feed_intensity_w,11,FALSE)</f>
        <v>0</v>
      </c>
      <c r="AQ135" s="933">
        <f>VLOOKUP($W135,feed_mix_n,MATCH(AQ$5,feed_mix_w!$B$5:$AC$5,0),FALSE)/$Z135*VLOOKUP(AQ$5,feed_intensity_w,11,FALSE)</f>
        <v>0</v>
      </c>
      <c r="AR135" s="933">
        <f>VLOOKUP($W135,feed_mix_n,MATCH(AR$5,feed_mix_w!$B$5:$AC$5,0),FALSE)/$Z135*VLOOKUP(AR$5,feed_intensity_w,11,FALSE)</f>
        <v>1.9077869764458366</v>
      </c>
      <c r="AS135" s="1105">
        <f>VLOOKUP($W135,feed_mix_n,MATCH(AS$5,feed_mix_w!$B$5:$AC$5,0),FALSE)/$Z135*VLOOKUP(AS$5,feed_intensity_w,11,FALSE)</f>
        <v>0</v>
      </c>
    </row>
    <row r="136" spans="1:45" ht="12.75" customHeight="1">
      <c r="A136" s="1008" t="s">
        <v>7414</v>
      </c>
      <c r="B136" s="1102">
        <v>1134</v>
      </c>
      <c r="C136" s="1103" t="s">
        <v>1620</v>
      </c>
      <c r="D136" s="1158"/>
      <c r="E136" s="1158"/>
      <c r="F136" s="1012">
        <f t="shared" si="44"/>
        <v>0</v>
      </c>
      <c r="G136" s="1012">
        <f t="shared" si="45"/>
        <v>0</v>
      </c>
      <c r="H136" s="933">
        <f t="shared" si="46"/>
        <v>30.799281328253088</v>
      </c>
      <c r="I136" s="1486">
        <f t="shared" si="47"/>
        <v>0</v>
      </c>
      <c r="J136" s="1006">
        <f>IFERROR(G136*VLOOKUP(W136,livestock_intensity!$B$7:$I$29,8,FALSE)/Z136,0)</f>
        <v>0</v>
      </c>
      <c r="K136" s="933">
        <f>VLOOKUP($W136,feed_mix_n,MATCH(K$5,feed_mix_w!$B$5:$AC$5,0),FALSE)/$Z136*VLOOKUP(K$5,feed_intensity_w,11,FALSE)</f>
        <v>0</v>
      </c>
      <c r="L136" s="1486">
        <f t="shared" si="48"/>
        <v>0</v>
      </c>
      <c r="M136" s="1447">
        <f>IFERROR(G136*VLOOKUP(W136,livestock_intensity!$B$7:$M$29,12,FALSE)/Z136,0)</f>
        <v>0</v>
      </c>
      <c r="N136" s="933">
        <f>VLOOKUP($W136,feed_mix_n,MATCH(N$5,feed_mix_w!$B$5:$AC$5,0),FALSE)/$Z136*VLOOKUP(N$5,feed_intensity_w,11,FALSE)</f>
        <v>77.204612103386594</v>
      </c>
      <c r="O136" s="1486">
        <f t="shared" si="49"/>
        <v>0</v>
      </c>
      <c r="P136" s="939">
        <f>IFERROR(G136*VLOOKUP(W136,livestock_intensity!$B$7:$Q$29,16,FALSE)/Z136,0)</f>
        <v>0</v>
      </c>
      <c r="Q136" s="1530"/>
      <c r="R136" s="900">
        <f t="shared" si="50"/>
        <v>0</v>
      </c>
      <c r="S136" s="900">
        <f t="shared" si="51"/>
        <v>0</v>
      </c>
      <c r="T136" s="1483">
        <v>2748</v>
      </c>
      <c r="U136" s="1211" t="s">
        <v>2921</v>
      </c>
      <c r="V136" s="1212" t="str">
        <f>IFERROR(VLOOKUP(W136,constant_ag_extr!$D$7:$E$594,2,FALSE),"")</f>
        <v>Camels</v>
      </c>
      <c r="W136" s="1213">
        <f t="shared" si="52"/>
        <v>1126</v>
      </c>
      <c r="X136" s="1099">
        <f>IFERROR(IF(VLOOKUP(B136,cnst_grazing!$C$10:$H$25,5,FALSE)="", IF(VLOOKUP(B136, cnst_grazing!$C$10:$H$25,3,FALSE)="", VLOOKUP(B136, cnst_grazing!$C$10:$H$25,4,FALSE),VLOOKUP(B136, cnst_grazing!$C$10:$H$25,3,FALSE)), VLOOKUP(B136,cnst_grazing!$C$10:$H$25,5,FALSE)),1)</f>
        <v>1</v>
      </c>
      <c r="Y136" s="1099">
        <f>IFERROR(IF(VLOOKUP(B136,cnst_grazing!$C$10:$H$25,6,FALSE)="", IF(VLOOKUP(B136, cnst_grazing!$C$10:$H$25,4,FALSE)="", VLOOKUP(B136, cnst_grazing!$C$10:$H$25,3,FALSE),VLOOKUP(B136, cnst_grazing!$C$10:$H$25,4,FALSE)), VLOOKUP(B136,cnst_grazing!$C$10:$H$25,6,FALSE)),1)</f>
        <v>1</v>
      </c>
      <c r="Z136" s="937">
        <f t="shared" si="53"/>
        <v>0.35</v>
      </c>
      <c r="AA136" s="1487">
        <f t="shared" si="54"/>
        <v>108.00389343163968</v>
      </c>
      <c r="AB136" s="933">
        <f>VLOOKUP($W136,feed_mix_n,MATCH(AB$5,feed_mix_w!$B$5:$AC$5,0),FALSE)/$Z136*VLOOKUP(AB$5,feed_intensity_w,11,FALSE)</f>
        <v>8.4909330271057382</v>
      </c>
      <c r="AC136" s="933">
        <f>VLOOKUP($W136,feed_mix_n,MATCH(AC$5,feed_mix_w!$B$5:$AC$5,0),FALSE)/$Z136*VLOOKUP(AC$5,feed_intensity_w,11,FALSE)</f>
        <v>3.5578635622620522</v>
      </c>
      <c r="AD136" s="933">
        <f>VLOOKUP($W136,feed_mix_n,MATCH(AD$5,feed_mix_w!$B$5:$AC$5,0),FALSE)/$Z136*VLOOKUP(AD$5,feed_intensity_w,11,FALSE)</f>
        <v>0</v>
      </c>
      <c r="AE136" s="933">
        <f>VLOOKUP($W136,feed_mix_n,MATCH(AE$5,feed_mix_w!$B$5:$AC$5,0),FALSE)/$Z136*VLOOKUP(AE$5,feed_intensity_w,11,FALSE)</f>
        <v>6.7582145662579212</v>
      </c>
      <c r="AF136" s="933">
        <f>VLOOKUP($W136,feed_mix_n,MATCH(AF$5,feed_mix_w!$B$5:$AC$5,0),FALSE)/$Z136*VLOOKUP(AF$5,feed_intensity_w,11,FALSE)</f>
        <v>3.3791072831289606</v>
      </c>
      <c r="AG136" s="933">
        <f>VLOOKUP($W136,feed_mix_n,MATCH(AG$5,feed_mix_w!$B$5:$AC$5,0),FALSE)/$Z136*VLOOKUP(AG$5,feed_intensity_w,11,FALSE)</f>
        <v>0</v>
      </c>
      <c r="AH136" s="933">
        <f>VLOOKUP($W136,feed_mix_n,MATCH(AH$5,feed_mix_w!$B$5:$AC$5,0),FALSE)/$Z136*VLOOKUP(AH$5,feed_intensity_w,11,FALSE)</f>
        <v>3.3791072831289606</v>
      </c>
      <c r="AI136" s="933">
        <f>VLOOKUP($W136,feed_mix_n,MATCH(AI$5,feed_mix_w!$B$5:$AC$5,0),FALSE)/$Z136*VLOOKUP(AI$5,feed_intensity_w,11,FALSE)</f>
        <v>0</v>
      </c>
      <c r="AJ136" s="933">
        <f>VLOOKUP($W136,feed_mix_n,MATCH(AJ$5,feed_mix_w!$B$5:$AC$5,0),FALSE)/$Z136*VLOOKUP(AJ$5,feed_intensity_w,11,FALSE)</f>
        <v>0</v>
      </c>
      <c r="AK136" s="933">
        <f>VLOOKUP($W136,feed_mix_n,MATCH(AK$5,feed_mix_w!$B$5:$AC$5,0),FALSE)/$Z136*VLOOKUP(AK$5,feed_intensity_w,11,FALSE)</f>
        <v>0</v>
      </c>
      <c r="AL136" s="933">
        <f>VLOOKUP($W136,feed_mix_n,MATCH(AL$5,feed_mix_w!$B$5:$AC$5,0),FALSE)/$Z136*VLOOKUP(AL$5,feed_intensity_w,11,FALSE)</f>
        <v>0</v>
      </c>
      <c r="AM136" s="933">
        <f>VLOOKUP($W136,feed_mix_n,MATCH(AM$5,feed_mix_w!$B$5:$AC$5,0),FALSE)/$Z136*VLOOKUP(AM$5,feed_intensity_w,11,FALSE)</f>
        <v>2.4672314803581168</v>
      </c>
      <c r="AN136" s="933">
        <f>VLOOKUP($W136,feed_mix_n,MATCH(AN$5,feed_mix_w!$B$5:$AC$5,0),FALSE)/$Z136*VLOOKUP(AN$5,feed_intensity_w,11,FALSE)</f>
        <v>0</v>
      </c>
      <c r="AO136" s="933">
        <f>VLOOKUP($W136,feed_mix_n,MATCH(AO$5,feed_mix_w!$B$5:$AC$5,0),FALSE)/$Z136*VLOOKUP(AO$5,feed_intensity_w,11,FALSE)</f>
        <v>0</v>
      </c>
      <c r="AP136" s="933">
        <f>VLOOKUP($W136,feed_mix_n,MATCH(AP$5,feed_mix_w!$B$5:$AC$5,0),FALSE)/$Z136*VLOOKUP(AP$5,feed_intensity_w,11,FALSE)</f>
        <v>0</v>
      </c>
      <c r="AQ136" s="933">
        <f>VLOOKUP($W136,feed_mix_n,MATCH(AQ$5,feed_mix_w!$B$5:$AC$5,0),FALSE)/$Z136*VLOOKUP(AQ$5,feed_intensity_w,11,FALSE)</f>
        <v>0</v>
      </c>
      <c r="AR136" s="933">
        <f>VLOOKUP($W136,feed_mix_n,MATCH(AR$5,feed_mix_w!$B$5:$AC$5,0),FALSE)/$Z136*VLOOKUP(AR$5,feed_intensity_w,11,FALSE)</f>
        <v>2.766824126011342</v>
      </c>
      <c r="AS136" s="1105">
        <f>VLOOKUP($W136,feed_mix_n,MATCH(AS$5,feed_mix_w!$B$5:$AC$5,0),FALSE)/$Z136*VLOOKUP(AS$5,feed_intensity_w,11,FALSE)</f>
        <v>0</v>
      </c>
    </row>
    <row r="137" spans="1:45" ht="12.75" customHeight="1">
      <c r="A137" s="1008" t="s">
        <v>7415</v>
      </c>
      <c r="B137" s="1102">
        <v>1136</v>
      </c>
      <c r="C137" s="1103" t="s">
        <v>1617</v>
      </c>
      <c r="D137" s="1158"/>
      <c r="E137" s="1158"/>
      <c r="F137" s="1012">
        <f t="shared" si="44"/>
        <v>0</v>
      </c>
      <c r="G137" s="1012">
        <f t="shared" si="45"/>
        <v>0</v>
      </c>
      <c r="H137" s="933">
        <f t="shared" si="46"/>
        <v>63.410285087579894</v>
      </c>
      <c r="I137" s="1486">
        <f t="shared" si="47"/>
        <v>0</v>
      </c>
      <c r="J137" s="1006">
        <f>IFERROR(G137*VLOOKUP(W137,livestock_intensity!$B$7:$I$29,8,FALSE)/Z137,0)</f>
        <v>0</v>
      </c>
      <c r="K137" s="933">
        <f>VLOOKUP($W137,feed_mix_n,MATCH(K$5,feed_mix_w!$B$5:$AC$5,0),FALSE)/$Z137*VLOOKUP(K$5,feed_intensity_w,11,FALSE)</f>
        <v>0</v>
      </c>
      <c r="L137" s="1486">
        <f t="shared" si="48"/>
        <v>0</v>
      </c>
      <c r="M137" s="1447">
        <f>IFERROR(G137*VLOOKUP(W137,livestock_intensity!$B$7:$M$29,12,FALSE)/Z137,0)</f>
        <v>0</v>
      </c>
      <c r="N137" s="933">
        <f>VLOOKUP($W137,feed_mix_n,MATCH(N$5,feed_mix_w!$B$5:$AC$5,0),FALSE)/$Z137*VLOOKUP(N$5,feed_intensity_w,11,FALSE)</f>
        <v>158.9506719775606</v>
      </c>
      <c r="O137" s="1486">
        <f t="shared" si="49"/>
        <v>0</v>
      </c>
      <c r="P137" s="939">
        <f>IFERROR(G137*VLOOKUP(W137,livestock_intensity!$B$7:$Q$29,16,FALSE)/Z137,0)</f>
        <v>0</v>
      </c>
      <c r="Q137" s="1530"/>
      <c r="R137" s="900">
        <f t="shared" si="50"/>
        <v>0</v>
      </c>
      <c r="S137" s="900">
        <f t="shared" si="51"/>
        <v>0</v>
      </c>
      <c r="T137" s="1483">
        <v>2748</v>
      </c>
      <c r="U137" s="1211" t="s">
        <v>2921</v>
      </c>
      <c r="V137" s="1212" t="str">
        <f>IFERROR(VLOOKUP(W137,constant_ag_extr!$D$7:$E$594,2,FALSE),"")</f>
        <v>Camels</v>
      </c>
      <c r="W137" s="1213">
        <f t="shared" si="52"/>
        <v>1126</v>
      </c>
      <c r="X137" s="1099">
        <f>IFERROR(IF(VLOOKUP(B137,cnst_grazing!$C$10:$H$25,5,FALSE)="", IF(VLOOKUP(B137, cnst_grazing!$C$10:$H$25,3,FALSE)="", VLOOKUP(B137, cnst_grazing!$C$10:$H$25,4,FALSE),VLOOKUP(B137, cnst_grazing!$C$10:$H$25,3,FALSE)), VLOOKUP(B137,cnst_grazing!$C$10:$H$25,5,FALSE)),1)</f>
        <v>1</v>
      </c>
      <c r="Y137" s="1099">
        <f>IFERROR(IF(VLOOKUP(B137,cnst_grazing!$C$10:$H$25,6,FALSE)="", IF(VLOOKUP(B137, cnst_grazing!$C$10:$H$25,4,FALSE)="", VLOOKUP(B137, cnst_grazing!$C$10:$H$25,3,FALSE),VLOOKUP(B137, cnst_grazing!$C$10:$H$25,4,FALSE)), VLOOKUP(B137,cnst_grazing!$C$10:$H$25,6,FALSE)),1)</f>
        <v>1</v>
      </c>
      <c r="Z137" s="937">
        <f t="shared" si="53"/>
        <v>0.17</v>
      </c>
      <c r="AA137" s="1487">
        <f t="shared" si="54"/>
        <v>222.3609570651405</v>
      </c>
      <c r="AB137" s="933">
        <f>VLOOKUP($W137,feed_mix_n,MATCH(AB$5,feed_mix_w!$B$5:$AC$5,0),FALSE)/$Z137*VLOOKUP(AB$5,feed_intensity_w,11,FALSE)</f>
        <v>17.481332702864755</v>
      </c>
      <c r="AC137" s="933">
        <f>VLOOKUP($W137,feed_mix_n,MATCH(AC$5,feed_mix_w!$B$5:$AC$5,0),FALSE)/$Z137*VLOOKUP(AC$5,feed_intensity_w,11,FALSE)</f>
        <v>7.3250132164218718</v>
      </c>
      <c r="AD137" s="933">
        <f>VLOOKUP($W137,feed_mix_n,MATCH(AD$5,feed_mix_w!$B$5:$AC$5,0),FALSE)/$Z137*VLOOKUP(AD$5,feed_intensity_w,11,FALSE)</f>
        <v>0</v>
      </c>
      <c r="AE137" s="933">
        <f>VLOOKUP($W137,feed_mix_n,MATCH(AE$5,feed_mix_w!$B$5:$AC$5,0),FALSE)/$Z137*VLOOKUP(AE$5,feed_intensity_w,11,FALSE)</f>
        <v>13.913971165825131</v>
      </c>
      <c r="AF137" s="933">
        <f>VLOOKUP($W137,feed_mix_n,MATCH(AF$5,feed_mix_w!$B$5:$AC$5,0),FALSE)/$Z137*VLOOKUP(AF$5,feed_intensity_w,11,FALSE)</f>
        <v>6.9569855829125657</v>
      </c>
      <c r="AG137" s="933">
        <f>VLOOKUP($W137,feed_mix_n,MATCH(AG$5,feed_mix_w!$B$5:$AC$5,0),FALSE)/$Z137*VLOOKUP(AG$5,feed_intensity_w,11,FALSE)</f>
        <v>0</v>
      </c>
      <c r="AH137" s="933">
        <f>VLOOKUP($W137,feed_mix_n,MATCH(AH$5,feed_mix_w!$B$5:$AC$5,0),FALSE)/$Z137*VLOOKUP(AH$5,feed_intensity_w,11,FALSE)</f>
        <v>6.9569855829125657</v>
      </c>
      <c r="AI137" s="933">
        <f>VLOOKUP($W137,feed_mix_n,MATCH(AI$5,feed_mix_w!$B$5:$AC$5,0),FALSE)/$Z137*VLOOKUP(AI$5,feed_intensity_w,11,FALSE)</f>
        <v>0</v>
      </c>
      <c r="AJ137" s="933">
        <f>VLOOKUP($W137,feed_mix_n,MATCH(AJ$5,feed_mix_w!$B$5:$AC$5,0),FALSE)/$Z137*VLOOKUP(AJ$5,feed_intensity_w,11,FALSE)</f>
        <v>0</v>
      </c>
      <c r="AK137" s="933">
        <f>VLOOKUP($W137,feed_mix_n,MATCH(AK$5,feed_mix_w!$B$5:$AC$5,0),FALSE)/$Z137*VLOOKUP(AK$5,feed_intensity_w,11,FALSE)</f>
        <v>0</v>
      </c>
      <c r="AL137" s="933">
        <f>VLOOKUP($W137,feed_mix_n,MATCH(AL$5,feed_mix_w!$B$5:$AC$5,0),FALSE)/$Z137*VLOOKUP(AL$5,feed_intensity_w,11,FALSE)</f>
        <v>0</v>
      </c>
      <c r="AM137" s="933">
        <f>VLOOKUP($W137,feed_mix_n,MATCH(AM$5,feed_mix_w!$B$5:$AC$5,0),FALSE)/$Z137*VLOOKUP(AM$5,feed_intensity_w,11,FALSE)</f>
        <v>5.0795942242667103</v>
      </c>
      <c r="AN137" s="933">
        <f>VLOOKUP($W137,feed_mix_n,MATCH(AN$5,feed_mix_w!$B$5:$AC$5,0),FALSE)/$Z137*VLOOKUP(AN$5,feed_intensity_w,11,FALSE)</f>
        <v>0</v>
      </c>
      <c r="AO137" s="933">
        <f>VLOOKUP($W137,feed_mix_n,MATCH(AO$5,feed_mix_w!$B$5:$AC$5,0),FALSE)/$Z137*VLOOKUP(AO$5,feed_intensity_w,11,FALSE)</f>
        <v>0</v>
      </c>
      <c r="AP137" s="933">
        <f>VLOOKUP($W137,feed_mix_n,MATCH(AP$5,feed_mix_w!$B$5:$AC$5,0),FALSE)/$Z137*VLOOKUP(AP$5,feed_intensity_w,11,FALSE)</f>
        <v>0</v>
      </c>
      <c r="AQ137" s="933">
        <f>VLOOKUP($W137,feed_mix_n,MATCH(AQ$5,feed_mix_w!$B$5:$AC$5,0),FALSE)/$Z137*VLOOKUP(AQ$5,feed_intensity_w,11,FALSE)</f>
        <v>0</v>
      </c>
      <c r="AR137" s="933">
        <f>VLOOKUP($W137,feed_mix_n,MATCH(AR$5,feed_mix_w!$B$5:$AC$5,0),FALSE)/$Z137*VLOOKUP(AR$5,feed_intensity_w,11,FALSE)</f>
        <v>5.696402612376291</v>
      </c>
      <c r="AS137" s="1105">
        <f>VLOOKUP($W137,feed_mix_n,MATCH(AS$5,feed_mix_w!$B$5:$AC$5,0),FALSE)/$Z137*VLOOKUP(AS$5,feed_intensity_w,11,FALSE)</f>
        <v>0</v>
      </c>
    </row>
    <row r="138" spans="1:45" ht="12.75" customHeight="1">
      <c r="A138" s="1008" t="s">
        <v>3734</v>
      </c>
      <c r="B138" s="1102">
        <v>1140</v>
      </c>
      <c r="C138" s="1103" t="s">
        <v>5299</v>
      </c>
      <c r="D138" s="1158">
        <v>57000</v>
      </c>
      <c r="E138" s="1158">
        <v>29000</v>
      </c>
      <c r="F138" s="1012">
        <f t="shared" si="44"/>
        <v>86.679903091862798</v>
      </c>
      <c r="G138" s="1012">
        <f t="shared" si="45"/>
        <v>44.100301573053002</v>
      </c>
      <c r="H138" s="933">
        <f t="shared" si="46"/>
        <v>0</v>
      </c>
      <c r="I138" s="1486">
        <f t="shared" si="47"/>
        <v>0</v>
      </c>
      <c r="J138" s="1006">
        <f>IFERROR(G138*VLOOKUP(W138,livestock_intensity!$B$7:$I$29,8,FALSE)/Z138,0)</f>
        <v>0</v>
      </c>
      <c r="K138" s="933">
        <f>VLOOKUP($W138,feed_mix_n,MATCH(K$5,feed_mix_w!$B$5:$AC$5,0),FALSE)/$Z138*VLOOKUP(K$5,feed_intensity_w,11,FALSE)</f>
        <v>0</v>
      </c>
      <c r="L138" s="1486">
        <f t="shared" si="48"/>
        <v>0</v>
      </c>
      <c r="M138" s="1447">
        <f>IFERROR(G138*VLOOKUP(W138,livestock_intensity!$B$7:$M$29,12,FALSE)/Z138,0)</f>
        <v>0</v>
      </c>
      <c r="N138" s="933">
        <f>VLOOKUP($W138,feed_mix_n,MATCH(N$5,feed_mix_w!$B$5:$AC$5,0),FALSE)/$Z138*VLOOKUP(N$5,feed_intensity_w,11,FALSE)</f>
        <v>0</v>
      </c>
      <c r="O138" s="1486">
        <f t="shared" si="49"/>
        <v>0</v>
      </c>
      <c r="P138" s="939">
        <f>IFERROR(G138*VLOOKUP(W138,livestock_intensity!$B$7:$Q$29,16,FALSE)/Z138,0)</f>
        <v>0</v>
      </c>
      <c r="Q138" s="1530"/>
      <c r="R138" s="900">
        <f t="shared" si="50"/>
        <v>0</v>
      </c>
      <c r="S138" s="900">
        <f t="shared" si="51"/>
        <v>0</v>
      </c>
      <c r="T138" s="1483" t="s">
        <v>2862</v>
      </c>
      <c r="U138" s="1211" t="s">
        <v>415</v>
      </c>
      <c r="V138" s="1212" t="str">
        <f>IFERROR(VLOOKUP(W138,constant_ag_extr!$D$7:$E$594,2,FALSE),"")</f>
        <v>Rabbits and Hares</v>
      </c>
      <c r="W138" s="1213">
        <f t="shared" si="52"/>
        <v>1140</v>
      </c>
      <c r="X138" s="1099">
        <f>IFERROR(IF(VLOOKUP(B138,cnst_grazing!$C$10:$H$25,5,FALSE)="", IF(VLOOKUP(B138, cnst_grazing!$C$10:$H$25,3,FALSE)="", VLOOKUP(B138, cnst_grazing!$C$10:$H$25,4,FALSE),VLOOKUP(B138, cnst_grazing!$C$10:$H$25,3,FALSE)), VLOOKUP(B138,cnst_grazing!$C$10:$H$25,5,FALSE)),1)</f>
        <v>1.520700054243207E-3</v>
      </c>
      <c r="Y138" s="1104">
        <f>IFERROR(IF(VLOOKUP(B138,cnst_grazing!$C$10:$H$25,6,FALSE)="", IF(VLOOKUP(B138, cnst_grazing!$C$10:$H$25,4,FALSE)="", VLOOKUP(B138, cnst_grazing!$C$10:$H$25,3,FALSE),VLOOKUP(B138, cnst_grazing!$C$10:$H$25,4,FALSE)), VLOOKUP(B138,cnst_grazing!$C$10:$H$25,6,FALSE)),1)</f>
        <v>1.520700054243207E-3</v>
      </c>
      <c r="Z138" s="937">
        <f t="shared" si="53"/>
        <v>1</v>
      </c>
      <c r="AA138" s="1487">
        <f t="shared" si="54"/>
        <v>0</v>
      </c>
      <c r="AB138" s="933">
        <f>VLOOKUP($W138,feed_mix_n,MATCH(AB$5,feed_mix_w!$B$5:$AC$5,0),FALSE)/$Z138*VLOOKUP(AB$5,feed_intensity_w,11,FALSE)</f>
        <v>0</v>
      </c>
      <c r="AC138" s="933">
        <f>VLOOKUP($W138,feed_mix_n,MATCH(AC$5,feed_mix_w!$B$5:$AC$5,0),FALSE)/$Z138*VLOOKUP(AC$5,feed_intensity_w,11,FALSE)</f>
        <v>0</v>
      </c>
      <c r="AD138" s="933">
        <f>VLOOKUP($W138,feed_mix_n,MATCH(AD$5,feed_mix_w!$B$5:$AC$5,0),FALSE)/$Z138*VLOOKUP(AD$5,feed_intensity_w,11,FALSE)</f>
        <v>0</v>
      </c>
      <c r="AE138" s="933">
        <f>VLOOKUP($W138,feed_mix_n,MATCH(AE$5,feed_mix_w!$B$5:$AC$5,0),FALSE)/$Z138*VLOOKUP(AE$5,feed_intensity_w,11,FALSE)</f>
        <v>0</v>
      </c>
      <c r="AF138" s="933">
        <f>VLOOKUP($W138,feed_mix_n,MATCH(AF$5,feed_mix_w!$B$5:$AC$5,0),FALSE)/$Z138*VLOOKUP(AF$5,feed_intensity_w,11,FALSE)</f>
        <v>0</v>
      </c>
      <c r="AG138" s="933">
        <f>VLOOKUP($W138,feed_mix_n,MATCH(AG$5,feed_mix_w!$B$5:$AC$5,0),FALSE)/$Z138*VLOOKUP(AG$5,feed_intensity_w,11,FALSE)</f>
        <v>0</v>
      </c>
      <c r="AH138" s="933">
        <f>VLOOKUP($W138,feed_mix_n,MATCH(AH$5,feed_mix_w!$B$5:$AC$5,0),FALSE)/$Z138*VLOOKUP(AH$5,feed_intensity_w,11,FALSE)</f>
        <v>0</v>
      </c>
      <c r="AI138" s="933">
        <f>VLOOKUP($W138,feed_mix_n,MATCH(AI$5,feed_mix_w!$B$5:$AC$5,0),FALSE)/$Z138*VLOOKUP(AI$5,feed_intensity_w,11,FALSE)</f>
        <v>0</v>
      </c>
      <c r="AJ138" s="933">
        <f>VLOOKUP($W138,feed_mix_n,MATCH(AJ$5,feed_mix_w!$B$5:$AC$5,0),FALSE)/$Z138*VLOOKUP(AJ$5,feed_intensity_w,11,FALSE)</f>
        <v>0</v>
      </c>
      <c r="AK138" s="933">
        <f>VLOOKUP($W138,feed_mix_n,MATCH(AK$5,feed_mix_w!$B$5:$AC$5,0),FALSE)/$Z138*VLOOKUP(AK$5,feed_intensity_w,11,FALSE)</f>
        <v>0</v>
      </c>
      <c r="AL138" s="933">
        <f>VLOOKUP($W138,feed_mix_n,MATCH(AL$5,feed_mix_w!$B$5:$AC$5,0),FALSE)/$Z138*VLOOKUP(AL$5,feed_intensity_w,11,FALSE)</f>
        <v>0</v>
      </c>
      <c r="AM138" s="933">
        <f>VLOOKUP($W138,feed_mix_n,MATCH(AM$5,feed_mix_w!$B$5:$AC$5,0),FALSE)/$Z138*VLOOKUP(AM$5,feed_intensity_w,11,FALSE)</f>
        <v>0</v>
      </c>
      <c r="AN138" s="933">
        <f>VLOOKUP($W138,feed_mix_n,MATCH(AN$5,feed_mix_w!$B$5:$AC$5,0),FALSE)/$Z138*VLOOKUP(AN$5,feed_intensity_w,11,FALSE)</f>
        <v>0</v>
      </c>
      <c r="AO138" s="933">
        <f>VLOOKUP($W138,feed_mix_n,MATCH(AO$5,feed_mix_w!$B$5:$AC$5,0),FALSE)/$Z138*VLOOKUP(AO$5,feed_intensity_w,11,FALSE)</f>
        <v>0</v>
      </c>
      <c r="AP138" s="933">
        <f>VLOOKUP($W138,feed_mix_n,MATCH(AP$5,feed_mix_w!$B$5:$AC$5,0),FALSE)/$Z138*VLOOKUP(AP$5,feed_intensity_w,11,FALSE)</f>
        <v>0</v>
      </c>
      <c r="AQ138" s="933">
        <f>VLOOKUP($W138,feed_mix_n,MATCH(AQ$5,feed_mix_w!$B$5:$AC$5,0),FALSE)/$Z138*VLOOKUP(AQ$5,feed_intensity_w,11,FALSE)</f>
        <v>0</v>
      </c>
      <c r="AR138" s="933">
        <f>VLOOKUP($W138,feed_mix_n,MATCH(AR$5,feed_mix_w!$B$5:$AC$5,0),FALSE)/$Z138*VLOOKUP(AR$5,feed_intensity_w,11,FALSE)</f>
        <v>0</v>
      </c>
      <c r="AS138" s="1105">
        <f>VLOOKUP($W138,feed_mix_n,MATCH(AS$5,feed_mix_w!$B$5:$AC$5,0),FALSE)/$Z138*VLOOKUP(AS$5,feed_intensity_w,11,FALSE)</f>
        <v>0</v>
      </c>
    </row>
    <row r="139" spans="1:45" ht="12.75" customHeight="1">
      <c r="A139" s="1008" t="s">
        <v>7416</v>
      </c>
      <c r="B139" s="1102">
        <v>1141</v>
      </c>
      <c r="C139" s="1103" t="s">
        <v>2082</v>
      </c>
      <c r="D139" s="1158">
        <v>837</v>
      </c>
      <c r="E139" s="1158">
        <v>274</v>
      </c>
      <c r="F139" s="1012">
        <f t="shared" si="44"/>
        <v>837</v>
      </c>
      <c r="G139" s="1012">
        <f t="shared" si="45"/>
        <v>274</v>
      </c>
      <c r="H139" s="933">
        <f t="shared" si="46"/>
        <v>0</v>
      </c>
      <c r="I139" s="1486">
        <f t="shared" si="47"/>
        <v>0</v>
      </c>
      <c r="J139" s="1006">
        <f>IFERROR(G139*VLOOKUP(W139,livestock_intensity!$B$7:$I$29,8,FALSE)/Z139,0)</f>
        <v>0</v>
      </c>
      <c r="K139" s="933">
        <f>VLOOKUP($W139,feed_mix_n,MATCH(K$5,feed_mix_w!$B$5:$AC$5,0),FALSE)/$Z139*VLOOKUP(K$5,feed_intensity_w,11,FALSE)</f>
        <v>0</v>
      </c>
      <c r="L139" s="1486">
        <f t="shared" si="48"/>
        <v>0</v>
      </c>
      <c r="M139" s="1447">
        <f>IFERROR(G139*VLOOKUP(W139,livestock_intensity!$B$7:$M$29,12,FALSE)/Z139,0)</f>
        <v>0</v>
      </c>
      <c r="N139" s="933">
        <f>VLOOKUP($W139,feed_mix_n,MATCH(N$5,feed_mix_w!$B$5:$AC$5,0),FALSE)/$Z139*VLOOKUP(N$5,feed_intensity_w,11,FALSE)</f>
        <v>0</v>
      </c>
      <c r="O139" s="1486">
        <f t="shared" si="49"/>
        <v>0</v>
      </c>
      <c r="P139" s="939">
        <f>IFERROR(G139*VLOOKUP(W139,livestock_intensity!$B$7:$Q$29,16,FALSE)/Z139,0)</f>
        <v>0</v>
      </c>
      <c r="Q139" s="1530"/>
      <c r="R139" s="900">
        <f t="shared" si="50"/>
        <v>0</v>
      </c>
      <c r="S139" s="900">
        <f t="shared" si="51"/>
        <v>0</v>
      </c>
      <c r="T139" s="1483">
        <v>2735</v>
      </c>
      <c r="U139" s="1211" t="s">
        <v>2921</v>
      </c>
      <c r="V139" s="1212" t="str">
        <f>IFERROR(VLOOKUP(W139,constant_ag_extr!$D$7:$E$594,2,FALSE),"")</f>
        <v>Rabbits and Hares</v>
      </c>
      <c r="W139" s="1213">
        <f t="shared" si="52"/>
        <v>1140</v>
      </c>
      <c r="X139" s="1099">
        <f>IFERROR(IF(VLOOKUP(B139,cnst_grazing!$C$10:$H$25,5,FALSE)="", IF(VLOOKUP(B139, cnst_grazing!$C$10:$H$25,3,FALSE)="", VLOOKUP(B139, cnst_grazing!$C$10:$H$25,4,FALSE),VLOOKUP(B139, cnst_grazing!$C$10:$H$25,3,FALSE)), VLOOKUP(B139,cnst_grazing!$C$10:$H$25,5,FALSE)),1)</f>
        <v>1</v>
      </c>
      <c r="Y139" s="1099">
        <f>IFERROR(IF(VLOOKUP(B139,cnst_grazing!$C$10:$H$25,6,FALSE)="", IF(VLOOKUP(B139, cnst_grazing!$C$10:$H$25,4,FALSE)="", VLOOKUP(B139, cnst_grazing!$C$10:$H$25,3,FALSE),VLOOKUP(B139, cnst_grazing!$C$10:$H$25,4,FALSE)), VLOOKUP(B139,cnst_grazing!$C$10:$H$25,6,FALSE)),1)</f>
        <v>1</v>
      </c>
      <c r="Z139" s="937">
        <f t="shared" si="53"/>
        <v>0.98760619731419697</v>
      </c>
      <c r="AA139" s="1487">
        <f t="shared" si="54"/>
        <v>0</v>
      </c>
      <c r="AB139" s="933">
        <f>VLOOKUP($W139,feed_mix_n,MATCH(AB$5,feed_mix_w!$B$5:$AC$5,0),FALSE)/$Z139*VLOOKUP(AB$5,feed_intensity_w,11,FALSE)</f>
        <v>0</v>
      </c>
      <c r="AC139" s="933">
        <f>VLOOKUP($W139,feed_mix_n,MATCH(AC$5,feed_mix_w!$B$5:$AC$5,0),FALSE)/$Z139*VLOOKUP(AC$5,feed_intensity_w,11,FALSE)</f>
        <v>0</v>
      </c>
      <c r="AD139" s="933">
        <f>VLOOKUP($W139,feed_mix_n,MATCH(AD$5,feed_mix_w!$B$5:$AC$5,0),FALSE)/$Z139*VLOOKUP(AD$5,feed_intensity_w,11,FALSE)</f>
        <v>0</v>
      </c>
      <c r="AE139" s="933">
        <f>VLOOKUP($W139,feed_mix_n,MATCH(AE$5,feed_mix_w!$B$5:$AC$5,0),FALSE)/$Z139*VLOOKUP(AE$5,feed_intensity_w,11,FALSE)</f>
        <v>0</v>
      </c>
      <c r="AF139" s="933">
        <f>VLOOKUP($W139,feed_mix_n,MATCH(AF$5,feed_mix_w!$B$5:$AC$5,0),FALSE)/$Z139*VLOOKUP(AF$5,feed_intensity_w,11,FALSE)</f>
        <v>0</v>
      </c>
      <c r="AG139" s="933">
        <f>VLOOKUP($W139,feed_mix_n,MATCH(AG$5,feed_mix_w!$B$5:$AC$5,0),FALSE)/$Z139*VLOOKUP(AG$5,feed_intensity_w,11,FALSE)</f>
        <v>0</v>
      </c>
      <c r="AH139" s="933">
        <f>VLOOKUP($W139,feed_mix_n,MATCH(AH$5,feed_mix_w!$B$5:$AC$5,0),FALSE)/$Z139*VLOOKUP(AH$5,feed_intensity_w,11,FALSE)</f>
        <v>0</v>
      </c>
      <c r="AI139" s="933">
        <f>VLOOKUP($W139,feed_mix_n,MATCH(AI$5,feed_mix_w!$B$5:$AC$5,0),FALSE)/$Z139*VLOOKUP(AI$5,feed_intensity_w,11,FALSE)</f>
        <v>0</v>
      </c>
      <c r="AJ139" s="933">
        <f>VLOOKUP($W139,feed_mix_n,MATCH(AJ$5,feed_mix_w!$B$5:$AC$5,0),FALSE)/$Z139*VLOOKUP(AJ$5,feed_intensity_w,11,FALSE)</f>
        <v>0</v>
      </c>
      <c r="AK139" s="933">
        <f>VLOOKUP($W139,feed_mix_n,MATCH(AK$5,feed_mix_w!$B$5:$AC$5,0),FALSE)/$Z139*VLOOKUP(AK$5,feed_intensity_w,11,FALSE)</f>
        <v>0</v>
      </c>
      <c r="AL139" s="933">
        <f>VLOOKUP($W139,feed_mix_n,MATCH(AL$5,feed_mix_w!$B$5:$AC$5,0),FALSE)/$Z139*VLOOKUP(AL$5,feed_intensity_w,11,FALSE)</f>
        <v>0</v>
      </c>
      <c r="AM139" s="933">
        <f>VLOOKUP($W139,feed_mix_n,MATCH(AM$5,feed_mix_w!$B$5:$AC$5,0),FALSE)/$Z139*VLOOKUP(AM$5,feed_intensity_w,11,FALSE)</f>
        <v>0</v>
      </c>
      <c r="AN139" s="933">
        <f>VLOOKUP($W139,feed_mix_n,MATCH(AN$5,feed_mix_w!$B$5:$AC$5,0),FALSE)/$Z139*VLOOKUP(AN$5,feed_intensity_w,11,FALSE)</f>
        <v>0</v>
      </c>
      <c r="AO139" s="933">
        <f>VLOOKUP($W139,feed_mix_n,MATCH(AO$5,feed_mix_w!$B$5:$AC$5,0),FALSE)/$Z139*VLOOKUP(AO$5,feed_intensity_w,11,FALSE)</f>
        <v>0</v>
      </c>
      <c r="AP139" s="933">
        <f>VLOOKUP($W139,feed_mix_n,MATCH(AP$5,feed_mix_w!$B$5:$AC$5,0),FALSE)/$Z139*VLOOKUP(AP$5,feed_intensity_w,11,FALSE)</f>
        <v>0</v>
      </c>
      <c r="AQ139" s="933">
        <f>VLOOKUP($W139,feed_mix_n,MATCH(AQ$5,feed_mix_w!$B$5:$AC$5,0),FALSE)/$Z139*VLOOKUP(AQ$5,feed_intensity_w,11,FALSE)</f>
        <v>0</v>
      </c>
      <c r="AR139" s="933">
        <f>VLOOKUP($W139,feed_mix_n,MATCH(AR$5,feed_mix_w!$B$5:$AC$5,0),FALSE)/$Z139*VLOOKUP(AR$5,feed_intensity_w,11,FALSE)</f>
        <v>0</v>
      </c>
      <c r="AS139" s="1105">
        <f>VLOOKUP($W139,feed_mix_n,MATCH(AS$5,feed_mix_w!$B$5:$AC$5,0),FALSE)/$Z139*VLOOKUP(AS$5,feed_intensity_w,11,FALSE)</f>
        <v>0</v>
      </c>
    </row>
    <row r="140" spans="1:45" ht="12.75" customHeight="1">
      <c r="A140" s="1008" t="s">
        <v>357</v>
      </c>
      <c r="B140" s="1102">
        <v>1146</v>
      </c>
      <c r="C140" s="1103">
        <v>4301.8</v>
      </c>
      <c r="D140" s="1158"/>
      <c r="E140" s="1158"/>
      <c r="F140" s="1012">
        <f t="shared" si="44"/>
        <v>0</v>
      </c>
      <c r="G140" s="1012">
        <f t="shared" si="45"/>
        <v>0</v>
      </c>
      <c r="H140" s="933">
        <f t="shared" si="46"/>
        <v>0</v>
      </c>
      <c r="I140" s="1486">
        <f t="shared" si="47"/>
        <v>0</v>
      </c>
      <c r="J140" s="1006">
        <f>IFERROR(G140*VLOOKUP(W140,livestock_intensity!$B$7:$I$29,8,FALSE)/Z140,0)</f>
        <v>0</v>
      </c>
      <c r="K140" s="933">
        <f>VLOOKUP($W140,feed_mix_n,MATCH(K$5,feed_mix_w!$B$5:$AC$5,0),FALSE)/$Z140*VLOOKUP(K$5,feed_intensity_w,11,FALSE)</f>
        <v>0</v>
      </c>
      <c r="L140" s="1486">
        <f t="shared" si="48"/>
        <v>0</v>
      </c>
      <c r="M140" s="1447">
        <f>IFERROR(G140*VLOOKUP(W140,livestock_intensity!$B$7:$M$29,12,FALSE)/Z140,0)</f>
        <v>0</v>
      </c>
      <c r="N140" s="933">
        <f>VLOOKUP($W140,feed_mix_n,MATCH(N$5,feed_mix_w!$B$5:$AC$5,0),FALSE)/$Z140*VLOOKUP(N$5,feed_intensity_w,11,FALSE)</f>
        <v>0</v>
      </c>
      <c r="O140" s="1486">
        <f t="shared" si="49"/>
        <v>0</v>
      </c>
      <c r="P140" s="939">
        <f>IFERROR(G140*VLOOKUP(W140,livestock_intensity!$B$7:$Q$29,16,FALSE)/Z140,0)</f>
        <v>0</v>
      </c>
      <c r="Q140" s="1530"/>
      <c r="R140" s="900">
        <f t="shared" si="50"/>
        <v>0</v>
      </c>
      <c r="S140" s="900">
        <f t="shared" si="51"/>
        <v>0</v>
      </c>
      <c r="T140" s="1483">
        <v>2748</v>
      </c>
      <c r="U140" s="1211" t="s">
        <v>2921</v>
      </c>
      <c r="V140" s="1212" t="str">
        <f>IFERROR(VLOOKUP(W140,constant_ag_extr!$D$7:$E$594,2,FALSE),"")</f>
        <v>Rabbits and Hares</v>
      </c>
      <c r="W140" s="1213">
        <f t="shared" si="52"/>
        <v>1140</v>
      </c>
      <c r="X140" s="1099">
        <f>IFERROR(IF(VLOOKUP(B140,cnst_grazing!$C$10:$H$25,5,FALSE)="", IF(VLOOKUP(B140, cnst_grazing!$C$10:$H$25,3,FALSE)="", VLOOKUP(B140, cnst_grazing!$C$10:$H$25,4,FALSE),VLOOKUP(B140, cnst_grazing!$C$10:$H$25,3,FALSE)), VLOOKUP(B140,cnst_grazing!$C$10:$H$25,5,FALSE)),1)</f>
        <v>1</v>
      </c>
      <c r="Y140" s="1099">
        <f>IFERROR(IF(VLOOKUP(B140,cnst_grazing!$C$10:$H$25,6,FALSE)="", IF(VLOOKUP(B140, cnst_grazing!$C$10:$H$25,4,FALSE)="", VLOOKUP(B140, cnst_grazing!$C$10:$H$25,3,FALSE),VLOOKUP(B140, cnst_grazing!$C$10:$H$25,4,FALSE)), VLOOKUP(B140,cnst_grazing!$C$10:$H$25,6,FALSE)),1)</f>
        <v>1</v>
      </c>
      <c r="Z140" s="937">
        <f t="shared" si="53"/>
        <v>0.50591367376759189</v>
      </c>
      <c r="AA140" s="1487">
        <f t="shared" si="54"/>
        <v>0</v>
      </c>
      <c r="AB140" s="933">
        <f>VLOOKUP($W140,feed_mix_n,MATCH(AB$5,feed_mix_w!$B$5:$AC$5,0),FALSE)/$Z140*VLOOKUP(AB$5,feed_intensity_w,11,FALSE)</f>
        <v>0</v>
      </c>
      <c r="AC140" s="933">
        <f>VLOOKUP($W140,feed_mix_n,MATCH(AC$5,feed_mix_w!$B$5:$AC$5,0),FALSE)/$Z140*VLOOKUP(AC$5,feed_intensity_w,11,FALSE)</f>
        <v>0</v>
      </c>
      <c r="AD140" s="933">
        <f>VLOOKUP($W140,feed_mix_n,MATCH(AD$5,feed_mix_w!$B$5:$AC$5,0),FALSE)/$Z140*VLOOKUP(AD$5,feed_intensity_w,11,FALSE)</f>
        <v>0</v>
      </c>
      <c r="AE140" s="933">
        <f>VLOOKUP($W140,feed_mix_n,MATCH(AE$5,feed_mix_w!$B$5:$AC$5,0),FALSE)/$Z140*VLOOKUP(AE$5,feed_intensity_w,11,FALSE)</f>
        <v>0</v>
      </c>
      <c r="AF140" s="933">
        <f>VLOOKUP($W140,feed_mix_n,MATCH(AF$5,feed_mix_w!$B$5:$AC$5,0),FALSE)/$Z140*VLOOKUP(AF$5,feed_intensity_w,11,FALSE)</f>
        <v>0</v>
      </c>
      <c r="AG140" s="933">
        <f>VLOOKUP($W140,feed_mix_n,MATCH(AG$5,feed_mix_w!$B$5:$AC$5,0),FALSE)/$Z140*VLOOKUP(AG$5,feed_intensity_w,11,FALSE)</f>
        <v>0</v>
      </c>
      <c r="AH140" s="933">
        <f>VLOOKUP($W140,feed_mix_n,MATCH(AH$5,feed_mix_w!$B$5:$AC$5,0),FALSE)/$Z140*VLOOKUP(AH$5,feed_intensity_w,11,FALSE)</f>
        <v>0</v>
      </c>
      <c r="AI140" s="933">
        <f>VLOOKUP($W140,feed_mix_n,MATCH(AI$5,feed_mix_w!$B$5:$AC$5,0),FALSE)/$Z140*VLOOKUP(AI$5,feed_intensity_w,11,FALSE)</f>
        <v>0</v>
      </c>
      <c r="AJ140" s="933">
        <f>VLOOKUP($W140,feed_mix_n,MATCH(AJ$5,feed_mix_w!$B$5:$AC$5,0),FALSE)/$Z140*VLOOKUP(AJ$5,feed_intensity_w,11,FALSE)</f>
        <v>0</v>
      </c>
      <c r="AK140" s="933">
        <f>VLOOKUP($W140,feed_mix_n,MATCH(AK$5,feed_mix_w!$B$5:$AC$5,0),FALSE)/$Z140*VLOOKUP(AK$5,feed_intensity_w,11,FALSE)</f>
        <v>0</v>
      </c>
      <c r="AL140" s="933">
        <f>VLOOKUP($W140,feed_mix_n,MATCH(AL$5,feed_mix_w!$B$5:$AC$5,0),FALSE)/$Z140*VLOOKUP(AL$5,feed_intensity_w,11,FALSE)</f>
        <v>0</v>
      </c>
      <c r="AM140" s="933">
        <f>VLOOKUP($W140,feed_mix_n,MATCH(AM$5,feed_mix_w!$B$5:$AC$5,0),FALSE)/$Z140*VLOOKUP(AM$5,feed_intensity_w,11,FALSE)</f>
        <v>0</v>
      </c>
      <c r="AN140" s="933">
        <f>VLOOKUP($W140,feed_mix_n,MATCH(AN$5,feed_mix_w!$B$5:$AC$5,0),FALSE)/$Z140*VLOOKUP(AN$5,feed_intensity_w,11,FALSE)</f>
        <v>0</v>
      </c>
      <c r="AO140" s="933">
        <f>VLOOKUP($W140,feed_mix_n,MATCH(AO$5,feed_mix_w!$B$5:$AC$5,0),FALSE)/$Z140*VLOOKUP(AO$5,feed_intensity_w,11,FALSE)</f>
        <v>0</v>
      </c>
      <c r="AP140" s="933">
        <f>VLOOKUP($W140,feed_mix_n,MATCH(AP$5,feed_mix_w!$B$5:$AC$5,0),FALSE)/$Z140*VLOOKUP(AP$5,feed_intensity_w,11,FALSE)</f>
        <v>0</v>
      </c>
      <c r="AQ140" s="933">
        <f>VLOOKUP($W140,feed_mix_n,MATCH(AQ$5,feed_mix_w!$B$5:$AC$5,0),FALSE)/$Z140*VLOOKUP(AQ$5,feed_intensity_w,11,FALSE)</f>
        <v>0</v>
      </c>
      <c r="AR140" s="933">
        <f>VLOOKUP($W140,feed_mix_n,MATCH(AR$5,feed_mix_w!$B$5:$AC$5,0),FALSE)/$Z140*VLOOKUP(AR$5,feed_intensity_w,11,FALSE)</f>
        <v>0</v>
      </c>
      <c r="AS140" s="1105">
        <f>VLOOKUP($W140,feed_mix_n,MATCH(AS$5,feed_mix_w!$B$5:$AC$5,0),FALSE)/$Z140*VLOOKUP(AS$5,feed_intensity_w,11,FALSE)</f>
        <v>0</v>
      </c>
    </row>
    <row r="141" spans="1:45" ht="12.75" customHeight="1">
      <c r="A141" s="1008" t="s">
        <v>7417</v>
      </c>
      <c r="B141" s="1102">
        <v>1150</v>
      </c>
      <c r="C141" s="1103" t="s">
        <v>3104</v>
      </c>
      <c r="D141" s="1158"/>
      <c r="E141" s="1158"/>
      <c r="F141" s="1012">
        <f t="shared" si="44"/>
        <v>0</v>
      </c>
      <c r="G141" s="1012">
        <f t="shared" si="45"/>
        <v>0</v>
      </c>
      <c r="H141" s="933">
        <f t="shared" si="46"/>
        <v>0</v>
      </c>
      <c r="I141" s="1486">
        <f t="shared" si="47"/>
        <v>0</v>
      </c>
      <c r="J141" s="1006">
        <f>IFERROR(G141*VLOOKUP(W141,livestock_intensity!$B$7:$I$29,8,FALSE)/Z141,0)</f>
        <v>0</v>
      </c>
      <c r="K141" s="933">
        <f>VLOOKUP($W141,feed_mix_n,MATCH(K$5,feed_mix_w!$B$5:$AC$5,0),FALSE)/$Z141*VLOOKUP(K$5,feed_intensity_w,11,FALSE)</f>
        <v>0</v>
      </c>
      <c r="L141" s="1486">
        <f t="shared" si="48"/>
        <v>0</v>
      </c>
      <c r="M141" s="1447">
        <f>IFERROR(G141*VLOOKUP(W141,livestock_intensity!$B$7:$M$29,12,FALSE)/Z141,0)</f>
        <v>0</v>
      </c>
      <c r="N141" s="933">
        <f>VLOOKUP($W141,feed_mix_n,MATCH(N$5,feed_mix_w!$B$5:$AC$5,0),FALSE)/$Z141*VLOOKUP(N$5,feed_intensity_w,11,FALSE)</f>
        <v>0</v>
      </c>
      <c r="O141" s="1486">
        <f t="shared" si="49"/>
        <v>0</v>
      </c>
      <c r="P141" s="939">
        <f>IFERROR(G141*VLOOKUP(W141,livestock_intensity!$B$7:$Q$29,16,FALSE)/Z141,0)</f>
        <v>0</v>
      </c>
      <c r="Q141" s="1530"/>
      <c r="R141" s="900">
        <f t="shared" si="50"/>
        <v>0</v>
      </c>
      <c r="S141" s="900">
        <f t="shared" si="51"/>
        <v>0</v>
      </c>
      <c r="T141" s="1483" t="s">
        <v>2862</v>
      </c>
      <c r="U141" s="1211" t="s">
        <v>415</v>
      </c>
      <c r="V141" s="1212" t="str">
        <f>IFERROR(VLOOKUP(W141,constant_ag_extr!$D$7:$E$594,2,FALSE),"")</f>
        <v>Other rodents</v>
      </c>
      <c r="W141" s="1213">
        <f t="shared" si="52"/>
        <v>1150</v>
      </c>
      <c r="X141" s="1099">
        <f>IFERROR(IF(VLOOKUP(B141,cnst_grazing!$C$10:$H$25,5,FALSE)="", IF(VLOOKUP(B141, cnst_grazing!$C$10:$H$25,3,FALSE)="", VLOOKUP(B141, cnst_grazing!$C$10:$H$25,4,FALSE),VLOOKUP(B141, cnst_grazing!$C$10:$H$25,3,FALSE)), VLOOKUP(B141,cnst_grazing!$C$10:$H$25,5,FALSE)),1)</f>
        <v>2.6430000434629619E-4</v>
      </c>
      <c r="Y141" s="1104">
        <f>IFERROR(IF(VLOOKUP(B141,cnst_grazing!$C$10:$H$25,6,FALSE)="", IF(VLOOKUP(B141, cnst_grazing!$C$10:$H$25,4,FALSE)="", VLOOKUP(B141, cnst_grazing!$C$10:$H$25,3,FALSE),VLOOKUP(B141, cnst_grazing!$C$10:$H$25,4,FALSE)), VLOOKUP(B141,cnst_grazing!$C$10:$H$25,6,FALSE)),1)</f>
        <v>2.6430000434629619E-4</v>
      </c>
      <c r="Z141" s="937">
        <f t="shared" si="53"/>
        <v>1</v>
      </c>
      <c r="AA141" s="1487">
        <f t="shared" si="54"/>
        <v>0</v>
      </c>
      <c r="AB141" s="933">
        <f>VLOOKUP($W141,feed_mix_n,MATCH(AB$5,feed_mix_w!$B$5:$AC$5,0),FALSE)/$Z141*VLOOKUP(AB$5,feed_intensity_w,11,FALSE)</f>
        <v>0</v>
      </c>
      <c r="AC141" s="933">
        <f>VLOOKUP($W141,feed_mix_n,MATCH(AC$5,feed_mix_w!$B$5:$AC$5,0),FALSE)/$Z141*VLOOKUP(AC$5,feed_intensity_w,11,FALSE)</f>
        <v>0</v>
      </c>
      <c r="AD141" s="933">
        <f>VLOOKUP($W141,feed_mix_n,MATCH(AD$5,feed_mix_w!$B$5:$AC$5,0),FALSE)/$Z141*VLOOKUP(AD$5,feed_intensity_w,11,FALSE)</f>
        <v>0</v>
      </c>
      <c r="AE141" s="933">
        <f>VLOOKUP($W141,feed_mix_n,MATCH(AE$5,feed_mix_w!$B$5:$AC$5,0),FALSE)/$Z141*VLOOKUP(AE$5,feed_intensity_w,11,FALSE)</f>
        <v>0</v>
      </c>
      <c r="AF141" s="933">
        <f>VLOOKUP($W141,feed_mix_n,MATCH(AF$5,feed_mix_w!$B$5:$AC$5,0),FALSE)/$Z141*VLOOKUP(AF$5,feed_intensity_w,11,FALSE)</f>
        <v>0</v>
      </c>
      <c r="AG141" s="933">
        <f>VLOOKUP($W141,feed_mix_n,MATCH(AG$5,feed_mix_w!$B$5:$AC$5,0),FALSE)/$Z141*VLOOKUP(AG$5,feed_intensity_w,11,FALSE)</f>
        <v>0</v>
      </c>
      <c r="AH141" s="933">
        <f>VLOOKUP($W141,feed_mix_n,MATCH(AH$5,feed_mix_w!$B$5:$AC$5,0),FALSE)/$Z141*VLOOKUP(AH$5,feed_intensity_w,11,FALSE)</f>
        <v>0</v>
      </c>
      <c r="AI141" s="933">
        <f>VLOOKUP($W141,feed_mix_n,MATCH(AI$5,feed_mix_w!$B$5:$AC$5,0),FALSE)/$Z141*VLOOKUP(AI$5,feed_intensity_w,11,FALSE)</f>
        <v>0</v>
      </c>
      <c r="AJ141" s="933">
        <f>VLOOKUP($W141,feed_mix_n,MATCH(AJ$5,feed_mix_w!$B$5:$AC$5,0),FALSE)/$Z141*VLOOKUP(AJ$5,feed_intensity_w,11,FALSE)</f>
        <v>0</v>
      </c>
      <c r="AK141" s="933">
        <f>VLOOKUP($W141,feed_mix_n,MATCH(AK$5,feed_mix_w!$B$5:$AC$5,0),FALSE)/$Z141*VLOOKUP(AK$5,feed_intensity_w,11,FALSE)</f>
        <v>0</v>
      </c>
      <c r="AL141" s="933">
        <f>VLOOKUP($W141,feed_mix_n,MATCH(AL$5,feed_mix_w!$B$5:$AC$5,0),FALSE)/$Z141*VLOOKUP(AL$5,feed_intensity_w,11,FALSE)</f>
        <v>0</v>
      </c>
      <c r="AM141" s="933">
        <f>VLOOKUP($W141,feed_mix_n,MATCH(AM$5,feed_mix_w!$B$5:$AC$5,0),FALSE)/$Z141*VLOOKUP(AM$5,feed_intensity_w,11,FALSE)</f>
        <v>0</v>
      </c>
      <c r="AN141" s="933">
        <f>VLOOKUP($W141,feed_mix_n,MATCH(AN$5,feed_mix_w!$B$5:$AC$5,0),FALSE)/$Z141*VLOOKUP(AN$5,feed_intensity_w,11,FALSE)</f>
        <v>0</v>
      </c>
      <c r="AO141" s="933">
        <f>VLOOKUP($W141,feed_mix_n,MATCH(AO$5,feed_mix_w!$B$5:$AC$5,0),FALSE)/$Z141*VLOOKUP(AO$5,feed_intensity_w,11,FALSE)</f>
        <v>0</v>
      </c>
      <c r="AP141" s="933">
        <f>VLOOKUP($W141,feed_mix_n,MATCH(AP$5,feed_mix_w!$B$5:$AC$5,0),FALSE)/$Z141*VLOOKUP(AP$5,feed_intensity_w,11,FALSE)</f>
        <v>0</v>
      </c>
      <c r="AQ141" s="933">
        <f>VLOOKUP($W141,feed_mix_n,MATCH(AQ$5,feed_mix_w!$B$5:$AC$5,0),FALSE)/$Z141*VLOOKUP(AQ$5,feed_intensity_w,11,FALSE)</f>
        <v>0</v>
      </c>
      <c r="AR141" s="933">
        <f>VLOOKUP($W141,feed_mix_n,MATCH(AR$5,feed_mix_w!$B$5:$AC$5,0),FALSE)/$Z141*VLOOKUP(AR$5,feed_intensity_w,11,FALSE)</f>
        <v>0</v>
      </c>
      <c r="AS141" s="1105">
        <f>VLOOKUP($W141,feed_mix_n,MATCH(AS$5,feed_mix_w!$B$5:$AC$5,0),FALSE)/$Z141*VLOOKUP(AS$5,feed_intensity_w,11,FALSE)</f>
        <v>0</v>
      </c>
    </row>
    <row r="142" spans="1:45" ht="12.75" customHeight="1">
      <c r="A142" s="1008" t="s">
        <v>7418</v>
      </c>
      <c r="B142" s="1102">
        <v>1157</v>
      </c>
      <c r="C142" s="1103" t="s">
        <v>3102</v>
      </c>
      <c r="D142" s="1158"/>
      <c r="E142" s="1158"/>
      <c r="F142" s="1012">
        <f t="shared" si="44"/>
        <v>0</v>
      </c>
      <c r="G142" s="1012">
        <f t="shared" si="45"/>
        <v>0</v>
      </c>
      <c r="H142" s="933">
        <f t="shared" si="46"/>
        <v>68.668451706576505</v>
      </c>
      <c r="I142" s="1486">
        <f t="shared" si="47"/>
        <v>0</v>
      </c>
      <c r="J142" s="1006">
        <f>IFERROR(G142*VLOOKUP(W142,livestock_intensity!$B$7:$I$29,8,FALSE)/Z142,0)</f>
        <v>0</v>
      </c>
      <c r="K142" s="933">
        <f>VLOOKUP($W142,feed_mix_n,MATCH(K$5,feed_mix_w!$B$5:$AC$5,0),FALSE)/$Z142*VLOOKUP(K$5,feed_intensity_w,11,FALSE)</f>
        <v>0</v>
      </c>
      <c r="L142" s="1486">
        <f t="shared" si="48"/>
        <v>0</v>
      </c>
      <c r="M142" s="1447">
        <f>IFERROR(G142*VLOOKUP(W142,livestock_intensity!$B$7:$M$29,12,FALSE)/Z142,0)</f>
        <v>0</v>
      </c>
      <c r="N142" s="933">
        <f>VLOOKUP($W142,feed_mix_n,MATCH(N$5,feed_mix_w!$B$5:$AC$5,0),FALSE)/$Z142*VLOOKUP(N$5,feed_intensity_w,11,FALSE)</f>
        <v>172.13132739182225</v>
      </c>
      <c r="O142" s="1486">
        <f t="shared" si="49"/>
        <v>0</v>
      </c>
      <c r="P142" s="939">
        <f>IFERROR(G142*VLOOKUP(W142,livestock_intensity!$B$7:$Q$29,16,FALSE)/Z142,0)</f>
        <v>0</v>
      </c>
      <c r="Q142" s="1530"/>
      <c r="R142" s="900">
        <f t="shared" si="50"/>
        <v>0</v>
      </c>
      <c r="S142" s="900">
        <f t="shared" si="51"/>
        <v>0</v>
      </c>
      <c r="T142" s="1483" t="s">
        <v>2862</v>
      </c>
      <c r="U142" s="1211" t="s">
        <v>415</v>
      </c>
      <c r="V142" s="1212" t="str">
        <f>IFERROR(VLOOKUP(W142,constant_ag_extr!$D$7:$E$594,2,FALSE),"")</f>
        <v>Other camelids</v>
      </c>
      <c r="W142" s="1213">
        <f t="shared" si="52"/>
        <v>1157</v>
      </c>
      <c r="X142" s="1099">
        <f>IFERROR(IF(VLOOKUP(B142,cnst_grazing!$C$10:$H$25,5,FALSE)="", IF(VLOOKUP(B142, cnst_grazing!$C$10:$H$25,3,FALSE)="", VLOOKUP(B142, cnst_grazing!$C$10:$H$25,4,FALSE),VLOOKUP(B142, cnst_grazing!$C$10:$H$25,3,FALSE)), VLOOKUP(B142,cnst_grazing!$C$10:$H$25,5,FALSE)),1)</f>
        <v>2.8899999335408211E-2</v>
      </c>
      <c r="Y142" s="1099">
        <f>IFERROR(IF(VLOOKUP(B142,cnst_grazing!$C$10:$H$25,6,FALSE)="", IF(VLOOKUP(B142, cnst_grazing!$C$10:$H$25,4,FALSE)="", VLOOKUP(B142, cnst_grazing!$C$10:$H$25,3,FALSE),VLOOKUP(B142, cnst_grazing!$C$10:$H$25,4,FALSE)), VLOOKUP(B142,cnst_grazing!$C$10:$H$25,6,FALSE)),1)</f>
        <v>2.8899999335408211E-2</v>
      </c>
      <c r="Z142" s="937">
        <f t="shared" si="53"/>
        <v>1</v>
      </c>
      <c r="AA142" s="1487">
        <f t="shared" si="54"/>
        <v>240.79977909839874</v>
      </c>
      <c r="AB142" s="933">
        <f>VLOOKUP($W142,feed_mix_n,MATCH(AB$5,feed_mix_w!$B$5:$AC$5,0),FALSE)/$Z142*VLOOKUP(AB$5,feed_intensity_w,11,FALSE)</f>
        <v>18.930936027417243</v>
      </c>
      <c r="AC142" s="933">
        <f>VLOOKUP($W142,feed_mix_n,MATCH(AC$5,feed_mix_w!$B$5:$AC$5,0),FALSE)/$Z142*VLOOKUP(AC$5,feed_intensity_w,11,FALSE)</f>
        <v>7.9324247731606778</v>
      </c>
      <c r="AD142" s="933">
        <f>VLOOKUP($W142,feed_mix_n,MATCH(AD$5,feed_mix_w!$B$5:$AC$5,0),FALSE)/$Z142*VLOOKUP(AD$5,feed_intensity_w,11,FALSE)</f>
        <v>0</v>
      </c>
      <c r="AE142" s="933">
        <f>VLOOKUP($W142,feed_mix_n,MATCH(AE$5,feed_mix_w!$B$5:$AC$5,0),FALSE)/$Z142*VLOOKUP(AE$5,feed_intensity_w,11,FALSE)</f>
        <v>15.067758420065896</v>
      </c>
      <c r="AF142" s="933">
        <f>VLOOKUP($W142,feed_mix_n,MATCH(AF$5,feed_mix_w!$B$5:$AC$5,0),FALSE)/$Z142*VLOOKUP(AF$5,feed_intensity_w,11,FALSE)</f>
        <v>7.5338792100329481</v>
      </c>
      <c r="AG142" s="933">
        <f>VLOOKUP($W142,feed_mix_n,MATCH(AG$5,feed_mix_w!$B$5:$AC$5,0),FALSE)/$Z142*VLOOKUP(AG$5,feed_intensity_w,11,FALSE)</f>
        <v>0</v>
      </c>
      <c r="AH142" s="933">
        <f>VLOOKUP($W142,feed_mix_n,MATCH(AH$5,feed_mix_w!$B$5:$AC$5,0),FALSE)/$Z142*VLOOKUP(AH$5,feed_intensity_w,11,FALSE)</f>
        <v>7.5338792100329481</v>
      </c>
      <c r="AI142" s="933">
        <f>VLOOKUP($W142,feed_mix_n,MATCH(AI$5,feed_mix_w!$B$5:$AC$5,0),FALSE)/$Z142*VLOOKUP(AI$5,feed_intensity_w,11,FALSE)</f>
        <v>0</v>
      </c>
      <c r="AJ142" s="933">
        <f>VLOOKUP($W142,feed_mix_n,MATCH(AJ$5,feed_mix_w!$B$5:$AC$5,0),FALSE)/$Z142*VLOOKUP(AJ$5,feed_intensity_w,11,FALSE)</f>
        <v>0</v>
      </c>
      <c r="AK142" s="933">
        <f>VLOOKUP($W142,feed_mix_n,MATCH(AK$5,feed_mix_w!$B$5:$AC$5,0),FALSE)/$Z142*VLOOKUP(AK$5,feed_intensity_w,11,FALSE)</f>
        <v>0</v>
      </c>
      <c r="AL142" s="933">
        <f>VLOOKUP($W142,feed_mix_n,MATCH(AL$5,feed_mix_w!$B$5:$AC$5,0),FALSE)/$Z142*VLOOKUP(AL$5,feed_intensity_w,11,FALSE)</f>
        <v>0</v>
      </c>
      <c r="AM142" s="933">
        <f>VLOOKUP($W142,feed_mix_n,MATCH(AM$5,feed_mix_w!$B$5:$AC$5,0),FALSE)/$Z142*VLOOKUP(AM$5,feed_intensity_w,11,FALSE)</f>
        <v>5.5008090595445713</v>
      </c>
      <c r="AN142" s="933">
        <f>VLOOKUP($W142,feed_mix_n,MATCH(AN$5,feed_mix_w!$B$5:$AC$5,0),FALSE)/$Z142*VLOOKUP(AN$5,feed_intensity_w,11,FALSE)</f>
        <v>0</v>
      </c>
      <c r="AO142" s="933">
        <f>VLOOKUP($W142,feed_mix_n,MATCH(AO$5,feed_mix_w!$B$5:$AC$5,0),FALSE)/$Z142*VLOOKUP(AO$5,feed_intensity_w,11,FALSE)</f>
        <v>0</v>
      </c>
      <c r="AP142" s="933">
        <f>VLOOKUP($W142,feed_mix_n,MATCH(AP$5,feed_mix_w!$B$5:$AC$5,0),FALSE)/$Z142*VLOOKUP(AP$5,feed_intensity_w,11,FALSE)</f>
        <v>0</v>
      </c>
      <c r="AQ142" s="933">
        <f>VLOOKUP($W142,feed_mix_n,MATCH(AQ$5,feed_mix_w!$B$5:$AC$5,0),FALSE)/$Z142*VLOOKUP(AQ$5,feed_intensity_w,11,FALSE)</f>
        <v>0</v>
      </c>
      <c r="AR142" s="933">
        <f>VLOOKUP($W142,feed_mix_n,MATCH(AR$5,feed_mix_w!$B$5:$AC$5,0),FALSE)/$Z142*VLOOKUP(AR$5,feed_intensity_w,11,FALSE)</f>
        <v>6.1687650063222046</v>
      </c>
      <c r="AS142" s="1105">
        <f>VLOOKUP($W142,feed_mix_n,MATCH(AS$5,feed_mix_w!$B$5:$AC$5,0),FALSE)/$Z142*VLOOKUP(AS$5,feed_intensity_w,11,FALSE)</f>
        <v>0</v>
      </c>
    </row>
    <row r="143" spans="1:45" ht="12.75" customHeight="1">
      <c r="A143" s="1008" t="s">
        <v>7419</v>
      </c>
      <c r="B143" s="1102">
        <v>1159</v>
      </c>
      <c r="C143" s="1103">
        <v>5301.3</v>
      </c>
      <c r="D143" s="1158"/>
      <c r="E143" s="1158"/>
      <c r="F143" s="1012">
        <f t="shared" si="44"/>
        <v>0</v>
      </c>
      <c r="G143" s="1012">
        <f t="shared" si="45"/>
        <v>0</v>
      </c>
      <c r="H143" s="933">
        <f t="shared" si="46"/>
        <v>10.779748464888581</v>
      </c>
      <c r="I143" s="1486">
        <f t="shared" si="47"/>
        <v>0</v>
      </c>
      <c r="J143" s="1006">
        <f>IFERROR(G143*VLOOKUP(W143,livestock_intensity!$B$7:$I$29,8,FALSE)/Z143,0)</f>
        <v>0</v>
      </c>
      <c r="K143" s="933">
        <f>VLOOKUP($W143,feed_mix_n,MATCH(K$5,feed_mix_w!$B$5:$AC$5,0),FALSE)/$Z143*VLOOKUP(K$5,feed_intensity_w,11,FALSE)</f>
        <v>0</v>
      </c>
      <c r="L143" s="1486">
        <f t="shared" si="48"/>
        <v>0</v>
      </c>
      <c r="M143" s="1447">
        <f>IFERROR(G143*VLOOKUP(W143,livestock_intensity!$B$7:$M$29,12,FALSE)/Z143,0)</f>
        <v>0</v>
      </c>
      <c r="N143" s="933">
        <f>VLOOKUP($W143,feed_mix_n,MATCH(N$5,feed_mix_w!$B$5:$AC$5,0),FALSE)/$Z143*VLOOKUP(N$5,feed_intensity_w,11,FALSE)</f>
        <v>27.021614236185304</v>
      </c>
      <c r="O143" s="1486">
        <f t="shared" si="49"/>
        <v>0</v>
      </c>
      <c r="P143" s="939">
        <f>IFERROR(G143*VLOOKUP(W143,livestock_intensity!$B$7:$Q$29,16,FALSE)/Z143,0)</f>
        <v>0</v>
      </c>
      <c r="Q143" s="1530"/>
      <c r="R143" s="900">
        <f t="shared" si="50"/>
        <v>0</v>
      </c>
      <c r="S143" s="900">
        <f t="shared" si="51"/>
        <v>0</v>
      </c>
      <c r="T143" s="1483">
        <v>2736</v>
      </c>
      <c r="U143" s="1211" t="s">
        <v>2921</v>
      </c>
      <c r="V143" s="1212" t="str">
        <f>IFERROR(VLOOKUP(W143,constant_ag_extr!$D$7:$E$594,2,FALSE),"")</f>
        <v>Camels</v>
      </c>
      <c r="W143" s="1213">
        <f t="shared" si="52"/>
        <v>1126</v>
      </c>
      <c r="X143" s="1099">
        <f>IFERROR(IF(VLOOKUP(B143,cnst_grazing!$C$10:$H$25,5,FALSE)="", IF(VLOOKUP(B143, cnst_grazing!$C$10:$H$25,3,FALSE)="", VLOOKUP(B143, cnst_grazing!$C$10:$H$25,4,FALSE),VLOOKUP(B143, cnst_grazing!$C$10:$H$25,3,FALSE)), VLOOKUP(B143,cnst_grazing!$C$10:$H$25,5,FALSE)),1)</f>
        <v>1</v>
      </c>
      <c r="Y143" s="1099">
        <f>IFERROR(IF(VLOOKUP(B143,cnst_grazing!$C$10:$H$25,6,FALSE)="", IF(VLOOKUP(B143, cnst_grazing!$C$10:$H$25,4,FALSE)="", VLOOKUP(B143, cnst_grazing!$C$10:$H$25,3,FALSE),VLOOKUP(B143, cnst_grazing!$C$10:$H$25,4,FALSE)), VLOOKUP(B143,cnst_grazing!$C$10:$H$25,6,FALSE)),1)</f>
        <v>1</v>
      </c>
      <c r="Z143" s="937">
        <f t="shared" si="53"/>
        <v>1</v>
      </c>
      <c r="AA143" s="1487">
        <f t="shared" si="54"/>
        <v>37.801362701073884</v>
      </c>
      <c r="AB143" s="933">
        <f>VLOOKUP($W143,feed_mix_n,MATCH(AB$5,feed_mix_w!$B$5:$AC$5,0),FALSE)/$Z143*VLOOKUP(AB$5,feed_intensity_w,11,FALSE)</f>
        <v>2.9718265594870084</v>
      </c>
      <c r="AC143" s="933">
        <f>VLOOKUP($W143,feed_mix_n,MATCH(AC$5,feed_mix_w!$B$5:$AC$5,0),FALSE)/$Z143*VLOOKUP(AC$5,feed_intensity_w,11,FALSE)</f>
        <v>1.2452522467917182</v>
      </c>
      <c r="AD143" s="933">
        <f>VLOOKUP($W143,feed_mix_n,MATCH(AD$5,feed_mix_w!$B$5:$AC$5,0),FALSE)/$Z143*VLOOKUP(AD$5,feed_intensity_w,11,FALSE)</f>
        <v>0</v>
      </c>
      <c r="AE143" s="933">
        <f>VLOOKUP($W143,feed_mix_n,MATCH(AE$5,feed_mix_w!$B$5:$AC$5,0),FALSE)/$Z143*VLOOKUP(AE$5,feed_intensity_w,11,FALSE)</f>
        <v>2.3653750981902726</v>
      </c>
      <c r="AF143" s="933">
        <f>VLOOKUP($W143,feed_mix_n,MATCH(AF$5,feed_mix_w!$B$5:$AC$5,0),FALSE)/$Z143*VLOOKUP(AF$5,feed_intensity_w,11,FALSE)</f>
        <v>1.1826875490951363</v>
      </c>
      <c r="AG143" s="933">
        <f>VLOOKUP($W143,feed_mix_n,MATCH(AG$5,feed_mix_w!$B$5:$AC$5,0),FALSE)/$Z143*VLOOKUP(AG$5,feed_intensity_w,11,FALSE)</f>
        <v>0</v>
      </c>
      <c r="AH143" s="933">
        <f>VLOOKUP($W143,feed_mix_n,MATCH(AH$5,feed_mix_w!$B$5:$AC$5,0),FALSE)/$Z143*VLOOKUP(AH$5,feed_intensity_w,11,FALSE)</f>
        <v>1.1826875490951363</v>
      </c>
      <c r="AI143" s="933">
        <f>VLOOKUP($W143,feed_mix_n,MATCH(AI$5,feed_mix_w!$B$5:$AC$5,0),FALSE)/$Z143*VLOOKUP(AI$5,feed_intensity_w,11,FALSE)</f>
        <v>0</v>
      </c>
      <c r="AJ143" s="933">
        <f>VLOOKUP($W143,feed_mix_n,MATCH(AJ$5,feed_mix_w!$B$5:$AC$5,0),FALSE)/$Z143*VLOOKUP(AJ$5,feed_intensity_w,11,FALSE)</f>
        <v>0</v>
      </c>
      <c r="AK143" s="933">
        <f>VLOOKUP($W143,feed_mix_n,MATCH(AK$5,feed_mix_w!$B$5:$AC$5,0),FALSE)/$Z143*VLOOKUP(AK$5,feed_intensity_w,11,FALSE)</f>
        <v>0</v>
      </c>
      <c r="AL143" s="933">
        <f>VLOOKUP($W143,feed_mix_n,MATCH(AL$5,feed_mix_w!$B$5:$AC$5,0),FALSE)/$Z143*VLOOKUP(AL$5,feed_intensity_w,11,FALSE)</f>
        <v>0</v>
      </c>
      <c r="AM143" s="933">
        <f>VLOOKUP($W143,feed_mix_n,MATCH(AM$5,feed_mix_w!$B$5:$AC$5,0),FALSE)/$Z143*VLOOKUP(AM$5,feed_intensity_w,11,FALSE)</f>
        <v>0.86353101812534083</v>
      </c>
      <c r="AN143" s="933">
        <f>VLOOKUP($W143,feed_mix_n,MATCH(AN$5,feed_mix_w!$B$5:$AC$5,0),FALSE)/$Z143*VLOOKUP(AN$5,feed_intensity_w,11,FALSE)</f>
        <v>0</v>
      </c>
      <c r="AO143" s="933">
        <f>VLOOKUP($W143,feed_mix_n,MATCH(AO$5,feed_mix_w!$B$5:$AC$5,0),FALSE)/$Z143*VLOOKUP(AO$5,feed_intensity_w,11,FALSE)</f>
        <v>0</v>
      </c>
      <c r="AP143" s="933">
        <f>VLOOKUP($W143,feed_mix_n,MATCH(AP$5,feed_mix_w!$B$5:$AC$5,0),FALSE)/$Z143*VLOOKUP(AP$5,feed_intensity_w,11,FALSE)</f>
        <v>0</v>
      </c>
      <c r="AQ143" s="933">
        <f>VLOOKUP($W143,feed_mix_n,MATCH(AQ$5,feed_mix_w!$B$5:$AC$5,0),FALSE)/$Z143*VLOOKUP(AQ$5,feed_intensity_w,11,FALSE)</f>
        <v>0</v>
      </c>
      <c r="AR143" s="933">
        <f>VLOOKUP($W143,feed_mix_n,MATCH(AR$5,feed_mix_w!$B$5:$AC$5,0),FALSE)/$Z143*VLOOKUP(AR$5,feed_intensity_w,11,FALSE)</f>
        <v>0.96838844410396963</v>
      </c>
      <c r="AS143" s="1105">
        <f>VLOOKUP($W143,feed_mix_n,MATCH(AS$5,feed_mix_w!$B$5:$AC$5,0),FALSE)/$Z143*VLOOKUP(AS$5,feed_intensity_w,11,FALSE)</f>
        <v>0</v>
      </c>
    </row>
    <row r="144" spans="1:45" ht="12.75" customHeight="1">
      <c r="A144" s="1008" t="s">
        <v>7420</v>
      </c>
      <c r="B144" s="1102">
        <v>1163</v>
      </c>
      <c r="C144" s="1103" t="s">
        <v>2933</v>
      </c>
      <c r="D144" s="1158">
        <v>6118</v>
      </c>
      <c r="E144" s="1158">
        <v>95</v>
      </c>
      <c r="F144" s="1012">
        <f t="shared" si="44"/>
        <v>6118</v>
      </c>
      <c r="G144" s="1012">
        <f t="shared" si="45"/>
        <v>95</v>
      </c>
      <c r="H144" s="933" t="e">
        <f t="shared" si="46"/>
        <v>#N/A</v>
      </c>
      <c r="I144" s="1486">
        <f t="shared" si="47"/>
        <v>0</v>
      </c>
      <c r="J144" s="1006">
        <f>IFERROR(G144*VLOOKUP(W144,livestock_intensity!$B$7:$I$29,8,FALSE)/Z144,0)</f>
        <v>0</v>
      </c>
      <c r="K144" s="933" t="e">
        <f>VLOOKUP($W144,feed_mix_n,MATCH(K$5,feed_mix_w!$B$5:$AC$5,0),FALSE)/$Z144*VLOOKUP(K$5,feed_intensity_w,11,FALSE)</f>
        <v>#N/A</v>
      </c>
      <c r="L144" s="1486">
        <f t="shared" si="48"/>
        <v>0</v>
      </c>
      <c r="M144" s="1447">
        <f>IFERROR(G144*VLOOKUP(W144,livestock_intensity!$B$7:$M$29,12,FALSE)/Z144,0)</f>
        <v>0</v>
      </c>
      <c r="N144" s="933" t="e">
        <f>VLOOKUP($W144,feed_mix_n,MATCH(N$5,feed_mix_w!$B$5:$AC$5,0),FALSE)/$Z144*VLOOKUP(N$5,feed_intensity_w,11,FALSE)</f>
        <v>#N/A</v>
      </c>
      <c r="O144" s="1486">
        <f t="shared" si="49"/>
        <v>0</v>
      </c>
      <c r="P144" s="939">
        <f>IFERROR(G144*VLOOKUP(W144,livestock_intensity!$B$7:$Q$29,16,FALSE)/Z144,0)</f>
        <v>0</v>
      </c>
      <c r="Q144" s="1530"/>
      <c r="R144" s="900">
        <f t="shared" si="50"/>
        <v>0</v>
      </c>
      <c r="S144" s="900">
        <f t="shared" si="51"/>
        <v>0</v>
      </c>
      <c r="T144" s="1483" t="s">
        <v>2862</v>
      </c>
      <c r="U144" s="1211" t="s">
        <v>2921</v>
      </c>
      <c r="V144" s="1212">
        <f>IFERROR(VLOOKUP(W144,constant_ag_extr!$D$7:$E$594,2,FALSE),"")</f>
        <v>0</v>
      </c>
      <c r="W144" s="1213" t="str">
        <f t="shared" si="52"/>
        <v/>
      </c>
      <c r="X144" s="1099">
        <f>IFERROR(IF(VLOOKUP(B144,cnst_grazing!$C$10:$H$25,5,FALSE)="", IF(VLOOKUP(B144, cnst_grazing!$C$10:$H$25,3,FALSE)="", VLOOKUP(B144, cnst_grazing!$C$10:$H$25,4,FALSE),VLOOKUP(B144, cnst_grazing!$C$10:$H$25,3,FALSE)), VLOOKUP(B144,cnst_grazing!$C$10:$H$25,5,FALSE)),1)</f>
        <v>1</v>
      </c>
      <c r="Y144" s="1099">
        <f>IFERROR(IF(VLOOKUP(B144,cnst_grazing!$C$10:$H$25,6,FALSE)="", IF(VLOOKUP(B144, cnst_grazing!$C$10:$H$25,4,FALSE)="", VLOOKUP(B144, cnst_grazing!$C$10:$H$25,3,FALSE),VLOOKUP(B144, cnst_grazing!$C$10:$H$25,4,FALSE)), VLOOKUP(B144,cnst_grazing!$C$10:$H$25,6,FALSE)),1)</f>
        <v>1</v>
      </c>
      <c r="Z144" s="937">
        <f t="shared" si="53"/>
        <v>1</v>
      </c>
      <c r="AA144" s="1487" t="e">
        <f t="shared" si="54"/>
        <v>#N/A</v>
      </c>
      <c r="AB144" s="933" t="e">
        <f>VLOOKUP($W144,feed_mix_n,MATCH(AB$5,feed_mix_w!$B$5:$AC$5,0),FALSE)/$Z144*VLOOKUP(AB$5,feed_intensity_w,11,FALSE)</f>
        <v>#N/A</v>
      </c>
      <c r="AC144" s="933" t="e">
        <f>VLOOKUP($W144,feed_mix_n,MATCH(AC$5,feed_mix_w!$B$5:$AC$5,0),FALSE)/$Z144*VLOOKUP(AC$5,feed_intensity_w,11,FALSE)</f>
        <v>#N/A</v>
      </c>
      <c r="AD144" s="933" t="e">
        <f>VLOOKUP($W144,feed_mix_n,MATCH(AD$5,feed_mix_w!$B$5:$AC$5,0),FALSE)/$Z144*VLOOKUP(AD$5,feed_intensity_w,11,FALSE)</f>
        <v>#N/A</v>
      </c>
      <c r="AE144" s="933" t="e">
        <f>VLOOKUP($W144,feed_mix_n,MATCH(AE$5,feed_mix_w!$B$5:$AC$5,0),FALSE)/$Z144*VLOOKUP(AE$5,feed_intensity_w,11,FALSE)</f>
        <v>#N/A</v>
      </c>
      <c r="AF144" s="933" t="e">
        <f>VLOOKUP($W144,feed_mix_n,MATCH(AF$5,feed_mix_w!$B$5:$AC$5,0),FALSE)/$Z144*VLOOKUP(AF$5,feed_intensity_w,11,FALSE)</f>
        <v>#N/A</v>
      </c>
      <c r="AG144" s="933" t="e">
        <f>VLOOKUP($W144,feed_mix_n,MATCH(AG$5,feed_mix_w!$B$5:$AC$5,0),FALSE)/$Z144*VLOOKUP(AG$5,feed_intensity_w,11,FALSE)</f>
        <v>#N/A</v>
      </c>
      <c r="AH144" s="933" t="e">
        <f>VLOOKUP($W144,feed_mix_n,MATCH(AH$5,feed_mix_w!$B$5:$AC$5,0),FALSE)/$Z144*VLOOKUP(AH$5,feed_intensity_w,11,FALSE)</f>
        <v>#N/A</v>
      </c>
      <c r="AI144" s="933" t="e">
        <f>VLOOKUP($W144,feed_mix_n,MATCH(AI$5,feed_mix_w!$B$5:$AC$5,0),FALSE)/$Z144*VLOOKUP(AI$5,feed_intensity_w,11,FALSE)</f>
        <v>#N/A</v>
      </c>
      <c r="AJ144" s="933" t="e">
        <f>VLOOKUP($W144,feed_mix_n,MATCH(AJ$5,feed_mix_w!$B$5:$AC$5,0),FALSE)/$Z144*VLOOKUP(AJ$5,feed_intensity_w,11,FALSE)</f>
        <v>#N/A</v>
      </c>
      <c r="AK144" s="933" t="e">
        <f>VLOOKUP($W144,feed_mix_n,MATCH(AK$5,feed_mix_w!$B$5:$AC$5,0),FALSE)/$Z144*VLOOKUP(AK$5,feed_intensity_w,11,FALSE)</f>
        <v>#N/A</v>
      </c>
      <c r="AL144" s="933" t="e">
        <f>VLOOKUP($W144,feed_mix_n,MATCH(AL$5,feed_mix_w!$B$5:$AC$5,0),FALSE)/$Z144*VLOOKUP(AL$5,feed_intensity_w,11,FALSE)</f>
        <v>#N/A</v>
      </c>
      <c r="AM144" s="933" t="e">
        <f>VLOOKUP($W144,feed_mix_n,MATCH(AM$5,feed_mix_w!$B$5:$AC$5,0),FALSE)/$Z144*VLOOKUP(AM$5,feed_intensity_w,11,FALSE)</f>
        <v>#N/A</v>
      </c>
      <c r="AN144" s="933" t="e">
        <f>VLOOKUP($W144,feed_mix_n,MATCH(AN$5,feed_mix_w!$B$5:$AC$5,0),FALSE)/$Z144*VLOOKUP(AN$5,feed_intensity_w,11,FALSE)</f>
        <v>#N/A</v>
      </c>
      <c r="AO144" s="933" t="e">
        <f>VLOOKUP($W144,feed_mix_n,MATCH(AO$5,feed_mix_w!$B$5:$AC$5,0),FALSE)/$Z144*VLOOKUP(AO$5,feed_intensity_w,11,FALSE)</f>
        <v>#N/A</v>
      </c>
      <c r="AP144" s="933" t="e">
        <f>VLOOKUP($W144,feed_mix_n,MATCH(AP$5,feed_mix_w!$B$5:$AC$5,0),FALSE)/$Z144*VLOOKUP(AP$5,feed_intensity_w,11,FALSE)</f>
        <v>#N/A</v>
      </c>
      <c r="AQ144" s="933" t="e">
        <f>VLOOKUP($W144,feed_mix_n,MATCH(AQ$5,feed_mix_w!$B$5:$AC$5,0),FALSE)/$Z144*VLOOKUP(AQ$5,feed_intensity_w,11,FALSE)</f>
        <v>#N/A</v>
      </c>
      <c r="AR144" s="933" t="e">
        <f>VLOOKUP($W144,feed_mix_n,MATCH(AR$5,feed_mix_w!$B$5:$AC$5,0),FALSE)/$Z144*VLOOKUP(AR$5,feed_intensity_w,11,FALSE)</f>
        <v>#N/A</v>
      </c>
      <c r="AS144" s="1105" t="e">
        <f>VLOOKUP($W144,feed_mix_n,MATCH(AS$5,feed_mix_w!$B$5:$AC$5,0),FALSE)/$Z144*VLOOKUP(AS$5,feed_intensity_w,11,FALSE)</f>
        <v>#N/A</v>
      </c>
    </row>
    <row r="145" spans="1:45" ht="12.75" customHeight="1">
      <c r="A145" s="1008" t="s">
        <v>7421</v>
      </c>
      <c r="B145" s="1102">
        <v>1164</v>
      </c>
      <c r="C145" s="1103" t="s">
        <v>1629</v>
      </c>
      <c r="D145" s="1158">
        <v>32</v>
      </c>
      <c r="E145" s="1158">
        <v>918</v>
      </c>
      <c r="F145" s="1012">
        <f t="shared" si="44"/>
        <v>32</v>
      </c>
      <c r="G145" s="1012">
        <f t="shared" si="45"/>
        <v>918</v>
      </c>
      <c r="H145" s="933" t="e">
        <f t="shared" si="46"/>
        <v>#N/A</v>
      </c>
      <c r="I145" s="1486">
        <f t="shared" si="47"/>
        <v>0</v>
      </c>
      <c r="J145" s="1006">
        <f>IFERROR(G145*VLOOKUP(W145,livestock_intensity!$B$7:$I$29,8,FALSE)/Z145,0)</f>
        <v>0</v>
      </c>
      <c r="K145" s="933" t="e">
        <f>VLOOKUP($W145,feed_mix_n,MATCH(K$5,feed_mix_w!$B$5:$AC$5,0),FALSE)/$Z145*VLOOKUP(K$5,feed_intensity_w,11,FALSE)</f>
        <v>#N/A</v>
      </c>
      <c r="L145" s="1486">
        <f t="shared" si="48"/>
        <v>0</v>
      </c>
      <c r="M145" s="1447">
        <f>IFERROR(G145*VLOOKUP(W145,livestock_intensity!$B$7:$M$29,12,FALSE)/Z145,0)</f>
        <v>0</v>
      </c>
      <c r="N145" s="933" t="e">
        <f>VLOOKUP($W145,feed_mix_n,MATCH(N$5,feed_mix_w!$B$5:$AC$5,0),FALSE)/$Z145*VLOOKUP(N$5,feed_intensity_w,11,FALSE)</f>
        <v>#N/A</v>
      </c>
      <c r="O145" s="1486">
        <f t="shared" si="49"/>
        <v>0</v>
      </c>
      <c r="P145" s="939">
        <f>IFERROR(G145*VLOOKUP(W145,livestock_intensity!$B$7:$Q$29,16,FALSE)/Z145,0)</f>
        <v>0</v>
      </c>
      <c r="Q145" s="1530"/>
      <c r="R145" s="900">
        <f t="shared" si="50"/>
        <v>0</v>
      </c>
      <c r="S145" s="900">
        <f t="shared" si="51"/>
        <v>0</v>
      </c>
      <c r="T145" s="1483" t="s">
        <v>2862</v>
      </c>
      <c r="U145" s="1211" t="s">
        <v>2921</v>
      </c>
      <c r="V145" s="1212">
        <f>IFERROR(VLOOKUP(W145,constant_ag_extr!$D$7:$E$594,2,FALSE),"")</f>
        <v>0</v>
      </c>
      <c r="W145" s="1213" t="str">
        <f t="shared" si="52"/>
        <v/>
      </c>
      <c r="X145" s="1099">
        <f>IFERROR(IF(VLOOKUP(B145,cnst_grazing!$C$10:$H$25,5,FALSE)="", IF(VLOOKUP(B145, cnst_grazing!$C$10:$H$25,3,FALSE)="", VLOOKUP(B145, cnst_grazing!$C$10:$H$25,4,FALSE),VLOOKUP(B145, cnst_grazing!$C$10:$H$25,3,FALSE)), VLOOKUP(B145,cnst_grazing!$C$10:$H$25,5,FALSE)),1)</f>
        <v>1</v>
      </c>
      <c r="Y145" s="1099">
        <f>IFERROR(IF(VLOOKUP(B145,cnst_grazing!$C$10:$H$25,6,FALSE)="", IF(VLOOKUP(B145, cnst_grazing!$C$10:$H$25,4,FALSE)="", VLOOKUP(B145, cnst_grazing!$C$10:$H$25,3,FALSE),VLOOKUP(B145, cnst_grazing!$C$10:$H$25,4,FALSE)), VLOOKUP(B145,cnst_grazing!$C$10:$H$25,6,FALSE)),1)</f>
        <v>1</v>
      </c>
      <c r="Z145" s="937">
        <f t="shared" si="53"/>
        <v>1</v>
      </c>
      <c r="AA145" s="1487" t="e">
        <f t="shared" si="54"/>
        <v>#N/A</v>
      </c>
      <c r="AB145" s="933" t="e">
        <f>VLOOKUP($W145,feed_mix_n,MATCH(AB$5,feed_mix_w!$B$5:$AC$5,0),FALSE)/$Z145*VLOOKUP(AB$5,feed_intensity_w,11,FALSE)</f>
        <v>#N/A</v>
      </c>
      <c r="AC145" s="933" t="e">
        <f>VLOOKUP($W145,feed_mix_n,MATCH(AC$5,feed_mix_w!$B$5:$AC$5,0),FALSE)/$Z145*VLOOKUP(AC$5,feed_intensity_w,11,FALSE)</f>
        <v>#N/A</v>
      </c>
      <c r="AD145" s="933" t="e">
        <f>VLOOKUP($W145,feed_mix_n,MATCH(AD$5,feed_mix_w!$B$5:$AC$5,0),FALSE)/$Z145*VLOOKUP(AD$5,feed_intensity_w,11,FALSE)</f>
        <v>#N/A</v>
      </c>
      <c r="AE145" s="933" t="e">
        <f>VLOOKUP($W145,feed_mix_n,MATCH(AE$5,feed_mix_w!$B$5:$AC$5,0),FALSE)/$Z145*VLOOKUP(AE$5,feed_intensity_w,11,FALSE)</f>
        <v>#N/A</v>
      </c>
      <c r="AF145" s="933" t="e">
        <f>VLOOKUP($W145,feed_mix_n,MATCH(AF$5,feed_mix_w!$B$5:$AC$5,0),FALSE)/$Z145*VLOOKUP(AF$5,feed_intensity_w,11,FALSE)</f>
        <v>#N/A</v>
      </c>
      <c r="AG145" s="933" t="e">
        <f>VLOOKUP($W145,feed_mix_n,MATCH(AG$5,feed_mix_w!$B$5:$AC$5,0),FALSE)/$Z145*VLOOKUP(AG$5,feed_intensity_w,11,FALSE)</f>
        <v>#N/A</v>
      </c>
      <c r="AH145" s="933" t="e">
        <f>VLOOKUP($W145,feed_mix_n,MATCH(AH$5,feed_mix_w!$B$5:$AC$5,0),FALSE)/$Z145*VLOOKUP(AH$5,feed_intensity_w,11,FALSE)</f>
        <v>#N/A</v>
      </c>
      <c r="AI145" s="933" t="e">
        <f>VLOOKUP($W145,feed_mix_n,MATCH(AI$5,feed_mix_w!$B$5:$AC$5,0),FALSE)/$Z145*VLOOKUP(AI$5,feed_intensity_w,11,FALSE)</f>
        <v>#N/A</v>
      </c>
      <c r="AJ145" s="933" t="e">
        <f>VLOOKUP($W145,feed_mix_n,MATCH(AJ$5,feed_mix_w!$B$5:$AC$5,0),FALSE)/$Z145*VLOOKUP(AJ$5,feed_intensity_w,11,FALSE)</f>
        <v>#N/A</v>
      </c>
      <c r="AK145" s="933" t="e">
        <f>VLOOKUP($W145,feed_mix_n,MATCH(AK$5,feed_mix_w!$B$5:$AC$5,0),FALSE)/$Z145*VLOOKUP(AK$5,feed_intensity_w,11,FALSE)</f>
        <v>#N/A</v>
      </c>
      <c r="AL145" s="933" t="e">
        <f>VLOOKUP($W145,feed_mix_n,MATCH(AL$5,feed_mix_w!$B$5:$AC$5,0),FALSE)/$Z145*VLOOKUP(AL$5,feed_intensity_w,11,FALSE)</f>
        <v>#N/A</v>
      </c>
      <c r="AM145" s="933" t="e">
        <f>VLOOKUP($W145,feed_mix_n,MATCH(AM$5,feed_mix_w!$B$5:$AC$5,0),FALSE)/$Z145*VLOOKUP(AM$5,feed_intensity_w,11,FALSE)</f>
        <v>#N/A</v>
      </c>
      <c r="AN145" s="933" t="e">
        <f>VLOOKUP($W145,feed_mix_n,MATCH(AN$5,feed_mix_w!$B$5:$AC$5,0),FALSE)/$Z145*VLOOKUP(AN$5,feed_intensity_w,11,FALSE)</f>
        <v>#N/A</v>
      </c>
      <c r="AO145" s="933" t="e">
        <f>VLOOKUP($W145,feed_mix_n,MATCH(AO$5,feed_mix_w!$B$5:$AC$5,0),FALSE)/$Z145*VLOOKUP(AO$5,feed_intensity_w,11,FALSE)</f>
        <v>#N/A</v>
      </c>
      <c r="AP145" s="933" t="e">
        <f>VLOOKUP($W145,feed_mix_n,MATCH(AP$5,feed_mix_w!$B$5:$AC$5,0),FALSE)/$Z145*VLOOKUP(AP$5,feed_intensity_w,11,FALSE)</f>
        <v>#N/A</v>
      </c>
      <c r="AQ145" s="933" t="e">
        <f>VLOOKUP($W145,feed_mix_n,MATCH(AQ$5,feed_mix_w!$B$5:$AC$5,0),FALSE)/$Z145*VLOOKUP(AQ$5,feed_intensity_w,11,FALSE)</f>
        <v>#N/A</v>
      </c>
      <c r="AR145" s="933" t="e">
        <f>VLOOKUP($W145,feed_mix_n,MATCH(AR$5,feed_mix_w!$B$5:$AC$5,0),FALSE)/$Z145*VLOOKUP(AR$5,feed_intensity_w,11,FALSE)</f>
        <v>#N/A</v>
      </c>
      <c r="AS145" s="1105" t="e">
        <f>VLOOKUP($W145,feed_mix_n,MATCH(AS$5,feed_mix_w!$B$5:$AC$5,0),FALSE)/$Z145*VLOOKUP(AS$5,feed_intensity_w,11,FALSE)</f>
        <v>#N/A</v>
      </c>
    </row>
    <row r="146" spans="1:45" ht="12.75" customHeight="1">
      <c r="A146" s="1008" t="s">
        <v>7422</v>
      </c>
      <c r="B146" s="1102">
        <v>1166</v>
      </c>
      <c r="C146" s="1103" t="s">
        <v>14</v>
      </c>
      <c r="D146" s="1158">
        <v>386</v>
      </c>
      <c r="E146" s="1158">
        <v>2246</v>
      </c>
      <c r="F146" s="1012">
        <f t="shared" si="44"/>
        <v>386</v>
      </c>
      <c r="G146" s="1012">
        <f t="shared" si="45"/>
        <v>2246</v>
      </c>
      <c r="H146" s="933" t="e">
        <f t="shared" si="46"/>
        <v>#N/A</v>
      </c>
      <c r="I146" s="1486">
        <f t="shared" si="47"/>
        <v>0</v>
      </c>
      <c r="J146" s="1006">
        <f>IFERROR(G146*VLOOKUP(W146,livestock_intensity!$B$7:$I$29,8,FALSE)/Z146,0)</f>
        <v>0</v>
      </c>
      <c r="K146" s="933" t="e">
        <f>VLOOKUP($W146,feed_mix_n,MATCH(K$5,feed_mix_w!$B$5:$AC$5,0),FALSE)/$Z146*VLOOKUP(K$5,feed_intensity_w,11,FALSE)</f>
        <v>#N/A</v>
      </c>
      <c r="L146" s="1486">
        <f t="shared" si="48"/>
        <v>0</v>
      </c>
      <c r="M146" s="1447">
        <f>IFERROR(G146*VLOOKUP(W146,livestock_intensity!$B$7:$M$29,12,FALSE)/Z146,0)</f>
        <v>0</v>
      </c>
      <c r="N146" s="933" t="e">
        <f>VLOOKUP($W146,feed_mix_n,MATCH(N$5,feed_mix_w!$B$5:$AC$5,0),FALSE)/$Z146*VLOOKUP(N$5,feed_intensity_w,11,FALSE)</f>
        <v>#N/A</v>
      </c>
      <c r="O146" s="1486">
        <f t="shared" si="49"/>
        <v>0</v>
      </c>
      <c r="P146" s="939">
        <f>IFERROR(G146*VLOOKUP(W146,livestock_intensity!$B$7:$Q$29,16,FALSE)/Z146,0)</f>
        <v>0</v>
      </c>
      <c r="Q146" s="1530"/>
      <c r="R146" s="900">
        <f t="shared" si="50"/>
        <v>0</v>
      </c>
      <c r="S146" s="900">
        <f t="shared" si="51"/>
        <v>0</v>
      </c>
      <c r="T146" s="1483" t="s">
        <v>2862</v>
      </c>
      <c r="U146" s="1211" t="s">
        <v>2921</v>
      </c>
      <c r="V146" s="1212">
        <f>IFERROR(VLOOKUP(W146,constant_ag_extr!$D$7:$E$594,2,FALSE),"")</f>
        <v>0</v>
      </c>
      <c r="W146" s="1213" t="str">
        <f t="shared" si="52"/>
        <v/>
      </c>
      <c r="X146" s="1099">
        <f>IFERROR(IF(VLOOKUP(B146,cnst_grazing!$C$10:$H$25,5,FALSE)="", IF(VLOOKUP(B146, cnst_grazing!$C$10:$H$25,3,FALSE)="", VLOOKUP(B146, cnst_grazing!$C$10:$H$25,4,FALSE),VLOOKUP(B146, cnst_grazing!$C$10:$H$25,3,FALSE)), VLOOKUP(B146,cnst_grazing!$C$10:$H$25,5,FALSE)),1)</f>
        <v>1</v>
      </c>
      <c r="Y146" s="1099">
        <f>IFERROR(IF(VLOOKUP(B146,cnst_grazing!$C$10:$H$25,6,FALSE)="", IF(VLOOKUP(B146, cnst_grazing!$C$10:$H$25,4,FALSE)="", VLOOKUP(B146, cnst_grazing!$C$10:$H$25,3,FALSE),VLOOKUP(B146, cnst_grazing!$C$10:$H$25,4,FALSE)), VLOOKUP(B146,cnst_grazing!$C$10:$H$25,6,FALSE)),1)</f>
        <v>1</v>
      </c>
      <c r="Z146" s="937">
        <f t="shared" si="53"/>
        <v>1</v>
      </c>
      <c r="AA146" s="1487" t="e">
        <f t="shared" si="54"/>
        <v>#N/A</v>
      </c>
      <c r="AB146" s="933" t="e">
        <f>VLOOKUP($W146,feed_mix_n,MATCH(AB$5,feed_mix_w!$B$5:$AC$5,0),FALSE)/$Z146*VLOOKUP(AB$5,feed_intensity_w,11,FALSE)</f>
        <v>#N/A</v>
      </c>
      <c r="AC146" s="933" t="e">
        <f>VLOOKUP($W146,feed_mix_n,MATCH(AC$5,feed_mix_w!$B$5:$AC$5,0),FALSE)/$Z146*VLOOKUP(AC$5,feed_intensity_w,11,FALSE)</f>
        <v>#N/A</v>
      </c>
      <c r="AD146" s="933" t="e">
        <f>VLOOKUP($W146,feed_mix_n,MATCH(AD$5,feed_mix_w!$B$5:$AC$5,0),FALSE)/$Z146*VLOOKUP(AD$5,feed_intensity_w,11,FALSE)</f>
        <v>#N/A</v>
      </c>
      <c r="AE146" s="933" t="e">
        <f>VLOOKUP($W146,feed_mix_n,MATCH(AE$5,feed_mix_w!$B$5:$AC$5,0),FALSE)/$Z146*VLOOKUP(AE$5,feed_intensity_w,11,FALSE)</f>
        <v>#N/A</v>
      </c>
      <c r="AF146" s="933" t="e">
        <f>VLOOKUP($W146,feed_mix_n,MATCH(AF$5,feed_mix_w!$B$5:$AC$5,0),FALSE)/$Z146*VLOOKUP(AF$5,feed_intensity_w,11,FALSE)</f>
        <v>#N/A</v>
      </c>
      <c r="AG146" s="933" t="e">
        <f>VLOOKUP($W146,feed_mix_n,MATCH(AG$5,feed_mix_w!$B$5:$AC$5,0),FALSE)/$Z146*VLOOKUP(AG$5,feed_intensity_w,11,FALSE)</f>
        <v>#N/A</v>
      </c>
      <c r="AH146" s="933" t="e">
        <f>VLOOKUP($W146,feed_mix_n,MATCH(AH$5,feed_mix_w!$B$5:$AC$5,0),FALSE)/$Z146*VLOOKUP(AH$5,feed_intensity_w,11,FALSE)</f>
        <v>#N/A</v>
      </c>
      <c r="AI146" s="933" t="e">
        <f>VLOOKUP($W146,feed_mix_n,MATCH(AI$5,feed_mix_w!$B$5:$AC$5,0),FALSE)/$Z146*VLOOKUP(AI$5,feed_intensity_w,11,FALSE)</f>
        <v>#N/A</v>
      </c>
      <c r="AJ146" s="933" t="e">
        <f>VLOOKUP($W146,feed_mix_n,MATCH(AJ$5,feed_mix_w!$B$5:$AC$5,0),FALSE)/$Z146*VLOOKUP(AJ$5,feed_intensity_w,11,FALSE)</f>
        <v>#N/A</v>
      </c>
      <c r="AK146" s="933" t="e">
        <f>VLOOKUP($W146,feed_mix_n,MATCH(AK$5,feed_mix_w!$B$5:$AC$5,0),FALSE)/$Z146*VLOOKUP(AK$5,feed_intensity_w,11,FALSE)</f>
        <v>#N/A</v>
      </c>
      <c r="AL146" s="933" t="e">
        <f>VLOOKUP($W146,feed_mix_n,MATCH(AL$5,feed_mix_w!$B$5:$AC$5,0),FALSE)/$Z146*VLOOKUP(AL$5,feed_intensity_w,11,FALSE)</f>
        <v>#N/A</v>
      </c>
      <c r="AM146" s="933" t="e">
        <f>VLOOKUP($W146,feed_mix_n,MATCH(AM$5,feed_mix_w!$B$5:$AC$5,0),FALSE)/$Z146*VLOOKUP(AM$5,feed_intensity_w,11,FALSE)</f>
        <v>#N/A</v>
      </c>
      <c r="AN146" s="933" t="e">
        <f>VLOOKUP($W146,feed_mix_n,MATCH(AN$5,feed_mix_w!$B$5:$AC$5,0),FALSE)/$Z146*VLOOKUP(AN$5,feed_intensity_w,11,FALSE)</f>
        <v>#N/A</v>
      </c>
      <c r="AO146" s="933" t="e">
        <f>VLOOKUP($W146,feed_mix_n,MATCH(AO$5,feed_mix_w!$B$5:$AC$5,0),FALSE)/$Z146*VLOOKUP(AO$5,feed_intensity_w,11,FALSE)</f>
        <v>#N/A</v>
      </c>
      <c r="AP146" s="933" t="e">
        <f>VLOOKUP($W146,feed_mix_n,MATCH(AP$5,feed_mix_w!$B$5:$AC$5,0),FALSE)/$Z146*VLOOKUP(AP$5,feed_intensity_w,11,FALSE)</f>
        <v>#N/A</v>
      </c>
      <c r="AQ146" s="933" t="e">
        <f>VLOOKUP($W146,feed_mix_n,MATCH(AQ$5,feed_mix_w!$B$5:$AC$5,0),FALSE)/$Z146*VLOOKUP(AQ$5,feed_intensity_w,11,FALSE)</f>
        <v>#N/A</v>
      </c>
      <c r="AR146" s="933" t="e">
        <f>VLOOKUP($W146,feed_mix_n,MATCH(AR$5,feed_mix_w!$B$5:$AC$5,0),FALSE)/$Z146*VLOOKUP(AR$5,feed_intensity_w,11,FALSE)</f>
        <v>#N/A</v>
      </c>
      <c r="AS146" s="1105" t="e">
        <f>VLOOKUP($W146,feed_mix_n,MATCH(AS$5,feed_mix_w!$B$5:$AC$5,0),FALSE)/$Z146*VLOOKUP(AS$5,feed_intensity_w,11,FALSE)</f>
        <v>#N/A</v>
      </c>
    </row>
    <row r="147" spans="1:45" ht="12.75" customHeight="1">
      <c r="A147" s="1008" t="s">
        <v>916</v>
      </c>
      <c r="B147" s="1102">
        <v>1167</v>
      </c>
      <c r="C147" s="1103" t="s">
        <v>22</v>
      </c>
      <c r="D147" s="1158"/>
      <c r="E147" s="1158"/>
      <c r="F147" s="1012">
        <f t="shared" si="44"/>
        <v>0</v>
      </c>
      <c r="G147" s="1012">
        <f t="shared" si="45"/>
        <v>0</v>
      </c>
      <c r="H147" s="933" t="e">
        <f t="shared" si="46"/>
        <v>#N/A</v>
      </c>
      <c r="I147" s="1486">
        <f t="shared" si="47"/>
        <v>0</v>
      </c>
      <c r="J147" s="1006">
        <f>IFERROR(G147*VLOOKUP(W147,livestock_intensity!$B$7:$I$29,8,FALSE)/Z147,0)</f>
        <v>0</v>
      </c>
      <c r="K147" s="933" t="e">
        <f>VLOOKUP($W147,feed_mix_n,MATCH(K$5,feed_mix_w!$B$5:$AC$5,0),FALSE)/$Z147*VLOOKUP(K$5,feed_intensity_w,11,FALSE)</f>
        <v>#N/A</v>
      </c>
      <c r="L147" s="1486">
        <f t="shared" si="48"/>
        <v>0</v>
      </c>
      <c r="M147" s="1447">
        <f>IFERROR(G147*VLOOKUP(W147,livestock_intensity!$B$7:$M$29,12,FALSE)/Z147,0)</f>
        <v>0</v>
      </c>
      <c r="N147" s="933" t="e">
        <f>VLOOKUP($W147,feed_mix_n,MATCH(N$5,feed_mix_w!$B$5:$AC$5,0),FALSE)/$Z147*VLOOKUP(N$5,feed_intensity_w,11,FALSE)</f>
        <v>#N/A</v>
      </c>
      <c r="O147" s="1486">
        <f t="shared" si="49"/>
        <v>0</v>
      </c>
      <c r="P147" s="939">
        <f>IFERROR(G147*VLOOKUP(W147,livestock_intensity!$B$7:$Q$29,16,FALSE)/Z147,0)</f>
        <v>0</v>
      </c>
      <c r="Q147" s="1530"/>
      <c r="R147" s="900">
        <f t="shared" si="50"/>
        <v>0</v>
      </c>
      <c r="S147" s="900">
        <f t="shared" si="51"/>
        <v>0</v>
      </c>
      <c r="T147" s="1483" t="s">
        <v>2862</v>
      </c>
      <c r="U147" s="1211" t="s">
        <v>2921</v>
      </c>
      <c r="V147" s="1212">
        <f>IFERROR(VLOOKUP(W147,constant_ag_extr!$D$7:$E$594,2,FALSE),"")</f>
        <v>0</v>
      </c>
      <c r="W147" s="1213" t="str">
        <f t="shared" si="52"/>
        <v/>
      </c>
      <c r="X147" s="1099">
        <f>IFERROR(IF(VLOOKUP(B147,cnst_grazing!$C$10:$H$25,5,FALSE)="", IF(VLOOKUP(B147, cnst_grazing!$C$10:$H$25,3,FALSE)="", VLOOKUP(B147, cnst_grazing!$C$10:$H$25,4,FALSE),VLOOKUP(B147, cnst_grazing!$C$10:$H$25,3,FALSE)), VLOOKUP(B147,cnst_grazing!$C$10:$H$25,5,FALSE)),1)</f>
        <v>1</v>
      </c>
      <c r="Y147" s="1099">
        <f>IFERROR(IF(VLOOKUP(B147,cnst_grazing!$C$10:$H$25,6,FALSE)="", IF(VLOOKUP(B147, cnst_grazing!$C$10:$H$25,4,FALSE)="", VLOOKUP(B147, cnst_grazing!$C$10:$H$25,3,FALSE),VLOOKUP(B147, cnst_grazing!$C$10:$H$25,4,FALSE)), VLOOKUP(B147,cnst_grazing!$C$10:$H$25,6,FALSE)),1)</f>
        <v>1</v>
      </c>
      <c r="Z147" s="937">
        <f t="shared" si="53"/>
        <v>1</v>
      </c>
      <c r="AA147" s="1487" t="e">
        <f t="shared" si="54"/>
        <v>#N/A</v>
      </c>
      <c r="AB147" s="933" t="e">
        <f>VLOOKUP($W147,feed_mix_n,MATCH(AB$5,feed_mix_w!$B$5:$AC$5,0),FALSE)/$Z147*VLOOKUP(AB$5,feed_intensity_w,11,FALSE)</f>
        <v>#N/A</v>
      </c>
      <c r="AC147" s="933" t="e">
        <f>VLOOKUP($W147,feed_mix_n,MATCH(AC$5,feed_mix_w!$B$5:$AC$5,0),FALSE)/$Z147*VLOOKUP(AC$5,feed_intensity_w,11,FALSE)</f>
        <v>#N/A</v>
      </c>
      <c r="AD147" s="933" t="e">
        <f>VLOOKUP($W147,feed_mix_n,MATCH(AD$5,feed_mix_w!$B$5:$AC$5,0),FALSE)/$Z147*VLOOKUP(AD$5,feed_intensity_w,11,FALSE)</f>
        <v>#N/A</v>
      </c>
      <c r="AE147" s="933" t="e">
        <f>VLOOKUP($W147,feed_mix_n,MATCH(AE$5,feed_mix_w!$B$5:$AC$5,0),FALSE)/$Z147*VLOOKUP(AE$5,feed_intensity_w,11,FALSE)</f>
        <v>#N/A</v>
      </c>
      <c r="AF147" s="933" t="e">
        <f>VLOOKUP($W147,feed_mix_n,MATCH(AF$5,feed_mix_w!$B$5:$AC$5,0),FALSE)/$Z147*VLOOKUP(AF$5,feed_intensity_w,11,FALSE)</f>
        <v>#N/A</v>
      </c>
      <c r="AG147" s="933" t="e">
        <f>VLOOKUP($W147,feed_mix_n,MATCH(AG$5,feed_mix_w!$B$5:$AC$5,0),FALSE)/$Z147*VLOOKUP(AG$5,feed_intensity_w,11,FALSE)</f>
        <v>#N/A</v>
      </c>
      <c r="AH147" s="933" t="e">
        <f>VLOOKUP($W147,feed_mix_n,MATCH(AH$5,feed_mix_w!$B$5:$AC$5,0),FALSE)/$Z147*VLOOKUP(AH$5,feed_intensity_w,11,FALSE)</f>
        <v>#N/A</v>
      </c>
      <c r="AI147" s="933" t="e">
        <f>VLOOKUP($W147,feed_mix_n,MATCH(AI$5,feed_mix_w!$B$5:$AC$5,0),FALSE)/$Z147*VLOOKUP(AI$5,feed_intensity_w,11,FALSE)</f>
        <v>#N/A</v>
      </c>
      <c r="AJ147" s="933" t="e">
        <f>VLOOKUP($W147,feed_mix_n,MATCH(AJ$5,feed_mix_w!$B$5:$AC$5,0),FALSE)/$Z147*VLOOKUP(AJ$5,feed_intensity_w,11,FALSE)</f>
        <v>#N/A</v>
      </c>
      <c r="AK147" s="933" t="e">
        <f>VLOOKUP($W147,feed_mix_n,MATCH(AK$5,feed_mix_w!$B$5:$AC$5,0),FALSE)/$Z147*VLOOKUP(AK$5,feed_intensity_w,11,FALSE)</f>
        <v>#N/A</v>
      </c>
      <c r="AL147" s="933" t="e">
        <f>VLOOKUP($W147,feed_mix_n,MATCH(AL$5,feed_mix_w!$B$5:$AC$5,0),FALSE)/$Z147*VLOOKUP(AL$5,feed_intensity_w,11,FALSE)</f>
        <v>#N/A</v>
      </c>
      <c r="AM147" s="933" t="e">
        <f>VLOOKUP($W147,feed_mix_n,MATCH(AM$5,feed_mix_w!$B$5:$AC$5,0),FALSE)/$Z147*VLOOKUP(AM$5,feed_intensity_w,11,FALSE)</f>
        <v>#N/A</v>
      </c>
      <c r="AN147" s="933" t="e">
        <f>VLOOKUP($W147,feed_mix_n,MATCH(AN$5,feed_mix_w!$B$5:$AC$5,0),FALSE)/$Z147*VLOOKUP(AN$5,feed_intensity_w,11,FALSE)</f>
        <v>#N/A</v>
      </c>
      <c r="AO147" s="933" t="e">
        <f>VLOOKUP($W147,feed_mix_n,MATCH(AO$5,feed_mix_w!$B$5:$AC$5,0),FALSE)/$Z147*VLOOKUP(AO$5,feed_intensity_w,11,FALSE)</f>
        <v>#N/A</v>
      </c>
      <c r="AP147" s="933" t="e">
        <f>VLOOKUP($W147,feed_mix_n,MATCH(AP$5,feed_mix_w!$B$5:$AC$5,0),FALSE)/$Z147*VLOOKUP(AP$5,feed_intensity_w,11,FALSE)</f>
        <v>#N/A</v>
      </c>
      <c r="AQ147" s="933" t="e">
        <f>VLOOKUP($W147,feed_mix_n,MATCH(AQ$5,feed_mix_w!$B$5:$AC$5,0),FALSE)/$Z147*VLOOKUP(AQ$5,feed_intensity_w,11,FALSE)</f>
        <v>#N/A</v>
      </c>
      <c r="AR147" s="933" t="e">
        <f>VLOOKUP($W147,feed_mix_n,MATCH(AR$5,feed_mix_w!$B$5:$AC$5,0),FALSE)/$Z147*VLOOKUP(AR$5,feed_intensity_w,11,FALSE)</f>
        <v>#N/A</v>
      </c>
      <c r="AS147" s="1105" t="e">
        <f>VLOOKUP($W147,feed_mix_n,MATCH(AS$5,feed_mix_w!$B$5:$AC$5,0),FALSE)/$Z147*VLOOKUP(AS$5,feed_intensity_w,11,FALSE)</f>
        <v>#N/A</v>
      </c>
    </row>
    <row r="148" spans="1:45" ht="12.75" customHeight="1">
      <c r="A148" s="1008" t="s">
        <v>7423</v>
      </c>
      <c r="B148" s="1102">
        <v>1168</v>
      </c>
      <c r="C148" s="1103">
        <v>403.1</v>
      </c>
      <c r="D148" s="1158">
        <v>3755</v>
      </c>
      <c r="E148" s="1158">
        <v>25322</v>
      </c>
      <c r="F148" s="1012">
        <f t="shared" si="44"/>
        <v>3755</v>
      </c>
      <c r="G148" s="1012">
        <f t="shared" si="45"/>
        <v>25322</v>
      </c>
      <c r="H148" s="933" t="e">
        <f t="shared" si="46"/>
        <v>#N/A</v>
      </c>
      <c r="I148" s="1486">
        <f t="shared" si="47"/>
        <v>0</v>
      </c>
      <c r="J148" s="1006">
        <f>IFERROR(G148*VLOOKUP(W148,livestock_intensity!$B$7:$I$29,8,FALSE)/Z148,0)</f>
        <v>0</v>
      </c>
      <c r="K148" s="933" t="e">
        <f>VLOOKUP($W148,feed_mix_n,MATCH(K$5,feed_mix_w!$B$5:$AC$5,0),FALSE)/$Z148*VLOOKUP(K$5,feed_intensity_w,11,FALSE)</f>
        <v>#N/A</v>
      </c>
      <c r="L148" s="1486">
        <f t="shared" si="48"/>
        <v>0</v>
      </c>
      <c r="M148" s="1447">
        <f>IFERROR(G148*VLOOKUP(W148,livestock_intensity!$B$7:$M$29,12,FALSE)/Z148,0)</f>
        <v>0</v>
      </c>
      <c r="N148" s="933" t="e">
        <f>VLOOKUP($W148,feed_mix_n,MATCH(N$5,feed_mix_w!$B$5:$AC$5,0),FALSE)/$Z148*VLOOKUP(N$5,feed_intensity_w,11,FALSE)</f>
        <v>#N/A</v>
      </c>
      <c r="O148" s="1486">
        <f t="shared" si="49"/>
        <v>0</v>
      </c>
      <c r="P148" s="939">
        <f>IFERROR(G148*VLOOKUP(W148,livestock_intensity!$B$7:$Q$29,16,FALSE)/Z148,0)</f>
        <v>0</v>
      </c>
      <c r="Q148" s="1530"/>
      <c r="R148" s="900">
        <f t="shared" si="50"/>
        <v>0</v>
      </c>
      <c r="S148" s="900">
        <f t="shared" si="51"/>
        <v>0</v>
      </c>
      <c r="T148" s="1483" t="s">
        <v>2862</v>
      </c>
      <c r="U148" s="1211" t="s">
        <v>415</v>
      </c>
      <c r="V148" s="1212">
        <f>IFERROR(VLOOKUP(W148,constant_ag_extr!$D$7:$E$594,2,FALSE),"")</f>
        <v>0</v>
      </c>
      <c r="W148" s="1213" t="str">
        <f t="shared" si="52"/>
        <v/>
      </c>
      <c r="X148" s="1099">
        <f>IFERROR(IF(VLOOKUP(B148,cnst_grazing!$C$10:$H$25,5,FALSE)="", IF(VLOOKUP(B148, cnst_grazing!$C$10:$H$25,3,FALSE)="", VLOOKUP(B148, cnst_grazing!$C$10:$H$25,4,FALSE),VLOOKUP(B148, cnst_grazing!$C$10:$H$25,3,FALSE)), VLOOKUP(B148,cnst_grazing!$C$10:$H$25,5,FALSE)),1)</f>
        <v>1</v>
      </c>
      <c r="Y148" s="1099">
        <f>IFERROR(IF(VLOOKUP(B148,cnst_grazing!$C$10:$H$25,6,FALSE)="", IF(VLOOKUP(B148, cnst_grazing!$C$10:$H$25,4,FALSE)="", VLOOKUP(B148, cnst_grazing!$C$10:$H$25,3,FALSE),VLOOKUP(B148, cnst_grazing!$C$10:$H$25,4,FALSE)), VLOOKUP(B148,cnst_grazing!$C$10:$H$25,6,FALSE)),1)</f>
        <v>1</v>
      </c>
      <c r="Z148" s="937">
        <f t="shared" si="53"/>
        <v>1</v>
      </c>
      <c r="AA148" s="1487" t="e">
        <f t="shared" si="54"/>
        <v>#N/A</v>
      </c>
      <c r="AB148" s="933" t="e">
        <f>VLOOKUP($W148,feed_mix_n,MATCH(AB$5,feed_mix_w!$B$5:$AC$5,0),FALSE)/$Z148*VLOOKUP(AB$5,feed_intensity_w,11,FALSE)</f>
        <v>#N/A</v>
      </c>
      <c r="AC148" s="933" t="e">
        <f>VLOOKUP($W148,feed_mix_n,MATCH(AC$5,feed_mix_w!$B$5:$AC$5,0),FALSE)/$Z148*VLOOKUP(AC$5,feed_intensity_w,11,FALSE)</f>
        <v>#N/A</v>
      </c>
      <c r="AD148" s="933" t="e">
        <f>VLOOKUP($W148,feed_mix_n,MATCH(AD$5,feed_mix_w!$B$5:$AC$5,0),FALSE)/$Z148*VLOOKUP(AD$5,feed_intensity_w,11,FALSE)</f>
        <v>#N/A</v>
      </c>
      <c r="AE148" s="933" t="e">
        <f>VLOOKUP($W148,feed_mix_n,MATCH(AE$5,feed_mix_w!$B$5:$AC$5,0),FALSE)/$Z148*VLOOKUP(AE$5,feed_intensity_w,11,FALSE)</f>
        <v>#N/A</v>
      </c>
      <c r="AF148" s="933" t="e">
        <f>VLOOKUP($W148,feed_mix_n,MATCH(AF$5,feed_mix_w!$B$5:$AC$5,0),FALSE)/$Z148*VLOOKUP(AF$5,feed_intensity_w,11,FALSE)</f>
        <v>#N/A</v>
      </c>
      <c r="AG148" s="933" t="e">
        <f>VLOOKUP($W148,feed_mix_n,MATCH(AG$5,feed_mix_w!$B$5:$AC$5,0),FALSE)/$Z148*VLOOKUP(AG$5,feed_intensity_w,11,FALSE)</f>
        <v>#N/A</v>
      </c>
      <c r="AH148" s="933" t="e">
        <f>VLOOKUP($W148,feed_mix_n,MATCH(AH$5,feed_mix_w!$B$5:$AC$5,0),FALSE)/$Z148*VLOOKUP(AH$5,feed_intensity_w,11,FALSE)</f>
        <v>#N/A</v>
      </c>
      <c r="AI148" s="933" t="e">
        <f>VLOOKUP($W148,feed_mix_n,MATCH(AI$5,feed_mix_w!$B$5:$AC$5,0),FALSE)/$Z148*VLOOKUP(AI$5,feed_intensity_w,11,FALSE)</f>
        <v>#N/A</v>
      </c>
      <c r="AJ148" s="933" t="e">
        <f>VLOOKUP($W148,feed_mix_n,MATCH(AJ$5,feed_mix_w!$B$5:$AC$5,0),FALSE)/$Z148*VLOOKUP(AJ$5,feed_intensity_w,11,FALSE)</f>
        <v>#N/A</v>
      </c>
      <c r="AK148" s="933" t="e">
        <f>VLOOKUP($W148,feed_mix_n,MATCH(AK$5,feed_mix_w!$B$5:$AC$5,0),FALSE)/$Z148*VLOOKUP(AK$5,feed_intensity_w,11,FALSE)</f>
        <v>#N/A</v>
      </c>
      <c r="AL148" s="933" t="e">
        <f>VLOOKUP($W148,feed_mix_n,MATCH(AL$5,feed_mix_w!$B$5:$AC$5,0),FALSE)/$Z148*VLOOKUP(AL$5,feed_intensity_w,11,FALSE)</f>
        <v>#N/A</v>
      </c>
      <c r="AM148" s="933" t="e">
        <f>VLOOKUP($W148,feed_mix_n,MATCH(AM$5,feed_mix_w!$B$5:$AC$5,0),FALSE)/$Z148*VLOOKUP(AM$5,feed_intensity_w,11,FALSE)</f>
        <v>#N/A</v>
      </c>
      <c r="AN148" s="933" t="e">
        <f>VLOOKUP($W148,feed_mix_n,MATCH(AN$5,feed_mix_w!$B$5:$AC$5,0),FALSE)/$Z148*VLOOKUP(AN$5,feed_intensity_w,11,FALSE)</f>
        <v>#N/A</v>
      </c>
      <c r="AO148" s="933" t="e">
        <f>VLOOKUP($W148,feed_mix_n,MATCH(AO$5,feed_mix_w!$B$5:$AC$5,0),FALSE)/$Z148*VLOOKUP(AO$5,feed_intensity_w,11,FALSE)</f>
        <v>#N/A</v>
      </c>
      <c r="AP148" s="933" t="e">
        <f>VLOOKUP($W148,feed_mix_n,MATCH(AP$5,feed_mix_w!$B$5:$AC$5,0),FALSE)/$Z148*VLOOKUP(AP$5,feed_intensity_w,11,FALSE)</f>
        <v>#N/A</v>
      </c>
      <c r="AQ148" s="933" t="e">
        <f>VLOOKUP($W148,feed_mix_n,MATCH(AQ$5,feed_mix_w!$B$5:$AC$5,0),FALSE)/$Z148*VLOOKUP(AQ$5,feed_intensity_w,11,FALSE)</f>
        <v>#N/A</v>
      </c>
      <c r="AR148" s="933" t="e">
        <f>VLOOKUP($W148,feed_mix_n,MATCH(AR$5,feed_mix_w!$B$5:$AC$5,0),FALSE)/$Z148*VLOOKUP(AR$5,feed_intensity_w,11,FALSE)</f>
        <v>#N/A</v>
      </c>
      <c r="AS148" s="1105" t="e">
        <f>VLOOKUP($W148,feed_mix_n,MATCH(AS$5,feed_mix_w!$B$5:$AC$5,0),FALSE)/$Z148*VLOOKUP(AS$5,feed_intensity_w,11,FALSE)</f>
        <v>#N/A</v>
      </c>
    </row>
    <row r="149" spans="1:45" ht="12.75" customHeight="1">
      <c r="A149" s="1008" t="s">
        <v>1395</v>
      </c>
      <c r="B149" s="1102">
        <v>1169</v>
      </c>
      <c r="C149" s="1103" t="s">
        <v>1627</v>
      </c>
      <c r="D149" s="1158"/>
      <c r="E149" s="1158"/>
      <c r="F149" s="1012">
        <f t="shared" si="44"/>
        <v>0</v>
      </c>
      <c r="G149" s="1012">
        <f t="shared" si="45"/>
        <v>0</v>
      </c>
      <c r="H149" s="933" t="e">
        <f t="shared" si="46"/>
        <v>#N/A</v>
      </c>
      <c r="I149" s="1486">
        <f t="shared" si="47"/>
        <v>0</v>
      </c>
      <c r="J149" s="1006">
        <f>IFERROR(G149*VLOOKUP(W149,livestock_intensity!$B$7:$I$29,8,FALSE)/Z149,0)</f>
        <v>0</v>
      </c>
      <c r="K149" s="933" t="e">
        <f>VLOOKUP($W149,feed_mix_n,MATCH(K$5,feed_mix_w!$B$5:$AC$5,0),FALSE)/$Z149*VLOOKUP(K$5,feed_intensity_w,11,FALSE)</f>
        <v>#N/A</v>
      </c>
      <c r="L149" s="1486">
        <f t="shared" si="48"/>
        <v>0</v>
      </c>
      <c r="M149" s="1447">
        <f>IFERROR(G149*VLOOKUP(W149,livestock_intensity!$B$7:$M$29,12,FALSE)/Z149,0)</f>
        <v>0</v>
      </c>
      <c r="N149" s="933" t="e">
        <f>VLOOKUP($W149,feed_mix_n,MATCH(N$5,feed_mix_w!$B$5:$AC$5,0),FALSE)/$Z149*VLOOKUP(N$5,feed_intensity_w,11,FALSE)</f>
        <v>#N/A</v>
      </c>
      <c r="O149" s="1486">
        <f t="shared" si="49"/>
        <v>0</v>
      </c>
      <c r="P149" s="939">
        <f>IFERROR(G149*VLOOKUP(W149,livestock_intensity!$B$7:$Q$29,16,FALSE)/Z149,0)</f>
        <v>0</v>
      </c>
      <c r="Q149" s="1530"/>
      <c r="R149" s="900">
        <f t="shared" si="50"/>
        <v>0</v>
      </c>
      <c r="S149" s="900">
        <f t="shared" si="51"/>
        <v>0</v>
      </c>
      <c r="T149" s="1483" t="s">
        <v>2862</v>
      </c>
      <c r="U149" s="1211" t="s">
        <v>2921</v>
      </c>
      <c r="V149" s="1212">
        <f>IFERROR(VLOOKUP(W149,constant_ag_extr!$D$7:$E$594,2,FALSE),"")</f>
        <v>0</v>
      </c>
      <c r="W149" s="1213" t="str">
        <f t="shared" si="52"/>
        <v/>
      </c>
      <c r="X149" s="1099">
        <f>IFERROR(IF(VLOOKUP(B149,cnst_grazing!$C$10:$H$25,5,FALSE)="", IF(VLOOKUP(B149, cnst_grazing!$C$10:$H$25,3,FALSE)="", VLOOKUP(B149, cnst_grazing!$C$10:$H$25,4,FALSE),VLOOKUP(B149, cnst_grazing!$C$10:$H$25,3,FALSE)), VLOOKUP(B149,cnst_grazing!$C$10:$H$25,5,FALSE)),1)</f>
        <v>1</v>
      </c>
      <c r="Y149" s="1099">
        <f>IFERROR(IF(VLOOKUP(B149,cnst_grazing!$C$10:$H$25,6,FALSE)="", IF(VLOOKUP(B149, cnst_grazing!$C$10:$H$25,4,FALSE)="", VLOOKUP(B149, cnst_grazing!$C$10:$H$25,3,FALSE),VLOOKUP(B149, cnst_grazing!$C$10:$H$25,4,FALSE)), VLOOKUP(B149,cnst_grazing!$C$10:$H$25,6,FALSE)),1)</f>
        <v>1</v>
      </c>
      <c r="Z149" s="937" t="str">
        <f t="shared" si="53"/>
        <v>-</v>
      </c>
      <c r="AA149" s="1487" t="e">
        <f t="shared" si="54"/>
        <v>#N/A</v>
      </c>
      <c r="AB149" s="933" t="e">
        <f>VLOOKUP($W149,feed_mix_n,MATCH(AB$5,feed_mix_w!$B$5:$AC$5,0),FALSE)/$Z149*VLOOKUP(AB$5,feed_intensity_w,11,FALSE)</f>
        <v>#N/A</v>
      </c>
      <c r="AC149" s="933" t="e">
        <f>VLOOKUP($W149,feed_mix_n,MATCH(AC$5,feed_mix_w!$B$5:$AC$5,0),FALSE)/$Z149*VLOOKUP(AC$5,feed_intensity_w,11,FALSE)</f>
        <v>#N/A</v>
      </c>
      <c r="AD149" s="933" t="e">
        <f>VLOOKUP($W149,feed_mix_n,MATCH(AD$5,feed_mix_w!$B$5:$AC$5,0),FALSE)/$Z149*VLOOKUP(AD$5,feed_intensity_w,11,FALSE)</f>
        <v>#N/A</v>
      </c>
      <c r="AE149" s="933" t="e">
        <f>VLOOKUP($W149,feed_mix_n,MATCH(AE$5,feed_mix_w!$B$5:$AC$5,0),FALSE)/$Z149*VLOOKUP(AE$5,feed_intensity_w,11,FALSE)</f>
        <v>#N/A</v>
      </c>
      <c r="AF149" s="933" t="e">
        <f>VLOOKUP($W149,feed_mix_n,MATCH(AF$5,feed_mix_w!$B$5:$AC$5,0),FALSE)/$Z149*VLOOKUP(AF$5,feed_intensity_w,11,FALSE)</f>
        <v>#N/A</v>
      </c>
      <c r="AG149" s="933" t="e">
        <f>VLOOKUP($W149,feed_mix_n,MATCH(AG$5,feed_mix_w!$B$5:$AC$5,0),FALSE)/$Z149*VLOOKUP(AG$5,feed_intensity_w,11,FALSE)</f>
        <v>#N/A</v>
      </c>
      <c r="AH149" s="933" t="e">
        <f>VLOOKUP($W149,feed_mix_n,MATCH(AH$5,feed_mix_w!$B$5:$AC$5,0),FALSE)/$Z149*VLOOKUP(AH$5,feed_intensity_w,11,FALSE)</f>
        <v>#N/A</v>
      </c>
      <c r="AI149" s="933" t="e">
        <f>VLOOKUP($W149,feed_mix_n,MATCH(AI$5,feed_mix_w!$B$5:$AC$5,0),FALSE)/$Z149*VLOOKUP(AI$5,feed_intensity_w,11,FALSE)</f>
        <v>#N/A</v>
      </c>
      <c r="AJ149" s="933" t="e">
        <f>VLOOKUP($W149,feed_mix_n,MATCH(AJ$5,feed_mix_w!$B$5:$AC$5,0),FALSE)/$Z149*VLOOKUP(AJ$5,feed_intensity_w,11,FALSE)</f>
        <v>#N/A</v>
      </c>
      <c r="AK149" s="933" t="e">
        <f>VLOOKUP($W149,feed_mix_n,MATCH(AK$5,feed_mix_w!$B$5:$AC$5,0),FALSE)/$Z149*VLOOKUP(AK$5,feed_intensity_w,11,FALSE)</f>
        <v>#N/A</v>
      </c>
      <c r="AL149" s="933" t="e">
        <f>VLOOKUP($W149,feed_mix_n,MATCH(AL$5,feed_mix_w!$B$5:$AC$5,0),FALSE)/$Z149*VLOOKUP(AL$5,feed_intensity_w,11,FALSE)</f>
        <v>#N/A</v>
      </c>
      <c r="AM149" s="933" t="e">
        <f>VLOOKUP($W149,feed_mix_n,MATCH(AM$5,feed_mix_w!$B$5:$AC$5,0),FALSE)/$Z149*VLOOKUP(AM$5,feed_intensity_w,11,FALSE)</f>
        <v>#N/A</v>
      </c>
      <c r="AN149" s="933" t="e">
        <f>VLOOKUP($W149,feed_mix_n,MATCH(AN$5,feed_mix_w!$B$5:$AC$5,0),FALSE)/$Z149*VLOOKUP(AN$5,feed_intensity_w,11,FALSE)</f>
        <v>#N/A</v>
      </c>
      <c r="AO149" s="933" t="e">
        <f>VLOOKUP($W149,feed_mix_n,MATCH(AO$5,feed_mix_w!$B$5:$AC$5,0),FALSE)/$Z149*VLOOKUP(AO$5,feed_intensity_w,11,FALSE)</f>
        <v>#N/A</v>
      </c>
      <c r="AP149" s="933" t="e">
        <f>VLOOKUP($W149,feed_mix_n,MATCH(AP$5,feed_mix_w!$B$5:$AC$5,0),FALSE)/$Z149*VLOOKUP(AP$5,feed_intensity_w,11,FALSE)</f>
        <v>#N/A</v>
      </c>
      <c r="AQ149" s="933" t="e">
        <f>VLOOKUP($W149,feed_mix_n,MATCH(AQ$5,feed_mix_w!$B$5:$AC$5,0),FALSE)/$Z149*VLOOKUP(AQ$5,feed_intensity_w,11,FALSE)</f>
        <v>#N/A</v>
      </c>
      <c r="AR149" s="933" t="e">
        <f>VLOOKUP($W149,feed_mix_n,MATCH(AR$5,feed_mix_w!$B$5:$AC$5,0),FALSE)/$Z149*VLOOKUP(AR$5,feed_intensity_w,11,FALSE)</f>
        <v>#N/A</v>
      </c>
      <c r="AS149" s="1105" t="e">
        <f>VLOOKUP($W149,feed_mix_n,MATCH(AS$5,feed_mix_w!$B$5:$AC$5,0),FALSE)/$Z149*VLOOKUP(AS$5,feed_intensity_w,11,FALSE)</f>
        <v>#N/A</v>
      </c>
    </row>
    <row r="150" spans="1:45" ht="12.75" customHeight="1">
      <c r="A150" s="1008" t="s">
        <v>7424</v>
      </c>
      <c r="B150" s="1102">
        <v>1171</v>
      </c>
      <c r="C150" s="1103" t="s">
        <v>538</v>
      </c>
      <c r="D150" s="1158"/>
      <c r="E150" s="1158">
        <v>0</v>
      </c>
      <c r="F150" s="1012">
        <f t="shared" si="44"/>
        <v>0</v>
      </c>
      <c r="G150" s="1012">
        <f t="shared" si="45"/>
        <v>0</v>
      </c>
      <c r="H150" s="933" t="e">
        <f t="shared" si="46"/>
        <v>#N/A</v>
      </c>
      <c r="I150" s="1486">
        <f t="shared" si="47"/>
        <v>0</v>
      </c>
      <c r="J150" s="1006">
        <f>IFERROR(G150*VLOOKUP(W150,livestock_intensity!$B$7:$I$29,8,FALSE)/Z150,0)</f>
        <v>0</v>
      </c>
      <c r="K150" s="933" t="e">
        <f>VLOOKUP($W150,feed_mix_n,MATCH(K$5,feed_mix_w!$B$5:$AC$5,0),FALSE)/$Z150*VLOOKUP(K$5,feed_intensity_w,11,FALSE)</f>
        <v>#N/A</v>
      </c>
      <c r="L150" s="1486">
        <f t="shared" si="48"/>
        <v>0</v>
      </c>
      <c r="M150" s="1447">
        <f>IFERROR(G150*VLOOKUP(W150,livestock_intensity!$B$7:$M$29,12,FALSE)/Z150,0)</f>
        <v>0</v>
      </c>
      <c r="N150" s="933" t="e">
        <f>VLOOKUP($W150,feed_mix_n,MATCH(N$5,feed_mix_w!$B$5:$AC$5,0),FALSE)/$Z150*VLOOKUP(N$5,feed_intensity_w,11,FALSE)</f>
        <v>#N/A</v>
      </c>
      <c r="O150" s="1486">
        <f t="shared" si="49"/>
        <v>0</v>
      </c>
      <c r="P150" s="939">
        <f>IFERROR(G150*VLOOKUP(W150,livestock_intensity!$B$7:$Q$29,16,FALSE)/Z150,0)</f>
        <v>0</v>
      </c>
      <c r="Q150" s="1530"/>
      <c r="R150" s="900">
        <f t="shared" si="50"/>
        <v>0</v>
      </c>
      <c r="S150" s="900">
        <f t="shared" si="51"/>
        <v>0</v>
      </c>
      <c r="T150" s="1483" t="s">
        <v>2862</v>
      </c>
      <c r="U150" s="1211" t="s">
        <v>2921</v>
      </c>
      <c r="V150" s="1212" t="str">
        <f>IFERROR(VLOOKUP(W150,constant_ag_extr!$D$7:$E$594,2,FALSE),"")</f>
        <v>Animals live Nes</v>
      </c>
      <c r="W150" s="1213">
        <f t="shared" si="52"/>
        <v>1171</v>
      </c>
      <c r="X150" s="1099">
        <f>IFERROR(IF(VLOOKUP(B150,cnst_grazing!$C$10:$H$25,5,FALSE)="", IF(VLOOKUP(B150, cnst_grazing!$C$10:$H$25,3,FALSE)="", VLOOKUP(B150, cnst_grazing!$C$10:$H$25,4,FALSE),VLOOKUP(B150, cnst_grazing!$C$10:$H$25,3,FALSE)), VLOOKUP(B150,cnst_grazing!$C$10:$H$25,5,FALSE)),1)</f>
        <v>1</v>
      </c>
      <c r="Y150" s="1099">
        <f>IFERROR(IF(VLOOKUP(B150,cnst_grazing!$C$10:$H$25,6,FALSE)="", IF(VLOOKUP(B150, cnst_grazing!$C$10:$H$25,4,FALSE)="", VLOOKUP(B150, cnst_grazing!$C$10:$H$25,3,FALSE),VLOOKUP(B150, cnst_grazing!$C$10:$H$25,4,FALSE)), VLOOKUP(B150,cnst_grazing!$C$10:$H$25,6,FALSE)),1)</f>
        <v>1</v>
      </c>
      <c r="Z150" s="937">
        <f t="shared" si="53"/>
        <v>1</v>
      </c>
      <c r="AA150" s="1487" t="e">
        <f t="shared" si="54"/>
        <v>#N/A</v>
      </c>
      <c r="AB150" s="933" t="e">
        <f>VLOOKUP($W150,feed_mix_n,MATCH(AB$5,feed_mix_w!$B$5:$AC$5,0),FALSE)/$Z150*VLOOKUP(AB$5,feed_intensity_w,11,FALSE)</f>
        <v>#N/A</v>
      </c>
      <c r="AC150" s="933" t="e">
        <f>VLOOKUP($W150,feed_mix_n,MATCH(AC$5,feed_mix_w!$B$5:$AC$5,0),FALSE)/$Z150*VLOOKUP(AC$5,feed_intensity_w,11,FALSE)</f>
        <v>#N/A</v>
      </c>
      <c r="AD150" s="933" t="e">
        <f>VLOOKUP($W150,feed_mix_n,MATCH(AD$5,feed_mix_w!$B$5:$AC$5,0),FALSE)/$Z150*VLOOKUP(AD$5,feed_intensity_w,11,FALSE)</f>
        <v>#N/A</v>
      </c>
      <c r="AE150" s="933" t="e">
        <f>VLOOKUP($W150,feed_mix_n,MATCH(AE$5,feed_mix_w!$B$5:$AC$5,0),FALSE)/$Z150*VLOOKUP(AE$5,feed_intensity_w,11,FALSE)</f>
        <v>#N/A</v>
      </c>
      <c r="AF150" s="933" t="e">
        <f>VLOOKUP($W150,feed_mix_n,MATCH(AF$5,feed_mix_w!$B$5:$AC$5,0),FALSE)/$Z150*VLOOKUP(AF$5,feed_intensity_w,11,FALSE)</f>
        <v>#N/A</v>
      </c>
      <c r="AG150" s="933" t="e">
        <f>VLOOKUP($W150,feed_mix_n,MATCH(AG$5,feed_mix_w!$B$5:$AC$5,0),FALSE)/$Z150*VLOOKUP(AG$5,feed_intensity_w,11,FALSE)</f>
        <v>#N/A</v>
      </c>
      <c r="AH150" s="933" t="e">
        <f>VLOOKUP($W150,feed_mix_n,MATCH(AH$5,feed_mix_w!$B$5:$AC$5,0),FALSE)/$Z150*VLOOKUP(AH$5,feed_intensity_w,11,FALSE)</f>
        <v>#N/A</v>
      </c>
      <c r="AI150" s="933" t="e">
        <f>VLOOKUP($W150,feed_mix_n,MATCH(AI$5,feed_mix_w!$B$5:$AC$5,0),FALSE)/$Z150*VLOOKUP(AI$5,feed_intensity_w,11,FALSE)</f>
        <v>#N/A</v>
      </c>
      <c r="AJ150" s="933" t="e">
        <f>VLOOKUP($W150,feed_mix_n,MATCH(AJ$5,feed_mix_w!$B$5:$AC$5,0),FALSE)/$Z150*VLOOKUP(AJ$5,feed_intensity_w,11,FALSE)</f>
        <v>#N/A</v>
      </c>
      <c r="AK150" s="933" t="e">
        <f>VLOOKUP($W150,feed_mix_n,MATCH(AK$5,feed_mix_w!$B$5:$AC$5,0),FALSE)/$Z150*VLOOKUP(AK$5,feed_intensity_w,11,FALSE)</f>
        <v>#N/A</v>
      </c>
      <c r="AL150" s="933" t="e">
        <f>VLOOKUP($W150,feed_mix_n,MATCH(AL$5,feed_mix_w!$B$5:$AC$5,0),FALSE)/$Z150*VLOOKUP(AL$5,feed_intensity_w,11,FALSE)</f>
        <v>#N/A</v>
      </c>
      <c r="AM150" s="933" t="e">
        <f>VLOOKUP($W150,feed_mix_n,MATCH(AM$5,feed_mix_w!$B$5:$AC$5,0),FALSE)/$Z150*VLOOKUP(AM$5,feed_intensity_w,11,FALSE)</f>
        <v>#N/A</v>
      </c>
      <c r="AN150" s="933" t="e">
        <f>VLOOKUP($W150,feed_mix_n,MATCH(AN$5,feed_mix_w!$B$5:$AC$5,0),FALSE)/$Z150*VLOOKUP(AN$5,feed_intensity_w,11,FALSE)</f>
        <v>#N/A</v>
      </c>
      <c r="AO150" s="933" t="e">
        <f>VLOOKUP($W150,feed_mix_n,MATCH(AO$5,feed_mix_w!$B$5:$AC$5,0),FALSE)/$Z150*VLOOKUP(AO$5,feed_intensity_w,11,FALSE)</f>
        <v>#N/A</v>
      </c>
      <c r="AP150" s="933" t="e">
        <f>VLOOKUP($W150,feed_mix_n,MATCH(AP$5,feed_mix_w!$B$5:$AC$5,0),FALSE)/$Z150*VLOOKUP(AP$5,feed_intensity_w,11,FALSE)</f>
        <v>#N/A</v>
      </c>
      <c r="AQ150" s="933" t="e">
        <f>VLOOKUP($W150,feed_mix_n,MATCH(AQ$5,feed_mix_w!$B$5:$AC$5,0),FALSE)/$Z150*VLOOKUP(AQ$5,feed_intensity_w,11,FALSE)</f>
        <v>#N/A</v>
      </c>
      <c r="AR150" s="933" t="e">
        <f>VLOOKUP($W150,feed_mix_n,MATCH(AR$5,feed_mix_w!$B$5:$AC$5,0),FALSE)/$Z150*VLOOKUP(AR$5,feed_intensity_w,11,FALSE)</f>
        <v>#N/A</v>
      </c>
      <c r="AS150" s="1105" t="e">
        <f>VLOOKUP($W150,feed_mix_n,MATCH(AS$5,feed_mix_w!$B$5:$AC$5,0),FALSE)/$Z150*VLOOKUP(AS$5,feed_intensity_w,11,FALSE)</f>
        <v>#N/A</v>
      </c>
    </row>
    <row r="151" spans="1:45" ht="12.75" customHeight="1">
      <c r="A151" s="1008" t="s">
        <v>3020</v>
      </c>
      <c r="B151" s="1102">
        <v>1172</v>
      </c>
      <c r="C151" s="1103">
        <v>1602.9</v>
      </c>
      <c r="D151" s="1158"/>
      <c r="E151" s="1158"/>
      <c r="F151" s="1012">
        <f t="shared" si="44"/>
        <v>0</v>
      </c>
      <c r="G151" s="1012">
        <f t="shared" si="45"/>
        <v>0</v>
      </c>
      <c r="H151" s="933" t="e">
        <f t="shared" si="46"/>
        <v>#N/A</v>
      </c>
      <c r="I151" s="1486">
        <f t="shared" si="47"/>
        <v>0</v>
      </c>
      <c r="J151" s="1006">
        <f>IFERROR(G151*VLOOKUP(W151,livestock_intensity!$B$7:$I$29,8,FALSE)/Z151,0)</f>
        <v>0</v>
      </c>
      <c r="K151" s="933" t="e">
        <f>VLOOKUP($W151,feed_mix_n,MATCH(K$5,feed_mix_w!$B$5:$AC$5,0),FALSE)/$Z151*VLOOKUP(K$5,feed_intensity_w,11,FALSE)</f>
        <v>#N/A</v>
      </c>
      <c r="L151" s="1486">
        <f t="shared" si="48"/>
        <v>0</v>
      </c>
      <c r="M151" s="1447">
        <f>IFERROR(G151*VLOOKUP(W151,livestock_intensity!$B$7:$M$29,12,FALSE)/Z151,0)</f>
        <v>0</v>
      </c>
      <c r="N151" s="933" t="e">
        <f>VLOOKUP($W151,feed_mix_n,MATCH(N$5,feed_mix_w!$B$5:$AC$5,0),FALSE)/$Z151*VLOOKUP(N$5,feed_intensity_w,11,FALSE)</f>
        <v>#N/A</v>
      </c>
      <c r="O151" s="1486">
        <f t="shared" si="49"/>
        <v>0</v>
      </c>
      <c r="P151" s="939">
        <f>IFERROR(G151*VLOOKUP(W151,livestock_intensity!$B$7:$Q$29,16,FALSE)/Z151,0)</f>
        <v>0</v>
      </c>
      <c r="Q151" s="1530"/>
      <c r="R151" s="900">
        <f t="shared" si="50"/>
        <v>0</v>
      </c>
      <c r="S151" s="900">
        <f t="shared" si="51"/>
        <v>0</v>
      </c>
      <c r="T151" s="1483" t="s">
        <v>2862</v>
      </c>
      <c r="U151" s="1211" t="s">
        <v>2921</v>
      </c>
      <c r="V151" s="1212">
        <f>IFERROR(VLOOKUP(W151,constant_ag_extr!$D$7:$E$594,2,FALSE),"")</f>
        <v>0</v>
      </c>
      <c r="W151" s="1213" t="str">
        <f t="shared" si="52"/>
        <v/>
      </c>
      <c r="X151" s="1099">
        <f>IFERROR(IF(VLOOKUP(B151,cnst_grazing!$C$10:$H$25,5,FALSE)="", IF(VLOOKUP(B151, cnst_grazing!$C$10:$H$25,3,FALSE)="", VLOOKUP(B151, cnst_grazing!$C$10:$H$25,4,FALSE),VLOOKUP(B151, cnst_grazing!$C$10:$H$25,3,FALSE)), VLOOKUP(B151,cnst_grazing!$C$10:$H$25,5,FALSE)),1)</f>
        <v>1</v>
      </c>
      <c r="Y151" s="1099">
        <f>IFERROR(IF(VLOOKUP(B151,cnst_grazing!$C$10:$H$25,6,FALSE)="", IF(VLOOKUP(B151, cnst_grazing!$C$10:$H$25,4,FALSE)="", VLOOKUP(B151, cnst_grazing!$C$10:$H$25,3,FALSE),VLOOKUP(B151, cnst_grazing!$C$10:$H$25,4,FALSE)), VLOOKUP(B151,cnst_grazing!$C$10:$H$25,6,FALSE)),1)</f>
        <v>1</v>
      </c>
      <c r="Z151" s="937">
        <f t="shared" si="53"/>
        <v>1</v>
      </c>
      <c r="AA151" s="1487" t="e">
        <f t="shared" si="54"/>
        <v>#N/A</v>
      </c>
      <c r="AB151" s="933" t="e">
        <f>VLOOKUP($W151,feed_mix_n,MATCH(AB$5,feed_mix_w!$B$5:$AC$5,0),FALSE)/$Z151*VLOOKUP(AB$5,feed_intensity_w,11,FALSE)</f>
        <v>#N/A</v>
      </c>
      <c r="AC151" s="933" t="e">
        <f>VLOOKUP($W151,feed_mix_n,MATCH(AC$5,feed_mix_w!$B$5:$AC$5,0),FALSE)/$Z151*VLOOKUP(AC$5,feed_intensity_w,11,FALSE)</f>
        <v>#N/A</v>
      </c>
      <c r="AD151" s="933" t="e">
        <f>VLOOKUP($W151,feed_mix_n,MATCH(AD$5,feed_mix_w!$B$5:$AC$5,0),FALSE)/$Z151*VLOOKUP(AD$5,feed_intensity_w,11,FALSE)</f>
        <v>#N/A</v>
      </c>
      <c r="AE151" s="933" t="e">
        <f>VLOOKUP($W151,feed_mix_n,MATCH(AE$5,feed_mix_w!$B$5:$AC$5,0),FALSE)/$Z151*VLOOKUP(AE$5,feed_intensity_w,11,FALSE)</f>
        <v>#N/A</v>
      </c>
      <c r="AF151" s="933" t="e">
        <f>VLOOKUP($W151,feed_mix_n,MATCH(AF$5,feed_mix_w!$B$5:$AC$5,0),FALSE)/$Z151*VLOOKUP(AF$5,feed_intensity_w,11,FALSE)</f>
        <v>#N/A</v>
      </c>
      <c r="AG151" s="933" t="e">
        <f>VLOOKUP($W151,feed_mix_n,MATCH(AG$5,feed_mix_w!$B$5:$AC$5,0),FALSE)/$Z151*VLOOKUP(AG$5,feed_intensity_w,11,FALSE)</f>
        <v>#N/A</v>
      </c>
      <c r="AH151" s="933" t="e">
        <f>VLOOKUP($W151,feed_mix_n,MATCH(AH$5,feed_mix_w!$B$5:$AC$5,0),FALSE)/$Z151*VLOOKUP(AH$5,feed_intensity_w,11,FALSE)</f>
        <v>#N/A</v>
      </c>
      <c r="AI151" s="933" t="e">
        <f>VLOOKUP($W151,feed_mix_n,MATCH(AI$5,feed_mix_w!$B$5:$AC$5,0),FALSE)/$Z151*VLOOKUP(AI$5,feed_intensity_w,11,FALSE)</f>
        <v>#N/A</v>
      </c>
      <c r="AJ151" s="933" t="e">
        <f>VLOOKUP($W151,feed_mix_n,MATCH(AJ$5,feed_mix_w!$B$5:$AC$5,0),FALSE)/$Z151*VLOOKUP(AJ$5,feed_intensity_w,11,FALSE)</f>
        <v>#N/A</v>
      </c>
      <c r="AK151" s="933" t="e">
        <f>VLOOKUP($W151,feed_mix_n,MATCH(AK$5,feed_mix_w!$B$5:$AC$5,0),FALSE)/$Z151*VLOOKUP(AK$5,feed_intensity_w,11,FALSE)</f>
        <v>#N/A</v>
      </c>
      <c r="AL151" s="933" t="e">
        <f>VLOOKUP($W151,feed_mix_n,MATCH(AL$5,feed_mix_w!$B$5:$AC$5,0),FALSE)/$Z151*VLOOKUP(AL$5,feed_intensity_w,11,FALSE)</f>
        <v>#N/A</v>
      </c>
      <c r="AM151" s="933" t="e">
        <f>VLOOKUP($W151,feed_mix_n,MATCH(AM$5,feed_mix_w!$B$5:$AC$5,0),FALSE)/$Z151*VLOOKUP(AM$5,feed_intensity_w,11,FALSE)</f>
        <v>#N/A</v>
      </c>
      <c r="AN151" s="933" t="e">
        <f>VLOOKUP($W151,feed_mix_n,MATCH(AN$5,feed_mix_w!$B$5:$AC$5,0),FALSE)/$Z151*VLOOKUP(AN$5,feed_intensity_w,11,FALSE)</f>
        <v>#N/A</v>
      </c>
      <c r="AO151" s="933" t="e">
        <f>VLOOKUP($W151,feed_mix_n,MATCH(AO$5,feed_mix_w!$B$5:$AC$5,0),FALSE)/$Z151*VLOOKUP(AO$5,feed_intensity_w,11,FALSE)</f>
        <v>#N/A</v>
      </c>
      <c r="AP151" s="933" t="e">
        <f>VLOOKUP($W151,feed_mix_n,MATCH(AP$5,feed_mix_w!$B$5:$AC$5,0),FALSE)/$Z151*VLOOKUP(AP$5,feed_intensity_w,11,FALSE)</f>
        <v>#N/A</v>
      </c>
      <c r="AQ151" s="933" t="e">
        <f>VLOOKUP($W151,feed_mix_n,MATCH(AQ$5,feed_mix_w!$B$5:$AC$5,0),FALSE)/$Z151*VLOOKUP(AQ$5,feed_intensity_w,11,FALSE)</f>
        <v>#N/A</v>
      </c>
      <c r="AR151" s="933" t="e">
        <f>VLOOKUP($W151,feed_mix_n,MATCH(AR$5,feed_mix_w!$B$5:$AC$5,0),FALSE)/$Z151*VLOOKUP(AR$5,feed_intensity_w,11,FALSE)</f>
        <v>#N/A</v>
      </c>
      <c r="AS151" s="1105" t="e">
        <f>VLOOKUP($W151,feed_mix_n,MATCH(AS$5,feed_mix_w!$B$5:$AC$5,0),FALSE)/$Z151*VLOOKUP(AS$5,feed_intensity_w,11,FALSE)</f>
        <v>#N/A</v>
      </c>
    </row>
    <row r="152" spans="1:45" ht="12.75" customHeight="1">
      <c r="A152" s="1008" t="s">
        <v>7425</v>
      </c>
      <c r="B152" s="1102">
        <v>1173</v>
      </c>
      <c r="C152" s="1103">
        <v>2301.1</v>
      </c>
      <c r="D152" s="1158">
        <v>73757</v>
      </c>
      <c r="E152" s="1158">
        <v>258725</v>
      </c>
      <c r="F152" s="1012">
        <f t="shared" si="44"/>
        <v>73757</v>
      </c>
      <c r="G152" s="1012">
        <f t="shared" si="45"/>
        <v>258725</v>
      </c>
      <c r="H152" s="933" t="e">
        <f t="shared" si="46"/>
        <v>#N/A</v>
      </c>
      <c r="I152" s="1486">
        <f t="shared" si="47"/>
        <v>0</v>
      </c>
      <c r="J152" s="1006">
        <f>IFERROR(G152*VLOOKUP(W152,livestock_intensity!$B$7:$I$29,8,FALSE)/Z152,0)</f>
        <v>0</v>
      </c>
      <c r="K152" s="933" t="e">
        <f>VLOOKUP($W152,feed_mix_n,MATCH(K$5,feed_mix_w!$B$5:$AC$5,0),FALSE)/$Z152*VLOOKUP(K$5,feed_intensity_w,11,FALSE)</f>
        <v>#N/A</v>
      </c>
      <c r="L152" s="1486">
        <f t="shared" si="48"/>
        <v>0</v>
      </c>
      <c r="M152" s="1447">
        <f>IFERROR(G152*VLOOKUP(W152,livestock_intensity!$B$7:$M$29,12,FALSE)/Z152,0)</f>
        <v>0</v>
      </c>
      <c r="N152" s="933" t="e">
        <f>VLOOKUP($W152,feed_mix_n,MATCH(N$5,feed_mix_w!$B$5:$AC$5,0),FALSE)/$Z152*VLOOKUP(N$5,feed_intensity_w,11,FALSE)</f>
        <v>#N/A</v>
      </c>
      <c r="O152" s="1486">
        <f t="shared" si="49"/>
        <v>0</v>
      </c>
      <c r="P152" s="939">
        <f>IFERROR(G152*VLOOKUP(W152,livestock_intensity!$B$7:$Q$29,16,FALSE)/Z152,0)</f>
        <v>0</v>
      </c>
      <c r="Q152" s="1530"/>
      <c r="R152" s="900">
        <f t="shared" si="50"/>
        <v>0</v>
      </c>
      <c r="S152" s="900">
        <f t="shared" si="51"/>
        <v>0</v>
      </c>
      <c r="T152" s="1483">
        <v>2749</v>
      </c>
      <c r="U152" s="1211" t="s">
        <v>2921</v>
      </c>
      <c r="V152" s="1212">
        <f>IFERROR(VLOOKUP(W152,constant_ag_extr!$D$7:$E$594,2,FALSE),"")</f>
        <v>0</v>
      </c>
      <c r="W152" s="1213" t="str">
        <f t="shared" si="52"/>
        <v/>
      </c>
      <c r="X152" s="1099">
        <f>IFERROR(IF(VLOOKUP(B152,cnst_grazing!$C$10:$H$25,5,FALSE)="", IF(VLOOKUP(B152, cnst_grazing!$C$10:$H$25,3,FALSE)="", VLOOKUP(B152, cnst_grazing!$C$10:$H$25,4,FALSE),VLOOKUP(B152, cnst_grazing!$C$10:$H$25,3,FALSE)), VLOOKUP(B152,cnst_grazing!$C$10:$H$25,5,FALSE)),1)</f>
        <v>1</v>
      </c>
      <c r="Y152" s="1099">
        <f>IFERROR(IF(VLOOKUP(B152,cnst_grazing!$C$10:$H$25,6,FALSE)="", IF(VLOOKUP(B152, cnst_grazing!$C$10:$H$25,4,FALSE)="", VLOOKUP(B152, cnst_grazing!$C$10:$H$25,3,FALSE),VLOOKUP(B152, cnst_grazing!$C$10:$H$25,4,FALSE)), VLOOKUP(B152,cnst_grazing!$C$10:$H$25,6,FALSE)),1)</f>
        <v>1</v>
      </c>
      <c r="Z152" s="937">
        <f t="shared" si="53"/>
        <v>1</v>
      </c>
      <c r="AA152" s="1487" t="e">
        <f t="shared" si="54"/>
        <v>#N/A</v>
      </c>
      <c r="AB152" s="933" t="e">
        <f>VLOOKUP($W152,feed_mix_n,MATCH(AB$5,feed_mix_w!$B$5:$AC$5,0),FALSE)/$Z152*VLOOKUP(AB$5,feed_intensity_w,11,FALSE)</f>
        <v>#N/A</v>
      </c>
      <c r="AC152" s="933" t="e">
        <f>VLOOKUP($W152,feed_mix_n,MATCH(AC$5,feed_mix_w!$B$5:$AC$5,0),FALSE)/$Z152*VLOOKUP(AC$5,feed_intensity_w,11,FALSE)</f>
        <v>#N/A</v>
      </c>
      <c r="AD152" s="933" t="e">
        <f>VLOOKUP($W152,feed_mix_n,MATCH(AD$5,feed_mix_w!$B$5:$AC$5,0),FALSE)/$Z152*VLOOKUP(AD$5,feed_intensity_w,11,FALSE)</f>
        <v>#N/A</v>
      </c>
      <c r="AE152" s="933" t="e">
        <f>VLOOKUP($W152,feed_mix_n,MATCH(AE$5,feed_mix_w!$B$5:$AC$5,0),FALSE)/$Z152*VLOOKUP(AE$5,feed_intensity_w,11,FALSE)</f>
        <v>#N/A</v>
      </c>
      <c r="AF152" s="933" t="e">
        <f>VLOOKUP($W152,feed_mix_n,MATCH(AF$5,feed_mix_w!$B$5:$AC$5,0),FALSE)/$Z152*VLOOKUP(AF$5,feed_intensity_w,11,FALSE)</f>
        <v>#N/A</v>
      </c>
      <c r="AG152" s="933" t="e">
        <f>VLOOKUP($W152,feed_mix_n,MATCH(AG$5,feed_mix_w!$B$5:$AC$5,0),FALSE)/$Z152*VLOOKUP(AG$5,feed_intensity_w,11,FALSE)</f>
        <v>#N/A</v>
      </c>
      <c r="AH152" s="933" t="e">
        <f>VLOOKUP($W152,feed_mix_n,MATCH(AH$5,feed_mix_w!$B$5:$AC$5,0),FALSE)/$Z152*VLOOKUP(AH$5,feed_intensity_w,11,FALSE)</f>
        <v>#N/A</v>
      </c>
      <c r="AI152" s="933" t="e">
        <f>VLOOKUP($W152,feed_mix_n,MATCH(AI$5,feed_mix_w!$B$5:$AC$5,0),FALSE)/$Z152*VLOOKUP(AI$5,feed_intensity_w,11,FALSE)</f>
        <v>#N/A</v>
      </c>
      <c r="AJ152" s="933" t="e">
        <f>VLOOKUP($W152,feed_mix_n,MATCH(AJ$5,feed_mix_w!$B$5:$AC$5,0),FALSE)/$Z152*VLOOKUP(AJ$5,feed_intensity_w,11,FALSE)</f>
        <v>#N/A</v>
      </c>
      <c r="AK152" s="933" t="e">
        <f>VLOOKUP($W152,feed_mix_n,MATCH(AK$5,feed_mix_w!$B$5:$AC$5,0),FALSE)/$Z152*VLOOKUP(AK$5,feed_intensity_w,11,FALSE)</f>
        <v>#N/A</v>
      </c>
      <c r="AL152" s="933" t="e">
        <f>VLOOKUP($W152,feed_mix_n,MATCH(AL$5,feed_mix_w!$B$5:$AC$5,0),FALSE)/$Z152*VLOOKUP(AL$5,feed_intensity_w,11,FALSE)</f>
        <v>#N/A</v>
      </c>
      <c r="AM152" s="933" t="e">
        <f>VLOOKUP($W152,feed_mix_n,MATCH(AM$5,feed_mix_w!$B$5:$AC$5,0),FALSE)/$Z152*VLOOKUP(AM$5,feed_intensity_w,11,FALSE)</f>
        <v>#N/A</v>
      </c>
      <c r="AN152" s="933" t="e">
        <f>VLOOKUP($W152,feed_mix_n,MATCH(AN$5,feed_mix_w!$B$5:$AC$5,0),FALSE)/$Z152*VLOOKUP(AN$5,feed_intensity_w,11,FALSE)</f>
        <v>#N/A</v>
      </c>
      <c r="AO152" s="933" t="e">
        <f>VLOOKUP($W152,feed_mix_n,MATCH(AO$5,feed_mix_w!$B$5:$AC$5,0),FALSE)/$Z152*VLOOKUP(AO$5,feed_intensity_w,11,FALSE)</f>
        <v>#N/A</v>
      </c>
      <c r="AP152" s="933" t="e">
        <f>VLOOKUP($W152,feed_mix_n,MATCH(AP$5,feed_mix_w!$B$5:$AC$5,0),FALSE)/$Z152*VLOOKUP(AP$5,feed_intensity_w,11,FALSE)</f>
        <v>#N/A</v>
      </c>
      <c r="AQ152" s="933" t="e">
        <f>VLOOKUP($W152,feed_mix_n,MATCH(AQ$5,feed_mix_w!$B$5:$AC$5,0),FALSE)/$Z152*VLOOKUP(AQ$5,feed_intensity_w,11,FALSE)</f>
        <v>#N/A</v>
      </c>
      <c r="AR152" s="933" t="e">
        <f>VLOOKUP($W152,feed_mix_n,MATCH(AR$5,feed_mix_w!$B$5:$AC$5,0),FALSE)/$Z152*VLOOKUP(AR$5,feed_intensity_w,11,FALSE)</f>
        <v>#N/A</v>
      </c>
      <c r="AS152" s="1105" t="e">
        <f>VLOOKUP($W152,feed_mix_n,MATCH(AS$5,feed_mix_w!$B$5:$AC$5,0),FALSE)/$Z152*VLOOKUP(AS$5,feed_intensity_w,11,FALSE)</f>
        <v>#N/A</v>
      </c>
    </row>
    <row r="153" spans="1:45" ht="12.75" customHeight="1">
      <c r="A153" s="1008" t="s">
        <v>1476</v>
      </c>
      <c r="B153" s="1102">
        <v>1181</v>
      </c>
      <c r="C153" s="1103" t="s">
        <v>1477</v>
      </c>
      <c r="D153" s="1158">
        <v>209</v>
      </c>
      <c r="E153" s="1158">
        <v>0</v>
      </c>
      <c r="F153" s="1012">
        <f t="shared" si="44"/>
        <v>209</v>
      </c>
      <c r="G153" s="1012">
        <f t="shared" si="45"/>
        <v>0</v>
      </c>
      <c r="H153" s="933" t="e">
        <f t="shared" si="46"/>
        <v>#N/A</v>
      </c>
      <c r="I153" s="1486">
        <f t="shared" si="47"/>
        <v>0</v>
      </c>
      <c r="J153" s="1006">
        <f>IFERROR(G153*VLOOKUP(W153,livestock_intensity!$B$7:$I$29,8,FALSE)/Z153,0)</f>
        <v>0</v>
      </c>
      <c r="K153" s="933" t="e">
        <f>VLOOKUP($W153,feed_mix_n,MATCH(K$5,feed_mix_w!$B$5:$AC$5,0),FALSE)/$Z153*VLOOKUP(K$5,feed_intensity_w,11,FALSE)</f>
        <v>#N/A</v>
      </c>
      <c r="L153" s="1486">
        <f t="shared" si="48"/>
        <v>0</v>
      </c>
      <c r="M153" s="1447">
        <f>IFERROR(G153*VLOOKUP(W153,livestock_intensity!$B$7:$M$29,12,FALSE)/Z153,0)</f>
        <v>0</v>
      </c>
      <c r="N153" s="933" t="e">
        <f>VLOOKUP($W153,feed_mix_n,MATCH(N$5,feed_mix_w!$B$5:$AC$5,0),FALSE)/$Z153*VLOOKUP(N$5,feed_intensity_w,11,FALSE)</f>
        <v>#N/A</v>
      </c>
      <c r="O153" s="1486">
        <f t="shared" si="49"/>
        <v>0</v>
      </c>
      <c r="P153" s="939">
        <f>IFERROR(G153*VLOOKUP(W153,livestock_intensity!$B$7:$Q$29,16,FALSE)/Z153,0)</f>
        <v>0</v>
      </c>
      <c r="Q153" s="1530"/>
      <c r="R153" s="900">
        <f t="shared" si="50"/>
        <v>0</v>
      </c>
      <c r="S153" s="900">
        <f t="shared" si="51"/>
        <v>0</v>
      </c>
      <c r="T153" s="1483" t="s">
        <v>2862</v>
      </c>
      <c r="U153" s="1211" t="s">
        <v>2921</v>
      </c>
      <c r="V153" s="1212">
        <f>IFERROR(VLOOKUP(W153,constant_ag_extr!$D$7:$E$594,2,FALSE),"")</f>
        <v>0</v>
      </c>
      <c r="W153" s="1213" t="str">
        <f t="shared" si="52"/>
        <v/>
      </c>
      <c r="X153" s="1099">
        <f>IFERROR(IF(VLOOKUP(B153,cnst_grazing!$C$10:$H$25,5,FALSE)="", IF(VLOOKUP(B153, cnst_grazing!$C$10:$H$25,3,FALSE)="", VLOOKUP(B153, cnst_grazing!$C$10:$H$25,4,FALSE),VLOOKUP(B153, cnst_grazing!$C$10:$H$25,3,FALSE)), VLOOKUP(B153,cnst_grazing!$C$10:$H$25,5,FALSE)),1)</f>
        <v>1</v>
      </c>
      <c r="Y153" s="1099">
        <f>IFERROR(IF(VLOOKUP(B153,cnst_grazing!$C$10:$H$25,6,FALSE)="", IF(VLOOKUP(B153, cnst_grazing!$C$10:$H$25,4,FALSE)="", VLOOKUP(B153, cnst_grazing!$C$10:$H$25,3,FALSE),VLOOKUP(B153, cnst_grazing!$C$10:$H$25,4,FALSE)), VLOOKUP(B153,cnst_grazing!$C$10:$H$25,6,FALSE)),1)</f>
        <v>1</v>
      </c>
      <c r="Z153" s="937" t="str">
        <f t="shared" si="53"/>
        <v>-</v>
      </c>
      <c r="AA153" s="1487" t="e">
        <f t="shared" si="54"/>
        <v>#N/A</v>
      </c>
      <c r="AB153" s="933" t="e">
        <f>VLOOKUP($W153,feed_mix_n,MATCH(AB$5,feed_mix_w!$B$5:$AC$5,0),FALSE)/$Z153*VLOOKUP(AB$5,feed_intensity_w,11,FALSE)</f>
        <v>#N/A</v>
      </c>
      <c r="AC153" s="933" t="e">
        <f>VLOOKUP($W153,feed_mix_n,MATCH(AC$5,feed_mix_w!$B$5:$AC$5,0),FALSE)/$Z153*VLOOKUP(AC$5,feed_intensity_w,11,FALSE)</f>
        <v>#N/A</v>
      </c>
      <c r="AD153" s="933" t="e">
        <f>VLOOKUP($W153,feed_mix_n,MATCH(AD$5,feed_mix_w!$B$5:$AC$5,0),FALSE)/$Z153*VLOOKUP(AD$5,feed_intensity_w,11,FALSE)</f>
        <v>#N/A</v>
      </c>
      <c r="AE153" s="933" t="e">
        <f>VLOOKUP($W153,feed_mix_n,MATCH(AE$5,feed_mix_w!$B$5:$AC$5,0),FALSE)/$Z153*VLOOKUP(AE$5,feed_intensity_w,11,FALSE)</f>
        <v>#N/A</v>
      </c>
      <c r="AF153" s="933" t="e">
        <f>VLOOKUP($W153,feed_mix_n,MATCH(AF$5,feed_mix_w!$B$5:$AC$5,0),FALSE)/$Z153*VLOOKUP(AF$5,feed_intensity_w,11,FALSE)</f>
        <v>#N/A</v>
      </c>
      <c r="AG153" s="933" t="e">
        <f>VLOOKUP($W153,feed_mix_n,MATCH(AG$5,feed_mix_w!$B$5:$AC$5,0),FALSE)/$Z153*VLOOKUP(AG$5,feed_intensity_w,11,FALSE)</f>
        <v>#N/A</v>
      </c>
      <c r="AH153" s="933" t="e">
        <f>VLOOKUP($W153,feed_mix_n,MATCH(AH$5,feed_mix_w!$B$5:$AC$5,0),FALSE)/$Z153*VLOOKUP(AH$5,feed_intensity_w,11,FALSE)</f>
        <v>#N/A</v>
      </c>
      <c r="AI153" s="933" t="e">
        <f>VLOOKUP($W153,feed_mix_n,MATCH(AI$5,feed_mix_w!$B$5:$AC$5,0),FALSE)/$Z153*VLOOKUP(AI$5,feed_intensity_w,11,FALSE)</f>
        <v>#N/A</v>
      </c>
      <c r="AJ153" s="933" t="e">
        <f>VLOOKUP($W153,feed_mix_n,MATCH(AJ$5,feed_mix_w!$B$5:$AC$5,0),FALSE)/$Z153*VLOOKUP(AJ$5,feed_intensity_w,11,FALSE)</f>
        <v>#N/A</v>
      </c>
      <c r="AK153" s="933" t="e">
        <f>VLOOKUP($W153,feed_mix_n,MATCH(AK$5,feed_mix_w!$B$5:$AC$5,0),FALSE)/$Z153*VLOOKUP(AK$5,feed_intensity_w,11,FALSE)</f>
        <v>#N/A</v>
      </c>
      <c r="AL153" s="933" t="e">
        <f>VLOOKUP($W153,feed_mix_n,MATCH(AL$5,feed_mix_w!$B$5:$AC$5,0),FALSE)/$Z153*VLOOKUP(AL$5,feed_intensity_w,11,FALSE)</f>
        <v>#N/A</v>
      </c>
      <c r="AM153" s="933" t="e">
        <f>VLOOKUP($W153,feed_mix_n,MATCH(AM$5,feed_mix_w!$B$5:$AC$5,0),FALSE)/$Z153*VLOOKUP(AM$5,feed_intensity_w,11,FALSE)</f>
        <v>#N/A</v>
      </c>
      <c r="AN153" s="933" t="e">
        <f>VLOOKUP($W153,feed_mix_n,MATCH(AN$5,feed_mix_w!$B$5:$AC$5,0),FALSE)/$Z153*VLOOKUP(AN$5,feed_intensity_w,11,FALSE)</f>
        <v>#N/A</v>
      </c>
      <c r="AO153" s="933" t="e">
        <f>VLOOKUP($W153,feed_mix_n,MATCH(AO$5,feed_mix_w!$B$5:$AC$5,0),FALSE)/$Z153*VLOOKUP(AO$5,feed_intensity_w,11,FALSE)</f>
        <v>#N/A</v>
      </c>
      <c r="AP153" s="933" t="e">
        <f>VLOOKUP($W153,feed_mix_n,MATCH(AP$5,feed_mix_w!$B$5:$AC$5,0),FALSE)/$Z153*VLOOKUP(AP$5,feed_intensity_w,11,FALSE)</f>
        <v>#N/A</v>
      </c>
      <c r="AQ153" s="933" t="e">
        <f>VLOOKUP($W153,feed_mix_n,MATCH(AQ$5,feed_mix_w!$B$5:$AC$5,0),FALSE)/$Z153*VLOOKUP(AQ$5,feed_intensity_w,11,FALSE)</f>
        <v>#N/A</v>
      </c>
      <c r="AR153" s="933" t="e">
        <f>VLOOKUP($W153,feed_mix_n,MATCH(AR$5,feed_mix_w!$B$5:$AC$5,0),FALSE)/$Z153*VLOOKUP(AR$5,feed_intensity_w,11,FALSE)</f>
        <v>#N/A</v>
      </c>
      <c r="AS153" s="1105" t="e">
        <f>VLOOKUP($W153,feed_mix_n,MATCH(AS$5,feed_mix_w!$B$5:$AC$5,0),FALSE)/$Z153*VLOOKUP(AS$5,feed_intensity_w,11,FALSE)</f>
        <v>#N/A</v>
      </c>
    </row>
    <row r="154" spans="1:45" ht="12.75" customHeight="1">
      <c r="A154" s="1008" t="s">
        <v>6199</v>
      </c>
      <c r="B154" s="1102">
        <v>1182</v>
      </c>
      <c r="C154" s="1103"/>
      <c r="D154" s="1158">
        <v>152845</v>
      </c>
      <c r="E154" s="1158">
        <v>6208</v>
      </c>
      <c r="F154" s="1012">
        <f t="shared" si="44"/>
        <v>152845</v>
      </c>
      <c r="G154" s="1012">
        <f t="shared" si="45"/>
        <v>6208</v>
      </c>
      <c r="H154" s="933" t="e">
        <f t="shared" si="46"/>
        <v>#N/A</v>
      </c>
      <c r="I154" s="1486">
        <f t="shared" si="47"/>
        <v>0</v>
      </c>
      <c r="J154" s="1006">
        <f>IFERROR(G154*VLOOKUP(W154,livestock_intensity!$B$7:$I$29,8,FALSE)/Z154,0)</f>
        <v>0</v>
      </c>
      <c r="K154" s="933" t="e">
        <f>VLOOKUP($W154,feed_mix_n,MATCH(K$5,feed_mix_w!$B$5:$AC$5,0),FALSE)/$Z154*VLOOKUP(K$5,feed_intensity_w,11,FALSE)</f>
        <v>#N/A</v>
      </c>
      <c r="L154" s="1486">
        <f t="shared" si="48"/>
        <v>0</v>
      </c>
      <c r="M154" s="1447">
        <f>IFERROR(G154*VLOOKUP(W154,livestock_intensity!$B$7:$M$29,12,FALSE)/Z154,0)</f>
        <v>0</v>
      </c>
      <c r="N154" s="933" t="e">
        <f>VLOOKUP($W154,feed_mix_n,MATCH(N$5,feed_mix_w!$B$5:$AC$5,0),FALSE)/$Z154*VLOOKUP(N$5,feed_intensity_w,11,FALSE)</f>
        <v>#N/A</v>
      </c>
      <c r="O154" s="1486">
        <f t="shared" si="49"/>
        <v>0</v>
      </c>
      <c r="P154" s="939">
        <f>IFERROR(G154*VLOOKUP(W154,livestock_intensity!$B$7:$Q$29,16,FALSE)/Z154,0)</f>
        <v>0</v>
      </c>
      <c r="Q154" s="1530"/>
      <c r="R154" s="900">
        <f t="shared" si="50"/>
        <v>0</v>
      </c>
      <c r="S154" s="900">
        <f t="shared" si="51"/>
        <v>0</v>
      </c>
      <c r="T154" s="1483">
        <v>2745</v>
      </c>
      <c r="U154" s="1211"/>
      <c r="V154" s="1212">
        <f>IFERROR(VLOOKUP(W154,constant_ag_extr!$D$7:$E$594,2,FALSE),"")</f>
        <v>0</v>
      </c>
      <c r="W154" s="1213" t="str">
        <f t="shared" si="52"/>
        <v/>
      </c>
      <c r="X154" s="1099">
        <f>IFERROR(IF(VLOOKUP(B154,cnst_grazing!$C$10:$H$25,5,FALSE)="", IF(VLOOKUP(B154, cnst_grazing!$C$10:$H$25,3,FALSE)="", VLOOKUP(B154, cnst_grazing!$C$10:$H$25,4,FALSE),VLOOKUP(B154, cnst_grazing!$C$10:$H$25,3,FALSE)), VLOOKUP(B154,cnst_grazing!$C$10:$H$25,5,FALSE)),1)</f>
        <v>1</v>
      </c>
      <c r="Y154" s="1099">
        <f>IFERROR(IF(VLOOKUP(B154,cnst_grazing!$C$10:$H$25,6,FALSE)="", IF(VLOOKUP(B154, cnst_grazing!$C$10:$H$25,4,FALSE)="", VLOOKUP(B154, cnst_grazing!$C$10:$H$25,3,FALSE),VLOOKUP(B154, cnst_grazing!$C$10:$H$25,4,FALSE)), VLOOKUP(B154,cnst_grazing!$C$10:$H$25,6,FALSE)),1)</f>
        <v>1</v>
      </c>
      <c r="Z154" s="937">
        <f t="shared" si="53"/>
        <v>1</v>
      </c>
      <c r="AA154" s="1487" t="e">
        <f t="shared" si="54"/>
        <v>#N/A</v>
      </c>
      <c r="AB154" s="933" t="e">
        <f>VLOOKUP($W154,feed_mix_n,MATCH(AB$5,feed_mix_w!$B$5:$AC$5,0),FALSE)/$Z154*VLOOKUP(AB$5,feed_intensity_w,11,FALSE)</f>
        <v>#N/A</v>
      </c>
      <c r="AC154" s="933" t="e">
        <f>VLOOKUP($W154,feed_mix_n,MATCH(AC$5,feed_mix_w!$B$5:$AC$5,0),FALSE)/$Z154*VLOOKUP(AC$5,feed_intensity_w,11,FALSE)</f>
        <v>#N/A</v>
      </c>
      <c r="AD154" s="933" t="e">
        <f>VLOOKUP($W154,feed_mix_n,MATCH(AD$5,feed_mix_w!$B$5:$AC$5,0),FALSE)/$Z154*VLOOKUP(AD$5,feed_intensity_w,11,FALSE)</f>
        <v>#N/A</v>
      </c>
      <c r="AE154" s="933" t="e">
        <f>VLOOKUP($W154,feed_mix_n,MATCH(AE$5,feed_mix_w!$B$5:$AC$5,0),FALSE)/$Z154*VLOOKUP(AE$5,feed_intensity_w,11,FALSE)</f>
        <v>#N/A</v>
      </c>
      <c r="AF154" s="933" t="e">
        <f>VLOOKUP($W154,feed_mix_n,MATCH(AF$5,feed_mix_w!$B$5:$AC$5,0),FALSE)/$Z154*VLOOKUP(AF$5,feed_intensity_w,11,FALSE)</f>
        <v>#N/A</v>
      </c>
      <c r="AG154" s="933" t="e">
        <f>VLOOKUP($W154,feed_mix_n,MATCH(AG$5,feed_mix_w!$B$5:$AC$5,0),FALSE)/$Z154*VLOOKUP(AG$5,feed_intensity_w,11,FALSE)</f>
        <v>#N/A</v>
      </c>
      <c r="AH154" s="933" t="e">
        <f>VLOOKUP($W154,feed_mix_n,MATCH(AH$5,feed_mix_w!$B$5:$AC$5,0),FALSE)/$Z154*VLOOKUP(AH$5,feed_intensity_w,11,FALSE)</f>
        <v>#N/A</v>
      </c>
      <c r="AI154" s="933" t="e">
        <f>VLOOKUP($W154,feed_mix_n,MATCH(AI$5,feed_mix_w!$B$5:$AC$5,0),FALSE)/$Z154*VLOOKUP(AI$5,feed_intensity_w,11,FALSE)</f>
        <v>#N/A</v>
      </c>
      <c r="AJ154" s="933" t="e">
        <f>VLOOKUP($W154,feed_mix_n,MATCH(AJ$5,feed_mix_w!$B$5:$AC$5,0),FALSE)/$Z154*VLOOKUP(AJ$5,feed_intensity_w,11,FALSE)</f>
        <v>#N/A</v>
      </c>
      <c r="AK154" s="933" t="e">
        <f>VLOOKUP($W154,feed_mix_n,MATCH(AK$5,feed_mix_w!$B$5:$AC$5,0),FALSE)/$Z154*VLOOKUP(AK$5,feed_intensity_w,11,FALSE)</f>
        <v>#N/A</v>
      </c>
      <c r="AL154" s="933" t="e">
        <f>VLOOKUP($W154,feed_mix_n,MATCH(AL$5,feed_mix_w!$B$5:$AC$5,0),FALSE)/$Z154*VLOOKUP(AL$5,feed_intensity_w,11,FALSE)</f>
        <v>#N/A</v>
      </c>
      <c r="AM154" s="933" t="e">
        <f>VLOOKUP($W154,feed_mix_n,MATCH(AM$5,feed_mix_w!$B$5:$AC$5,0),FALSE)/$Z154*VLOOKUP(AM$5,feed_intensity_w,11,FALSE)</f>
        <v>#N/A</v>
      </c>
      <c r="AN154" s="933" t="e">
        <f>VLOOKUP($W154,feed_mix_n,MATCH(AN$5,feed_mix_w!$B$5:$AC$5,0),FALSE)/$Z154*VLOOKUP(AN$5,feed_intensity_w,11,FALSE)</f>
        <v>#N/A</v>
      </c>
      <c r="AO154" s="933" t="e">
        <f>VLOOKUP($W154,feed_mix_n,MATCH(AO$5,feed_mix_w!$B$5:$AC$5,0),FALSE)/$Z154*VLOOKUP(AO$5,feed_intensity_w,11,FALSE)</f>
        <v>#N/A</v>
      </c>
      <c r="AP154" s="933" t="e">
        <f>VLOOKUP($W154,feed_mix_n,MATCH(AP$5,feed_mix_w!$B$5:$AC$5,0),FALSE)/$Z154*VLOOKUP(AP$5,feed_intensity_w,11,FALSE)</f>
        <v>#N/A</v>
      </c>
      <c r="AQ154" s="933" t="e">
        <f>VLOOKUP($W154,feed_mix_n,MATCH(AQ$5,feed_mix_w!$B$5:$AC$5,0),FALSE)/$Z154*VLOOKUP(AQ$5,feed_intensity_w,11,FALSE)</f>
        <v>#N/A</v>
      </c>
      <c r="AR154" s="933" t="e">
        <f>VLOOKUP($W154,feed_mix_n,MATCH(AR$5,feed_mix_w!$B$5:$AC$5,0),FALSE)/$Z154*VLOOKUP(AR$5,feed_intensity_w,11,FALSE)</f>
        <v>#N/A</v>
      </c>
      <c r="AS154" s="1105" t="e">
        <f>VLOOKUP($W154,feed_mix_n,MATCH(AS$5,feed_mix_w!$B$5:$AC$5,0),FALSE)/$Z154*VLOOKUP(AS$5,feed_intensity_w,11,FALSE)</f>
        <v>#N/A</v>
      </c>
    </row>
    <row r="155" spans="1:45" ht="12.75" customHeight="1">
      <c r="A155" s="1008" t="s">
        <v>1478</v>
      </c>
      <c r="B155" s="1102">
        <v>1183</v>
      </c>
      <c r="C155" s="1103" t="s">
        <v>3635</v>
      </c>
      <c r="D155" s="1158">
        <v>3462</v>
      </c>
      <c r="E155" s="1158">
        <v>1970</v>
      </c>
      <c r="F155" s="1012">
        <f t="shared" si="44"/>
        <v>3462</v>
      </c>
      <c r="G155" s="1012">
        <f t="shared" si="45"/>
        <v>1970</v>
      </c>
      <c r="H155" s="933" t="e">
        <f t="shared" si="46"/>
        <v>#N/A</v>
      </c>
      <c r="I155" s="1486">
        <f t="shared" si="47"/>
        <v>0</v>
      </c>
      <c r="J155" s="1006">
        <f>IFERROR(G155*VLOOKUP(W155,livestock_intensity!$B$7:$I$29,8,FALSE)/Z155,0)</f>
        <v>0</v>
      </c>
      <c r="K155" s="933" t="e">
        <f>VLOOKUP($W155,feed_mix_n,MATCH(K$5,feed_mix_w!$B$5:$AC$5,0),FALSE)/$Z155*VLOOKUP(K$5,feed_intensity_w,11,FALSE)</f>
        <v>#N/A</v>
      </c>
      <c r="L155" s="1486">
        <f t="shared" si="48"/>
        <v>0</v>
      </c>
      <c r="M155" s="1447">
        <f>IFERROR(G155*VLOOKUP(W155,livestock_intensity!$B$7:$M$29,12,FALSE)/Z155,0)</f>
        <v>0</v>
      </c>
      <c r="N155" s="933" t="e">
        <f>VLOOKUP($W155,feed_mix_n,MATCH(N$5,feed_mix_w!$B$5:$AC$5,0),FALSE)/$Z155*VLOOKUP(N$5,feed_intensity_w,11,FALSE)</f>
        <v>#N/A</v>
      </c>
      <c r="O155" s="1486">
        <f t="shared" si="49"/>
        <v>0</v>
      </c>
      <c r="P155" s="939">
        <f>IFERROR(G155*VLOOKUP(W155,livestock_intensity!$B$7:$Q$29,16,FALSE)/Z155,0)</f>
        <v>0</v>
      </c>
      <c r="Q155" s="1530"/>
      <c r="R155" s="900">
        <f t="shared" si="50"/>
        <v>0</v>
      </c>
      <c r="S155" s="900">
        <f t="shared" si="51"/>
        <v>0</v>
      </c>
      <c r="T155" s="1483" t="s">
        <v>2862</v>
      </c>
      <c r="U155" s="1211" t="s">
        <v>2921</v>
      </c>
      <c r="V155" s="1212" t="str">
        <f>IFERROR(VLOOKUP(W155,constant_ag_extr!$D$7:$E$594,2,FALSE),"")</f>
        <v>Beeswax</v>
      </c>
      <c r="W155" s="1213">
        <f t="shared" si="52"/>
        <v>1183</v>
      </c>
      <c r="X155" s="1099">
        <f>IFERROR(IF(VLOOKUP(B155,cnst_grazing!$C$10:$H$25,5,FALSE)="", IF(VLOOKUP(B155, cnst_grazing!$C$10:$H$25,3,FALSE)="", VLOOKUP(B155, cnst_grazing!$C$10:$H$25,4,FALSE),VLOOKUP(B155, cnst_grazing!$C$10:$H$25,3,FALSE)), VLOOKUP(B155,cnst_grazing!$C$10:$H$25,5,FALSE)),1)</f>
        <v>1</v>
      </c>
      <c r="Y155" s="1099">
        <f>IFERROR(IF(VLOOKUP(B155,cnst_grazing!$C$10:$H$25,6,FALSE)="", IF(VLOOKUP(B155, cnst_grazing!$C$10:$H$25,4,FALSE)="", VLOOKUP(B155, cnst_grazing!$C$10:$H$25,3,FALSE),VLOOKUP(B155, cnst_grazing!$C$10:$H$25,4,FALSE)), VLOOKUP(B155,cnst_grazing!$C$10:$H$25,6,FALSE)),1)</f>
        <v>1</v>
      </c>
      <c r="Z155" s="937">
        <f t="shared" si="53"/>
        <v>1</v>
      </c>
      <c r="AA155" s="1487" t="e">
        <f t="shared" si="54"/>
        <v>#N/A</v>
      </c>
      <c r="AB155" s="933" t="e">
        <f>VLOOKUP($W155,feed_mix_n,MATCH(AB$5,feed_mix_w!$B$5:$AC$5,0),FALSE)/$Z155*VLOOKUP(AB$5,feed_intensity_w,11,FALSE)</f>
        <v>#N/A</v>
      </c>
      <c r="AC155" s="933" t="e">
        <f>VLOOKUP($W155,feed_mix_n,MATCH(AC$5,feed_mix_w!$B$5:$AC$5,0),FALSE)/$Z155*VLOOKUP(AC$5,feed_intensity_w,11,FALSE)</f>
        <v>#N/A</v>
      </c>
      <c r="AD155" s="933" t="e">
        <f>VLOOKUP($W155,feed_mix_n,MATCH(AD$5,feed_mix_w!$B$5:$AC$5,0),FALSE)/$Z155*VLOOKUP(AD$5,feed_intensity_w,11,FALSE)</f>
        <v>#N/A</v>
      </c>
      <c r="AE155" s="933" t="e">
        <f>VLOOKUP($W155,feed_mix_n,MATCH(AE$5,feed_mix_w!$B$5:$AC$5,0),FALSE)/$Z155*VLOOKUP(AE$5,feed_intensity_w,11,FALSE)</f>
        <v>#N/A</v>
      </c>
      <c r="AF155" s="933" t="e">
        <f>VLOOKUP($W155,feed_mix_n,MATCH(AF$5,feed_mix_w!$B$5:$AC$5,0),FALSE)/$Z155*VLOOKUP(AF$5,feed_intensity_w,11,FALSE)</f>
        <v>#N/A</v>
      </c>
      <c r="AG155" s="933" t="e">
        <f>VLOOKUP($W155,feed_mix_n,MATCH(AG$5,feed_mix_w!$B$5:$AC$5,0),FALSE)/$Z155*VLOOKUP(AG$5,feed_intensity_w,11,FALSE)</f>
        <v>#N/A</v>
      </c>
      <c r="AH155" s="933" t="e">
        <f>VLOOKUP($W155,feed_mix_n,MATCH(AH$5,feed_mix_w!$B$5:$AC$5,0),FALSE)/$Z155*VLOOKUP(AH$5,feed_intensity_w,11,FALSE)</f>
        <v>#N/A</v>
      </c>
      <c r="AI155" s="933" t="e">
        <f>VLOOKUP($W155,feed_mix_n,MATCH(AI$5,feed_mix_w!$B$5:$AC$5,0),FALSE)/$Z155*VLOOKUP(AI$5,feed_intensity_w,11,FALSE)</f>
        <v>#N/A</v>
      </c>
      <c r="AJ155" s="933" t="e">
        <f>VLOOKUP($W155,feed_mix_n,MATCH(AJ$5,feed_mix_w!$B$5:$AC$5,0),FALSE)/$Z155*VLOOKUP(AJ$5,feed_intensity_w,11,FALSE)</f>
        <v>#N/A</v>
      </c>
      <c r="AK155" s="933" t="e">
        <f>VLOOKUP($W155,feed_mix_n,MATCH(AK$5,feed_mix_w!$B$5:$AC$5,0),FALSE)/$Z155*VLOOKUP(AK$5,feed_intensity_w,11,FALSE)</f>
        <v>#N/A</v>
      </c>
      <c r="AL155" s="933" t="e">
        <f>VLOOKUP($W155,feed_mix_n,MATCH(AL$5,feed_mix_w!$B$5:$AC$5,0),FALSE)/$Z155*VLOOKUP(AL$5,feed_intensity_w,11,FALSE)</f>
        <v>#N/A</v>
      </c>
      <c r="AM155" s="933" t="e">
        <f>VLOOKUP($W155,feed_mix_n,MATCH(AM$5,feed_mix_w!$B$5:$AC$5,0),FALSE)/$Z155*VLOOKUP(AM$5,feed_intensity_w,11,FALSE)</f>
        <v>#N/A</v>
      </c>
      <c r="AN155" s="933" t="e">
        <f>VLOOKUP($W155,feed_mix_n,MATCH(AN$5,feed_mix_w!$B$5:$AC$5,0),FALSE)/$Z155*VLOOKUP(AN$5,feed_intensity_w,11,FALSE)</f>
        <v>#N/A</v>
      </c>
      <c r="AO155" s="933" t="e">
        <f>VLOOKUP($W155,feed_mix_n,MATCH(AO$5,feed_mix_w!$B$5:$AC$5,0),FALSE)/$Z155*VLOOKUP(AO$5,feed_intensity_w,11,FALSE)</f>
        <v>#N/A</v>
      </c>
      <c r="AP155" s="933" t="e">
        <f>VLOOKUP($W155,feed_mix_n,MATCH(AP$5,feed_mix_w!$B$5:$AC$5,0),FALSE)/$Z155*VLOOKUP(AP$5,feed_intensity_w,11,FALSE)</f>
        <v>#N/A</v>
      </c>
      <c r="AQ155" s="933" t="e">
        <f>VLOOKUP($W155,feed_mix_n,MATCH(AQ$5,feed_mix_w!$B$5:$AC$5,0),FALSE)/$Z155*VLOOKUP(AQ$5,feed_intensity_w,11,FALSE)</f>
        <v>#N/A</v>
      </c>
      <c r="AR155" s="933" t="e">
        <f>VLOOKUP($W155,feed_mix_n,MATCH(AR$5,feed_mix_w!$B$5:$AC$5,0),FALSE)/$Z155*VLOOKUP(AR$5,feed_intensity_w,11,FALSE)</f>
        <v>#N/A</v>
      </c>
      <c r="AS155" s="1105" t="e">
        <f>VLOOKUP($W155,feed_mix_n,MATCH(AS$5,feed_mix_w!$B$5:$AC$5,0),FALSE)/$Z155*VLOOKUP(AS$5,feed_intensity_w,11,FALSE)</f>
        <v>#N/A</v>
      </c>
    </row>
    <row r="156" spans="1:45" ht="12.75" customHeight="1">
      <c r="A156" s="1008" t="s">
        <v>1958</v>
      </c>
      <c r="B156" s="1102">
        <v>1185</v>
      </c>
      <c r="C156" s="1103" t="s">
        <v>2087</v>
      </c>
      <c r="D156" s="1158">
        <v>0</v>
      </c>
      <c r="E156" s="1158">
        <v>50</v>
      </c>
      <c r="F156" s="1012">
        <f t="shared" si="44"/>
        <v>0</v>
      </c>
      <c r="G156" s="1012">
        <f t="shared" si="45"/>
        <v>50</v>
      </c>
      <c r="H156" s="933" t="e">
        <f t="shared" si="46"/>
        <v>#N/A</v>
      </c>
      <c r="I156" s="1486">
        <f t="shared" si="47"/>
        <v>0</v>
      </c>
      <c r="J156" s="1006">
        <f>IFERROR(G156*VLOOKUP(W156,livestock_intensity!$B$7:$I$29,8,FALSE)/Z156,0)</f>
        <v>0</v>
      </c>
      <c r="K156" s="933" t="e">
        <f>VLOOKUP($W156,feed_mix_n,MATCH(K$5,feed_mix_w!$B$5:$AC$5,0),FALSE)/$Z156*VLOOKUP(K$5,feed_intensity_w,11,FALSE)</f>
        <v>#N/A</v>
      </c>
      <c r="L156" s="1486">
        <f t="shared" si="48"/>
        <v>0</v>
      </c>
      <c r="M156" s="1447">
        <f>IFERROR(G156*VLOOKUP(W156,livestock_intensity!$B$7:$M$29,12,FALSE)/Z156,0)</f>
        <v>0</v>
      </c>
      <c r="N156" s="933" t="e">
        <f>VLOOKUP($W156,feed_mix_n,MATCH(N$5,feed_mix_w!$B$5:$AC$5,0),FALSE)/$Z156*VLOOKUP(N$5,feed_intensity_w,11,FALSE)</f>
        <v>#N/A</v>
      </c>
      <c r="O156" s="1486">
        <f t="shared" si="49"/>
        <v>0</v>
      </c>
      <c r="P156" s="939">
        <f>IFERROR(G156*VLOOKUP(W156,livestock_intensity!$B$7:$Q$29,16,FALSE)/Z156,0)</f>
        <v>0</v>
      </c>
      <c r="Q156" s="1530"/>
      <c r="R156" s="900">
        <f t="shared" si="50"/>
        <v>0</v>
      </c>
      <c r="S156" s="900">
        <f t="shared" si="51"/>
        <v>0</v>
      </c>
      <c r="T156" s="1483" t="s">
        <v>2862</v>
      </c>
      <c r="U156" s="1211" t="s">
        <v>2921</v>
      </c>
      <c r="V156" s="1212">
        <f>IFERROR(VLOOKUP(W156,constant_ag_extr!$D$7:$E$594,2,FALSE),"")</f>
        <v>0</v>
      </c>
      <c r="W156" s="1213" t="str">
        <f t="shared" si="52"/>
        <v/>
      </c>
      <c r="X156" s="1099">
        <f>IFERROR(IF(VLOOKUP(B156,cnst_grazing!$C$10:$H$25,5,FALSE)="", IF(VLOOKUP(B156, cnst_grazing!$C$10:$H$25,3,FALSE)="", VLOOKUP(B156, cnst_grazing!$C$10:$H$25,4,FALSE),VLOOKUP(B156, cnst_grazing!$C$10:$H$25,3,FALSE)), VLOOKUP(B156,cnst_grazing!$C$10:$H$25,5,FALSE)),1)</f>
        <v>1</v>
      </c>
      <c r="Y156" s="1099">
        <f>IFERROR(IF(VLOOKUP(B156,cnst_grazing!$C$10:$H$25,6,FALSE)="", IF(VLOOKUP(B156, cnst_grazing!$C$10:$H$25,4,FALSE)="", VLOOKUP(B156, cnst_grazing!$C$10:$H$25,3,FALSE),VLOOKUP(B156, cnst_grazing!$C$10:$H$25,4,FALSE)), VLOOKUP(B156,cnst_grazing!$C$10:$H$25,6,FALSE)),1)</f>
        <v>1</v>
      </c>
      <c r="Z156" s="937">
        <f t="shared" si="53"/>
        <v>1</v>
      </c>
      <c r="AA156" s="1487" t="e">
        <f t="shared" si="54"/>
        <v>#N/A</v>
      </c>
      <c r="AB156" s="933" t="e">
        <f>VLOOKUP($W156,feed_mix_n,MATCH(AB$5,feed_mix_w!$B$5:$AC$5,0),FALSE)/$Z156*VLOOKUP(AB$5,feed_intensity_w,11,FALSE)</f>
        <v>#N/A</v>
      </c>
      <c r="AC156" s="933" t="e">
        <f>VLOOKUP($W156,feed_mix_n,MATCH(AC$5,feed_mix_w!$B$5:$AC$5,0),FALSE)/$Z156*VLOOKUP(AC$5,feed_intensity_w,11,FALSE)</f>
        <v>#N/A</v>
      </c>
      <c r="AD156" s="933" t="e">
        <f>VLOOKUP($W156,feed_mix_n,MATCH(AD$5,feed_mix_w!$B$5:$AC$5,0),FALSE)/$Z156*VLOOKUP(AD$5,feed_intensity_w,11,FALSE)</f>
        <v>#N/A</v>
      </c>
      <c r="AE156" s="933" t="e">
        <f>VLOOKUP($W156,feed_mix_n,MATCH(AE$5,feed_mix_w!$B$5:$AC$5,0),FALSE)/$Z156*VLOOKUP(AE$5,feed_intensity_w,11,FALSE)</f>
        <v>#N/A</v>
      </c>
      <c r="AF156" s="933" t="e">
        <f>VLOOKUP($W156,feed_mix_n,MATCH(AF$5,feed_mix_w!$B$5:$AC$5,0),FALSE)/$Z156*VLOOKUP(AF$5,feed_intensity_w,11,FALSE)</f>
        <v>#N/A</v>
      </c>
      <c r="AG156" s="933" t="e">
        <f>VLOOKUP($W156,feed_mix_n,MATCH(AG$5,feed_mix_w!$B$5:$AC$5,0),FALSE)/$Z156*VLOOKUP(AG$5,feed_intensity_w,11,FALSE)</f>
        <v>#N/A</v>
      </c>
      <c r="AH156" s="933" t="e">
        <f>VLOOKUP($W156,feed_mix_n,MATCH(AH$5,feed_mix_w!$B$5:$AC$5,0),FALSE)/$Z156*VLOOKUP(AH$5,feed_intensity_w,11,FALSE)</f>
        <v>#N/A</v>
      </c>
      <c r="AI156" s="933" t="e">
        <f>VLOOKUP($W156,feed_mix_n,MATCH(AI$5,feed_mix_w!$B$5:$AC$5,0),FALSE)/$Z156*VLOOKUP(AI$5,feed_intensity_w,11,FALSE)</f>
        <v>#N/A</v>
      </c>
      <c r="AJ156" s="933" t="e">
        <f>VLOOKUP($W156,feed_mix_n,MATCH(AJ$5,feed_mix_w!$B$5:$AC$5,0),FALSE)/$Z156*VLOOKUP(AJ$5,feed_intensity_w,11,FALSE)</f>
        <v>#N/A</v>
      </c>
      <c r="AK156" s="933" t="e">
        <f>VLOOKUP($W156,feed_mix_n,MATCH(AK$5,feed_mix_w!$B$5:$AC$5,0),FALSE)/$Z156*VLOOKUP(AK$5,feed_intensity_w,11,FALSE)</f>
        <v>#N/A</v>
      </c>
      <c r="AL156" s="933" t="e">
        <f>VLOOKUP($W156,feed_mix_n,MATCH(AL$5,feed_mix_w!$B$5:$AC$5,0),FALSE)/$Z156*VLOOKUP(AL$5,feed_intensity_w,11,FALSE)</f>
        <v>#N/A</v>
      </c>
      <c r="AM156" s="933" t="e">
        <f>VLOOKUP($W156,feed_mix_n,MATCH(AM$5,feed_mix_w!$B$5:$AC$5,0),FALSE)/$Z156*VLOOKUP(AM$5,feed_intensity_w,11,FALSE)</f>
        <v>#N/A</v>
      </c>
      <c r="AN156" s="933" t="e">
        <f>VLOOKUP($W156,feed_mix_n,MATCH(AN$5,feed_mix_w!$B$5:$AC$5,0),FALSE)/$Z156*VLOOKUP(AN$5,feed_intensity_w,11,FALSE)</f>
        <v>#N/A</v>
      </c>
      <c r="AO156" s="933" t="e">
        <f>VLOOKUP($W156,feed_mix_n,MATCH(AO$5,feed_mix_w!$B$5:$AC$5,0),FALSE)/$Z156*VLOOKUP(AO$5,feed_intensity_w,11,FALSE)</f>
        <v>#N/A</v>
      </c>
      <c r="AP156" s="933" t="e">
        <f>VLOOKUP($W156,feed_mix_n,MATCH(AP$5,feed_mix_w!$B$5:$AC$5,0),FALSE)/$Z156*VLOOKUP(AP$5,feed_intensity_w,11,FALSE)</f>
        <v>#N/A</v>
      </c>
      <c r="AQ156" s="933" t="e">
        <f>VLOOKUP($W156,feed_mix_n,MATCH(AQ$5,feed_mix_w!$B$5:$AC$5,0),FALSE)/$Z156*VLOOKUP(AQ$5,feed_intensity_w,11,FALSE)</f>
        <v>#N/A</v>
      </c>
      <c r="AR156" s="933" t="e">
        <f>VLOOKUP($W156,feed_mix_n,MATCH(AR$5,feed_mix_w!$B$5:$AC$5,0),FALSE)/$Z156*VLOOKUP(AR$5,feed_intensity_w,11,FALSE)</f>
        <v>#N/A</v>
      </c>
      <c r="AS156" s="1105" t="e">
        <f>VLOOKUP($W156,feed_mix_n,MATCH(AS$5,feed_mix_w!$B$5:$AC$5,0),FALSE)/$Z156*VLOOKUP(AS$5,feed_intensity_w,11,FALSE)</f>
        <v>#N/A</v>
      </c>
    </row>
    <row r="157" spans="1:45" ht="12.75" customHeight="1">
      <c r="A157" s="1008" t="s">
        <v>7426</v>
      </c>
      <c r="B157" s="1102">
        <v>1186</v>
      </c>
      <c r="C157" s="1103">
        <v>5002</v>
      </c>
      <c r="D157" s="1158">
        <v>5</v>
      </c>
      <c r="E157" s="1158">
        <v>858</v>
      </c>
      <c r="F157" s="1012">
        <f t="shared" si="44"/>
        <v>5</v>
      </c>
      <c r="G157" s="1012">
        <f t="shared" si="45"/>
        <v>858</v>
      </c>
      <c r="H157" s="933" t="e">
        <f t="shared" si="46"/>
        <v>#N/A</v>
      </c>
      <c r="I157" s="1486">
        <f t="shared" si="47"/>
        <v>0</v>
      </c>
      <c r="J157" s="1006">
        <f>IFERROR(G157*VLOOKUP(W157,livestock_intensity!$B$7:$I$29,8,FALSE)/Z157,0)</f>
        <v>0</v>
      </c>
      <c r="K157" s="933" t="e">
        <f>VLOOKUP($W157,feed_mix_n,MATCH(K$5,feed_mix_w!$B$5:$AC$5,0),FALSE)/$Z157*VLOOKUP(K$5,feed_intensity_w,11,FALSE)</f>
        <v>#N/A</v>
      </c>
      <c r="L157" s="1486">
        <f t="shared" si="48"/>
        <v>0</v>
      </c>
      <c r="M157" s="1447">
        <f>IFERROR(G157*VLOOKUP(W157,livestock_intensity!$B$7:$M$29,12,FALSE)/Z157,0)</f>
        <v>0</v>
      </c>
      <c r="N157" s="933" t="e">
        <f>VLOOKUP($W157,feed_mix_n,MATCH(N$5,feed_mix_w!$B$5:$AC$5,0),FALSE)/$Z157*VLOOKUP(N$5,feed_intensity_w,11,FALSE)</f>
        <v>#N/A</v>
      </c>
      <c r="O157" s="1486">
        <f t="shared" si="49"/>
        <v>0</v>
      </c>
      <c r="P157" s="939">
        <f>IFERROR(G157*VLOOKUP(W157,livestock_intensity!$B$7:$Q$29,16,FALSE)/Z157,0)</f>
        <v>0</v>
      </c>
      <c r="Q157" s="1530"/>
      <c r="R157" s="900">
        <f t="shared" si="50"/>
        <v>0</v>
      </c>
      <c r="S157" s="900">
        <f t="shared" si="51"/>
        <v>0</v>
      </c>
      <c r="T157" s="1483" t="s">
        <v>2862</v>
      </c>
      <c r="U157" s="1211" t="s">
        <v>2921</v>
      </c>
      <c r="V157" s="1212">
        <f>IFERROR(VLOOKUP(W157,constant_ag_extr!$D$7:$E$594,2,FALSE),"")</f>
        <v>0</v>
      </c>
      <c r="W157" s="1213" t="str">
        <f t="shared" si="52"/>
        <v/>
      </c>
      <c r="X157" s="1099">
        <f>IFERROR(IF(VLOOKUP(B157,cnst_grazing!$C$10:$H$25,5,FALSE)="", IF(VLOOKUP(B157, cnst_grazing!$C$10:$H$25,3,FALSE)="", VLOOKUP(B157, cnst_grazing!$C$10:$H$25,4,FALSE),VLOOKUP(B157, cnst_grazing!$C$10:$H$25,3,FALSE)), VLOOKUP(B157,cnst_grazing!$C$10:$H$25,5,FALSE)),1)</f>
        <v>1</v>
      </c>
      <c r="Y157" s="1099">
        <f>IFERROR(IF(VLOOKUP(B157,cnst_grazing!$C$10:$H$25,6,FALSE)="", IF(VLOOKUP(B157, cnst_grazing!$C$10:$H$25,4,FALSE)="", VLOOKUP(B157, cnst_grazing!$C$10:$H$25,3,FALSE),VLOOKUP(B157, cnst_grazing!$C$10:$H$25,4,FALSE)), VLOOKUP(B157,cnst_grazing!$C$10:$H$25,6,FALSE)),1)</f>
        <v>1</v>
      </c>
      <c r="Z157" s="937">
        <f t="shared" si="53"/>
        <v>1</v>
      </c>
      <c r="AA157" s="1487" t="e">
        <f t="shared" si="54"/>
        <v>#N/A</v>
      </c>
      <c r="AB157" s="933" t="e">
        <f>VLOOKUP($W157,feed_mix_n,MATCH(AB$5,feed_mix_w!$B$5:$AC$5,0),FALSE)/$Z157*VLOOKUP(AB$5,feed_intensity_w,11,FALSE)</f>
        <v>#N/A</v>
      </c>
      <c r="AC157" s="933" t="e">
        <f>VLOOKUP($W157,feed_mix_n,MATCH(AC$5,feed_mix_w!$B$5:$AC$5,0),FALSE)/$Z157*VLOOKUP(AC$5,feed_intensity_w,11,FALSE)</f>
        <v>#N/A</v>
      </c>
      <c r="AD157" s="933" t="e">
        <f>VLOOKUP($W157,feed_mix_n,MATCH(AD$5,feed_mix_w!$B$5:$AC$5,0),FALSE)/$Z157*VLOOKUP(AD$5,feed_intensity_w,11,FALSE)</f>
        <v>#N/A</v>
      </c>
      <c r="AE157" s="933" t="e">
        <f>VLOOKUP($W157,feed_mix_n,MATCH(AE$5,feed_mix_w!$B$5:$AC$5,0),FALSE)/$Z157*VLOOKUP(AE$5,feed_intensity_w,11,FALSE)</f>
        <v>#N/A</v>
      </c>
      <c r="AF157" s="933" t="e">
        <f>VLOOKUP($W157,feed_mix_n,MATCH(AF$5,feed_mix_w!$B$5:$AC$5,0),FALSE)/$Z157*VLOOKUP(AF$5,feed_intensity_w,11,FALSE)</f>
        <v>#N/A</v>
      </c>
      <c r="AG157" s="933" t="e">
        <f>VLOOKUP($W157,feed_mix_n,MATCH(AG$5,feed_mix_w!$B$5:$AC$5,0),FALSE)/$Z157*VLOOKUP(AG$5,feed_intensity_w,11,FALSE)</f>
        <v>#N/A</v>
      </c>
      <c r="AH157" s="933" t="e">
        <f>VLOOKUP($W157,feed_mix_n,MATCH(AH$5,feed_mix_w!$B$5:$AC$5,0),FALSE)/$Z157*VLOOKUP(AH$5,feed_intensity_w,11,FALSE)</f>
        <v>#N/A</v>
      </c>
      <c r="AI157" s="933" t="e">
        <f>VLOOKUP($W157,feed_mix_n,MATCH(AI$5,feed_mix_w!$B$5:$AC$5,0),FALSE)/$Z157*VLOOKUP(AI$5,feed_intensity_w,11,FALSE)</f>
        <v>#N/A</v>
      </c>
      <c r="AJ157" s="933" t="e">
        <f>VLOOKUP($W157,feed_mix_n,MATCH(AJ$5,feed_mix_w!$B$5:$AC$5,0),FALSE)/$Z157*VLOOKUP(AJ$5,feed_intensity_w,11,FALSE)</f>
        <v>#N/A</v>
      </c>
      <c r="AK157" s="933" t="e">
        <f>VLOOKUP($W157,feed_mix_n,MATCH(AK$5,feed_mix_w!$B$5:$AC$5,0),FALSE)/$Z157*VLOOKUP(AK$5,feed_intensity_w,11,FALSE)</f>
        <v>#N/A</v>
      </c>
      <c r="AL157" s="933" t="e">
        <f>VLOOKUP($W157,feed_mix_n,MATCH(AL$5,feed_mix_w!$B$5:$AC$5,0),FALSE)/$Z157*VLOOKUP(AL$5,feed_intensity_w,11,FALSE)</f>
        <v>#N/A</v>
      </c>
      <c r="AM157" s="933" t="e">
        <f>VLOOKUP($W157,feed_mix_n,MATCH(AM$5,feed_mix_w!$B$5:$AC$5,0),FALSE)/$Z157*VLOOKUP(AM$5,feed_intensity_w,11,FALSE)</f>
        <v>#N/A</v>
      </c>
      <c r="AN157" s="933" t="e">
        <f>VLOOKUP($W157,feed_mix_n,MATCH(AN$5,feed_mix_w!$B$5:$AC$5,0),FALSE)/$Z157*VLOOKUP(AN$5,feed_intensity_w,11,FALSE)</f>
        <v>#N/A</v>
      </c>
      <c r="AO157" s="933" t="e">
        <f>VLOOKUP($W157,feed_mix_n,MATCH(AO$5,feed_mix_w!$B$5:$AC$5,0),FALSE)/$Z157*VLOOKUP(AO$5,feed_intensity_w,11,FALSE)</f>
        <v>#N/A</v>
      </c>
      <c r="AP157" s="933" t="e">
        <f>VLOOKUP($W157,feed_mix_n,MATCH(AP$5,feed_mix_w!$B$5:$AC$5,0),FALSE)/$Z157*VLOOKUP(AP$5,feed_intensity_w,11,FALSE)</f>
        <v>#N/A</v>
      </c>
      <c r="AQ157" s="933" t="e">
        <f>VLOOKUP($W157,feed_mix_n,MATCH(AQ$5,feed_mix_w!$B$5:$AC$5,0),FALSE)/$Z157*VLOOKUP(AQ$5,feed_intensity_w,11,FALSE)</f>
        <v>#N/A</v>
      </c>
      <c r="AR157" s="933" t="e">
        <f>VLOOKUP($W157,feed_mix_n,MATCH(AR$5,feed_mix_w!$B$5:$AC$5,0),FALSE)/$Z157*VLOOKUP(AR$5,feed_intensity_w,11,FALSE)</f>
        <v>#N/A</v>
      </c>
      <c r="AS157" s="1105" t="e">
        <f>VLOOKUP($W157,feed_mix_n,MATCH(AS$5,feed_mix_w!$B$5:$AC$5,0),FALSE)/$Z157*VLOOKUP(AS$5,feed_intensity_w,11,FALSE)</f>
        <v>#N/A</v>
      </c>
    </row>
    <row r="158" spans="1:45" ht="12.75" customHeight="1">
      <c r="A158" s="1008" t="s">
        <v>7427</v>
      </c>
      <c r="B158" s="1102">
        <v>1187</v>
      </c>
      <c r="C158" s="1103">
        <v>5003</v>
      </c>
      <c r="D158" s="1158">
        <v>18</v>
      </c>
      <c r="E158" s="1158">
        <v>296</v>
      </c>
      <c r="F158" s="1012">
        <f t="shared" si="44"/>
        <v>18</v>
      </c>
      <c r="G158" s="1012">
        <f t="shared" si="45"/>
        <v>296</v>
      </c>
      <c r="H158" s="933" t="e">
        <f t="shared" si="46"/>
        <v>#N/A</v>
      </c>
      <c r="I158" s="1486">
        <f t="shared" si="47"/>
        <v>0</v>
      </c>
      <c r="J158" s="1006">
        <f>IFERROR(G158*VLOOKUP(W158,livestock_intensity!$B$7:$I$29,8,FALSE)/Z158,0)</f>
        <v>0</v>
      </c>
      <c r="K158" s="933" t="e">
        <f>VLOOKUP($W158,feed_mix_n,MATCH(K$5,feed_mix_w!$B$5:$AC$5,0),FALSE)/$Z158*VLOOKUP(K$5,feed_intensity_w,11,FALSE)</f>
        <v>#N/A</v>
      </c>
      <c r="L158" s="1486">
        <f t="shared" si="48"/>
        <v>0</v>
      </c>
      <c r="M158" s="1447">
        <f>IFERROR(G158*VLOOKUP(W158,livestock_intensity!$B$7:$M$29,12,FALSE)/Z158,0)</f>
        <v>0</v>
      </c>
      <c r="N158" s="933" t="e">
        <f>VLOOKUP($W158,feed_mix_n,MATCH(N$5,feed_mix_w!$B$5:$AC$5,0),FALSE)/$Z158*VLOOKUP(N$5,feed_intensity_w,11,FALSE)</f>
        <v>#N/A</v>
      </c>
      <c r="O158" s="1486">
        <f t="shared" si="49"/>
        <v>0</v>
      </c>
      <c r="P158" s="939">
        <f>IFERROR(G158*VLOOKUP(W158,livestock_intensity!$B$7:$Q$29,16,FALSE)/Z158,0)</f>
        <v>0</v>
      </c>
      <c r="Q158" s="1530"/>
      <c r="R158" s="900">
        <f t="shared" si="50"/>
        <v>0</v>
      </c>
      <c r="S158" s="900">
        <f t="shared" si="51"/>
        <v>0</v>
      </c>
      <c r="T158" s="1483" t="s">
        <v>2862</v>
      </c>
      <c r="U158" s="1211" t="s">
        <v>2921</v>
      </c>
      <c r="V158" s="1212">
        <f>IFERROR(VLOOKUP(W158,constant_ag_extr!$D$7:$E$594,2,FALSE),"")</f>
        <v>0</v>
      </c>
      <c r="W158" s="1213" t="str">
        <f t="shared" si="52"/>
        <v/>
      </c>
      <c r="X158" s="1099">
        <f>IFERROR(IF(VLOOKUP(B158,cnst_grazing!$C$10:$H$25,5,FALSE)="", IF(VLOOKUP(B158, cnst_grazing!$C$10:$H$25,3,FALSE)="", VLOOKUP(B158, cnst_grazing!$C$10:$H$25,4,FALSE),VLOOKUP(B158, cnst_grazing!$C$10:$H$25,3,FALSE)), VLOOKUP(B158,cnst_grazing!$C$10:$H$25,5,FALSE)),1)</f>
        <v>1</v>
      </c>
      <c r="Y158" s="1099">
        <f>IFERROR(IF(VLOOKUP(B158,cnst_grazing!$C$10:$H$25,6,FALSE)="", IF(VLOOKUP(B158, cnst_grazing!$C$10:$H$25,4,FALSE)="", VLOOKUP(B158, cnst_grazing!$C$10:$H$25,3,FALSE),VLOOKUP(B158, cnst_grazing!$C$10:$H$25,4,FALSE)), VLOOKUP(B158,cnst_grazing!$C$10:$H$25,6,FALSE)),1)</f>
        <v>1</v>
      </c>
      <c r="Z158" s="937">
        <f t="shared" si="53"/>
        <v>1</v>
      </c>
      <c r="AA158" s="1487" t="e">
        <f t="shared" si="54"/>
        <v>#N/A</v>
      </c>
      <c r="AB158" s="933" t="e">
        <f>VLOOKUP($W158,feed_mix_n,MATCH(AB$5,feed_mix_w!$B$5:$AC$5,0),FALSE)/$Z158*VLOOKUP(AB$5,feed_intensity_w,11,FALSE)</f>
        <v>#N/A</v>
      </c>
      <c r="AC158" s="933" t="e">
        <f>VLOOKUP($W158,feed_mix_n,MATCH(AC$5,feed_mix_w!$B$5:$AC$5,0),FALSE)/$Z158*VLOOKUP(AC$5,feed_intensity_w,11,FALSE)</f>
        <v>#N/A</v>
      </c>
      <c r="AD158" s="933" t="e">
        <f>VLOOKUP($W158,feed_mix_n,MATCH(AD$5,feed_mix_w!$B$5:$AC$5,0),FALSE)/$Z158*VLOOKUP(AD$5,feed_intensity_w,11,FALSE)</f>
        <v>#N/A</v>
      </c>
      <c r="AE158" s="933" t="e">
        <f>VLOOKUP($W158,feed_mix_n,MATCH(AE$5,feed_mix_w!$B$5:$AC$5,0),FALSE)/$Z158*VLOOKUP(AE$5,feed_intensity_w,11,FALSE)</f>
        <v>#N/A</v>
      </c>
      <c r="AF158" s="933" t="e">
        <f>VLOOKUP($W158,feed_mix_n,MATCH(AF$5,feed_mix_w!$B$5:$AC$5,0),FALSE)/$Z158*VLOOKUP(AF$5,feed_intensity_w,11,FALSE)</f>
        <v>#N/A</v>
      </c>
      <c r="AG158" s="933" t="e">
        <f>VLOOKUP($W158,feed_mix_n,MATCH(AG$5,feed_mix_w!$B$5:$AC$5,0),FALSE)/$Z158*VLOOKUP(AG$5,feed_intensity_w,11,FALSE)</f>
        <v>#N/A</v>
      </c>
      <c r="AH158" s="933" t="e">
        <f>VLOOKUP($W158,feed_mix_n,MATCH(AH$5,feed_mix_w!$B$5:$AC$5,0),FALSE)/$Z158*VLOOKUP(AH$5,feed_intensity_w,11,FALSE)</f>
        <v>#N/A</v>
      </c>
      <c r="AI158" s="933" t="e">
        <f>VLOOKUP($W158,feed_mix_n,MATCH(AI$5,feed_mix_w!$B$5:$AC$5,0),FALSE)/$Z158*VLOOKUP(AI$5,feed_intensity_w,11,FALSE)</f>
        <v>#N/A</v>
      </c>
      <c r="AJ158" s="933" t="e">
        <f>VLOOKUP($W158,feed_mix_n,MATCH(AJ$5,feed_mix_w!$B$5:$AC$5,0),FALSE)/$Z158*VLOOKUP(AJ$5,feed_intensity_w,11,FALSE)</f>
        <v>#N/A</v>
      </c>
      <c r="AK158" s="933" t="e">
        <f>VLOOKUP($W158,feed_mix_n,MATCH(AK$5,feed_mix_w!$B$5:$AC$5,0),FALSE)/$Z158*VLOOKUP(AK$5,feed_intensity_w,11,FALSE)</f>
        <v>#N/A</v>
      </c>
      <c r="AL158" s="933" t="e">
        <f>VLOOKUP($W158,feed_mix_n,MATCH(AL$5,feed_mix_w!$B$5:$AC$5,0),FALSE)/$Z158*VLOOKUP(AL$5,feed_intensity_w,11,FALSE)</f>
        <v>#N/A</v>
      </c>
      <c r="AM158" s="933" t="e">
        <f>VLOOKUP($W158,feed_mix_n,MATCH(AM$5,feed_mix_w!$B$5:$AC$5,0),FALSE)/$Z158*VLOOKUP(AM$5,feed_intensity_w,11,FALSE)</f>
        <v>#N/A</v>
      </c>
      <c r="AN158" s="933" t="e">
        <f>VLOOKUP($W158,feed_mix_n,MATCH(AN$5,feed_mix_w!$B$5:$AC$5,0),FALSE)/$Z158*VLOOKUP(AN$5,feed_intensity_w,11,FALSE)</f>
        <v>#N/A</v>
      </c>
      <c r="AO158" s="933" t="e">
        <f>VLOOKUP($W158,feed_mix_n,MATCH(AO$5,feed_mix_w!$B$5:$AC$5,0),FALSE)/$Z158*VLOOKUP(AO$5,feed_intensity_w,11,FALSE)</f>
        <v>#N/A</v>
      </c>
      <c r="AP158" s="933" t="e">
        <f>VLOOKUP($W158,feed_mix_n,MATCH(AP$5,feed_mix_w!$B$5:$AC$5,0),FALSE)/$Z158*VLOOKUP(AP$5,feed_intensity_w,11,FALSE)</f>
        <v>#N/A</v>
      </c>
      <c r="AQ158" s="933" t="e">
        <f>VLOOKUP($W158,feed_mix_n,MATCH(AQ$5,feed_mix_w!$B$5:$AC$5,0),FALSE)/$Z158*VLOOKUP(AQ$5,feed_intensity_w,11,FALSE)</f>
        <v>#N/A</v>
      </c>
      <c r="AR158" s="933" t="e">
        <f>VLOOKUP($W158,feed_mix_n,MATCH(AR$5,feed_mix_w!$B$5:$AC$5,0),FALSE)/$Z158*VLOOKUP(AR$5,feed_intensity_w,11,FALSE)</f>
        <v>#N/A</v>
      </c>
      <c r="AS158" s="1105" t="e">
        <f>VLOOKUP($W158,feed_mix_n,MATCH(AS$5,feed_mix_w!$B$5:$AC$5,0),FALSE)/$Z158*VLOOKUP(AS$5,feed_intensity_w,11,FALSE)</f>
        <v>#N/A</v>
      </c>
    </row>
    <row r="159" spans="1:45" ht="12.75" customHeight="1">
      <c r="A159" s="1008" t="s">
        <v>2854</v>
      </c>
      <c r="B159" s="1102">
        <v>1195</v>
      </c>
      <c r="C159" s="1103" t="s">
        <v>2855</v>
      </c>
      <c r="D159" s="1158"/>
      <c r="E159" s="1158"/>
      <c r="F159" s="1012">
        <f t="shared" si="44"/>
        <v>0</v>
      </c>
      <c r="G159" s="1012">
        <f t="shared" si="45"/>
        <v>0</v>
      </c>
      <c r="H159" s="933" t="e">
        <f t="shared" si="46"/>
        <v>#N/A</v>
      </c>
      <c r="I159" s="1486">
        <f t="shared" si="47"/>
        <v>0</v>
      </c>
      <c r="J159" s="1006">
        <f>IFERROR(G159*VLOOKUP(W159,livestock_intensity!$B$7:$I$29,8,FALSE)/Z159,0)</f>
        <v>0</v>
      </c>
      <c r="K159" s="933" t="e">
        <f>VLOOKUP($W159,feed_mix_n,MATCH(K$5,feed_mix_w!$B$5:$AC$5,0),FALSE)/$Z159*VLOOKUP(K$5,feed_intensity_w,11,FALSE)</f>
        <v>#N/A</v>
      </c>
      <c r="L159" s="1486">
        <f t="shared" si="48"/>
        <v>0</v>
      </c>
      <c r="M159" s="1447">
        <f>IFERROR(G159*VLOOKUP(W159,livestock_intensity!$B$7:$M$29,12,FALSE)/Z159,0)</f>
        <v>0</v>
      </c>
      <c r="N159" s="933" t="e">
        <f>VLOOKUP($W159,feed_mix_n,MATCH(N$5,feed_mix_w!$B$5:$AC$5,0),FALSE)/$Z159*VLOOKUP(N$5,feed_intensity_w,11,FALSE)</f>
        <v>#N/A</v>
      </c>
      <c r="O159" s="1486">
        <f t="shared" si="49"/>
        <v>0</v>
      </c>
      <c r="P159" s="939">
        <f>IFERROR(G159*VLOOKUP(W159,livestock_intensity!$B$7:$Q$29,16,FALSE)/Z159,0)</f>
        <v>0</v>
      </c>
      <c r="Q159" s="1530"/>
      <c r="R159" s="900">
        <f t="shared" si="50"/>
        <v>0</v>
      </c>
      <c r="S159" s="900">
        <f t="shared" si="51"/>
        <v>0</v>
      </c>
      <c r="T159" s="1483" t="s">
        <v>2862</v>
      </c>
      <c r="U159" s="1211" t="s">
        <v>2921</v>
      </c>
      <c r="V159" s="1212">
        <f>IFERROR(VLOOKUP(W159,constant_ag_extr!$D$7:$E$594,2,FALSE),"")</f>
        <v>0</v>
      </c>
      <c r="W159" s="1213" t="str">
        <f t="shared" si="52"/>
        <v/>
      </c>
      <c r="X159" s="1099">
        <f>IFERROR(IF(VLOOKUP(B159,cnst_grazing!$C$10:$H$25,5,FALSE)="", IF(VLOOKUP(B159, cnst_grazing!$C$10:$H$25,3,FALSE)="", VLOOKUP(B159, cnst_grazing!$C$10:$H$25,4,FALSE),VLOOKUP(B159, cnst_grazing!$C$10:$H$25,3,FALSE)), VLOOKUP(B159,cnst_grazing!$C$10:$H$25,5,FALSE)),1)</f>
        <v>1</v>
      </c>
      <c r="Y159" s="1099">
        <f>IFERROR(IF(VLOOKUP(B159,cnst_grazing!$C$10:$H$25,6,FALSE)="", IF(VLOOKUP(B159, cnst_grazing!$C$10:$H$25,4,FALSE)="", VLOOKUP(B159, cnst_grazing!$C$10:$H$25,3,FALSE),VLOOKUP(B159, cnst_grazing!$C$10:$H$25,4,FALSE)), VLOOKUP(B159,cnst_grazing!$C$10:$H$25,6,FALSE)),1)</f>
        <v>1</v>
      </c>
      <c r="Z159" s="937">
        <f t="shared" si="53"/>
        <v>1</v>
      </c>
      <c r="AA159" s="1487" t="e">
        <f t="shared" si="54"/>
        <v>#N/A</v>
      </c>
      <c r="AB159" s="933" t="e">
        <f>VLOOKUP($W159,feed_mix_n,MATCH(AB$5,feed_mix_w!$B$5:$AC$5,0),FALSE)/$Z159*VLOOKUP(AB$5,feed_intensity_w,11,FALSE)</f>
        <v>#N/A</v>
      </c>
      <c r="AC159" s="933" t="e">
        <f>VLOOKUP($W159,feed_mix_n,MATCH(AC$5,feed_mix_w!$B$5:$AC$5,0),FALSE)/$Z159*VLOOKUP(AC$5,feed_intensity_w,11,FALSE)</f>
        <v>#N/A</v>
      </c>
      <c r="AD159" s="933" t="e">
        <f>VLOOKUP($W159,feed_mix_n,MATCH(AD$5,feed_mix_w!$B$5:$AC$5,0),FALSE)/$Z159*VLOOKUP(AD$5,feed_intensity_w,11,FALSE)</f>
        <v>#N/A</v>
      </c>
      <c r="AE159" s="933" t="e">
        <f>VLOOKUP($W159,feed_mix_n,MATCH(AE$5,feed_mix_w!$B$5:$AC$5,0),FALSE)/$Z159*VLOOKUP(AE$5,feed_intensity_w,11,FALSE)</f>
        <v>#N/A</v>
      </c>
      <c r="AF159" s="933" t="e">
        <f>VLOOKUP($W159,feed_mix_n,MATCH(AF$5,feed_mix_w!$B$5:$AC$5,0),FALSE)/$Z159*VLOOKUP(AF$5,feed_intensity_w,11,FALSE)</f>
        <v>#N/A</v>
      </c>
      <c r="AG159" s="933" t="e">
        <f>VLOOKUP($W159,feed_mix_n,MATCH(AG$5,feed_mix_w!$B$5:$AC$5,0),FALSE)/$Z159*VLOOKUP(AG$5,feed_intensity_w,11,FALSE)</f>
        <v>#N/A</v>
      </c>
      <c r="AH159" s="933" t="e">
        <f>VLOOKUP($W159,feed_mix_n,MATCH(AH$5,feed_mix_w!$B$5:$AC$5,0),FALSE)/$Z159*VLOOKUP(AH$5,feed_intensity_w,11,FALSE)</f>
        <v>#N/A</v>
      </c>
      <c r="AI159" s="933" t="e">
        <f>VLOOKUP($W159,feed_mix_n,MATCH(AI$5,feed_mix_w!$B$5:$AC$5,0),FALSE)/$Z159*VLOOKUP(AI$5,feed_intensity_w,11,FALSE)</f>
        <v>#N/A</v>
      </c>
      <c r="AJ159" s="933" t="e">
        <f>VLOOKUP($W159,feed_mix_n,MATCH(AJ$5,feed_mix_w!$B$5:$AC$5,0),FALSE)/$Z159*VLOOKUP(AJ$5,feed_intensity_w,11,FALSE)</f>
        <v>#N/A</v>
      </c>
      <c r="AK159" s="933" t="e">
        <f>VLOOKUP($W159,feed_mix_n,MATCH(AK$5,feed_mix_w!$B$5:$AC$5,0),FALSE)/$Z159*VLOOKUP(AK$5,feed_intensity_w,11,FALSE)</f>
        <v>#N/A</v>
      </c>
      <c r="AL159" s="933" t="e">
        <f>VLOOKUP($W159,feed_mix_n,MATCH(AL$5,feed_mix_w!$B$5:$AC$5,0),FALSE)/$Z159*VLOOKUP(AL$5,feed_intensity_w,11,FALSE)</f>
        <v>#N/A</v>
      </c>
      <c r="AM159" s="933" t="e">
        <f>VLOOKUP($W159,feed_mix_n,MATCH(AM$5,feed_mix_w!$B$5:$AC$5,0),FALSE)/$Z159*VLOOKUP(AM$5,feed_intensity_w,11,FALSE)</f>
        <v>#N/A</v>
      </c>
      <c r="AN159" s="933" t="e">
        <f>VLOOKUP($W159,feed_mix_n,MATCH(AN$5,feed_mix_w!$B$5:$AC$5,0),FALSE)/$Z159*VLOOKUP(AN$5,feed_intensity_w,11,FALSE)</f>
        <v>#N/A</v>
      </c>
      <c r="AO159" s="933" t="e">
        <f>VLOOKUP($W159,feed_mix_n,MATCH(AO$5,feed_mix_w!$B$5:$AC$5,0),FALSE)/$Z159*VLOOKUP(AO$5,feed_intensity_w,11,FALSE)</f>
        <v>#N/A</v>
      </c>
      <c r="AP159" s="933" t="e">
        <f>VLOOKUP($W159,feed_mix_n,MATCH(AP$5,feed_mix_w!$B$5:$AC$5,0),FALSE)/$Z159*VLOOKUP(AP$5,feed_intensity_w,11,FALSE)</f>
        <v>#N/A</v>
      </c>
      <c r="AQ159" s="933" t="e">
        <f>VLOOKUP($W159,feed_mix_n,MATCH(AQ$5,feed_mix_w!$B$5:$AC$5,0),FALSE)/$Z159*VLOOKUP(AQ$5,feed_intensity_w,11,FALSE)</f>
        <v>#N/A</v>
      </c>
      <c r="AR159" s="933" t="e">
        <f>VLOOKUP($W159,feed_mix_n,MATCH(AR$5,feed_mix_w!$B$5:$AC$5,0),FALSE)/$Z159*VLOOKUP(AR$5,feed_intensity_w,11,FALSE)</f>
        <v>#N/A</v>
      </c>
      <c r="AS159" s="1105" t="e">
        <f>VLOOKUP($W159,feed_mix_n,MATCH(AS$5,feed_mix_w!$B$5:$AC$5,0),FALSE)/$Z159*VLOOKUP(AS$5,feed_intensity_w,11,FALSE)</f>
        <v>#N/A</v>
      </c>
    </row>
    <row r="160" spans="1:45" ht="12.75" customHeight="1">
      <c r="A160" s="1008" t="s">
        <v>7428</v>
      </c>
      <c r="B160" s="1102">
        <v>1213</v>
      </c>
      <c r="C160" s="1103"/>
      <c r="D160" s="1158"/>
      <c r="E160" s="1158"/>
      <c r="F160" s="1012">
        <f t="shared" si="44"/>
        <v>0</v>
      </c>
      <c r="G160" s="1012">
        <f t="shared" si="45"/>
        <v>0</v>
      </c>
      <c r="H160" s="933" t="e">
        <f t="shared" si="46"/>
        <v>#N/A</v>
      </c>
      <c r="I160" s="1486">
        <f t="shared" si="47"/>
        <v>0</v>
      </c>
      <c r="J160" s="1006">
        <f>IFERROR(G160*VLOOKUP(W160,livestock_intensity!$B$7:$I$29,8,FALSE)/Z160,0)</f>
        <v>0</v>
      </c>
      <c r="K160" s="933" t="e">
        <f>VLOOKUP($W160,feed_mix_n,MATCH(K$5,feed_mix_w!$B$5:$AC$5,0),FALSE)/$Z160*VLOOKUP(K$5,feed_intensity_w,11,FALSE)</f>
        <v>#N/A</v>
      </c>
      <c r="L160" s="1486">
        <f t="shared" si="48"/>
        <v>0</v>
      </c>
      <c r="M160" s="1447">
        <f>IFERROR(G160*VLOOKUP(W160,livestock_intensity!$B$7:$M$29,12,FALSE)/Z160,0)</f>
        <v>0</v>
      </c>
      <c r="N160" s="933" t="e">
        <f>VLOOKUP($W160,feed_mix_n,MATCH(N$5,feed_mix_w!$B$5:$AC$5,0),FALSE)/$Z160*VLOOKUP(N$5,feed_intensity_w,11,FALSE)</f>
        <v>#N/A</v>
      </c>
      <c r="O160" s="1486">
        <f t="shared" si="49"/>
        <v>0</v>
      </c>
      <c r="P160" s="939">
        <f>IFERROR(G160*VLOOKUP(W160,livestock_intensity!$B$7:$Q$29,16,FALSE)/Z160,0)</f>
        <v>0</v>
      </c>
      <c r="Q160" s="1530"/>
      <c r="R160" s="900">
        <f t="shared" si="50"/>
        <v>0</v>
      </c>
      <c r="S160" s="900">
        <f t="shared" si="51"/>
        <v>0</v>
      </c>
      <c r="T160" s="1483" t="s">
        <v>2862</v>
      </c>
      <c r="U160" s="1211"/>
      <c r="V160" s="1212">
        <f>IFERROR(VLOOKUP(W160,constant_ag_extr!$D$7:$E$594,2,FALSE),"")</f>
        <v>0</v>
      </c>
      <c r="W160" s="1213" t="str">
        <f t="shared" si="52"/>
        <v/>
      </c>
      <c r="X160" s="1099">
        <f>IFERROR(IF(VLOOKUP(B160,cnst_grazing!$C$10:$H$25,5,FALSE)="", IF(VLOOKUP(B160, cnst_grazing!$C$10:$H$25,3,FALSE)="", VLOOKUP(B160, cnst_grazing!$C$10:$H$25,4,FALSE),VLOOKUP(B160, cnst_grazing!$C$10:$H$25,3,FALSE)), VLOOKUP(B160,cnst_grazing!$C$10:$H$25,5,FALSE)),1)</f>
        <v>1</v>
      </c>
      <c r="Y160" s="1099">
        <f>IFERROR(IF(VLOOKUP(B160,cnst_grazing!$C$10:$H$25,6,FALSE)="", IF(VLOOKUP(B160, cnst_grazing!$C$10:$H$25,4,FALSE)="", VLOOKUP(B160, cnst_grazing!$C$10:$H$25,3,FALSE),VLOOKUP(B160, cnst_grazing!$C$10:$H$25,4,FALSE)), VLOOKUP(B160,cnst_grazing!$C$10:$H$25,6,FALSE)),1)</f>
        <v>1</v>
      </c>
      <c r="Z160" s="937" t="str">
        <f t="shared" si="53"/>
        <v>-</v>
      </c>
      <c r="AA160" s="1487" t="e">
        <f t="shared" si="54"/>
        <v>#N/A</v>
      </c>
      <c r="AB160" s="933" t="e">
        <f>VLOOKUP($W160,feed_mix_n,MATCH(AB$5,feed_mix_w!$B$5:$AC$5,0),FALSE)/$Z160*VLOOKUP(AB$5,feed_intensity_w,11,FALSE)</f>
        <v>#N/A</v>
      </c>
      <c r="AC160" s="933" t="e">
        <f>VLOOKUP($W160,feed_mix_n,MATCH(AC$5,feed_mix_w!$B$5:$AC$5,0),FALSE)/$Z160*VLOOKUP(AC$5,feed_intensity_w,11,FALSE)</f>
        <v>#N/A</v>
      </c>
      <c r="AD160" s="933" t="e">
        <f>VLOOKUP($W160,feed_mix_n,MATCH(AD$5,feed_mix_w!$B$5:$AC$5,0),FALSE)/$Z160*VLOOKUP(AD$5,feed_intensity_w,11,FALSE)</f>
        <v>#N/A</v>
      </c>
      <c r="AE160" s="933" t="e">
        <f>VLOOKUP($W160,feed_mix_n,MATCH(AE$5,feed_mix_w!$B$5:$AC$5,0),FALSE)/$Z160*VLOOKUP(AE$5,feed_intensity_w,11,FALSE)</f>
        <v>#N/A</v>
      </c>
      <c r="AF160" s="933" t="e">
        <f>VLOOKUP($W160,feed_mix_n,MATCH(AF$5,feed_mix_w!$B$5:$AC$5,0),FALSE)/$Z160*VLOOKUP(AF$5,feed_intensity_w,11,FALSE)</f>
        <v>#N/A</v>
      </c>
      <c r="AG160" s="933" t="e">
        <f>VLOOKUP($W160,feed_mix_n,MATCH(AG$5,feed_mix_w!$B$5:$AC$5,0),FALSE)/$Z160*VLOOKUP(AG$5,feed_intensity_w,11,FALSE)</f>
        <v>#N/A</v>
      </c>
      <c r="AH160" s="933" t="e">
        <f>VLOOKUP($W160,feed_mix_n,MATCH(AH$5,feed_mix_w!$B$5:$AC$5,0),FALSE)/$Z160*VLOOKUP(AH$5,feed_intensity_w,11,FALSE)</f>
        <v>#N/A</v>
      </c>
      <c r="AI160" s="933" t="e">
        <f>VLOOKUP($W160,feed_mix_n,MATCH(AI$5,feed_mix_w!$B$5:$AC$5,0),FALSE)/$Z160*VLOOKUP(AI$5,feed_intensity_w,11,FALSE)</f>
        <v>#N/A</v>
      </c>
      <c r="AJ160" s="933" t="e">
        <f>VLOOKUP($W160,feed_mix_n,MATCH(AJ$5,feed_mix_w!$B$5:$AC$5,0),FALSE)/$Z160*VLOOKUP(AJ$5,feed_intensity_w,11,FALSE)</f>
        <v>#N/A</v>
      </c>
      <c r="AK160" s="933" t="e">
        <f>VLOOKUP($W160,feed_mix_n,MATCH(AK$5,feed_mix_w!$B$5:$AC$5,0),FALSE)/$Z160*VLOOKUP(AK$5,feed_intensity_w,11,FALSE)</f>
        <v>#N/A</v>
      </c>
      <c r="AL160" s="933" t="e">
        <f>VLOOKUP($W160,feed_mix_n,MATCH(AL$5,feed_mix_w!$B$5:$AC$5,0),FALSE)/$Z160*VLOOKUP(AL$5,feed_intensity_w,11,FALSE)</f>
        <v>#N/A</v>
      </c>
      <c r="AM160" s="933" t="e">
        <f>VLOOKUP($W160,feed_mix_n,MATCH(AM$5,feed_mix_w!$B$5:$AC$5,0),FALSE)/$Z160*VLOOKUP(AM$5,feed_intensity_w,11,FALSE)</f>
        <v>#N/A</v>
      </c>
      <c r="AN160" s="933" t="e">
        <f>VLOOKUP($W160,feed_mix_n,MATCH(AN$5,feed_mix_w!$B$5:$AC$5,0),FALSE)/$Z160*VLOOKUP(AN$5,feed_intensity_w,11,FALSE)</f>
        <v>#N/A</v>
      </c>
      <c r="AO160" s="933" t="e">
        <f>VLOOKUP($W160,feed_mix_n,MATCH(AO$5,feed_mix_w!$B$5:$AC$5,0),FALSE)/$Z160*VLOOKUP(AO$5,feed_intensity_w,11,FALSE)</f>
        <v>#N/A</v>
      </c>
      <c r="AP160" s="933" t="e">
        <f>VLOOKUP($W160,feed_mix_n,MATCH(AP$5,feed_mix_w!$B$5:$AC$5,0),FALSE)/$Z160*VLOOKUP(AP$5,feed_intensity_w,11,FALSE)</f>
        <v>#N/A</v>
      </c>
      <c r="AQ160" s="933" t="e">
        <f>VLOOKUP($W160,feed_mix_n,MATCH(AQ$5,feed_mix_w!$B$5:$AC$5,0),FALSE)/$Z160*VLOOKUP(AQ$5,feed_intensity_w,11,FALSE)</f>
        <v>#N/A</v>
      </c>
      <c r="AR160" s="933" t="e">
        <f>VLOOKUP($W160,feed_mix_n,MATCH(AR$5,feed_mix_w!$B$5:$AC$5,0),FALSE)/$Z160*VLOOKUP(AR$5,feed_intensity_w,11,FALSE)</f>
        <v>#N/A</v>
      </c>
      <c r="AS160" s="1105" t="e">
        <f>VLOOKUP($W160,feed_mix_n,MATCH(AS$5,feed_mix_w!$B$5:$AC$5,0),FALSE)/$Z160*VLOOKUP(AS$5,feed_intensity_w,11,FALSE)</f>
        <v>#N/A</v>
      </c>
    </row>
    <row r="161" spans="1:45" ht="12.75" customHeight="1">
      <c r="A161" s="1008" t="s">
        <v>298</v>
      </c>
      <c r="B161" s="1102">
        <v>1214</v>
      </c>
      <c r="C161" s="1103" t="s">
        <v>1623</v>
      </c>
      <c r="D161" s="1158"/>
      <c r="E161" s="1158"/>
      <c r="F161" s="1012">
        <f t="shared" si="44"/>
        <v>0</v>
      </c>
      <c r="G161" s="1012">
        <f t="shared" si="45"/>
        <v>0</v>
      </c>
      <c r="H161" s="933" t="e">
        <f t="shared" si="46"/>
        <v>#N/A</v>
      </c>
      <c r="I161" s="1486">
        <f t="shared" si="47"/>
        <v>0</v>
      </c>
      <c r="J161" s="1006">
        <f>IFERROR(G161*VLOOKUP(W161,livestock_intensity!$B$7:$I$29,8,FALSE)/Z161,0)</f>
        <v>0</v>
      </c>
      <c r="K161" s="933" t="e">
        <f>VLOOKUP($W161,feed_mix_n,MATCH(K$5,feed_mix_w!$B$5:$AC$5,0),FALSE)/$Z161*VLOOKUP(K$5,feed_intensity_w,11,FALSE)</f>
        <v>#N/A</v>
      </c>
      <c r="L161" s="1486">
        <f t="shared" si="48"/>
        <v>0</v>
      </c>
      <c r="M161" s="1447">
        <f>IFERROR(G161*VLOOKUP(W161,livestock_intensity!$B$7:$M$29,12,FALSE)/Z161,0)</f>
        <v>0</v>
      </c>
      <c r="N161" s="933" t="e">
        <f>VLOOKUP($W161,feed_mix_n,MATCH(N$5,feed_mix_w!$B$5:$AC$5,0),FALSE)/$Z161*VLOOKUP(N$5,feed_intensity_w,11,FALSE)</f>
        <v>#N/A</v>
      </c>
      <c r="O161" s="1486">
        <f t="shared" si="49"/>
        <v>0</v>
      </c>
      <c r="P161" s="939">
        <f>IFERROR(G161*VLOOKUP(W161,livestock_intensity!$B$7:$Q$29,16,FALSE)/Z161,0)</f>
        <v>0</v>
      </c>
      <c r="Q161" s="1530"/>
      <c r="R161" s="900">
        <f t="shared" si="50"/>
        <v>0</v>
      </c>
      <c r="S161" s="900">
        <f t="shared" si="51"/>
        <v>0</v>
      </c>
      <c r="T161" s="1483" t="s">
        <v>2862</v>
      </c>
      <c r="U161" s="1211" t="s">
        <v>2921</v>
      </c>
      <c r="V161" s="1212">
        <f>IFERROR(VLOOKUP(W161,constant_ag_extr!$D$7:$E$594,2,FALSE),"")</f>
        <v>0</v>
      </c>
      <c r="W161" s="1213" t="str">
        <f t="shared" si="52"/>
        <v/>
      </c>
      <c r="X161" s="1099">
        <f>IFERROR(IF(VLOOKUP(B161,cnst_grazing!$C$10:$H$25,5,FALSE)="", IF(VLOOKUP(B161, cnst_grazing!$C$10:$H$25,3,FALSE)="", VLOOKUP(B161, cnst_grazing!$C$10:$H$25,4,FALSE),VLOOKUP(B161, cnst_grazing!$C$10:$H$25,3,FALSE)), VLOOKUP(B161,cnst_grazing!$C$10:$H$25,5,FALSE)),1)</f>
        <v>1</v>
      </c>
      <c r="Y161" s="1099">
        <f>IFERROR(IF(VLOOKUP(B161,cnst_grazing!$C$10:$H$25,6,FALSE)="", IF(VLOOKUP(B161, cnst_grazing!$C$10:$H$25,4,FALSE)="", VLOOKUP(B161, cnst_grazing!$C$10:$H$25,3,FALSE),VLOOKUP(B161, cnst_grazing!$C$10:$H$25,4,FALSE)), VLOOKUP(B161,cnst_grazing!$C$10:$H$25,6,FALSE)),1)</f>
        <v>1</v>
      </c>
      <c r="Z161" s="937">
        <f t="shared" si="53"/>
        <v>1</v>
      </c>
      <c r="AA161" s="1487" t="e">
        <f t="shared" si="54"/>
        <v>#N/A</v>
      </c>
      <c r="AB161" s="933" t="e">
        <f>VLOOKUP($W161,feed_mix_n,MATCH(AB$5,feed_mix_w!$B$5:$AC$5,0),FALSE)/$Z161*VLOOKUP(AB$5,feed_intensity_w,11,FALSE)</f>
        <v>#N/A</v>
      </c>
      <c r="AC161" s="933" t="e">
        <f>VLOOKUP($W161,feed_mix_n,MATCH(AC$5,feed_mix_w!$B$5:$AC$5,0),FALSE)/$Z161*VLOOKUP(AC$5,feed_intensity_w,11,FALSE)</f>
        <v>#N/A</v>
      </c>
      <c r="AD161" s="933" t="e">
        <f>VLOOKUP($W161,feed_mix_n,MATCH(AD$5,feed_mix_w!$B$5:$AC$5,0),FALSE)/$Z161*VLOOKUP(AD$5,feed_intensity_w,11,FALSE)</f>
        <v>#N/A</v>
      </c>
      <c r="AE161" s="933" t="e">
        <f>VLOOKUP($W161,feed_mix_n,MATCH(AE$5,feed_mix_w!$B$5:$AC$5,0),FALSE)/$Z161*VLOOKUP(AE$5,feed_intensity_w,11,FALSE)</f>
        <v>#N/A</v>
      </c>
      <c r="AF161" s="933" t="e">
        <f>VLOOKUP($W161,feed_mix_n,MATCH(AF$5,feed_mix_w!$B$5:$AC$5,0),FALSE)/$Z161*VLOOKUP(AF$5,feed_intensity_w,11,FALSE)</f>
        <v>#N/A</v>
      </c>
      <c r="AG161" s="933" t="e">
        <f>VLOOKUP($W161,feed_mix_n,MATCH(AG$5,feed_mix_w!$B$5:$AC$5,0),FALSE)/$Z161*VLOOKUP(AG$5,feed_intensity_w,11,FALSE)</f>
        <v>#N/A</v>
      </c>
      <c r="AH161" s="933" t="e">
        <f>VLOOKUP($W161,feed_mix_n,MATCH(AH$5,feed_mix_w!$B$5:$AC$5,0),FALSE)/$Z161*VLOOKUP(AH$5,feed_intensity_w,11,FALSE)</f>
        <v>#N/A</v>
      </c>
      <c r="AI161" s="933" t="e">
        <f>VLOOKUP($W161,feed_mix_n,MATCH(AI$5,feed_mix_w!$B$5:$AC$5,0),FALSE)/$Z161*VLOOKUP(AI$5,feed_intensity_w,11,FALSE)</f>
        <v>#N/A</v>
      </c>
      <c r="AJ161" s="933" t="e">
        <f>VLOOKUP($W161,feed_mix_n,MATCH(AJ$5,feed_mix_w!$B$5:$AC$5,0),FALSE)/$Z161*VLOOKUP(AJ$5,feed_intensity_w,11,FALSE)</f>
        <v>#N/A</v>
      </c>
      <c r="AK161" s="933" t="e">
        <f>VLOOKUP($W161,feed_mix_n,MATCH(AK$5,feed_mix_w!$B$5:$AC$5,0),FALSE)/$Z161*VLOOKUP(AK$5,feed_intensity_w,11,FALSE)</f>
        <v>#N/A</v>
      </c>
      <c r="AL161" s="933" t="e">
        <f>VLOOKUP($W161,feed_mix_n,MATCH(AL$5,feed_mix_w!$B$5:$AC$5,0),FALSE)/$Z161*VLOOKUP(AL$5,feed_intensity_w,11,FALSE)</f>
        <v>#N/A</v>
      </c>
      <c r="AM161" s="933" t="e">
        <f>VLOOKUP($W161,feed_mix_n,MATCH(AM$5,feed_mix_w!$B$5:$AC$5,0),FALSE)/$Z161*VLOOKUP(AM$5,feed_intensity_w,11,FALSE)</f>
        <v>#N/A</v>
      </c>
      <c r="AN161" s="933" t="e">
        <f>VLOOKUP($W161,feed_mix_n,MATCH(AN$5,feed_mix_w!$B$5:$AC$5,0),FALSE)/$Z161*VLOOKUP(AN$5,feed_intensity_w,11,FALSE)</f>
        <v>#N/A</v>
      </c>
      <c r="AO161" s="933" t="e">
        <f>VLOOKUP($W161,feed_mix_n,MATCH(AO$5,feed_mix_w!$B$5:$AC$5,0),FALSE)/$Z161*VLOOKUP(AO$5,feed_intensity_w,11,FALSE)</f>
        <v>#N/A</v>
      </c>
      <c r="AP161" s="933" t="e">
        <f>VLOOKUP($W161,feed_mix_n,MATCH(AP$5,feed_mix_w!$B$5:$AC$5,0),FALSE)/$Z161*VLOOKUP(AP$5,feed_intensity_w,11,FALSE)</f>
        <v>#N/A</v>
      </c>
      <c r="AQ161" s="933" t="e">
        <f>VLOOKUP($W161,feed_mix_n,MATCH(AQ$5,feed_mix_w!$B$5:$AC$5,0),FALSE)/$Z161*VLOOKUP(AQ$5,feed_intensity_w,11,FALSE)</f>
        <v>#N/A</v>
      </c>
      <c r="AR161" s="933" t="e">
        <f>VLOOKUP($W161,feed_mix_n,MATCH(AR$5,feed_mix_w!$B$5:$AC$5,0),FALSE)/$Z161*VLOOKUP(AR$5,feed_intensity_w,11,FALSE)</f>
        <v>#N/A</v>
      </c>
      <c r="AS161" s="1105" t="e">
        <f>VLOOKUP($W161,feed_mix_n,MATCH(AS$5,feed_mix_w!$B$5:$AC$5,0),FALSE)/$Z161*VLOOKUP(AS$5,feed_intensity_w,11,FALSE)</f>
        <v>#N/A</v>
      </c>
    </row>
    <row r="162" spans="1:45" ht="12.75" customHeight="1">
      <c r="A162" s="1008" t="s">
        <v>70</v>
      </c>
      <c r="B162" s="1102">
        <v>1215</v>
      </c>
      <c r="C162" s="1103" t="s">
        <v>5511</v>
      </c>
      <c r="D162" s="1158"/>
      <c r="E162" s="1158"/>
      <c r="F162" s="1012">
        <f t="shared" si="44"/>
        <v>0</v>
      </c>
      <c r="G162" s="1012">
        <f t="shared" si="45"/>
        <v>0</v>
      </c>
      <c r="H162" s="933" t="e">
        <f t="shared" si="46"/>
        <v>#N/A</v>
      </c>
      <c r="I162" s="1486">
        <f t="shared" si="47"/>
        <v>0</v>
      </c>
      <c r="J162" s="1006">
        <f>IFERROR(G162*VLOOKUP(W162,livestock_intensity!$B$7:$I$29,8,FALSE)/Z162,0)</f>
        <v>0</v>
      </c>
      <c r="K162" s="933" t="e">
        <f>VLOOKUP($W162,feed_mix_n,MATCH(K$5,feed_mix_w!$B$5:$AC$5,0),FALSE)/$Z162*VLOOKUP(K$5,feed_intensity_w,11,FALSE)</f>
        <v>#N/A</v>
      </c>
      <c r="L162" s="1486">
        <f t="shared" si="48"/>
        <v>0</v>
      </c>
      <c r="M162" s="1447">
        <f>IFERROR(G162*VLOOKUP(W162,livestock_intensity!$B$7:$M$29,12,FALSE)/Z162,0)</f>
        <v>0</v>
      </c>
      <c r="N162" s="933" t="e">
        <f>VLOOKUP($W162,feed_mix_n,MATCH(N$5,feed_mix_w!$B$5:$AC$5,0),FALSE)/$Z162*VLOOKUP(N$5,feed_intensity_w,11,FALSE)</f>
        <v>#N/A</v>
      </c>
      <c r="O162" s="1486">
        <f t="shared" si="49"/>
        <v>0</v>
      </c>
      <c r="P162" s="939">
        <f>IFERROR(G162*VLOOKUP(W162,livestock_intensity!$B$7:$Q$29,16,FALSE)/Z162,0)</f>
        <v>0</v>
      </c>
      <c r="Q162" s="1530"/>
      <c r="R162" s="900">
        <f t="shared" si="50"/>
        <v>0</v>
      </c>
      <c r="S162" s="900">
        <f t="shared" si="51"/>
        <v>0</v>
      </c>
      <c r="T162" s="1483" t="s">
        <v>2862</v>
      </c>
      <c r="U162" s="1211" t="s">
        <v>2921</v>
      </c>
      <c r="V162" s="1212">
        <f>IFERROR(VLOOKUP(W162,constant_ag_extr!$D$7:$E$594,2,FALSE),"")</f>
        <v>0</v>
      </c>
      <c r="W162" s="1213" t="str">
        <f t="shared" si="52"/>
        <v/>
      </c>
      <c r="X162" s="1099">
        <f>IFERROR(IF(VLOOKUP(B162,cnst_grazing!$C$10:$H$25,5,FALSE)="", IF(VLOOKUP(B162, cnst_grazing!$C$10:$H$25,3,FALSE)="", VLOOKUP(B162, cnst_grazing!$C$10:$H$25,4,FALSE),VLOOKUP(B162, cnst_grazing!$C$10:$H$25,3,FALSE)), VLOOKUP(B162,cnst_grazing!$C$10:$H$25,5,FALSE)),1)</f>
        <v>1</v>
      </c>
      <c r="Y162" s="1099">
        <f>IFERROR(IF(VLOOKUP(B162,cnst_grazing!$C$10:$H$25,6,FALSE)="", IF(VLOOKUP(B162, cnst_grazing!$C$10:$H$25,4,FALSE)="", VLOOKUP(B162, cnst_grazing!$C$10:$H$25,3,FALSE),VLOOKUP(B162, cnst_grazing!$C$10:$H$25,4,FALSE)), VLOOKUP(B162,cnst_grazing!$C$10:$H$25,6,FALSE)),1)</f>
        <v>1</v>
      </c>
      <c r="Z162" s="937">
        <f t="shared" si="53"/>
        <v>1</v>
      </c>
      <c r="AA162" s="1487" t="e">
        <f t="shared" si="54"/>
        <v>#N/A</v>
      </c>
      <c r="AB162" s="933" t="e">
        <f>VLOOKUP($W162,feed_mix_n,MATCH(AB$5,feed_mix_w!$B$5:$AC$5,0),FALSE)/$Z162*VLOOKUP(AB$5,feed_intensity_w,11,FALSE)</f>
        <v>#N/A</v>
      </c>
      <c r="AC162" s="933" t="e">
        <f>VLOOKUP($W162,feed_mix_n,MATCH(AC$5,feed_mix_w!$B$5:$AC$5,0),FALSE)/$Z162*VLOOKUP(AC$5,feed_intensity_w,11,FALSE)</f>
        <v>#N/A</v>
      </c>
      <c r="AD162" s="933" t="e">
        <f>VLOOKUP($W162,feed_mix_n,MATCH(AD$5,feed_mix_w!$B$5:$AC$5,0),FALSE)/$Z162*VLOOKUP(AD$5,feed_intensity_w,11,FALSE)</f>
        <v>#N/A</v>
      </c>
      <c r="AE162" s="933" t="e">
        <f>VLOOKUP($W162,feed_mix_n,MATCH(AE$5,feed_mix_w!$B$5:$AC$5,0),FALSE)/$Z162*VLOOKUP(AE$5,feed_intensity_w,11,FALSE)</f>
        <v>#N/A</v>
      </c>
      <c r="AF162" s="933" t="e">
        <f>VLOOKUP($W162,feed_mix_n,MATCH(AF$5,feed_mix_w!$B$5:$AC$5,0),FALSE)/$Z162*VLOOKUP(AF$5,feed_intensity_w,11,FALSE)</f>
        <v>#N/A</v>
      </c>
      <c r="AG162" s="933" t="e">
        <f>VLOOKUP($W162,feed_mix_n,MATCH(AG$5,feed_mix_w!$B$5:$AC$5,0),FALSE)/$Z162*VLOOKUP(AG$5,feed_intensity_w,11,FALSE)</f>
        <v>#N/A</v>
      </c>
      <c r="AH162" s="933" t="e">
        <f>VLOOKUP($W162,feed_mix_n,MATCH(AH$5,feed_mix_w!$B$5:$AC$5,0),FALSE)/$Z162*VLOOKUP(AH$5,feed_intensity_w,11,FALSE)</f>
        <v>#N/A</v>
      </c>
      <c r="AI162" s="933" t="e">
        <f>VLOOKUP($W162,feed_mix_n,MATCH(AI$5,feed_mix_w!$B$5:$AC$5,0),FALSE)/$Z162*VLOOKUP(AI$5,feed_intensity_w,11,FALSE)</f>
        <v>#N/A</v>
      </c>
      <c r="AJ162" s="933" t="e">
        <f>VLOOKUP($W162,feed_mix_n,MATCH(AJ$5,feed_mix_w!$B$5:$AC$5,0),FALSE)/$Z162*VLOOKUP(AJ$5,feed_intensity_w,11,FALSE)</f>
        <v>#N/A</v>
      </c>
      <c r="AK162" s="933" t="e">
        <f>VLOOKUP($W162,feed_mix_n,MATCH(AK$5,feed_mix_w!$B$5:$AC$5,0),FALSE)/$Z162*VLOOKUP(AK$5,feed_intensity_w,11,FALSE)</f>
        <v>#N/A</v>
      </c>
      <c r="AL162" s="933" t="e">
        <f>VLOOKUP($W162,feed_mix_n,MATCH(AL$5,feed_mix_w!$B$5:$AC$5,0),FALSE)/$Z162*VLOOKUP(AL$5,feed_intensity_w,11,FALSE)</f>
        <v>#N/A</v>
      </c>
      <c r="AM162" s="933" t="e">
        <f>VLOOKUP($W162,feed_mix_n,MATCH(AM$5,feed_mix_w!$B$5:$AC$5,0),FALSE)/$Z162*VLOOKUP(AM$5,feed_intensity_w,11,FALSE)</f>
        <v>#N/A</v>
      </c>
      <c r="AN162" s="933" t="e">
        <f>VLOOKUP($W162,feed_mix_n,MATCH(AN$5,feed_mix_w!$B$5:$AC$5,0),FALSE)/$Z162*VLOOKUP(AN$5,feed_intensity_w,11,FALSE)</f>
        <v>#N/A</v>
      </c>
      <c r="AO162" s="933" t="e">
        <f>VLOOKUP($W162,feed_mix_n,MATCH(AO$5,feed_mix_w!$B$5:$AC$5,0),FALSE)/$Z162*VLOOKUP(AO$5,feed_intensity_w,11,FALSE)</f>
        <v>#N/A</v>
      </c>
      <c r="AP162" s="933" t="e">
        <f>VLOOKUP($W162,feed_mix_n,MATCH(AP$5,feed_mix_w!$B$5:$AC$5,0),FALSE)/$Z162*VLOOKUP(AP$5,feed_intensity_w,11,FALSE)</f>
        <v>#N/A</v>
      </c>
      <c r="AQ162" s="933" t="e">
        <f>VLOOKUP($W162,feed_mix_n,MATCH(AQ$5,feed_mix_w!$B$5:$AC$5,0),FALSE)/$Z162*VLOOKUP(AQ$5,feed_intensity_w,11,FALSE)</f>
        <v>#N/A</v>
      </c>
      <c r="AR162" s="933" t="e">
        <f>VLOOKUP($W162,feed_mix_n,MATCH(AR$5,feed_mix_w!$B$5:$AC$5,0),FALSE)/$Z162*VLOOKUP(AR$5,feed_intensity_w,11,FALSE)</f>
        <v>#N/A</v>
      </c>
      <c r="AS162" s="1105" t="e">
        <f>VLOOKUP($W162,feed_mix_n,MATCH(AS$5,feed_mix_w!$B$5:$AC$5,0),FALSE)/$Z162*VLOOKUP(AS$5,feed_intensity_w,11,FALSE)</f>
        <v>#N/A</v>
      </c>
    </row>
    <row r="163" spans="1:45" ht="12.75" customHeight="1">
      <c r="A163" s="1008" t="s">
        <v>7429</v>
      </c>
      <c r="B163" s="1102">
        <v>1216</v>
      </c>
      <c r="C163" s="1103" t="s">
        <v>1615</v>
      </c>
      <c r="D163" s="1158">
        <v>0</v>
      </c>
      <c r="E163" s="1158">
        <v>0</v>
      </c>
      <c r="F163" s="1012">
        <f t="shared" si="44"/>
        <v>0</v>
      </c>
      <c r="G163" s="1012">
        <f t="shared" si="45"/>
        <v>0</v>
      </c>
      <c r="H163" s="933" t="e">
        <f t="shared" si="46"/>
        <v>#N/A</v>
      </c>
      <c r="I163" s="1486">
        <f t="shared" si="47"/>
        <v>0</v>
      </c>
      <c r="J163" s="1006">
        <f>IFERROR(G163*VLOOKUP(W163,livestock_intensity!$B$7:$I$29,8,FALSE)/Z163,0)</f>
        <v>0</v>
      </c>
      <c r="K163" s="933" t="e">
        <f>VLOOKUP($W163,feed_mix_n,MATCH(K$5,feed_mix_w!$B$5:$AC$5,0),FALSE)/$Z163*VLOOKUP(K$5,feed_intensity_w,11,FALSE)</f>
        <v>#N/A</v>
      </c>
      <c r="L163" s="1486">
        <f t="shared" si="48"/>
        <v>0</v>
      </c>
      <c r="M163" s="1447">
        <f>IFERROR(G163*VLOOKUP(W163,livestock_intensity!$B$7:$M$29,12,FALSE)/Z163,0)</f>
        <v>0</v>
      </c>
      <c r="N163" s="933" t="e">
        <f>VLOOKUP($W163,feed_mix_n,MATCH(N$5,feed_mix_w!$B$5:$AC$5,0),FALSE)/$Z163*VLOOKUP(N$5,feed_intensity_w,11,FALSE)</f>
        <v>#N/A</v>
      </c>
      <c r="O163" s="1486">
        <f t="shared" si="49"/>
        <v>0</v>
      </c>
      <c r="P163" s="939">
        <f>IFERROR(G163*VLOOKUP(W163,livestock_intensity!$B$7:$Q$29,16,FALSE)/Z163,0)</f>
        <v>0</v>
      </c>
      <c r="Q163" s="1530"/>
      <c r="R163" s="900">
        <f t="shared" si="50"/>
        <v>0</v>
      </c>
      <c r="S163" s="900">
        <f t="shared" si="51"/>
        <v>0</v>
      </c>
      <c r="T163" s="1483" t="s">
        <v>2862</v>
      </c>
      <c r="U163" s="1211" t="s">
        <v>2921</v>
      </c>
      <c r="V163" s="1212">
        <f>IFERROR(VLOOKUP(W163,constant_ag_extr!$D$7:$E$594,2,FALSE),"")</f>
        <v>0</v>
      </c>
      <c r="W163" s="1213" t="str">
        <f t="shared" si="52"/>
        <v/>
      </c>
      <c r="X163" s="1099">
        <f>IFERROR(IF(VLOOKUP(B163,cnst_grazing!$C$10:$H$25,5,FALSE)="", IF(VLOOKUP(B163, cnst_grazing!$C$10:$H$25,3,FALSE)="", VLOOKUP(B163, cnst_grazing!$C$10:$H$25,4,FALSE),VLOOKUP(B163, cnst_grazing!$C$10:$H$25,3,FALSE)), VLOOKUP(B163,cnst_grazing!$C$10:$H$25,5,FALSE)),1)</f>
        <v>1</v>
      </c>
      <c r="Y163" s="1099">
        <f>IFERROR(IF(VLOOKUP(B163,cnst_grazing!$C$10:$H$25,6,FALSE)="", IF(VLOOKUP(B163, cnst_grazing!$C$10:$H$25,4,FALSE)="", VLOOKUP(B163, cnst_grazing!$C$10:$H$25,3,FALSE),VLOOKUP(B163, cnst_grazing!$C$10:$H$25,4,FALSE)), VLOOKUP(B163,cnst_grazing!$C$10:$H$25,6,FALSE)),1)</f>
        <v>1</v>
      </c>
      <c r="Z163" s="937">
        <f t="shared" si="53"/>
        <v>1</v>
      </c>
      <c r="AA163" s="1487" t="e">
        <f t="shared" si="54"/>
        <v>#N/A</v>
      </c>
      <c r="AB163" s="933" t="e">
        <f>VLOOKUP($W163,feed_mix_n,MATCH(AB$5,feed_mix_w!$B$5:$AC$5,0),FALSE)/$Z163*VLOOKUP(AB$5,feed_intensity_w,11,FALSE)</f>
        <v>#N/A</v>
      </c>
      <c r="AC163" s="933" t="e">
        <f>VLOOKUP($W163,feed_mix_n,MATCH(AC$5,feed_mix_w!$B$5:$AC$5,0),FALSE)/$Z163*VLOOKUP(AC$5,feed_intensity_w,11,FALSE)</f>
        <v>#N/A</v>
      </c>
      <c r="AD163" s="933" t="e">
        <f>VLOOKUP($W163,feed_mix_n,MATCH(AD$5,feed_mix_w!$B$5:$AC$5,0),FALSE)/$Z163*VLOOKUP(AD$5,feed_intensity_w,11,FALSE)</f>
        <v>#N/A</v>
      </c>
      <c r="AE163" s="933" t="e">
        <f>VLOOKUP($W163,feed_mix_n,MATCH(AE$5,feed_mix_w!$B$5:$AC$5,0),FALSE)/$Z163*VLOOKUP(AE$5,feed_intensity_w,11,FALSE)</f>
        <v>#N/A</v>
      </c>
      <c r="AF163" s="933" t="e">
        <f>VLOOKUP($W163,feed_mix_n,MATCH(AF$5,feed_mix_w!$B$5:$AC$5,0),FALSE)/$Z163*VLOOKUP(AF$5,feed_intensity_w,11,FALSE)</f>
        <v>#N/A</v>
      </c>
      <c r="AG163" s="933" t="e">
        <f>VLOOKUP($W163,feed_mix_n,MATCH(AG$5,feed_mix_w!$B$5:$AC$5,0),FALSE)/$Z163*VLOOKUP(AG$5,feed_intensity_w,11,FALSE)</f>
        <v>#N/A</v>
      </c>
      <c r="AH163" s="933" t="e">
        <f>VLOOKUP($W163,feed_mix_n,MATCH(AH$5,feed_mix_w!$B$5:$AC$5,0),FALSE)/$Z163*VLOOKUP(AH$5,feed_intensity_w,11,FALSE)</f>
        <v>#N/A</v>
      </c>
      <c r="AI163" s="933" t="e">
        <f>VLOOKUP($W163,feed_mix_n,MATCH(AI$5,feed_mix_w!$B$5:$AC$5,0),FALSE)/$Z163*VLOOKUP(AI$5,feed_intensity_w,11,FALSE)</f>
        <v>#N/A</v>
      </c>
      <c r="AJ163" s="933" t="e">
        <f>VLOOKUP($W163,feed_mix_n,MATCH(AJ$5,feed_mix_w!$B$5:$AC$5,0),FALSE)/$Z163*VLOOKUP(AJ$5,feed_intensity_w,11,FALSE)</f>
        <v>#N/A</v>
      </c>
      <c r="AK163" s="933" t="e">
        <f>VLOOKUP($W163,feed_mix_n,MATCH(AK$5,feed_mix_w!$B$5:$AC$5,0),FALSE)/$Z163*VLOOKUP(AK$5,feed_intensity_w,11,FALSE)</f>
        <v>#N/A</v>
      </c>
      <c r="AL163" s="933" t="e">
        <f>VLOOKUP($W163,feed_mix_n,MATCH(AL$5,feed_mix_w!$B$5:$AC$5,0),FALSE)/$Z163*VLOOKUP(AL$5,feed_intensity_w,11,FALSE)</f>
        <v>#N/A</v>
      </c>
      <c r="AM163" s="933" t="e">
        <f>VLOOKUP($W163,feed_mix_n,MATCH(AM$5,feed_mix_w!$B$5:$AC$5,0),FALSE)/$Z163*VLOOKUP(AM$5,feed_intensity_w,11,FALSE)</f>
        <v>#N/A</v>
      </c>
      <c r="AN163" s="933" t="e">
        <f>VLOOKUP($W163,feed_mix_n,MATCH(AN$5,feed_mix_w!$B$5:$AC$5,0),FALSE)/$Z163*VLOOKUP(AN$5,feed_intensity_w,11,FALSE)</f>
        <v>#N/A</v>
      </c>
      <c r="AO163" s="933" t="e">
        <f>VLOOKUP($W163,feed_mix_n,MATCH(AO$5,feed_mix_w!$B$5:$AC$5,0),FALSE)/$Z163*VLOOKUP(AO$5,feed_intensity_w,11,FALSE)</f>
        <v>#N/A</v>
      </c>
      <c r="AP163" s="933" t="e">
        <f>VLOOKUP($W163,feed_mix_n,MATCH(AP$5,feed_mix_w!$B$5:$AC$5,0),FALSE)/$Z163*VLOOKUP(AP$5,feed_intensity_w,11,FALSE)</f>
        <v>#N/A</v>
      </c>
      <c r="AQ163" s="933" t="e">
        <f>VLOOKUP($W163,feed_mix_n,MATCH(AQ$5,feed_mix_w!$B$5:$AC$5,0),FALSE)/$Z163*VLOOKUP(AQ$5,feed_intensity_w,11,FALSE)</f>
        <v>#N/A</v>
      </c>
      <c r="AR163" s="933" t="e">
        <f>VLOOKUP($W163,feed_mix_n,MATCH(AR$5,feed_mix_w!$B$5:$AC$5,0),FALSE)/$Z163*VLOOKUP(AR$5,feed_intensity_w,11,FALSE)</f>
        <v>#N/A</v>
      </c>
      <c r="AS163" s="1105" t="e">
        <f>VLOOKUP($W163,feed_mix_n,MATCH(AS$5,feed_mix_w!$B$5:$AC$5,0),FALSE)/$Z163*VLOOKUP(AS$5,feed_intensity_w,11,FALSE)</f>
        <v>#N/A</v>
      </c>
    </row>
    <row r="164" spans="1:45" ht="12.75" customHeight="1">
      <c r="A164" s="1008" t="s">
        <v>1110</v>
      </c>
      <c r="B164" s="1102">
        <v>1217</v>
      </c>
      <c r="C164" s="1103">
        <v>4115.2</v>
      </c>
      <c r="D164" s="1158"/>
      <c r="E164" s="1158"/>
      <c r="F164" s="1012">
        <f t="shared" si="44"/>
        <v>0</v>
      </c>
      <c r="G164" s="1012">
        <f t="shared" si="45"/>
        <v>0</v>
      </c>
      <c r="H164" s="933" t="e">
        <f t="shared" si="46"/>
        <v>#N/A</v>
      </c>
      <c r="I164" s="1486">
        <f t="shared" si="47"/>
        <v>0</v>
      </c>
      <c r="J164" s="1006">
        <f>IFERROR(G164*VLOOKUP(W164,livestock_intensity!$B$7:$I$29,8,FALSE)/Z164,0)</f>
        <v>0</v>
      </c>
      <c r="K164" s="933" t="e">
        <f>VLOOKUP($W164,feed_mix_n,MATCH(K$5,feed_mix_w!$B$5:$AC$5,0),FALSE)/$Z164*VLOOKUP(K$5,feed_intensity_w,11,FALSE)</f>
        <v>#N/A</v>
      </c>
      <c r="L164" s="1486">
        <f t="shared" si="48"/>
        <v>0</v>
      </c>
      <c r="M164" s="1447">
        <f>IFERROR(G164*VLOOKUP(W164,livestock_intensity!$B$7:$M$29,12,FALSE)/Z164,0)</f>
        <v>0</v>
      </c>
      <c r="N164" s="933" t="e">
        <f>VLOOKUP($W164,feed_mix_n,MATCH(N$5,feed_mix_w!$B$5:$AC$5,0),FALSE)/$Z164*VLOOKUP(N$5,feed_intensity_w,11,FALSE)</f>
        <v>#N/A</v>
      </c>
      <c r="O164" s="1486">
        <f t="shared" si="49"/>
        <v>0</v>
      </c>
      <c r="P164" s="939">
        <f>IFERROR(G164*VLOOKUP(W164,livestock_intensity!$B$7:$Q$29,16,FALSE)/Z164,0)</f>
        <v>0</v>
      </c>
      <c r="Q164" s="1530"/>
      <c r="R164" s="900">
        <f t="shared" si="50"/>
        <v>0</v>
      </c>
      <c r="S164" s="900">
        <f t="shared" si="51"/>
        <v>0</v>
      </c>
      <c r="T164" s="1483" t="s">
        <v>2862</v>
      </c>
      <c r="U164" s="1211" t="s">
        <v>2921</v>
      </c>
      <c r="V164" s="1212" t="str">
        <f>IFERROR(VLOOKUP(W164,constant_ag_extr!$D$7:$E$594,2,FALSE),"")</f>
        <v/>
      </c>
      <c r="W164" s="1213">
        <f t="shared" si="52"/>
        <v>0</v>
      </c>
      <c r="X164" s="1099">
        <f>IFERROR(IF(VLOOKUP(B164,cnst_grazing!$C$10:$H$25,5,FALSE)="", IF(VLOOKUP(B164, cnst_grazing!$C$10:$H$25,3,FALSE)="", VLOOKUP(B164, cnst_grazing!$C$10:$H$25,4,FALSE),VLOOKUP(B164, cnst_grazing!$C$10:$H$25,3,FALSE)), VLOOKUP(B164,cnst_grazing!$C$10:$H$25,5,FALSE)),1)</f>
        <v>1</v>
      </c>
      <c r="Y164" s="1099">
        <f>IFERROR(IF(VLOOKUP(B164,cnst_grazing!$C$10:$H$25,6,FALSE)="", IF(VLOOKUP(B164, cnst_grazing!$C$10:$H$25,4,FALSE)="", VLOOKUP(B164, cnst_grazing!$C$10:$H$25,3,FALSE),VLOOKUP(B164, cnst_grazing!$C$10:$H$25,4,FALSE)), VLOOKUP(B164,cnst_grazing!$C$10:$H$25,6,FALSE)),1)</f>
        <v>1</v>
      </c>
      <c r="Z164" s="937">
        <f t="shared" si="53"/>
        <v>1</v>
      </c>
      <c r="AA164" s="1487" t="e">
        <f t="shared" si="54"/>
        <v>#N/A</v>
      </c>
      <c r="AB164" s="933" t="e">
        <f>VLOOKUP($W164,feed_mix_n,MATCH(AB$5,feed_mix_w!$B$5:$AC$5,0),FALSE)/$Z164*VLOOKUP(AB$5,feed_intensity_w,11,FALSE)</f>
        <v>#N/A</v>
      </c>
      <c r="AC164" s="933" t="e">
        <f>VLOOKUP($W164,feed_mix_n,MATCH(AC$5,feed_mix_w!$B$5:$AC$5,0),FALSE)/$Z164*VLOOKUP(AC$5,feed_intensity_w,11,FALSE)</f>
        <v>#N/A</v>
      </c>
      <c r="AD164" s="933" t="e">
        <f>VLOOKUP($W164,feed_mix_n,MATCH(AD$5,feed_mix_w!$B$5:$AC$5,0),FALSE)/$Z164*VLOOKUP(AD$5,feed_intensity_w,11,FALSE)</f>
        <v>#N/A</v>
      </c>
      <c r="AE164" s="933" t="e">
        <f>VLOOKUP($W164,feed_mix_n,MATCH(AE$5,feed_mix_w!$B$5:$AC$5,0),FALSE)/$Z164*VLOOKUP(AE$5,feed_intensity_w,11,FALSE)</f>
        <v>#N/A</v>
      </c>
      <c r="AF164" s="933" t="e">
        <f>VLOOKUP($W164,feed_mix_n,MATCH(AF$5,feed_mix_w!$B$5:$AC$5,0),FALSE)/$Z164*VLOOKUP(AF$5,feed_intensity_w,11,FALSE)</f>
        <v>#N/A</v>
      </c>
      <c r="AG164" s="933" t="e">
        <f>VLOOKUP($W164,feed_mix_n,MATCH(AG$5,feed_mix_w!$B$5:$AC$5,0),FALSE)/$Z164*VLOOKUP(AG$5,feed_intensity_w,11,FALSE)</f>
        <v>#N/A</v>
      </c>
      <c r="AH164" s="933" t="e">
        <f>VLOOKUP($W164,feed_mix_n,MATCH(AH$5,feed_mix_w!$B$5:$AC$5,0),FALSE)/$Z164*VLOOKUP(AH$5,feed_intensity_w,11,FALSE)</f>
        <v>#N/A</v>
      </c>
      <c r="AI164" s="933" t="e">
        <f>VLOOKUP($W164,feed_mix_n,MATCH(AI$5,feed_mix_w!$B$5:$AC$5,0),FALSE)/$Z164*VLOOKUP(AI$5,feed_intensity_w,11,FALSE)</f>
        <v>#N/A</v>
      </c>
      <c r="AJ164" s="933" t="e">
        <f>VLOOKUP($W164,feed_mix_n,MATCH(AJ$5,feed_mix_w!$B$5:$AC$5,0),FALSE)/$Z164*VLOOKUP(AJ$5,feed_intensity_w,11,FALSE)</f>
        <v>#N/A</v>
      </c>
      <c r="AK164" s="933" t="e">
        <f>VLOOKUP($W164,feed_mix_n,MATCH(AK$5,feed_mix_w!$B$5:$AC$5,0),FALSE)/$Z164*VLOOKUP(AK$5,feed_intensity_w,11,FALSE)</f>
        <v>#N/A</v>
      </c>
      <c r="AL164" s="933" t="e">
        <f>VLOOKUP($W164,feed_mix_n,MATCH(AL$5,feed_mix_w!$B$5:$AC$5,0),FALSE)/$Z164*VLOOKUP(AL$5,feed_intensity_w,11,FALSE)</f>
        <v>#N/A</v>
      </c>
      <c r="AM164" s="933" t="e">
        <f>VLOOKUP($W164,feed_mix_n,MATCH(AM$5,feed_mix_w!$B$5:$AC$5,0),FALSE)/$Z164*VLOOKUP(AM$5,feed_intensity_w,11,FALSE)</f>
        <v>#N/A</v>
      </c>
      <c r="AN164" s="933" t="e">
        <f>VLOOKUP($W164,feed_mix_n,MATCH(AN$5,feed_mix_w!$B$5:$AC$5,0),FALSE)/$Z164*VLOOKUP(AN$5,feed_intensity_w,11,FALSE)</f>
        <v>#N/A</v>
      </c>
      <c r="AO164" s="933" t="e">
        <f>VLOOKUP($W164,feed_mix_n,MATCH(AO$5,feed_mix_w!$B$5:$AC$5,0),FALSE)/$Z164*VLOOKUP(AO$5,feed_intensity_w,11,FALSE)</f>
        <v>#N/A</v>
      </c>
      <c r="AP164" s="933" t="e">
        <f>VLOOKUP($W164,feed_mix_n,MATCH(AP$5,feed_mix_w!$B$5:$AC$5,0),FALSE)/$Z164*VLOOKUP(AP$5,feed_intensity_w,11,FALSE)</f>
        <v>#N/A</v>
      </c>
      <c r="AQ164" s="933" t="e">
        <f>VLOOKUP($W164,feed_mix_n,MATCH(AQ$5,feed_mix_w!$B$5:$AC$5,0),FALSE)/$Z164*VLOOKUP(AQ$5,feed_intensity_w,11,FALSE)</f>
        <v>#N/A</v>
      </c>
      <c r="AR164" s="933" t="e">
        <f>VLOOKUP($W164,feed_mix_n,MATCH(AR$5,feed_mix_w!$B$5:$AC$5,0),FALSE)/$Z164*VLOOKUP(AR$5,feed_intensity_w,11,FALSE)</f>
        <v>#N/A</v>
      </c>
      <c r="AS164" s="1105" t="e">
        <f>VLOOKUP($W164,feed_mix_n,MATCH(AS$5,feed_mix_w!$B$5:$AC$5,0),FALSE)/$Z164*VLOOKUP(AS$5,feed_intensity_w,11,FALSE)</f>
        <v>#N/A</v>
      </c>
    </row>
    <row r="165" spans="1:45" ht="12.75" customHeight="1">
      <c r="A165" s="1008" t="s">
        <v>7430</v>
      </c>
      <c r="B165" s="1102">
        <v>1218</v>
      </c>
      <c r="C165" s="1103" t="s">
        <v>5509</v>
      </c>
      <c r="D165" s="1158">
        <v>58</v>
      </c>
      <c r="E165" s="1158">
        <v>62</v>
      </c>
      <c r="F165" s="1012">
        <f t="shared" si="44"/>
        <v>58</v>
      </c>
      <c r="G165" s="1012">
        <f t="shared" si="45"/>
        <v>62</v>
      </c>
      <c r="H165" s="933" t="e">
        <f t="shared" si="46"/>
        <v>#N/A</v>
      </c>
      <c r="I165" s="1486">
        <f t="shared" si="47"/>
        <v>0</v>
      </c>
      <c r="J165" s="1006">
        <f>IFERROR(G165*VLOOKUP(W165,livestock_intensity!$B$7:$I$29,8,FALSE)/Z165,0)</f>
        <v>0</v>
      </c>
      <c r="K165" s="933" t="e">
        <f>VLOOKUP($W165,feed_mix_n,MATCH(K$5,feed_mix_w!$B$5:$AC$5,0),FALSE)/$Z165*VLOOKUP(K$5,feed_intensity_w,11,FALSE)</f>
        <v>#N/A</v>
      </c>
      <c r="L165" s="1486">
        <f t="shared" si="48"/>
        <v>0</v>
      </c>
      <c r="M165" s="1447">
        <f>IFERROR(G165*VLOOKUP(W165,livestock_intensity!$B$7:$M$29,12,FALSE)/Z165,0)</f>
        <v>0</v>
      </c>
      <c r="N165" s="933" t="e">
        <f>VLOOKUP($W165,feed_mix_n,MATCH(N$5,feed_mix_w!$B$5:$AC$5,0),FALSE)/$Z165*VLOOKUP(N$5,feed_intensity_w,11,FALSE)</f>
        <v>#N/A</v>
      </c>
      <c r="O165" s="1486">
        <f t="shared" si="49"/>
        <v>0</v>
      </c>
      <c r="P165" s="939">
        <f>IFERROR(G165*VLOOKUP(W165,livestock_intensity!$B$7:$Q$29,16,FALSE)/Z165,0)</f>
        <v>0</v>
      </c>
      <c r="Q165" s="1530"/>
      <c r="R165" s="900">
        <f t="shared" si="50"/>
        <v>0</v>
      </c>
      <c r="S165" s="900">
        <f t="shared" si="51"/>
        <v>0</v>
      </c>
      <c r="T165" s="1483" t="s">
        <v>2862</v>
      </c>
      <c r="U165" s="1211" t="s">
        <v>2921</v>
      </c>
      <c r="V165" s="1212">
        <f>IFERROR(VLOOKUP(W165,constant_ag_extr!$D$7:$E$594,2,FALSE),"")</f>
        <v>0</v>
      </c>
      <c r="W165" s="1213" t="str">
        <f t="shared" si="52"/>
        <v/>
      </c>
      <c r="X165" s="1099">
        <f>IFERROR(IF(VLOOKUP(B165,cnst_grazing!$C$10:$H$25,5,FALSE)="", IF(VLOOKUP(B165, cnst_grazing!$C$10:$H$25,3,FALSE)="", VLOOKUP(B165, cnst_grazing!$C$10:$H$25,4,FALSE),VLOOKUP(B165, cnst_grazing!$C$10:$H$25,3,FALSE)), VLOOKUP(B165,cnst_grazing!$C$10:$H$25,5,FALSE)),1)</f>
        <v>1</v>
      </c>
      <c r="Y165" s="1099">
        <f>IFERROR(IF(VLOOKUP(B165,cnst_grazing!$C$10:$H$25,6,FALSE)="", IF(VLOOKUP(B165, cnst_grazing!$C$10:$H$25,4,FALSE)="", VLOOKUP(B165, cnst_grazing!$C$10:$H$25,3,FALSE),VLOOKUP(B165, cnst_grazing!$C$10:$H$25,4,FALSE)), VLOOKUP(B165,cnst_grazing!$C$10:$H$25,6,FALSE)),1)</f>
        <v>1</v>
      </c>
      <c r="Z165" s="937">
        <f t="shared" si="53"/>
        <v>1</v>
      </c>
      <c r="AA165" s="1487" t="e">
        <f t="shared" si="54"/>
        <v>#N/A</v>
      </c>
      <c r="AB165" s="933" t="e">
        <f>VLOOKUP($W165,feed_mix_n,MATCH(AB$5,feed_mix_w!$B$5:$AC$5,0),FALSE)/$Z165*VLOOKUP(AB$5,feed_intensity_w,11,FALSE)</f>
        <v>#N/A</v>
      </c>
      <c r="AC165" s="933" t="e">
        <f>VLOOKUP($W165,feed_mix_n,MATCH(AC$5,feed_mix_w!$B$5:$AC$5,0),FALSE)/$Z165*VLOOKUP(AC$5,feed_intensity_w,11,FALSE)</f>
        <v>#N/A</v>
      </c>
      <c r="AD165" s="933" t="e">
        <f>VLOOKUP($W165,feed_mix_n,MATCH(AD$5,feed_mix_w!$B$5:$AC$5,0),FALSE)/$Z165*VLOOKUP(AD$5,feed_intensity_w,11,FALSE)</f>
        <v>#N/A</v>
      </c>
      <c r="AE165" s="933" t="e">
        <f>VLOOKUP($W165,feed_mix_n,MATCH(AE$5,feed_mix_w!$B$5:$AC$5,0),FALSE)/$Z165*VLOOKUP(AE$5,feed_intensity_w,11,FALSE)</f>
        <v>#N/A</v>
      </c>
      <c r="AF165" s="933" t="e">
        <f>VLOOKUP($W165,feed_mix_n,MATCH(AF$5,feed_mix_w!$B$5:$AC$5,0),FALSE)/$Z165*VLOOKUP(AF$5,feed_intensity_w,11,FALSE)</f>
        <v>#N/A</v>
      </c>
      <c r="AG165" s="933" t="e">
        <f>VLOOKUP($W165,feed_mix_n,MATCH(AG$5,feed_mix_w!$B$5:$AC$5,0),FALSE)/$Z165*VLOOKUP(AG$5,feed_intensity_w,11,FALSE)</f>
        <v>#N/A</v>
      </c>
      <c r="AH165" s="933" t="e">
        <f>VLOOKUP($W165,feed_mix_n,MATCH(AH$5,feed_mix_w!$B$5:$AC$5,0),FALSE)/$Z165*VLOOKUP(AH$5,feed_intensity_w,11,FALSE)</f>
        <v>#N/A</v>
      </c>
      <c r="AI165" s="933" t="e">
        <f>VLOOKUP($W165,feed_mix_n,MATCH(AI$5,feed_mix_w!$B$5:$AC$5,0),FALSE)/$Z165*VLOOKUP(AI$5,feed_intensity_w,11,FALSE)</f>
        <v>#N/A</v>
      </c>
      <c r="AJ165" s="933" t="e">
        <f>VLOOKUP($W165,feed_mix_n,MATCH(AJ$5,feed_mix_w!$B$5:$AC$5,0),FALSE)/$Z165*VLOOKUP(AJ$5,feed_intensity_w,11,FALSE)</f>
        <v>#N/A</v>
      </c>
      <c r="AK165" s="933" t="e">
        <f>VLOOKUP($W165,feed_mix_n,MATCH(AK$5,feed_mix_w!$B$5:$AC$5,0),FALSE)/$Z165*VLOOKUP(AK$5,feed_intensity_w,11,FALSE)</f>
        <v>#N/A</v>
      </c>
      <c r="AL165" s="933" t="e">
        <f>VLOOKUP($W165,feed_mix_n,MATCH(AL$5,feed_mix_w!$B$5:$AC$5,0),FALSE)/$Z165*VLOOKUP(AL$5,feed_intensity_w,11,FALSE)</f>
        <v>#N/A</v>
      </c>
      <c r="AM165" s="933" t="e">
        <f>VLOOKUP($W165,feed_mix_n,MATCH(AM$5,feed_mix_w!$B$5:$AC$5,0),FALSE)/$Z165*VLOOKUP(AM$5,feed_intensity_w,11,FALSE)</f>
        <v>#N/A</v>
      </c>
      <c r="AN165" s="933" t="e">
        <f>VLOOKUP($W165,feed_mix_n,MATCH(AN$5,feed_mix_w!$B$5:$AC$5,0),FALSE)/$Z165*VLOOKUP(AN$5,feed_intensity_w,11,FALSE)</f>
        <v>#N/A</v>
      </c>
      <c r="AO165" s="933" t="e">
        <f>VLOOKUP($W165,feed_mix_n,MATCH(AO$5,feed_mix_w!$B$5:$AC$5,0),FALSE)/$Z165*VLOOKUP(AO$5,feed_intensity_w,11,FALSE)</f>
        <v>#N/A</v>
      </c>
      <c r="AP165" s="933" t="e">
        <f>VLOOKUP($W165,feed_mix_n,MATCH(AP$5,feed_mix_w!$B$5:$AC$5,0),FALSE)/$Z165*VLOOKUP(AP$5,feed_intensity_w,11,FALSE)</f>
        <v>#N/A</v>
      </c>
      <c r="AQ165" s="933" t="e">
        <f>VLOOKUP($W165,feed_mix_n,MATCH(AQ$5,feed_mix_w!$B$5:$AC$5,0),FALSE)/$Z165*VLOOKUP(AQ$5,feed_intensity_w,11,FALSE)</f>
        <v>#N/A</v>
      </c>
      <c r="AR165" s="933" t="e">
        <f>VLOOKUP($W165,feed_mix_n,MATCH(AR$5,feed_mix_w!$B$5:$AC$5,0),FALSE)/$Z165*VLOOKUP(AR$5,feed_intensity_w,11,FALSE)</f>
        <v>#N/A</v>
      </c>
      <c r="AS165" s="1105" t="e">
        <f>VLOOKUP($W165,feed_mix_n,MATCH(AS$5,feed_mix_w!$B$5:$AC$5,0),FALSE)/$Z165*VLOOKUP(AS$5,feed_intensity_w,11,FALSE)</f>
        <v>#N/A</v>
      </c>
    </row>
    <row r="166" spans="1:45" ht="12.75" customHeight="1">
      <c r="A166" s="1008" t="s">
        <v>5446</v>
      </c>
      <c r="B166" s="1102">
        <v>1219</v>
      </c>
      <c r="C166" s="1103" t="s">
        <v>1275</v>
      </c>
      <c r="D166" s="1158"/>
      <c r="E166" s="1158"/>
      <c r="F166" s="1012">
        <f t="shared" si="44"/>
        <v>0</v>
      </c>
      <c r="G166" s="1012">
        <f t="shared" si="45"/>
        <v>0</v>
      </c>
      <c r="H166" s="933" t="e">
        <f t="shared" si="46"/>
        <v>#N/A</v>
      </c>
      <c r="I166" s="1486">
        <f t="shared" si="47"/>
        <v>0</v>
      </c>
      <c r="J166" s="1006">
        <f>IFERROR(G166*VLOOKUP(W166,livestock_intensity!$B$7:$I$29,8,FALSE)/Z166,0)</f>
        <v>0</v>
      </c>
      <c r="K166" s="933" t="e">
        <f>VLOOKUP($W166,feed_mix_n,MATCH(K$5,feed_mix_w!$B$5:$AC$5,0),FALSE)/$Z166*VLOOKUP(K$5,feed_intensity_w,11,FALSE)</f>
        <v>#N/A</v>
      </c>
      <c r="L166" s="1486">
        <f t="shared" si="48"/>
        <v>0</v>
      </c>
      <c r="M166" s="1447">
        <f>IFERROR(G166*VLOOKUP(W166,livestock_intensity!$B$7:$M$29,12,FALSE)/Z166,0)</f>
        <v>0</v>
      </c>
      <c r="N166" s="933" t="e">
        <f>VLOOKUP($W166,feed_mix_n,MATCH(N$5,feed_mix_w!$B$5:$AC$5,0),FALSE)/$Z166*VLOOKUP(N$5,feed_intensity_w,11,FALSE)</f>
        <v>#N/A</v>
      </c>
      <c r="O166" s="1486">
        <f t="shared" si="49"/>
        <v>0</v>
      </c>
      <c r="P166" s="939">
        <f>IFERROR(G166*VLOOKUP(W166,livestock_intensity!$B$7:$Q$29,16,FALSE)/Z166,0)</f>
        <v>0</v>
      </c>
      <c r="Q166" s="1530"/>
      <c r="R166" s="900">
        <f t="shared" si="50"/>
        <v>0</v>
      </c>
      <c r="S166" s="900">
        <f t="shared" si="51"/>
        <v>0</v>
      </c>
      <c r="T166" s="1483" t="s">
        <v>2862</v>
      </c>
      <c r="U166" s="1211" t="s">
        <v>2921</v>
      </c>
      <c r="V166" s="1212">
        <f>IFERROR(VLOOKUP(W166,constant_ag_extr!$D$7:$E$594,2,FALSE),"")</f>
        <v>0</v>
      </c>
      <c r="W166" s="1213" t="str">
        <f t="shared" si="52"/>
        <v/>
      </c>
      <c r="X166" s="1099">
        <f>IFERROR(IF(VLOOKUP(B166,cnst_grazing!$C$10:$H$25,5,FALSE)="", IF(VLOOKUP(B166, cnst_grazing!$C$10:$H$25,3,FALSE)="", VLOOKUP(B166, cnst_grazing!$C$10:$H$25,4,FALSE),VLOOKUP(B166, cnst_grazing!$C$10:$H$25,3,FALSE)), VLOOKUP(B166,cnst_grazing!$C$10:$H$25,5,FALSE)),1)</f>
        <v>1</v>
      </c>
      <c r="Y166" s="1099">
        <f>IFERROR(IF(VLOOKUP(B166,cnst_grazing!$C$10:$H$25,6,FALSE)="", IF(VLOOKUP(B166, cnst_grazing!$C$10:$H$25,4,FALSE)="", VLOOKUP(B166, cnst_grazing!$C$10:$H$25,3,FALSE),VLOOKUP(B166, cnst_grazing!$C$10:$H$25,4,FALSE)), VLOOKUP(B166,cnst_grazing!$C$10:$H$25,6,FALSE)),1)</f>
        <v>1</v>
      </c>
      <c r="Z166" s="937">
        <f t="shared" si="53"/>
        <v>1</v>
      </c>
      <c r="AA166" s="1487" t="e">
        <f t="shared" si="54"/>
        <v>#N/A</v>
      </c>
      <c r="AB166" s="933" t="e">
        <f>VLOOKUP($W166,feed_mix_n,MATCH(AB$5,feed_mix_w!$B$5:$AC$5,0),FALSE)/$Z166*VLOOKUP(AB$5,feed_intensity_w,11,FALSE)</f>
        <v>#N/A</v>
      </c>
      <c r="AC166" s="933" t="e">
        <f>VLOOKUP($W166,feed_mix_n,MATCH(AC$5,feed_mix_w!$B$5:$AC$5,0),FALSE)/$Z166*VLOOKUP(AC$5,feed_intensity_w,11,FALSE)</f>
        <v>#N/A</v>
      </c>
      <c r="AD166" s="933" t="e">
        <f>VLOOKUP($W166,feed_mix_n,MATCH(AD$5,feed_mix_w!$B$5:$AC$5,0),FALSE)/$Z166*VLOOKUP(AD$5,feed_intensity_w,11,FALSE)</f>
        <v>#N/A</v>
      </c>
      <c r="AE166" s="933" t="e">
        <f>VLOOKUP($W166,feed_mix_n,MATCH(AE$5,feed_mix_w!$B$5:$AC$5,0),FALSE)/$Z166*VLOOKUP(AE$5,feed_intensity_w,11,FALSE)</f>
        <v>#N/A</v>
      </c>
      <c r="AF166" s="933" t="e">
        <f>VLOOKUP($W166,feed_mix_n,MATCH(AF$5,feed_mix_w!$B$5:$AC$5,0),FALSE)/$Z166*VLOOKUP(AF$5,feed_intensity_w,11,FALSE)</f>
        <v>#N/A</v>
      </c>
      <c r="AG166" s="933" t="e">
        <f>VLOOKUP($W166,feed_mix_n,MATCH(AG$5,feed_mix_w!$B$5:$AC$5,0),FALSE)/$Z166*VLOOKUP(AG$5,feed_intensity_w,11,FALSE)</f>
        <v>#N/A</v>
      </c>
      <c r="AH166" s="933" t="e">
        <f>VLOOKUP($W166,feed_mix_n,MATCH(AH$5,feed_mix_w!$B$5:$AC$5,0),FALSE)/$Z166*VLOOKUP(AH$5,feed_intensity_w,11,FALSE)</f>
        <v>#N/A</v>
      </c>
      <c r="AI166" s="933" t="e">
        <f>VLOOKUP($W166,feed_mix_n,MATCH(AI$5,feed_mix_w!$B$5:$AC$5,0),FALSE)/$Z166*VLOOKUP(AI$5,feed_intensity_w,11,FALSE)</f>
        <v>#N/A</v>
      </c>
      <c r="AJ166" s="933" t="e">
        <f>VLOOKUP($W166,feed_mix_n,MATCH(AJ$5,feed_mix_w!$B$5:$AC$5,0),FALSE)/$Z166*VLOOKUP(AJ$5,feed_intensity_w,11,FALSE)</f>
        <v>#N/A</v>
      </c>
      <c r="AK166" s="933" t="e">
        <f>VLOOKUP($W166,feed_mix_n,MATCH(AK$5,feed_mix_w!$B$5:$AC$5,0),FALSE)/$Z166*VLOOKUP(AK$5,feed_intensity_w,11,FALSE)</f>
        <v>#N/A</v>
      </c>
      <c r="AL166" s="933" t="e">
        <f>VLOOKUP($W166,feed_mix_n,MATCH(AL$5,feed_mix_w!$B$5:$AC$5,0),FALSE)/$Z166*VLOOKUP(AL$5,feed_intensity_w,11,FALSE)</f>
        <v>#N/A</v>
      </c>
      <c r="AM166" s="933" t="e">
        <f>VLOOKUP($W166,feed_mix_n,MATCH(AM$5,feed_mix_w!$B$5:$AC$5,0),FALSE)/$Z166*VLOOKUP(AM$5,feed_intensity_w,11,FALSE)</f>
        <v>#N/A</v>
      </c>
      <c r="AN166" s="933" t="e">
        <f>VLOOKUP($W166,feed_mix_n,MATCH(AN$5,feed_mix_w!$B$5:$AC$5,0),FALSE)/$Z166*VLOOKUP(AN$5,feed_intensity_w,11,FALSE)</f>
        <v>#N/A</v>
      </c>
      <c r="AO166" s="933" t="e">
        <f>VLOOKUP($W166,feed_mix_n,MATCH(AO$5,feed_mix_w!$B$5:$AC$5,0),FALSE)/$Z166*VLOOKUP(AO$5,feed_intensity_w,11,FALSE)</f>
        <v>#N/A</v>
      </c>
      <c r="AP166" s="933" t="e">
        <f>VLOOKUP($W166,feed_mix_n,MATCH(AP$5,feed_mix_w!$B$5:$AC$5,0),FALSE)/$Z166*VLOOKUP(AP$5,feed_intensity_w,11,FALSE)</f>
        <v>#N/A</v>
      </c>
      <c r="AQ166" s="933" t="e">
        <f>VLOOKUP($W166,feed_mix_n,MATCH(AQ$5,feed_mix_w!$B$5:$AC$5,0),FALSE)/$Z166*VLOOKUP(AQ$5,feed_intensity_w,11,FALSE)</f>
        <v>#N/A</v>
      </c>
      <c r="AR166" s="933" t="e">
        <f>VLOOKUP($W166,feed_mix_n,MATCH(AR$5,feed_mix_w!$B$5:$AC$5,0),FALSE)/$Z166*VLOOKUP(AR$5,feed_intensity_w,11,FALSE)</f>
        <v>#N/A</v>
      </c>
      <c r="AS166" s="1105" t="e">
        <f>VLOOKUP($W166,feed_mix_n,MATCH(AS$5,feed_mix_w!$B$5:$AC$5,0),FALSE)/$Z166*VLOOKUP(AS$5,feed_intensity_w,11,FALSE)</f>
        <v>#N/A</v>
      </c>
    </row>
    <row r="167" spans="1:45" ht="12.75" customHeight="1">
      <c r="A167" s="1008" t="s">
        <v>1488</v>
      </c>
      <c r="B167" s="1102">
        <v>1221</v>
      </c>
      <c r="C167" s="1103">
        <v>1503</v>
      </c>
      <c r="D167" s="1158"/>
      <c r="E167" s="1158"/>
      <c r="F167" s="1012">
        <f t="shared" ref="F167:F172" si="55">D167*X167</f>
        <v>0</v>
      </c>
      <c r="G167" s="1012">
        <f t="shared" ref="G167:G172" si="56">E167*Y167</f>
        <v>0</v>
      </c>
      <c r="H167" s="933" t="e">
        <f t="shared" ref="H167:H172" si="57">SUM(AB167:AP167)+AR167+AS167</f>
        <v>#N/A</v>
      </c>
      <c r="I167" s="1486">
        <f t="shared" ref="I167:I172" si="58">IFERROR(F167*VLOOKUP(B167,livestock_intensity_w,7,FALSE),0)</f>
        <v>0</v>
      </c>
      <c r="J167" s="1006">
        <f>IFERROR(G167*VLOOKUP(W167,livestock_intensity!$B$7:$I$29,8,FALSE)/Z167,0)</f>
        <v>0</v>
      </c>
      <c r="K167" s="933" t="e">
        <f>VLOOKUP($W167,feed_mix_n,MATCH(K$5,feed_mix_w!$B$5:$AC$5,0),FALSE)/$Z167*VLOOKUP(K$5,feed_intensity_w,11,FALSE)</f>
        <v>#N/A</v>
      </c>
      <c r="L167" s="1486">
        <f t="shared" ref="L167:L172" si="59">IFERROR(F167*VLOOKUP($B167,livestock_intensity_w,10,FALSE),0)</f>
        <v>0</v>
      </c>
      <c r="M167" s="1447">
        <f>IFERROR(G167*VLOOKUP(W167,livestock_intensity!$B$7:$M$29,12,FALSE)/Z167,0)</f>
        <v>0</v>
      </c>
      <c r="N167" s="933" t="e">
        <f>VLOOKUP($W167,feed_mix_n,MATCH(N$5,feed_mix_w!$B$5:$AC$5,0),FALSE)/$Z167*VLOOKUP(N$5,feed_intensity_w,11,FALSE)</f>
        <v>#N/A</v>
      </c>
      <c r="O167" s="1486">
        <f t="shared" ref="O167:O172" si="60">IFERROR(F167*VLOOKUP(B167,livestock_intensity_w,13,FALSE),0)</f>
        <v>0</v>
      </c>
      <c r="P167" s="939">
        <f>IFERROR(G167*VLOOKUP(W167,livestock_intensity!$B$7:$Q$29,16,FALSE)/Z167,0)</f>
        <v>0</v>
      </c>
      <c r="Q167" s="1530"/>
      <c r="R167" s="900">
        <f t="shared" ref="R167:R172" si="61">IFERROR(SUM(I167,L167,O167),0)</f>
        <v>0</v>
      </c>
      <c r="S167" s="900">
        <f t="shared" ref="S167:S172" si="62">IFERROR(SUM(J167,M167,P167),0)</f>
        <v>0</v>
      </c>
      <c r="T167" s="1483" t="s">
        <v>2862</v>
      </c>
      <c r="U167" s="1211" t="s">
        <v>2921</v>
      </c>
      <c r="V167" s="1212">
        <f>IFERROR(VLOOKUP(W167,constant_ag_extr!$D$7:$E$594,2,FALSE),"")</f>
        <v>0</v>
      </c>
      <c r="W167" s="1213" t="str">
        <f t="shared" ref="W167:W172" si="63">IFERROR(VLOOKUP(B167,constant_ag_extr,3,FALSE),"")</f>
        <v/>
      </c>
      <c r="X167" s="1099">
        <f>IFERROR(IF(VLOOKUP(B167,cnst_grazing!$C$10:$H$25,5,FALSE)="", IF(VLOOKUP(B167, cnst_grazing!$C$10:$H$25,3,FALSE)="", VLOOKUP(B167, cnst_grazing!$C$10:$H$25,4,FALSE),VLOOKUP(B167, cnst_grazing!$C$10:$H$25,3,FALSE)), VLOOKUP(B167,cnst_grazing!$C$10:$H$25,5,FALSE)),1)</f>
        <v>1</v>
      </c>
      <c r="Y167" s="1099">
        <f>IFERROR(IF(VLOOKUP(B167,cnst_grazing!$C$10:$H$25,6,FALSE)="", IF(VLOOKUP(B167, cnst_grazing!$C$10:$H$25,4,FALSE)="", VLOOKUP(B167, cnst_grazing!$C$10:$H$25,3,FALSE),VLOOKUP(B167, cnst_grazing!$C$10:$H$25,4,FALSE)), VLOOKUP(B167,cnst_grazing!$C$10:$H$25,6,FALSE)),1)</f>
        <v>1</v>
      </c>
      <c r="Z167" s="937">
        <f t="shared" ref="Z167:Z172" si="64">IFERROR(VLOOKUP(B167,constant_ag_extr,14,FALSE),"-")</f>
        <v>1</v>
      </c>
      <c r="AA167" s="1487" t="e">
        <f t="shared" ref="AA167:AA172" si="65">H167+N167</f>
        <v>#N/A</v>
      </c>
      <c r="AB167" s="933" t="e">
        <f>VLOOKUP($W167,feed_mix_n,MATCH(AB$5,feed_mix_w!$B$5:$AC$5,0),FALSE)/$Z167*VLOOKUP(AB$5,feed_intensity_w,11,FALSE)</f>
        <v>#N/A</v>
      </c>
      <c r="AC167" s="933" t="e">
        <f>VLOOKUP($W167,feed_mix_n,MATCH(AC$5,feed_mix_w!$B$5:$AC$5,0),FALSE)/$Z167*VLOOKUP(AC$5,feed_intensity_w,11,FALSE)</f>
        <v>#N/A</v>
      </c>
      <c r="AD167" s="933" t="e">
        <f>VLOOKUP($W167,feed_mix_n,MATCH(AD$5,feed_mix_w!$B$5:$AC$5,0),FALSE)/$Z167*VLOOKUP(AD$5,feed_intensity_w,11,FALSE)</f>
        <v>#N/A</v>
      </c>
      <c r="AE167" s="933" t="e">
        <f>VLOOKUP($W167,feed_mix_n,MATCH(AE$5,feed_mix_w!$B$5:$AC$5,0),FALSE)/$Z167*VLOOKUP(AE$5,feed_intensity_w,11,FALSE)</f>
        <v>#N/A</v>
      </c>
      <c r="AF167" s="933" t="e">
        <f>VLOOKUP($W167,feed_mix_n,MATCH(AF$5,feed_mix_w!$B$5:$AC$5,0),FALSE)/$Z167*VLOOKUP(AF$5,feed_intensity_w,11,FALSE)</f>
        <v>#N/A</v>
      </c>
      <c r="AG167" s="933" t="e">
        <f>VLOOKUP($W167,feed_mix_n,MATCH(AG$5,feed_mix_w!$B$5:$AC$5,0),FALSE)/$Z167*VLOOKUP(AG$5,feed_intensity_w,11,FALSE)</f>
        <v>#N/A</v>
      </c>
      <c r="AH167" s="933" t="e">
        <f>VLOOKUP($W167,feed_mix_n,MATCH(AH$5,feed_mix_w!$B$5:$AC$5,0),FALSE)/$Z167*VLOOKUP(AH$5,feed_intensity_w,11,FALSE)</f>
        <v>#N/A</v>
      </c>
      <c r="AI167" s="933" t="e">
        <f>VLOOKUP($W167,feed_mix_n,MATCH(AI$5,feed_mix_w!$B$5:$AC$5,0),FALSE)/$Z167*VLOOKUP(AI$5,feed_intensity_w,11,FALSE)</f>
        <v>#N/A</v>
      </c>
      <c r="AJ167" s="933" t="e">
        <f>VLOOKUP($W167,feed_mix_n,MATCH(AJ$5,feed_mix_w!$B$5:$AC$5,0),FALSE)/$Z167*VLOOKUP(AJ$5,feed_intensity_w,11,FALSE)</f>
        <v>#N/A</v>
      </c>
      <c r="AK167" s="933" t="e">
        <f>VLOOKUP($W167,feed_mix_n,MATCH(AK$5,feed_mix_w!$B$5:$AC$5,0),FALSE)/$Z167*VLOOKUP(AK$5,feed_intensity_w,11,FALSE)</f>
        <v>#N/A</v>
      </c>
      <c r="AL167" s="933" t="e">
        <f>VLOOKUP($W167,feed_mix_n,MATCH(AL$5,feed_mix_w!$B$5:$AC$5,0),FALSE)/$Z167*VLOOKUP(AL$5,feed_intensity_w,11,FALSE)</f>
        <v>#N/A</v>
      </c>
      <c r="AM167" s="933" t="e">
        <f>VLOOKUP($W167,feed_mix_n,MATCH(AM$5,feed_mix_w!$B$5:$AC$5,0),FALSE)/$Z167*VLOOKUP(AM$5,feed_intensity_w,11,FALSE)</f>
        <v>#N/A</v>
      </c>
      <c r="AN167" s="933" t="e">
        <f>VLOOKUP($W167,feed_mix_n,MATCH(AN$5,feed_mix_w!$B$5:$AC$5,0),FALSE)/$Z167*VLOOKUP(AN$5,feed_intensity_w,11,FALSE)</f>
        <v>#N/A</v>
      </c>
      <c r="AO167" s="933" t="e">
        <f>VLOOKUP($W167,feed_mix_n,MATCH(AO$5,feed_mix_w!$B$5:$AC$5,0),FALSE)/$Z167*VLOOKUP(AO$5,feed_intensity_w,11,FALSE)</f>
        <v>#N/A</v>
      </c>
      <c r="AP167" s="933" t="e">
        <f>VLOOKUP($W167,feed_mix_n,MATCH(AP$5,feed_mix_w!$B$5:$AC$5,0),FALSE)/$Z167*VLOOKUP(AP$5,feed_intensity_w,11,FALSE)</f>
        <v>#N/A</v>
      </c>
      <c r="AQ167" s="933" t="e">
        <f>VLOOKUP($W167,feed_mix_n,MATCH(AQ$5,feed_mix_w!$B$5:$AC$5,0),FALSE)/$Z167*VLOOKUP(AQ$5,feed_intensity_w,11,FALSE)</f>
        <v>#N/A</v>
      </c>
      <c r="AR167" s="933" t="e">
        <f>VLOOKUP($W167,feed_mix_n,MATCH(AR$5,feed_mix_w!$B$5:$AC$5,0),FALSE)/$Z167*VLOOKUP(AR$5,feed_intensity_w,11,FALSE)</f>
        <v>#N/A</v>
      </c>
      <c r="AS167" s="1105" t="e">
        <f>VLOOKUP($W167,feed_mix_n,MATCH(AS$5,feed_mix_w!$B$5:$AC$5,0),FALSE)/$Z167*VLOOKUP(AS$5,feed_intensity_w,11,FALSE)</f>
        <v>#N/A</v>
      </c>
    </row>
    <row r="168" spans="1:45" ht="12.75" customHeight="1">
      <c r="A168" s="1008" t="s">
        <v>4805</v>
      </c>
      <c r="B168" s="1102">
        <v>1225</v>
      </c>
      <c r="C168" s="1103" t="s">
        <v>1761</v>
      </c>
      <c r="D168" s="1158">
        <v>59452</v>
      </c>
      <c r="E168" s="1158">
        <v>455529</v>
      </c>
      <c r="F168" s="1012">
        <f t="shared" si="55"/>
        <v>59452</v>
      </c>
      <c r="G168" s="1012">
        <f t="shared" si="56"/>
        <v>455529</v>
      </c>
      <c r="H168" s="933" t="e">
        <f t="shared" si="57"/>
        <v>#N/A</v>
      </c>
      <c r="I168" s="1486">
        <f t="shared" si="58"/>
        <v>0</v>
      </c>
      <c r="J168" s="1006">
        <f>IFERROR(G168*VLOOKUP(W168,livestock_intensity!$B$7:$I$29,8,FALSE)/Z168,0)</f>
        <v>0</v>
      </c>
      <c r="K168" s="933" t="e">
        <f>VLOOKUP($W168,feed_mix_n,MATCH(K$5,feed_mix_w!$B$5:$AC$5,0),FALSE)/$Z168*VLOOKUP(K$5,feed_intensity_w,11,FALSE)</f>
        <v>#N/A</v>
      </c>
      <c r="L168" s="1486">
        <f t="shared" si="59"/>
        <v>0</v>
      </c>
      <c r="M168" s="1447">
        <f>IFERROR(G168*VLOOKUP(W168,livestock_intensity!$B$7:$M$29,12,FALSE)/Z168,0)</f>
        <v>0</v>
      </c>
      <c r="N168" s="933" t="e">
        <f>VLOOKUP($W168,feed_mix_n,MATCH(N$5,feed_mix_w!$B$5:$AC$5,0),FALSE)/$Z168*VLOOKUP(N$5,feed_intensity_w,11,FALSE)</f>
        <v>#N/A</v>
      </c>
      <c r="O168" s="1486">
        <f t="shared" si="60"/>
        <v>0</v>
      </c>
      <c r="P168" s="939">
        <f>IFERROR(G168*VLOOKUP(W168,livestock_intensity!$B$7:$Q$29,16,FALSE)/Z168,0)</f>
        <v>0</v>
      </c>
      <c r="Q168" s="1530"/>
      <c r="R168" s="900">
        <f t="shared" si="61"/>
        <v>0</v>
      </c>
      <c r="S168" s="900">
        <f t="shared" si="62"/>
        <v>0</v>
      </c>
      <c r="T168" s="1483" t="s">
        <v>2862</v>
      </c>
      <c r="U168" s="1211" t="s">
        <v>415</v>
      </c>
      <c r="V168" s="1212">
        <f>IFERROR(VLOOKUP(W168,constant_ag_extr!$D$7:$E$594,2,FALSE),"")</f>
        <v>0</v>
      </c>
      <c r="W168" s="1213" t="str">
        <f t="shared" si="63"/>
        <v/>
      </c>
      <c r="X168" s="1099">
        <f>IFERROR(IF(VLOOKUP(B168,cnst_grazing!$C$10:$H$25,5,FALSE)="", IF(VLOOKUP(B168, cnst_grazing!$C$10:$H$25,3,FALSE)="", VLOOKUP(B168, cnst_grazing!$C$10:$H$25,4,FALSE),VLOOKUP(B168, cnst_grazing!$C$10:$H$25,3,FALSE)), VLOOKUP(B168,cnst_grazing!$C$10:$H$25,5,FALSE)),1)</f>
        <v>1</v>
      </c>
      <c r="Y168" s="1099">
        <f>IFERROR(IF(VLOOKUP(B168,cnst_grazing!$C$10:$H$25,6,FALSE)="", IF(VLOOKUP(B168, cnst_grazing!$C$10:$H$25,4,FALSE)="", VLOOKUP(B168, cnst_grazing!$C$10:$H$25,3,FALSE),VLOOKUP(B168, cnst_grazing!$C$10:$H$25,4,FALSE)), VLOOKUP(B168,cnst_grazing!$C$10:$H$25,6,FALSE)),1)</f>
        <v>1</v>
      </c>
      <c r="Z168" s="937">
        <f t="shared" si="64"/>
        <v>1</v>
      </c>
      <c r="AA168" s="1487" t="e">
        <f t="shared" si="65"/>
        <v>#N/A</v>
      </c>
      <c r="AB168" s="933" t="e">
        <f>VLOOKUP($W168,feed_mix_n,MATCH(AB$5,feed_mix_w!$B$5:$AC$5,0),FALSE)/$Z168*VLOOKUP(AB$5,feed_intensity_w,11,FALSE)</f>
        <v>#N/A</v>
      </c>
      <c r="AC168" s="933" t="e">
        <f>VLOOKUP($W168,feed_mix_n,MATCH(AC$5,feed_mix_w!$B$5:$AC$5,0),FALSE)/$Z168*VLOOKUP(AC$5,feed_intensity_w,11,FALSE)</f>
        <v>#N/A</v>
      </c>
      <c r="AD168" s="933" t="e">
        <f>VLOOKUP($W168,feed_mix_n,MATCH(AD$5,feed_mix_w!$B$5:$AC$5,0),FALSE)/$Z168*VLOOKUP(AD$5,feed_intensity_w,11,FALSE)</f>
        <v>#N/A</v>
      </c>
      <c r="AE168" s="933" t="e">
        <f>VLOOKUP($W168,feed_mix_n,MATCH(AE$5,feed_mix_w!$B$5:$AC$5,0),FALSE)/$Z168*VLOOKUP(AE$5,feed_intensity_w,11,FALSE)</f>
        <v>#N/A</v>
      </c>
      <c r="AF168" s="933" t="e">
        <f>VLOOKUP($W168,feed_mix_n,MATCH(AF$5,feed_mix_w!$B$5:$AC$5,0),FALSE)/$Z168*VLOOKUP(AF$5,feed_intensity_w,11,FALSE)</f>
        <v>#N/A</v>
      </c>
      <c r="AG168" s="933" t="e">
        <f>VLOOKUP($W168,feed_mix_n,MATCH(AG$5,feed_mix_w!$B$5:$AC$5,0),FALSE)/$Z168*VLOOKUP(AG$5,feed_intensity_w,11,FALSE)</f>
        <v>#N/A</v>
      </c>
      <c r="AH168" s="933" t="e">
        <f>VLOOKUP($W168,feed_mix_n,MATCH(AH$5,feed_mix_w!$B$5:$AC$5,0),FALSE)/$Z168*VLOOKUP(AH$5,feed_intensity_w,11,FALSE)</f>
        <v>#N/A</v>
      </c>
      <c r="AI168" s="933" t="e">
        <f>VLOOKUP($W168,feed_mix_n,MATCH(AI$5,feed_mix_w!$B$5:$AC$5,0),FALSE)/$Z168*VLOOKUP(AI$5,feed_intensity_w,11,FALSE)</f>
        <v>#N/A</v>
      </c>
      <c r="AJ168" s="933" t="e">
        <f>VLOOKUP($W168,feed_mix_n,MATCH(AJ$5,feed_mix_w!$B$5:$AC$5,0),FALSE)/$Z168*VLOOKUP(AJ$5,feed_intensity_w,11,FALSE)</f>
        <v>#N/A</v>
      </c>
      <c r="AK168" s="933" t="e">
        <f>VLOOKUP($W168,feed_mix_n,MATCH(AK$5,feed_mix_w!$B$5:$AC$5,0),FALSE)/$Z168*VLOOKUP(AK$5,feed_intensity_w,11,FALSE)</f>
        <v>#N/A</v>
      </c>
      <c r="AL168" s="933" t="e">
        <f>VLOOKUP($W168,feed_mix_n,MATCH(AL$5,feed_mix_w!$B$5:$AC$5,0),FALSE)/$Z168*VLOOKUP(AL$5,feed_intensity_w,11,FALSE)</f>
        <v>#N/A</v>
      </c>
      <c r="AM168" s="933" t="e">
        <f>VLOOKUP($W168,feed_mix_n,MATCH(AM$5,feed_mix_w!$B$5:$AC$5,0),FALSE)/$Z168*VLOOKUP(AM$5,feed_intensity_w,11,FALSE)</f>
        <v>#N/A</v>
      </c>
      <c r="AN168" s="933" t="e">
        <f>VLOOKUP($W168,feed_mix_n,MATCH(AN$5,feed_mix_w!$B$5:$AC$5,0),FALSE)/$Z168*VLOOKUP(AN$5,feed_intensity_w,11,FALSE)</f>
        <v>#N/A</v>
      </c>
      <c r="AO168" s="933" t="e">
        <f>VLOOKUP($W168,feed_mix_n,MATCH(AO$5,feed_mix_w!$B$5:$AC$5,0),FALSE)/$Z168*VLOOKUP(AO$5,feed_intensity_w,11,FALSE)</f>
        <v>#N/A</v>
      </c>
      <c r="AP168" s="933" t="e">
        <f>VLOOKUP($W168,feed_mix_n,MATCH(AP$5,feed_mix_w!$B$5:$AC$5,0),FALSE)/$Z168*VLOOKUP(AP$5,feed_intensity_w,11,FALSE)</f>
        <v>#N/A</v>
      </c>
      <c r="AQ168" s="933" t="e">
        <f>VLOOKUP($W168,feed_mix_n,MATCH(AQ$5,feed_mix_w!$B$5:$AC$5,0),FALSE)/$Z168*VLOOKUP(AQ$5,feed_intensity_w,11,FALSE)</f>
        <v>#N/A</v>
      </c>
      <c r="AR168" s="933" t="e">
        <f>VLOOKUP($W168,feed_mix_n,MATCH(AR$5,feed_mix_w!$B$5:$AC$5,0),FALSE)/$Z168*VLOOKUP(AR$5,feed_intensity_w,11,FALSE)</f>
        <v>#N/A</v>
      </c>
      <c r="AS168" s="1105" t="e">
        <f>VLOOKUP($W168,feed_mix_n,MATCH(AS$5,feed_mix_w!$B$5:$AC$5,0),FALSE)/$Z168*VLOOKUP(AS$5,feed_intensity_w,11,FALSE)</f>
        <v>#N/A</v>
      </c>
    </row>
    <row r="169" spans="1:45" ht="12.75" customHeight="1">
      <c r="A169" s="1008" t="s">
        <v>7431</v>
      </c>
      <c r="B169" s="1102">
        <v>1243</v>
      </c>
      <c r="C169" s="1103" t="s">
        <v>1270</v>
      </c>
      <c r="D169" s="1158">
        <v>1713</v>
      </c>
      <c r="E169" s="1158">
        <v>85631</v>
      </c>
      <c r="F169" s="1012">
        <f t="shared" si="55"/>
        <v>1713</v>
      </c>
      <c r="G169" s="1012">
        <f t="shared" si="56"/>
        <v>85631</v>
      </c>
      <c r="H169" s="933" t="e">
        <f t="shared" si="57"/>
        <v>#N/A</v>
      </c>
      <c r="I169" s="1486">
        <f t="shared" si="58"/>
        <v>0</v>
      </c>
      <c r="J169" s="1006">
        <f>IFERROR(G169*VLOOKUP(W169,livestock_intensity!$B$7:$I$29,8,FALSE)/Z169,0)</f>
        <v>0</v>
      </c>
      <c r="K169" s="933" t="e">
        <f>VLOOKUP($W169,feed_mix_n,MATCH(K$5,feed_mix_w!$B$5:$AC$5,0),FALSE)/$Z169*VLOOKUP(K$5,feed_intensity_w,11,FALSE)</f>
        <v>#N/A</v>
      </c>
      <c r="L169" s="1486">
        <f t="shared" si="59"/>
        <v>0</v>
      </c>
      <c r="M169" s="1447">
        <f>IFERROR(G169*VLOOKUP(W169,livestock_intensity!$B$7:$M$29,12,FALSE)/Z169,0)</f>
        <v>0</v>
      </c>
      <c r="N169" s="933" t="e">
        <f>VLOOKUP($W169,feed_mix_n,MATCH(N$5,feed_mix_w!$B$5:$AC$5,0),FALSE)/$Z169*VLOOKUP(N$5,feed_intensity_w,11,FALSE)</f>
        <v>#N/A</v>
      </c>
      <c r="O169" s="1486">
        <f t="shared" si="60"/>
        <v>0</v>
      </c>
      <c r="P169" s="939">
        <f>IFERROR(G169*VLOOKUP(W169,livestock_intensity!$B$7:$Q$29,16,FALSE)/Z169,0)</f>
        <v>0</v>
      </c>
      <c r="Q169" s="1530"/>
      <c r="R169" s="900">
        <f t="shared" si="61"/>
        <v>0</v>
      </c>
      <c r="S169" s="900">
        <f t="shared" si="62"/>
        <v>0</v>
      </c>
      <c r="T169" s="1483" t="s">
        <v>2862</v>
      </c>
      <c r="U169" s="1211" t="s">
        <v>2921</v>
      </c>
      <c r="V169" s="1212">
        <f>IFERROR(VLOOKUP(W169,constant_ag_extr!$D$7:$E$594,2,FALSE),"")</f>
        <v>0</v>
      </c>
      <c r="W169" s="1213" t="str">
        <f t="shared" si="63"/>
        <v/>
      </c>
      <c r="X169" s="1099">
        <f>IFERROR(IF(VLOOKUP(B169,cnst_grazing!$C$10:$H$25,5,FALSE)="", IF(VLOOKUP(B169, cnst_grazing!$C$10:$H$25,3,FALSE)="", VLOOKUP(B169, cnst_grazing!$C$10:$H$25,4,FALSE),VLOOKUP(B169, cnst_grazing!$C$10:$H$25,3,FALSE)), VLOOKUP(B169,cnst_grazing!$C$10:$H$25,5,FALSE)),1)</f>
        <v>1</v>
      </c>
      <c r="Y169" s="1099">
        <f>IFERROR(IF(VLOOKUP(B169,cnst_grazing!$C$10:$H$25,6,FALSE)="", IF(VLOOKUP(B169, cnst_grazing!$C$10:$H$25,4,FALSE)="", VLOOKUP(B169, cnst_grazing!$C$10:$H$25,3,FALSE),VLOOKUP(B169, cnst_grazing!$C$10:$H$25,4,FALSE)), VLOOKUP(B169,cnst_grazing!$C$10:$H$25,6,FALSE)),1)</f>
        <v>1</v>
      </c>
      <c r="Z169" s="937">
        <f t="shared" si="64"/>
        <v>1</v>
      </c>
      <c r="AA169" s="1487" t="e">
        <f t="shared" si="65"/>
        <v>#N/A</v>
      </c>
      <c r="AB169" s="933" t="e">
        <f>VLOOKUP($W169,feed_mix_n,MATCH(AB$5,feed_mix_w!$B$5:$AC$5,0),FALSE)/$Z169*VLOOKUP(AB$5,feed_intensity_w,11,FALSE)</f>
        <v>#N/A</v>
      </c>
      <c r="AC169" s="933" t="e">
        <f>VLOOKUP($W169,feed_mix_n,MATCH(AC$5,feed_mix_w!$B$5:$AC$5,0),FALSE)/$Z169*VLOOKUP(AC$5,feed_intensity_w,11,FALSE)</f>
        <v>#N/A</v>
      </c>
      <c r="AD169" s="933" t="e">
        <f>VLOOKUP($W169,feed_mix_n,MATCH(AD$5,feed_mix_w!$B$5:$AC$5,0),FALSE)/$Z169*VLOOKUP(AD$5,feed_intensity_w,11,FALSE)</f>
        <v>#N/A</v>
      </c>
      <c r="AE169" s="933" t="e">
        <f>VLOOKUP($W169,feed_mix_n,MATCH(AE$5,feed_mix_w!$B$5:$AC$5,0),FALSE)/$Z169*VLOOKUP(AE$5,feed_intensity_w,11,FALSE)</f>
        <v>#N/A</v>
      </c>
      <c r="AF169" s="933" t="e">
        <f>VLOOKUP($W169,feed_mix_n,MATCH(AF$5,feed_mix_w!$B$5:$AC$5,0),FALSE)/$Z169*VLOOKUP(AF$5,feed_intensity_w,11,FALSE)</f>
        <v>#N/A</v>
      </c>
      <c r="AG169" s="933" t="e">
        <f>VLOOKUP($W169,feed_mix_n,MATCH(AG$5,feed_mix_w!$B$5:$AC$5,0),FALSE)/$Z169*VLOOKUP(AG$5,feed_intensity_w,11,FALSE)</f>
        <v>#N/A</v>
      </c>
      <c r="AH169" s="933" t="e">
        <f>VLOOKUP($W169,feed_mix_n,MATCH(AH$5,feed_mix_w!$B$5:$AC$5,0),FALSE)/$Z169*VLOOKUP(AH$5,feed_intensity_w,11,FALSE)</f>
        <v>#N/A</v>
      </c>
      <c r="AI169" s="933" t="e">
        <f>VLOOKUP($W169,feed_mix_n,MATCH(AI$5,feed_mix_w!$B$5:$AC$5,0),FALSE)/$Z169*VLOOKUP(AI$5,feed_intensity_w,11,FALSE)</f>
        <v>#N/A</v>
      </c>
      <c r="AJ169" s="933" t="e">
        <f>VLOOKUP($W169,feed_mix_n,MATCH(AJ$5,feed_mix_w!$B$5:$AC$5,0),FALSE)/$Z169*VLOOKUP(AJ$5,feed_intensity_w,11,FALSE)</f>
        <v>#N/A</v>
      </c>
      <c r="AK169" s="933" t="e">
        <f>VLOOKUP($W169,feed_mix_n,MATCH(AK$5,feed_mix_w!$B$5:$AC$5,0),FALSE)/$Z169*VLOOKUP(AK$5,feed_intensity_w,11,FALSE)</f>
        <v>#N/A</v>
      </c>
      <c r="AL169" s="933" t="e">
        <f>VLOOKUP($W169,feed_mix_n,MATCH(AL$5,feed_mix_w!$B$5:$AC$5,0),FALSE)/$Z169*VLOOKUP(AL$5,feed_intensity_w,11,FALSE)</f>
        <v>#N/A</v>
      </c>
      <c r="AM169" s="933" t="e">
        <f>VLOOKUP($W169,feed_mix_n,MATCH(AM$5,feed_mix_w!$B$5:$AC$5,0),FALSE)/$Z169*VLOOKUP(AM$5,feed_intensity_w,11,FALSE)</f>
        <v>#N/A</v>
      </c>
      <c r="AN169" s="933" t="e">
        <f>VLOOKUP($W169,feed_mix_n,MATCH(AN$5,feed_mix_w!$B$5:$AC$5,0),FALSE)/$Z169*VLOOKUP(AN$5,feed_intensity_w,11,FALSE)</f>
        <v>#N/A</v>
      </c>
      <c r="AO169" s="933" t="e">
        <f>VLOOKUP($W169,feed_mix_n,MATCH(AO$5,feed_mix_w!$B$5:$AC$5,0),FALSE)/$Z169*VLOOKUP(AO$5,feed_intensity_w,11,FALSE)</f>
        <v>#N/A</v>
      </c>
      <c r="AP169" s="933" t="e">
        <f>VLOOKUP($W169,feed_mix_n,MATCH(AP$5,feed_mix_w!$B$5:$AC$5,0),FALSE)/$Z169*VLOOKUP(AP$5,feed_intensity_w,11,FALSE)</f>
        <v>#N/A</v>
      </c>
      <c r="AQ169" s="933" t="e">
        <f>VLOOKUP($W169,feed_mix_n,MATCH(AQ$5,feed_mix_w!$B$5:$AC$5,0),FALSE)/$Z169*VLOOKUP(AQ$5,feed_intensity_w,11,FALSE)</f>
        <v>#N/A</v>
      </c>
      <c r="AR169" s="933" t="e">
        <f>VLOOKUP($W169,feed_mix_n,MATCH(AR$5,feed_mix_w!$B$5:$AC$5,0),FALSE)/$Z169*VLOOKUP(AR$5,feed_intensity_w,11,FALSE)</f>
        <v>#N/A</v>
      </c>
      <c r="AS169" s="1105" t="e">
        <f>VLOOKUP($W169,feed_mix_n,MATCH(AS$5,feed_mix_w!$B$5:$AC$5,0),FALSE)/$Z169*VLOOKUP(AS$5,feed_intensity_w,11,FALSE)</f>
        <v>#N/A</v>
      </c>
    </row>
    <row r="170" spans="1:45" ht="12.75" customHeight="1">
      <c r="A170" s="1008" t="s">
        <v>7432</v>
      </c>
      <c r="B170" s="1102">
        <v>1276</v>
      </c>
      <c r="C170" s="1103">
        <v>3823.1</v>
      </c>
      <c r="D170" s="1158">
        <v>226609</v>
      </c>
      <c r="E170" s="1158">
        <v>134673</v>
      </c>
      <c r="F170" s="1012">
        <f t="shared" si="55"/>
        <v>226609</v>
      </c>
      <c r="G170" s="1012">
        <f t="shared" si="56"/>
        <v>134673</v>
      </c>
      <c r="H170" s="933" t="e">
        <f t="shared" si="57"/>
        <v>#N/A</v>
      </c>
      <c r="I170" s="1486">
        <f t="shared" si="58"/>
        <v>0</v>
      </c>
      <c r="J170" s="1006">
        <f>IFERROR(G170*VLOOKUP(W170,livestock_intensity!$B$7:$I$29,8,FALSE)/Z170,0)</f>
        <v>0</v>
      </c>
      <c r="K170" s="933" t="e">
        <f>VLOOKUP($W170,feed_mix_n,MATCH(K$5,feed_mix_w!$B$5:$AC$5,0),FALSE)/$Z170*VLOOKUP(K$5,feed_intensity_w,11,FALSE)</f>
        <v>#N/A</v>
      </c>
      <c r="L170" s="1486">
        <f t="shared" si="59"/>
        <v>0</v>
      </c>
      <c r="M170" s="1447">
        <f>IFERROR(G170*VLOOKUP(W170,livestock_intensity!$B$7:$M$29,12,FALSE)/Z170,0)</f>
        <v>0</v>
      </c>
      <c r="N170" s="933" t="e">
        <f>VLOOKUP($W170,feed_mix_n,MATCH(N$5,feed_mix_w!$B$5:$AC$5,0),FALSE)/$Z170*VLOOKUP(N$5,feed_intensity_w,11,FALSE)</f>
        <v>#N/A</v>
      </c>
      <c r="O170" s="1486">
        <f t="shared" si="60"/>
        <v>0</v>
      </c>
      <c r="P170" s="939">
        <f>IFERROR(G170*VLOOKUP(W170,livestock_intensity!$B$7:$Q$29,16,FALSE)/Z170,0)</f>
        <v>0</v>
      </c>
      <c r="Q170" s="1530"/>
      <c r="R170" s="900">
        <f t="shared" si="61"/>
        <v>0</v>
      </c>
      <c r="S170" s="900">
        <f t="shared" si="62"/>
        <v>0</v>
      </c>
      <c r="T170" s="1483" t="s">
        <v>2862</v>
      </c>
      <c r="U170" s="1211" t="s">
        <v>2921</v>
      </c>
      <c r="V170" s="1212">
        <f>IFERROR(VLOOKUP(W170,constant_ag_extr!$D$7:$E$594,2,FALSE),"")</f>
        <v>0</v>
      </c>
      <c r="W170" s="1213" t="str">
        <f t="shared" si="63"/>
        <v/>
      </c>
      <c r="X170" s="1099">
        <f>IFERROR(IF(VLOOKUP(B170,cnst_grazing!$C$10:$H$25,5,FALSE)="", IF(VLOOKUP(B170, cnst_grazing!$C$10:$H$25,3,FALSE)="", VLOOKUP(B170, cnst_grazing!$C$10:$H$25,4,FALSE),VLOOKUP(B170, cnst_grazing!$C$10:$H$25,3,FALSE)), VLOOKUP(B170,cnst_grazing!$C$10:$H$25,5,FALSE)),1)</f>
        <v>1</v>
      </c>
      <c r="Y170" s="1099">
        <f>IFERROR(IF(VLOOKUP(B170,cnst_grazing!$C$10:$H$25,6,FALSE)="", IF(VLOOKUP(B170, cnst_grazing!$C$10:$H$25,4,FALSE)="", VLOOKUP(B170, cnst_grazing!$C$10:$H$25,3,FALSE),VLOOKUP(B170, cnst_grazing!$C$10:$H$25,4,FALSE)), VLOOKUP(B170,cnst_grazing!$C$10:$H$25,6,FALSE)),1)</f>
        <v>1</v>
      </c>
      <c r="Z170" s="937">
        <f t="shared" si="64"/>
        <v>1</v>
      </c>
      <c r="AA170" s="1487" t="e">
        <f t="shared" si="65"/>
        <v>#N/A</v>
      </c>
      <c r="AB170" s="933" t="e">
        <f>VLOOKUP($W170,feed_mix_n,MATCH(AB$5,feed_mix_w!$B$5:$AC$5,0),FALSE)/$Z170*VLOOKUP(AB$5,feed_intensity_w,11,FALSE)</f>
        <v>#N/A</v>
      </c>
      <c r="AC170" s="933" t="e">
        <f>VLOOKUP($W170,feed_mix_n,MATCH(AC$5,feed_mix_w!$B$5:$AC$5,0),FALSE)/$Z170*VLOOKUP(AC$5,feed_intensity_w,11,FALSE)</f>
        <v>#N/A</v>
      </c>
      <c r="AD170" s="933" t="e">
        <f>VLOOKUP($W170,feed_mix_n,MATCH(AD$5,feed_mix_w!$B$5:$AC$5,0),FALSE)/$Z170*VLOOKUP(AD$5,feed_intensity_w,11,FALSE)</f>
        <v>#N/A</v>
      </c>
      <c r="AE170" s="933" t="e">
        <f>VLOOKUP($W170,feed_mix_n,MATCH(AE$5,feed_mix_w!$B$5:$AC$5,0),FALSE)/$Z170*VLOOKUP(AE$5,feed_intensity_w,11,FALSE)</f>
        <v>#N/A</v>
      </c>
      <c r="AF170" s="933" t="e">
        <f>VLOOKUP($W170,feed_mix_n,MATCH(AF$5,feed_mix_w!$B$5:$AC$5,0),FALSE)/$Z170*VLOOKUP(AF$5,feed_intensity_w,11,FALSE)</f>
        <v>#N/A</v>
      </c>
      <c r="AG170" s="933" t="e">
        <f>VLOOKUP($W170,feed_mix_n,MATCH(AG$5,feed_mix_w!$B$5:$AC$5,0),FALSE)/$Z170*VLOOKUP(AG$5,feed_intensity_w,11,FALSE)</f>
        <v>#N/A</v>
      </c>
      <c r="AH170" s="933" t="e">
        <f>VLOOKUP($W170,feed_mix_n,MATCH(AH$5,feed_mix_w!$B$5:$AC$5,0),FALSE)/$Z170*VLOOKUP(AH$5,feed_intensity_w,11,FALSE)</f>
        <v>#N/A</v>
      </c>
      <c r="AI170" s="933" t="e">
        <f>VLOOKUP($W170,feed_mix_n,MATCH(AI$5,feed_mix_w!$B$5:$AC$5,0),FALSE)/$Z170*VLOOKUP(AI$5,feed_intensity_w,11,FALSE)</f>
        <v>#N/A</v>
      </c>
      <c r="AJ170" s="933" t="e">
        <f>VLOOKUP($W170,feed_mix_n,MATCH(AJ$5,feed_mix_w!$B$5:$AC$5,0),FALSE)/$Z170*VLOOKUP(AJ$5,feed_intensity_w,11,FALSE)</f>
        <v>#N/A</v>
      </c>
      <c r="AK170" s="933" t="e">
        <f>VLOOKUP($W170,feed_mix_n,MATCH(AK$5,feed_mix_w!$B$5:$AC$5,0),FALSE)/$Z170*VLOOKUP(AK$5,feed_intensity_w,11,FALSE)</f>
        <v>#N/A</v>
      </c>
      <c r="AL170" s="933" t="e">
        <f>VLOOKUP($W170,feed_mix_n,MATCH(AL$5,feed_mix_w!$B$5:$AC$5,0),FALSE)/$Z170*VLOOKUP(AL$5,feed_intensity_w,11,FALSE)</f>
        <v>#N/A</v>
      </c>
      <c r="AM170" s="933" t="e">
        <f>VLOOKUP($W170,feed_mix_n,MATCH(AM$5,feed_mix_w!$B$5:$AC$5,0),FALSE)/$Z170*VLOOKUP(AM$5,feed_intensity_w,11,FALSE)</f>
        <v>#N/A</v>
      </c>
      <c r="AN170" s="933" t="e">
        <f>VLOOKUP($W170,feed_mix_n,MATCH(AN$5,feed_mix_w!$B$5:$AC$5,0),FALSE)/$Z170*VLOOKUP(AN$5,feed_intensity_w,11,FALSE)</f>
        <v>#N/A</v>
      </c>
      <c r="AO170" s="933" t="e">
        <f>VLOOKUP($W170,feed_mix_n,MATCH(AO$5,feed_mix_w!$B$5:$AC$5,0),FALSE)/$Z170*VLOOKUP(AO$5,feed_intensity_w,11,FALSE)</f>
        <v>#N/A</v>
      </c>
      <c r="AP170" s="933" t="e">
        <f>VLOOKUP($W170,feed_mix_n,MATCH(AP$5,feed_mix_w!$B$5:$AC$5,0),FALSE)/$Z170*VLOOKUP(AP$5,feed_intensity_w,11,FALSE)</f>
        <v>#N/A</v>
      </c>
      <c r="AQ170" s="933" t="e">
        <f>VLOOKUP($W170,feed_mix_n,MATCH(AQ$5,feed_mix_w!$B$5:$AC$5,0),FALSE)/$Z170*VLOOKUP(AQ$5,feed_intensity_w,11,FALSE)</f>
        <v>#N/A</v>
      </c>
      <c r="AR170" s="933" t="e">
        <f>VLOOKUP($W170,feed_mix_n,MATCH(AR$5,feed_mix_w!$B$5:$AC$5,0),FALSE)/$Z170*VLOOKUP(AR$5,feed_intensity_w,11,FALSE)</f>
        <v>#N/A</v>
      </c>
      <c r="AS170" s="1105" t="e">
        <f>VLOOKUP($W170,feed_mix_n,MATCH(AS$5,feed_mix_w!$B$5:$AC$5,0),FALSE)/$Z170*VLOOKUP(AS$5,feed_intensity_w,11,FALSE)</f>
        <v>#N/A</v>
      </c>
    </row>
    <row r="171" spans="1:45" ht="12.75" customHeight="1">
      <c r="A171" s="1008" t="s">
        <v>7433</v>
      </c>
      <c r="B171" s="1102">
        <v>1277</v>
      </c>
      <c r="C171" s="1103" t="s">
        <v>695</v>
      </c>
      <c r="D171" s="1158">
        <v>39335</v>
      </c>
      <c r="E171" s="1158">
        <v>10662</v>
      </c>
      <c r="F171" s="1012">
        <f t="shared" si="55"/>
        <v>39335</v>
      </c>
      <c r="G171" s="1012">
        <f t="shared" si="56"/>
        <v>10662</v>
      </c>
      <c r="H171" s="933" t="e">
        <f t="shared" si="57"/>
        <v>#N/A</v>
      </c>
      <c r="I171" s="1486">
        <f t="shared" si="58"/>
        <v>0</v>
      </c>
      <c r="J171" s="1006">
        <f>IFERROR(G171*VLOOKUP(W171,livestock_intensity!$B$7:$I$29,8,FALSE)/Z171,0)</f>
        <v>0</v>
      </c>
      <c r="K171" s="933" t="e">
        <f>VLOOKUP($W171,feed_mix_n,MATCH(K$5,feed_mix_w!$B$5:$AC$5,0),FALSE)/$Z171*VLOOKUP(K$5,feed_intensity_w,11,FALSE)</f>
        <v>#N/A</v>
      </c>
      <c r="L171" s="1486">
        <f t="shared" si="59"/>
        <v>0</v>
      </c>
      <c r="M171" s="1447">
        <f>IFERROR(G171*VLOOKUP(W171,livestock_intensity!$B$7:$M$29,12,FALSE)/Z171,0)</f>
        <v>0</v>
      </c>
      <c r="N171" s="933" t="e">
        <f>VLOOKUP($W171,feed_mix_n,MATCH(N$5,feed_mix_w!$B$5:$AC$5,0),FALSE)/$Z171*VLOOKUP(N$5,feed_intensity_w,11,FALSE)</f>
        <v>#N/A</v>
      </c>
      <c r="O171" s="1486">
        <f t="shared" si="60"/>
        <v>0</v>
      </c>
      <c r="P171" s="939">
        <f>IFERROR(G171*VLOOKUP(W171,livestock_intensity!$B$7:$Q$29,16,FALSE)/Z171,0)</f>
        <v>0</v>
      </c>
      <c r="Q171" s="1530"/>
      <c r="R171" s="900">
        <f t="shared" si="61"/>
        <v>0</v>
      </c>
      <c r="S171" s="900">
        <f t="shared" si="62"/>
        <v>0</v>
      </c>
      <c r="T171" s="1483" t="s">
        <v>2862</v>
      </c>
      <c r="U171" s="1211" t="s">
        <v>2921</v>
      </c>
      <c r="V171" s="1212">
        <f>IFERROR(VLOOKUP(W171,constant_ag_extr!$D$7:$E$594,2,FALSE),"")</f>
        <v>0</v>
      </c>
      <c r="W171" s="1213" t="str">
        <f t="shared" si="63"/>
        <v/>
      </c>
      <c r="X171" s="1099">
        <f>IFERROR(IF(VLOOKUP(B171,cnst_grazing!$C$10:$H$25,5,FALSE)="", IF(VLOOKUP(B171, cnst_grazing!$C$10:$H$25,3,FALSE)="", VLOOKUP(B171, cnst_grazing!$C$10:$H$25,4,FALSE),VLOOKUP(B171, cnst_grazing!$C$10:$H$25,3,FALSE)), VLOOKUP(B171,cnst_grazing!$C$10:$H$25,5,FALSE)),1)</f>
        <v>1</v>
      </c>
      <c r="Y171" s="1099">
        <f>IFERROR(IF(VLOOKUP(B171,cnst_grazing!$C$10:$H$25,6,FALSE)="", IF(VLOOKUP(B171, cnst_grazing!$C$10:$H$25,4,FALSE)="", VLOOKUP(B171, cnst_grazing!$C$10:$H$25,3,FALSE),VLOOKUP(B171, cnst_grazing!$C$10:$H$25,4,FALSE)), VLOOKUP(B171,cnst_grazing!$C$10:$H$25,6,FALSE)),1)</f>
        <v>1</v>
      </c>
      <c r="Z171" s="937">
        <f t="shared" si="64"/>
        <v>1</v>
      </c>
      <c r="AA171" s="1487" t="e">
        <f t="shared" si="65"/>
        <v>#N/A</v>
      </c>
      <c r="AB171" s="933" t="e">
        <f>VLOOKUP($W171,feed_mix_n,MATCH(AB$5,feed_mix_w!$B$5:$AC$5,0),FALSE)/$Z171*VLOOKUP(AB$5,feed_intensity_w,11,FALSE)</f>
        <v>#N/A</v>
      </c>
      <c r="AC171" s="933" t="e">
        <f>VLOOKUP($W171,feed_mix_n,MATCH(AC$5,feed_mix_w!$B$5:$AC$5,0),FALSE)/$Z171*VLOOKUP(AC$5,feed_intensity_w,11,FALSE)</f>
        <v>#N/A</v>
      </c>
      <c r="AD171" s="933" t="e">
        <f>VLOOKUP($W171,feed_mix_n,MATCH(AD$5,feed_mix_w!$B$5:$AC$5,0),FALSE)/$Z171*VLOOKUP(AD$5,feed_intensity_w,11,FALSE)</f>
        <v>#N/A</v>
      </c>
      <c r="AE171" s="933" t="e">
        <f>VLOOKUP($W171,feed_mix_n,MATCH(AE$5,feed_mix_w!$B$5:$AC$5,0),FALSE)/$Z171*VLOOKUP(AE$5,feed_intensity_w,11,FALSE)</f>
        <v>#N/A</v>
      </c>
      <c r="AF171" s="933" t="e">
        <f>VLOOKUP($W171,feed_mix_n,MATCH(AF$5,feed_mix_w!$B$5:$AC$5,0),FALSE)/$Z171*VLOOKUP(AF$5,feed_intensity_w,11,FALSE)</f>
        <v>#N/A</v>
      </c>
      <c r="AG171" s="933" t="e">
        <f>VLOOKUP($W171,feed_mix_n,MATCH(AG$5,feed_mix_w!$B$5:$AC$5,0),FALSE)/$Z171*VLOOKUP(AG$5,feed_intensity_w,11,FALSE)</f>
        <v>#N/A</v>
      </c>
      <c r="AH171" s="933" t="e">
        <f>VLOOKUP($W171,feed_mix_n,MATCH(AH$5,feed_mix_w!$B$5:$AC$5,0),FALSE)/$Z171*VLOOKUP(AH$5,feed_intensity_w,11,FALSE)</f>
        <v>#N/A</v>
      </c>
      <c r="AI171" s="933" t="e">
        <f>VLOOKUP($W171,feed_mix_n,MATCH(AI$5,feed_mix_w!$B$5:$AC$5,0),FALSE)/$Z171*VLOOKUP(AI$5,feed_intensity_w,11,FALSE)</f>
        <v>#N/A</v>
      </c>
      <c r="AJ171" s="933" t="e">
        <f>VLOOKUP($W171,feed_mix_n,MATCH(AJ$5,feed_mix_w!$B$5:$AC$5,0),FALSE)/$Z171*VLOOKUP(AJ$5,feed_intensity_w,11,FALSE)</f>
        <v>#N/A</v>
      </c>
      <c r="AK171" s="933" t="e">
        <f>VLOOKUP($W171,feed_mix_n,MATCH(AK$5,feed_mix_w!$B$5:$AC$5,0),FALSE)/$Z171*VLOOKUP(AK$5,feed_intensity_w,11,FALSE)</f>
        <v>#N/A</v>
      </c>
      <c r="AL171" s="933" t="e">
        <f>VLOOKUP($W171,feed_mix_n,MATCH(AL$5,feed_mix_w!$B$5:$AC$5,0),FALSE)/$Z171*VLOOKUP(AL$5,feed_intensity_w,11,FALSE)</f>
        <v>#N/A</v>
      </c>
      <c r="AM171" s="933" t="e">
        <f>VLOOKUP($W171,feed_mix_n,MATCH(AM$5,feed_mix_w!$B$5:$AC$5,0),FALSE)/$Z171*VLOOKUP(AM$5,feed_intensity_w,11,FALSE)</f>
        <v>#N/A</v>
      </c>
      <c r="AN171" s="933" t="e">
        <f>VLOOKUP($W171,feed_mix_n,MATCH(AN$5,feed_mix_w!$B$5:$AC$5,0),FALSE)/$Z171*VLOOKUP(AN$5,feed_intensity_w,11,FALSE)</f>
        <v>#N/A</v>
      </c>
      <c r="AO171" s="933" t="e">
        <f>VLOOKUP($W171,feed_mix_n,MATCH(AO$5,feed_mix_w!$B$5:$AC$5,0),FALSE)/$Z171*VLOOKUP(AO$5,feed_intensity_w,11,FALSE)</f>
        <v>#N/A</v>
      </c>
      <c r="AP171" s="933" t="e">
        <f>VLOOKUP($W171,feed_mix_n,MATCH(AP$5,feed_mix_w!$B$5:$AC$5,0),FALSE)/$Z171*VLOOKUP(AP$5,feed_intensity_w,11,FALSE)</f>
        <v>#N/A</v>
      </c>
      <c r="AQ171" s="933" t="e">
        <f>VLOOKUP($W171,feed_mix_n,MATCH(AQ$5,feed_mix_w!$B$5:$AC$5,0),FALSE)/$Z171*VLOOKUP(AQ$5,feed_intensity_w,11,FALSE)</f>
        <v>#N/A</v>
      </c>
      <c r="AR171" s="933" t="e">
        <f>VLOOKUP($W171,feed_mix_n,MATCH(AR$5,feed_mix_w!$B$5:$AC$5,0),FALSE)/$Z171*VLOOKUP(AR$5,feed_intensity_w,11,FALSE)</f>
        <v>#N/A</v>
      </c>
      <c r="AS171" s="1105" t="e">
        <f>VLOOKUP($W171,feed_mix_n,MATCH(AS$5,feed_mix_w!$B$5:$AC$5,0),FALSE)/$Z171*VLOOKUP(AS$5,feed_intensity_w,11,FALSE)</f>
        <v>#N/A</v>
      </c>
    </row>
    <row r="172" spans="1:45" ht="12.75" customHeight="1">
      <c r="A172" s="1106" t="s">
        <v>2142</v>
      </c>
      <c r="B172" s="1107">
        <v>1295</v>
      </c>
      <c r="C172" s="1108" t="s">
        <v>1760</v>
      </c>
      <c r="D172" s="1159"/>
      <c r="E172" s="1159"/>
      <c r="F172" s="111">
        <f t="shared" si="55"/>
        <v>0</v>
      </c>
      <c r="G172" s="111">
        <f t="shared" si="56"/>
        <v>0</v>
      </c>
      <c r="H172" s="1110" t="e">
        <f t="shared" si="57"/>
        <v>#N/A</v>
      </c>
      <c r="I172" s="74">
        <f t="shared" si="58"/>
        <v>0</v>
      </c>
      <c r="J172" s="1007">
        <f>IFERROR(G172*VLOOKUP(W172,livestock_intensity!$B$7:$I$29,8,FALSE)/Z172,0)</f>
        <v>0</v>
      </c>
      <c r="K172" s="1110" t="e">
        <f>VLOOKUP($W172,feed_mix_n,MATCH(K$5,feed_mix_w!$B$5:$AC$5,0),FALSE)/$Z172*VLOOKUP(K$5,feed_intensity_w,11,FALSE)</f>
        <v>#N/A</v>
      </c>
      <c r="L172" s="74">
        <f t="shared" si="59"/>
        <v>0</v>
      </c>
      <c r="M172" s="111">
        <f>IFERROR(G172*VLOOKUP(W172,livestock_intensity!$B$7:$M$29,12,FALSE)/Z172,0)</f>
        <v>0</v>
      </c>
      <c r="N172" s="1110" t="e">
        <f>VLOOKUP($W172,feed_mix_n,MATCH(N$5,feed_mix_w!$B$5:$AC$5,0),FALSE)/$Z172*VLOOKUP(N$5,feed_intensity_w,11,FALSE)</f>
        <v>#N/A</v>
      </c>
      <c r="O172" s="74">
        <f t="shared" si="60"/>
        <v>0</v>
      </c>
      <c r="P172" s="230">
        <f>IFERROR(G172*VLOOKUP(W172,livestock_intensity!$B$7:$Q$29,16,FALSE)/Z172,0)</f>
        <v>0</v>
      </c>
      <c r="Q172" s="1530"/>
      <c r="R172" s="901">
        <f t="shared" si="61"/>
        <v>0</v>
      </c>
      <c r="S172" s="901">
        <f t="shared" si="62"/>
        <v>0</v>
      </c>
      <c r="T172" s="1484" t="s">
        <v>2862</v>
      </c>
      <c r="U172" s="1214" t="s">
        <v>2921</v>
      </c>
      <c r="V172" s="1215">
        <f>IFERROR(VLOOKUP(W172,constant_ag_extr!$D$7:$E$594,2,FALSE),"")</f>
        <v>0</v>
      </c>
      <c r="W172" s="1216" t="str">
        <f t="shared" si="63"/>
        <v/>
      </c>
      <c r="X172" s="89">
        <f>IFERROR(IF(VLOOKUP(B172,cnst_grazing!$C$10:$H$25,5,FALSE)="", IF(VLOOKUP(B172, cnst_grazing!$C$10:$H$25,3,FALSE)="", VLOOKUP(B172, cnst_grazing!$C$10:$H$25,4,FALSE),VLOOKUP(B172, cnst_grazing!$C$10:$H$25,3,FALSE)), VLOOKUP(B172,cnst_grazing!$C$10:$H$25,5,FALSE)),1)</f>
        <v>1</v>
      </c>
      <c r="Y172" s="89">
        <f>IFERROR(IF(VLOOKUP(B172,cnst_grazing!$C$10:$H$25,6,FALSE)="", IF(VLOOKUP(B172, cnst_grazing!$C$10:$H$25,4,FALSE)="", VLOOKUP(B172, cnst_grazing!$C$10:$H$25,3,FALSE),VLOOKUP(B172, cnst_grazing!$C$10:$H$25,4,FALSE)), VLOOKUP(B172,cnst_grazing!$C$10:$H$25,6,FALSE)),1)</f>
        <v>1</v>
      </c>
      <c r="Z172" s="1109">
        <f t="shared" si="64"/>
        <v>1</v>
      </c>
      <c r="AA172" s="1110" t="e">
        <f t="shared" si="65"/>
        <v>#N/A</v>
      </c>
      <c r="AB172" s="1110" t="e">
        <f>VLOOKUP($W172,feed_mix_n,MATCH(AB$5,feed_mix_w!$B$5:$AC$5,0),FALSE)/$Z172*VLOOKUP(AB$5,feed_intensity_w,11,FALSE)</f>
        <v>#N/A</v>
      </c>
      <c r="AC172" s="1110" t="e">
        <f>VLOOKUP($W172,feed_mix_n,MATCH(AC$5,feed_mix_w!$B$5:$AC$5,0),FALSE)/$Z172*VLOOKUP(AC$5,feed_intensity_w,11,FALSE)</f>
        <v>#N/A</v>
      </c>
      <c r="AD172" s="1110" t="e">
        <f>VLOOKUP($W172,feed_mix_n,MATCH(AD$5,feed_mix_w!$B$5:$AC$5,0),FALSE)/$Z172*VLOOKUP(AD$5,feed_intensity_w,11,FALSE)</f>
        <v>#N/A</v>
      </c>
      <c r="AE172" s="1110" t="e">
        <f>VLOOKUP($W172,feed_mix_n,MATCH(AE$5,feed_mix_w!$B$5:$AC$5,0),FALSE)/$Z172*VLOOKUP(AE$5,feed_intensity_w,11,FALSE)</f>
        <v>#N/A</v>
      </c>
      <c r="AF172" s="1110" t="e">
        <f>VLOOKUP($W172,feed_mix_n,MATCH(AF$5,feed_mix_w!$B$5:$AC$5,0),FALSE)/$Z172*VLOOKUP(AF$5,feed_intensity_w,11,FALSE)</f>
        <v>#N/A</v>
      </c>
      <c r="AG172" s="1110" t="e">
        <f>VLOOKUP($W172,feed_mix_n,MATCH(AG$5,feed_mix_w!$B$5:$AC$5,0),FALSE)/$Z172*VLOOKUP(AG$5,feed_intensity_w,11,FALSE)</f>
        <v>#N/A</v>
      </c>
      <c r="AH172" s="1110" t="e">
        <f>VLOOKUP($W172,feed_mix_n,MATCH(AH$5,feed_mix_w!$B$5:$AC$5,0),FALSE)/$Z172*VLOOKUP(AH$5,feed_intensity_w,11,FALSE)</f>
        <v>#N/A</v>
      </c>
      <c r="AI172" s="1110" t="e">
        <f>VLOOKUP($W172,feed_mix_n,MATCH(AI$5,feed_mix_w!$B$5:$AC$5,0),FALSE)/$Z172*VLOOKUP(AI$5,feed_intensity_w,11,FALSE)</f>
        <v>#N/A</v>
      </c>
      <c r="AJ172" s="1110" t="e">
        <f>VLOOKUP($W172,feed_mix_n,MATCH(AJ$5,feed_mix_w!$B$5:$AC$5,0),FALSE)/$Z172*VLOOKUP(AJ$5,feed_intensity_w,11,FALSE)</f>
        <v>#N/A</v>
      </c>
      <c r="AK172" s="1110" t="e">
        <f>VLOOKUP($W172,feed_mix_n,MATCH(AK$5,feed_mix_w!$B$5:$AC$5,0),FALSE)/$Z172*VLOOKUP(AK$5,feed_intensity_w,11,FALSE)</f>
        <v>#N/A</v>
      </c>
      <c r="AL172" s="1110" t="e">
        <f>VLOOKUP($W172,feed_mix_n,MATCH(AL$5,feed_mix_w!$B$5:$AC$5,0),FALSE)/$Z172*VLOOKUP(AL$5,feed_intensity_w,11,FALSE)</f>
        <v>#N/A</v>
      </c>
      <c r="AM172" s="1110" t="e">
        <f>VLOOKUP($W172,feed_mix_n,MATCH(AM$5,feed_mix_w!$B$5:$AC$5,0),FALSE)/$Z172*VLOOKUP(AM$5,feed_intensity_w,11,FALSE)</f>
        <v>#N/A</v>
      </c>
      <c r="AN172" s="1110" t="e">
        <f>VLOOKUP($W172,feed_mix_n,MATCH(AN$5,feed_mix_w!$B$5:$AC$5,0),FALSE)/$Z172*VLOOKUP(AN$5,feed_intensity_w,11,FALSE)</f>
        <v>#N/A</v>
      </c>
      <c r="AO172" s="1110" t="e">
        <f>VLOOKUP($W172,feed_mix_n,MATCH(AO$5,feed_mix_w!$B$5:$AC$5,0),FALSE)/$Z172*VLOOKUP(AO$5,feed_intensity_w,11,FALSE)</f>
        <v>#N/A</v>
      </c>
      <c r="AP172" s="1110" t="e">
        <f>VLOOKUP($W172,feed_mix_n,MATCH(AP$5,feed_mix_w!$B$5:$AC$5,0),FALSE)/$Z172*VLOOKUP(AP$5,feed_intensity_w,11,FALSE)</f>
        <v>#N/A</v>
      </c>
      <c r="AQ172" s="1110" t="e">
        <f>VLOOKUP($W172,feed_mix_n,MATCH(AQ$5,feed_mix_w!$B$5:$AC$5,0),FALSE)/$Z172*VLOOKUP(AQ$5,feed_intensity_w,11,FALSE)</f>
        <v>#N/A</v>
      </c>
      <c r="AR172" s="1110" t="e">
        <f>VLOOKUP($W172,feed_mix_n,MATCH(AR$5,feed_mix_w!$B$5:$AC$5,0),FALSE)/$Z172*VLOOKUP(AR$5,feed_intensity_w,11,FALSE)</f>
        <v>#N/A</v>
      </c>
      <c r="AS172" s="1111" t="e">
        <f>VLOOKUP($W172,feed_mix_n,MATCH(AS$5,feed_mix_w!$B$5:$AC$5,0),FALSE)/$Z172*VLOOKUP(AS$5,feed_intensity_w,11,FALSE)</f>
        <v>#N/A</v>
      </c>
    </row>
  </sheetData>
  <sortState ref="A7:AT174">
    <sortCondition ref="B7:B174"/>
  </sortState>
  <phoneticPr fontId="5" type="noConversion"/>
  <conditionalFormatting sqref="X7:Y172">
    <cfRule type="cellIs" dxfId="13" priority="7" stopIfTrue="1" operator="equal">
      <formula>1</formula>
    </cfRule>
  </conditionalFormatting>
  <conditionalFormatting sqref="B7:B172">
    <cfRule type="duplicateValues" dxfId="12" priority="13"/>
  </conditionalFormatting>
  <conditionalFormatting sqref="X7:Y172">
    <cfRule type="cellIs" dxfId="11" priority="2" stopIfTrue="1" operator="equal">
      <formula>1</formula>
    </cfRule>
  </conditionalFormatting>
  <conditionalFormatting sqref="X7:Y172">
    <cfRule type="cellIs" dxfId="10" priority="1" stopIfTrue="1" operator="equal">
      <formula>1</formula>
    </cfRule>
  </conditionalFormatting>
  <hyperlinks>
    <hyperlink ref="E2" location="tbl_liveweight" tooltip="Go to cnst_grazing" display="cnst_grazing"/>
    <hyperlink ref="D2" location="livestock_intensity_w" tooltip="Go to livestock_intensity_w" display="livestock_intensity_w"/>
    <hyperlink ref="G3" location="livestock_intensity_n_crop!A1" tooltip="Go to livestock_intensity_n_crop" display="livestock_intensity_n_crop"/>
    <hyperlink ref="H3" location="livestock_intensity_n_grazing!A1" tooltip="Go to livestock_intensity_n_grazing" display="livestock_intensity_n_grazing"/>
    <hyperlink ref="E3" location="ef_grazing!A1" tooltip="Go to ef_grazing" display="ef_grazing"/>
    <hyperlink ref="D3" location="ef_crop!A1" tooltip="Go to ef_crop" display="ef_crop"/>
    <hyperlink ref="I3" location="livestock_intensity_n_fish!A1" display="livestock_intensity_n_fish"/>
    <hyperlink ref="F3" location="ef_fish!A1" display="ef_fish"/>
    <hyperlink ref="F2" location="constant_ag_extr" display="constant_ag_extr"/>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7" enableFormatConditionsCalculation="0">
    <tabColor indexed="52"/>
  </sheetPr>
  <dimension ref="A1:Q29"/>
  <sheetViews>
    <sheetView workbookViewId="0">
      <selection activeCell="A65536" sqref="A65536"/>
    </sheetView>
  </sheetViews>
  <sheetFormatPr baseColWidth="10" defaultColWidth="9.1640625" defaultRowHeight="12" x14ac:dyDescent="0"/>
  <cols>
    <col min="1" max="1" width="50.6640625" style="234" customWidth="1"/>
    <col min="2" max="2" width="14.83203125" style="234" customWidth="1"/>
    <col min="3" max="4" width="21.6640625" style="234" customWidth="1"/>
    <col min="5" max="9" width="21.6640625" style="156" customWidth="1"/>
    <col min="10" max="10" width="16.83203125" style="197" customWidth="1"/>
    <col min="11" max="11" width="23.1640625" style="197" customWidth="1"/>
    <col min="12" max="12" width="17.1640625" style="197" customWidth="1"/>
    <col min="13" max="13" width="19.5" style="197" customWidth="1"/>
    <col min="14" max="14" width="16.1640625" style="197" customWidth="1"/>
    <col min="15" max="15" width="20.5" style="197" customWidth="1"/>
    <col min="16" max="16" width="15.33203125" style="197" customWidth="1"/>
    <col min="17" max="17" width="20.6640625" style="197" customWidth="1"/>
    <col min="18" max="16384" width="9.1640625" style="197"/>
  </cols>
  <sheetData>
    <row r="1" spans="1:17" s="53" customFormat="1" ht="12.75" customHeight="1">
      <c r="B1" s="185"/>
      <c r="D1" s="185"/>
      <c r="E1" s="185"/>
      <c r="G1" s="125"/>
      <c r="H1" s="185"/>
      <c r="I1" s="185"/>
    </row>
    <row r="2" spans="1:17" s="53" customFormat="1" ht="12.75" customHeight="1">
      <c r="B2" s="54" t="s">
        <v>1005</v>
      </c>
      <c r="C2" s="1064" t="s">
        <v>1826</v>
      </c>
      <c r="D2" s="1064" t="s">
        <v>1822</v>
      </c>
      <c r="E2" s="1064" t="s">
        <v>1820</v>
      </c>
      <c r="F2" s="1064" t="s">
        <v>1816</v>
      </c>
      <c r="G2" s="1112" t="s">
        <v>5260</v>
      </c>
      <c r="H2" s="1064" t="s">
        <v>1815</v>
      </c>
    </row>
    <row r="3" spans="1:17" s="53" customFormat="1" ht="12.75" customHeight="1">
      <c r="B3" s="54" t="s">
        <v>1006</v>
      </c>
      <c r="C3" s="1064" t="s">
        <v>1829</v>
      </c>
      <c r="D3" s="1064"/>
      <c r="E3" s="1064"/>
      <c r="F3" s="1064"/>
      <c r="G3" s="1064"/>
      <c r="H3" s="1064"/>
    </row>
    <row r="4" spans="1:17" s="53" customFormat="1" ht="12.75" customHeight="1">
      <c r="F4" s="1701" t="s">
        <v>7818</v>
      </c>
      <c r="G4" s="1702"/>
      <c r="H4" s="1702"/>
      <c r="I4" s="1703"/>
      <c r="J4" s="1704" t="s">
        <v>7821</v>
      </c>
      <c r="K4" s="1705"/>
      <c r="L4" s="1705"/>
      <c r="M4" s="1706"/>
      <c r="N4" s="1707" t="s">
        <v>7822</v>
      </c>
      <c r="O4" s="1708"/>
      <c r="P4" s="1708"/>
      <c r="Q4" s="1709"/>
    </row>
    <row r="5" spans="1:17" s="156" customFormat="1">
      <c r="A5" s="235" t="s">
        <v>7774</v>
      </c>
      <c r="B5" s="224" t="s">
        <v>2019</v>
      </c>
      <c r="C5" s="224" t="s">
        <v>2018</v>
      </c>
      <c r="D5" s="224" t="s">
        <v>5051</v>
      </c>
      <c r="E5" s="224" t="s">
        <v>5228</v>
      </c>
      <c r="F5" s="1514" t="s">
        <v>5229</v>
      </c>
      <c r="G5" s="1500" t="s">
        <v>7135</v>
      </c>
      <c r="H5" s="1500" t="s">
        <v>1365</v>
      </c>
      <c r="I5" s="1501" t="s">
        <v>4130</v>
      </c>
      <c r="J5" s="1504" t="s">
        <v>5229</v>
      </c>
      <c r="K5" s="1504" t="s">
        <v>7819</v>
      </c>
      <c r="L5" s="1504" t="s">
        <v>1365</v>
      </c>
      <c r="M5" s="1505" t="s">
        <v>4130</v>
      </c>
      <c r="N5" s="1509" t="s">
        <v>5229</v>
      </c>
      <c r="O5" s="1509" t="s">
        <v>7135</v>
      </c>
      <c r="P5" s="1509" t="s">
        <v>1365</v>
      </c>
      <c r="Q5" s="1510" t="s">
        <v>4130</v>
      </c>
    </row>
    <row r="6" spans="1:17" s="233" customFormat="1">
      <c r="A6" s="236" t="s">
        <v>548</v>
      </c>
      <c r="B6" s="229" t="s">
        <v>548</v>
      </c>
      <c r="C6" s="229" t="s">
        <v>548</v>
      </c>
      <c r="D6" s="229" t="s">
        <v>548</v>
      </c>
      <c r="E6" s="229" t="s">
        <v>3105</v>
      </c>
      <c r="F6" s="1515" t="s">
        <v>732</v>
      </c>
      <c r="G6" s="1502" t="s">
        <v>3105</v>
      </c>
      <c r="H6" s="1502" t="s">
        <v>732</v>
      </c>
      <c r="I6" s="1503" t="s">
        <v>2964</v>
      </c>
      <c r="J6" s="1506" t="s">
        <v>732</v>
      </c>
      <c r="K6" s="1506" t="s">
        <v>3105</v>
      </c>
      <c r="L6" s="1506" t="s">
        <v>732</v>
      </c>
      <c r="M6" s="1507" t="s">
        <v>7820</v>
      </c>
      <c r="N6" s="1511" t="s">
        <v>732</v>
      </c>
      <c r="O6" s="1511" t="s">
        <v>3105</v>
      </c>
      <c r="P6" s="1511" t="s">
        <v>732</v>
      </c>
      <c r="Q6" s="1512" t="s">
        <v>2964</v>
      </c>
    </row>
    <row r="7" spans="1:17" s="156" customFormat="1">
      <c r="A7" s="135" t="s">
        <v>3389</v>
      </c>
      <c r="B7" s="546">
        <v>1107</v>
      </c>
      <c r="C7" s="136" t="s">
        <v>5170</v>
      </c>
      <c r="D7" s="136" t="str">
        <f>A7</f>
        <v>Asses</v>
      </c>
      <c r="E7" s="1550">
        <f>VLOOKUP(A7,resourcestat_livestock_n!$A$7:$D$22,4,FALSE)*IF(VLOOKUP(D7,cnst_grazing!$A$10:$F$25,4,FALSE)=0, VLOOKUP(D7, cnst_grazing!$A$10:$E$25, 3, FALSE), VLOOKUP(D7,cnst_grazing!$A$10:$F$25,4,FALSE))</f>
        <v>57616000</v>
      </c>
      <c r="F7" s="1516">
        <f>VLOOKUP($B7,livestock_intensity_w,7,FALSE)*E7*livestock_feed_ef_n!$E$7*VLOOKUP(B7,livestock_feed_ef_n!$B$13:$E$34,4,FALSE)</f>
        <v>954802236.44316185</v>
      </c>
      <c r="G7" s="1394">
        <f>VLOOKUP(B7,livestock_efi_efe!$B$7:$F$172,5,FALSE)</f>
        <v>0.55124209778476163</v>
      </c>
      <c r="H7" s="237">
        <f>VLOOKUP($B7,livestock_efi_efe!$B$7:$I$172,8,FALSE)</f>
        <v>5.4986626143274684</v>
      </c>
      <c r="I7" s="1480">
        <f>IF(ISERROR((F7+H7)/(E7+G7)),0,(F7+H7)/(E7+G7))</f>
        <v>16.571824368347979</v>
      </c>
      <c r="J7" s="1518">
        <f>VLOOKUP($B7,livestock_intensity_w,10,FALSE)*E7*livestock_feed_ef_n!$E$9*VLOOKUP(B7,livestock_feed_ef_n!$B$13:$E$34,4,0)</f>
        <v>0</v>
      </c>
      <c r="K7" s="237">
        <f>VLOOKUP(B7,livestock_efi_efe!$B$7:$F$172,5,FALSE)</f>
        <v>0.55124209778476163</v>
      </c>
      <c r="L7" s="237">
        <f>VLOOKUP($B7,livestock_efi_efe!$B$7:$O$172,11,FALSE)</f>
        <v>0</v>
      </c>
      <c r="M7" s="238">
        <f>IF(ISERROR((J7+L7)/(E7+K7)),0,(J7+L7)/(E7+K7))</f>
        <v>0</v>
      </c>
      <c r="N7" s="237">
        <f>VLOOKUP($B7,livestock_intensity_w,13,FALSE)*E7*livestock_feed_ef_n!$E$8*VLOOKUP(B7,livestock_feed_ef_n!$B$13:$E$34,4,FALSE)</f>
        <v>1169419953.9784486</v>
      </c>
      <c r="O7" s="237">
        <f>VLOOKUP(B7,livestock_efi_efe!$B$7:$F$172,5,FALSE)</f>
        <v>0.55124209778476163</v>
      </c>
      <c r="P7" s="237">
        <f>VLOOKUP($B7,livestock_efi_efe!$B$7:$P$172,14,FALSE)</f>
        <v>13.783507144276093</v>
      </c>
      <c r="Q7" s="238">
        <f>IF(ISERROR((N7+P7)/(E7+O7)),0,(N7+P7)/(E7+O7))</f>
        <v>20.296791803900124</v>
      </c>
    </row>
    <row r="8" spans="1:17" s="156" customFormat="1">
      <c r="A8" s="138" t="s">
        <v>2276</v>
      </c>
      <c r="B8" s="711">
        <v>946</v>
      </c>
      <c r="C8" s="41" t="s">
        <v>2277</v>
      </c>
      <c r="D8" s="41" t="str">
        <f t="shared" ref="D8:D21" si="0">A8</f>
        <v>Buffaloes</v>
      </c>
      <c r="E8" s="1550">
        <f>VLOOKUP(A8,resourcestat_livestock_n!$A$7:$D$22,4,FALSE)*IF(VLOOKUP(D8,cnst_grazing!$A$10:$F$25,4,FALSE)=0, VLOOKUP(D8, cnst_grazing!$A$10:$E$25, 3, FALSE), VLOOKUP(D8,cnst_grazing!$A$10:$F$25,4,FALSE))</f>
        <v>0</v>
      </c>
      <c r="F8" s="1488">
        <f>VLOOKUP($B8,livestock_intensity_w,7,FALSE)*E8*livestock_feed_ef_n!$E$7*VLOOKUP(B8,livestock_feed_ef_n!$B$13:$E$34,4,FALSE)</f>
        <v>0</v>
      </c>
      <c r="G8" s="1489">
        <f>VLOOKUP(B8,livestock_efi_efe!$B$7:$F$172,5,FALSE)</f>
        <v>3799.3953567498647</v>
      </c>
      <c r="H8" s="81">
        <f>VLOOKUP($B8,livestock_efi_efe!$B$7:$I$172,8,FALSE)</f>
        <v>28241.694793835301</v>
      </c>
      <c r="I8" s="1481">
        <f t="shared" ref="I8:I29" si="1">IF(ISERROR((F8+H8)/(E8+G8)),0,(F8+H8)/(E8+G8))</f>
        <v>7.4332076928141086</v>
      </c>
      <c r="J8" s="1519">
        <f>VLOOKUP($B8,livestock_intensity_w,10,FALSE)*E8*livestock_feed_ef_n!$E$9*VLOOKUP(B8,livestock_feed_ef_n!$B$13:$E$34,4,0)</f>
        <v>0</v>
      </c>
      <c r="K8" s="81">
        <f>VLOOKUP(B8,livestock_efi_efe!$B$7:$F$172,5,FALSE)</f>
        <v>3799.3953567498647</v>
      </c>
      <c r="L8" s="81">
        <f>VLOOKUP($B8,livestock_efi_efe!$B$7:$O$172,11,FALSE)</f>
        <v>0</v>
      </c>
      <c r="M8" s="1520">
        <f t="shared" ref="M8:M21" si="2">IF(ISERROR((J8+L8)/(E8+K8)),0,(J8+L8)/(E8+K8))</f>
        <v>0</v>
      </c>
      <c r="N8" s="81">
        <f>VLOOKUP($B8,livestock_intensity_w,13,FALSE)*E8*livestock_feed_ef_n!$E$8*VLOOKUP(B8,livestock_feed_ef_n!$B$13:$E$34,4,FALSE)</f>
        <v>0</v>
      </c>
      <c r="O8" s="81">
        <f>VLOOKUP(B8,livestock_efi_efe!$B$7:$F$172,5,FALSE)</f>
        <v>3799.3953567498647</v>
      </c>
      <c r="P8" s="81">
        <f>VLOOKUP($B8,livestock_efi_efe!$B$7:$P$172,14,FALSE)</f>
        <v>70793.505486770926</v>
      </c>
      <c r="Q8" s="1520">
        <f t="shared" ref="Q8:Q21" si="3">IF(ISERROR((N8+P8)/(E8+O8)),0,(N8+P8)/(E8+O8))</f>
        <v>18.632834659073268</v>
      </c>
    </row>
    <row r="9" spans="1:17" s="156" customFormat="1">
      <c r="A9" s="138" t="s">
        <v>5071</v>
      </c>
      <c r="B9" s="711">
        <v>1126</v>
      </c>
      <c r="C9" s="41" t="s">
        <v>5072</v>
      </c>
      <c r="D9" s="41" t="str">
        <f t="shared" si="0"/>
        <v>Camels</v>
      </c>
      <c r="E9" s="1550">
        <f>VLOOKUP(A9,resourcestat_livestock_n!$A$7:$D$22,4,FALSE)*IF(VLOOKUP(D9,cnst_grazing!$A$10:$F$25,4,FALSE)=0, VLOOKUP(D9, cnst_grazing!$A$10:$E$25, 3, FALSE), VLOOKUP(D9,cnst_grazing!$A$10:$F$25,4,FALSE))</f>
        <v>0</v>
      </c>
      <c r="F9" s="1488">
        <f>VLOOKUP($B9,livestock_intensity_w,7,FALSE)*E9*livestock_feed_ef_n!$E$7*VLOOKUP(B9,livestock_feed_ef_n!$B$13:$E$34,4,FALSE)</f>
        <v>0</v>
      </c>
      <c r="G9" s="1489">
        <f>VLOOKUP(B9,livestock_efi_efe!$B$7:$F$172,5,FALSE)</f>
        <v>0</v>
      </c>
      <c r="H9" s="81">
        <f>VLOOKUP($B9,livestock_efi_efe!$B$7:$I$172,8,FALSE)</f>
        <v>0</v>
      </c>
      <c r="I9" s="1481">
        <f t="shared" si="1"/>
        <v>0</v>
      </c>
      <c r="J9" s="1519">
        <f>VLOOKUP($B9,livestock_intensity_w,10,FALSE)*E9*livestock_feed_ef_n!$E$9*VLOOKUP(B9,livestock_feed_ef_n!$B$13:$E$34,4,0)</f>
        <v>0</v>
      </c>
      <c r="K9" s="81">
        <f>VLOOKUP(B9,livestock_efi_efe!$B$7:$F$172,5,FALSE)</f>
        <v>0</v>
      </c>
      <c r="L9" s="81">
        <f>VLOOKUP($B9,livestock_efi_efe!$B$7:$O$172,11,FALSE)</f>
        <v>0</v>
      </c>
      <c r="M9" s="1520">
        <f t="shared" si="2"/>
        <v>0</v>
      </c>
      <c r="N9" s="81">
        <f>VLOOKUP($B9,livestock_intensity_w,13,FALSE)*E9*livestock_feed_ef_n!$E$8*VLOOKUP(B9,livestock_feed_ef_n!$B$13:$E$34,4,FALSE)</f>
        <v>0</v>
      </c>
      <c r="O9" s="81">
        <f>VLOOKUP(B9,livestock_efi_efe!$B$7:$F$172,5,FALSE)</f>
        <v>0</v>
      </c>
      <c r="P9" s="81">
        <f>VLOOKUP($B9,livestock_efi_efe!$B$7:$P$172,14,FALSE)</f>
        <v>0</v>
      </c>
      <c r="Q9" s="1520">
        <f t="shared" si="3"/>
        <v>0</v>
      </c>
    </row>
    <row r="10" spans="1:17" s="156" customFormat="1">
      <c r="A10" s="138" t="s">
        <v>4828</v>
      </c>
      <c r="B10" s="711">
        <v>866</v>
      </c>
      <c r="C10" s="41" t="s">
        <v>28</v>
      </c>
      <c r="D10" s="41" t="str">
        <f t="shared" si="0"/>
        <v>Cattle</v>
      </c>
      <c r="E10" s="1550">
        <f>VLOOKUP(A10,resourcestat_livestock_n!$A$7:$D$22,4,FALSE)*IF(VLOOKUP(D10,cnst_grazing!$A$10:$F$25,4,FALSE)=0, VLOOKUP(D10, cnst_grazing!$A$10:$E$25, 3, FALSE), VLOOKUP(D10,cnst_grazing!$A$10:$F$25,4,FALSE))</f>
        <v>78112538400</v>
      </c>
      <c r="F10" s="1488">
        <f>VLOOKUP($B10,livestock_intensity_w,7,FALSE)*E10*livestock_feed_ef_n!$E$7*VLOOKUP(B10,livestock_feed_ef_n!$B$13:$E$34,4,FALSE)</f>
        <v>325985870900.64874</v>
      </c>
      <c r="G10" s="1489">
        <f>VLOOKUP(B10,livestock_efi_efe!$B$7:$F$172,5,FALSE)</f>
        <v>610620.82295089564</v>
      </c>
      <c r="H10" s="81">
        <f>VLOOKUP($B10,livestock_efi_efe!$B$7:$I$172,8,FALSE)</f>
        <v>2189907.9157314557</v>
      </c>
      <c r="I10" s="1481">
        <f t="shared" si="1"/>
        <v>4.1732802338011545</v>
      </c>
      <c r="J10" s="1519">
        <f>VLOOKUP($B10,livestock_intensity_w,10,FALSE)*E10*livestock_feed_ef_n!$E$9*VLOOKUP(B10,livestock_feed_ef_n!$B$13:$E$34,4,0)</f>
        <v>0</v>
      </c>
      <c r="K10" s="81">
        <f>VLOOKUP(B10,livestock_efi_efe!$B$7:$F$172,5,FALSE)</f>
        <v>610620.82295089564</v>
      </c>
      <c r="L10" s="81">
        <f>VLOOKUP($B10,livestock_efi_efe!$B$7:$O$172,11,FALSE)</f>
        <v>0</v>
      </c>
      <c r="M10" s="1520">
        <f t="shared" si="2"/>
        <v>0</v>
      </c>
      <c r="N10" s="81">
        <f>VLOOKUP($B10,livestock_intensity_w,13,FALSE)*E10*livestock_feed_ef_n!$E$8*VLOOKUP(B10,livestock_feed_ef_n!$B$13:$E$34,4,FALSE)</f>
        <v>399260043175.39569</v>
      </c>
      <c r="O10" s="81">
        <f>VLOOKUP(B10,livestock_efi_efe!$B$7:$F$172,5,FALSE)</f>
        <v>610620.82295089564</v>
      </c>
      <c r="P10" s="81">
        <f>VLOOKUP($B10,livestock_efi_efe!$B$7:$P$172,14,FALSE)</f>
        <v>5489445.9833089989</v>
      </c>
      <c r="Q10" s="1520">
        <f t="shared" si="3"/>
        <v>5.1113741748517283</v>
      </c>
    </row>
    <row r="11" spans="1:17" s="156" customFormat="1">
      <c r="A11" s="138" t="s">
        <v>4710</v>
      </c>
      <c r="B11" s="711">
        <v>1057</v>
      </c>
      <c r="C11" s="41" t="s">
        <v>4711</v>
      </c>
      <c r="D11" s="41" t="str">
        <f t="shared" si="0"/>
        <v>Chickens</v>
      </c>
      <c r="E11" s="1550">
        <f>VLOOKUP(A11,resourcestat_livestock_n!$A$7:$D$22,4,FALSE)*IF(VLOOKUP(D11,cnst_grazing!$A$10:$F$25,4,FALSE)=0, VLOOKUP(D11, cnst_grazing!$A$10:$E$25, 3, FALSE), VLOOKUP(D11,cnst_grazing!$A$10:$F$25,4,FALSE))</f>
        <v>2058762233856</v>
      </c>
      <c r="F11" s="1488">
        <f>VLOOKUP($B11,livestock_intensity_w,7,FALSE)*E11*livestock_feed_ef_n!$E$7*VLOOKUP(B11,livestock_feed_ef_n!$B$13:$E$34,4,FALSE)</f>
        <v>3435854059952.7358</v>
      </c>
      <c r="G11" s="1489">
        <f>VLOOKUP(B11,livestock_efi_efe!$B$7:$F$172,5,FALSE)</f>
        <v>535.95521141877373</v>
      </c>
      <c r="H11" s="81">
        <f>VLOOKUP($B11,livestock_efi_efe!$B$7:$I$172,8,FALSE)</f>
        <v>714.42435312106863</v>
      </c>
      <c r="I11" s="1481">
        <f t="shared" si="1"/>
        <v>1.6688930869581069</v>
      </c>
      <c r="J11" s="1519">
        <f>VLOOKUP($B11,livestock_intensity_w,10,FALSE)*E11*livestock_feed_ef_n!$E$9*VLOOKUP(B11,livestock_feed_ef_n!$B$13:$E$34,4,0)</f>
        <v>64860632119.46492</v>
      </c>
      <c r="K11" s="81">
        <f>VLOOKUP(B11,livestock_efi_efe!$B$7:$F$172,5,FALSE)</f>
        <v>535.95521141877373</v>
      </c>
      <c r="L11" s="81">
        <f>VLOOKUP($B11,livestock_efi_efe!$B$7:$O$172,11,FALSE)</f>
        <v>60.979502140176081</v>
      </c>
      <c r="M11" s="1520">
        <f t="shared" si="2"/>
        <v>3.1504673583445962E-2</v>
      </c>
      <c r="N11" s="81">
        <f>VLOOKUP($B11,livestock_intensity_w,13,FALSE)*E11*livestock_feed_ef_n!$E$8*VLOOKUP(B11,livestock_feed_ef_n!$B$13:$E$34,4,FALSE)</f>
        <v>0</v>
      </c>
      <c r="O11" s="81">
        <f>VLOOKUP(B11,livestock_efi_efe!$B$7:$F$172,5,FALSE)</f>
        <v>535.95521141877373</v>
      </c>
      <c r="P11" s="81">
        <f>VLOOKUP($B11,livestock_efi_efe!$B$7:$P$172,14,FALSE)</f>
        <v>0</v>
      </c>
      <c r="Q11" s="1520">
        <f t="shared" si="3"/>
        <v>0</v>
      </c>
    </row>
    <row r="12" spans="1:17" s="156" customFormat="1">
      <c r="A12" s="138" t="s">
        <v>3200</v>
      </c>
      <c r="B12" s="711">
        <v>1068</v>
      </c>
      <c r="C12" s="41" t="s">
        <v>3201</v>
      </c>
      <c r="D12" s="41" t="str">
        <f t="shared" si="0"/>
        <v>Ducks</v>
      </c>
      <c r="E12" s="1550">
        <f>VLOOKUP(A12,resourcestat_livestock_n!$A$7:$D$22,4,FALSE)*IF(VLOOKUP(D12,cnst_grazing!$A$10:$F$25,4,FALSE)=0, VLOOKUP(D12, cnst_grazing!$A$10:$E$25, 3, FALSE), VLOOKUP(D12,cnst_grazing!$A$10:$F$25,4,FALSE))</f>
        <v>7803700000</v>
      </c>
      <c r="F12" s="1488">
        <f>VLOOKUP($B12,livestock_intensity_w,7,FALSE)*E12*livestock_feed_ef_n!$E$7*VLOOKUP(B12,livestock_feed_ef_n!$B$13:$E$34,4,FALSE)</f>
        <v>14440705278.310537</v>
      </c>
      <c r="G12" s="1489">
        <f>VLOOKUP(B12,livestock_efi_efe!$B$7:$F$172,5,FALSE)</f>
        <v>84.003452341917637</v>
      </c>
      <c r="H12" s="81">
        <f>VLOOKUP($B12,livestock_efi_efe!$B$7:$I$172,8,FALSE)</f>
        <v>211.38262595489508</v>
      </c>
      <c r="I12" s="1481">
        <f t="shared" si="1"/>
        <v>1.8504946799909301</v>
      </c>
      <c r="J12" s="1519">
        <f>VLOOKUP($B12,livestock_intensity_w,10,FALSE)*E12*livestock_feed_ef_n!$E$9*VLOOKUP(B12,livestock_feed_ef_n!$B$13:$E$34,4,0)</f>
        <v>272605662.59761322</v>
      </c>
      <c r="K12" s="81">
        <f>VLOOKUP(B12,livestock_efi_efe!$B$7:$F$172,5,FALSE)</f>
        <v>84.003452341917637</v>
      </c>
      <c r="L12" s="81">
        <f>VLOOKUP($B12,livestock_efi_efe!$B$7:$O$172,11,FALSE)</f>
        <v>18.042508259272878</v>
      </c>
      <c r="M12" s="1520">
        <f t="shared" si="2"/>
        <v>3.4932875136876013E-2</v>
      </c>
      <c r="N12" s="81">
        <f>VLOOKUP($B12,livestock_intensity_w,13,FALSE)*E12*livestock_feed_ef_n!$E$8*VLOOKUP(B12,livestock_feed_ef_n!$B$13:$E$34,4,FALSE)</f>
        <v>0</v>
      </c>
      <c r="O12" s="81">
        <f>VLOOKUP(B12,livestock_efi_efe!$B$7:$F$172,5,FALSE)</f>
        <v>84.003452341917637</v>
      </c>
      <c r="P12" s="81">
        <f>VLOOKUP($B12,livestock_efi_efe!$B$7:$P$172,14,FALSE)</f>
        <v>0</v>
      </c>
      <c r="Q12" s="1520">
        <f t="shared" si="3"/>
        <v>0</v>
      </c>
    </row>
    <row r="13" spans="1:17" s="156" customFormat="1">
      <c r="A13" s="138" t="s">
        <v>3759</v>
      </c>
      <c r="B13" s="711">
        <v>1072</v>
      </c>
      <c r="C13" s="41" t="s">
        <v>3760</v>
      </c>
      <c r="D13" s="41" t="str">
        <f t="shared" si="0"/>
        <v>Geese and guinea fowls</v>
      </c>
      <c r="E13" s="42">
        <f>VLOOKUP(A13,resourcestat_livestock_n!$A$7:$D$22,4,FALSE)*IF(VLOOKUP(D13,cnst_grazing!$A$10:$F$25,4,FALSE)=0, VLOOKUP(D13, cnst_grazing!$A$10:$E$25, 3, FALSE), VLOOKUP(D13,cnst_grazing!$A$10:$F$25,4,FALSE))</f>
        <v>0</v>
      </c>
      <c r="F13" s="1488">
        <f>VLOOKUP($B13,livestock_intensity_w,7,FALSE)*E13*livestock_feed_ef_n!$E$7*VLOOKUP(B13,livestock_feed_ef_n!$B$13:$E$34,4,FALSE)</f>
        <v>0</v>
      </c>
      <c r="G13" s="1489">
        <f>VLOOKUP(B13,livestock_efi_efe!$B$7:$F$172,5,FALSE)</f>
        <v>0</v>
      </c>
      <c r="H13" s="81">
        <f>VLOOKUP($B13,livestock_efi_efe!$B$7:$I$172,8,FALSE)</f>
        <v>0</v>
      </c>
      <c r="I13" s="1481">
        <f t="shared" si="1"/>
        <v>0</v>
      </c>
      <c r="J13" s="1519">
        <f>VLOOKUP($B13,livestock_intensity_w,10,FALSE)*E13*livestock_feed_ef_n!$E$9*VLOOKUP(B13,livestock_feed_ef_n!$B$13:$E$34,4,0)</f>
        <v>0</v>
      </c>
      <c r="K13" s="81">
        <f>VLOOKUP(B13,livestock_efi_efe!$B$7:$F$172,5,FALSE)</f>
        <v>0</v>
      </c>
      <c r="L13" s="81">
        <f>VLOOKUP($B13,livestock_efi_efe!$B$7:$O$172,11,FALSE)</f>
        <v>0</v>
      </c>
      <c r="M13" s="1520">
        <f t="shared" si="2"/>
        <v>0</v>
      </c>
      <c r="N13" s="81">
        <f>VLOOKUP($B13,livestock_intensity_w,13,FALSE)*E13*livestock_feed_ef_n!$E$8*VLOOKUP(B13,livestock_feed_ef_n!$B$13:$E$34,4,FALSE)</f>
        <v>0</v>
      </c>
      <c r="O13" s="81">
        <f>VLOOKUP(B13,livestock_efi_efe!$B$7:$F$172,5,FALSE)</f>
        <v>0</v>
      </c>
      <c r="P13" s="81">
        <f>VLOOKUP($B13,livestock_efi_efe!$B$7:$P$172,14,FALSE)</f>
        <v>0</v>
      </c>
      <c r="Q13" s="1520">
        <f t="shared" si="3"/>
        <v>0</v>
      </c>
    </row>
    <row r="14" spans="1:17" s="156" customFormat="1">
      <c r="A14" s="138" t="s">
        <v>408</v>
      </c>
      <c r="B14" s="711">
        <v>1016</v>
      </c>
      <c r="C14" s="41" t="s">
        <v>409</v>
      </c>
      <c r="D14" s="41" t="str">
        <f t="shared" si="0"/>
        <v>Goats</v>
      </c>
      <c r="E14" s="1550">
        <f>VLOOKUP(A14,resourcestat_livestock_n!$A$7:$D$22,4,FALSE)*IF(VLOOKUP(D14,cnst_grazing!$A$10:$F$25,4,FALSE)=0, VLOOKUP(D14, cnst_grazing!$A$10:$E$25, 3, FALSE), VLOOKUP(D14,cnst_grazing!$A$10:$F$25,4,FALSE))</f>
        <v>2676744000</v>
      </c>
      <c r="F14" s="1488">
        <f>VLOOKUP($B14,livestock_intensity_w,7,FALSE)*E14*livestock_feed_ef_n!$E$7*VLOOKUP(B14,livestock_feed_ef_n!$B$13:$E$34,4,FALSE)</f>
        <v>0</v>
      </c>
      <c r="G14" s="1489">
        <f>VLOOKUP(B14,livestock_efi_efe!$B$7:$F$172,5,FALSE)</f>
        <v>1.0038423651521888</v>
      </c>
      <c r="H14" s="81">
        <f>VLOOKUP($B14,livestock_efi_efe!$B$7:$I$172,8,FALSE)</f>
        <v>0</v>
      </c>
      <c r="I14" s="1481">
        <f t="shared" si="1"/>
        <v>0</v>
      </c>
      <c r="J14" s="1519">
        <f>VLOOKUP($B14,livestock_intensity_w,10,FALSE)*E14*livestock_feed_ef_n!$E$9*VLOOKUP(B14,livestock_feed_ef_n!$B$13:$E$34,4,0)</f>
        <v>0</v>
      </c>
      <c r="K14" s="81">
        <f>VLOOKUP(B14,livestock_efi_efe!$B$7:$F$172,5,FALSE)</f>
        <v>1.0038423651521888</v>
      </c>
      <c r="L14" s="81">
        <f>VLOOKUP($B14,livestock_efi_efe!$B$7:$O$172,11,FALSE)</f>
        <v>0</v>
      </c>
      <c r="M14" s="1520">
        <f t="shared" si="2"/>
        <v>0</v>
      </c>
      <c r="N14" s="81">
        <f>VLOOKUP($B14,livestock_intensity_w,13,FALSE)*E14*livestock_feed_ef_n!$E$8*VLOOKUP(B14,livestock_feed_ef_n!$B$13:$E$34,4,FALSE)</f>
        <v>40812582884.737808</v>
      </c>
      <c r="O14" s="81">
        <f>VLOOKUP(B14,livestock_efi_efe!$B$7:$F$172,5,FALSE)</f>
        <v>1.0038423651521888</v>
      </c>
      <c r="P14" s="81">
        <f>VLOOKUP($B14,livestock_efi_efe!$B$7:$P$172,14,FALSE)</f>
        <v>14.720028450495342</v>
      </c>
      <c r="Q14" s="1520">
        <f t="shared" si="3"/>
        <v>15.247099791445187</v>
      </c>
    </row>
    <row r="15" spans="1:17" s="156" customFormat="1">
      <c r="A15" s="138" t="s">
        <v>2783</v>
      </c>
      <c r="B15" s="711">
        <v>1096</v>
      </c>
      <c r="C15" s="41" t="s">
        <v>2784</v>
      </c>
      <c r="D15" s="41" t="str">
        <f t="shared" si="0"/>
        <v>Horses</v>
      </c>
      <c r="E15" s="1550">
        <f>VLOOKUP(A15,resourcestat_livestock_n!$A$7:$D$22,4,FALSE)*IF(VLOOKUP(D15,cnst_grazing!$A$10:$F$25,4,FALSE)=0, VLOOKUP(D15, cnst_grazing!$A$10:$E$25, 3, FALSE), VLOOKUP(D15,cnst_grazing!$A$10:$F$25,4,FALSE))</f>
        <v>11244250000</v>
      </c>
      <c r="F15" s="1488">
        <f>VLOOKUP($B15,livestock_intensity_w,7,FALSE)*E15*livestock_feed_ef_n!$E$7*VLOOKUP(B15,livestock_feed_ef_n!$B$13:$E$34,4,FALSE)</f>
        <v>223867706037.24426</v>
      </c>
      <c r="G15" s="1489">
        <f>VLOOKUP(B15,livestock_efi_efe!$B$7:$F$172,5,FALSE)</f>
        <v>2536.1824601325761</v>
      </c>
      <c r="H15" s="81">
        <f>VLOOKUP($B15,livestock_efi_efe!$B$7:$I$172,8,FALSE)</f>
        <v>34041.423904927404</v>
      </c>
      <c r="I15" s="1481">
        <f t="shared" si="1"/>
        <v>19.909526165326913</v>
      </c>
      <c r="J15" s="1519">
        <f>VLOOKUP($B15,livestock_intensity_w,10,FALSE)*E15*livestock_feed_ef_n!$E$9*VLOOKUP(B15,livestock_feed_ef_n!$B$13:$E$34,4,0)</f>
        <v>0</v>
      </c>
      <c r="K15" s="81">
        <f>VLOOKUP(B15,livestock_efi_efe!$B$7:$F$172,5,FALSE)</f>
        <v>2536.1824601325761</v>
      </c>
      <c r="L15" s="81">
        <f>VLOOKUP($B15,livestock_efi_efe!$B$7:$O$172,11,FALSE)</f>
        <v>0</v>
      </c>
      <c r="M15" s="1520">
        <f t="shared" si="2"/>
        <v>0</v>
      </c>
      <c r="N15" s="81">
        <f>VLOOKUP($B15,livestock_intensity_w,13,FALSE)*E15*livestock_feed_ef_n!$E$8*VLOOKUP(B15,livestock_feed_ef_n!$B$13:$E$34,4,FALSE)</f>
        <v>274188049104.88852</v>
      </c>
      <c r="O15" s="81">
        <f>VLOOKUP(B15,livestock_efi_efe!$B$7:$F$172,5,FALSE)</f>
        <v>2536.1824601325761</v>
      </c>
      <c r="P15" s="81">
        <f>VLOOKUP($B15,livestock_efi_efe!$B$7:$P$172,14,FALSE)</f>
        <v>85331.696542412072</v>
      </c>
      <c r="Q15" s="1520">
        <f t="shared" si="3"/>
        <v>24.384736429058783</v>
      </c>
    </row>
    <row r="16" spans="1:17" s="156" customFormat="1">
      <c r="A16" s="138" t="s">
        <v>5166</v>
      </c>
      <c r="B16" s="855">
        <v>1110</v>
      </c>
      <c r="C16" s="41" t="s">
        <v>5171</v>
      </c>
      <c r="D16" s="41" t="s">
        <v>5166</v>
      </c>
      <c r="E16" s="1550">
        <f>VLOOKUP(A16,resourcestat_livestock_n!$A$7:$D$22,4,FALSE)*IF(VLOOKUP(D16,cnst_grazing!$A$10:$F$25,4,FALSE)=0, VLOOKUP(D16, cnst_grazing!$A$10:$E$25, 3, FALSE), VLOOKUP(D16,cnst_grazing!$A$10:$F$25,4,FALSE))</f>
        <v>0</v>
      </c>
      <c r="F16" s="1488">
        <f>VLOOKUP($B16,livestock_intensity_w,7,FALSE)*E16*livestock_feed_ef_n!$E$7*VLOOKUP(B16,livestock_feed_ef_n!$B$13:$E$34,4,FALSE)</f>
        <v>0</v>
      </c>
      <c r="G16" s="1489">
        <f>VLOOKUP(B16,livestock_efi_efe!$B$7:$F$172,5,FALSE)</f>
        <v>2.4279219147764159</v>
      </c>
      <c r="H16" s="81">
        <f>VLOOKUP($B16,livestock_efi_efe!$B$7:$I$172,8,FALSE)</f>
        <v>27.576770025575353</v>
      </c>
      <c r="I16" s="1481">
        <f t="shared" ref="I16:I18" si="4">IF(ISERROR((F16+H16)/(E16+G16)),0,(F16+H16)/(E16+G16))</f>
        <v>11.35817830785339</v>
      </c>
      <c r="J16" s="1519">
        <f>VLOOKUP($B16,livestock_intensity_w,10,FALSE)*E16*livestock_feed_ef_n!$E$9*VLOOKUP(B16,livestock_feed_ef_n!$B$13:$E$34,4,0)</f>
        <v>0</v>
      </c>
      <c r="K16" s="81">
        <f>VLOOKUP(B16,livestock_efi_efe!$B$7:$F$172,5,FALSE)</f>
        <v>2.4279219147764159</v>
      </c>
      <c r="L16" s="81">
        <f>VLOOKUP($B16,livestock_efi_efe!$B$7:$O$172,11,FALSE)</f>
        <v>0</v>
      </c>
      <c r="M16" s="1520">
        <f t="shared" si="2"/>
        <v>0</v>
      </c>
      <c r="N16" s="81">
        <f>VLOOKUP($B16,livestock_intensity_w,13,FALSE)*E16*livestock_feed_ef_n!$E$8*VLOOKUP(B16,livestock_feed_ef_n!$B$13:$E$34,4,FALSE)</f>
        <v>0</v>
      </c>
      <c r="O16" s="81">
        <f>VLOOKUP(B16,livestock_efi_efe!$B$7:$F$172,5,FALSE)</f>
        <v>2.4279219147764159</v>
      </c>
      <c r="P16" s="81">
        <f>VLOOKUP($B16,livestock_efi_efe!$B$7:$P$172,14,FALSE)</f>
        <v>69.126737413051231</v>
      </c>
      <c r="Q16" s="1520">
        <f t="shared" si="3"/>
        <v>28.47156533014655</v>
      </c>
    </row>
    <row r="17" spans="1:17" s="156" customFormat="1">
      <c r="A17" s="143" t="s">
        <v>3101</v>
      </c>
      <c r="B17" s="821">
        <v>1157</v>
      </c>
      <c r="C17" s="36" t="s">
        <v>3102</v>
      </c>
      <c r="D17" s="41" t="s">
        <v>3101</v>
      </c>
      <c r="E17" s="1550">
        <f>VLOOKUP(A17,resourcestat_livestock_n!$A$7:$D$22,4,FALSE)*IF(VLOOKUP(D17,cnst_grazing!$A$10:$F$25,4,FALSE)=0, VLOOKUP(D17, cnst_grazing!$A$10:$E$25, 3, FALSE), VLOOKUP(D17,cnst_grazing!$A$10:$F$25,4,FALSE))</f>
        <v>0</v>
      </c>
      <c r="F17" s="1488">
        <f>VLOOKUP($B17,livestock_intensity_w,7,FALSE)*E17*livestock_feed_ef_n!$E$7*VLOOKUP(B17,livestock_feed_ef_n!$B$13:$E$34,4,FALSE)</f>
        <v>0</v>
      </c>
      <c r="G17" s="1489">
        <f>VLOOKUP(B17,livestock_efi_efe!$B$7:$F$172,5,FALSE)</f>
        <v>0</v>
      </c>
      <c r="H17" s="81">
        <f>VLOOKUP($B17,livestock_efi_efe!$B$7:$I$172,8,FALSE)</f>
        <v>0</v>
      </c>
      <c r="I17" s="1481">
        <f t="shared" si="4"/>
        <v>0</v>
      </c>
      <c r="J17" s="1519">
        <f>VLOOKUP($B17,livestock_intensity_w,10,FALSE)*E17*livestock_feed_ef_n!$E$9*VLOOKUP(B17,livestock_feed_ef_n!$B$13:$E$34,4,0)</f>
        <v>0</v>
      </c>
      <c r="K17" s="81">
        <f>VLOOKUP(B17,livestock_efi_efe!$B$7:$F$172,5,FALSE)</f>
        <v>0</v>
      </c>
      <c r="L17" s="81">
        <f>VLOOKUP($B17,livestock_efi_efe!$B$7:$O$172,11,FALSE)</f>
        <v>0</v>
      </c>
      <c r="M17" s="1520">
        <f t="shared" si="2"/>
        <v>0</v>
      </c>
      <c r="N17" s="81">
        <f>VLOOKUP($B17,livestock_intensity_w,13,FALSE)*E17*livestock_feed_ef_n!$E$8*VLOOKUP(B17,livestock_feed_ef_n!$B$13:$E$34,4,FALSE)</f>
        <v>0</v>
      </c>
      <c r="O17" s="81">
        <f>VLOOKUP(B17,livestock_efi_efe!$B$7:$F$172,5,FALSE)</f>
        <v>0</v>
      </c>
      <c r="P17" s="81">
        <f>VLOOKUP($B17,livestock_efi_efe!$B$7:$P$172,14,FALSE)</f>
        <v>0</v>
      </c>
      <c r="Q17" s="1520">
        <f t="shared" si="3"/>
        <v>0</v>
      </c>
    </row>
    <row r="18" spans="1:17" s="156" customFormat="1">
      <c r="A18" s="143" t="s">
        <v>3103</v>
      </c>
      <c r="B18" s="821">
        <v>1150</v>
      </c>
      <c r="C18" s="36" t="s">
        <v>3104</v>
      </c>
      <c r="D18" s="41" t="s">
        <v>3103</v>
      </c>
      <c r="E18" s="1550">
        <f>VLOOKUP(A18,resourcestat_livestock_n!$A$7:$D$22,4,FALSE)*IF(VLOOKUP(D18,cnst_grazing!$A$10:$F$25,4,FALSE)=0, VLOOKUP(D18, cnst_grazing!$A$10:$E$25, 3, FALSE), VLOOKUP(D18,cnst_grazing!$A$10:$F$25,4,FALSE))</f>
        <v>0</v>
      </c>
      <c r="F18" s="1488">
        <f>VLOOKUP($B18,livestock_intensity_w,7,FALSE)*E18*livestock_feed_ef_n!$E$7*VLOOKUP(B18,livestock_feed_ef_n!$B$13:$E$34,4,FALSE)</f>
        <v>0</v>
      </c>
      <c r="G18" s="1489">
        <f>VLOOKUP(B18,livestock_efi_efe!$B$7:$F$172,5,FALSE)</f>
        <v>0</v>
      </c>
      <c r="H18" s="81">
        <f>VLOOKUP($B18,livestock_efi_efe!$B$7:$I$172,8,FALSE)</f>
        <v>0</v>
      </c>
      <c r="I18" s="1481">
        <f t="shared" si="4"/>
        <v>0</v>
      </c>
      <c r="J18" s="1519">
        <f>VLOOKUP($B18,livestock_intensity_w,10,FALSE)*E18*livestock_feed_ef_n!$E$9*VLOOKUP(B18,livestock_feed_ef_n!$B$13:$E$34,4,0)</f>
        <v>0</v>
      </c>
      <c r="K18" s="81">
        <f>VLOOKUP(B18,livestock_efi_efe!$B$7:$F$172,5,FALSE)</f>
        <v>0</v>
      </c>
      <c r="L18" s="81">
        <f>VLOOKUP($B18,livestock_efi_efe!$B$7:$O$172,11,FALSE)</f>
        <v>0</v>
      </c>
      <c r="M18" s="1520">
        <f t="shared" si="2"/>
        <v>0</v>
      </c>
      <c r="N18" s="81">
        <f>VLOOKUP($B18,livestock_intensity_w,13,FALSE)*E18*livestock_feed_ef_n!$E$8*VLOOKUP(B18,livestock_feed_ef_n!$B$13:$E$34,4,FALSE)</f>
        <v>0</v>
      </c>
      <c r="O18" s="81">
        <f>VLOOKUP(B18,livestock_efi_efe!$B$7:$F$172,5,FALSE)</f>
        <v>0</v>
      </c>
      <c r="P18" s="81">
        <f>VLOOKUP($B18,livestock_efi_efe!$B$7:$P$172,14,FALSE)</f>
        <v>0</v>
      </c>
      <c r="Q18" s="1520">
        <f t="shared" si="3"/>
        <v>0</v>
      </c>
    </row>
    <row r="19" spans="1:17" s="156" customFormat="1">
      <c r="A19" s="138" t="s">
        <v>1750</v>
      </c>
      <c r="B19" s="711">
        <v>1034</v>
      </c>
      <c r="C19" s="41" t="s">
        <v>3469</v>
      </c>
      <c r="D19" s="41" t="str">
        <f t="shared" si="0"/>
        <v>Pigs</v>
      </c>
      <c r="E19" s="1550">
        <f>VLOOKUP(A19,resourcestat_livestock_n!$A$7:$D$22,4,FALSE)*IF(VLOOKUP(D19,cnst_grazing!$A$10:$F$25,4,FALSE)=0, VLOOKUP(D19, cnst_grazing!$A$10:$E$25, 3, FALSE), VLOOKUP(D19,cnst_grazing!$A$10:$F$25,4,FALSE))</f>
        <v>67042125000</v>
      </c>
      <c r="F19" s="1488">
        <f>VLOOKUP($B19,livestock_intensity_w,7,FALSE)*E19*livestock_feed_ef_n!$E$7*VLOOKUP(B19,livestock_feed_ef_n!$B$13:$E$34,4,FALSE)</f>
        <v>109968248060.3428</v>
      </c>
      <c r="G19" s="1489">
        <f>VLOOKUP(B19,livestock_efi_efe!$B$7:$F$172,5,FALSE)</f>
        <v>244856.37628305974</v>
      </c>
      <c r="H19" s="81">
        <f>VLOOKUP($B19,livestock_efi_efe!$B$7:$I$172,8,FALSE)</f>
        <v>317681.99834413879</v>
      </c>
      <c r="I19" s="1481">
        <f t="shared" si="1"/>
        <v>1.6402845838821765</v>
      </c>
      <c r="J19" s="1519">
        <f>VLOOKUP($B19,livestock_intensity_w,10,FALSE)*E19*livestock_feed_ef_n!$E$9*VLOOKUP(B19,livestock_feed_ef_n!$B$13:$E$34,4,0)</f>
        <v>2210974218.6745486</v>
      </c>
      <c r="K19" s="81">
        <f>VLOOKUP(B19,livestock_efi_efe!$B$7:$F$172,5,FALSE)</f>
        <v>244856.37628305974</v>
      </c>
      <c r="L19" s="81">
        <f>VLOOKUP($B19,livestock_efi_efe!$B$7:$O$172,11,FALSE)</f>
        <v>28879.530858866674</v>
      </c>
      <c r="M19" s="1520">
        <f t="shared" si="2"/>
        <v>3.2979190666171283E-2</v>
      </c>
      <c r="N19" s="81">
        <f>VLOOKUP($B19,livestock_intensity_w,13,FALSE)*E19*livestock_feed_ef_n!$E$8*VLOOKUP(B19,livestock_feed_ef_n!$B$13:$E$34,4,FALSE)</f>
        <v>0</v>
      </c>
      <c r="O19" s="81">
        <f>VLOOKUP(B19,livestock_efi_efe!$B$7:$F$172,5,FALSE)</f>
        <v>244856.37628305974</v>
      </c>
      <c r="P19" s="81">
        <f>VLOOKUP($B19,livestock_efi_efe!$B$7:$P$172,14,FALSE)</f>
        <v>0</v>
      </c>
      <c r="Q19" s="1520">
        <f t="shared" si="3"/>
        <v>0</v>
      </c>
    </row>
    <row r="20" spans="1:17" s="156" customFormat="1">
      <c r="A20" s="138" t="s">
        <v>1961</v>
      </c>
      <c r="B20" s="711">
        <v>976</v>
      </c>
      <c r="C20" s="41" t="s">
        <v>1746</v>
      </c>
      <c r="D20" s="41" t="str">
        <f t="shared" si="0"/>
        <v>Sheep</v>
      </c>
      <c r="E20" s="1550">
        <f>VLOOKUP(A20,resourcestat_livestock_n!$A$7:$D$22,4,FALSE)*IF(VLOOKUP(D20,cnst_grazing!$A$10:$F$25,4,FALSE)=0, VLOOKUP(D20, cnst_grazing!$A$10:$E$25, 3, FALSE), VLOOKUP(D20,cnst_grazing!$A$10:$F$25,4,FALSE))</f>
        <v>5236720000</v>
      </c>
      <c r="F20" s="1488">
        <f>VLOOKUP($B20,livestock_intensity_w,7,FALSE)*E20*livestock_feed_ef_n!$E$7*VLOOKUP(B20,livestock_feed_ef_n!$B$13:$E$34,4,FALSE)</f>
        <v>0</v>
      </c>
      <c r="G20" s="1489">
        <f>VLOOKUP(B20,livestock_efi_efe!$B$7:$F$172,5,FALSE)</f>
        <v>77.679107935313993</v>
      </c>
      <c r="H20" s="81">
        <f>VLOOKUP($B20,livestock_efi_efe!$B$7:$I$172,8,FALSE)</f>
        <v>0</v>
      </c>
      <c r="I20" s="1481">
        <f t="shared" si="1"/>
        <v>0</v>
      </c>
      <c r="J20" s="1519">
        <f>VLOOKUP($B20,livestock_intensity_w,10,FALSE)*E20*livestock_feed_ef_n!$E$9*VLOOKUP(B20,livestock_feed_ef_n!$B$13:$E$34,4,0)</f>
        <v>0</v>
      </c>
      <c r="K20" s="81">
        <f>VLOOKUP(B20,livestock_efi_efe!$B$7:$F$172,5,FALSE)</f>
        <v>77.679107935313993</v>
      </c>
      <c r="L20" s="81">
        <f>VLOOKUP($B20,livestock_efi_efe!$B$7:$O$172,11,FALSE)</f>
        <v>0</v>
      </c>
      <c r="M20" s="1520">
        <f t="shared" si="2"/>
        <v>0</v>
      </c>
      <c r="N20" s="81">
        <f>VLOOKUP($B20,livestock_intensity_w,13,FALSE)*E20*livestock_feed_ef_n!$E$8*VLOOKUP(B20,livestock_feed_ef_n!$B$13:$E$34,4,FALSE)</f>
        <v>16367326050.163357</v>
      </c>
      <c r="O20" s="81">
        <f>VLOOKUP(B20,livestock_efi_efe!$B$7:$F$172,5,FALSE)</f>
        <v>77.679107935313993</v>
      </c>
      <c r="P20" s="81">
        <f>VLOOKUP($B20,livestock_efi_efe!$B$7:$P$172,14,FALSE)</f>
        <v>281.19313029728301</v>
      </c>
      <c r="Q20" s="1520">
        <f t="shared" si="3"/>
        <v>3.1254919278806321</v>
      </c>
    </row>
    <row r="21" spans="1:17">
      <c r="A21" s="139" t="s">
        <v>4812</v>
      </c>
      <c r="B21" s="712">
        <v>1079</v>
      </c>
      <c r="C21" s="92" t="s">
        <v>4346</v>
      </c>
      <c r="D21" s="92" t="str">
        <f t="shared" si="0"/>
        <v>Turkeys</v>
      </c>
      <c r="E21" s="64">
        <f>VLOOKUP(A21,resourcestat_livestock_n!$A$7:$D$22,4,FALSE)*IF(VLOOKUP(D21,cnst_grazing!$A$10:$F$25,4,FALSE)=0, VLOOKUP(D21, cnst_grazing!$A$10:$E$25, 3, FALSE), VLOOKUP(D21,cnst_grazing!$A$10:$F$25,4,FALSE))</f>
        <v>259200000000</v>
      </c>
      <c r="F21" s="1517">
        <f>VLOOKUP($B21,livestock_intensity_w,7,FALSE)*E21*livestock_feed_ef_n!$E$7*VLOOKUP(B21,livestock_feed_ef_n!$B$13:$E$34,4,FALSE)</f>
        <v>434291779429.62238</v>
      </c>
      <c r="G21" s="74">
        <f>VLOOKUP(B21,livestock_efi_efe!$B$7:$F$172,5,FALSE)</f>
        <v>3955.9173384946016</v>
      </c>
      <c r="H21" s="95">
        <f>VLOOKUP($B21,livestock_efi_efe!$B$7:$I$172,8,FALSE)</f>
        <v>3293.0196287620283</v>
      </c>
      <c r="I21" s="954">
        <f t="shared" si="1"/>
        <v>1.6755083954261933</v>
      </c>
      <c r="J21" s="1521">
        <f>VLOOKUP($B21,livestock_intensity_w,10,FALSE)*E21*livestock_feed_ef_n!$E$9*VLOOKUP(B21,livestock_feed_ef_n!$B$13:$E$34,4,0)</f>
        <v>8198380619.9498568</v>
      </c>
      <c r="K21" s="95">
        <f>VLOOKUP(B21,livestock_efi_efe!$B$7:$F$172,5,FALSE)</f>
        <v>3955.9173384946016</v>
      </c>
      <c r="L21" s="95">
        <f>VLOOKUP($B21,livestock_efi_efe!$B$7:$O$172,11,FALSE)</f>
        <v>281.07482145937792</v>
      </c>
      <c r="M21" s="574">
        <f t="shared" si="2"/>
        <v>3.1629555462580138E-2</v>
      </c>
      <c r="N21" s="95">
        <f>VLOOKUP($B21,livestock_intensity_w,13,FALSE)*E21*livestock_feed_ef_n!$E$8*VLOOKUP(B21,livestock_feed_ef_n!$B$13:$E$34,4,FALSE)</f>
        <v>0</v>
      </c>
      <c r="O21" s="95">
        <f>VLOOKUP(B21,livestock_efi_efe!$B$7:$F$172,5,FALSE)</f>
        <v>3955.9173384946016</v>
      </c>
      <c r="P21" s="95">
        <f>VLOOKUP($B21,livestock_efi_efe!$B$7:$P$172,14,FALSE)</f>
        <v>0</v>
      </c>
      <c r="Q21" s="574">
        <f t="shared" si="3"/>
        <v>0</v>
      </c>
    </row>
    <row r="22" spans="1:17" s="959" customFormat="1">
      <c r="A22" s="956"/>
      <c r="B22" s="955"/>
      <c r="C22" s="956"/>
      <c r="D22" s="956"/>
      <c r="E22" s="957"/>
      <c r="F22" s="957"/>
      <c r="G22" s="957"/>
      <c r="H22" s="958"/>
      <c r="I22" s="960"/>
      <c r="J22" s="957"/>
      <c r="K22" s="957"/>
      <c r="L22" s="958"/>
      <c r="M22" s="960"/>
      <c r="N22" s="957"/>
      <c r="O22" s="957"/>
      <c r="P22" s="958"/>
      <c r="Q22" s="960"/>
    </row>
    <row r="23" spans="1:17">
      <c r="A23" s="235" t="s">
        <v>7775</v>
      </c>
      <c r="B23" s="224" t="s">
        <v>2019</v>
      </c>
      <c r="C23" s="224" t="s">
        <v>2018</v>
      </c>
      <c r="D23" s="224" t="s">
        <v>5051</v>
      </c>
      <c r="E23" s="224" t="s">
        <v>5228</v>
      </c>
      <c r="F23" s="1514" t="s">
        <v>5229</v>
      </c>
      <c r="G23" s="1500" t="s">
        <v>7135</v>
      </c>
      <c r="H23" s="1500" t="s">
        <v>1365</v>
      </c>
      <c r="I23" s="1501" t="s">
        <v>4130</v>
      </c>
      <c r="J23" s="1504" t="s">
        <v>5229</v>
      </c>
      <c r="K23" s="1504" t="s">
        <v>7819</v>
      </c>
      <c r="L23" s="1504" t="s">
        <v>1365</v>
      </c>
      <c r="M23" s="1505" t="s">
        <v>4130</v>
      </c>
      <c r="N23" s="1509" t="s">
        <v>5229</v>
      </c>
      <c r="O23" s="1509" t="s">
        <v>7135</v>
      </c>
      <c r="P23" s="1509" t="s">
        <v>1365</v>
      </c>
      <c r="Q23" s="1510" t="s">
        <v>4130</v>
      </c>
    </row>
    <row r="24" spans="1:17">
      <c r="A24" s="236" t="s">
        <v>548</v>
      </c>
      <c r="B24" s="229" t="s">
        <v>548</v>
      </c>
      <c r="C24" s="229" t="s">
        <v>548</v>
      </c>
      <c r="D24" s="229" t="s">
        <v>548</v>
      </c>
      <c r="E24" s="229" t="s">
        <v>3105</v>
      </c>
      <c r="F24" s="1515" t="s">
        <v>732</v>
      </c>
      <c r="G24" s="1502" t="s">
        <v>3105</v>
      </c>
      <c r="H24" s="1502" t="s">
        <v>732</v>
      </c>
      <c r="I24" s="1503" t="s">
        <v>2964</v>
      </c>
      <c r="J24" s="1508" t="s">
        <v>732</v>
      </c>
      <c r="K24" s="1508" t="s">
        <v>3105</v>
      </c>
      <c r="L24" s="1508" t="s">
        <v>732</v>
      </c>
      <c r="M24" s="1507" t="s">
        <v>7820</v>
      </c>
      <c r="N24" s="1511" t="s">
        <v>732</v>
      </c>
      <c r="O24" s="1511" t="s">
        <v>3105</v>
      </c>
      <c r="P24" s="1511" t="s">
        <v>732</v>
      </c>
      <c r="Q24" s="1513" t="s">
        <v>2964</v>
      </c>
    </row>
    <row r="25" spans="1:17">
      <c r="A25" s="231" t="s">
        <v>1960</v>
      </c>
      <c r="B25" s="711">
        <v>987</v>
      </c>
      <c r="C25" s="39" t="s">
        <v>1090</v>
      </c>
      <c r="D25" s="82" t="s">
        <v>1961</v>
      </c>
      <c r="E25" s="42">
        <f>VLOOKUP(B25,prodstat_livestock_n!$B$7:$D$47,3,FALSE)</f>
        <v>14000</v>
      </c>
      <c r="F25" s="1488">
        <f>VLOOKUP($B25,livestock_intensity_w,7,FALSE)*E25*livestock_feed_ef_n!$E$7*VLOOKUP(B25,livestock_feed_ef_n!$B$13:$E$34,4,FALSE)</f>
        <v>0</v>
      </c>
      <c r="G25" s="1394">
        <f>VLOOKUP(B25,livestock_efi_efe!$B$7:$F$172,5,FALSE)</f>
        <v>1034</v>
      </c>
      <c r="H25" s="237">
        <f>VLOOKUP($B25,livestock_efi_efe!$B$7:$I$172,8,FALSE)</f>
        <v>0</v>
      </c>
      <c r="I25" s="1480">
        <f t="shared" si="1"/>
        <v>0</v>
      </c>
      <c r="J25" s="1518">
        <f>VLOOKUP($B25,livestock_intensity_w,10,FALSE)*E25*livestock_feed_ef_n!$E$9*VLOOKUP(B25,livestock_feed_ef_n!$B$13:$E$34,4,0)</f>
        <v>0</v>
      </c>
      <c r="K25" s="237">
        <f>VLOOKUP(B25,livestock_efi_efe!$B$7:$F$172,5,FALSE)</f>
        <v>1034</v>
      </c>
      <c r="L25" s="237">
        <f>VLOOKUP($B25,livestock_efi_efe!$B$7:$O$172,11,FALSE)</f>
        <v>0</v>
      </c>
      <c r="M25" s="238">
        <f>IF(ISERROR((J25+L25)/(E25+K25)),0,(J25+L25)/(E25+K25))</f>
        <v>0</v>
      </c>
      <c r="N25" s="237">
        <f>VLOOKUP($B25,livestock_intensity_w,13,FALSE)*E25*livestock_feed_ef_n!$E$8*VLOOKUP(B25,livestock_feed_ef_n!$B$13:$E$34,4,FALSE)</f>
        <v>451686.30108931265</v>
      </c>
      <c r="O25" s="237">
        <f>VLOOKUP(B25,livestock_efi_efe!$B$7:$F$172,5,FALSE)</f>
        <v>1034</v>
      </c>
      <c r="P25" s="237">
        <f>VLOOKUP($B25,livestock_efi_efe!$B$7:$P$172,14,FALSE)</f>
        <v>70133.890942557569</v>
      </c>
      <c r="Q25" s="238">
        <f>IF(ISERROR((N25+P25)/(E25+O25)),0,(N25+P25)/(E25+O25))</f>
        <v>34.709338301973546</v>
      </c>
    </row>
    <row r="26" spans="1:17">
      <c r="A26" s="231" t="s">
        <v>1956</v>
      </c>
      <c r="B26" s="711">
        <v>982</v>
      </c>
      <c r="C26" s="39" t="s">
        <v>1957</v>
      </c>
      <c r="D26" s="82" t="s">
        <v>1961</v>
      </c>
      <c r="E26" s="42">
        <f>VLOOKUP(B26,prodstat_livestock_n!$B$7:$D$47,3,FALSE)</f>
        <v>0</v>
      </c>
      <c r="F26" s="1488">
        <f>VLOOKUP($B26,livestock_intensity_w,7,FALSE)*E26*livestock_feed_ef_n!$E$7*VLOOKUP(B26,livestock_feed_ef_n!$B$13:$E$34,4,FALSE)</f>
        <v>0</v>
      </c>
      <c r="G26" s="1489">
        <f>VLOOKUP(B26,livestock_efi_efe!$B$7:$F$172,5,FALSE)</f>
        <v>0</v>
      </c>
      <c r="H26" s="81">
        <f>VLOOKUP($B26,livestock_efi_efe!$B$7:$I$172,8,FALSE)</f>
        <v>0</v>
      </c>
      <c r="I26" s="1481">
        <f t="shared" si="1"/>
        <v>0</v>
      </c>
      <c r="J26" s="1519">
        <f>VLOOKUP($B26,livestock_intensity_w,10,FALSE)*E26*livestock_feed_ef_n!$E$9*VLOOKUP(B26,livestock_feed_ef_n!$B$13:$E$34,4,0)</f>
        <v>0</v>
      </c>
      <c r="K26" s="81">
        <f>VLOOKUP(B26,livestock_efi_efe!$B$7:$F$172,5,FALSE)</f>
        <v>0</v>
      </c>
      <c r="L26" s="81">
        <f>VLOOKUP($B26,livestock_efi_efe!$B$7:$O$172,11,FALSE)</f>
        <v>0</v>
      </c>
      <c r="M26" s="1520">
        <f t="shared" ref="M26:M29" si="5">IF(ISERROR((J26+L26)/(E26+K26)),0,(J26+L26)/(E26+K26))</f>
        <v>0</v>
      </c>
      <c r="N26" s="81">
        <f>VLOOKUP($B26,livestock_intensity_w,13,FALSE)*E26*livestock_feed_ef_n!$E$8*VLOOKUP(B26,livestock_feed_ef_n!$B$13:$E$34,4,FALSE)</f>
        <v>0</v>
      </c>
      <c r="O26" s="81">
        <f>VLOOKUP(B26,livestock_efi_efe!$B$7:$F$172,5,FALSE)</f>
        <v>0</v>
      </c>
      <c r="P26" s="81">
        <f>VLOOKUP($B26,livestock_efi_efe!$B$7:$P$172,14,FALSE)</f>
        <v>0</v>
      </c>
      <c r="Q26" s="1520">
        <f t="shared" ref="Q26:Q29" si="6">IF(ISERROR((N26+P26)/(E26+O26)),0,(N26+P26)/(E26+O26))</f>
        <v>0</v>
      </c>
    </row>
    <row r="27" spans="1:17">
      <c r="A27" s="231" t="s">
        <v>5594</v>
      </c>
      <c r="B27" s="711">
        <v>882</v>
      </c>
      <c r="C27" s="39" t="s">
        <v>5595</v>
      </c>
      <c r="D27" s="39" t="s">
        <v>4828</v>
      </c>
      <c r="E27" s="42">
        <f>VLOOKUP(B27,prodstat_livestock_n!$B$7:$D$47,3,FALSE)</f>
        <v>91271104</v>
      </c>
      <c r="F27" s="1488">
        <f>VLOOKUP($B27,livestock_intensity_w,7,FALSE)*E27*livestock_feed_ef_n!$E$7*VLOOKUP(B27,livestock_feed_ef_n!$B$13:$E$34,4,FALSE)</f>
        <v>15663091.867428754</v>
      </c>
      <c r="G27" s="1489">
        <f>VLOOKUP(B27,livestock_efi_efe!$B$7:$F$172,5,FALSE)</f>
        <v>3351</v>
      </c>
      <c r="H27" s="81">
        <f>VLOOKUP($B27,livestock_efi_efe!$B$7:$I$172,8,FALSE)</f>
        <v>632.2281144290223</v>
      </c>
      <c r="I27" s="1481">
        <f t="shared" si="1"/>
        <v>0.17161125854482706</v>
      </c>
      <c r="J27" s="1519">
        <f>VLOOKUP($B27,livestock_intensity_w,10,FALSE)*E27*livestock_feed_ef_n!$E$9*VLOOKUP(B27,livestock_feed_ef_n!$B$13:$E$34,4,0)</f>
        <v>0</v>
      </c>
      <c r="K27" s="81">
        <f>VLOOKUP(B27,livestock_efi_efe!$B$7:$F$172,5,FALSE)</f>
        <v>3351</v>
      </c>
      <c r="L27" s="81">
        <f>VLOOKUP($B27,livestock_efi_efe!$B$7:$O$172,11,FALSE)</f>
        <v>0</v>
      </c>
      <c r="M27" s="1520">
        <f t="shared" si="5"/>
        <v>0</v>
      </c>
      <c r="N27" s="81">
        <f>VLOOKUP($B27,livestock_intensity_w,13,FALSE)*E27*livestock_feed_ef_n!$E$8*VLOOKUP(B27,livestock_feed_ef_n!$B$13:$E$34,4,FALSE)</f>
        <v>14512562.467959914</v>
      </c>
      <c r="O27" s="81">
        <f>VLOOKUP(B27,livestock_efi_efe!$B$7:$F$172,5,FALSE)</f>
        <v>3351</v>
      </c>
      <c r="P27" s="81">
        <f>VLOOKUP($B27,livestock_efi_efe!$B$7:$P$172,14,FALSE)</f>
        <v>1198.9083959606007</v>
      </c>
      <c r="Q27" s="1520">
        <f t="shared" si="6"/>
        <v>0.15901230389549711</v>
      </c>
    </row>
    <row r="28" spans="1:17">
      <c r="A28" s="138" t="s">
        <v>5190</v>
      </c>
      <c r="B28" s="711">
        <v>1062</v>
      </c>
      <c r="C28" s="41" t="s">
        <v>5191</v>
      </c>
      <c r="D28" s="39" t="s">
        <v>4710</v>
      </c>
      <c r="E28" s="42">
        <f>VLOOKUP(B28,prodstat_livestock_n!$B$7:$D$47,3,FALSE)</f>
        <v>5636230</v>
      </c>
      <c r="F28" s="1488">
        <f>VLOOKUP($B28,livestock_intensity_w,7,FALSE)*E28*livestock_feed_ef_n!$E$7*VLOOKUP(B28,livestock_feed_ef_n!$B$13:$E$34,4,FALSE)</f>
        <v>8155840.7782225898</v>
      </c>
      <c r="G28" s="1489">
        <f>VLOOKUP(B28,livestock_efi_efe!$B$7:$F$172,5,FALSE)</f>
        <v>1946</v>
      </c>
      <c r="H28" s="81">
        <f>VLOOKUP($B28,livestock_efi_efe!$B$7:$I$172,8,FALSE)</f>
        <v>2059.0038502173024</v>
      </c>
      <c r="I28" s="1481">
        <f t="shared" si="1"/>
        <v>1.446904066505339</v>
      </c>
      <c r="J28" s="1519">
        <f>VLOOKUP($B28,livestock_intensity_w,10,FALSE)*E28*livestock_feed_ef_n!$E$9*VLOOKUP(B28,livestock_feed_ef_n!$B$13:$E$34,4,0)</f>
        <v>0</v>
      </c>
      <c r="K28" s="81">
        <f>VLOOKUP(B28,livestock_efi_efe!$B$7:$F$172,5,FALSE)</f>
        <v>1946</v>
      </c>
      <c r="L28" s="81">
        <f>VLOOKUP($B28,livestock_efi_efe!$B$7:$O$172,11,FALSE)</f>
        <v>0</v>
      </c>
      <c r="M28" s="1520">
        <f t="shared" si="5"/>
        <v>0</v>
      </c>
      <c r="N28" s="81">
        <f>VLOOKUP($B28,livestock_intensity_w,13,FALSE)*E28*livestock_feed_ef_n!$E$8*VLOOKUP(B28,livestock_feed_ef_n!$B$13:$E$34,4,FALSE)</f>
        <v>0</v>
      </c>
      <c r="O28" s="81">
        <f>VLOOKUP(B28,livestock_efi_efe!$B$7:$F$172,5,FALSE)</f>
        <v>1946</v>
      </c>
      <c r="P28" s="81">
        <f>VLOOKUP($B28,livestock_efi_efe!$B$7:$P$172,14,FALSE)</f>
        <v>0</v>
      </c>
      <c r="Q28" s="1520">
        <f t="shared" si="6"/>
        <v>0</v>
      </c>
    </row>
    <row r="29" spans="1:17">
      <c r="A29" s="232" t="s">
        <v>3963</v>
      </c>
      <c r="B29" s="712">
        <v>1091</v>
      </c>
      <c r="C29" s="94" t="s">
        <v>3662</v>
      </c>
      <c r="D29" s="94" t="s">
        <v>4710</v>
      </c>
      <c r="E29" s="74">
        <f>VLOOKUP(B29,prodstat_livestock_n!$B$7:$D$47,3,FALSE)</f>
        <v>0</v>
      </c>
      <c r="F29" s="1517">
        <f>VLOOKUP($B29,livestock_intensity_w,7,FALSE)*E29*livestock_feed_ef_n!$E$7*VLOOKUP(B29,livestock_feed_ef_n!$B$13:$E$34,4,FALSE)</f>
        <v>0</v>
      </c>
      <c r="G29" s="74">
        <f>VLOOKUP(B29,livestock_efi_efe!$B$7:$F$172,5,FALSE)</f>
        <v>1306</v>
      </c>
      <c r="H29" s="95">
        <f>VLOOKUP($B29,livestock_efi_efe!$B$7:$I$172,8,FALSE)</f>
        <v>1381.8391718313449</v>
      </c>
      <c r="I29" s="954">
        <f t="shared" si="1"/>
        <v>1.0580698099780588</v>
      </c>
      <c r="J29" s="1521">
        <f>VLOOKUP($B29,livestock_intensity_w,10,FALSE)*E29*livestock_feed_ef_n!$E$9*VLOOKUP(B29,livestock_feed_ef_n!$B$13:$E$34,4,0)</f>
        <v>0</v>
      </c>
      <c r="K29" s="95">
        <f>VLOOKUP(B29,livestock_efi_efe!$B$7:$F$172,5,FALSE)</f>
        <v>1306</v>
      </c>
      <c r="L29" s="95">
        <f>VLOOKUP($B29,livestock_efi_efe!$B$7:$O$172,11,FALSE)</f>
        <v>0</v>
      </c>
      <c r="M29" s="574">
        <f t="shared" si="5"/>
        <v>0</v>
      </c>
      <c r="N29" s="95">
        <f>VLOOKUP($B29,livestock_intensity_w,13,FALSE)*E29*livestock_feed_ef_n!$E$8*VLOOKUP(B29,livestock_feed_ef_n!$B$13:$E$34,4,FALSE)</f>
        <v>0</v>
      </c>
      <c r="O29" s="95">
        <f>VLOOKUP(B29,livestock_efi_efe!$B$7:$F$172,5,FALSE)</f>
        <v>1306</v>
      </c>
      <c r="P29" s="95">
        <f>VLOOKUP($B29,livestock_efi_efe!$B$7:$P$172,14,FALSE)</f>
        <v>0</v>
      </c>
      <c r="Q29" s="574">
        <f t="shared" si="6"/>
        <v>0</v>
      </c>
    </row>
  </sheetData>
  <mergeCells count="3">
    <mergeCell ref="F4:I4"/>
    <mergeCell ref="J4:M4"/>
    <mergeCell ref="N4:Q4"/>
  </mergeCells>
  <phoneticPr fontId="5" type="noConversion"/>
  <hyperlinks>
    <hyperlink ref="C2" location="livestock_efi!A1" tooltip="Go to livestock_efi" display="livestock_efi"/>
    <hyperlink ref="H2" location="tbl_liveweight_n" tooltip="Go to cnst_grazing" display="cnst_grazing"/>
    <hyperlink ref="D2" location="livestock_intensity_w" tooltip="Go to livestock_intensity_w" display="livestock_intensity_w"/>
    <hyperlink ref="F2" location="resourcestat_livestock_n!A1" tooltip="Go to resourcestat_livestock_n" display="resourcestat_livestock_n"/>
    <hyperlink ref="E2" location="livestock_feed_ef_n!A1" tooltip="Go to livesstock_feed_ef_n" display="livestock_feed_ef_n"/>
    <hyperlink ref="C3" location="livestock_efe!A1" tooltip="Go to livestock_efe" display="livestock_efe"/>
    <hyperlink ref="G2" location="prodstat_livestock_n!A1" display="prodstat_livestock_n"/>
  </hyperlinks>
  <pageMargins left="0.75" right="0.75" top="1" bottom="1" header="0.5" footer="0.5"/>
  <pageSetup orientation="portrait" verticalDpi="0"/>
  <headerFooter alignWithMargins="0"/>
  <ignoredErrors>
    <ignoredError sqref="C29 C7 C8 C9 C10 C11 C12 C13 C14 C15 C19 C20 C21 C25 C26 C27 C28" numberStoredAsText="1"/>
  </ignoredErrors>
  <drawing r:id="rId1"/>
  <legacyDrawing r:id="rId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9" enableFormatConditionsCalculation="0">
    <tabColor indexed="52"/>
  </sheetPr>
  <dimension ref="A1:E34"/>
  <sheetViews>
    <sheetView workbookViewId="0">
      <selection activeCell="A65536" sqref="A65536"/>
    </sheetView>
  </sheetViews>
  <sheetFormatPr baseColWidth="10" defaultColWidth="9.1640625" defaultRowHeight="12" x14ac:dyDescent="0"/>
  <cols>
    <col min="1" max="1" width="50.6640625" style="124" customWidth="1"/>
    <col min="2" max="2" width="14.83203125" style="124" customWidth="1"/>
    <col min="3" max="5" width="21.6640625" style="124" customWidth="1"/>
    <col min="6" max="16384" width="9.1640625" style="124"/>
  </cols>
  <sheetData>
    <row r="1" spans="1:5" s="53" customFormat="1" ht="12.75" customHeight="1">
      <c r="A1" s="889"/>
      <c r="B1" s="185"/>
      <c r="C1" s="185"/>
      <c r="E1" s="185"/>
    </row>
    <row r="2" spans="1:5" s="53" customFormat="1" ht="12.75" customHeight="1">
      <c r="A2" s="889"/>
      <c r="B2" s="54" t="s">
        <v>1005</v>
      </c>
      <c r="C2" s="1064" t="s">
        <v>1814</v>
      </c>
      <c r="D2" s="1064" t="s">
        <v>5261</v>
      </c>
      <c r="E2" s="1064" t="s">
        <v>1821</v>
      </c>
    </row>
    <row r="3" spans="1:5" s="53" customFormat="1" ht="12.75" customHeight="1">
      <c r="A3" s="889"/>
      <c r="B3" s="54" t="s">
        <v>1006</v>
      </c>
      <c r="C3" s="1064" t="s">
        <v>1827</v>
      </c>
      <c r="D3" s="1064" t="s">
        <v>1828</v>
      </c>
      <c r="E3" s="1064" t="s">
        <v>5259</v>
      </c>
    </row>
    <row r="4" spans="1:5" s="53" customFormat="1" ht="12.75" customHeight="1">
      <c r="A4" s="889"/>
    </row>
    <row r="5" spans="1:5">
      <c r="A5" s="240" t="s">
        <v>2644</v>
      </c>
      <c r="B5" s="241" t="s">
        <v>1045</v>
      </c>
      <c r="C5" s="241" t="s">
        <v>1046</v>
      </c>
      <c r="D5" s="241" t="s">
        <v>1047</v>
      </c>
      <c r="E5" s="242" t="s">
        <v>4059</v>
      </c>
    </row>
    <row r="6" spans="1:5">
      <c r="A6" s="654" t="s">
        <v>548</v>
      </c>
      <c r="B6" s="572" t="s">
        <v>3105</v>
      </c>
      <c r="C6" s="572" t="s">
        <v>732</v>
      </c>
      <c r="D6" s="572" t="s">
        <v>732</v>
      </c>
      <c r="E6" s="571" t="s">
        <v>548</v>
      </c>
    </row>
    <row r="7" spans="1:5">
      <c r="A7" s="666" t="s">
        <v>6387</v>
      </c>
      <c r="B7" s="40">
        <f>feed_demand_n!L22</f>
        <v>263847089.89968801</v>
      </c>
      <c r="C7" s="40">
        <f>feed_demand_n!O22</f>
        <v>115444345.11531931</v>
      </c>
      <c r="D7" s="40">
        <f>grazing_efp!C10</f>
        <v>191791030.05585533</v>
      </c>
      <c r="E7" s="948">
        <f>IF(ISERROR(D7/C7),0,D7/C7)</f>
        <v>1.6613289274955134</v>
      </c>
    </row>
    <row r="8" spans="1:5">
      <c r="A8" s="1312" t="s">
        <v>908</v>
      </c>
      <c r="B8" s="903">
        <f>feed_demand_n!M22</f>
        <v>354742630.71599996</v>
      </c>
      <c r="C8" s="903">
        <f>feed_demand_n!P22</f>
        <v>124573213.1461239</v>
      </c>
      <c r="D8" s="903">
        <f>grazing_efp!D10</f>
        <v>101119451.10527827</v>
      </c>
      <c r="E8" s="1313">
        <f>IF(ISERROR(D8/C8),0,D8/C8)</f>
        <v>0.811727084430788</v>
      </c>
    </row>
    <row r="9" spans="1:5">
      <c r="A9" s="28" t="s">
        <v>2924</v>
      </c>
      <c r="B9" s="74">
        <f>feed_demand_n!N22</f>
        <v>1075109.3355120001</v>
      </c>
      <c r="C9" s="74">
        <f>feed_demand_n!Q22</f>
        <v>3203098.5116078574</v>
      </c>
      <c r="D9" s="74">
        <f>grazing_efp!E7</f>
        <v>1176914.1030653527</v>
      </c>
      <c r="E9" s="573">
        <f>IF(ISERROR(D9/C9),0,D9/C9)</f>
        <v>0.36742988041119529</v>
      </c>
    </row>
    <row r="11" spans="1:5">
      <c r="A11" s="235" t="s">
        <v>2036</v>
      </c>
      <c r="B11" s="224" t="s">
        <v>2019</v>
      </c>
      <c r="C11" s="241" t="s">
        <v>2168</v>
      </c>
      <c r="D11" s="241" t="s">
        <v>2169</v>
      </c>
      <c r="E11" s="242" t="s">
        <v>2170</v>
      </c>
    </row>
    <row r="12" spans="1:5">
      <c r="A12" s="544" t="s">
        <v>548</v>
      </c>
      <c r="B12" s="545" t="s">
        <v>548</v>
      </c>
      <c r="C12" s="541" t="s">
        <v>2171</v>
      </c>
      <c r="D12" s="541" t="s">
        <v>2171</v>
      </c>
      <c r="E12" s="542" t="s">
        <v>548</v>
      </c>
    </row>
    <row r="13" spans="1:5">
      <c r="A13" s="141" t="s">
        <v>2276</v>
      </c>
      <c r="B13" s="822">
        <v>946</v>
      </c>
      <c r="C13" s="822">
        <f>VLOOKUP(B13,feed_mix_w!$B$7:$I$28,8,FALSE)</f>
        <v>76.898621634833887</v>
      </c>
      <c r="D13" s="149">
        <f>VLOOKUP(B13,regional_tfr,MATCH(residue_supply_n!$C$56,livestock_demand_headings,0),FALSE)</f>
        <v>76.898621634833887</v>
      </c>
      <c r="E13" s="1065">
        <f>D13/C13</f>
        <v>1</v>
      </c>
    </row>
    <row r="14" spans="1:5">
      <c r="A14" s="143" t="s">
        <v>4828</v>
      </c>
      <c r="B14" s="821">
        <v>866</v>
      </c>
      <c r="C14" s="821">
        <f>VLOOKUP(B14,feed_mix_w!$B$7:$I$28,8,FALSE)</f>
        <v>37.101932493773369</v>
      </c>
      <c r="D14" s="598">
        <f>VLOOKUP(B14,regional_tfr,MATCH(residue_supply_n!$C$56,livestock_demand_headings,0),FALSE)</f>
        <v>25.987511009685317</v>
      </c>
      <c r="E14" s="250">
        <f t="shared" ref="E14:E34" si="0">D14/C14</f>
        <v>0.7004355100383699</v>
      </c>
    </row>
    <row r="15" spans="1:5">
      <c r="A15" s="143" t="s">
        <v>4710</v>
      </c>
      <c r="B15" s="821">
        <v>1057</v>
      </c>
      <c r="C15" s="821">
        <f>VLOOKUP(B15,feed_mix_w!$B$7:$I$28,8,FALSE)</f>
        <v>3.8188949630106408</v>
      </c>
      <c r="D15" s="598">
        <f>VLOOKUP(B15,regional_tfr,MATCH(residue_supply_n!$C$56,livestock_demand_headings,0),FALSE)</f>
        <v>2.8779473855037678</v>
      </c>
      <c r="E15" s="250">
        <f t="shared" si="0"/>
        <v>0.75360736898480363</v>
      </c>
    </row>
    <row r="16" spans="1:5">
      <c r="A16" s="919" t="s">
        <v>3200</v>
      </c>
      <c r="B16" s="821">
        <v>1068</v>
      </c>
      <c r="C16" s="821">
        <f>VLOOKUP(B16,feed_mix_w!$B$7:$I$28,8,FALSE)</f>
        <v>7.2091176853858947</v>
      </c>
      <c r="D16" s="598">
        <f>VLOOKUP(B16,regional_tfr,MATCH(residue_supply_n!$C$56,livestock_demand_headings,0),FALSE)</f>
        <v>3.1911129280115875</v>
      </c>
      <c r="E16" s="250">
        <f t="shared" si="0"/>
        <v>0.44264958172073054</v>
      </c>
    </row>
    <row r="17" spans="1:5">
      <c r="A17" s="919" t="s">
        <v>3759</v>
      </c>
      <c r="B17" s="821">
        <v>1072</v>
      </c>
      <c r="C17" s="821">
        <f>VLOOKUP(B17,feed_mix_w!$B$7:$I$28,8,FALSE)</f>
        <v>2.9626956221559522</v>
      </c>
      <c r="D17" s="598">
        <f>VLOOKUP(B17,regional_tfr,MATCH(residue_supply_n!$C$56,livestock_demand_headings,0),FALSE)</f>
        <v>9.1050983478790783</v>
      </c>
      <c r="E17" s="250">
        <f t="shared" si="0"/>
        <v>3.0732479839603983</v>
      </c>
    </row>
    <row r="18" spans="1:5">
      <c r="A18" s="919" t="s">
        <v>4812</v>
      </c>
      <c r="B18" s="821">
        <v>1079</v>
      </c>
      <c r="C18" s="821">
        <f>VLOOKUP(B18,feed_mix_w!$B$7:$I$28,8,FALSE)</f>
        <v>2.3848280582867658</v>
      </c>
      <c r="D18" s="598">
        <f>VLOOKUP(B18,regional_tfr,MATCH(residue_supply_n!$C$56,livestock_demand_headings,0),FALSE)</f>
        <v>2.8893552741438469</v>
      </c>
      <c r="E18" s="250">
        <f t="shared" si="0"/>
        <v>1.2115570613587665</v>
      </c>
    </row>
    <row r="19" spans="1:5">
      <c r="A19" s="143" t="s">
        <v>408</v>
      </c>
      <c r="B19" s="821">
        <v>1016</v>
      </c>
      <c r="C19" s="821">
        <f>VLOOKUP(B19,feed_mix_w!$B$7:$I$28,8,FALSE)</f>
        <v>41.757245708311125</v>
      </c>
      <c r="D19" s="598">
        <f>VLOOKUP(B19,regional_tfr,MATCH(residue_supply_n!$C$56,livestock_demand_headings,0),FALSE)</f>
        <v>53.489177717677755</v>
      </c>
      <c r="E19" s="250">
        <f>D19/C19</f>
        <v>1.2809555996896504</v>
      </c>
    </row>
    <row r="20" spans="1:5">
      <c r="A20" s="143" t="s">
        <v>1750</v>
      </c>
      <c r="B20" s="821">
        <v>1034</v>
      </c>
      <c r="C20" s="821">
        <f>VLOOKUP(B20,feed_mix_w!$B$7:$I$28,8,FALSE)</f>
        <v>3.9587771364368303</v>
      </c>
      <c r="D20" s="598">
        <f>VLOOKUP(B20,regional_tfr,MATCH(residue_supply_n!$C$56,livestock_demand_headings,0),FALSE)</f>
        <v>3.0126159627880931</v>
      </c>
      <c r="E20" s="250">
        <f t="shared" si="0"/>
        <v>0.76099660550723836</v>
      </c>
    </row>
    <row r="21" spans="1:5">
      <c r="A21" s="143" t="s">
        <v>1961</v>
      </c>
      <c r="B21" s="821">
        <v>976</v>
      </c>
      <c r="C21" s="821">
        <f>VLOOKUP(B21,feed_mix_w!$B$7:$I$28,8,FALSE)</f>
        <v>10.308350880000001</v>
      </c>
      <c r="D21" s="598">
        <f>VLOOKUP(B21,regional_tfr,MATCH(residue_supply_n!$C$56,livestock_demand_headings,0),FALSE)</f>
        <v>10.96470772</v>
      </c>
      <c r="E21" s="250">
        <f t="shared" si="0"/>
        <v>1.0636723417393024</v>
      </c>
    </row>
    <row r="22" spans="1:5">
      <c r="A22" s="919" t="s">
        <v>5071</v>
      </c>
      <c r="B22" s="821">
        <v>1126</v>
      </c>
      <c r="C22" s="821">
        <f>VLOOKUP(B22,feed_mix_w!$B$7:$I$28,8,FALSE)</f>
        <v>111.51952599434503</v>
      </c>
      <c r="D22" s="598">
        <f>VLOOKUP(B22,regional_tfr,MATCH(residue_supply_n!$C$56,livestock_demand_headings,0),FALSE)</f>
        <v>111.51952599434503</v>
      </c>
      <c r="E22" s="250">
        <f t="shared" si="0"/>
        <v>1</v>
      </c>
    </row>
    <row r="23" spans="1:5">
      <c r="A23" s="919" t="s">
        <v>3101</v>
      </c>
      <c r="B23" s="821">
        <v>1157</v>
      </c>
      <c r="C23" s="821">
        <f>VLOOKUP(B23,feed_mix_w!$B$7:$I$28,8,FALSE)</f>
        <v>710.3944224696836</v>
      </c>
      <c r="D23" s="598">
        <f>VLOOKUP(B23,regional_tfr,MATCH(residue_supply_n!$C$56,livestock_demand_headings,0),FALSE)</f>
        <v>710.3944224696836</v>
      </c>
      <c r="E23" s="250">
        <f t="shared" si="0"/>
        <v>1</v>
      </c>
    </row>
    <row r="24" spans="1:5">
      <c r="A24" s="919" t="s">
        <v>2783</v>
      </c>
      <c r="B24" s="821">
        <v>1096</v>
      </c>
      <c r="C24" s="821">
        <f>VLOOKUP(B24,feed_mix_w!$B$7:$I$28,8,FALSE)</f>
        <v>138.8575539671647</v>
      </c>
      <c r="D24" s="598">
        <f>VLOOKUP(B24,regional_tfr,MATCH(residue_supply_n!$C$56,livestock_demand_headings,0),FALSE)</f>
        <v>123.9788537163454</v>
      </c>
      <c r="E24" s="250">
        <f t="shared" si="0"/>
        <v>0.89284918374453259</v>
      </c>
    </row>
    <row r="25" spans="1:5">
      <c r="A25" s="919" t="s">
        <v>5166</v>
      </c>
      <c r="B25" s="821">
        <v>1110</v>
      </c>
      <c r="C25" s="821">
        <f>VLOOKUP(B25,feed_mix_w!$B$7:$I$28,8,FALSE)</f>
        <v>117.50354520578824</v>
      </c>
      <c r="D25" s="598">
        <f>VLOOKUP(B25,regional_tfr,MATCH(residue_supply_n!$C$56,livestock_demand_headings,0),FALSE)</f>
        <v>117.50354520578824</v>
      </c>
      <c r="E25" s="250">
        <f t="shared" si="0"/>
        <v>1</v>
      </c>
    </row>
    <row r="26" spans="1:5">
      <c r="A26" s="919" t="s">
        <v>3389</v>
      </c>
      <c r="B26" s="821">
        <v>1107</v>
      </c>
      <c r="C26" s="821">
        <f>VLOOKUP(B26,feed_mix_w!$B$7:$I$28,8,FALSE)</f>
        <v>103.19460287223529</v>
      </c>
      <c r="D26" s="598">
        <f>VLOOKUP(B26,regional_tfr,MATCH(residue_supply_n!$C$56,livestock_demand_headings,0),FALSE)</f>
        <v>103.19460287223529</v>
      </c>
      <c r="E26" s="250">
        <f t="shared" si="0"/>
        <v>1</v>
      </c>
    </row>
    <row r="27" spans="1:5">
      <c r="A27" s="919" t="s">
        <v>3734</v>
      </c>
      <c r="B27" s="821">
        <v>1140</v>
      </c>
      <c r="C27" s="821">
        <f>VLOOKUP(B27,feed_mix_w!$B$7:$I$28,8,FALSE)</f>
        <v>10.418392721620096</v>
      </c>
      <c r="D27" s="598">
        <f>VLOOKUP(B27,regional_tfr,MATCH(residue_supply_n!$C$56,livestock_demand_headings,0),FALSE)</f>
        <v>10.418392721620096</v>
      </c>
      <c r="E27" s="250">
        <f t="shared" si="0"/>
        <v>1</v>
      </c>
    </row>
    <row r="28" spans="1:5">
      <c r="A28" s="919" t="s">
        <v>3103</v>
      </c>
      <c r="B28" s="821">
        <v>1150</v>
      </c>
      <c r="C28" s="821">
        <f>VLOOKUP(B28,feed_mix_w!$B$7:$I$28,8,FALSE)</f>
        <v>30.515022953937244</v>
      </c>
      <c r="D28" s="598">
        <f>VLOOKUP(B28,regional_tfr,MATCH(residue_supply_n!$C$56,livestock_demand_headings,0),FALSE)</f>
        <v>30.515022953937244</v>
      </c>
      <c r="E28" s="250">
        <f t="shared" si="0"/>
        <v>1</v>
      </c>
    </row>
    <row r="29" spans="1:5">
      <c r="A29" s="243" t="s">
        <v>5594</v>
      </c>
      <c r="B29" s="821">
        <v>882</v>
      </c>
      <c r="C29" s="543">
        <f>VLOOKUP(B29,feed_mix_w!$B$7:$I$28,8,FALSE)</f>
        <v>1.5674255905914334</v>
      </c>
      <c r="D29" s="598">
        <f>VLOOKUP(B29,regional_tfr,MATCH(residue_supply_n!$C$56,livestock_demand_headings,0),FALSE)</f>
        <v>0.85817551756708677</v>
      </c>
      <c r="E29" s="708">
        <f t="shared" si="0"/>
        <v>0.54750638417436659</v>
      </c>
    </row>
    <row r="30" spans="1:5">
      <c r="A30" s="243" t="s">
        <v>1748</v>
      </c>
      <c r="B30" s="821">
        <v>1062</v>
      </c>
      <c r="C30" s="543">
        <f>VLOOKUP(B30,feed_mix_w!$B$7:$I$28,8,FALSE)</f>
        <v>2.6758408644881384</v>
      </c>
      <c r="D30" s="598">
        <f>VLOOKUP(B30,regional_tfr,MATCH(residue_supply_n!$C$56,livestock_demand_headings,0),FALSE)</f>
        <v>2.2027761384143378</v>
      </c>
      <c r="E30" s="708">
        <f t="shared" si="0"/>
        <v>0.82320894625985419</v>
      </c>
    </row>
    <row r="31" spans="1:5">
      <c r="A31" s="247" t="s">
        <v>3963</v>
      </c>
      <c r="B31" s="821">
        <v>1091</v>
      </c>
      <c r="C31" s="543">
        <f>VLOOKUP(B31,feed_mix_w!$B$7:$I$28,8,FALSE)</f>
        <v>2.6758408644881384</v>
      </c>
      <c r="D31" s="598">
        <f>VLOOKUP(B31,regional_tfr,MATCH(residue_supply_n!$C$56,livestock_demand_headings,0),FALSE)</f>
        <v>2.2027761384143378</v>
      </c>
      <c r="E31" s="708">
        <f t="shared" si="0"/>
        <v>0.82320894625985419</v>
      </c>
    </row>
    <row r="32" spans="1:5">
      <c r="A32" s="243" t="s">
        <v>4632</v>
      </c>
      <c r="B32" s="821">
        <v>951</v>
      </c>
      <c r="C32" s="543">
        <f>VLOOKUP(B32,feed_mix_w!$B$7:$I$28,8,FALSE)</f>
        <v>3.2486951306882763</v>
      </c>
      <c r="D32" s="598">
        <f>VLOOKUP(B32,regional_tfr,MATCH(residue_supply_n!$C$56,livestock_demand_headings,0),FALSE)</f>
        <v>2.539393418518392</v>
      </c>
      <c r="E32" s="708">
        <f t="shared" si="0"/>
        <v>0.78166565847635883</v>
      </c>
    </row>
    <row r="33" spans="1:5">
      <c r="A33" s="247" t="s">
        <v>1956</v>
      </c>
      <c r="B33" s="821">
        <v>982</v>
      </c>
      <c r="C33" s="543">
        <f>VLOOKUP(B33,feed_mix_w!$B$7:$I$28,8,FALSE)</f>
        <v>10.224594922011988</v>
      </c>
      <c r="D33" s="598">
        <f>VLOOKUP(B33,regional_tfr,MATCH(residue_supply_n!$C$56,livestock_demand_headings,0),FALSE)</f>
        <v>10.224594922011988</v>
      </c>
      <c r="E33" s="708">
        <f t="shared" si="0"/>
        <v>1</v>
      </c>
    </row>
    <row r="34" spans="1:5">
      <c r="A34" s="248" t="s">
        <v>1960</v>
      </c>
      <c r="B34" s="807">
        <v>987</v>
      </c>
      <c r="C34" s="547">
        <f>VLOOKUP(B34,feed_mix_w!$B$7:$I$28,8,FALSE)</f>
        <v>193.150621915171</v>
      </c>
      <c r="D34" s="120">
        <f>VLOOKUP(B34,regional_tfr,MATCH(residue_supply_n!$C$56,livestock_demand_headings,0),FALSE)</f>
        <v>113.18465788685307</v>
      </c>
      <c r="E34" s="709">
        <f t="shared" si="0"/>
        <v>0.58599168236984589</v>
      </c>
    </row>
  </sheetData>
  <phoneticPr fontId="5" type="noConversion"/>
  <hyperlinks>
    <hyperlink ref="D2" location="livestock_feed_balance!A1" tooltip="Go to livestock_feed_balance_n" display="livestock_feed_balance"/>
    <hyperlink ref="C2" location="feed_demand_n!A1" tooltip="Go to feed_demand_n" display="feed_demand_n"/>
    <hyperlink ref="D3" location="livestock_intensity_n_grazing!A1" tooltip="Go to livestock_intensity_n_grazing" display="livestock_intensity_n_grazing"/>
    <hyperlink ref="C3" location="livestock_intensity_n_crop!A1" tooltip="Go to livestock_intensity_n_crop" display="livestock_intensity_n_crop"/>
    <hyperlink ref="E3" location="livestock_intensity_n_fish!A1" display="livestock_intensity_n_fish"/>
    <hyperlink ref="E2" location="feed_mix_w!A1" display="feed_mix_w"/>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enableFormatConditionsCalculation="0">
    <tabColor indexed="52"/>
    <pageSetUpPr autoPageBreaks="0"/>
  </sheetPr>
  <dimension ref="A1:K26"/>
  <sheetViews>
    <sheetView workbookViewId="0">
      <selection activeCell="A65536" sqref="A65536"/>
    </sheetView>
  </sheetViews>
  <sheetFormatPr baseColWidth="10" defaultColWidth="9.1640625" defaultRowHeight="12.75" customHeight="1" x14ac:dyDescent="0"/>
  <cols>
    <col min="1" max="1" width="50.6640625" style="150" customWidth="1"/>
    <col min="2" max="3" width="21.6640625" style="154" customWidth="1"/>
    <col min="4" max="4" width="21.6640625" style="150" customWidth="1"/>
    <col min="5" max="5" width="21.6640625" style="53" customWidth="1"/>
    <col min="6" max="6" width="12.33203125" style="53" customWidth="1"/>
    <col min="7" max="11" width="21.6640625" style="53" customWidth="1"/>
    <col min="12" max="16384" width="9.1640625" style="53"/>
  </cols>
  <sheetData>
    <row r="1" spans="1:11" ht="12.75" customHeight="1">
      <c r="A1" s="53"/>
      <c r="B1" s="185"/>
      <c r="C1" s="185"/>
      <c r="D1" s="53"/>
      <c r="E1" s="185"/>
      <c r="G1" s="125"/>
      <c r="H1" s="185"/>
      <c r="I1" s="185"/>
      <c r="J1" s="185"/>
      <c r="K1" s="185"/>
    </row>
    <row r="2" spans="1:11" ht="12.75" customHeight="1">
      <c r="A2" s="53"/>
      <c r="B2" s="54" t="s">
        <v>1005</v>
      </c>
      <c r="C2" s="1064" t="s">
        <v>2120</v>
      </c>
      <c r="D2" s="1064" t="s">
        <v>5262</v>
      </c>
      <c r="E2" s="1064" t="s">
        <v>5263</v>
      </c>
      <c r="F2" s="1064" t="s">
        <v>1815</v>
      </c>
      <c r="G2" s="1064" t="s">
        <v>6348</v>
      </c>
      <c r="H2" s="1064" t="s">
        <v>2117</v>
      </c>
      <c r="I2" s="1064" t="s">
        <v>6355</v>
      </c>
      <c r="J2" s="1064" t="s">
        <v>6356</v>
      </c>
    </row>
    <row r="3" spans="1:11" ht="12.75" customHeight="1">
      <c r="A3" s="53"/>
      <c r="B3" s="54" t="s">
        <v>1006</v>
      </c>
      <c r="C3" s="1064" t="s">
        <v>1822</v>
      </c>
      <c r="D3" s="1064" t="s">
        <v>1814</v>
      </c>
      <c r="E3" s="1064" t="s">
        <v>5261</v>
      </c>
      <c r="F3" s="1064"/>
      <c r="G3" s="1064"/>
      <c r="H3" s="1064"/>
      <c r="I3" s="1064"/>
      <c r="J3" s="1064"/>
    </row>
    <row r="4" spans="1:11" ht="12.75" customHeight="1">
      <c r="A4" s="53"/>
      <c r="B4" s="53"/>
      <c r="C4" s="53"/>
      <c r="D4" s="53"/>
      <c r="H4" s="122"/>
    </row>
    <row r="5" spans="1:11" s="150" customFormat="1" ht="12">
      <c r="A5" s="222" t="s">
        <v>2036</v>
      </c>
      <c r="B5" s="223" t="s">
        <v>2019</v>
      </c>
      <c r="C5" s="223" t="s">
        <v>2018</v>
      </c>
      <c r="D5" s="223" t="s">
        <v>2922</v>
      </c>
      <c r="E5" s="223" t="s">
        <v>3685</v>
      </c>
      <c r="F5" s="223" t="s">
        <v>3686</v>
      </c>
      <c r="G5" s="223" t="s">
        <v>5425</v>
      </c>
      <c r="H5" s="223" t="s">
        <v>2039</v>
      </c>
      <c r="I5" s="223" t="s">
        <v>1855</v>
      </c>
      <c r="J5" s="223" t="s">
        <v>6223</v>
      </c>
      <c r="K5" s="225" t="s">
        <v>599</v>
      </c>
    </row>
    <row r="6" spans="1:11" s="150" customFormat="1" ht="12">
      <c r="A6" s="568" t="s">
        <v>548</v>
      </c>
      <c r="B6" s="569" t="s">
        <v>548</v>
      </c>
      <c r="C6" s="569" t="s">
        <v>548</v>
      </c>
      <c r="D6" s="569" t="s">
        <v>548</v>
      </c>
      <c r="E6" s="569" t="s">
        <v>548</v>
      </c>
      <c r="F6" s="569" t="s">
        <v>548</v>
      </c>
      <c r="G6" s="228" t="s">
        <v>1831</v>
      </c>
      <c r="H6" s="569" t="s">
        <v>4975</v>
      </c>
      <c r="I6" s="569" t="s">
        <v>2963</v>
      </c>
      <c r="J6" s="442" t="s">
        <v>548</v>
      </c>
      <c r="K6" s="443" t="s">
        <v>7784</v>
      </c>
    </row>
    <row r="7" spans="1:11" ht="12">
      <c r="A7" s="141" t="s">
        <v>627</v>
      </c>
      <c r="B7" s="805">
        <v>44</v>
      </c>
      <c r="C7" s="142">
        <v>1003</v>
      </c>
      <c r="D7" s="142" t="s">
        <v>415</v>
      </c>
      <c r="E7" s="33"/>
      <c r="F7" s="822"/>
      <c r="G7" s="809">
        <f t="shared" ref="G7:G21" si="0">IFERROR(VLOOKUP(B7*1,constant_ag_extr,14,FALSE),VLOOKUP(B7,constant_ag_extr,14,FALSE))</f>
        <v>1</v>
      </c>
      <c r="H7" s="808">
        <f t="shared" ref="H7:H21" si="1">IF(D7="p",VLOOKUP(B7,crop_efp,4,FALSE),(G7*(VLOOKUP(F7,crop_efp,4,FALSE))))*(1-VLOOKUP(B7,constant_crop_factor,2,FALSE))</f>
        <v>2.341906739275688</v>
      </c>
      <c r="I7" s="808">
        <f t="shared" ref="I7:I21" si="2">VLOOKUP("Crop Land",eqf,2,FALSE)</f>
        <v>2.5252766180478901</v>
      </c>
      <c r="J7" s="808">
        <f t="shared" ref="J7:J21" si="3">VLOOKUP("Crop Land",iyf,2,FALSE)</f>
        <v>1</v>
      </c>
      <c r="K7" s="1066">
        <f>IF(ISERROR(I7/H7),0,I7/H7)*J7</f>
        <v>1.0782993941205854</v>
      </c>
    </row>
    <row r="8" spans="1:11" ht="12">
      <c r="A8" s="143" t="s">
        <v>4664</v>
      </c>
      <c r="B8" s="821">
        <v>125</v>
      </c>
      <c r="C8" s="36" t="s">
        <v>5481</v>
      </c>
      <c r="D8" s="36" t="s">
        <v>415</v>
      </c>
      <c r="E8" s="3"/>
      <c r="F8" s="821"/>
      <c r="G8" s="809">
        <f t="shared" si="0"/>
        <v>1</v>
      </c>
      <c r="H8" s="809">
        <f t="shared" si="1"/>
        <v>3.2750820361450801</v>
      </c>
      <c r="I8" s="809">
        <f t="shared" si="2"/>
        <v>2.5252766180478901</v>
      </c>
      <c r="J8" s="809">
        <f t="shared" si="3"/>
        <v>1</v>
      </c>
      <c r="K8" s="1067">
        <f t="shared" ref="K8:K21" si="4">IF(ISERROR(I8/H8),0,I8/H8)*J8</f>
        <v>0.77105751556081781</v>
      </c>
    </row>
    <row r="9" spans="1:11" ht="12">
      <c r="A9" s="143" t="s">
        <v>2175</v>
      </c>
      <c r="B9" s="821">
        <v>56</v>
      </c>
      <c r="C9" s="36" t="s">
        <v>1021</v>
      </c>
      <c r="D9" s="36" t="s">
        <v>415</v>
      </c>
      <c r="E9" s="3"/>
      <c r="F9" s="821"/>
      <c r="G9" s="809">
        <f t="shared" si="0"/>
        <v>1</v>
      </c>
      <c r="H9" s="809">
        <f t="shared" si="1"/>
        <v>4.6600026721637731</v>
      </c>
      <c r="I9" s="809">
        <f t="shared" si="2"/>
        <v>2.5252766180478901</v>
      </c>
      <c r="J9" s="809">
        <f t="shared" si="3"/>
        <v>1</v>
      </c>
      <c r="K9" s="1067">
        <f t="shared" si="4"/>
        <v>0.54190454291635237</v>
      </c>
    </row>
    <row r="10" spans="1:11" ht="12">
      <c r="A10" s="143" t="s">
        <v>804</v>
      </c>
      <c r="B10" s="821">
        <v>75</v>
      </c>
      <c r="C10" s="36" t="s">
        <v>2977</v>
      </c>
      <c r="D10" s="36" t="s">
        <v>415</v>
      </c>
      <c r="E10" s="3"/>
      <c r="F10" s="821"/>
      <c r="G10" s="809">
        <f t="shared" si="0"/>
        <v>1</v>
      </c>
      <c r="H10" s="809">
        <f t="shared" si="1"/>
        <v>2.341906739275688</v>
      </c>
      <c r="I10" s="809">
        <f t="shared" si="2"/>
        <v>2.5252766180478901</v>
      </c>
      <c r="J10" s="809">
        <f t="shared" si="3"/>
        <v>1</v>
      </c>
      <c r="K10" s="1067">
        <f t="shared" si="4"/>
        <v>1.0782993941205854</v>
      </c>
    </row>
    <row r="11" spans="1:11" ht="12">
      <c r="A11" s="143" t="s">
        <v>5267</v>
      </c>
      <c r="B11" s="821">
        <v>417</v>
      </c>
      <c r="C11" s="36">
        <v>708.1</v>
      </c>
      <c r="D11" s="36" t="s">
        <v>415</v>
      </c>
      <c r="E11" s="3"/>
      <c r="F11" s="821"/>
      <c r="G11" s="809">
        <f t="shared" si="0"/>
        <v>1</v>
      </c>
      <c r="H11" s="809">
        <f t="shared" si="1"/>
        <v>1.6533110514303169</v>
      </c>
      <c r="I11" s="809">
        <f t="shared" si="2"/>
        <v>2.5252766180478901</v>
      </c>
      <c r="J11" s="809">
        <f t="shared" si="3"/>
        <v>1</v>
      </c>
      <c r="K11" s="1067">
        <f t="shared" si="4"/>
        <v>1.5274056360194388</v>
      </c>
    </row>
    <row r="12" spans="1:11" ht="12">
      <c r="A12" s="143" t="s">
        <v>5561</v>
      </c>
      <c r="B12" s="821">
        <v>270</v>
      </c>
      <c r="C12" s="36">
        <v>1205</v>
      </c>
      <c r="D12" s="36" t="s">
        <v>415</v>
      </c>
      <c r="E12" s="3"/>
      <c r="F12" s="821"/>
      <c r="G12" s="809">
        <f t="shared" si="0"/>
        <v>1</v>
      </c>
      <c r="H12" s="809">
        <f t="shared" si="1"/>
        <v>1.7520574770898349</v>
      </c>
      <c r="I12" s="809">
        <f t="shared" si="2"/>
        <v>2.5252766180478901</v>
      </c>
      <c r="J12" s="809">
        <f t="shared" si="3"/>
        <v>1</v>
      </c>
      <c r="K12" s="1067">
        <f t="shared" si="4"/>
        <v>1.441320647906124</v>
      </c>
    </row>
    <row r="13" spans="1:11" ht="12">
      <c r="A13" s="143" t="s">
        <v>4621</v>
      </c>
      <c r="B13" s="831">
        <v>272</v>
      </c>
      <c r="C13" s="77" t="s">
        <v>601</v>
      </c>
      <c r="D13" s="36" t="s">
        <v>2921</v>
      </c>
      <c r="E13" s="3" t="s">
        <v>5561</v>
      </c>
      <c r="F13" s="821">
        <v>270</v>
      </c>
      <c r="G13" s="809">
        <f t="shared" si="0"/>
        <v>2.464992193064226</v>
      </c>
      <c r="H13" s="809">
        <f t="shared" si="1"/>
        <v>4.4169627301632071</v>
      </c>
      <c r="I13" s="809">
        <f t="shared" si="2"/>
        <v>2.5252766180478901</v>
      </c>
      <c r="J13" s="809">
        <f t="shared" si="3"/>
        <v>1</v>
      </c>
      <c r="K13" s="1067">
        <f t="shared" si="4"/>
        <v>0.57172241930023737</v>
      </c>
    </row>
    <row r="14" spans="1:11" ht="12">
      <c r="A14" s="138" t="s">
        <v>4625</v>
      </c>
      <c r="B14" s="832">
        <v>35</v>
      </c>
      <c r="C14" s="78" t="s">
        <v>2275</v>
      </c>
      <c r="D14" s="41" t="s">
        <v>2921</v>
      </c>
      <c r="E14" s="26" t="s">
        <v>5566</v>
      </c>
      <c r="F14" s="821">
        <v>27</v>
      </c>
      <c r="G14" s="809">
        <f t="shared" si="0"/>
        <v>1.6853177062656854</v>
      </c>
      <c r="H14" s="809">
        <f t="shared" si="1"/>
        <v>6.7907681779182925</v>
      </c>
      <c r="I14" s="809">
        <f t="shared" si="2"/>
        <v>2.5252766180478901</v>
      </c>
      <c r="J14" s="809">
        <f t="shared" si="3"/>
        <v>1</v>
      </c>
      <c r="K14" s="1067">
        <f t="shared" si="4"/>
        <v>0.3718690657500861</v>
      </c>
    </row>
    <row r="15" spans="1:11" ht="12">
      <c r="A15" s="143" t="s">
        <v>5568</v>
      </c>
      <c r="B15" s="821">
        <v>71</v>
      </c>
      <c r="C15" s="36" t="s">
        <v>2085</v>
      </c>
      <c r="D15" s="36" t="s">
        <v>415</v>
      </c>
      <c r="E15" s="3"/>
      <c r="F15" s="821"/>
      <c r="G15" s="809">
        <f t="shared" si="0"/>
        <v>1</v>
      </c>
      <c r="H15" s="809">
        <f t="shared" si="1"/>
        <v>2.341906739275688</v>
      </c>
      <c r="I15" s="809">
        <f t="shared" si="2"/>
        <v>2.5252766180478901</v>
      </c>
      <c r="J15" s="809">
        <f t="shared" si="3"/>
        <v>1</v>
      </c>
      <c r="K15" s="1067">
        <f t="shared" si="4"/>
        <v>1.0782993941205854</v>
      </c>
    </row>
    <row r="16" spans="1:11" ht="12">
      <c r="A16" s="143" t="s">
        <v>2805</v>
      </c>
      <c r="B16" s="821">
        <v>83</v>
      </c>
      <c r="C16" s="36" t="s">
        <v>4073</v>
      </c>
      <c r="D16" s="36" t="s">
        <v>415</v>
      </c>
      <c r="E16" s="3"/>
      <c r="F16" s="821"/>
      <c r="G16" s="809">
        <f t="shared" si="0"/>
        <v>1</v>
      </c>
      <c r="H16" s="809">
        <f t="shared" si="1"/>
        <v>2.341906739275688</v>
      </c>
      <c r="I16" s="809">
        <f t="shared" si="2"/>
        <v>2.5252766180478901</v>
      </c>
      <c r="J16" s="809">
        <f t="shared" si="3"/>
        <v>1</v>
      </c>
      <c r="K16" s="1067">
        <f t="shared" si="4"/>
        <v>1.0782993941205854</v>
      </c>
    </row>
    <row r="17" spans="1:11" ht="12">
      <c r="A17" s="138" t="s">
        <v>4620</v>
      </c>
      <c r="B17" s="832">
        <v>238</v>
      </c>
      <c r="C17" s="78" t="s">
        <v>600</v>
      </c>
      <c r="D17" s="41" t="s">
        <v>2921</v>
      </c>
      <c r="E17" s="26" t="s">
        <v>4047</v>
      </c>
      <c r="F17" s="821">
        <v>236</v>
      </c>
      <c r="G17" s="809">
        <f t="shared" si="0"/>
        <v>1.302795963706525</v>
      </c>
      <c r="H17" s="809">
        <f t="shared" si="1"/>
        <v>2.8977351673304854</v>
      </c>
      <c r="I17" s="809">
        <f t="shared" si="2"/>
        <v>2.5252766180478901</v>
      </c>
      <c r="J17" s="809">
        <f t="shared" si="3"/>
        <v>1</v>
      </c>
      <c r="K17" s="1067">
        <f t="shared" si="4"/>
        <v>0.87146563513403474</v>
      </c>
    </row>
    <row r="18" spans="1:11" ht="12">
      <c r="A18" s="143" t="s">
        <v>4047</v>
      </c>
      <c r="B18" s="821">
        <v>236</v>
      </c>
      <c r="C18" s="36" t="s">
        <v>4074</v>
      </c>
      <c r="D18" s="36" t="s">
        <v>415</v>
      </c>
      <c r="E18" s="3"/>
      <c r="F18" s="821"/>
      <c r="G18" s="809">
        <f t="shared" si="0"/>
        <v>1</v>
      </c>
      <c r="H18" s="809">
        <f t="shared" si="1"/>
        <v>2.22424327988112</v>
      </c>
      <c r="I18" s="809">
        <f t="shared" si="2"/>
        <v>2.5252766180478901</v>
      </c>
      <c r="J18" s="809">
        <f t="shared" si="3"/>
        <v>1</v>
      </c>
      <c r="K18" s="1067">
        <f t="shared" si="4"/>
        <v>1.1353419119615635</v>
      </c>
    </row>
    <row r="19" spans="1:11" ht="12">
      <c r="A19" s="143" t="s">
        <v>4623</v>
      </c>
      <c r="B19" s="831">
        <v>269</v>
      </c>
      <c r="C19" s="77" t="s">
        <v>602</v>
      </c>
      <c r="D19" s="36" t="s">
        <v>2921</v>
      </c>
      <c r="E19" s="3" t="s">
        <v>3916</v>
      </c>
      <c r="F19" s="821">
        <v>267</v>
      </c>
      <c r="G19" s="809">
        <f t="shared" si="0"/>
        <v>2.8312604891100324</v>
      </c>
      <c r="H19" s="809">
        <f t="shared" si="1"/>
        <v>4.3941114965524051</v>
      </c>
      <c r="I19" s="809">
        <f t="shared" si="2"/>
        <v>2.5252766180478901</v>
      </c>
      <c r="J19" s="809">
        <f t="shared" si="3"/>
        <v>1</v>
      </c>
      <c r="K19" s="1067">
        <f t="shared" si="4"/>
        <v>0.5746956170841836</v>
      </c>
    </row>
    <row r="20" spans="1:11" ht="12">
      <c r="A20" s="143" t="s">
        <v>3916</v>
      </c>
      <c r="B20" s="821">
        <v>267</v>
      </c>
      <c r="C20" s="36" t="s">
        <v>3690</v>
      </c>
      <c r="D20" s="36" t="s">
        <v>415</v>
      </c>
      <c r="E20" s="3"/>
      <c r="F20" s="821"/>
      <c r="G20" s="809">
        <f t="shared" si="0"/>
        <v>1</v>
      </c>
      <c r="H20" s="809">
        <f t="shared" si="1"/>
        <v>1.6037315878335476</v>
      </c>
      <c r="I20" s="809">
        <f t="shared" si="2"/>
        <v>2.5252766180478901</v>
      </c>
      <c r="J20" s="809">
        <f t="shared" si="3"/>
        <v>1</v>
      </c>
      <c r="K20" s="1067">
        <f t="shared" si="4"/>
        <v>1.5746254779824105</v>
      </c>
    </row>
    <row r="21" spans="1:11" ht="12">
      <c r="A21" s="143" t="s">
        <v>1214</v>
      </c>
      <c r="B21" s="821">
        <v>15</v>
      </c>
      <c r="C21" s="36" t="s">
        <v>4196</v>
      </c>
      <c r="D21" s="36" t="s">
        <v>415</v>
      </c>
      <c r="E21" s="3"/>
      <c r="F21" s="821"/>
      <c r="G21" s="809">
        <f t="shared" si="0"/>
        <v>1</v>
      </c>
      <c r="H21" s="809">
        <f t="shared" si="1"/>
        <v>2.341906739275688</v>
      </c>
      <c r="I21" s="809">
        <f t="shared" si="2"/>
        <v>2.5252766180478901</v>
      </c>
      <c r="J21" s="809">
        <f t="shared" si="3"/>
        <v>1</v>
      </c>
      <c r="K21" s="1067">
        <f t="shared" si="4"/>
        <v>1.0782993941205854</v>
      </c>
    </row>
    <row r="22" spans="1:11" s="206" customFormat="1" ht="12">
      <c r="A22" s="243" t="s">
        <v>4626</v>
      </c>
      <c r="B22" s="855">
        <v>2855</v>
      </c>
      <c r="C22" s="41"/>
      <c r="D22" s="78"/>
      <c r="E22" s="244"/>
      <c r="F22" s="832"/>
      <c r="G22" s="144"/>
      <c r="H22" s="809"/>
      <c r="I22" s="451"/>
      <c r="J22" s="451"/>
      <c r="K22" s="1067">
        <f>fish_feed_group_yield_w!C21*(1-VLOOKUP(B22,constant_crop_factor,2,FALSE))</f>
        <v>2.9793235030206899</v>
      </c>
    </row>
    <row r="23" spans="1:11" s="206" customFormat="1" ht="12">
      <c r="A23" s="243" t="s">
        <v>4627</v>
      </c>
      <c r="B23" s="815"/>
      <c r="C23" s="41"/>
      <c r="D23" s="78"/>
      <c r="E23" s="244"/>
      <c r="F23" s="832"/>
      <c r="G23" s="144"/>
      <c r="H23" s="144"/>
      <c r="I23" s="245"/>
      <c r="J23" s="245"/>
      <c r="K23" s="153">
        <f>IF(ISERROR(I23/H23),0,I23/H23)</f>
        <v>0</v>
      </c>
    </row>
    <row r="24" spans="1:11" s="206" customFormat="1" ht="12">
      <c r="A24" s="193" t="s">
        <v>4628</v>
      </c>
      <c r="B24" s="729"/>
      <c r="C24" s="92"/>
      <c r="D24" s="194" t="s">
        <v>415</v>
      </c>
      <c r="E24" s="246"/>
      <c r="F24" s="833"/>
      <c r="G24" s="148"/>
      <c r="H24" s="810">
        <f>VLOOKUP("world",constant_grazing_npp,3,FALSE)*cnst_grazing!C6*cnst_grazing!C7</f>
        <v>1.2999000000000001</v>
      </c>
      <c r="I24" s="1068">
        <f>VLOOKUP("Grazing land",eqf,2,FALSE)</f>
        <v>0.45647944663940498</v>
      </c>
      <c r="J24" s="1068">
        <f>VLOOKUP("Grazing land",iyf,2,FALSE)</f>
        <v>1</v>
      </c>
      <c r="K24" s="1069">
        <f>IF(ISERROR(I24/H24),0,I24/H24)*J24</f>
        <v>0.35116504857250941</v>
      </c>
    </row>
    <row r="25" spans="1:11" ht="12.75" customHeight="1">
      <c r="A25" s="456" t="s">
        <v>1603</v>
      </c>
      <c r="B25" s="815"/>
      <c r="C25" s="41"/>
      <c r="D25" s="226"/>
      <c r="E25" s="22"/>
      <c r="F25" s="22"/>
      <c r="G25" s="22"/>
      <c r="H25" s="22"/>
      <c r="I25" s="22"/>
      <c r="J25" s="22"/>
      <c r="K25" s="86">
        <f>crop_feed_cnst!D8</f>
        <v>8.9845353419586493E-2</v>
      </c>
    </row>
    <row r="26" spans="1:11" ht="12.75" customHeight="1">
      <c r="A26" s="457" t="s">
        <v>1614</v>
      </c>
      <c r="B26" s="729"/>
      <c r="C26" s="92"/>
      <c r="D26" s="227"/>
      <c r="E26" s="458"/>
      <c r="F26" s="458"/>
      <c r="G26" s="458"/>
      <c r="H26" s="459"/>
      <c r="I26" s="458"/>
      <c r="J26" s="458"/>
      <c r="K26" s="460">
        <v>0</v>
      </c>
    </row>
  </sheetData>
  <phoneticPr fontId="5" type="noConversion"/>
  <hyperlinks>
    <hyperlink ref="C3" location="livestock_intensity_w" tooltip="Go to livestock_intensity_n_grazing" display="livestock_intensity_w"/>
    <hyperlink ref="F2" location="cnst_grazing!A1" display="cnst_grazing"/>
    <hyperlink ref="D2" location="fish_feed_group_yield_n!A1" display="fish_feed_group_yield_n"/>
    <hyperlink ref="E2" location="crop_feed_cnst!A1" display="crop_feed_cnst"/>
    <hyperlink ref="H2" location="eqf" display="eqf"/>
    <hyperlink ref="C2" location="crop_yield_w" display="crop_yield_w"/>
    <hyperlink ref="D3" location="feed_demand_n!A1" display="feed_demand_n"/>
    <hyperlink ref="E3" location="livestock_feed_balance!A1" display="livestock_feed_balance"/>
    <hyperlink ref="I2" location="constant_grazing_npp" display="const_grazing_npp"/>
    <hyperlink ref="J2" location="constant_ag_extr" display="constant_ag_extr"/>
    <hyperlink ref="G2" location="iyf" display="iyf"/>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enableFormatConditionsCalculation="0">
    <tabColor indexed="52"/>
    <pageSetUpPr autoPageBreaks="0"/>
  </sheetPr>
  <dimension ref="A1:AG83"/>
  <sheetViews>
    <sheetView workbookViewId="0">
      <selection activeCell="A65536" sqref="A65536"/>
    </sheetView>
  </sheetViews>
  <sheetFormatPr baseColWidth="10" defaultColWidth="9.1640625" defaultRowHeight="12.75" customHeight="1" x14ac:dyDescent="0"/>
  <cols>
    <col min="1" max="1" width="50.6640625" style="150" customWidth="1"/>
    <col min="2" max="2" width="14.83203125" style="154" customWidth="1"/>
    <col min="3" max="3" width="21.6640625" style="154" customWidth="1"/>
    <col min="4" max="4" width="21.6640625" style="150" customWidth="1"/>
    <col min="5" max="8" width="21.6640625" style="234" customWidth="1"/>
    <col min="9" max="33" width="21.6640625" style="53" customWidth="1"/>
    <col min="34" max="16384" width="9.1640625" style="53"/>
  </cols>
  <sheetData>
    <row r="1" spans="1:29" ht="12.75" customHeight="1">
      <c r="A1" s="53"/>
      <c r="B1" s="185"/>
      <c r="C1" s="185"/>
      <c r="D1" s="53"/>
      <c r="E1" s="185"/>
      <c r="F1" s="185"/>
      <c r="G1" s="185"/>
      <c r="H1" s="53"/>
      <c r="I1" s="125"/>
      <c r="J1" s="185"/>
      <c r="K1" s="185"/>
      <c r="L1" s="185"/>
      <c r="M1" s="185"/>
      <c r="N1" s="185"/>
      <c r="O1" s="185"/>
      <c r="P1" s="185"/>
      <c r="Q1" s="185"/>
      <c r="R1" s="185"/>
      <c r="S1" s="185"/>
    </row>
    <row r="2" spans="1:29" ht="12.75" customHeight="1">
      <c r="A2" s="53"/>
      <c r="B2" s="54" t="s">
        <v>1005</v>
      </c>
      <c r="C2" s="184" t="s">
        <v>1813</v>
      </c>
      <c r="D2" s="1064" t="s">
        <v>5263</v>
      </c>
      <c r="E2" s="1064"/>
      <c r="F2" s="185"/>
      <c r="G2" s="185"/>
      <c r="H2" s="53"/>
    </row>
    <row r="3" spans="1:29" ht="12.75" customHeight="1">
      <c r="A3" s="53"/>
      <c r="B3" s="54" t="s">
        <v>1006</v>
      </c>
      <c r="C3" s="1064" t="s">
        <v>1814</v>
      </c>
      <c r="D3" s="1064" t="s">
        <v>1822</v>
      </c>
      <c r="E3" s="1064" t="s">
        <v>1820</v>
      </c>
      <c r="F3" s="185"/>
      <c r="G3" s="185"/>
      <c r="H3" s="185"/>
    </row>
    <row r="4" spans="1:29" ht="12.75" customHeight="1">
      <c r="A4" s="53"/>
      <c r="B4" s="53"/>
      <c r="C4" s="53"/>
      <c r="D4" s="53"/>
      <c r="E4" s="53"/>
      <c r="F4" s="53"/>
      <c r="G4" s="53"/>
      <c r="H4" s="53"/>
      <c r="J4" s="122"/>
    </row>
    <row r="5" spans="1:29" s="150" customFormat="1" ht="12">
      <c r="A5" s="222" t="s">
        <v>2036</v>
      </c>
      <c r="B5" s="223" t="s">
        <v>2019</v>
      </c>
      <c r="C5" s="223" t="s">
        <v>2018</v>
      </c>
      <c r="D5" s="223" t="s">
        <v>2922</v>
      </c>
      <c r="E5" s="224" t="s">
        <v>2315</v>
      </c>
      <c r="F5" s="224" t="s">
        <v>4914</v>
      </c>
      <c r="G5" s="224" t="s">
        <v>2314</v>
      </c>
      <c r="H5" s="224" t="s">
        <v>4915</v>
      </c>
      <c r="I5" s="223" t="s">
        <v>969</v>
      </c>
      <c r="J5" s="223" t="s">
        <v>2175</v>
      </c>
      <c r="K5" s="223" t="s">
        <v>4047</v>
      </c>
      <c r="L5" s="223" t="s">
        <v>4620</v>
      </c>
      <c r="M5" s="223" t="s">
        <v>1214</v>
      </c>
      <c r="N5" s="223" t="s">
        <v>627</v>
      </c>
      <c r="O5" s="223" t="s">
        <v>4664</v>
      </c>
      <c r="P5" s="223" t="s">
        <v>2805</v>
      </c>
      <c r="Q5" s="223" t="s">
        <v>804</v>
      </c>
      <c r="R5" s="223" t="s">
        <v>5568</v>
      </c>
      <c r="S5" s="223" t="s">
        <v>5561</v>
      </c>
      <c r="T5" s="223" t="s">
        <v>4621</v>
      </c>
      <c r="U5" s="223" t="s">
        <v>4622</v>
      </c>
      <c r="V5" s="223" t="s">
        <v>4623</v>
      </c>
      <c r="W5" s="223" t="s">
        <v>5267</v>
      </c>
      <c r="X5" s="223" t="s">
        <v>4625</v>
      </c>
      <c r="Y5" s="223" t="s">
        <v>4626</v>
      </c>
      <c r="Z5" s="223" t="s">
        <v>4627</v>
      </c>
      <c r="AA5" s="223" t="s">
        <v>4628</v>
      </c>
      <c r="AB5" s="223" t="s">
        <v>1603</v>
      </c>
      <c r="AC5" s="225" t="s">
        <v>1614</v>
      </c>
    </row>
    <row r="6" spans="1:29" s="150" customFormat="1" ht="12">
      <c r="A6" s="440" t="s">
        <v>548</v>
      </c>
      <c r="B6" s="441" t="s">
        <v>548</v>
      </c>
      <c r="C6" s="441" t="s">
        <v>548</v>
      </c>
      <c r="D6" s="442" t="s">
        <v>548</v>
      </c>
      <c r="E6" s="442" t="s">
        <v>548</v>
      </c>
      <c r="F6" s="442"/>
      <c r="G6" s="442"/>
      <c r="H6" s="442" t="s">
        <v>1833</v>
      </c>
      <c r="I6" s="442" t="s">
        <v>1833</v>
      </c>
      <c r="J6" s="442" t="s">
        <v>1833</v>
      </c>
      <c r="K6" s="442" t="s">
        <v>1833</v>
      </c>
      <c r="L6" s="442" t="s">
        <v>1833</v>
      </c>
      <c r="M6" s="442" t="s">
        <v>1833</v>
      </c>
      <c r="N6" s="442" t="s">
        <v>1833</v>
      </c>
      <c r="O6" s="442" t="s">
        <v>1833</v>
      </c>
      <c r="P6" s="442" t="s">
        <v>1833</v>
      </c>
      <c r="Q6" s="442" t="s">
        <v>1833</v>
      </c>
      <c r="R6" s="442" t="s">
        <v>1833</v>
      </c>
      <c r="S6" s="442" t="s">
        <v>1833</v>
      </c>
      <c r="T6" s="442" t="s">
        <v>1833</v>
      </c>
      <c r="U6" s="442" t="s">
        <v>1833</v>
      </c>
      <c r="V6" s="442" t="s">
        <v>1833</v>
      </c>
      <c r="W6" s="442" t="s">
        <v>1833</v>
      </c>
      <c r="X6" s="442" t="s">
        <v>1833</v>
      </c>
      <c r="Y6" s="442" t="s">
        <v>1833</v>
      </c>
      <c r="Z6" s="442" t="s">
        <v>1833</v>
      </c>
      <c r="AA6" s="442" t="s">
        <v>1833</v>
      </c>
      <c r="AB6" s="442" t="s">
        <v>1833</v>
      </c>
      <c r="AC6" s="443" t="s">
        <v>1833</v>
      </c>
    </row>
    <row r="7" spans="1:29" ht="12">
      <c r="A7" s="135" t="s">
        <v>2276</v>
      </c>
      <c r="B7" s="822">
        <v>946</v>
      </c>
      <c r="C7" s="142" t="s">
        <v>2277</v>
      </c>
      <c r="D7" s="135" t="s">
        <v>415</v>
      </c>
      <c r="E7" s="415">
        <f>AA7/I7</f>
        <v>0.69</v>
      </c>
      <c r="F7" s="415">
        <f>1-E7-G7</f>
        <v>0.31000000000000005</v>
      </c>
      <c r="G7" s="415">
        <f>Y7/I7</f>
        <v>0</v>
      </c>
      <c r="H7" s="158">
        <f>SUM(J7:X7,AB7:AC7)</f>
        <v>16.148710543315119</v>
      </c>
      <c r="I7" s="720">
        <f t="shared" ref="I7:I28" si="0">VLOOKUP(B7,regional_tfr,MATCH("WORLD",livestock_demand_headings,0),FALSE)</f>
        <v>76.898621634833887</v>
      </c>
      <c r="J7" s="448">
        <f t="shared" ref="J7:J27" si="1">$I7*J62</f>
        <v>3.7815366029217681</v>
      </c>
      <c r="K7" s="158">
        <f t="shared" ref="K7:X7" si="2">$I7*K62</f>
        <v>0.75630732058435346</v>
      </c>
      <c r="L7" s="158">
        <f t="shared" si="2"/>
        <v>0</v>
      </c>
      <c r="M7" s="158">
        <f t="shared" si="2"/>
        <v>1.5126146411687069</v>
      </c>
      <c r="N7" s="158">
        <f t="shared" si="2"/>
        <v>0.75630732058435346</v>
      </c>
      <c r="O7" s="158">
        <f t="shared" si="2"/>
        <v>0</v>
      </c>
      <c r="P7" s="158">
        <f t="shared" si="2"/>
        <v>0.75630732058435346</v>
      </c>
      <c r="Q7" s="158">
        <f t="shared" si="2"/>
        <v>0</v>
      </c>
      <c r="R7" s="158">
        <f t="shared" si="2"/>
        <v>0</v>
      </c>
      <c r="S7" s="158">
        <f t="shared" si="2"/>
        <v>0</v>
      </c>
      <c r="T7" s="158">
        <f t="shared" si="2"/>
        <v>0</v>
      </c>
      <c r="U7" s="158">
        <f t="shared" si="2"/>
        <v>0.37815366029217673</v>
      </c>
      <c r="V7" s="158">
        <f t="shared" si="2"/>
        <v>0</v>
      </c>
      <c r="W7" s="158">
        <f t="shared" si="2"/>
        <v>0</v>
      </c>
      <c r="X7" s="158">
        <f t="shared" si="2"/>
        <v>0</v>
      </c>
      <c r="Y7" s="158">
        <f t="shared" ref="Y7:AA28" si="3">$I7*Y35</f>
        <v>0</v>
      </c>
      <c r="Z7" s="158">
        <f t="shared" si="3"/>
        <v>7.6898621634833892</v>
      </c>
      <c r="AA7" s="158">
        <f t="shared" si="3"/>
        <v>53.060048928035378</v>
      </c>
      <c r="AB7" s="158">
        <f t="shared" ref="AB7:AC28" si="4">$I7*AC35</f>
        <v>7.4322723811484241</v>
      </c>
      <c r="AC7" s="159">
        <f t="shared" si="4"/>
        <v>0.7752112960309806</v>
      </c>
    </row>
    <row r="8" spans="1:29" ht="12">
      <c r="A8" s="138" t="s">
        <v>4828</v>
      </c>
      <c r="B8" s="821">
        <v>866</v>
      </c>
      <c r="C8" s="36" t="s">
        <v>28</v>
      </c>
      <c r="D8" s="138" t="s">
        <v>415</v>
      </c>
      <c r="E8" s="416">
        <f t="shared" ref="E8:E28" si="5">AA8/I8</f>
        <v>0.69</v>
      </c>
      <c r="F8" s="416">
        <f t="shared" ref="F8:F26" si="6">1-E8-G8</f>
        <v>0.31000000000000005</v>
      </c>
      <c r="G8" s="416">
        <f t="shared" ref="G8:G28" si="7">Y8/I8</f>
        <v>0</v>
      </c>
      <c r="H8" s="62">
        <f t="shared" ref="H8:H28" si="8">SUM(J8:X8,AB8:AC8)</f>
        <v>7.7914058236924078</v>
      </c>
      <c r="I8" s="904">
        <f t="shared" si="0"/>
        <v>37.101932493773369</v>
      </c>
      <c r="J8" s="449">
        <f t="shared" si="1"/>
        <v>1.8245101509177342</v>
      </c>
      <c r="K8" s="62">
        <f t="shared" ref="K8:X8" si="9">$I8*K63</f>
        <v>0.36490203018354678</v>
      </c>
      <c r="L8" s="62">
        <f t="shared" si="9"/>
        <v>0</v>
      </c>
      <c r="M8" s="62">
        <f t="shared" si="9"/>
        <v>0.72980406036709355</v>
      </c>
      <c r="N8" s="62">
        <f t="shared" si="9"/>
        <v>0.36490203018354678</v>
      </c>
      <c r="O8" s="62">
        <f t="shared" si="9"/>
        <v>0</v>
      </c>
      <c r="P8" s="62">
        <f t="shared" si="9"/>
        <v>0.36490203018354678</v>
      </c>
      <c r="Q8" s="62">
        <f t="shared" si="9"/>
        <v>0</v>
      </c>
      <c r="R8" s="62">
        <f t="shared" si="9"/>
        <v>0</v>
      </c>
      <c r="S8" s="62">
        <f t="shared" si="9"/>
        <v>0</v>
      </c>
      <c r="T8" s="62">
        <f t="shared" si="9"/>
        <v>0</v>
      </c>
      <c r="U8" s="62">
        <f t="shared" si="9"/>
        <v>0.18245101509177339</v>
      </c>
      <c r="V8" s="62">
        <f t="shared" si="9"/>
        <v>0</v>
      </c>
      <c r="W8" s="62">
        <f t="shared" si="9"/>
        <v>0</v>
      </c>
      <c r="X8" s="62">
        <f t="shared" si="9"/>
        <v>0</v>
      </c>
      <c r="Y8" s="62">
        <f t="shared" si="3"/>
        <v>0</v>
      </c>
      <c r="Z8" s="62">
        <f t="shared" si="3"/>
        <v>3.7101932493773369</v>
      </c>
      <c r="AA8" s="62">
        <f t="shared" si="3"/>
        <v>25.600333420703624</v>
      </c>
      <c r="AB8" s="62">
        <f t="shared" si="4"/>
        <v>3.5859117146489119</v>
      </c>
      <c r="AC8" s="114">
        <f t="shared" si="4"/>
        <v>0.37402279211625472</v>
      </c>
    </row>
    <row r="9" spans="1:29" ht="12">
      <c r="A9" s="138" t="s">
        <v>4710</v>
      </c>
      <c r="B9" s="821">
        <v>1057</v>
      </c>
      <c r="C9" s="36" t="s">
        <v>4711</v>
      </c>
      <c r="D9" s="138" t="s">
        <v>415</v>
      </c>
      <c r="E9" s="416">
        <f t="shared" si="5"/>
        <v>0</v>
      </c>
      <c r="F9" s="416">
        <f t="shared" si="6"/>
        <v>0.99</v>
      </c>
      <c r="G9" s="416">
        <f t="shared" si="7"/>
        <v>0.01</v>
      </c>
      <c r="H9" s="62">
        <f t="shared" si="8"/>
        <v>3.2460607185590447</v>
      </c>
      <c r="I9" s="904">
        <f t="shared" si="0"/>
        <v>3.8188949630106408</v>
      </c>
      <c r="J9" s="449">
        <f t="shared" si="1"/>
        <v>0.80752489897459345</v>
      </c>
      <c r="K9" s="62">
        <f t="shared" ref="K9:X9" si="10">$I9*K64</f>
        <v>0</v>
      </c>
      <c r="L9" s="62">
        <f t="shared" si="10"/>
        <v>0.43193192270734071</v>
      </c>
      <c r="M9" s="62">
        <f t="shared" si="10"/>
        <v>0</v>
      </c>
      <c r="N9" s="62">
        <f t="shared" si="10"/>
        <v>0</v>
      </c>
      <c r="O9" s="62">
        <f t="shared" si="10"/>
        <v>0</v>
      </c>
      <c r="P9" s="62">
        <f t="shared" si="10"/>
        <v>0.35681332745389016</v>
      </c>
      <c r="Q9" s="62">
        <f t="shared" si="10"/>
        <v>0</v>
      </c>
      <c r="R9" s="62">
        <f t="shared" si="10"/>
        <v>0</v>
      </c>
      <c r="S9" s="62">
        <f t="shared" si="10"/>
        <v>0</v>
      </c>
      <c r="T9" s="62">
        <f>$I9*T64</f>
        <v>0</v>
      </c>
      <c r="U9" s="62">
        <f t="shared" si="10"/>
        <v>0</v>
      </c>
      <c r="V9" s="62">
        <f t="shared" si="10"/>
        <v>0</v>
      </c>
      <c r="W9" s="62">
        <f t="shared" si="10"/>
        <v>0</v>
      </c>
      <c r="X9" s="62">
        <f t="shared" si="10"/>
        <v>0</v>
      </c>
      <c r="Y9" s="62">
        <f t="shared" si="3"/>
        <v>3.8188949630106411E-2</v>
      </c>
      <c r="Z9" s="62">
        <f t="shared" si="3"/>
        <v>0.53464529482148981</v>
      </c>
      <c r="AA9" s="62">
        <f t="shared" si="3"/>
        <v>0</v>
      </c>
      <c r="AB9" s="62">
        <f t="shared" si="4"/>
        <v>1.4939649429820376</v>
      </c>
      <c r="AC9" s="114">
        <f t="shared" si="4"/>
        <v>0.15582562644118295</v>
      </c>
    </row>
    <row r="10" spans="1:29" ht="12">
      <c r="A10" s="25" t="s">
        <v>3200</v>
      </c>
      <c r="B10" s="821">
        <v>1068</v>
      </c>
      <c r="C10" s="36" t="s">
        <v>3201</v>
      </c>
      <c r="D10" s="138" t="s">
        <v>415</v>
      </c>
      <c r="E10" s="416">
        <f t="shared" si="5"/>
        <v>0</v>
      </c>
      <c r="F10" s="416">
        <f t="shared" si="6"/>
        <v>0.99</v>
      </c>
      <c r="G10" s="416">
        <f t="shared" si="7"/>
        <v>0.01</v>
      </c>
      <c r="H10" s="62">
        <f t="shared" si="8"/>
        <v>6.1277500325780103</v>
      </c>
      <c r="I10" s="904">
        <f t="shared" si="0"/>
        <v>7.2091176853858947</v>
      </c>
      <c r="J10" s="449">
        <f t="shared" si="1"/>
        <v>1.5244048571573607</v>
      </c>
      <c r="K10" s="62">
        <f t="shared" ref="K10:X10" si="11">$I10*K65</f>
        <v>0</v>
      </c>
      <c r="L10" s="62">
        <f t="shared" si="11"/>
        <v>0.81537934220044872</v>
      </c>
      <c r="M10" s="62">
        <f t="shared" si="11"/>
        <v>0</v>
      </c>
      <c r="N10" s="62">
        <f t="shared" si="11"/>
        <v>0</v>
      </c>
      <c r="O10" s="62">
        <f t="shared" si="11"/>
        <v>0</v>
      </c>
      <c r="P10" s="62">
        <f t="shared" si="11"/>
        <v>0.67357423920906634</v>
      </c>
      <c r="Q10" s="62">
        <f t="shared" si="11"/>
        <v>0</v>
      </c>
      <c r="R10" s="62">
        <f t="shared" si="11"/>
        <v>0</v>
      </c>
      <c r="S10" s="62">
        <f t="shared" si="11"/>
        <v>0</v>
      </c>
      <c r="T10" s="62">
        <f t="shared" si="11"/>
        <v>0</v>
      </c>
      <c r="U10" s="62">
        <f t="shared" si="11"/>
        <v>0</v>
      </c>
      <c r="V10" s="62">
        <f t="shared" si="11"/>
        <v>0</v>
      </c>
      <c r="W10" s="62">
        <f t="shared" si="11"/>
        <v>0</v>
      </c>
      <c r="X10" s="62">
        <f t="shared" si="11"/>
        <v>0</v>
      </c>
      <c r="Y10" s="62">
        <f t="shared" si="3"/>
        <v>7.2091176853858949E-2</v>
      </c>
      <c r="Z10" s="62">
        <f t="shared" si="3"/>
        <v>1.0092764759540254</v>
      </c>
      <c r="AA10" s="62">
        <f t="shared" si="3"/>
        <v>0</v>
      </c>
      <c r="AB10" s="62">
        <f t="shared" si="4"/>
        <v>2.8202318199680549</v>
      </c>
      <c r="AC10" s="114">
        <f t="shared" si="4"/>
        <v>0.29415977404308036</v>
      </c>
    </row>
    <row r="11" spans="1:29" ht="12">
      <c r="A11" s="25" t="s">
        <v>3759</v>
      </c>
      <c r="B11" s="821">
        <v>1072</v>
      </c>
      <c r="C11" s="36" t="s">
        <v>3760</v>
      </c>
      <c r="D11" s="138" t="s">
        <v>415</v>
      </c>
      <c r="E11" s="416">
        <f t="shared" si="5"/>
        <v>0</v>
      </c>
      <c r="F11" s="416">
        <f t="shared" si="6"/>
        <v>0.99</v>
      </c>
      <c r="G11" s="416">
        <f t="shared" si="7"/>
        <v>0.01</v>
      </c>
      <c r="H11" s="62">
        <f t="shared" si="8"/>
        <v>2.5182912788325598</v>
      </c>
      <c r="I11" s="904">
        <f t="shared" si="0"/>
        <v>2.9626956221559522</v>
      </c>
      <c r="J11" s="449">
        <f t="shared" si="1"/>
        <v>0.62647716319693114</v>
      </c>
      <c r="K11" s="62">
        <f t="shared" ref="K11:X11" si="12">$I11*K66</f>
        <v>0</v>
      </c>
      <c r="L11" s="62">
        <f t="shared" si="12"/>
        <v>0.33509243612859113</v>
      </c>
      <c r="M11" s="62">
        <f t="shared" si="12"/>
        <v>0</v>
      </c>
      <c r="N11" s="62">
        <f t="shared" si="12"/>
        <v>0</v>
      </c>
      <c r="O11" s="62">
        <f t="shared" si="12"/>
        <v>0</v>
      </c>
      <c r="P11" s="62">
        <f t="shared" si="12"/>
        <v>0.27681549071492306</v>
      </c>
      <c r="Q11" s="62">
        <f t="shared" si="12"/>
        <v>0</v>
      </c>
      <c r="R11" s="62">
        <f t="shared" si="12"/>
        <v>0</v>
      </c>
      <c r="S11" s="62">
        <f t="shared" si="12"/>
        <v>0</v>
      </c>
      <c r="T11" s="62">
        <f t="shared" si="12"/>
        <v>0</v>
      </c>
      <c r="U11" s="62">
        <f t="shared" si="12"/>
        <v>0</v>
      </c>
      <c r="V11" s="62">
        <f t="shared" si="12"/>
        <v>0</v>
      </c>
      <c r="W11" s="62">
        <f t="shared" si="12"/>
        <v>0</v>
      </c>
      <c r="X11" s="62">
        <f t="shared" si="12"/>
        <v>0</v>
      </c>
      <c r="Y11" s="62">
        <f t="shared" si="3"/>
        <v>2.9626956221559524E-2</v>
      </c>
      <c r="Z11" s="62">
        <f t="shared" si="3"/>
        <v>0.41477738710183332</v>
      </c>
      <c r="AA11" s="62">
        <f t="shared" si="3"/>
        <v>0</v>
      </c>
      <c r="AB11" s="62">
        <f t="shared" si="4"/>
        <v>1.1590167938889753</v>
      </c>
      <c r="AC11" s="114">
        <f t="shared" si="4"/>
        <v>0.12088939490313894</v>
      </c>
    </row>
    <row r="12" spans="1:29" ht="12">
      <c r="A12" s="25" t="s">
        <v>4812</v>
      </c>
      <c r="B12" s="821">
        <v>1079</v>
      </c>
      <c r="C12" s="36" t="s">
        <v>4346</v>
      </c>
      <c r="D12" s="138" t="s">
        <v>415</v>
      </c>
      <c r="E12" s="416">
        <f t="shared" si="5"/>
        <v>0</v>
      </c>
      <c r="F12" s="416">
        <f t="shared" si="6"/>
        <v>0.99</v>
      </c>
      <c r="G12" s="416">
        <f t="shared" si="7"/>
        <v>0.01</v>
      </c>
      <c r="H12" s="62">
        <f t="shared" si="8"/>
        <v>2.0271038495437512</v>
      </c>
      <c r="I12" s="904">
        <f t="shared" si="0"/>
        <v>2.3848280582867658</v>
      </c>
      <c r="J12" s="449">
        <f t="shared" si="1"/>
        <v>0.50428410718098893</v>
      </c>
      <c r="K12" s="62">
        <f t="shared" ref="K12:X12" si="13">$I12*K67</f>
        <v>0</v>
      </c>
      <c r="L12" s="62">
        <f t="shared" si="13"/>
        <v>0.26973335965494755</v>
      </c>
      <c r="M12" s="62">
        <f t="shared" si="13"/>
        <v>0</v>
      </c>
      <c r="N12" s="62">
        <f t="shared" si="13"/>
        <v>0</v>
      </c>
      <c r="O12" s="62">
        <f t="shared" si="13"/>
        <v>0</v>
      </c>
      <c r="P12" s="62">
        <f t="shared" si="13"/>
        <v>0.22282321014973927</v>
      </c>
      <c r="Q12" s="62">
        <f t="shared" si="13"/>
        <v>0</v>
      </c>
      <c r="R12" s="62">
        <f t="shared" si="13"/>
        <v>0</v>
      </c>
      <c r="S12" s="62">
        <f t="shared" si="13"/>
        <v>0</v>
      </c>
      <c r="T12" s="62">
        <f t="shared" si="13"/>
        <v>0</v>
      </c>
      <c r="U12" s="62">
        <f t="shared" si="13"/>
        <v>0</v>
      </c>
      <c r="V12" s="62">
        <f t="shared" si="13"/>
        <v>0</v>
      </c>
      <c r="W12" s="62">
        <f t="shared" si="13"/>
        <v>0</v>
      </c>
      <c r="X12" s="62">
        <f t="shared" si="13"/>
        <v>0</v>
      </c>
      <c r="Y12" s="62">
        <f t="shared" si="3"/>
        <v>2.384828058286766E-2</v>
      </c>
      <c r="Z12" s="62">
        <f t="shared" si="3"/>
        <v>0.33387592816014722</v>
      </c>
      <c r="AA12" s="62">
        <f t="shared" si="3"/>
        <v>0</v>
      </c>
      <c r="AB12" s="62">
        <f t="shared" si="4"/>
        <v>0.93295300044376328</v>
      </c>
      <c r="AC12" s="114">
        <f t="shared" si="4"/>
        <v>9.7310172114312171E-2</v>
      </c>
    </row>
    <row r="13" spans="1:29" ht="12">
      <c r="A13" s="138" t="s">
        <v>408</v>
      </c>
      <c r="B13" s="821">
        <v>1016</v>
      </c>
      <c r="C13" s="36">
        <v>104.2</v>
      </c>
      <c r="D13" s="138" t="s">
        <v>415</v>
      </c>
      <c r="E13" s="416">
        <f t="shared" si="5"/>
        <v>1</v>
      </c>
      <c r="F13" s="416">
        <f t="shared" si="6"/>
        <v>0</v>
      </c>
      <c r="G13" s="416">
        <f t="shared" si="7"/>
        <v>0</v>
      </c>
      <c r="H13" s="62">
        <f t="shared" si="8"/>
        <v>0</v>
      </c>
      <c r="I13" s="904">
        <f t="shared" si="0"/>
        <v>41.757245708311125</v>
      </c>
      <c r="J13" s="449">
        <f t="shared" si="1"/>
        <v>0</v>
      </c>
      <c r="K13" s="62">
        <f t="shared" ref="K13:X13" si="14">$I13*K68</f>
        <v>0</v>
      </c>
      <c r="L13" s="62">
        <f t="shared" si="14"/>
        <v>0</v>
      </c>
      <c r="M13" s="62">
        <f t="shared" si="14"/>
        <v>0</v>
      </c>
      <c r="N13" s="62">
        <f t="shared" si="14"/>
        <v>0</v>
      </c>
      <c r="O13" s="62">
        <f t="shared" si="14"/>
        <v>0</v>
      </c>
      <c r="P13" s="62">
        <f t="shared" si="14"/>
        <v>0</v>
      </c>
      <c r="Q13" s="62">
        <f t="shared" si="14"/>
        <v>0</v>
      </c>
      <c r="R13" s="62">
        <f t="shared" si="14"/>
        <v>0</v>
      </c>
      <c r="S13" s="62">
        <f t="shared" si="14"/>
        <v>0</v>
      </c>
      <c r="T13" s="62">
        <f t="shared" si="14"/>
        <v>0</v>
      </c>
      <c r="U13" s="62">
        <f t="shared" si="14"/>
        <v>0</v>
      </c>
      <c r="V13" s="62">
        <f t="shared" si="14"/>
        <v>0</v>
      </c>
      <c r="W13" s="62">
        <f t="shared" si="14"/>
        <v>0</v>
      </c>
      <c r="X13" s="62">
        <f t="shared" si="14"/>
        <v>0</v>
      </c>
      <c r="Y13" s="62">
        <f t="shared" si="3"/>
        <v>0</v>
      </c>
      <c r="Z13" s="62">
        <f t="shared" si="3"/>
        <v>0</v>
      </c>
      <c r="AA13" s="62">
        <f t="shared" si="3"/>
        <v>41.757245708311125</v>
      </c>
      <c r="AB13" s="62">
        <f t="shared" si="4"/>
        <v>0</v>
      </c>
      <c r="AC13" s="114">
        <f t="shared" si="4"/>
        <v>0</v>
      </c>
    </row>
    <row r="14" spans="1:29" ht="12">
      <c r="A14" s="138" t="s">
        <v>1750</v>
      </c>
      <c r="B14" s="821">
        <v>1034</v>
      </c>
      <c r="C14" s="36">
        <v>103</v>
      </c>
      <c r="D14" s="138" t="s">
        <v>415</v>
      </c>
      <c r="E14" s="416">
        <f>AA14/I14</f>
        <v>0</v>
      </c>
      <c r="F14" s="416">
        <f t="shared" si="6"/>
        <v>0.99</v>
      </c>
      <c r="G14" s="416">
        <f t="shared" si="7"/>
        <v>0.01</v>
      </c>
      <c r="H14" s="62">
        <f t="shared" si="8"/>
        <v>3.3253727946069382</v>
      </c>
      <c r="I14" s="904">
        <f t="shared" si="0"/>
        <v>3.9587771364368303</v>
      </c>
      <c r="J14" s="449">
        <f t="shared" si="1"/>
        <v>1.0123114523396721</v>
      </c>
      <c r="K14" s="62">
        <f t="shared" ref="K14:X14" si="15">$I14*K69</f>
        <v>0</v>
      </c>
      <c r="L14" s="62">
        <f t="shared" si="15"/>
        <v>0.29201291894413617</v>
      </c>
      <c r="M14" s="62">
        <f t="shared" si="15"/>
        <v>9.7337639648045399E-2</v>
      </c>
      <c r="N14" s="62">
        <f t="shared" si="15"/>
        <v>0</v>
      </c>
      <c r="O14" s="62">
        <f t="shared" si="15"/>
        <v>0</v>
      </c>
      <c r="P14" s="62">
        <f t="shared" si="15"/>
        <v>0.23361033515530893</v>
      </c>
      <c r="Q14" s="62">
        <f t="shared" si="15"/>
        <v>0</v>
      </c>
      <c r="R14" s="62">
        <f t="shared" si="15"/>
        <v>0</v>
      </c>
      <c r="S14" s="62">
        <f t="shared" si="15"/>
        <v>0</v>
      </c>
      <c r="T14" s="62">
        <f t="shared" si="15"/>
        <v>0</v>
      </c>
      <c r="U14" s="62">
        <f t="shared" si="15"/>
        <v>0</v>
      </c>
      <c r="V14" s="62">
        <f t="shared" si="15"/>
        <v>0</v>
      </c>
      <c r="W14" s="62">
        <f t="shared" si="15"/>
        <v>0</v>
      </c>
      <c r="X14" s="62">
        <f t="shared" si="15"/>
        <v>0</v>
      </c>
      <c r="Y14" s="62">
        <f t="shared" si="3"/>
        <v>3.95877713643683E-2</v>
      </c>
      <c r="Z14" s="62">
        <f t="shared" si="3"/>
        <v>0.5938165704655245</v>
      </c>
      <c r="AA14" s="62">
        <f t="shared" si="3"/>
        <v>0</v>
      </c>
      <c r="AB14" s="62">
        <f t="shared" si="4"/>
        <v>1.5304674829663407</v>
      </c>
      <c r="AC14" s="114">
        <f t="shared" si="4"/>
        <v>0.15963296555343465</v>
      </c>
    </row>
    <row r="15" spans="1:29" ht="12">
      <c r="A15" s="138" t="s">
        <v>1961</v>
      </c>
      <c r="B15" s="821">
        <v>976</v>
      </c>
      <c r="C15" s="36">
        <v>104.1</v>
      </c>
      <c r="D15" s="138" t="s">
        <v>415</v>
      </c>
      <c r="E15" s="416">
        <f t="shared" si="5"/>
        <v>1</v>
      </c>
      <c r="F15" s="416">
        <f t="shared" si="6"/>
        <v>0</v>
      </c>
      <c r="G15" s="416">
        <f t="shared" si="7"/>
        <v>0</v>
      </c>
      <c r="H15" s="62">
        <f t="shared" si="8"/>
        <v>0</v>
      </c>
      <c r="I15" s="904">
        <f t="shared" si="0"/>
        <v>10.308350880000001</v>
      </c>
      <c r="J15" s="449">
        <f t="shared" si="1"/>
        <v>0</v>
      </c>
      <c r="K15" s="62">
        <f t="shared" ref="K15:X15" si="16">$I15*K70</f>
        <v>0</v>
      </c>
      <c r="L15" s="62">
        <f t="shared" si="16"/>
        <v>0</v>
      </c>
      <c r="M15" s="62">
        <f t="shared" si="16"/>
        <v>0</v>
      </c>
      <c r="N15" s="62">
        <f t="shared" si="16"/>
        <v>0</v>
      </c>
      <c r="O15" s="62">
        <f t="shared" si="16"/>
        <v>0</v>
      </c>
      <c r="P15" s="62">
        <f t="shared" si="16"/>
        <v>0</v>
      </c>
      <c r="Q15" s="62">
        <f t="shared" si="16"/>
        <v>0</v>
      </c>
      <c r="R15" s="62">
        <f t="shared" si="16"/>
        <v>0</v>
      </c>
      <c r="S15" s="62">
        <f t="shared" si="16"/>
        <v>0</v>
      </c>
      <c r="T15" s="62">
        <f t="shared" si="16"/>
        <v>0</v>
      </c>
      <c r="U15" s="62">
        <f t="shared" si="16"/>
        <v>0</v>
      </c>
      <c r="V15" s="62">
        <f t="shared" si="16"/>
        <v>0</v>
      </c>
      <c r="W15" s="62">
        <f t="shared" si="16"/>
        <v>0</v>
      </c>
      <c r="X15" s="62">
        <f t="shared" si="16"/>
        <v>0</v>
      </c>
      <c r="Y15" s="62">
        <f t="shared" si="3"/>
        <v>0</v>
      </c>
      <c r="Z15" s="62">
        <f t="shared" si="3"/>
        <v>0</v>
      </c>
      <c r="AA15" s="62">
        <f t="shared" si="3"/>
        <v>10.308350880000001</v>
      </c>
      <c r="AB15" s="62">
        <f t="shared" si="4"/>
        <v>0</v>
      </c>
      <c r="AC15" s="114">
        <f t="shared" si="4"/>
        <v>0</v>
      </c>
    </row>
    <row r="16" spans="1:29" ht="12">
      <c r="A16" s="25" t="s">
        <v>5071</v>
      </c>
      <c r="B16" s="821">
        <v>1126</v>
      </c>
      <c r="C16" s="36" t="s">
        <v>5072</v>
      </c>
      <c r="D16" s="138" t="s">
        <v>415</v>
      </c>
      <c r="E16" s="416">
        <f t="shared" si="5"/>
        <v>0.69</v>
      </c>
      <c r="F16" s="416">
        <f t="shared" si="6"/>
        <v>0.31000000000000005</v>
      </c>
      <c r="G16" s="416">
        <f>Y16/I16</f>
        <v>0</v>
      </c>
      <c r="H16" s="62">
        <f>SUM(J16:X16,AB16:AC16)</f>
        <v>23.419100458812458</v>
      </c>
      <c r="I16" s="904">
        <f t="shared" si="0"/>
        <v>111.51952599434503</v>
      </c>
      <c r="J16" s="449">
        <f t="shared" si="1"/>
        <v>5.4840406826885291</v>
      </c>
      <c r="K16" s="62">
        <f t="shared" ref="K16:X16" si="17">$I16*K71</f>
        <v>1.0968081365377056</v>
      </c>
      <c r="L16" s="62">
        <f t="shared" si="17"/>
        <v>0</v>
      </c>
      <c r="M16" s="62">
        <f t="shared" si="17"/>
        <v>2.1936162730754112</v>
      </c>
      <c r="N16" s="62">
        <f t="shared" si="17"/>
        <v>1.0968081365377056</v>
      </c>
      <c r="O16" s="62">
        <f t="shared" si="17"/>
        <v>0</v>
      </c>
      <c r="P16" s="62">
        <f t="shared" si="17"/>
        <v>1.0968081365377056</v>
      </c>
      <c r="Q16" s="62">
        <f t="shared" si="17"/>
        <v>0</v>
      </c>
      <c r="R16" s="62">
        <f t="shared" si="17"/>
        <v>0</v>
      </c>
      <c r="S16" s="62">
        <f t="shared" si="17"/>
        <v>0</v>
      </c>
      <c r="T16" s="62">
        <f t="shared" si="17"/>
        <v>0</v>
      </c>
      <c r="U16" s="62">
        <f t="shared" si="17"/>
        <v>0.5484040682688528</v>
      </c>
      <c r="V16" s="62">
        <f t="shared" si="17"/>
        <v>0</v>
      </c>
      <c r="W16" s="62">
        <f t="shared" si="17"/>
        <v>0</v>
      </c>
      <c r="X16" s="62">
        <f t="shared" si="17"/>
        <v>0</v>
      </c>
      <c r="Y16" s="62">
        <f t="shared" si="3"/>
        <v>0</v>
      </c>
      <c r="Z16" s="62">
        <f t="shared" si="3"/>
        <v>11.151952599434503</v>
      </c>
      <c r="AA16" s="62">
        <f t="shared" si="3"/>
        <v>76.948472936098071</v>
      </c>
      <c r="AB16" s="62">
        <f t="shared" si="4"/>
        <v>10.778392061985686</v>
      </c>
      <c r="AC16" s="114">
        <f t="shared" si="4"/>
        <v>1.1242229631808613</v>
      </c>
    </row>
    <row r="17" spans="1:31" ht="12">
      <c r="A17" s="25" t="s">
        <v>3101</v>
      </c>
      <c r="B17" s="821">
        <v>1157</v>
      </c>
      <c r="C17" s="36" t="s">
        <v>3102</v>
      </c>
      <c r="D17" s="138" t="s">
        <v>415</v>
      </c>
      <c r="E17" s="416">
        <f t="shared" si="5"/>
        <v>0.69</v>
      </c>
      <c r="F17" s="416">
        <f t="shared" si="6"/>
        <v>0.31000000000000005</v>
      </c>
      <c r="G17" s="416">
        <f t="shared" si="7"/>
        <v>0</v>
      </c>
      <c r="H17" s="62">
        <f>SUM(J17:X17,AB17:AC17)</f>
        <v>149.18282871863357</v>
      </c>
      <c r="I17" s="904">
        <f t="shared" si="0"/>
        <v>710.3944224696836</v>
      </c>
      <c r="J17" s="449">
        <f t="shared" si="1"/>
        <v>34.934078842626342</v>
      </c>
      <c r="K17" s="62">
        <f t="shared" ref="K17:X17" si="18">$I17*K72</f>
        <v>6.9868157685252674</v>
      </c>
      <c r="L17" s="62">
        <f t="shared" si="18"/>
        <v>0</v>
      </c>
      <c r="M17" s="62">
        <f t="shared" si="18"/>
        <v>13.973631537050535</v>
      </c>
      <c r="N17" s="62">
        <f t="shared" si="18"/>
        <v>6.9868157685252674</v>
      </c>
      <c r="O17" s="62">
        <f t="shared" si="18"/>
        <v>0</v>
      </c>
      <c r="P17" s="62">
        <f t="shared" si="18"/>
        <v>6.9868157685252674</v>
      </c>
      <c r="Q17" s="62">
        <f t="shared" si="18"/>
        <v>0</v>
      </c>
      <c r="R17" s="62">
        <f t="shared" si="18"/>
        <v>0</v>
      </c>
      <c r="S17" s="62">
        <f t="shared" si="18"/>
        <v>0</v>
      </c>
      <c r="T17" s="62">
        <f t="shared" si="18"/>
        <v>0</v>
      </c>
      <c r="U17" s="62">
        <f t="shared" si="18"/>
        <v>3.4934078842626337</v>
      </c>
      <c r="V17" s="62">
        <f t="shared" si="18"/>
        <v>0</v>
      </c>
      <c r="W17" s="62">
        <f t="shared" si="18"/>
        <v>0</v>
      </c>
      <c r="X17" s="62">
        <f t="shared" si="18"/>
        <v>0</v>
      </c>
      <c r="Y17" s="62">
        <f t="shared" si="3"/>
        <v>0</v>
      </c>
      <c r="Z17" s="62">
        <f t="shared" si="3"/>
        <v>71.039442246968363</v>
      </c>
      <c r="AA17" s="62">
        <f t="shared" si="3"/>
        <v>490.17215150408163</v>
      </c>
      <c r="AB17" s="62">
        <f t="shared" si="4"/>
        <v>68.659811237131819</v>
      </c>
      <c r="AC17" s="114">
        <f t="shared" si="4"/>
        <v>7.1614519119864459</v>
      </c>
    </row>
    <row r="18" spans="1:31" ht="12">
      <c r="A18" s="25" t="s">
        <v>2783</v>
      </c>
      <c r="B18" s="821">
        <v>1096</v>
      </c>
      <c r="C18" s="36" t="s">
        <v>2784</v>
      </c>
      <c r="D18" s="138" t="s">
        <v>415</v>
      </c>
      <c r="E18" s="416">
        <f t="shared" si="5"/>
        <v>0.69</v>
      </c>
      <c r="F18" s="416">
        <f t="shared" si="6"/>
        <v>0.31000000000000005</v>
      </c>
      <c r="G18" s="416">
        <f t="shared" si="7"/>
        <v>0</v>
      </c>
      <c r="H18" s="62">
        <f t="shared" si="8"/>
        <v>29.160086333104591</v>
      </c>
      <c r="I18" s="904">
        <f t="shared" si="0"/>
        <v>138.8575539671647</v>
      </c>
      <c r="J18" s="449">
        <f t="shared" si="1"/>
        <v>6.8284048758704694</v>
      </c>
      <c r="K18" s="62">
        <f t="shared" ref="K18:X18" si="19">$I18*K73</f>
        <v>1.3656809751740937</v>
      </c>
      <c r="L18" s="62">
        <f t="shared" si="19"/>
        <v>0</v>
      </c>
      <c r="M18" s="62">
        <f t="shared" si="19"/>
        <v>2.7313619503481874</v>
      </c>
      <c r="N18" s="62">
        <f t="shared" si="19"/>
        <v>1.3656809751740937</v>
      </c>
      <c r="O18" s="62">
        <f t="shared" si="19"/>
        <v>0</v>
      </c>
      <c r="P18" s="62">
        <f t="shared" si="19"/>
        <v>1.3656809751740937</v>
      </c>
      <c r="Q18" s="62">
        <f t="shared" si="19"/>
        <v>0</v>
      </c>
      <c r="R18" s="62">
        <f t="shared" si="19"/>
        <v>0</v>
      </c>
      <c r="S18" s="62">
        <f t="shared" si="19"/>
        <v>0</v>
      </c>
      <c r="T18" s="62">
        <f t="shared" si="19"/>
        <v>0</v>
      </c>
      <c r="U18" s="62">
        <f t="shared" si="19"/>
        <v>0.68284048758704685</v>
      </c>
      <c r="V18" s="62">
        <f t="shared" si="19"/>
        <v>0</v>
      </c>
      <c r="W18" s="62">
        <f t="shared" si="19"/>
        <v>0</v>
      </c>
      <c r="X18" s="62">
        <f t="shared" si="19"/>
        <v>0</v>
      </c>
      <c r="Y18" s="62">
        <f t="shared" si="3"/>
        <v>0</v>
      </c>
      <c r="Z18" s="62">
        <f t="shared" si="3"/>
        <v>13.885755396716471</v>
      </c>
      <c r="AA18" s="62">
        <f t="shared" si="3"/>
        <v>95.811712237343642</v>
      </c>
      <c r="AB18" s="62">
        <f t="shared" si="4"/>
        <v>13.420619789061249</v>
      </c>
      <c r="AC18" s="114">
        <f t="shared" si="4"/>
        <v>1.3998163047153571</v>
      </c>
    </row>
    <row r="19" spans="1:31" ht="12">
      <c r="A19" s="25" t="s">
        <v>5166</v>
      </c>
      <c r="B19" s="821">
        <v>1110</v>
      </c>
      <c r="C19" s="36" t="s">
        <v>5171</v>
      </c>
      <c r="D19" s="138" t="s">
        <v>415</v>
      </c>
      <c r="E19" s="416">
        <f t="shared" si="5"/>
        <v>0.69</v>
      </c>
      <c r="F19" s="416">
        <f t="shared" si="6"/>
        <v>0.31000000000000005</v>
      </c>
      <c r="G19" s="416">
        <f t="shared" si="7"/>
        <v>0</v>
      </c>
      <c r="H19" s="62">
        <f t="shared" si="8"/>
        <v>24.675744493215532</v>
      </c>
      <c r="I19" s="904">
        <f t="shared" si="0"/>
        <v>117.50354520578824</v>
      </c>
      <c r="J19" s="449">
        <f t="shared" si="1"/>
        <v>5.7783084757852139</v>
      </c>
      <c r="K19" s="62">
        <f t="shared" ref="K19:X19" si="20">$I19*K74</f>
        <v>1.1556616951570426</v>
      </c>
      <c r="L19" s="62">
        <f t="shared" si="20"/>
        <v>0</v>
      </c>
      <c r="M19" s="62">
        <f t="shared" si="20"/>
        <v>2.3113233903140853</v>
      </c>
      <c r="N19" s="62">
        <f t="shared" si="20"/>
        <v>1.1556616951570426</v>
      </c>
      <c r="O19" s="62">
        <f t="shared" si="20"/>
        <v>0</v>
      </c>
      <c r="P19" s="62">
        <f t="shared" si="20"/>
        <v>1.1556616951570426</v>
      </c>
      <c r="Q19" s="62">
        <f t="shared" si="20"/>
        <v>0</v>
      </c>
      <c r="R19" s="62">
        <f t="shared" si="20"/>
        <v>0</v>
      </c>
      <c r="S19" s="62">
        <f t="shared" si="20"/>
        <v>0</v>
      </c>
      <c r="T19" s="62">
        <f t="shared" si="20"/>
        <v>0</v>
      </c>
      <c r="U19" s="62">
        <f t="shared" si="20"/>
        <v>0.57783084757852132</v>
      </c>
      <c r="V19" s="62">
        <f t="shared" si="20"/>
        <v>0</v>
      </c>
      <c r="W19" s="62">
        <f t="shared" si="20"/>
        <v>0</v>
      </c>
      <c r="X19" s="62">
        <f t="shared" si="20"/>
        <v>0</v>
      </c>
      <c r="Y19" s="62">
        <f t="shared" si="3"/>
        <v>0</v>
      </c>
      <c r="Z19" s="62">
        <f t="shared" si="3"/>
        <v>11.750354520578824</v>
      </c>
      <c r="AA19" s="62">
        <f t="shared" si="3"/>
        <v>81.077446191993886</v>
      </c>
      <c r="AB19" s="62">
        <f t="shared" si="4"/>
        <v>11.35674912181268</v>
      </c>
      <c r="AC19" s="114">
        <f t="shared" si="4"/>
        <v>1.1845475722539041</v>
      </c>
    </row>
    <row r="20" spans="1:31" ht="12">
      <c r="A20" s="25" t="s">
        <v>3389</v>
      </c>
      <c r="B20" s="821">
        <v>1107</v>
      </c>
      <c r="C20" s="36" t="s">
        <v>5170</v>
      </c>
      <c r="D20" s="138" t="s">
        <v>415</v>
      </c>
      <c r="E20" s="416">
        <f t="shared" si="5"/>
        <v>0.69</v>
      </c>
      <c r="F20" s="416">
        <f t="shared" si="6"/>
        <v>0.31000000000000005</v>
      </c>
      <c r="G20" s="416">
        <f t="shared" si="7"/>
        <v>0</v>
      </c>
      <c r="H20" s="62">
        <f t="shared" si="8"/>
        <v>21.670866603169415</v>
      </c>
      <c r="I20" s="904">
        <f t="shared" si="0"/>
        <v>103.19460287223529</v>
      </c>
      <c r="J20" s="449">
        <f t="shared" si="1"/>
        <v>5.0746575125679954</v>
      </c>
      <c r="K20" s="62">
        <f t="shared" ref="K20:X20" si="21">$I20*K75</f>
        <v>1.014931502513599</v>
      </c>
      <c r="L20" s="62">
        <f t="shared" si="21"/>
        <v>0</v>
      </c>
      <c r="M20" s="62">
        <f t="shared" si="21"/>
        <v>2.029863005027198</v>
      </c>
      <c r="N20" s="62">
        <f t="shared" si="21"/>
        <v>1.014931502513599</v>
      </c>
      <c r="O20" s="62">
        <f t="shared" si="21"/>
        <v>0</v>
      </c>
      <c r="P20" s="62">
        <f t="shared" si="21"/>
        <v>1.014931502513599</v>
      </c>
      <c r="Q20" s="62">
        <f t="shared" si="21"/>
        <v>0</v>
      </c>
      <c r="R20" s="62">
        <f t="shared" si="21"/>
        <v>0</v>
      </c>
      <c r="S20" s="62">
        <f t="shared" si="21"/>
        <v>0</v>
      </c>
      <c r="T20" s="62">
        <f t="shared" si="21"/>
        <v>0</v>
      </c>
      <c r="U20" s="62">
        <f t="shared" si="21"/>
        <v>0.50746575125679949</v>
      </c>
      <c r="V20" s="62">
        <f t="shared" si="21"/>
        <v>0</v>
      </c>
      <c r="W20" s="62">
        <f t="shared" si="21"/>
        <v>0</v>
      </c>
      <c r="X20" s="62">
        <f t="shared" si="21"/>
        <v>0</v>
      </c>
      <c r="Y20" s="62">
        <f t="shared" si="3"/>
        <v>0</v>
      </c>
      <c r="Z20" s="62">
        <f t="shared" si="3"/>
        <v>10.31946028722353</v>
      </c>
      <c r="AA20" s="62">
        <f t="shared" si="3"/>
        <v>71.204275981842343</v>
      </c>
      <c r="AB20" s="62">
        <f t="shared" si="4"/>
        <v>9.9737860120950277</v>
      </c>
      <c r="AC20" s="114">
        <f t="shared" si="4"/>
        <v>1.0402998146815963</v>
      </c>
    </row>
    <row r="21" spans="1:31" ht="12">
      <c r="A21" s="919" t="s">
        <v>3734</v>
      </c>
      <c r="B21" s="821">
        <v>1140</v>
      </c>
      <c r="C21" s="914" t="s">
        <v>5299</v>
      </c>
      <c r="D21" s="143" t="s">
        <v>415</v>
      </c>
      <c r="E21" s="1023">
        <f t="shared" si="5"/>
        <v>0</v>
      </c>
      <c r="F21" s="1023">
        <v>0</v>
      </c>
      <c r="G21" s="1023">
        <f t="shared" si="7"/>
        <v>0</v>
      </c>
      <c r="H21" s="598">
        <f t="shared" si="8"/>
        <v>0</v>
      </c>
      <c r="I21" s="904">
        <f t="shared" si="0"/>
        <v>10.418392721620096</v>
      </c>
      <c r="J21" s="449">
        <f t="shared" si="1"/>
        <v>0</v>
      </c>
      <c r="K21" s="62">
        <f t="shared" ref="K21:X21" si="22">$I21*K76</f>
        <v>0</v>
      </c>
      <c r="L21" s="62">
        <f t="shared" si="22"/>
        <v>0</v>
      </c>
      <c r="M21" s="62">
        <f t="shared" si="22"/>
        <v>0</v>
      </c>
      <c r="N21" s="62">
        <f t="shared" si="22"/>
        <v>0</v>
      </c>
      <c r="O21" s="62">
        <f t="shared" si="22"/>
        <v>0</v>
      </c>
      <c r="P21" s="62">
        <f t="shared" si="22"/>
        <v>0</v>
      </c>
      <c r="Q21" s="62">
        <f t="shared" si="22"/>
        <v>0</v>
      </c>
      <c r="R21" s="62">
        <f t="shared" si="22"/>
        <v>0</v>
      </c>
      <c r="S21" s="62">
        <f t="shared" si="22"/>
        <v>0</v>
      </c>
      <c r="T21" s="62">
        <f t="shared" si="22"/>
        <v>0</v>
      </c>
      <c r="U21" s="62">
        <f t="shared" si="22"/>
        <v>0</v>
      </c>
      <c r="V21" s="62">
        <f t="shared" si="22"/>
        <v>0</v>
      </c>
      <c r="W21" s="62">
        <f t="shared" si="22"/>
        <v>0</v>
      </c>
      <c r="X21" s="62">
        <f t="shared" si="22"/>
        <v>0</v>
      </c>
      <c r="Y21" s="62">
        <f t="shared" si="3"/>
        <v>0</v>
      </c>
      <c r="Z21" s="62">
        <f t="shared" si="3"/>
        <v>0</v>
      </c>
      <c r="AA21" s="62">
        <f t="shared" si="3"/>
        <v>0</v>
      </c>
      <c r="AB21" s="62">
        <f t="shared" si="4"/>
        <v>0</v>
      </c>
      <c r="AC21" s="114">
        <f t="shared" si="4"/>
        <v>0</v>
      </c>
    </row>
    <row r="22" spans="1:31" ht="12">
      <c r="A22" s="919" t="s">
        <v>3103</v>
      </c>
      <c r="B22" s="821">
        <v>1150</v>
      </c>
      <c r="C22" s="914" t="s">
        <v>3104</v>
      </c>
      <c r="D22" s="143" t="s">
        <v>415</v>
      </c>
      <c r="E22" s="1023">
        <f t="shared" si="5"/>
        <v>0</v>
      </c>
      <c r="F22" s="1023">
        <v>0</v>
      </c>
      <c r="G22" s="1023">
        <f t="shared" si="7"/>
        <v>0</v>
      </c>
      <c r="H22" s="598">
        <f t="shared" si="8"/>
        <v>0</v>
      </c>
      <c r="I22" s="904">
        <f t="shared" si="0"/>
        <v>30.515022953937244</v>
      </c>
      <c r="J22" s="449">
        <f t="shared" si="1"/>
        <v>0</v>
      </c>
      <c r="K22" s="62">
        <f t="shared" ref="K22:X22" si="23">$I22*K77</f>
        <v>0</v>
      </c>
      <c r="L22" s="62">
        <f t="shared" si="23"/>
        <v>0</v>
      </c>
      <c r="M22" s="62">
        <f t="shared" si="23"/>
        <v>0</v>
      </c>
      <c r="N22" s="62">
        <f t="shared" si="23"/>
        <v>0</v>
      </c>
      <c r="O22" s="62">
        <f t="shared" si="23"/>
        <v>0</v>
      </c>
      <c r="P22" s="62">
        <f t="shared" si="23"/>
        <v>0</v>
      </c>
      <c r="Q22" s="62">
        <f t="shared" si="23"/>
        <v>0</v>
      </c>
      <c r="R22" s="62">
        <f t="shared" si="23"/>
        <v>0</v>
      </c>
      <c r="S22" s="62">
        <f t="shared" si="23"/>
        <v>0</v>
      </c>
      <c r="T22" s="62">
        <f t="shared" si="23"/>
        <v>0</v>
      </c>
      <c r="U22" s="62">
        <f t="shared" si="23"/>
        <v>0</v>
      </c>
      <c r="V22" s="62">
        <f t="shared" si="23"/>
        <v>0</v>
      </c>
      <c r="W22" s="62">
        <f t="shared" si="23"/>
        <v>0</v>
      </c>
      <c r="X22" s="62">
        <f t="shared" si="23"/>
        <v>0</v>
      </c>
      <c r="Y22" s="62">
        <f t="shared" si="3"/>
        <v>0</v>
      </c>
      <c r="Z22" s="62">
        <f t="shared" si="3"/>
        <v>0</v>
      </c>
      <c r="AA22" s="62">
        <f t="shared" si="3"/>
        <v>0</v>
      </c>
      <c r="AB22" s="62">
        <f t="shared" si="4"/>
        <v>0</v>
      </c>
      <c r="AC22" s="114">
        <f t="shared" si="4"/>
        <v>0</v>
      </c>
    </row>
    <row r="23" spans="1:31" ht="12">
      <c r="A23" s="243" t="s">
        <v>5594</v>
      </c>
      <c r="B23" s="821">
        <v>882</v>
      </c>
      <c r="C23" s="36" t="s">
        <v>5595</v>
      </c>
      <c r="D23" s="243" t="s">
        <v>415</v>
      </c>
      <c r="E23" s="416">
        <f t="shared" si="5"/>
        <v>0.65000000000000013</v>
      </c>
      <c r="F23" s="416">
        <f t="shared" si="6"/>
        <v>0.34999999999999987</v>
      </c>
      <c r="G23" s="416">
        <f t="shared" si="7"/>
        <v>0</v>
      </c>
      <c r="H23" s="62">
        <f t="shared" si="8"/>
        <v>0.3918563976478584</v>
      </c>
      <c r="I23" s="451">
        <f t="shared" si="0"/>
        <v>1.5674255905914334</v>
      </c>
      <c r="J23" s="450">
        <f>$I23*J78</f>
        <v>7.7079109055094033E-2</v>
      </c>
      <c r="K23" s="451">
        <f t="shared" ref="K23:X23" si="24">$I23*K78</f>
        <v>3.8539554527547017E-2</v>
      </c>
      <c r="L23" s="451">
        <f t="shared" si="24"/>
        <v>0</v>
      </c>
      <c r="M23" s="451">
        <f t="shared" si="24"/>
        <v>3.8539554527547017E-2</v>
      </c>
      <c r="N23" s="451">
        <f t="shared" si="24"/>
        <v>1.5415821811018806E-2</v>
      </c>
      <c r="O23" s="451">
        <f t="shared" si="24"/>
        <v>0</v>
      </c>
      <c r="P23" s="451">
        <f t="shared" si="24"/>
        <v>1.5415821811018806E-2</v>
      </c>
      <c r="Q23" s="451">
        <f t="shared" si="24"/>
        <v>0</v>
      </c>
      <c r="R23" s="451">
        <f t="shared" si="24"/>
        <v>0</v>
      </c>
      <c r="S23" s="451">
        <f t="shared" si="24"/>
        <v>0</v>
      </c>
      <c r="T23" s="451">
        <f t="shared" si="24"/>
        <v>0</v>
      </c>
      <c r="U23" s="451">
        <f t="shared" si="24"/>
        <v>7.7079109055094028E-3</v>
      </c>
      <c r="V23" s="451">
        <f t="shared" si="24"/>
        <v>0</v>
      </c>
      <c r="W23" s="451">
        <f t="shared" si="24"/>
        <v>0</v>
      </c>
      <c r="X23" s="451">
        <f t="shared" si="24"/>
        <v>0</v>
      </c>
      <c r="Y23" s="451">
        <f t="shared" si="3"/>
        <v>0</v>
      </c>
      <c r="Z23" s="451">
        <f t="shared" si="3"/>
        <v>0.15674255905914336</v>
      </c>
      <c r="AA23" s="451">
        <f t="shared" si="3"/>
        <v>1.0188266338844318</v>
      </c>
      <c r="AB23" s="451">
        <f t="shared" si="4"/>
        <v>0.18034774193287498</v>
      </c>
      <c r="AC23" s="452">
        <f t="shared" si="4"/>
        <v>1.8810883077248305E-2</v>
      </c>
    </row>
    <row r="24" spans="1:31" ht="12">
      <c r="A24" s="243" t="s">
        <v>1748</v>
      </c>
      <c r="B24" s="821">
        <v>1062</v>
      </c>
      <c r="C24" s="78" t="s">
        <v>5191</v>
      </c>
      <c r="D24" s="243" t="s">
        <v>415</v>
      </c>
      <c r="E24" s="416">
        <f t="shared" si="5"/>
        <v>0</v>
      </c>
      <c r="F24" s="416">
        <f t="shared" si="6"/>
        <v>1</v>
      </c>
      <c r="G24" s="416">
        <f t="shared" si="7"/>
        <v>0</v>
      </c>
      <c r="H24" s="62">
        <f t="shared" si="8"/>
        <v>2.2395041306312526</v>
      </c>
      <c r="I24" s="451">
        <f t="shared" si="0"/>
        <v>2.6758408644881384</v>
      </c>
      <c r="J24" s="450">
        <f t="shared" si="1"/>
        <v>0.43053329035433308</v>
      </c>
      <c r="K24" s="451">
        <f t="shared" ref="K24:X24" si="25">$I24*K79</f>
        <v>0.24042609139031718</v>
      </c>
      <c r="L24" s="451">
        <f t="shared" si="25"/>
        <v>0</v>
      </c>
      <c r="M24" s="451">
        <f t="shared" si="25"/>
        <v>0.2367636114418083</v>
      </c>
      <c r="N24" s="451">
        <f t="shared" si="25"/>
        <v>1.5625850079717916E-2</v>
      </c>
      <c r="O24" s="451">
        <f t="shared" si="25"/>
        <v>7.4930976990460118E-3</v>
      </c>
      <c r="P24" s="451">
        <f t="shared" si="25"/>
        <v>9.9603371853172612E-2</v>
      </c>
      <c r="Q24" s="451">
        <f t="shared" si="25"/>
        <v>0</v>
      </c>
      <c r="R24" s="451">
        <f t="shared" si="25"/>
        <v>0</v>
      </c>
      <c r="S24" s="451">
        <f t="shared" si="25"/>
        <v>1.7739451906290286E-2</v>
      </c>
      <c r="T24" s="451">
        <f t="shared" si="25"/>
        <v>0</v>
      </c>
      <c r="U24" s="451">
        <f t="shared" si="25"/>
        <v>9.3343893897262289E-3</v>
      </c>
      <c r="V24" s="451">
        <f t="shared" si="25"/>
        <v>0</v>
      </c>
      <c r="W24" s="451">
        <f t="shared" si="25"/>
        <v>1.498619539809205E-2</v>
      </c>
      <c r="X24" s="451">
        <f t="shared" si="25"/>
        <v>2.8784460673164581E-2</v>
      </c>
      <c r="Y24" s="451">
        <f t="shared" si="3"/>
        <v>0</v>
      </c>
      <c r="Z24" s="451">
        <f t="shared" si="3"/>
        <v>0.43633673385688587</v>
      </c>
      <c r="AA24" s="451">
        <f t="shared" si="3"/>
        <v>0</v>
      </c>
      <c r="AB24" s="451">
        <f t="shared" si="4"/>
        <v>1.030707972188444</v>
      </c>
      <c r="AC24" s="452">
        <f t="shared" si="4"/>
        <v>0.1075063482571403</v>
      </c>
    </row>
    <row r="25" spans="1:31" ht="12">
      <c r="A25" s="247" t="s">
        <v>3963</v>
      </c>
      <c r="B25" s="821">
        <v>1091</v>
      </c>
      <c r="C25" s="77" t="s">
        <v>3662</v>
      </c>
      <c r="D25" s="243" t="s">
        <v>415</v>
      </c>
      <c r="E25" s="416">
        <f t="shared" si="5"/>
        <v>0</v>
      </c>
      <c r="F25" s="416">
        <f t="shared" si="6"/>
        <v>1</v>
      </c>
      <c r="G25" s="416">
        <f t="shared" si="7"/>
        <v>0</v>
      </c>
      <c r="H25" s="62">
        <f t="shared" si="8"/>
        <v>2.2395041306312526</v>
      </c>
      <c r="I25" s="451">
        <f t="shared" si="0"/>
        <v>2.6758408644881384</v>
      </c>
      <c r="J25" s="450">
        <f t="shared" si="1"/>
        <v>0.43053329035433308</v>
      </c>
      <c r="K25" s="451">
        <f t="shared" ref="K25:X25" si="26">$I25*K80</f>
        <v>0.24042609139031718</v>
      </c>
      <c r="L25" s="451">
        <f t="shared" si="26"/>
        <v>0</v>
      </c>
      <c r="M25" s="451">
        <f t="shared" si="26"/>
        <v>0.2367636114418083</v>
      </c>
      <c r="N25" s="451">
        <f t="shared" si="26"/>
        <v>1.5625850079717916E-2</v>
      </c>
      <c r="O25" s="451">
        <f t="shared" si="26"/>
        <v>7.4930976990460118E-3</v>
      </c>
      <c r="P25" s="451">
        <f t="shared" si="26"/>
        <v>9.9603371853172612E-2</v>
      </c>
      <c r="Q25" s="451">
        <f t="shared" si="26"/>
        <v>0</v>
      </c>
      <c r="R25" s="451">
        <f t="shared" si="26"/>
        <v>0</v>
      </c>
      <c r="S25" s="451">
        <f t="shared" si="26"/>
        <v>1.7739451906290286E-2</v>
      </c>
      <c r="T25" s="451">
        <f t="shared" si="26"/>
        <v>0</v>
      </c>
      <c r="U25" s="451">
        <f t="shared" si="26"/>
        <v>9.3343893897262289E-3</v>
      </c>
      <c r="V25" s="451">
        <f t="shared" si="26"/>
        <v>0</v>
      </c>
      <c r="W25" s="451">
        <f t="shared" si="26"/>
        <v>1.498619539809205E-2</v>
      </c>
      <c r="X25" s="451">
        <f t="shared" si="26"/>
        <v>2.8784460673164581E-2</v>
      </c>
      <c r="Y25" s="451">
        <f t="shared" si="3"/>
        <v>0</v>
      </c>
      <c r="Z25" s="451">
        <f t="shared" si="3"/>
        <v>0.43633673385688587</v>
      </c>
      <c r="AA25" s="451">
        <f t="shared" si="3"/>
        <v>0</v>
      </c>
      <c r="AB25" s="451">
        <f t="shared" si="4"/>
        <v>1.030707972188444</v>
      </c>
      <c r="AC25" s="452">
        <f t="shared" si="4"/>
        <v>0.1075063482571403</v>
      </c>
    </row>
    <row r="26" spans="1:31" ht="12.75" customHeight="1">
      <c r="A26" s="243" t="s">
        <v>4632</v>
      </c>
      <c r="B26" s="821">
        <v>951</v>
      </c>
      <c r="C26" s="36" t="s">
        <v>2937</v>
      </c>
      <c r="D26" s="243" t="s">
        <v>415</v>
      </c>
      <c r="E26" s="416">
        <f t="shared" si="5"/>
        <v>0.69</v>
      </c>
      <c r="F26" s="416">
        <f t="shared" si="6"/>
        <v>0.31000000000000005</v>
      </c>
      <c r="G26" s="416">
        <f t="shared" si="7"/>
        <v>0</v>
      </c>
      <c r="H26" s="62">
        <f t="shared" si="8"/>
        <v>0.68222597744453806</v>
      </c>
      <c r="I26" s="451">
        <f t="shared" si="0"/>
        <v>3.2486951306882763</v>
      </c>
      <c r="J26" s="450">
        <f t="shared" si="1"/>
        <v>0.15975656373620215</v>
      </c>
      <c r="K26" s="451">
        <f t="shared" ref="K26:X26" si="27">$I26*K81</f>
        <v>3.1951312747240425E-2</v>
      </c>
      <c r="L26" s="451">
        <f t="shared" si="27"/>
        <v>0</v>
      </c>
      <c r="M26" s="451">
        <f t="shared" si="27"/>
        <v>6.390262549448085E-2</v>
      </c>
      <c r="N26" s="451">
        <f t="shared" si="27"/>
        <v>3.1951312747240425E-2</v>
      </c>
      <c r="O26" s="451">
        <f t="shared" si="27"/>
        <v>0</v>
      </c>
      <c r="P26" s="451">
        <f t="shared" si="27"/>
        <v>3.1951312747240425E-2</v>
      </c>
      <c r="Q26" s="451">
        <f t="shared" si="27"/>
        <v>0</v>
      </c>
      <c r="R26" s="451">
        <f t="shared" si="27"/>
        <v>0</v>
      </c>
      <c r="S26" s="451">
        <f t="shared" si="27"/>
        <v>0</v>
      </c>
      <c r="T26" s="451">
        <f t="shared" si="27"/>
        <v>0</v>
      </c>
      <c r="U26" s="451">
        <f t="shared" si="27"/>
        <v>1.5975656373620212E-2</v>
      </c>
      <c r="V26" s="451">
        <f t="shared" si="27"/>
        <v>0</v>
      </c>
      <c r="W26" s="451">
        <f t="shared" si="27"/>
        <v>0</v>
      </c>
      <c r="X26" s="451">
        <f t="shared" si="27"/>
        <v>0</v>
      </c>
      <c r="Y26" s="451">
        <f t="shared" si="3"/>
        <v>0</v>
      </c>
      <c r="Z26" s="451">
        <f t="shared" si="3"/>
        <v>0.32486951306882766</v>
      </c>
      <c r="AA26" s="451">
        <f t="shared" si="3"/>
        <v>2.2415996401749103</v>
      </c>
      <c r="AB26" s="451">
        <f t="shared" si="4"/>
        <v>0.31398725466424293</v>
      </c>
      <c r="AC26" s="452">
        <f t="shared" si="4"/>
        <v>3.274993893427066E-2</v>
      </c>
    </row>
    <row r="27" spans="1:31" ht="12.75" customHeight="1">
      <c r="A27" s="247" t="s">
        <v>1956</v>
      </c>
      <c r="B27" s="821">
        <v>982</v>
      </c>
      <c r="C27" s="36" t="s">
        <v>1957</v>
      </c>
      <c r="D27" s="243" t="s">
        <v>415</v>
      </c>
      <c r="E27" s="416">
        <f t="shared" ref="E27" si="28">AA27/I27</f>
        <v>0.65</v>
      </c>
      <c r="F27" s="416">
        <f t="shared" ref="F27" si="29">1-E27-G27</f>
        <v>0.35</v>
      </c>
      <c r="G27" s="416">
        <f t="shared" ref="G27" si="30">Y27/I27</f>
        <v>0</v>
      </c>
      <c r="H27" s="62">
        <f t="shared" si="8"/>
        <v>2.5561487305029971</v>
      </c>
      <c r="I27" s="451">
        <f t="shared" si="0"/>
        <v>10.224594922011988</v>
      </c>
      <c r="J27" s="450">
        <f t="shared" si="1"/>
        <v>0.50280068908441744</v>
      </c>
      <c r="K27" s="451">
        <f t="shared" ref="K27:X27" si="31">$I27*K82</f>
        <v>0.25140034454220872</v>
      </c>
      <c r="L27" s="451">
        <f t="shared" si="31"/>
        <v>0</v>
      </c>
      <c r="M27" s="451">
        <f t="shared" si="31"/>
        <v>0.25140034454220872</v>
      </c>
      <c r="N27" s="451">
        <f t="shared" si="31"/>
        <v>0.10056013781688349</v>
      </c>
      <c r="O27" s="451">
        <f t="shared" si="31"/>
        <v>0</v>
      </c>
      <c r="P27" s="451">
        <f t="shared" si="31"/>
        <v>0.10056013781688349</v>
      </c>
      <c r="Q27" s="451">
        <f t="shared" si="31"/>
        <v>0</v>
      </c>
      <c r="R27" s="451">
        <f t="shared" si="31"/>
        <v>0</v>
      </c>
      <c r="S27" s="451">
        <f t="shared" si="31"/>
        <v>0</v>
      </c>
      <c r="T27" s="451">
        <f t="shared" si="31"/>
        <v>0</v>
      </c>
      <c r="U27" s="451">
        <f t="shared" si="31"/>
        <v>5.0280068908441743E-2</v>
      </c>
      <c r="V27" s="451">
        <f t="shared" si="31"/>
        <v>0</v>
      </c>
      <c r="W27" s="451">
        <f t="shared" si="31"/>
        <v>0</v>
      </c>
      <c r="X27" s="451">
        <f t="shared" si="31"/>
        <v>0</v>
      </c>
      <c r="Y27" s="451">
        <f t="shared" si="3"/>
        <v>0</v>
      </c>
      <c r="Z27" s="451">
        <f t="shared" si="3"/>
        <v>1.0224594922011989</v>
      </c>
      <c r="AA27" s="451">
        <f t="shared" si="3"/>
        <v>6.6459866993077927</v>
      </c>
      <c r="AB27" s="451">
        <f t="shared" si="4"/>
        <v>1.1764402836292955</v>
      </c>
      <c r="AC27" s="452">
        <f t="shared" si="4"/>
        <v>0.12270672416265796</v>
      </c>
    </row>
    <row r="28" spans="1:31" ht="12.75" customHeight="1">
      <c r="A28" s="248" t="s">
        <v>1960</v>
      </c>
      <c r="B28" s="807">
        <v>987</v>
      </c>
      <c r="C28" s="195" t="s">
        <v>274</v>
      </c>
      <c r="D28" s="248" t="s">
        <v>415</v>
      </c>
      <c r="E28" s="417">
        <f t="shared" si="5"/>
        <v>1</v>
      </c>
      <c r="F28" s="417">
        <v>0</v>
      </c>
      <c r="G28" s="417">
        <f t="shared" si="7"/>
        <v>0</v>
      </c>
      <c r="H28" s="160">
        <f t="shared" si="8"/>
        <v>0</v>
      </c>
      <c r="I28" s="994">
        <f t="shared" si="0"/>
        <v>193.150621915171</v>
      </c>
      <c r="J28" s="453">
        <f>$I28*J83</f>
        <v>0</v>
      </c>
      <c r="K28" s="454">
        <f t="shared" ref="K28:X28" si="32">$I28*K83</f>
        <v>0</v>
      </c>
      <c r="L28" s="454">
        <f t="shared" si="32"/>
        <v>0</v>
      </c>
      <c r="M28" s="454">
        <f t="shared" si="32"/>
        <v>0</v>
      </c>
      <c r="N28" s="454">
        <f t="shared" si="32"/>
        <v>0</v>
      </c>
      <c r="O28" s="454">
        <f t="shared" si="32"/>
        <v>0</v>
      </c>
      <c r="P28" s="454">
        <f t="shared" si="32"/>
        <v>0</v>
      </c>
      <c r="Q28" s="454">
        <f t="shared" si="32"/>
        <v>0</v>
      </c>
      <c r="R28" s="454">
        <f t="shared" si="32"/>
        <v>0</v>
      </c>
      <c r="S28" s="454">
        <f t="shared" si="32"/>
        <v>0</v>
      </c>
      <c r="T28" s="454">
        <f t="shared" si="32"/>
        <v>0</v>
      </c>
      <c r="U28" s="454">
        <f t="shared" si="32"/>
        <v>0</v>
      </c>
      <c r="V28" s="454">
        <f t="shared" si="32"/>
        <v>0</v>
      </c>
      <c r="W28" s="454">
        <f t="shared" si="32"/>
        <v>0</v>
      </c>
      <c r="X28" s="454">
        <f t="shared" si="32"/>
        <v>0</v>
      </c>
      <c r="Y28" s="454">
        <f t="shared" si="3"/>
        <v>0</v>
      </c>
      <c r="Z28" s="454">
        <f t="shared" si="3"/>
        <v>0</v>
      </c>
      <c r="AA28" s="454">
        <f t="shared" si="3"/>
        <v>193.150621915171</v>
      </c>
      <c r="AB28" s="454">
        <f t="shared" si="4"/>
        <v>0</v>
      </c>
      <c r="AC28" s="455">
        <f t="shared" si="4"/>
        <v>0</v>
      </c>
    </row>
    <row r="30" spans="1:31" ht="12.75" customHeight="1">
      <c r="A30" s="444" t="s">
        <v>1606</v>
      </c>
      <c r="B30" s="445"/>
    </row>
    <row r="31" spans="1:31" ht="12.75" customHeight="1">
      <c r="A31" s="124"/>
      <c r="G31" s="461"/>
      <c r="H31" s="461"/>
      <c r="I31" s="461"/>
    </row>
    <row r="32" spans="1:31" ht="12.75" customHeight="1">
      <c r="A32" s="446" t="s">
        <v>1607</v>
      </c>
      <c r="G32" s="461"/>
      <c r="H32" s="461"/>
      <c r="I32" s="461"/>
      <c r="J32" s="83"/>
      <c r="K32" s="83"/>
      <c r="L32" s="83"/>
      <c r="M32" s="83"/>
      <c r="N32" s="83"/>
      <c r="O32" s="83"/>
      <c r="P32" s="83"/>
      <c r="Q32" s="83"/>
      <c r="R32" s="83"/>
      <c r="S32" s="83"/>
      <c r="T32" s="83"/>
      <c r="U32" s="83"/>
      <c r="V32" s="83"/>
      <c r="W32" s="83"/>
      <c r="X32" s="83"/>
      <c r="Y32" s="83"/>
      <c r="Z32" s="83"/>
      <c r="AA32" s="83"/>
      <c r="AB32" s="83"/>
      <c r="AC32" s="83"/>
      <c r="AD32" s="83"/>
      <c r="AE32" s="83"/>
    </row>
    <row r="33" spans="1:33" ht="12.75" customHeight="1">
      <c r="A33" s="222" t="s">
        <v>2036</v>
      </c>
      <c r="B33" s="223" t="s">
        <v>2019</v>
      </c>
      <c r="G33" s="461"/>
      <c r="H33" s="461"/>
      <c r="I33" s="461"/>
      <c r="J33" s="223" t="s">
        <v>2175</v>
      </c>
      <c r="K33" s="223" t="s">
        <v>3210</v>
      </c>
      <c r="L33" s="223" t="s">
        <v>4620</v>
      </c>
      <c r="M33" s="223" t="s">
        <v>1214</v>
      </c>
      <c r="N33" s="223" t="s">
        <v>627</v>
      </c>
      <c r="O33" s="223" t="s">
        <v>4664</v>
      </c>
      <c r="P33" s="223" t="s">
        <v>2805</v>
      </c>
      <c r="Q33" s="223" t="s">
        <v>804</v>
      </c>
      <c r="R33" s="223" t="s">
        <v>5568</v>
      </c>
      <c r="S33" s="223" t="s">
        <v>5561</v>
      </c>
      <c r="T33" s="223" t="s">
        <v>4621</v>
      </c>
      <c r="U33" s="223" t="s">
        <v>4622</v>
      </c>
      <c r="V33" s="223" t="s">
        <v>4623</v>
      </c>
      <c r="W33" s="223" t="s">
        <v>4624</v>
      </c>
      <c r="X33" s="223" t="s">
        <v>4625</v>
      </c>
      <c r="Y33" s="223" t="s">
        <v>4626</v>
      </c>
      <c r="Z33" s="223" t="s">
        <v>4627</v>
      </c>
      <c r="AA33" s="223" t="s">
        <v>4628</v>
      </c>
      <c r="AB33" s="548" t="s">
        <v>1609</v>
      </c>
      <c r="AC33" s="548" t="s">
        <v>1610</v>
      </c>
      <c r="AD33" s="548" t="s">
        <v>1611</v>
      </c>
      <c r="AE33" s="548" t="s">
        <v>1612</v>
      </c>
      <c r="AG33" s="53" t="s">
        <v>1613</v>
      </c>
    </row>
    <row r="34" spans="1:33" ht="12.75" customHeight="1">
      <c r="A34" s="440" t="s">
        <v>548</v>
      </c>
      <c r="B34" s="441" t="s">
        <v>548</v>
      </c>
      <c r="G34" s="461"/>
      <c r="H34" s="461"/>
      <c r="I34" s="461"/>
      <c r="J34" s="549" t="s">
        <v>1601</v>
      </c>
      <c r="K34" s="549" t="s">
        <v>1601</v>
      </c>
      <c r="L34" s="549" t="s">
        <v>1601</v>
      </c>
      <c r="M34" s="549" t="s">
        <v>1601</v>
      </c>
      <c r="N34" s="549" t="s">
        <v>1601</v>
      </c>
      <c r="O34" s="549" t="s">
        <v>1601</v>
      </c>
      <c r="P34" s="549" t="s">
        <v>1601</v>
      </c>
      <c r="Q34" s="549" t="s">
        <v>1601</v>
      </c>
      <c r="R34" s="549" t="s">
        <v>1601</v>
      </c>
      <c r="S34" s="549" t="s">
        <v>1601</v>
      </c>
      <c r="T34" s="549" t="s">
        <v>1601</v>
      </c>
      <c r="U34" s="549" t="s">
        <v>1601</v>
      </c>
      <c r="V34" s="549" t="s">
        <v>1601</v>
      </c>
      <c r="W34" s="549" t="s">
        <v>1601</v>
      </c>
      <c r="X34" s="549" t="s">
        <v>1601</v>
      </c>
      <c r="Y34" s="549" t="s">
        <v>1601</v>
      </c>
      <c r="Z34" s="549" t="s">
        <v>1601</v>
      </c>
      <c r="AA34" s="549" t="s">
        <v>1601</v>
      </c>
      <c r="AB34" s="549" t="s">
        <v>1601</v>
      </c>
      <c r="AC34" s="549" t="s">
        <v>1601</v>
      </c>
      <c r="AD34" s="549" t="s">
        <v>1601</v>
      </c>
      <c r="AE34" s="549" t="s">
        <v>1601</v>
      </c>
    </row>
    <row r="35" spans="1:33" ht="12.75" customHeight="1">
      <c r="A35" s="135" t="s">
        <v>2276</v>
      </c>
      <c r="B35" s="822">
        <v>946</v>
      </c>
      <c r="G35" s="461"/>
      <c r="H35" s="461"/>
      <c r="I35" s="461"/>
      <c r="J35" s="393">
        <v>0.1</v>
      </c>
      <c r="K35" s="393">
        <v>0.02</v>
      </c>
      <c r="L35" s="393">
        <v>0</v>
      </c>
      <c r="M35" s="393">
        <v>0.04</v>
      </c>
      <c r="N35" s="393">
        <v>0.02</v>
      </c>
      <c r="O35" s="393">
        <v>0</v>
      </c>
      <c r="P35" s="393">
        <v>0.02</v>
      </c>
      <c r="Q35" s="393">
        <v>0</v>
      </c>
      <c r="R35" s="393">
        <v>0</v>
      </c>
      <c r="S35" s="393">
        <v>0</v>
      </c>
      <c r="T35" s="393">
        <v>0</v>
      </c>
      <c r="U35" s="393">
        <v>0.01</v>
      </c>
      <c r="V35" s="393">
        <v>0</v>
      </c>
      <c r="W35" s="393">
        <v>0</v>
      </c>
      <c r="X35" s="393">
        <v>0</v>
      </c>
      <c r="Y35" s="1220">
        <v>0</v>
      </c>
      <c r="Z35" s="1220">
        <v>0.1</v>
      </c>
      <c r="AA35" s="1220">
        <v>0.69</v>
      </c>
      <c r="AB35" s="1024">
        <f>SUM(J35:X35)</f>
        <v>0.21</v>
      </c>
      <c r="AC35" s="1217">
        <v>9.6650267887008784E-2</v>
      </c>
      <c r="AD35" s="1217">
        <v>1.0080951771960264E-2</v>
      </c>
      <c r="AE35" s="550">
        <f>AB35*crop_feed_cnst!$C$7/100</f>
        <v>0.10326878034103096</v>
      </c>
      <c r="AG35" s="447">
        <f t="shared" ref="AG35:AG56" si="33">SUM(AC35:AD35,Y35:AA35,J62:X62)</f>
        <v>0.99999999999999989</v>
      </c>
    </row>
    <row r="36" spans="1:33" ht="12.75" customHeight="1">
      <c r="A36" s="138" t="s">
        <v>4828</v>
      </c>
      <c r="B36" s="821">
        <v>866</v>
      </c>
      <c r="G36" s="461"/>
      <c r="H36" s="461"/>
      <c r="I36" s="461"/>
      <c r="J36" s="393">
        <v>0.1</v>
      </c>
      <c r="K36" s="393">
        <v>0.02</v>
      </c>
      <c r="L36" s="393">
        <v>0</v>
      </c>
      <c r="M36" s="393">
        <v>0.04</v>
      </c>
      <c r="N36" s="393">
        <v>0.02</v>
      </c>
      <c r="O36" s="393">
        <v>0</v>
      </c>
      <c r="P36" s="393">
        <v>0.02</v>
      </c>
      <c r="Q36" s="393">
        <v>0</v>
      </c>
      <c r="R36" s="393">
        <v>0</v>
      </c>
      <c r="S36" s="393">
        <v>0</v>
      </c>
      <c r="T36" s="393">
        <v>0</v>
      </c>
      <c r="U36" s="393">
        <v>0.01</v>
      </c>
      <c r="V36" s="393">
        <v>0</v>
      </c>
      <c r="W36" s="393">
        <v>0</v>
      </c>
      <c r="X36" s="393">
        <v>0</v>
      </c>
      <c r="Y36" s="1221">
        <v>0</v>
      </c>
      <c r="Z36" s="1221">
        <v>0.1</v>
      </c>
      <c r="AA36" s="1221">
        <v>0.69</v>
      </c>
      <c r="AB36" s="1024">
        <f t="shared" ref="AB36:AB56" si="34">SUM(J36:X36)</f>
        <v>0.21</v>
      </c>
      <c r="AC36" s="1218">
        <v>9.6650267887008784E-2</v>
      </c>
      <c r="AD36" s="1218">
        <v>1.0080951771960264E-2</v>
      </c>
      <c r="AE36" s="550">
        <f>AB36*crop_feed_cnst!$C$7/100</f>
        <v>0.10326878034103096</v>
      </c>
      <c r="AG36" s="447">
        <f t="shared" si="33"/>
        <v>0.99999999999999989</v>
      </c>
    </row>
    <row r="37" spans="1:33" ht="12.75" customHeight="1">
      <c r="A37" s="138" t="s">
        <v>4710</v>
      </c>
      <c r="B37" s="821">
        <v>1057</v>
      </c>
      <c r="G37" s="461"/>
      <c r="H37" s="461"/>
      <c r="I37" s="461"/>
      <c r="J37" s="393">
        <v>0.43</v>
      </c>
      <c r="K37" s="393">
        <v>0</v>
      </c>
      <c r="L37" s="393">
        <v>0.23</v>
      </c>
      <c r="M37" s="393">
        <v>0</v>
      </c>
      <c r="N37" s="393">
        <v>0</v>
      </c>
      <c r="O37" s="393">
        <v>0</v>
      </c>
      <c r="P37" s="393">
        <v>0.19</v>
      </c>
      <c r="Q37" s="393">
        <v>0</v>
      </c>
      <c r="R37" s="393">
        <v>0</v>
      </c>
      <c r="S37" s="393">
        <v>0</v>
      </c>
      <c r="T37" s="393">
        <v>0</v>
      </c>
      <c r="U37" s="393">
        <v>0</v>
      </c>
      <c r="V37" s="393">
        <v>0</v>
      </c>
      <c r="W37" s="393">
        <v>0</v>
      </c>
      <c r="X37" s="393">
        <v>0</v>
      </c>
      <c r="Y37" s="1221">
        <v>0.01</v>
      </c>
      <c r="Z37" s="1221">
        <v>0.14000000000000001</v>
      </c>
      <c r="AA37" s="1221">
        <v>0</v>
      </c>
      <c r="AB37" s="1024">
        <f>SUM(J37:X37)</f>
        <v>0.85000000000000009</v>
      </c>
      <c r="AC37" s="1218">
        <v>0.39120346525694033</v>
      </c>
      <c r="AD37" s="1218">
        <v>4.0803852410315367E-2</v>
      </c>
      <c r="AE37" s="550">
        <f>AB37*crop_feed_cnst!$C$7/100</f>
        <v>0.41799268233274439</v>
      </c>
      <c r="AG37" s="447">
        <f t="shared" si="33"/>
        <v>1.0000000000000002</v>
      </c>
    </row>
    <row r="38" spans="1:33" ht="12.75" customHeight="1">
      <c r="A38" s="25" t="s">
        <v>3200</v>
      </c>
      <c r="B38" s="821">
        <v>1068</v>
      </c>
      <c r="G38" s="461"/>
      <c r="H38" s="461"/>
      <c r="I38" s="461"/>
      <c r="J38" s="393">
        <v>0.43</v>
      </c>
      <c r="K38" s="393">
        <v>0</v>
      </c>
      <c r="L38" s="393">
        <v>0.23</v>
      </c>
      <c r="M38" s="393">
        <v>0</v>
      </c>
      <c r="N38" s="393">
        <v>0</v>
      </c>
      <c r="O38" s="393">
        <v>0</v>
      </c>
      <c r="P38" s="393">
        <v>0.19</v>
      </c>
      <c r="Q38" s="393">
        <v>0</v>
      </c>
      <c r="R38" s="393">
        <v>0</v>
      </c>
      <c r="S38" s="393">
        <v>0</v>
      </c>
      <c r="T38" s="393">
        <v>0</v>
      </c>
      <c r="U38" s="393">
        <v>0</v>
      </c>
      <c r="V38" s="393">
        <v>0</v>
      </c>
      <c r="W38" s="393">
        <v>0</v>
      </c>
      <c r="X38" s="393">
        <v>0</v>
      </c>
      <c r="Y38" s="1221">
        <v>0.01</v>
      </c>
      <c r="Z38" s="1221">
        <v>0.14000000000000001</v>
      </c>
      <c r="AA38" s="1221">
        <v>0</v>
      </c>
      <c r="AB38" s="1024">
        <f t="shared" si="34"/>
        <v>0.85000000000000009</v>
      </c>
      <c r="AC38" s="1218">
        <v>0.39120346525694033</v>
      </c>
      <c r="AD38" s="1218">
        <v>4.0803852410315367E-2</v>
      </c>
      <c r="AE38" s="550">
        <f>AB38*crop_feed_cnst!$C$7/100</f>
        <v>0.41799268233274439</v>
      </c>
      <c r="AG38" s="447">
        <f t="shared" si="33"/>
        <v>1.0000000000000002</v>
      </c>
    </row>
    <row r="39" spans="1:33" ht="12.75" customHeight="1">
      <c r="A39" s="25" t="s">
        <v>3759</v>
      </c>
      <c r="B39" s="821">
        <v>1072</v>
      </c>
      <c r="G39" s="461"/>
      <c r="H39" s="461"/>
      <c r="I39" s="461"/>
      <c r="J39" s="393">
        <v>0.43</v>
      </c>
      <c r="K39" s="393">
        <v>0</v>
      </c>
      <c r="L39" s="393">
        <v>0.23</v>
      </c>
      <c r="M39" s="393">
        <v>0</v>
      </c>
      <c r="N39" s="393">
        <v>0</v>
      </c>
      <c r="O39" s="393">
        <v>0</v>
      </c>
      <c r="P39" s="393">
        <v>0.19</v>
      </c>
      <c r="Q39" s="393">
        <v>0</v>
      </c>
      <c r="R39" s="393">
        <v>0</v>
      </c>
      <c r="S39" s="393">
        <v>0</v>
      </c>
      <c r="T39" s="393">
        <v>0</v>
      </c>
      <c r="U39" s="393">
        <v>0</v>
      </c>
      <c r="V39" s="393">
        <v>0</v>
      </c>
      <c r="W39" s="393">
        <v>0</v>
      </c>
      <c r="X39" s="393">
        <v>0</v>
      </c>
      <c r="Y39" s="1221">
        <v>0.01</v>
      </c>
      <c r="Z39" s="1221">
        <v>0.14000000000000001</v>
      </c>
      <c r="AA39" s="1221">
        <v>0</v>
      </c>
      <c r="AB39" s="1024">
        <f t="shared" si="34"/>
        <v>0.85000000000000009</v>
      </c>
      <c r="AC39" s="1218">
        <v>0.39120346525694033</v>
      </c>
      <c r="AD39" s="1218">
        <v>4.0803852410315367E-2</v>
      </c>
      <c r="AE39" s="550">
        <f>AB39*crop_feed_cnst!$C$7/100</f>
        <v>0.41799268233274439</v>
      </c>
      <c r="AG39" s="447">
        <f t="shared" si="33"/>
        <v>1.0000000000000002</v>
      </c>
    </row>
    <row r="40" spans="1:33" ht="12.75" customHeight="1">
      <c r="A40" s="25" t="s">
        <v>4812</v>
      </c>
      <c r="B40" s="821">
        <v>1079</v>
      </c>
      <c r="G40" s="461"/>
      <c r="H40" s="461"/>
      <c r="I40" s="461"/>
      <c r="J40" s="393">
        <v>0.43</v>
      </c>
      <c r="K40" s="393">
        <v>0</v>
      </c>
      <c r="L40" s="393">
        <v>0.23</v>
      </c>
      <c r="M40" s="393">
        <v>0</v>
      </c>
      <c r="N40" s="393">
        <v>0</v>
      </c>
      <c r="O40" s="393">
        <v>0</v>
      </c>
      <c r="P40" s="393">
        <v>0.19</v>
      </c>
      <c r="Q40" s="393">
        <v>0</v>
      </c>
      <c r="R40" s="393">
        <v>0</v>
      </c>
      <c r="S40" s="393">
        <v>0</v>
      </c>
      <c r="T40" s="393">
        <v>0</v>
      </c>
      <c r="U40" s="393">
        <v>0</v>
      </c>
      <c r="V40" s="393">
        <v>0</v>
      </c>
      <c r="W40" s="393">
        <v>0</v>
      </c>
      <c r="X40" s="393">
        <v>0</v>
      </c>
      <c r="Y40" s="1221">
        <v>0.01</v>
      </c>
      <c r="Z40" s="1218">
        <v>0.14000000000000001</v>
      </c>
      <c r="AA40" s="1221">
        <v>0</v>
      </c>
      <c r="AB40" s="1024">
        <f t="shared" si="34"/>
        <v>0.85000000000000009</v>
      </c>
      <c r="AC40" s="1218">
        <v>0.39120346525694033</v>
      </c>
      <c r="AD40" s="1218">
        <v>4.0803852410315367E-2</v>
      </c>
      <c r="AE40" s="550">
        <f>AB40*crop_feed_cnst!$C$7/100</f>
        <v>0.41799268233274439</v>
      </c>
      <c r="AG40" s="447">
        <f t="shared" si="33"/>
        <v>1.0000000000000002</v>
      </c>
    </row>
    <row r="41" spans="1:33" ht="12.75" customHeight="1">
      <c r="A41" s="138" t="s">
        <v>408</v>
      </c>
      <c r="B41" s="821">
        <v>1016</v>
      </c>
      <c r="G41" s="461"/>
      <c r="H41" s="461"/>
      <c r="I41" s="461"/>
      <c r="J41" s="393">
        <v>0</v>
      </c>
      <c r="K41" s="393">
        <v>0</v>
      </c>
      <c r="L41" s="393">
        <v>0</v>
      </c>
      <c r="M41" s="393">
        <v>0</v>
      </c>
      <c r="N41" s="393">
        <v>0</v>
      </c>
      <c r="O41" s="393">
        <v>0</v>
      </c>
      <c r="P41" s="393">
        <v>0</v>
      </c>
      <c r="Q41" s="393">
        <v>0</v>
      </c>
      <c r="R41" s="393">
        <v>0</v>
      </c>
      <c r="S41" s="393">
        <v>0</v>
      </c>
      <c r="T41" s="393">
        <v>0</v>
      </c>
      <c r="U41" s="393">
        <v>0</v>
      </c>
      <c r="V41" s="393">
        <v>0</v>
      </c>
      <c r="W41" s="393">
        <v>0</v>
      </c>
      <c r="X41" s="393">
        <v>0</v>
      </c>
      <c r="Y41" s="1221">
        <v>0</v>
      </c>
      <c r="Z41" s="1221">
        <v>0</v>
      </c>
      <c r="AA41" s="1221">
        <v>1</v>
      </c>
      <c r="AB41" s="1024">
        <f t="shared" si="34"/>
        <v>0</v>
      </c>
      <c r="AC41" s="1218">
        <v>0</v>
      </c>
      <c r="AD41" s="1218">
        <v>0</v>
      </c>
      <c r="AE41" s="550">
        <f>AB41*crop_feed_cnst!$C$7/100</f>
        <v>0</v>
      </c>
      <c r="AG41" s="447">
        <f t="shared" si="33"/>
        <v>1</v>
      </c>
    </row>
    <row r="42" spans="1:33" ht="12.75" customHeight="1">
      <c r="A42" s="138" t="s">
        <v>1750</v>
      </c>
      <c r="B42" s="821">
        <v>1034</v>
      </c>
      <c r="G42" s="461"/>
      <c r="H42" s="461"/>
      <c r="I42" s="461"/>
      <c r="J42" s="393">
        <v>0.52</v>
      </c>
      <c r="K42" s="393">
        <v>0</v>
      </c>
      <c r="L42" s="393">
        <v>0.15</v>
      </c>
      <c r="M42" s="393">
        <v>0.05</v>
      </c>
      <c r="N42" s="393">
        <v>0</v>
      </c>
      <c r="O42" s="393">
        <v>0</v>
      </c>
      <c r="P42" s="393">
        <v>0.12</v>
      </c>
      <c r="Q42" s="393">
        <v>0</v>
      </c>
      <c r="R42" s="393">
        <v>0</v>
      </c>
      <c r="S42" s="393">
        <v>0</v>
      </c>
      <c r="T42" s="393">
        <v>0</v>
      </c>
      <c r="U42" s="393">
        <v>0</v>
      </c>
      <c r="V42" s="393">
        <v>0</v>
      </c>
      <c r="W42" s="393">
        <v>0</v>
      </c>
      <c r="X42" s="393">
        <v>0</v>
      </c>
      <c r="Y42" s="1221">
        <v>0.01</v>
      </c>
      <c r="Z42" s="1221">
        <v>0.15</v>
      </c>
      <c r="AA42" s="1221">
        <v>0</v>
      </c>
      <c r="AB42" s="1024">
        <f t="shared" si="34"/>
        <v>0.84000000000000008</v>
      </c>
      <c r="AC42" s="1218">
        <v>0.38660107154803514</v>
      </c>
      <c r="AD42" s="1218">
        <v>4.0323807087841071E-2</v>
      </c>
      <c r="AE42" s="550">
        <f>AB42*crop_feed_cnst!$C$7/100</f>
        <v>0.41307512136412394</v>
      </c>
      <c r="AG42" s="447">
        <f t="shared" si="33"/>
        <v>1</v>
      </c>
    </row>
    <row r="43" spans="1:33" ht="12.75" customHeight="1">
      <c r="A43" s="138" t="s">
        <v>1961</v>
      </c>
      <c r="B43" s="821">
        <v>976</v>
      </c>
      <c r="G43" s="461"/>
      <c r="H43" s="461"/>
      <c r="I43" s="461"/>
      <c r="J43" s="393">
        <v>0</v>
      </c>
      <c r="K43" s="393">
        <v>0</v>
      </c>
      <c r="L43" s="393">
        <v>0</v>
      </c>
      <c r="M43" s="393">
        <v>0</v>
      </c>
      <c r="N43" s="393">
        <v>0</v>
      </c>
      <c r="O43" s="393">
        <v>0</v>
      </c>
      <c r="P43" s="393">
        <v>0</v>
      </c>
      <c r="Q43" s="393">
        <v>0</v>
      </c>
      <c r="R43" s="393">
        <v>0</v>
      </c>
      <c r="S43" s="393">
        <v>0</v>
      </c>
      <c r="T43" s="393">
        <v>0</v>
      </c>
      <c r="U43" s="393">
        <v>0</v>
      </c>
      <c r="V43" s="393">
        <v>0</v>
      </c>
      <c r="W43" s="393">
        <v>0</v>
      </c>
      <c r="X43" s="393">
        <v>0</v>
      </c>
      <c r="Y43" s="1221">
        <v>0</v>
      </c>
      <c r="Z43" s="1221">
        <v>0</v>
      </c>
      <c r="AA43" s="1221">
        <v>1</v>
      </c>
      <c r="AB43" s="1024">
        <f t="shared" si="34"/>
        <v>0</v>
      </c>
      <c r="AC43" s="1218">
        <v>0</v>
      </c>
      <c r="AD43" s="1218">
        <v>0</v>
      </c>
      <c r="AE43" s="550">
        <f>AB43*crop_feed_cnst!$C$7/100</f>
        <v>0</v>
      </c>
      <c r="AG43" s="447">
        <f t="shared" si="33"/>
        <v>1</v>
      </c>
    </row>
    <row r="44" spans="1:33" ht="12.75" customHeight="1">
      <c r="A44" s="25" t="s">
        <v>5071</v>
      </c>
      <c r="B44" s="821">
        <v>1126</v>
      </c>
      <c r="G44" s="461"/>
      <c r="H44" s="461"/>
      <c r="I44" s="461"/>
      <c r="J44" s="393">
        <v>0.1</v>
      </c>
      <c r="K44" s="393">
        <v>0.02</v>
      </c>
      <c r="L44" s="393">
        <v>0</v>
      </c>
      <c r="M44" s="393">
        <v>0.04</v>
      </c>
      <c r="N44" s="393">
        <v>0.02</v>
      </c>
      <c r="O44" s="393">
        <v>0</v>
      </c>
      <c r="P44" s="393">
        <v>0.02</v>
      </c>
      <c r="Q44" s="393">
        <v>0</v>
      </c>
      <c r="R44" s="393">
        <v>0</v>
      </c>
      <c r="S44" s="393">
        <v>0</v>
      </c>
      <c r="T44" s="393">
        <v>0</v>
      </c>
      <c r="U44" s="393">
        <v>0.01</v>
      </c>
      <c r="V44" s="393">
        <v>0</v>
      </c>
      <c r="W44" s="393">
        <v>0</v>
      </c>
      <c r="X44" s="393">
        <v>0</v>
      </c>
      <c r="Y44" s="1221">
        <v>0</v>
      </c>
      <c r="Z44" s="1221">
        <v>0.1</v>
      </c>
      <c r="AA44" s="1221">
        <v>0.69</v>
      </c>
      <c r="AB44" s="1024">
        <f t="shared" si="34"/>
        <v>0.21</v>
      </c>
      <c r="AC44" s="1218">
        <v>9.6650267887008784E-2</v>
      </c>
      <c r="AD44" s="1218">
        <v>1.0080951771960264E-2</v>
      </c>
      <c r="AE44" s="550">
        <f>AB44*crop_feed_cnst!$C$7/100</f>
        <v>0.10326878034103096</v>
      </c>
      <c r="AG44" s="447">
        <f t="shared" si="33"/>
        <v>0.99999999999999989</v>
      </c>
    </row>
    <row r="45" spans="1:33" ht="12.75" customHeight="1">
      <c r="A45" s="25" t="s">
        <v>3101</v>
      </c>
      <c r="B45" s="821">
        <v>1157</v>
      </c>
      <c r="G45" s="461"/>
      <c r="H45" s="461"/>
      <c r="I45" s="461"/>
      <c r="J45" s="393">
        <v>0.1</v>
      </c>
      <c r="K45" s="393">
        <v>0.02</v>
      </c>
      <c r="L45" s="393">
        <v>0</v>
      </c>
      <c r="M45" s="393">
        <v>0.04</v>
      </c>
      <c r="N45" s="393">
        <v>0.02</v>
      </c>
      <c r="O45" s="393">
        <v>0</v>
      </c>
      <c r="P45" s="393">
        <v>0.02</v>
      </c>
      <c r="Q45" s="393">
        <v>0</v>
      </c>
      <c r="R45" s="393">
        <v>0</v>
      </c>
      <c r="S45" s="393">
        <v>0</v>
      </c>
      <c r="T45" s="393">
        <v>0</v>
      </c>
      <c r="U45" s="393">
        <v>0.01</v>
      </c>
      <c r="V45" s="393">
        <v>0</v>
      </c>
      <c r="W45" s="393">
        <v>0</v>
      </c>
      <c r="X45" s="393">
        <v>0</v>
      </c>
      <c r="Y45" s="1221">
        <v>0</v>
      </c>
      <c r="Z45" s="1221">
        <v>0.1</v>
      </c>
      <c r="AA45" s="1221">
        <v>0.69</v>
      </c>
      <c r="AB45" s="1024">
        <f t="shared" si="34"/>
        <v>0.21</v>
      </c>
      <c r="AC45" s="1218">
        <v>9.6650267887008798E-2</v>
      </c>
      <c r="AD45" s="1218">
        <v>1.0080951771960264E-2</v>
      </c>
      <c r="AE45" s="550">
        <f>AB45*crop_feed_cnst!$C$7/100</f>
        <v>0.10326878034103096</v>
      </c>
      <c r="AG45" s="447">
        <f t="shared" si="33"/>
        <v>0.99999999999999989</v>
      </c>
    </row>
    <row r="46" spans="1:33" ht="12.75" customHeight="1">
      <c r="A46" s="25" t="s">
        <v>2783</v>
      </c>
      <c r="B46" s="821">
        <v>1096</v>
      </c>
      <c r="G46" s="461"/>
      <c r="H46" s="461"/>
      <c r="I46" s="461"/>
      <c r="J46" s="393">
        <v>0.1</v>
      </c>
      <c r="K46" s="393">
        <v>0.02</v>
      </c>
      <c r="L46" s="393">
        <v>0</v>
      </c>
      <c r="M46" s="393">
        <v>0.04</v>
      </c>
      <c r="N46" s="393">
        <v>0.02</v>
      </c>
      <c r="O46" s="393">
        <v>0</v>
      </c>
      <c r="P46" s="393">
        <v>0.02</v>
      </c>
      <c r="Q46" s="393">
        <v>0</v>
      </c>
      <c r="R46" s="393">
        <v>0</v>
      </c>
      <c r="S46" s="393">
        <v>0</v>
      </c>
      <c r="T46" s="393">
        <v>0</v>
      </c>
      <c r="U46" s="393">
        <v>0.01</v>
      </c>
      <c r="V46" s="393">
        <v>0</v>
      </c>
      <c r="W46" s="393">
        <v>0</v>
      </c>
      <c r="X46" s="393">
        <v>0</v>
      </c>
      <c r="Y46" s="1221">
        <v>0</v>
      </c>
      <c r="Z46" s="1221">
        <v>0.1</v>
      </c>
      <c r="AA46" s="1221">
        <v>0.69</v>
      </c>
      <c r="AB46" s="1024">
        <f t="shared" si="34"/>
        <v>0.21</v>
      </c>
      <c r="AC46" s="1218">
        <v>9.6650267887008784E-2</v>
      </c>
      <c r="AD46" s="1218">
        <v>1.0080951771960264E-2</v>
      </c>
      <c r="AE46" s="550">
        <f>AB46*crop_feed_cnst!$C$7/100</f>
        <v>0.10326878034103096</v>
      </c>
      <c r="AG46" s="447">
        <f t="shared" si="33"/>
        <v>0.99999999999999989</v>
      </c>
    </row>
    <row r="47" spans="1:33" ht="12.75" customHeight="1">
      <c r="A47" s="25" t="s">
        <v>5166</v>
      </c>
      <c r="B47" s="821">
        <v>1110</v>
      </c>
      <c r="G47" s="461"/>
      <c r="H47" s="461"/>
      <c r="I47" s="461"/>
      <c r="J47" s="393">
        <v>0.1</v>
      </c>
      <c r="K47" s="393">
        <v>0.02</v>
      </c>
      <c r="L47" s="393">
        <v>0</v>
      </c>
      <c r="M47" s="393">
        <v>0.04</v>
      </c>
      <c r="N47" s="393">
        <v>0.02</v>
      </c>
      <c r="O47" s="393">
        <v>0</v>
      </c>
      <c r="P47" s="393">
        <v>0.02</v>
      </c>
      <c r="Q47" s="393">
        <v>0</v>
      </c>
      <c r="R47" s="393">
        <v>0</v>
      </c>
      <c r="S47" s="393">
        <v>0</v>
      </c>
      <c r="T47" s="393">
        <v>0</v>
      </c>
      <c r="U47" s="393">
        <v>0.01</v>
      </c>
      <c r="V47" s="393">
        <v>0</v>
      </c>
      <c r="W47" s="393">
        <v>0</v>
      </c>
      <c r="X47" s="393">
        <v>0</v>
      </c>
      <c r="Y47" s="1221">
        <v>0</v>
      </c>
      <c r="Z47" s="1221">
        <v>0.1</v>
      </c>
      <c r="AA47" s="1221">
        <v>0.69</v>
      </c>
      <c r="AB47" s="1024">
        <f t="shared" si="34"/>
        <v>0.21</v>
      </c>
      <c r="AC47" s="1218">
        <v>9.6650267887008784E-2</v>
      </c>
      <c r="AD47" s="1218">
        <v>1.0080951771960264E-2</v>
      </c>
      <c r="AE47" s="550">
        <f>AB47*crop_feed_cnst!$C$7/100</f>
        <v>0.10326878034103096</v>
      </c>
      <c r="AG47" s="447">
        <f t="shared" si="33"/>
        <v>0.99999999999999989</v>
      </c>
    </row>
    <row r="48" spans="1:33" ht="12.75" customHeight="1">
      <c r="A48" s="25" t="s">
        <v>3389</v>
      </c>
      <c r="B48" s="821">
        <v>1107</v>
      </c>
      <c r="G48" s="461"/>
      <c r="H48" s="461"/>
      <c r="I48" s="461"/>
      <c r="J48" s="393">
        <v>0.1</v>
      </c>
      <c r="K48" s="393">
        <v>0.02</v>
      </c>
      <c r="L48" s="393">
        <v>0</v>
      </c>
      <c r="M48" s="393">
        <v>0.04</v>
      </c>
      <c r="N48" s="393">
        <v>0.02</v>
      </c>
      <c r="O48" s="393">
        <v>0</v>
      </c>
      <c r="P48" s="393">
        <v>0.02</v>
      </c>
      <c r="Q48" s="393">
        <v>0</v>
      </c>
      <c r="R48" s="393">
        <v>0</v>
      </c>
      <c r="S48" s="393">
        <v>0</v>
      </c>
      <c r="T48" s="393">
        <v>0</v>
      </c>
      <c r="U48" s="393">
        <v>0.01</v>
      </c>
      <c r="V48" s="393">
        <v>0</v>
      </c>
      <c r="W48" s="393">
        <v>0</v>
      </c>
      <c r="X48" s="393">
        <v>0</v>
      </c>
      <c r="Y48" s="1221">
        <v>0</v>
      </c>
      <c r="Z48" s="1221">
        <v>0.1</v>
      </c>
      <c r="AA48" s="1221">
        <v>0.69</v>
      </c>
      <c r="AB48" s="1024">
        <f t="shared" si="34"/>
        <v>0.21</v>
      </c>
      <c r="AC48" s="1218">
        <v>9.6650267887008784E-2</v>
      </c>
      <c r="AD48" s="1218">
        <v>1.0080951771960264E-2</v>
      </c>
      <c r="AE48" s="550">
        <f>AB48*crop_feed_cnst!$C$7/100</f>
        <v>0.10326878034103096</v>
      </c>
      <c r="AG48" s="447">
        <f t="shared" si="33"/>
        <v>0.99999999999999989</v>
      </c>
    </row>
    <row r="49" spans="1:33" ht="12.75" customHeight="1">
      <c r="A49" s="919" t="s">
        <v>3734</v>
      </c>
      <c r="B49" s="821">
        <v>1140</v>
      </c>
      <c r="G49" s="461"/>
      <c r="H49" s="461"/>
      <c r="I49" s="461"/>
      <c r="J49" s="393"/>
      <c r="K49" s="393"/>
      <c r="L49" s="393"/>
      <c r="M49" s="393"/>
      <c r="N49" s="393"/>
      <c r="O49" s="393"/>
      <c r="P49" s="393"/>
      <c r="Q49" s="393"/>
      <c r="R49" s="393"/>
      <c r="S49" s="393"/>
      <c r="T49" s="393"/>
      <c r="U49" s="393"/>
      <c r="V49" s="393"/>
      <c r="W49" s="393"/>
      <c r="X49" s="393"/>
      <c r="Y49" s="1221"/>
      <c r="Z49" s="1221"/>
      <c r="AA49" s="1221"/>
      <c r="AB49" s="1024">
        <f t="shared" si="34"/>
        <v>0</v>
      </c>
      <c r="AC49" s="1218">
        <v>0</v>
      </c>
      <c r="AD49" s="1218">
        <v>0</v>
      </c>
      <c r="AE49" s="550">
        <f>AB49*crop_feed_cnst!$C$7/100</f>
        <v>0</v>
      </c>
      <c r="AG49" s="447">
        <f t="shared" si="33"/>
        <v>0</v>
      </c>
    </row>
    <row r="50" spans="1:33" ht="12.75" customHeight="1">
      <c r="A50" s="919" t="s">
        <v>3103</v>
      </c>
      <c r="B50" s="821">
        <v>1150</v>
      </c>
      <c r="G50" s="461"/>
      <c r="H50" s="461"/>
      <c r="I50" s="461"/>
      <c r="J50" s="393"/>
      <c r="K50" s="393"/>
      <c r="L50" s="393"/>
      <c r="M50" s="393"/>
      <c r="N50" s="393"/>
      <c r="O50" s="393"/>
      <c r="P50" s="393"/>
      <c r="Q50" s="393"/>
      <c r="R50" s="393"/>
      <c r="S50" s="393"/>
      <c r="T50" s="393"/>
      <c r="U50" s="393"/>
      <c r="V50" s="393"/>
      <c r="W50" s="393"/>
      <c r="X50" s="393"/>
      <c r="Y50" s="1221"/>
      <c r="Z50" s="1221"/>
      <c r="AA50" s="1221"/>
      <c r="AB50" s="1024">
        <f t="shared" si="34"/>
        <v>0</v>
      </c>
      <c r="AC50" s="1218">
        <v>0</v>
      </c>
      <c r="AD50" s="1218">
        <v>0</v>
      </c>
      <c r="AE50" s="550">
        <f>AB50*crop_feed_cnst!$C$7/100</f>
        <v>0</v>
      </c>
      <c r="AG50" s="447">
        <f t="shared" si="33"/>
        <v>0</v>
      </c>
    </row>
    <row r="51" spans="1:33" ht="12.75" customHeight="1">
      <c r="A51" s="243" t="s">
        <v>5594</v>
      </c>
      <c r="B51" s="821">
        <v>882</v>
      </c>
      <c r="G51" s="461"/>
      <c r="H51" s="461"/>
      <c r="I51" s="461"/>
      <c r="J51" s="393">
        <v>0.1</v>
      </c>
      <c r="K51" s="393">
        <v>0.05</v>
      </c>
      <c r="L51" s="393">
        <v>0</v>
      </c>
      <c r="M51" s="393">
        <v>0.05</v>
      </c>
      <c r="N51" s="393">
        <v>0.02</v>
      </c>
      <c r="O51" s="393">
        <v>0</v>
      </c>
      <c r="P51" s="393">
        <v>0.02</v>
      </c>
      <c r="Q51" s="393">
        <v>0</v>
      </c>
      <c r="R51" s="393">
        <v>0</v>
      </c>
      <c r="S51" s="393">
        <v>0</v>
      </c>
      <c r="T51" s="393">
        <v>0</v>
      </c>
      <c r="U51" s="393">
        <v>0.01</v>
      </c>
      <c r="V51" s="393">
        <v>0</v>
      </c>
      <c r="W51" s="393">
        <v>0</v>
      </c>
      <c r="X51" s="393">
        <v>0</v>
      </c>
      <c r="Y51" s="1221">
        <v>0</v>
      </c>
      <c r="Z51" s="1221">
        <v>0.1</v>
      </c>
      <c r="AA51" s="1221">
        <v>0.65</v>
      </c>
      <c r="AB51" s="1024">
        <f t="shared" si="34"/>
        <v>0.25</v>
      </c>
      <c r="AC51" s="1218">
        <v>0.11505984272262949</v>
      </c>
      <c r="AD51" s="1218">
        <v>1.2001133061857459E-2</v>
      </c>
      <c r="AE51" s="550">
        <f>AB51*crop_feed_cnst!$C$7/100</f>
        <v>0.12293902421551305</v>
      </c>
      <c r="AG51" s="447">
        <f t="shared" si="33"/>
        <v>1</v>
      </c>
    </row>
    <row r="52" spans="1:33" ht="12.75" customHeight="1">
      <c r="A52" s="243" t="s">
        <v>1748</v>
      </c>
      <c r="B52" s="821">
        <v>1062</v>
      </c>
      <c r="G52" s="461"/>
      <c r="H52" s="461"/>
      <c r="I52" s="461"/>
      <c r="J52" s="393">
        <v>0.32718750000000002</v>
      </c>
      <c r="K52" s="393">
        <v>0.18271388888888901</v>
      </c>
      <c r="L52" s="393">
        <v>0</v>
      </c>
      <c r="M52" s="393">
        <v>0.17993055555555601</v>
      </c>
      <c r="N52" s="393">
        <v>1.1875E-2</v>
      </c>
      <c r="O52" s="393">
        <v>5.6944444444444403E-3</v>
      </c>
      <c r="P52" s="393">
        <v>7.5694444444444398E-2</v>
      </c>
      <c r="Q52" s="393">
        <v>0</v>
      </c>
      <c r="R52" s="393">
        <v>0</v>
      </c>
      <c r="S52" s="393">
        <v>1.348125E-2</v>
      </c>
      <c r="T52" s="393">
        <v>0</v>
      </c>
      <c r="U52" s="393">
        <v>7.0937500000000002E-3</v>
      </c>
      <c r="V52" s="393">
        <v>0</v>
      </c>
      <c r="W52" s="393">
        <v>1.13888888888889E-2</v>
      </c>
      <c r="X52" s="393">
        <v>2.1874999999999999E-2</v>
      </c>
      <c r="Y52" s="1221">
        <v>0</v>
      </c>
      <c r="Z52" s="1221">
        <v>0.16306527777777724</v>
      </c>
      <c r="AA52" s="1221">
        <v>0</v>
      </c>
      <c r="AB52" s="1024">
        <f t="shared" si="34"/>
        <v>0.83693472222222276</v>
      </c>
      <c r="AC52" s="1218">
        <v>0.38519031003198623</v>
      </c>
      <c r="AD52" s="1218">
        <v>4.0176659861910428E-2</v>
      </c>
      <c r="AE52" s="550">
        <f>AB52*crop_feed_cnst!$C$7/100</f>
        <v>0.41156775232832615</v>
      </c>
      <c r="AG52" s="447">
        <f t="shared" si="33"/>
        <v>0.99999999999999989</v>
      </c>
    </row>
    <row r="53" spans="1:33" ht="12.75" customHeight="1">
      <c r="A53" s="247" t="s">
        <v>3963</v>
      </c>
      <c r="B53" s="821">
        <v>1091</v>
      </c>
      <c r="G53" s="461"/>
      <c r="H53" s="461"/>
      <c r="I53" s="461"/>
      <c r="J53" s="393">
        <v>0.32718750000000002</v>
      </c>
      <c r="K53" s="393">
        <v>0.18271388888888901</v>
      </c>
      <c r="L53" s="393">
        <v>0</v>
      </c>
      <c r="M53" s="393">
        <v>0.17993055555555601</v>
      </c>
      <c r="N53" s="393">
        <v>1.1875E-2</v>
      </c>
      <c r="O53" s="393">
        <v>5.6944444444444403E-3</v>
      </c>
      <c r="P53" s="393">
        <v>7.5694444444444398E-2</v>
      </c>
      <c r="Q53" s="393">
        <v>0</v>
      </c>
      <c r="R53" s="393">
        <v>0</v>
      </c>
      <c r="S53" s="393">
        <v>1.348125E-2</v>
      </c>
      <c r="T53" s="393">
        <v>0</v>
      </c>
      <c r="U53" s="393">
        <v>7.0937500000000002E-3</v>
      </c>
      <c r="V53" s="393">
        <v>0</v>
      </c>
      <c r="W53" s="393">
        <v>1.13888888888889E-2</v>
      </c>
      <c r="X53" s="393">
        <v>2.1874999999999999E-2</v>
      </c>
      <c r="Y53" s="1221">
        <v>0</v>
      </c>
      <c r="Z53" s="1221">
        <v>0.16306527777777724</v>
      </c>
      <c r="AA53" s="1221">
        <v>0</v>
      </c>
      <c r="AB53" s="1024">
        <f t="shared" si="34"/>
        <v>0.83693472222222276</v>
      </c>
      <c r="AC53" s="1218">
        <v>0.38519031003198623</v>
      </c>
      <c r="AD53" s="1218">
        <v>4.0176659861910428E-2</v>
      </c>
      <c r="AE53" s="550">
        <f>AB53*crop_feed_cnst!$C$7/100</f>
        <v>0.41156775232832615</v>
      </c>
      <c r="AG53" s="447">
        <f t="shared" si="33"/>
        <v>0.99999999999999989</v>
      </c>
    </row>
    <row r="54" spans="1:33" ht="12.75" customHeight="1">
      <c r="A54" s="243" t="s">
        <v>4632</v>
      </c>
      <c r="B54" s="821">
        <v>951</v>
      </c>
      <c r="G54" s="461"/>
      <c r="H54" s="461"/>
      <c r="I54" s="461"/>
      <c r="J54" s="393">
        <v>0.1</v>
      </c>
      <c r="K54" s="393">
        <v>0.02</v>
      </c>
      <c r="L54" s="393">
        <v>0</v>
      </c>
      <c r="M54" s="393">
        <v>0.04</v>
      </c>
      <c r="N54" s="393">
        <v>0.02</v>
      </c>
      <c r="O54" s="393">
        <v>0</v>
      </c>
      <c r="P54" s="393">
        <v>0.02</v>
      </c>
      <c r="Q54" s="393">
        <v>0</v>
      </c>
      <c r="R54" s="393">
        <v>0</v>
      </c>
      <c r="S54" s="393">
        <v>0</v>
      </c>
      <c r="T54" s="393">
        <v>0</v>
      </c>
      <c r="U54" s="393">
        <v>0.01</v>
      </c>
      <c r="V54" s="393">
        <v>0</v>
      </c>
      <c r="W54" s="393">
        <v>0</v>
      </c>
      <c r="X54" s="393">
        <v>0</v>
      </c>
      <c r="Y54" s="1221">
        <v>0</v>
      </c>
      <c r="Z54" s="1221">
        <v>0.1</v>
      </c>
      <c r="AA54" s="1221">
        <v>0.69</v>
      </c>
      <c r="AB54" s="1024">
        <f t="shared" si="34"/>
        <v>0.21</v>
      </c>
      <c r="AC54" s="1218">
        <v>9.6650267887008784E-2</v>
      </c>
      <c r="AD54" s="1218">
        <v>1.0080951771960264E-2</v>
      </c>
      <c r="AE54" s="550">
        <f>AB54*crop_feed_cnst!$C$7/100</f>
        <v>0.10326878034103096</v>
      </c>
      <c r="AG54" s="447">
        <f t="shared" si="33"/>
        <v>0.99999999999999989</v>
      </c>
    </row>
    <row r="55" spans="1:33" ht="12.75" customHeight="1">
      <c r="A55" s="247" t="s">
        <v>1956</v>
      </c>
      <c r="B55" s="821">
        <v>982</v>
      </c>
      <c r="G55" s="461"/>
      <c r="H55" s="461"/>
      <c r="I55" s="461"/>
      <c r="J55" s="393">
        <v>0.1</v>
      </c>
      <c r="K55" s="393">
        <v>0.05</v>
      </c>
      <c r="L55" s="393">
        <v>0</v>
      </c>
      <c r="M55" s="393">
        <v>0.05</v>
      </c>
      <c r="N55" s="393">
        <v>0.02</v>
      </c>
      <c r="O55" s="393">
        <v>0</v>
      </c>
      <c r="P55" s="393">
        <v>0.02</v>
      </c>
      <c r="Q55" s="393">
        <v>0</v>
      </c>
      <c r="R55" s="393">
        <v>0</v>
      </c>
      <c r="S55" s="393">
        <v>0</v>
      </c>
      <c r="T55" s="393">
        <v>0</v>
      </c>
      <c r="U55" s="393">
        <v>0.01</v>
      </c>
      <c r="V55" s="393">
        <v>0</v>
      </c>
      <c r="W55" s="393">
        <v>0</v>
      </c>
      <c r="X55" s="393">
        <v>0</v>
      </c>
      <c r="Y55" s="1221">
        <v>0</v>
      </c>
      <c r="Z55" s="1221">
        <v>0.1</v>
      </c>
      <c r="AA55" s="1221">
        <v>0.65</v>
      </c>
      <c r="AB55" s="1024">
        <f t="shared" si="34"/>
        <v>0.25</v>
      </c>
      <c r="AC55" s="1218">
        <v>0.11505984272262949</v>
      </c>
      <c r="AD55" s="1218">
        <v>1.2001133061857459E-2</v>
      </c>
      <c r="AE55" s="550">
        <f>AB55*crop_feed_cnst!$C$7/100</f>
        <v>0.12293902421551305</v>
      </c>
      <c r="AG55" s="447">
        <f t="shared" si="33"/>
        <v>1</v>
      </c>
    </row>
    <row r="56" spans="1:33" ht="12.75" customHeight="1">
      <c r="A56" s="248" t="s">
        <v>1960</v>
      </c>
      <c r="B56" s="807">
        <v>987</v>
      </c>
      <c r="G56" s="461"/>
      <c r="H56" s="461"/>
      <c r="I56" s="461"/>
      <c r="J56" s="481">
        <v>0</v>
      </c>
      <c r="K56" s="481">
        <v>0</v>
      </c>
      <c r="L56" s="481">
        <v>0</v>
      </c>
      <c r="M56" s="481">
        <v>0</v>
      </c>
      <c r="N56" s="481">
        <v>0</v>
      </c>
      <c r="O56" s="481">
        <v>0</v>
      </c>
      <c r="P56" s="481">
        <v>0</v>
      </c>
      <c r="Q56" s="481">
        <v>0</v>
      </c>
      <c r="R56" s="481">
        <v>0</v>
      </c>
      <c r="S56" s="481">
        <v>0</v>
      </c>
      <c r="T56" s="481">
        <v>0</v>
      </c>
      <c r="U56" s="481">
        <v>0</v>
      </c>
      <c r="V56" s="481">
        <v>0</v>
      </c>
      <c r="W56" s="481">
        <v>0</v>
      </c>
      <c r="X56" s="481">
        <v>0</v>
      </c>
      <c r="Y56" s="1202">
        <v>0</v>
      </c>
      <c r="Z56" s="1202">
        <v>0</v>
      </c>
      <c r="AA56" s="1202">
        <v>1</v>
      </c>
      <c r="AB56" s="1025">
        <f t="shared" si="34"/>
        <v>0</v>
      </c>
      <c r="AC56" s="1219">
        <v>0</v>
      </c>
      <c r="AD56" s="1219">
        <v>0</v>
      </c>
      <c r="AE56" s="551">
        <f>AB56*crop_feed_cnst!$C$7/100</f>
        <v>0</v>
      </c>
      <c r="AG56" s="447">
        <f t="shared" si="33"/>
        <v>1</v>
      </c>
    </row>
    <row r="59" spans="1:33" ht="12.75" customHeight="1">
      <c r="A59" s="446" t="s">
        <v>1608</v>
      </c>
    </row>
    <row r="60" spans="1:33" ht="12.75" customHeight="1">
      <c r="A60" s="222" t="s">
        <v>2036</v>
      </c>
      <c r="B60" s="223" t="s">
        <v>2019</v>
      </c>
      <c r="J60" s="536" t="s">
        <v>2175</v>
      </c>
      <c r="K60" s="536" t="s">
        <v>3210</v>
      </c>
      <c r="L60" s="536" t="s">
        <v>4620</v>
      </c>
      <c r="M60" s="536" t="s">
        <v>1214</v>
      </c>
      <c r="N60" s="536" t="s">
        <v>627</v>
      </c>
      <c r="O60" s="536" t="s">
        <v>4664</v>
      </c>
      <c r="P60" s="536" t="s">
        <v>2805</v>
      </c>
      <c r="Q60" s="536" t="s">
        <v>804</v>
      </c>
      <c r="R60" s="536" t="s">
        <v>5568</v>
      </c>
      <c r="S60" s="536" t="s">
        <v>5561</v>
      </c>
      <c r="T60" s="536" t="s">
        <v>4621</v>
      </c>
      <c r="U60" s="536" t="s">
        <v>4622</v>
      </c>
      <c r="V60" s="536" t="s">
        <v>4623</v>
      </c>
      <c r="W60" s="536" t="s">
        <v>4624</v>
      </c>
      <c r="X60" s="536" t="s">
        <v>4625</v>
      </c>
    </row>
    <row r="61" spans="1:33" ht="12.75" customHeight="1">
      <c r="A61" s="440" t="s">
        <v>548</v>
      </c>
      <c r="B61" s="441" t="s">
        <v>548</v>
      </c>
      <c r="J61" s="549" t="s">
        <v>1601</v>
      </c>
      <c r="K61" s="549" t="s">
        <v>1601</v>
      </c>
      <c r="L61" s="549" t="s">
        <v>1601</v>
      </c>
      <c r="M61" s="549" t="s">
        <v>1601</v>
      </c>
      <c r="N61" s="549" t="s">
        <v>1601</v>
      </c>
      <c r="O61" s="549" t="s">
        <v>1601</v>
      </c>
      <c r="P61" s="549" t="s">
        <v>1601</v>
      </c>
      <c r="Q61" s="549" t="s">
        <v>1601</v>
      </c>
      <c r="R61" s="549" t="s">
        <v>1601</v>
      </c>
      <c r="S61" s="549" t="s">
        <v>1601</v>
      </c>
      <c r="T61" s="549" t="s">
        <v>1601</v>
      </c>
      <c r="U61" s="549" t="s">
        <v>1601</v>
      </c>
      <c r="V61" s="549" t="s">
        <v>1601</v>
      </c>
      <c r="W61" s="549" t="s">
        <v>1601</v>
      </c>
      <c r="X61" s="549" t="s">
        <v>1601</v>
      </c>
    </row>
    <row r="62" spans="1:33" ht="12.75" customHeight="1">
      <c r="A62" s="135" t="s">
        <v>2276</v>
      </c>
      <c r="B62" s="822">
        <v>946</v>
      </c>
      <c r="J62" s="1217">
        <v>4.9175609686205227E-2</v>
      </c>
      <c r="K62" s="1217">
        <v>9.8351219372410439E-3</v>
      </c>
      <c r="L62" s="1217">
        <v>0</v>
      </c>
      <c r="M62" s="1217">
        <v>1.9670243874482088E-2</v>
      </c>
      <c r="N62" s="1217">
        <v>9.8351219372410439E-3</v>
      </c>
      <c r="O62" s="1217">
        <v>0</v>
      </c>
      <c r="P62" s="1217">
        <v>9.8351219372410439E-3</v>
      </c>
      <c r="Q62" s="1217">
        <v>0</v>
      </c>
      <c r="R62" s="1217">
        <v>0</v>
      </c>
      <c r="S62" s="1217">
        <v>0</v>
      </c>
      <c r="T62" s="1217">
        <v>0</v>
      </c>
      <c r="U62" s="1217">
        <v>4.917560968620522E-3</v>
      </c>
      <c r="V62" s="1217">
        <v>0</v>
      </c>
      <c r="W62" s="1217">
        <v>0</v>
      </c>
      <c r="X62" s="1217">
        <v>0</v>
      </c>
    </row>
    <row r="63" spans="1:33" ht="12.75" customHeight="1">
      <c r="A63" s="138" t="s">
        <v>4828</v>
      </c>
      <c r="B63" s="821">
        <v>866</v>
      </c>
      <c r="J63" s="1218">
        <v>4.9175609686205227E-2</v>
      </c>
      <c r="K63" s="1218">
        <v>9.8351219372410439E-3</v>
      </c>
      <c r="L63" s="1218">
        <v>0</v>
      </c>
      <c r="M63" s="1218">
        <v>1.9670243874482088E-2</v>
      </c>
      <c r="N63" s="1218">
        <v>9.8351219372410439E-3</v>
      </c>
      <c r="O63" s="1218">
        <v>0</v>
      </c>
      <c r="P63" s="1218">
        <v>9.8351219372410439E-3</v>
      </c>
      <c r="Q63" s="1218">
        <v>0</v>
      </c>
      <c r="R63" s="1218">
        <v>0</v>
      </c>
      <c r="S63" s="1218">
        <v>0</v>
      </c>
      <c r="T63" s="1218">
        <v>0</v>
      </c>
      <c r="U63" s="1218">
        <v>4.917560968620522E-3</v>
      </c>
      <c r="V63" s="1218">
        <v>0</v>
      </c>
      <c r="W63" s="1218">
        <v>0</v>
      </c>
      <c r="X63" s="1218">
        <v>0</v>
      </c>
    </row>
    <row r="64" spans="1:33" ht="12.75" customHeight="1">
      <c r="A64" s="138" t="s">
        <v>4710</v>
      </c>
      <c r="B64" s="821">
        <v>1057</v>
      </c>
      <c r="J64" s="1218">
        <v>0.21145512165068245</v>
      </c>
      <c r="K64" s="1218">
        <v>0</v>
      </c>
      <c r="L64" s="1218">
        <v>0.11310390227827201</v>
      </c>
      <c r="M64" s="1218">
        <v>0</v>
      </c>
      <c r="N64" s="1218">
        <v>0</v>
      </c>
      <c r="O64" s="1218">
        <v>0</v>
      </c>
      <c r="P64" s="1218">
        <v>9.3433658403789921E-2</v>
      </c>
      <c r="Q64" s="1218">
        <v>0</v>
      </c>
      <c r="R64" s="1218">
        <v>0</v>
      </c>
      <c r="S64" s="1218">
        <v>0</v>
      </c>
      <c r="T64" s="1218">
        <v>0</v>
      </c>
      <c r="U64" s="1218">
        <v>0</v>
      </c>
      <c r="V64" s="1218">
        <v>0</v>
      </c>
      <c r="W64" s="1218">
        <v>0</v>
      </c>
      <c r="X64" s="1218">
        <v>0</v>
      </c>
    </row>
    <row r="65" spans="1:24" ht="12.75" customHeight="1">
      <c r="A65" s="25" t="s">
        <v>3200</v>
      </c>
      <c r="B65" s="821">
        <v>1068</v>
      </c>
      <c r="J65" s="1218">
        <v>0.21145512165068245</v>
      </c>
      <c r="K65" s="1218">
        <v>0</v>
      </c>
      <c r="L65" s="1218">
        <v>0.11310390227827201</v>
      </c>
      <c r="M65" s="1218">
        <v>0</v>
      </c>
      <c r="N65" s="1218">
        <v>0</v>
      </c>
      <c r="O65" s="1218">
        <v>0</v>
      </c>
      <c r="P65" s="1218">
        <v>9.3433658403789921E-2</v>
      </c>
      <c r="Q65" s="1218">
        <v>0</v>
      </c>
      <c r="R65" s="1218">
        <v>0</v>
      </c>
      <c r="S65" s="1218">
        <v>0</v>
      </c>
      <c r="T65" s="1218">
        <v>0</v>
      </c>
      <c r="U65" s="1218">
        <v>0</v>
      </c>
      <c r="V65" s="1218">
        <v>0</v>
      </c>
      <c r="W65" s="1218">
        <v>0</v>
      </c>
      <c r="X65" s="1218">
        <v>0</v>
      </c>
    </row>
    <row r="66" spans="1:24" ht="12.75" customHeight="1">
      <c r="A66" s="25" t="s">
        <v>3759</v>
      </c>
      <c r="B66" s="821">
        <v>1072</v>
      </c>
      <c r="J66" s="1218">
        <v>0.21145512165068245</v>
      </c>
      <c r="K66" s="1218">
        <v>0</v>
      </c>
      <c r="L66" s="1218">
        <v>0.11310390227827201</v>
      </c>
      <c r="M66" s="1218">
        <v>0</v>
      </c>
      <c r="N66" s="1218">
        <v>0</v>
      </c>
      <c r="O66" s="1218">
        <v>0</v>
      </c>
      <c r="P66" s="1218">
        <v>9.3433658403789921E-2</v>
      </c>
      <c r="Q66" s="1218">
        <v>0</v>
      </c>
      <c r="R66" s="1218">
        <v>0</v>
      </c>
      <c r="S66" s="1218">
        <v>0</v>
      </c>
      <c r="T66" s="1218">
        <v>0</v>
      </c>
      <c r="U66" s="1218">
        <v>0</v>
      </c>
      <c r="V66" s="1218">
        <v>0</v>
      </c>
      <c r="W66" s="1218">
        <v>0</v>
      </c>
      <c r="X66" s="1218">
        <v>0</v>
      </c>
    </row>
    <row r="67" spans="1:24" ht="12.75" customHeight="1">
      <c r="A67" s="25" t="s">
        <v>4812</v>
      </c>
      <c r="B67" s="821">
        <v>1079</v>
      </c>
      <c r="J67" s="1218">
        <v>0.21145512165068245</v>
      </c>
      <c r="K67" s="1218">
        <v>0</v>
      </c>
      <c r="L67" s="1218">
        <v>0.11310390227827201</v>
      </c>
      <c r="M67" s="1218">
        <v>0</v>
      </c>
      <c r="N67" s="1218">
        <v>0</v>
      </c>
      <c r="O67" s="1218">
        <v>0</v>
      </c>
      <c r="P67" s="1218">
        <v>9.3433658403789921E-2</v>
      </c>
      <c r="Q67" s="1218">
        <v>0</v>
      </c>
      <c r="R67" s="1218">
        <v>0</v>
      </c>
      <c r="S67" s="1218">
        <v>0</v>
      </c>
      <c r="T67" s="1218">
        <v>0</v>
      </c>
      <c r="U67" s="1218">
        <v>0</v>
      </c>
      <c r="V67" s="1218">
        <v>0</v>
      </c>
      <c r="W67" s="1218">
        <v>0</v>
      </c>
      <c r="X67" s="1218">
        <v>0</v>
      </c>
    </row>
    <row r="68" spans="1:24" ht="12.75" customHeight="1">
      <c r="A68" s="138" t="s">
        <v>408</v>
      </c>
      <c r="B68" s="821">
        <v>1016</v>
      </c>
      <c r="J68" s="1218">
        <v>0</v>
      </c>
      <c r="K68" s="1218">
        <v>0</v>
      </c>
      <c r="L68" s="1218">
        <v>0</v>
      </c>
      <c r="M68" s="1218">
        <v>0</v>
      </c>
      <c r="N68" s="1218">
        <v>0</v>
      </c>
      <c r="O68" s="1218">
        <v>0</v>
      </c>
      <c r="P68" s="1218">
        <v>0</v>
      </c>
      <c r="Q68" s="1218">
        <v>0</v>
      </c>
      <c r="R68" s="1218">
        <v>0</v>
      </c>
      <c r="S68" s="1218">
        <v>0</v>
      </c>
      <c r="T68" s="1218">
        <v>0</v>
      </c>
      <c r="U68" s="1218">
        <v>0</v>
      </c>
      <c r="V68" s="1218">
        <v>0</v>
      </c>
      <c r="W68" s="1218">
        <v>0</v>
      </c>
      <c r="X68" s="1218">
        <v>0</v>
      </c>
    </row>
    <row r="69" spans="1:24" ht="12.75" customHeight="1">
      <c r="A69" s="138" t="s">
        <v>1750</v>
      </c>
      <c r="B69" s="821">
        <v>1034</v>
      </c>
      <c r="J69" s="1218">
        <v>0.25571317036826718</v>
      </c>
      <c r="K69" s="1218">
        <v>0</v>
      </c>
      <c r="L69" s="1218">
        <v>7.3763414529307833E-2</v>
      </c>
      <c r="M69" s="1218">
        <v>2.4587804843102617E-2</v>
      </c>
      <c r="N69" s="1218">
        <v>0</v>
      </c>
      <c r="O69" s="1218">
        <v>0</v>
      </c>
      <c r="P69" s="1218">
        <v>5.9010731623446271E-2</v>
      </c>
      <c r="Q69" s="1218">
        <v>0</v>
      </c>
      <c r="R69" s="1218">
        <v>0</v>
      </c>
      <c r="S69" s="1218">
        <v>0</v>
      </c>
      <c r="T69" s="1218">
        <v>0</v>
      </c>
      <c r="U69" s="1218">
        <v>0</v>
      </c>
      <c r="V69" s="1218">
        <v>0</v>
      </c>
      <c r="W69" s="1218">
        <v>0</v>
      </c>
      <c r="X69" s="1218">
        <v>0</v>
      </c>
    </row>
    <row r="70" spans="1:24" ht="12.75" customHeight="1">
      <c r="A70" s="138" t="s">
        <v>1961</v>
      </c>
      <c r="B70" s="821">
        <v>976</v>
      </c>
      <c r="J70" s="1218">
        <v>0</v>
      </c>
      <c r="K70" s="1218">
        <v>0</v>
      </c>
      <c r="L70" s="1218">
        <v>0</v>
      </c>
      <c r="M70" s="1218">
        <v>0</v>
      </c>
      <c r="N70" s="1218">
        <v>0</v>
      </c>
      <c r="O70" s="1218">
        <v>0</v>
      </c>
      <c r="P70" s="1218">
        <v>0</v>
      </c>
      <c r="Q70" s="1218">
        <v>0</v>
      </c>
      <c r="R70" s="1218">
        <v>0</v>
      </c>
      <c r="S70" s="1218">
        <v>0</v>
      </c>
      <c r="T70" s="1218">
        <v>0</v>
      </c>
      <c r="U70" s="1218">
        <v>0</v>
      </c>
      <c r="V70" s="1218">
        <v>0</v>
      </c>
      <c r="W70" s="1218">
        <v>0</v>
      </c>
      <c r="X70" s="1218">
        <v>0</v>
      </c>
    </row>
    <row r="71" spans="1:24" ht="12.75" customHeight="1">
      <c r="A71" s="25" t="s">
        <v>5071</v>
      </c>
      <c r="B71" s="821">
        <v>1126</v>
      </c>
      <c r="J71" s="1218">
        <v>4.9175609686205227E-2</v>
      </c>
      <c r="K71" s="1218">
        <v>9.8351219372410439E-3</v>
      </c>
      <c r="L71" s="1218">
        <v>0</v>
      </c>
      <c r="M71" s="1218">
        <v>1.9670243874482088E-2</v>
      </c>
      <c r="N71" s="1218">
        <v>9.8351219372410439E-3</v>
      </c>
      <c r="O71" s="1218">
        <v>0</v>
      </c>
      <c r="P71" s="1218">
        <v>9.8351219372410439E-3</v>
      </c>
      <c r="Q71" s="1218">
        <v>0</v>
      </c>
      <c r="R71" s="1218">
        <v>0</v>
      </c>
      <c r="S71" s="1218">
        <v>0</v>
      </c>
      <c r="T71" s="1218">
        <v>0</v>
      </c>
      <c r="U71" s="1218">
        <v>4.917560968620522E-3</v>
      </c>
      <c r="V71" s="1218">
        <v>0</v>
      </c>
      <c r="W71" s="1218">
        <v>0</v>
      </c>
      <c r="X71" s="1218">
        <v>0</v>
      </c>
    </row>
    <row r="72" spans="1:24" ht="12.75" customHeight="1">
      <c r="A72" s="25" t="s">
        <v>3101</v>
      </c>
      <c r="B72" s="821">
        <v>1157</v>
      </c>
      <c r="J72" s="1218">
        <v>4.9175609686205227E-2</v>
      </c>
      <c r="K72" s="1218">
        <v>9.8351219372410439E-3</v>
      </c>
      <c r="L72" s="1218">
        <v>0</v>
      </c>
      <c r="M72" s="1218">
        <v>1.9670243874482088E-2</v>
      </c>
      <c r="N72" s="1218">
        <v>9.8351219372410439E-3</v>
      </c>
      <c r="O72" s="1218">
        <v>0</v>
      </c>
      <c r="P72" s="1218">
        <v>9.8351219372410439E-3</v>
      </c>
      <c r="Q72" s="1218">
        <v>0</v>
      </c>
      <c r="R72" s="1218">
        <v>0</v>
      </c>
      <c r="S72" s="1218">
        <v>0</v>
      </c>
      <c r="T72" s="1218">
        <v>0</v>
      </c>
      <c r="U72" s="1218">
        <v>4.917560968620522E-3</v>
      </c>
      <c r="V72" s="1218">
        <v>0</v>
      </c>
      <c r="W72" s="1218">
        <v>0</v>
      </c>
      <c r="X72" s="1218">
        <v>0</v>
      </c>
    </row>
    <row r="73" spans="1:24" ht="12.75" customHeight="1">
      <c r="A73" s="25" t="s">
        <v>2783</v>
      </c>
      <c r="B73" s="821">
        <v>1096</v>
      </c>
      <c r="J73" s="1218">
        <v>4.9175609686205227E-2</v>
      </c>
      <c r="K73" s="1218">
        <v>9.8351219372410439E-3</v>
      </c>
      <c r="L73" s="1218">
        <v>0</v>
      </c>
      <c r="M73" s="1218">
        <v>1.9670243874482088E-2</v>
      </c>
      <c r="N73" s="1218">
        <v>9.8351219372410439E-3</v>
      </c>
      <c r="O73" s="1218">
        <v>0</v>
      </c>
      <c r="P73" s="1218">
        <v>9.8351219372410439E-3</v>
      </c>
      <c r="Q73" s="1218">
        <v>0</v>
      </c>
      <c r="R73" s="1218">
        <v>0</v>
      </c>
      <c r="S73" s="1218">
        <v>0</v>
      </c>
      <c r="T73" s="1218">
        <v>0</v>
      </c>
      <c r="U73" s="1218">
        <v>4.917560968620522E-3</v>
      </c>
      <c r="V73" s="1218">
        <v>0</v>
      </c>
      <c r="W73" s="1218">
        <v>0</v>
      </c>
      <c r="X73" s="1218">
        <v>0</v>
      </c>
    </row>
    <row r="74" spans="1:24" ht="12.75" customHeight="1">
      <c r="A74" s="25" t="s">
        <v>5166</v>
      </c>
      <c r="B74" s="821">
        <v>1110</v>
      </c>
      <c r="J74" s="1218">
        <v>4.9175609686205227E-2</v>
      </c>
      <c r="K74" s="1218">
        <v>9.8351219372410439E-3</v>
      </c>
      <c r="L74" s="1218">
        <v>0</v>
      </c>
      <c r="M74" s="1218">
        <v>1.9670243874482088E-2</v>
      </c>
      <c r="N74" s="1218">
        <v>9.8351219372410439E-3</v>
      </c>
      <c r="O74" s="1218">
        <v>0</v>
      </c>
      <c r="P74" s="1218">
        <v>9.8351219372410439E-3</v>
      </c>
      <c r="Q74" s="1218">
        <v>0</v>
      </c>
      <c r="R74" s="1218">
        <v>0</v>
      </c>
      <c r="S74" s="1218">
        <v>0</v>
      </c>
      <c r="T74" s="1218">
        <v>0</v>
      </c>
      <c r="U74" s="1218">
        <v>4.917560968620522E-3</v>
      </c>
      <c r="V74" s="1218">
        <v>0</v>
      </c>
      <c r="W74" s="1218">
        <v>0</v>
      </c>
      <c r="X74" s="1218">
        <v>0</v>
      </c>
    </row>
    <row r="75" spans="1:24" ht="12.75" customHeight="1">
      <c r="A75" s="25" t="s">
        <v>3389</v>
      </c>
      <c r="B75" s="821">
        <v>1107</v>
      </c>
      <c r="J75" s="1218">
        <v>4.9175609686205227E-2</v>
      </c>
      <c r="K75" s="1218">
        <v>9.8351219372410439E-3</v>
      </c>
      <c r="L75" s="1218">
        <v>0</v>
      </c>
      <c r="M75" s="1218">
        <v>1.9670243874482088E-2</v>
      </c>
      <c r="N75" s="1218">
        <v>9.8351219372410439E-3</v>
      </c>
      <c r="O75" s="1218">
        <v>0</v>
      </c>
      <c r="P75" s="1218">
        <v>9.8351219372410439E-3</v>
      </c>
      <c r="Q75" s="1218">
        <v>0</v>
      </c>
      <c r="R75" s="1218">
        <v>0</v>
      </c>
      <c r="S75" s="1218">
        <v>0</v>
      </c>
      <c r="T75" s="1218">
        <v>0</v>
      </c>
      <c r="U75" s="1218">
        <v>4.917560968620522E-3</v>
      </c>
      <c r="V75" s="1218">
        <v>0</v>
      </c>
      <c r="W75" s="1218">
        <v>0</v>
      </c>
      <c r="X75" s="1218">
        <v>0</v>
      </c>
    </row>
    <row r="76" spans="1:24" ht="12.75" customHeight="1">
      <c r="A76" s="316" t="s">
        <v>3734</v>
      </c>
      <c r="B76" s="823">
        <v>1140</v>
      </c>
      <c r="J76" s="1218">
        <v>0</v>
      </c>
      <c r="K76" s="1218">
        <v>0</v>
      </c>
      <c r="L76" s="1218">
        <v>0</v>
      </c>
      <c r="M76" s="1218">
        <v>0</v>
      </c>
      <c r="N76" s="1218">
        <v>0</v>
      </c>
      <c r="O76" s="1218">
        <v>0</v>
      </c>
      <c r="P76" s="1218">
        <v>0</v>
      </c>
      <c r="Q76" s="1218">
        <v>0</v>
      </c>
      <c r="R76" s="1218">
        <v>0</v>
      </c>
      <c r="S76" s="1218">
        <v>0</v>
      </c>
      <c r="T76" s="1218">
        <v>0</v>
      </c>
      <c r="U76" s="1218">
        <v>0</v>
      </c>
      <c r="V76" s="1218">
        <v>0</v>
      </c>
      <c r="W76" s="1218">
        <v>0</v>
      </c>
      <c r="X76" s="1218">
        <v>0</v>
      </c>
    </row>
    <row r="77" spans="1:24" ht="12.75" customHeight="1">
      <c r="A77" s="316" t="s">
        <v>3103</v>
      </c>
      <c r="B77" s="823">
        <v>1150</v>
      </c>
      <c r="J77" s="1218">
        <v>0</v>
      </c>
      <c r="K77" s="1218">
        <v>0</v>
      </c>
      <c r="L77" s="1218">
        <v>0</v>
      </c>
      <c r="M77" s="1218">
        <v>0</v>
      </c>
      <c r="N77" s="1218">
        <v>0</v>
      </c>
      <c r="O77" s="1218">
        <v>0</v>
      </c>
      <c r="P77" s="1218">
        <v>0</v>
      </c>
      <c r="Q77" s="1218">
        <v>0</v>
      </c>
      <c r="R77" s="1218">
        <v>0</v>
      </c>
      <c r="S77" s="1218">
        <v>0</v>
      </c>
      <c r="T77" s="1218">
        <v>0</v>
      </c>
      <c r="U77" s="1218">
        <v>0</v>
      </c>
      <c r="V77" s="1218">
        <v>0</v>
      </c>
      <c r="W77" s="1218">
        <v>0</v>
      </c>
      <c r="X77" s="1218">
        <v>0</v>
      </c>
    </row>
    <row r="78" spans="1:24" ht="12.75" customHeight="1">
      <c r="A78" s="243" t="s">
        <v>5594</v>
      </c>
      <c r="B78" s="821">
        <v>882</v>
      </c>
      <c r="J78" s="1218">
        <v>4.917560968620522E-2</v>
      </c>
      <c r="K78" s="1218">
        <v>2.458780484310261E-2</v>
      </c>
      <c r="L78" s="1218">
        <v>0</v>
      </c>
      <c r="M78" s="1218">
        <v>2.458780484310261E-2</v>
      </c>
      <c r="N78" s="1218">
        <v>9.8351219372410439E-3</v>
      </c>
      <c r="O78" s="1218">
        <v>0</v>
      </c>
      <c r="P78" s="1218">
        <v>9.8351219372410439E-3</v>
      </c>
      <c r="Q78" s="1218">
        <v>0</v>
      </c>
      <c r="R78" s="1218">
        <v>0</v>
      </c>
      <c r="S78" s="1218">
        <v>0</v>
      </c>
      <c r="T78" s="1218">
        <v>0</v>
      </c>
      <c r="U78" s="1218">
        <v>4.917560968620522E-3</v>
      </c>
      <c r="V78" s="1218">
        <v>0</v>
      </c>
      <c r="W78" s="1218">
        <v>0</v>
      </c>
      <c r="X78" s="1218">
        <v>0</v>
      </c>
    </row>
    <row r="79" spans="1:24" ht="12.75" customHeight="1">
      <c r="A79" s="243" t="s">
        <v>1748</v>
      </c>
      <c r="B79" s="821">
        <v>1062</v>
      </c>
      <c r="J79" s="1218">
        <v>0.16089644794205271</v>
      </c>
      <c r="K79" s="1218">
        <v>8.9850668842486742E-2</v>
      </c>
      <c r="L79" s="1218">
        <v>0</v>
      </c>
      <c r="M79" s="1218">
        <v>8.8481947706220865E-2</v>
      </c>
      <c r="N79" s="1218">
        <v>5.8396036502368701E-3</v>
      </c>
      <c r="O79" s="1218">
        <v>2.8002777737977953E-3</v>
      </c>
      <c r="P79" s="1218">
        <v>3.722320455414143E-2</v>
      </c>
      <c r="Q79" s="1218">
        <v>0</v>
      </c>
      <c r="R79" s="1218">
        <v>0</v>
      </c>
      <c r="S79" s="1218">
        <v>6.629486880821542E-3</v>
      </c>
      <c r="T79" s="1218">
        <v>0</v>
      </c>
      <c r="U79" s="1218">
        <v>3.488394812115183E-3</v>
      </c>
      <c r="V79" s="1218">
        <v>0</v>
      </c>
      <c r="W79" s="1218">
        <v>5.6005555475956001E-3</v>
      </c>
      <c r="X79" s="1218">
        <v>1.0757164618857392E-2</v>
      </c>
    </row>
    <row r="80" spans="1:24" ht="12.75" customHeight="1">
      <c r="A80" s="247" t="s">
        <v>3963</v>
      </c>
      <c r="B80" s="821">
        <v>1091</v>
      </c>
      <c r="J80" s="1218">
        <v>0.16089644794205271</v>
      </c>
      <c r="K80" s="1218">
        <v>8.9850668842486742E-2</v>
      </c>
      <c r="L80" s="1218">
        <v>0</v>
      </c>
      <c r="M80" s="1218">
        <v>8.8481947706220865E-2</v>
      </c>
      <c r="N80" s="1218">
        <v>5.8396036502368701E-3</v>
      </c>
      <c r="O80" s="1218">
        <v>2.8002777737977953E-3</v>
      </c>
      <c r="P80" s="1218">
        <v>3.722320455414143E-2</v>
      </c>
      <c r="Q80" s="1218">
        <v>0</v>
      </c>
      <c r="R80" s="1218">
        <v>0</v>
      </c>
      <c r="S80" s="1218">
        <v>6.629486880821542E-3</v>
      </c>
      <c r="T80" s="1218">
        <v>0</v>
      </c>
      <c r="U80" s="1218">
        <v>3.488394812115183E-3</v>
      </c>
      <c r="V80" s="1218">
        <v>0</v>
      </c>
      <c r="W80" s="1218">
        <v>5.6005555475956001E-3</v>
      </c>
      <c r="X80" s="1218">
        <v>1.0757164618857392E-2</v>
      </c>
    </row>
    <row r="81" spans="1:24" ht="12.75" customHeight="1">
      <c r="A81" s="243" t="s">
        <v>4632</v>
      </c>
      <c r="B81" s="821">
        <v>951</v>
      </c>
      <c r="J81" s="1218">
        <v>4.9175609686205227E-2</v>
      </c>
      <c r="K81" s="1218">
        <v>9.8351219372410439E-3</v>
      </c>
      <c r="L81" s="1218">
        <v>0</v>
      </c>
      <c r="M81" s="1218">
        <v>1.9670243874482088E-2</v>
      </c>
      <c r="N81" s="1218">
        <v>9.8351219372410439E-3</v>
      </c>
      <c r="O81" s="1218">
        <v>0</v>
      </c>
      <c r="P81" s="1218">
        <v>9.8351219372410439E-3</v>
      </c>
      <c r="Q81" s="1218">
        <v>0</v>
      </c>
      <c r="R81" s="1218">
        <v>0</v>
      </c>
      <c r="S81" s="1218">
        <v>0</v>
      </c>
      <c r="T81" s="1218">
        <v>0</v>
      </c>
      <c r="U81" s="1218">
        <v>4.917560968620522E-3</v>
      </c>
      <c r="V81" s="1218">
        <v>0</v>
      </c>
      <c r="W81" s="1218">
        <v>0</v>
      </c>
      <c r="X81" s="1218">
        <v>0</v>
      </c>
    </row>
    <row r="82" spans="1:24" ht="12.75" customHeight="1">
      <c r="A82" s="247" t="s">
        <v>1956</v>
      </c>
      <c r="B82" s="821">
        <v>982</v>
      </c>
      <c r="J82" s="1218">
        <v>4.917560968620522E-2</v>
      </c>
      <c r="K82" s="1218">
        <v>2.458780484310261E-2</v>
      </c>
      <c r="L82" s="1218">
        <v>0</v>
      </c>
      <c r="M82" s="1218">
        <v>2.458780484310261E-2</v>
      </c>
      <c r="N82" s="1218">
        <v>9.8351219372410439E-3</v>
      </c>
      <c r="O82" s="1218">
        <v>0</v>
      </c>
      <c r="P82" s="1218">
        <v>9.8351219372410439E-3</v>
      </c>
      <c r="Q82" s="1218">
        <v>0</v>
      </c>
      <c r="R82" s="1218">
        <v>0</v>
      </c>
      <c r="S82" s="1218">
        <v>0</v>
      </c>
      <c r="T82" s="1218">
        <v>0</v>
      </c>
      <c r="U82" s="1218">
        <v>4.917560968620522E-3</v>
      </c>
      <c r="V82" s="1218">
        <v>0</v>
      </c>
      <c r="W82" s="1218">
        <v>0</v>
      </c>
      <c r="X82" s="1218">
        <v>0</v>
      </c>
    </row>
    <row r="83" spans="1:24" ht="12.75" customHeight="1">
      <c r="A83" s="248" t="s">
        <v>1960</v>
      </c>
      <c r="B83" s="807">
        <v>987</v>
      </c>
      <c r="J83" s="1219">
        <v>0</v>
      </c>
      <c r="K83" s="1219">
        <v>0</v>
      </c>
      <c r="L83" s="1219">
        <v>0</v>
      </c>
      <c r="M83" s="1219">
        <v>0</v>
      </c>
      <c r="N83" s="1219">
        <v>0</v>
      </c>
      <c r="O83" s="1219">
        <v>0</v>
      </c>
      <c r="P83" s="1219">
        <v>0</v>
      </c>
      <c r="Q83" s="1219">
        <v>0</v>
      </c>
      <c r="R83" s="1219">
        <v>0</v>
      </c>
      <c r="S83" s="1219">
        <v>0</v>
      </c>
      <c r="T83" s="1219">
        <v>0</v>
      </c>
      <c r="U83" s="1219">
        <v>0</v>
      </c>
      <c r="V83" s="1219">
        <v>0</v>
      </c>
      <c r="W83" s="1219">
        <v>0</v>
      </c>
      <c r="X83" s="1219">
        <v>0</v>
      </c>
    </row>
  </sheetData>
  <phoneticPr fontId="5" type="noConversion"/>
  <conditionalFormatting sqref="I7:AC28">
    <cfRule type="cellIs" dxfId="9" priority="1" stopIfTrue="1" operator="equal">
      <formula>0</formula>
    </cfRule>
  </conditionalFormatting>
  <hyperlinks>
    <hyperlink ref="C3" location="feed_demand_n!A1" tooltip="Go to feed_demand_n" display="feed_demand_n"/>
    <hyperlink ref="D3" location="livestock_intensity_w" tooltip="Go to livestock_intensity_w" display="livestock_intensity_w"/>
    <hyperlink ref="E3" location="livestock_feed_ef_n!A1" display="livestock_feed_ef_n"/>
    <hyperlink ref="D2" location="crop_feed_cnst!A1" display="crop_feed_cnst"/>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5" enableFormatConditionsCalculation="0">
    <tabColor indexed="52"/>
  </sheetPr>
  <dimension ref="A1:E10"/>
  <sheetViews>
    <sheetView workbookViewId="0">
      <selection activeCell="A65536" sqref="A65536"/>
    </sheetView>
  </sheetViews>
  <sheetFormatPr baseColWidth="10" defaultColWidth="9.1640625" defaultRowHeight="12" x14ac:dyDescent="0"/>
  <cols>
    <col min="1" max="1" width="50.6640625" style="604" customWidth="1"/>
    <col min="2" max="5" width="21.6640625" style="604" customWidth="1"/>
    <col min="6" max="16384" width="9.1640625" style="921"/>
  </cols>
  <sheetData>
    <row r="1" spans="1:5">
      <c r="A1" s="124"/>
      <c r="B1" s="124"/>
      <c r="C1" s="124"/>
      <c r="D1" s="124"/>
      <c r="E1" s="124"/>
    </row>
    <row r="2" spans="1:5">
      <c r="A2" s="124"/>
      <c r="B2" s="54" t="s">
        <v>1005</v>
      </c>
      <c r="C2" s="600" t="s">
        <v>1813</v>
      </c>
      <c r="D2" s="124"/>
      <c r="E2" s="124"/>
    </row>
    <row r="3" spans="1:5">
      <c r="A3" s="124"/>
      <c r="B3" s="54" t="s">
        <v>1006</v>
      </c>
      <c r="C3" s="1064" t="s">
        <v>1818</v>
      </c>
      <c r="D3" s="1064" t="s">
        <v>1821</v>
      </c>
      <c r="E3" s="1064" t="s">
        <v>2119</v>
      </c>
    </row>
    <row r="4" spans="1:5">
      <c r="A4" s="124"/>
      <c r="B4" s="124"/>
      <c r="C4" s="1064"/>
      <c r="D4" s="1064"/>
      <c r="E4" s="1064"/>
    </row>
    <row r="5" spans="1:5">
      <c r="A5" s="552" t="s">
        <v>6351</v>
      </c>
      <c r="B5" s="241" t="s">
        <v>1600</v>
      </c>
      <c r="C5" s="241" t="s">
        <v>1601</v>
      </c>
      <c r="D5" s="242" t="s">
        <v>599</v>
      </c>
      <c r="E5" s="124"/>
    </row>
    <row r="6" spans="1:5">
      <c r="A6" s="655"/>
      <c r="B6" s="656" t="s">
        <v>3105</v>
      </c>
      <c r="C6" s="656" t="s">
        <v>548</v>
      </c>
      <c r="D6" s="657" t="s">
        <v>947</v>
      </c>
      <c r="E6" s="124"/>
    </row>
    <row r="7" spans="1:5">
      <c r="A7" s="578" t="s">
        <v>1602</v>
      </c>
      <c r="B7" s="646">
        <v>1038321000</v>
      </c>
      <c r="C7" s="647">
        <v>49.17560968620522</v>
      </c>
      <c r="D7" s="674" t="s">
        <v>6394</v>
      </c>
      <c r="E7" s="124"/>
    </row>
    <row r="8" spans="1:5">
      <c r="A8" s="528" t="s">
        <v>1603</v>
      </c>
      <c r="B8" s="474">
        <v>971774843</v>
      </c>
      <c r="C8" s="475">
        <v>46.023937089051799</v>
      </c>
      <c r="D8" s="476">
        <v>8.9845353419586493E-2</v>
      </c>
      <c r="E8" s="124"/>
    </row>
    <row r="9" spans="1:5">
      <c r="A9" s="528" t="s">
        <v>1604</v>
      </c>
      <c r="B9" s="474">
        <v>101359422.37573498</v>
      </c>
      <c r="C9" s="475">
        <v>4.8004532247429834</v>
      </c>
      <c r="D9" s="673" t="s">
        <v>6394</v>
      </c>
      <c r="E9" s="124"/>
    </row>
    <row r="10" spans="1:5">
      <c r="A10" s="675" t="s">
        <v>1605</v>
      </c>
      <c r="B10" s="477">
        <v>2111455265.375735</v>
      </c>
      <c r="C10" s="478">
        <v>100</v>
      </c>
      <c r="D10" s="672" t="s">
        <v>6394</v>
      </c>
      <c r="E10" s="124"/>
    </row>
  </sheetData>
  <phoneticPr fontId="50" type="noConversion"/>
  <hyperlinks>
    <hyperlink ref="C3" location="feed_intensity_w!A1" tooltip="Go to feed_intensity_w" display="feed_intensity_w"/>
    <hyperlink ref="D3" location="feed_mix_w!A1" display="feed_mix_w"/>
    <hyperlink ref="E3" location="crop_trade_yield_w!A1" display="crop_trade_yield_w"/>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enableFormatConditionsCalculation="0">
    <tabColor rgb="FFFF9900"/>
    <pageSetUpPr autoPageBreaks="0"/>
  </sheetPr>
  <dimension ref="A1:P598"/>
  <sheetViews>
    <sheetView workbookViewId="0">
      <pane xSplit="2" ySplit="6" topLeftCell="C7" activePane="bottomRight" state="frozen"/>
      <selection pane="topRight" activeCell="C1" sqref="C1"/>
      <selection pane="bottomLeft" activeCell="A7" sqref="A7"/>
      <selection pane="bottomRight" activeCell="A65536" sqref="A65536"/>
    </sheetView>
  </sheetViews>
  <sheetFormatPr baseColWidth="10" defaultColWidth="9.1640625" defaultRowHeight="12" x14ac:dyDescent="0"/>
  <cols>
    <col min="1" max="1" width="51.33203125" style="1070" customWidth="1"/>
    <col min="2" max="2" width="10.83203125" style="1070" customWidth="1"/>
    <col min="3" max="3" width="8.1640625" style="1070" customWidth="1"/>
    <col min="4" max="4" width="15.6640625" style="1070" customWidth="1"/>
    <col min="5" max="5" width="20" style="1070" customWidth="1"/>
    <col min="6" max="6" width="17.5" style="1070" customWidth="1"/>
    <col min="7" max="7" width="10.5" style="1070" customWidth="1"/>
    <col min="8" max="8" width="14.83203125" style="1070" customWidth="1"/>
    <col min="9" max="9" width="11.5" style="1071" customWidth="1"/>
    <col min="10" max="10" width="12" style="1070" bestFit="1" customWidth="1"/>
    <col min="11" max="11" width="12.33203125" style="1070" customWidth="1"/>
    <col min="12" max="12" width="13.5" style="1070" customWidth="1"/>
    <col min="13" max="14" width="12.1640625" style="1070" bestFit="1" customWidth="1"/>
    <col min="15" max="15" width="9.6640625" style="1070" customWidth="1"/>
    <col min="16" max="16" width="34.1640625" style="1072" customWidth="1"/>
    <col min="17" max="16384" width="9.1640625" style="1070"/>
  </cols>
  <sheetData>
    <row r="1" spans="1:16">
      <c r="A1" s="796"/>
      <c r="B1" s="796"/>
    </row>
    <row r="2" spans="1:16">
      <c r="A2" s="796"/>
      <c r="C2" s="876" t="s">
        <v>1005</v>
      </c>
      <c r="E2" s="1064"/>
      <c r="F2" s="1064"/>
      <c r="G2" s="1064"/>
      <c r="H2" s="1064"/>
      <c r="I2" s="1064"/>
      <c r="J2" s="1071"/>
    </row>
    <row r="3" spans="1:16">
      <c r="A3" s="796"/>
      <c r="C3" s="876" t="s">
        <v>1006</v>
      </c>
      <c r="E3" s="1064" t="s">
        <v>1818</v>
      </c>
      <c r="F3" s="1064" t="s">
        <v>1822</v>
      </c>
      <c r="G3" s="1064" t="s">
        <v>7178</v>
      </c>
      <c r="H3" s="1064" t="s">
        <v>2119</v>
      </c>
      <c r="I3" s="1064"/>
      <c r="J3" s="1071"/>
    </row>
    <row r="4" spans="1:16">
      <c r="A4" s="796"/>
      <c r="B4" s="796"/>
    </row>
    <row r="5" spans="1:16">
      <c r="A5" s="1332" t="s">
        <v>5970</v>
      </c>
      <c r="B5" s="1333" t="s">
        <v>7740</v>
      </c>
      <c r="C5" s="1333" t="s">
        <v>6197</v>
      </c>
      <c r="D5" s="1333" t="s">
        <v>7435</v>
      </c>
      <c r="E5" s="1333" t="s">
        <v>6213</v>
      </c>
      <c r="F5" s="1333" t="s">
        <v>1446</v>
      </c>
      <c r="G5" s="1332" t="s">
        <v>7737</v>
      </c>
      <c r="H5" s="1333" t="s">
        <v>7434</v>
      </c>
      <c r="I5" s="1333" t="s">
        <v>6202</v>
      </c>
      <c r="J5" s="1334" t="s">
        <v>5966</v>
      </c>
      <c r="K5" s="1332" t="s">
        <v>4873</v>
      </c>
      <c r="L5" s="1333" t="s">
        <v>2656</v>
      </c>
      <c r="M5" s="1333" t="s">
        <v>6203</v>
      </c>
      <c r="N5" s="1334" t="s">
        <v>7741</v>
      </c>
      <c r="O5" s="1335" t="s">
        <v>5967</v>
      </c>
      <c r="P5" s="1334" t="s">
        <v>7738</v>
      </c>
    </row>
    <row r="6" spans="1:16">
      <c r="A6" s="1336" t="s">
        <v>548</v>
      </c>
      <c r="B6" s="1640" t="s">
        <v>548</v>
      </c>
      <c r="C6" s="1640" t="s">
        <v>548</v>
      </c>
      <c r="D6" s="1640" t="s">
        <v>548</v>
      </c>
      <c r="E6" s="1640" t="s">
        <v>548</v>
      </c>
      <c r="F6" s="1640" t="s">
        <v>548</v>
      </c>
      <c r="G6" s="1336" t="s">
        <v>548</v>
      </c>
      <c r="H6" s="1640" t="s">
        <v>548</v>
      </c>
      <c r="I6" s="1640" t="s">
        <v>548</v>
      </c>
      <c r="J6" s="441" t="s">
        <v>1831</v>
      </c>
      <c r="K6" s="440" t="s">
        <v>3105</v>
      </c>
      <c r="L6" s="1640" t="s">
        <v>7804</v>
      </c>
      <c r="M6" s="1640" t="s">
        <v>7806</v>
      </c>
      <c r="N6" s="1640" t="s">
        <v>7805</v>
      </c>
      <c r="O6" s="1331" t="s">
        <v>1847</v>
      </c>
      <c r="P6" s="1337" t="s">
        <v>548</v>
      </c>
    </row>
    <row r="7" spans="1:16">
      <c r="A7" s="1034" t="s">
        <v>1214</v>
      </c>
      <c r="B7" s="826">
        <v>15</v>
      </c>
      <c r="C7" s="1035">
        <v>1</v>
      </c>
      <c r="D7" s="1035">
        <v>15</v>
      </c>
      <c r="E7" s="1035" t="s">
        <v>1214</v>
      </c>
      <c r="F7" s="1035"/>
      <c r="G7" s="1035"/>
      <c r="H7" s="1035" t="str">
        <f>F7&amp;G7</f>
        <v/>
      </c>
      <c r="I7" s="1035" t="str">
        <f>IFERROR(VLOOKUP(F7,$A$7:$B$590,2,FALSE),"")</f>
        <v/>
      </c>
      <c r="J7" s="1114"/>
      <c r="K7" s="1314">
        <v>147206000</v>
      </c>
      <c r="L7" s="1073">
        <v>51184300</v>
      </c>
      <c r="M7" s="1074">
        <v>0.34770525657921603</v>
      </c>
      <c r="N7" s="1315" t="str">
        <f>IF(ISBLANK(J7),"",J7*M7)</f>
        <v/>
      </c>
      <c r="O7" s="1324">
        <f>IF(ISBLANK(F7),1,J7/(N7/SUMIF(H$7:H$601,H7,N$7:N$601))*VLOOKUP(F7,A$7:O$601,15,FALSE))</f>
        <v>1</v>
      </c>
      <c r="P7" s="1321">
        <v>2011</v>
      </c>
    </row>
    <row r="8" spans="1:16">
      <c r="A8" s="1034" t="s">
        <v>7266</v>
      </c>
      <c r="B8" s="826">
        <v>16</v>
      </c>
      <c r="C8" s="1035">
        <v>2</v>
      </c>
      <c r="D8" s="1035">
        <v>15</v>
      </c>
      <c r="E8" s="1035" t="s">
        <v>1214</v>
      </c>
      <c r="F8" s="1035" t="s">
        <v>1214</v>
      </c>
      <c r="G8" s="1035" t="s">
        <v>6204</v>
      </c>
      <c r="H8" s="1035" t="str">
        <f t="shared" ref="H8:H71" si="0">F8&amp;G8</f>
        <v>Wheata</v>
      </c>
      <c r="I8" s="1035">
        <f t="shared" ref="I8:I71" si="1">IFERROR(VLOOKUP(F8,$A$7:$B$590,2,FALSE),"")</f>
        <v>15</v>
      </c>
      <c r="J8" s="1114">
        <v>0.79</v>
      </c>
      <c r="K8" s="1314">
        <v>12893500</v>
      </c>
      <c r="L8" s="1073">
        <v>5915520</v>
      </c>
      <c r="M8" s="1074">
        <v>0.45879861945941802</v>
      </c>
      <c r="N8" s="1315">
        <f t="shared" ref="N8:N71" si="2">IF(ISBLANK(J8),"",J8*M8)</f>
        <v>0.36245090937294028</v>
      </c>
      <c r="O8" s="1325">
        <f t="shared" ref="O8:O71" si="3">IF(ISBLANK(F8),1,J8/(N8/SUMIF(H$7:H$601,H8,N$7:N$601))*VLOOKUP(F8,A$7:O$601,15,FALSE))</f>
        <v>0.9053857362898009</v>
      </c>
      <c r="P8" s="1321">
        <v>2011</v>
      </c>
    </row>
    <row r="9" spans="1:16">
      <c r="A9" s="1034" t="s">
        <v>5061</v>
      </c>
      <c r="B9" s="826">
        <v>17</v>
      </c>
      <c r="C9" s="1035">
        <v>2</v>
      </c>
      <c r="D9" s="1035">
        <v>15</v>
      </c>
      <c r="E9" s="1035" t="s">
        <v>1214</v>
      </c>
      <c r="F9" s="1035" t="s">
        <v>1214</v>
      </c>
      <c r="G9" s="1035" t="s">
        <v>6204</v>
      </c>
      <c r="H9" s="1035" t="str">
        <f t="shared" si="0"/>
        <v>Wheata</v>
      </c>
      <c r="I9" s="1035">
        <f t="shared" si="1"/>
        <v>15</v>
      </c>
      <c r="J9" s="1114">
        <v>0.18</v>
      </c>
      <c r="K9" s="1314">
        <v>4287150</v>
      </c>
      <c r="L9" s="1073">
        <v>923021</v>
      </c>
      <c r="M9" s="1074">
        <v>0.21529944135381299</v>
      </c>
      <c r="N9" s="1315">
        <f t="shared" si="2"/>
        <v>3.8753899443686339E-2</v>
      </c>
      <c r="O9" s="1325">
        <f t="shared" si="3"/>
        <v>1.9293581222320844</v>
      </c>
      <c r="P9" s="1321">
        <v>2011</v>
      </c>
    </row>
    <row r="10" spans="1:16">
      <c r="A10" s="1034" t="s">
        <v>1397</v>
      </c>
      <c r="B10" s="826">
        <v>18</v>
      </c>
      <c r="C10" s="1035">
        <v>3</v>
      </c>
      <c r="D10" s="1035">
        <v>15</v>
      </c>
      <c r="E10" s="1035" t="s">
        <v>1214</v>
      </c>
      <c r="F10" s="1035" t="s">
        <v>7266</v>
      </c>
      <c r="G10" s="1035" t="s">
        <v>6204</v>
      </c>
      <c r="H10" s="1035" t="str">
        <f t="shared" si="0"/>
        <v>Flour, wheata</v>
      </c>
      <c r="I10" s="1035">
        <f t="shared" si="1"/>
        <v>16</v>
      </c>
      <c r="J10" s="1114">
        <v>1</v>
      </c>
      <c r="K10" s="1314">
        <v>3342400</v>
      </c>
      <c r="L10" s="1073">
        <v>4251340</v>
      </c>
      <c r="M10" s="1074">
        <v>1.2719423168980399</v>
      </c>
      <c r="N10" s="1315">
        <f t="shared" si="2"/>
        <v>1.2719423168980399</v>
      </c>
      <c r="O10" s="1325">
        <f t="shared" si="3"/>
        <v>0.9053857362898009</v>
      </c>
      <c r="P10" s="1321">
        <v>2011</v>
      </c>
    </row>
    <row r="11" spans="1:16">
      <c r="A11" s="1034" t="s">
        <v>93</v>
      </c>
      <c r="B11" s="826">
        <v>19</v>
      </c>
      <c r="C11" s="1035">
        <v>2</v>
      </c>
      <c r="D11" s="1035">
        <v>15</v>
      </c>
      <c r="E11" s="1035" t="s">
        <v>1214</v>
      </c>
      <c r="F11" s="1035" t="s">
        <v>1214</v>
      </c>
      <c r="G11" s="1035" t="s">
        <v>6204</v>
      </c>
      <c r="H11" s="1035" t="str">
        <f t="shared" si="0"/>
        <v>Wheata</v>
      </c>
      <c r="I11" s="1035">
        <f t="shared" si="1"/>
        <v>15</v>
      </c>
      <c r="J11" s="1114">
        <v>0.02</v>
      </c>
      <c r="K11" s="1314" t="s">
        <v>7436</v>
      </c>
      <c r="L11" s="1073" t="s">
        <v>7437</v>
      </c>
      <c r="M11" s="1074">
        <v>0.70924585356913772</v>
      </c>
      <c r="N11" s="1315">
        <f t="shared" si="2"/>
        <v>1.4184917071382754E-2</v>
      </c>
      <c r="O11" s="1325">
        <f t="shared" si="3"/>
        <v>0.58567804633279663</v>
      </c>
      <c r="P11" s="1321" t="s">
        <v>7739</v>
      </c>
    </row>
    <row r="12" spans="1:16">
      <c r="A12" s="1034" t="s">
        <v>5065</v>
      </c>
      <c r="B12" s="826">
        <v>20</v>
      </c>
      <c r="C12" s="1035">
        <v>3</v>
      </c>
      <c r="D12" s="1035">
        <v>15</v>
      </c>
      <c r="E12" s="1035" t="s">
        <v>1214</v>
      </c>
      <c r="F12" s="1035" t="s">
        <v>7266</v>
      </c>
      <c r="G12" s="1035" t="s">
        <v>6205</v>
      </c>
      <c r="H12" s="1035" t="str">
        <f t="shared" si="0"/>
        <v>Flour, wheatb</v>
      </c>
      <c r="I12" s="1035">
        <f t="shared" si="1"/>
        <v>16</v>
      </c>
      <c r="J12" s="1114">
        <v>1.1499999999999999</v>
      </c>
      <c r="K12" s="1314">
        <v>1237480</v>
      </c>
      <c r="L12" s="1073">
        <v>2666800</v>
      </c>
      <c r="M12" s="1074">
        <v>2.15502472767237</v>
      </c>
      <c r="N12" s="1315">
        <f t="shared" si="2"/>
        <v>2.4782784368232251</v>
      </c>
      <c r="O12" s="1325">
        <f t="shared" si="3"/>
        <v>1.0411935967332711</v>
      </c>
      <c r="P12" s="1321">
        <v>2011</v>
      </c>
    </row>
    <row r="13" spans="1:16">
      <c r="A13" s="1034" t="s">
        <v>5069</v>
      </c>
      <c r="B13" s="826">
        <v>21</v>
      </c>
      <c r="C13" s="1035">
        <v>2</v>
      </c>
      <c r="D13" s="1035">
        <v>15</v>
      </c>
      <c r="E13" s="1035" t="s">
        <v>1214</v>
      </c>
      <c r="F13" s="1035" t="s">
        <v>1214</v>
      </c>
      <c r="G13" s="1035" t="s">
        <v>6205</v>
      </c>
      <c r="H13" s="1035" t="str">
        <f t="shared" si="0"/>
        <v>Wheatb</v>
      </c>
      <c r="I13" s="1035">
        <f t="shared" si="1"/>
        <v>15</v>
      </c>
      <c r="J13" s="1114">
        <v>0.95</v>
      </c>
      <c r="K13" s="1314">
        <v>14058</v>
      </c>
      <c r="L13" s="1073">
        <v>8163</v>
      </c>
      <c r="M13" s="1074">
        <v>0.58066581306017895</v>
      </c>
      <c r="N13" s="1315">
        <f t="shared" si="2"/>
        <v>0.55163252240716998</v>
      </c>
      <c r="O13" s="1325">
        <f t="shared" si="3"/>
        <v>0.95</v>
      </c>
      <c r="P13" s="1321">
        <v>2011</v>
      </c>
    </row>
    <row r="14" spans="1:16">
      <c r="A14" s="1034" t="s">
        <v>5398</v>
      </c>
      <c r="B14" s="826">
        <v>22</v>
      </c>
      <c r="C14" s="1035">
        <v>3</v>
      </c>
      <c r="D14" s="1035">
        <v>15</v>
      </c>
      <c r="E14" s="1035" t="s">
        <v>1214</v>
      </c>
      <c r="F14" s="1035" t="s">
        <v>7266</v>
      </c>
      <c r="G14" s="1035" t="s">
        <v>6206</v>
      </c>
      <c r="H14" s="1035" t="str">
        <f t="shared" si="0"/>
        <v>Flour, wheatc</v>
      </c>
      <c r="I14" s="1035">
        <f t="shared" si="1"/>
        <v>16</v>
      </c>
      <c r="J14" s="1114">
        <v>1.1499999999999999</v>
      </c>
      <c r="K14" s="1314">
        <v>6958050</v>
      </c>
      <c r="L14" s="1073">
        <v>22542300</v>
      </c>
      <c r="M14" s="1074">
        <v>3.23974389376334</v>
      </c>
      <c r="N14" s="1315">
        <f t="shared" si="2"/>
        <v>3.7257054778278409</v>
      </c>
      <c r="O14" s="1325">
        <f t="shared" si="3"/>
        <v>1.0411935967332711</v>
      </c>
      <c r="P14" s="1321">
        <v>2011</v>
      </c>
    </row>
    <row r="15" spans="1:16">
      <c r="A15" s="1034" t="s">
        <v>5566</v>
      </c>
      <c r="B15" s="826">
        <v>27</v>
      </c>
      <c r="C15" s="1035">
        <v>1</v>
      </c>
      <c r="D15" s="1035">
        <v>27</v>
      </c>
      <c r="E15" s="1035" t="s">
        <v>5566</v>
      </c>
      <c r="F15" s="1035"/>
      <c r="G15" s="1035"/>
      <c r="H15" s="1035" t="str">
        <f t="shared" si="0"/>
        <v/>
      </c>
      <c r="I15" s="1035" t="str">
        <f t="shared" si="1"/>
        <v/>
      </c>
      <c r="J15" s="1114"/>
      <c r="K15" s="1314" t="s">
        <v>7438</v>
      </c>
      <c r="L15" s="1073" t="s">
        <v>7439</v>
      </c>
      <c r="M15" s="1074">
        <v>0.49227479681715669</v>
      </c>
      <c r="N15" s="1315" t="str">
        <f t="shared" si="2"/>
        <v/>
      </c>
      <c r="O15" s="1325">
        <f t="shared" si="3"/>
        <v>1</v>
      </c>
      <c r="P15" s="1321" t="s">
        <v>7739</v>
      </c>
    </row>
    <row r="16" spans="1:16">
      <c r="A16" s="1034" t="s">
        <v>2764</v>
      </c>
      <c r="B16" s="826">
        <v>28</v>
      </c>
      <c r="C16" s="1035">
        <v>2</v>
      </c>
      <c r="D16" s="1035">
        <v>27</v>
      </c>
      <c r="E16" s="1035" t="s">
        <v>5566</v>
      </c>
      <c r="F16" s="1035" t="s">
        <v>5566</v>
      </c>
      <c r="G16" s="1035" t="s">
        <v>6204</v>
      </c>
      <c r="H16" s="1035" t="str">
        <f t="shared" si="0"/>
        <v>Rice, paddya</v>
      </c>
      <c r="I16" s="1035">
        <f t="shared" si="1"/>
        <v>27</v>
      </c>
      <c r="J16" s="1114">
        <v>0.77</v>
      </c>
      <c r="K16" s="1314" t="s">
        <v>7440</v>
      </c>
      <c r="L16" s="1073" t="s">
        <v>7441</v>
      </c>
      <c r="M16" s="1074">
        <v>0.78421886802338525</v>
      </c>
      <c r="N16" s="1315">
        <f t="shared" si="2"/>
        <v>0.60384852837800662</v>
      </c>
      <c r="O16" s="1325">
        <f t="shared" si="3"/>
        <v>0.77</v>
      </c>
      <c r="P16" s="1321" t="s">
        <v>7739</v>
      </c>
    </row>
    <row r="17" spans="1:16">
      <c r="A17" s="1034" t="s">
        <v>5165</v>
      </c>
      <c r="B17" s="826">
        <v>29</v>
      </c>
      <c r="C17" s="1035">
        <v>3</v>
      </c>
      <c r="D17" s="1035">
        <v>27</v>
      </c>
      <c r="E17" s="1035" t="s">
        <v>5566</v>
      </c>
      <c r="F17" s="1035" t="s">
        <v>2764</v>
      </c>
      <c r="G17" s="1035" t="s">
        <v>6204</v>
      </c>
      <c r="H17" s="1035" t="str">
        <f t="shared" si="0"/>
        <v>Rice Huskeda</v>
      </c>
      <c r="I17" s="1035">
        <f t="shared" si="1"/>
        <v>28</v>
      </c>
      <c r="J17" s="1114">
        <v>0.9</v>
      </c>
      <c r="K17" s="1314">
        <v>355353</v>
      </c>
      <c r="L17" s="1073">
        <v>388392</v>
      </c>
      <c r="M17" s="1074">
        <v>1.09297515428321</v>
      </c>
      <c r="N17" s="1315">
        <f t="shared" si="2"/>
        <v>0.98367763885488901</v>
      </c>
      <c r="O17" s="1325">
        <f t="shared" si="3"/>
        <v>0.69300000000000006</v>
      </c>
      <c r="P17" s="1321">
        <v>2011</v>
      </c>
    </row>
    <row r="18" spans="1:16">
      <c r="A18" s="1075" t="s">
        <v>7183</v>
      </c>
      <c r="B18" s="940">
        <v>30</v>
      </c>
      <c r="C18" s="1035">
        <v>2</v>
      </c>
      <c r="D18" s="1035">
        <v>27</v>
      </c>
      <c r="E18" s="1035" t="s">
        <v>5566</v>
      </c>
      <c r="F18" s="1035" t="s">
        <v>5566</v>
      </c>
      <c r="G18" s="1035" t="s">
        <v>6205</v>
      </c>
      <c r="H18" s="1035" t="str">
        <f t="shared" si="0"/>
        <v>Rice, paddyb</v>
      </c>
      <c r="I18" s="1035">
        <f t="shared" si="1"/>
        <v>27</v>
      </c>
      <c r="J18" s="1114">
        <v>0.67</v>
      </c>
      <c r="K18" s="1314">
        <v>33532600</v>
      </c>
      <c r="L18" s="1073">
        <v>22788400</v>
      </c>
      <c r="M18" s="1074">
        <v>0.67958941448023702</v>
      </c>
      <c r="N18" s="1315">
        <f t="shared" si="2"/>
        <v>0.45532490770175882</v>
      </c>
      <c r="O18" s="1325">
        <f t="shared" si="3"/>
        <v>0.70338902934340974</v>
      </c>
      <c r="P18" s="1321">
        <v>2011</v>
      </c>
    </row>
    <row r="19" spans="1:16">
      <c r="A19" s="1034" t="s">
        <v>670</v>
      </c>
      <c r="B19" s="826">
        <v>31</v>
      </c>
      <c r="C19" s="1035">
        <v>2</v>
      </c>
      <c r="D19" s="1035">
        <v>27</v>
      </c>
      <c r="E19" s="1035" t="s">
        <v>5566</v>
      </c>
      <c r="F19" s="1035" t="s">
        <v>5566</v>
      </c>
      <c r="G19" s="747" t="s">
        <v>6206</v>
      </c>
      <c r="H19" s="1035" t="str">
        <f t="shared" si="0"/>
        <v>Rice, paddyc</v>
      </c>
      <c r="I19" s="1035">
        <f t="shared" si="1"/>
        <v>27</v>
      </c>
      <c r="J19" s="1114">
        <v>0.67</v>
      </c>
      <c r="K19" s="1314" t="s">
        <v>7442</v>
      </c>
      <c r="L19" s="1073" t="s">
        <v>7443</v>
      </c>
      <c r="M19" s="1074">
        <v>0.70917946933951392</v>
      </c>
      <c r="N19" s="1315">
        <f t="shared" si="2"/>
        <v>0.47515024445747434</v>
      </c>
      <c r="O19" s="1325">
        <f t="shared" si="3"/>
        <v>0.67</v>
      </c>
      <c r="P19" s="1321" t="s">
        <v>7739</v>
      </c>
    </row>
    <row r="20" spans="1:16">
      <c r="A20" s="1034" t="s">
        <v>3739</v>
      </c>
      <c r="B20" s="826">
        <v>32</v>
      </c>
      <c r="C20" s="1035">
        <v>3</v>
      </c>
      <c r="D20" s="1035">
        <v>27</v>
      </c>
      <c r="E20" s="1035" t="s">
        <v>5566</v>
      </c>
      <c r="F20" s="1035" t="s">
        <v>670</v>
      </c>
      <c r="G20" s="1035" t="s">
        <v>6204</v>
      </c>
      <c r="H20" s="1035" t="str">
        <f t="shared" si="0"/>
        <v>Rice Milleda</v>
      </c>
      <c r="I20" s="1035">
        <f t="shared" si="1"/>
        <v>31</v>
      </c>
      <c r="J20" s="1114">
        <v>1</v>
      </c>
      <c r="K20" s="1314" t="s">
        <v>7444</v>
      </c>
      <c r="L20" s="1073" t="s">
        <v>7445</v>
      </c>
      <c r="M20" s="1074">
        <v>0.51762182731255157</v>
      </c>
      <c r="N20" s="1315">
        <f t="shared" si="2"/>
        <v>0.51762182731255157</v>
      </c>
      <c r="O20" s="1325">
        <f t="shared" si="3"/>
        <v>0.67</v>
      </c>
      <c r="P20" s="1321" t="s">
        <v>7739</v>
      </c>
    </row>
    <row r="21" spans="1:16">
      <c r="A21" s="1034" t="s">
        <v>7184</v>
      </c>
      <c r="B21" s="826">
        <v>35</v>
      </c>
      <c r="C21" s="1035">
        <v>2</v>
      </c>
      <c r="D21" s="1035">
        <v>27</v>
      </c>
      <c r="E21" s="1035" t="s">
        <v>5566</v>
      </c>
      <c r="F21" s="1035" t="s">
        <v>5566</v>
      </c>
      <c r="G21" s="1035" t="s">
        <v>6205</v>
      </c>
      <c r="H21" s="1035" t="str">
        <f t="shared" si="0"/>
        <v>Rice, paddyb</v>
      </c>
      <c r="I21" s="1035">
        <f t="shared" si="1"/>
        <v>27</v>
      </c>
      <c r="J21" s="1114">
        <v>0.08</v>
      </c>
      <c r="K21" s="1314">
        <v>52088</v>
      </c>
      <c r="L21" s="1073">
        <v>14774</v>
      </c>
      <c r="M21" s="1074">
        <v>0.28363538626939</v>
      </c>
      <c r="N21" s="1315">
        <f t="shared" si="2"/>
        <v>2.26908309015512E-2</v>
      </c>
      <c r="O21" s="1325">
        <f t="shared" si="3"/>
        <v>1.6853177062656854</v>
      </c>
      <c r="P21" s="1321">
        <v>2011</v>
      </c>
    </row>
    <row r="22" spans="1:16">
      <c r="A22" s="1034" t="s">
        <v>5564</v>
      </c>
      <c r="B22" s="826">
        <v>36</v>
      </c>
      <c r="C22" s="1035">
        <v>3</v>
      </c>
      <c r="D22" s="1035">
        <v>27</v>
      </c>
      <c r="E22" s="1035" t="s">
        <v>5566</v>
      </c>
      <c r="F22" s="1035" t="s">
        <v>7184</v>
      </c>
      <c r="G22" s="1035" t="s">
        <v>6204</v>
      </c>
      <c r="H22" s="1035" t="str">
        <f t="shared" si="0"/>
        <v>Bran, ricea</v>
      </c>
      <c r="I22" s="1035">
        <f t="shared" si="1"/>
        <v>35</v>
      </c>
      <c r="J22" s="1114">
        <v>0.14000000000000001</v>
      </c>
      <c r="K22" s="1314">
        <v>36922</v>
      </c>
      <c r="L22" s="1073">
        <v>60303</v>
      </c>
      <c r="M22" s="1074">
        <v>1.6332538865716899</v>
      </c>
      <c r="N22" s="1315">
        <f t="shared" si="2"/>
        <v>0.22865554412003661</v>
      </c>
      <c r="O22" s="1325">
        <f t="shared" si="3"/>
        <v>2.8156378751734707</v>
      </c>
      <c r="P22" s="1321">
        <v>2011</v>
      </c>
    </row>
    <row r="23" spans="1:16">
      <c r="A23" s="1034" t="s">
        <v>1521</v>
      </c>
      <c r="B23" s="826">
        <v>37</v>
      </c>
      <c r="C23" s="1035">
        <v>3</v>
      </c>
      <c r="D23" s="1035">
        <v>27</v>
      </c>
      <c r="E23" s="1035" t="s">
        <v>5566</v>
      </c>
      <c r="F23" s="1035" t="s">
        <v>7184</v>
      </c>
      <c r="G23" s="1035" t="s">
        <v>6204</v>
      </c>
      <c r="H23" s="1035" t="str">
        <f t="shared" si="0"/>
        <v>Bran, ricea</v>
      </c>
      <c r="I23" s="1035">
        <f t="shared" si="1"/>
        <v>35</v>
      </c>
      <c r="J23" s="1114">
        <v>0.8</v>
      </c>
      <c r="K23" s="1314">
        <v>25</v>
      </c>
      <c r="L23" s="1073">
        <v>8</v>
      </c>
      <c r="M23" s="1074">
        <v>3.125</v>
      </c>
      <c r="N23" s="1315">
        <f t="shared" si="2"/>
        <v>2.5</v>
      </c>
      <c r="O23" s="1325">
        <f t="shared" si="3"/>
        <v>1.4715684808977683</v>
      </c>
      <c r="P23" s="1321">
        <v>2005</v>
      </c>
    </row>
    <row r="24" spans="1:16">
      <c r="A24" s="1034" t="s">
        <v>2762</v>
      </c>
      <c r="B24" s="826">
        <v>38</v>
      </c>
      <c r="C24" s="1035">
        <v>4</v>
      </c>
      <c r="D24" s="1035">
        <v>27</v>
      </c>
      <c r="E24" s="1035" t="s">
        <v>5566</v>
      </c>
      <c r="F24" s="1035" t="s">
        <v>3739</v>
      </c>
      <c r="G24" s="1035" t="s">
        <v>6204</v>
      </c>
      <c r="H24" s="1035" t="str">
        <f t="shared" si="0"/>
        <v>Rice Brokena</v>
      </c>
      <c r="I24" s="1035">
        <f t="shared" si="1"/>
        <v>32</v>
      </c>
      <c r="J24" s="1114">
        <v>0.95</v>
      </c>
      <c r="K24" s="1314" t="s">
        <v>7446</v>
      </c>
      <c r="L24" s="1073" t="s">
        <v>7447</v>
      </c>
      <c r="M24" s="1074">
        <v>0.89130487924122426</v>
      </c>
      <c r="N24" s="1315">
        <f t="shared" si="2"/>
        <v>0.84673963527916296</v>
      </c>
      <c r="O24" s="1325">
        <f t="shared" si="3"/>
        <v>0.63649999999999995</v>
      </c>
      <c r="P24" s="1321" t="s">
        <v>7739</v>
      </c>
    </row>
    <row r="25" spans="1:16">
      <c r="A25" s="1034" t="s">
        <v>2760</v>
      </c>
      <c r="B25" s="826">
        <v>39</v>
      </c>
      <c r="C25" s="1035">
        <v>4</v>
      </c>
      <c r="D25" s="1035">
        <v>27</v>
      </c>
      <c r="E25" s="1035" t="s">
        <v>5566</v>
      </c>
      <c r="F25" s="1035" t="s">
        <v>3739</v>
      </c>
      <c r="G25" s="1035" t="s">
        <v>6205</v>
      </c>
      <c r="H25" s="1035" t="str">
        <f t="shared" si="0"/>
        <v>Rice Brokenb</v>
      </c>
      <c r="I25" s="1035">
        <f t="shared" si="1"/>
        <v>32</v>
      </c>
      <c r="J25" s="1114">
        <v>1</v>
      </c>
      <c r="K25" s="1314">
        <v>12529</v>
      </c>
      <c r="L25" s="1073">
        <v>68594</v>
      </c>
      <c r="M25" s="1074">
        <v>5.47481842126267</v>
      </c>
      <c r="N25" s="1315">
        <f t="shared" si="2"/>
        <v>5.47481842126267</v>
      </c>
      <c r="O25" s="1325">
        <f t="shared" si="3"/>
        <v>0.67</v>
      </c>
      <c r="P25" s="1321">
        <v>2011</v>
      </c>
    </row>
    <row r="26" spans="1:16">
      <c r="A26" s="1034" t="s">
        <v>5067</v>
      </c>
      <c r="B26" s="826">
        <v>41</v>
      </c>
      <c r="C26" s="1035">
        <v>2</v>
      </c>
      <c r="D26" s="1035">
        <v>15</v>
      </c>
      <c r="E26" s="1035" t="s">
        <v>1214</v>
      </c>
      <c r="F26" s="1035" t="s">
        <v>1214</v>
      </c>
      <c r="G26" s="1035" t="s">
        <v>6206</v>
      </c>
      <c r="H26" s="1035" t="str">
        <f t="shared" si="0"/>
        <v>Wheatc</v>
      </c>
      <c r="I26" s="1035">
        <f t="shared" si="1"/>
        <v>15</v>
      </c>
      <c r="J26" s="1114">
        <v>0.85</v>
      </c>
      <c r="K26" s="1314">
        <v>2127990</v>
      </c>
      <c r="L26" s="1073">
        <v>5579220</v>
      </c>
      <c r="M26" s="1074">
        <v>2.6218262303864202</v>
      </c>
      <c r="N26" s="1315">
        <f t="shared" si="2"/>
        <v>2.2285522958284569</v>
      </c>
      <c r="O26" s="1325">
        <f t="shared" si="3"/>
        <v>0.85</v>
      </c>
      <c r="P26" s="1321">
        <v>2011</v>
      </c>
    </row>
    <row r="27" spans="1:16">
      <c r="A27" s="1034" t="s">
        <v>627</v>
      </c>
      <c r="B27" s="826">
        <v>44</v>
      </c>
      <c r="C27" s="1035">
        <v>1</v>
      </c>
      <c r="D27" s="1035">
        <v>44</v>
      </c>
      <c r="E27" s="1035" t="s">
        <v>627</v>
      </c>
      <c r="F27" s="1035"/>
      <c r="G27" s="1035"/>
      <c r="H27" s="1035" t="str">
        <f t="shared" si="0"/>
        <v/>
      </c>
      <c r="I27" s="1035" t="str">
        <f t="shared" si="1"/>
        <v/>
      </c>
      <c r="J27" s="1114"/>
      <c r="K27" s="1314">
        <v>24260300</v>
      </c>
      <c r="L27" s="1073">
        <v>7339630</v>
      </c>
      <c r="M27" s="1074">
        <v>0.30253665453436301</v>
      </c>
      <c r="N27" s="1315" t="str">
        <f t="shared" si="2"/>
        <v/>
      </c>
      <c r="O27" s="1325">
        <f t="shared" si="3"/>
        <v>1</v>
      </c>
      <c r="P27" s="1321">
        <v>2011</v>
      </c>
    </row>
    <row r="28" spans="1:16">
      <c r="A28" s="1034" t="s">
        <v>5183</v>
      </c>
      <c r="B28" s="826">
        <v>45</v>
      </c>
      <c r="C28" s="1035">
        <v>2</v>
      </c>
      <c r="D28" s="1035">
        <v>44</v>
      </c>
      <c r="E28" s="1035" t="s">
        <v>627</v>
      </c>
      <c r="F28" s="1035" t="s">
        <v>627</v>
      </c>
      <c r="G28" s="1035" t="s">
        <v>6204</v>
      </c>
      <c r="H28" s="1035" t="str">
        <f t="shared" si="0"/>
        <v>Barleya</v>
      </c>
      <c r="I28" s="1035">
        <f t="shared" si="1"/>
        <v>44</v>
      </c>
      <c r="J28" s="1114">
        <v>0.72</v>
      </c>
      <c r="K28" s="1314" t="s">
        <v>7448</v>
      </c>
      <c r="L28" s="1073" t="s">
        <v>7449</v>
      </c>
      <c r="M28" s="1074">
        <v>0.76810447170557972</v>
      </c>
      <c r="N28" s="1315">
        <f t="shared" si="2"/>
        <v>0.55303521962801738</v>
      </c>
      <c r="O28" s="1325">
        <f t="shared" si="3"/>
        <v>1.2169731160133015</v>
      </c>
      <c r="P28" s="1321" t="s">
        <v>7739</v>
      </c>
    </row>
    <row r="29" spans="1:16">
      <c r="A29" s="1034" t="s">
        <v>3390</v>
      </c>
      <c r="B29" s="826">
        <v>46</v>
      </c>
      <c r="C29" s="1035">
        <v>3</v>
      </c>
      <c r="D29" s="1035">
        <v>44</v>
      </c>
      <c r="E29" s="1035" t="s">
        <v>627</v>
      </c>
      <c r="F29" s="1035" t="s">
        <v>5183</v>
      </c>
      <c r="G29" s="1035" t="s">
        <v>6204</v>
      </c>
      <c r="H29" s="1035" t="str">
        <f t="shared" si="0"/>
        <v>Pot Barleya</v>
      </c>
      <c r="I29" s="1035">
        <f t="shared" si="1"/>
        <v>45</v>
      </c>
      <c r="J29" s="1114">
        <v>0.55000000000000004</v>
      </c>
      <c r="K29" s="1314">
        <v>29488</v>
      </c>
      <c r="L29" s="1073">
        <v>14380</v>
      </c>
      <c r="M29" s="1074">
        <v>0.487655995659251</v>
      </c>
      <c r="N29" s="1315">
        <f t="shared" si="2"/>
        <v>0.26821079761258809</v>
      </c>
      <c r="O29" s="1325">
        <f t="shared" si="3"/>
        <v>1.0748311332270455</v>
      </c>
      <c r="P29" s="1321">
        <v>2011</v>
      </c>
    </row>
    <row r="30" spans="1:16">
      <c r="A30" s="1034" t="s">
        <v>978</v>
      </c>
      <c r="B30" s="826">
        <v>47</v>
      </c>
      <c r="C30" s="1035">
        <v>2</v>
      </c>
      <c r="D30" s="1035">
        <v>44</v>
      </c>
      <c r="E30" s="1035" t="s">
        <v>627</v>
      </c>
      <c r="F30" s="1035" t="s">
        <v>627</v>
      </c>
      <c r="G30" s="1035" t="s">
        <v>6204</v>
      </c>
      <c r="H30" s="1035" t="str">
        <f t="shared" si="0"/>
        <v>Barleya</v>
      </c>
      <c r="I30" s="1035">
        <f t="shared" si="1"/>
        <v>44</v>
      </c>
      <c r="J30" s="1114">
        <v>0.19</v>
      </c>
      <c r="K30" s="1314" t="s">
        <v>7450</v>
      </c>
      <c r="L30" s="1073" t="s">
        <v>7451</v>
      </c>
      <c r="M30" s="1074">
        <v>2.0090909090909093</v>
      </c>
      <c r="N30" s="1315">
        <f t="shared" si="2"/>
        <v>0.38172727272727275</v>
      </c>
      <c r="O30" s="1325">
        <f t="shared" si="3"/>
        <v>0.46526639890987292</v>
      </c>
      <c r="P30" s="1321" t="s">
        <v>7739</v>
      </c>
    </row>
    <row r="31" spans="1:16">
      <c r="A31" s="1034" t="s">
        <v>1474</v>
      </c>
      <c r="B31" s="826">
        <v>48</v>
      </c>
      <c r="C31" s="1035">
        <v>3</v>
      </c>
      <c r="D31" s="1035">
        <v>44</v>
      </c>
      <c r="E31" s="1035" t="s">
        <v>627</v>
      </c>
      <c r="F31" s="1035" t="s">
        <v>5183</v>
      </c>
      <c r="G31" s="1035" t="s">
        <v>6204</v>
      </c>
      <c r="H31" s="1035" t="str">
        <f t="shared" si="0"/>
        <v>Pot Barleya</v>
      </c>
      <c r="I31" s="1035">
        <f t="shared" si="1"/>
        <v>45</v>
      </c>
      <c r="J31" s="1114">
        <v>0.45</v>
      </c>
      <c r="K31" s="1314" t="s">
        <v>7452</v>
      </c>
      <c r="L31" s="1073" t="s">
        <v>7453</v>
      </c>
      <c r="M31" s="1074">
        <v>0.36108259768699102</v>
      </c>
      <c r="N31" s="1315">
        <f t="shared" si="2"/>
        <v>0.16248716895914597</v>
      </c>
      <c r="O31" s="1325">
        <f t="shared" si="3"/>
        <v>1.4516009627629856</v>
      </c>
      <c r="P31" s="1321" t="s">
        <v>7739</v>
      </c>
    </row>
    <row r="32" spans="1:16">
      <c r="A32" s="1034" t="s">
        <v>1399</v>
      </c>
      <c r="B32" s="826">
        <v>49</v>
      </c>
      <c r="C32" s="1035">
        <v>2</v>
      </c>
      <c r="D32" s="1035">
        <v>44</v>
      </c>
      <c r="E32" s="1035" t="s">
        <v>627</v>
      </c>
      <c r="F32" s="1035" t="s">
        <v>627</v>
      </c>
      <c r="G32" s="1035" t="s">
        <v>6205</v>
      </c>
      <c r="H32" s="1035" t="str">
        <f t="shared" si="0"/>
        <v>Barleyb</v>
      </c>
      <c r="I32" s="1035">
        <f t="shared" si="1"/>
        <v>44</v>
      </c>
      <c r="J32" s="1114">
        <v>0.73</v>
      </c>
      <c r="K32" s="1314">
        <v>6883250</v>
      </c>
      <c r="L32" s="1073">
        <v>3877130</v>
      </c>
      <c r="M32" s="1074">
        <v>0.56327025750917104</v>
      </c>
      <c r="N32" s="1315">
        <f t="shared" si="2"/>
        <v>0.41118728798169485</v>
      </c>
      <c r="O32" s="1325">
        <f t="shared" si="3"/>
        <v>0.73</v>
      </c>
      <c r="P32" s="1321">
        <v>2011</v>
      </c>
    </row>
    <row r="33" spans="1:16">
      <c r="A33" s="1034" t="s">
        <v>1401</v>
      </c>
      <c r="B33" s="826">
        <v>50</v>
      </c>
      <c r="C33" s="1035">
        <v>3</v>
      </c>
      <c r="D33" s="1035">
        <v>44</v>
      </c>
      <c r="E33" s="1035" t="s">
        <v>627</v>
      </c>
      <c r="F33" s="1035" t="s">
        <v>1399</v>
      </c>
      <c r="G33" s="1035" t="s">
        <v>6204</v>
      </c>
      <c r="H33" s="1035" t="str">
        <f t="shared" si="0"/>
        <v>Malta</v>
      </c>
      <c r="I33" s="1035">
        <f t="shared" si="1"/>
        <v>49</v>
      </c>
      <c r="J33" s="1114">
        <v>0.8</v>
      </c>
      <c r="K33" s="1314" t="s">
        <v>7454</v>
      </c>
      <c r="L33" s="1073" t="s">
        <v>7455</v>
      </c>
      <c r="M33" s="1074">
        <v>1.9739991957006544</v>
      </c>
      <c r="N33" s="1315">
        <f t="shared" si="2"/>
        <v>1.5791993565605236</v>
      </c>
      <c r="O33" s="1325">
        <f t="shared" si="3"/>
        <v>0.58399999999999996</v>
      </c>
      <c r="P33" s="1321" t="s">
        <v>7739</v>
      </c>
    </row>
    <row r="34" spans="1:16">
      <c r="A34" s="1034" t="s">
        <v>3207</v>
      </c>
      <c r="B34" s="826">
        <v>51</v>
      </c>
      <c r="C34" s="1035">
        <v>3</v>
      </c>
      <c r="D34" s="1035">
        <v>44</v>
      </c>
      <c r="E34" s="1035" t="s">
        <v>627</v>
      </c>
      <c r="F34" s="1035" t="s">
        <v>1399</v>
      </c>
      <c r="G34" s="1035" t="s">
        <v>6205</v>
      </c>
      <c r="H34" s="1035" t="str">
        <f t="shared" si="0"/>
        <v>Maltb</v>
      </c>
      <c r="I34" s="1035">
        <f t="shared" si="1"/>
        <v>49</v>
      </c>
      <c r="J34" s="1114">
        <v>6.55</v>
      </c>
      <c r="K34" s="1314">
        <v>11828200</v>
      </c>
      <c r="L34" s="1073">
        <v>11711300</v>
      </c>
      <c r="M34" s="1074">
        <v>0.99011683941766304</v>
      </c>
      <c r="N34" s="1315">
        <f t="shared" si="2"/>
        <v>6.4852652981856931</v>
      </c>
      <c r="O34" s="1325">
        <f t="shared" si="3"/>
        <v>4.7814999999999994</v>
      </c>
      <c r="P34" s="1321">
        <v>2011</v>
      </c>
    </row>
    <row r="35" spans="1:16">
      <c r="A35" s="1034" t="s">
        <v>2175</v>
      </c>
      <c r="B35" s="826">
        <v>56</v>
      </c>
      <c r="C35" s="1035">
        <v>1</v>
      </c>
      <c r="D35" s="1035">
        <v>56</v>
      </c>
      <c r="E35" s="1035" t="s">
        <v>2175</v>
      </c>
      <c r="F35" s="1035"/>
      <c r="G35" s="1035"/>
      <c r="H35" s="1035" t="str">
        <f t="shared" si="0"/>
        <v/>
      </c>
      <c r="I35" s="1035" t="str">
        <f t="shared" si="1"/>
        <v/>
      </c>
      <c r="J35" s="1114"/>
      <c r="K35" s="1314">
        <v>108067000</v>
      </c>
      <c r="L35" s="1073">
        <v>36342500</v>
      </c>
      <c r="M35" s="1074">
        <v>0.336296001554591</v>
      </c>
      <c r="N35" s="1315" t="str">
        <f t="shared" si="2"/>
        <v/>
      </c>
      <c r="O35" s="1325">
        <f t="shared" si="3"/>
        <v>1</v>
      </c>
      <c r="P35" s="1321">
        <v>2011</v>
      </c>
    </row>
    <row r="36" spans="1:16">
      <c r="A36" s="1034" t="s">
        <v>7274</v>
      </c>
      <c r="B36" s="826">
        <v>57</v>
      </c>
      <c r="C36" s="1035">
        <v>2</v>
      </c>
      <c r="D36" s="1035">
        <v>56</v>
      </c>
      <c r="E36" s="1035" t="s">
        <v>2175</v>
      </c>
      <c r="F36" s="1035" t="s">
        <v>2175</v>
      </c>
      <c r="G36" s="1035" t="s">
        <v>6204</v>
      </c>
      <c r="H36" s="1035" t="str">
        <f t="shared" si="0"/>
        <v>Maizea</v>
      </c>
      <c r="I36" s="1035">
        <f t="shared" si="1"/>
        <v>56</v>
      </c>
      <c r="J36" s="1114">
        <v>0.06</v>
      </c>
      <c r="K36" s="1314">
        <v>326671</v>
      </c>
      <c r="L36" s="1073">
        <v>192220</v>
      </c>
      <c r="M36" s="1074">
        <v>0.588420765846984</v>
      </c>
      <c r="N36" s="1315">
        <f t="shared" si="2"/>
        <v>3.5305245950819041E-2</v>
      </c>
      <c r="O36" s="1325">
        <f t="shared" si="3"/>
        <v>0.80913744345223682</v>
      </c>
      <c r="P36" s="1321">
        <v>2011</v>
      </c>
    </row>
    <row r="37" spans="1:16">
      <c r="A37" s="1034" t="s">
        <v>1944</v>
      </c>
      <c r="B37" s="826">
        <v>58</v>
      </c>
      <c r="C37" s="1035">
        <v>2</v>
      </c>
      <c r="D37" s="1035">
        <v>56</v>
      </c>
      <c r="E37" s="1035" t="s">
        <v>2175</v>
      </c>
      <c r="F37" s="1035" t="s">
        <v>2175</v>
      </c>
      <c r="G37" s="1035" t="s">
        <v>6204</v>
      </c>
      <c r="H37" s="1035" t="str">
        <f t="shared" si="0"/>
        <v>Maizea</v>
      </c>
      <c r="I37" s="1035">
        <f t="shared" si="1"/>
        <v>56</v>
      </c>
      <c r="J37" s="1114">
        <v>0.82</v>
      </c>
      <c r="K37" s="1314">
        <v>1986520</v>
      </c>
      <c r="L37" s="1073">
        <v>989829</v>
      </c>
      <c r="M37" s="1074">
        <v>0.49827285907013302</v>
      </c>
      <c r="N37" s="1315">
        <f t="shared" si="2"/>
        <v>0.40858374443750906</v>
      </c>
      <c r="O37" s="1325">
        <f t="shared" si="3"/>
        <v>0.95552720860644336</v>
      </c>
      <c r="P37" s="1321">
        <v>2011</v>
      </c>
    </row>
    <row r="38" spans="1:16">
      <c r="A38" s="1034" t="s">
        <v>2685</v>
      </c>
      <c r="B38" s="826">
        <v>59</v>
      </c>
      <c r="C38" s="1035">
        <v>2</v>
      </c>
      <c r="D38" s="1035">
        <v>56</v>
      </c>
      <c r="E38" s="1035" t="s">
        <v>2175</v>
      </c>
      <c r="F38" s="1035" t="s">
        <v>2175</v>
      </c>
      <c r="G38" s="1035" t="s">
        <v>6204</v>
      </c>
      <c r="H38" s="1035" t="str">
        <f t="shared" si="0"/>
        <v>Maizea</v>
      </c>
      <c r="I38" s="1035">
        <f t="shared" si="1"/>
        <v>56</v>
      </c>
      <c r="J38" s="1114">
        <v>0.11</v>
      </c>
      <c r="K38" s="1314">
        <v>802528</v>
      </c>
      <c r="L38" s="1073">
        <v>235099</v>
      </c>
      <c r="M38" s="1074">
        <v>0.29294803421188997</v>
      </c>
      <c r="N38" s="1315">
        <f t="shared" si="2"/>
        <v>3.2224283763307895E-2</v>
      </c>
      <c r="O38" s="1325">
        <f t="shared" si="3"/>
        <v>1.6252482302279665</v>
      </c>
      <c r="P38" s="1321">
        <v>2011</v>
      </c>
    </row>
    <row r="39" spans="1:16">
      <c r="A39" s="1034" t="s">
        <v>1193</v>
      </c>
      <c r="B39" s="826">
        <v>60</v>
      </c>
      <c r="C39" s="1035">
        <v>3</v>
      </c>
      <c r="D39" s="1035">
        <v>56</v>
      </c>
      <c r="E39" s="1035" t="s">
        <v>2175</v>
      </c>
      <c r="F39" s="1035" t="s">
        <v>7274</v>
      </c>
      <c r="G39" s="1035" t="s">
        <v>6204</v>
      </c>
      <c r="H39" s="1035" t="str">
        <f t="shared" si="0"/>
        <v>Germ, maizea</v>
      </c>
      <c r="I39" s="1035">
        <f t="shared" si="1"/>
        <v>57</v>
      </c>
      <c r="J39" s="1114">
        <v>0.45</v>
      </c>
      <c r="K39" s="1314">
        <v>936047</v>
      </c>
      <c r="L39" s="1073">
        <v>1528170</v>
      </c>
      <c r="M39" s="1074">
        <v>1.63257827865481</v>
      </c>
      <c r="N39" s="1315">
        <f t="shared" si="2"/>
        <v>0.73466022539466447</v>
      </c>
      <c r="O39" s="1325">
        <f t="shared" si="3"/>
        <v>0.41844807792160371</v>
      </c>
      <c r="P39" s="1321">
        <v>2011</v>
      </c>
    </row>
    <row r="40" spans="1:16">
      <c r="A40" s="1034" t="s">
        <v>1201</v>
      </c>
      <c r="B40" s="826">
        <v>61</v>
      </c>
      <c r="C40" s="1035">
        <v>3</v>
      </c>
      <c r="D40" s="1035">
        <v>56</v>
      </c>
      <c r="E40" s="1035" t="s">
        <v>2175</v>
      </c>
      <c r="F40" s="1035" t="s">
        <v>7274</v>
      </c>
      <c r="G40" s="1035" t="s">
        <v>6204</v>
      </c>
      <c r="H40" s="1035" t="str">
        <f t="shared" si="0"/>
        <v>Germ, maizea</v>
      </c>
      <c r="I40" s="1035">
        <f t="shared" si="1"/>
        <v>57</v>
      </c>
      <c r="J40" s="1114">
        <v>0.52</v>
      </c>
      <c r="K40" s="1314">
        <v>75254</v>
      </c>
      <c r="L40" s="1073">
        <v>15866</v>
      </c>
      <c r="M40" s="1074">
        <v>0.210832646769607</v>
      </c>
      <c r="N40" s="1315">
        <f t="shared" si="2"/>
        <v>0.10963297632019564</v>
      </c>
      <c r="O40" s="1325">
        <f t="shared" si="3"/>
        <v>3.2402441141205003</v>
      </c>
      <c r="P40" s="1321">
        <v>2011</v>
      </c>
    </row>
    <row r="41" spans="1:16">
      <c r="A41" s="1034" t="s">
        <v>5182</v>
      </c>
      <c r="B41" s="826">
        <v>68</v>
      </c>
      <c r="C41" s="1035">
        <v>2</v>
      </c>
      <c r="D41" s="1035">
        <v>56</v>
      </c>
      <c r="E41" s="1035" t="s">
        <v>2175</v>
      </c>
      <c r="F41" s="1035" t="s">
        <v>2175</v>
      </c>
      <c r="G41" s="1035" t="s">
        <v>6205</v>
      </c>
      <c r="H41" s="1035" t="str">
        <f t="shared" si="0"/>
        <v>Maizeb</v>
      </c>
      <c r="I41" s="1035">
        <f t="shared" si="1"/>
        <v>56</v>
      </c>
      <c r="J41" s="1114">
        <v>0.35</v>
      </c>
      <c r="K41" s="1314">
        <v>41</v>
      </c>
      <c r="L41" s="1073">
        <v>13</v>
      </c>
      <c r="M41" s="1074">
        <v>3.1538461538461502</v>
      </c>
      <c r="N41" s="1315">
        <f t="shared" si="2"/>
        <v>1.1038461538461526</v>
      </c>
      <c r="O41" s="1325">
        <f t="shared" si="3"/>
        <v>0.35</v>
      </c>
      <c r="P41" s="1321">
        <v>1974</v>
      </c>
    </row>
    <row r="42" spans="1:16">
      <c r="A42" s="1034" t="s">
        <v>5568</v>
      </c>
      <c r="B42" s="826">
        <v>71</v>
      </c>
      <c r="C42" s="1035">
        <v>1</v>
      </c>
      <c r="D42" s="1035">
        <v>71</v>
      </c>
      <c r="E42" s="1035" t="s">
        <v>5568</v>
      </c>
      <c r="F42" s="1035"/>
      <c r="G42" s="1035"/>
      <c r="H42" s="1035" t="str">
        <f t="shared" si="0"/>
        <v/>
      </c>
      <c r="I42" s="1035" t="str">
        <f t="shared" si="1"/>
        <v/>
      </c>
      <c r="J42" s="1114"/>
      <c r="K42" s="1314">
        <v>1019390</v>
      </c>
      <c r="L42" s="1073">
        <v>321365</v>
      </c>
      <c r="M42" s="1074">
        <v>0.31525225870373502</v>
      </c>
      <c r="N42" s="1315" t="str">
        <f t="shared" si="2"/>
        <v/>
      </c>
      <c r="O42" s="1325">
        <f t="shared" si="3"/>
        <v>1</v>
      </c>
      <c r="P42" s="1321">
        <v>2011</v>
      </c>
    </row>
    <row r="43" spans="1:16">
      <c r="A43" s="1034" t="s">
        <v>5616</v>
      </c>
      <c r="B43" s="826">
        <v>72</v>
      </c>
      <c r="C43" s="1035">
        <v>2</v>
      </c>
      <c r="D43" s="1035">
        <v>71</v>
      </c>
      <c r="E43" s="1035" t="s">
        <v>5568</v>
      </c>
      <c r="F43" s="1035" t="s">
        <v>5568</v>
      </c>
      <c r="G43" s="1035" t="s">
        <v>6204</v>
      </c>
      <c r="H43" s="1035" t="str">
        <f t="shared" si="0"/>
        <v>Ryea</v>
      </c>
      <c r="I43" s="1035">
        <f t="shared" si="1"/>
        <v>71</v>
      </c>
      <c r="J43" s="1114">
        <v>0.8</v>
      </c>
      <c r="K43" s="1314" t="s">
        <v>7456</v>
      </c>
      <c r="L43" s="1073" t="s">
        <v>7457</v>
      </c>
      <c r="M43" s="1074">
        <v>0.51616823957184299</v>
      </c>
      <c r="N43" s="1315">
        <f t="shared" si="2"/>
        <v>0.41293459165747443</v>
      </c>
      <c r="O43" s="1325">
        <f t="shared" si="3"/>
        <v>0.96467499060094586</v>
      </c>
      <c r="P43" s="1321" t="s">
        <v>7739</v>
      </c>
    </row>
    <row r="44" spans="1:16">
      <c r="A44" s="1034" t="s">
        <v>4726</v>
      </c>
      <c r="B44" s="826">
        <v>73</v>
      </c>
      <c r="C44" s="1035">
        <v>2</v>
      </c>
      <c r="D44" s="1035">
        <v>71</v>
      </c>
      <c r="E44" s="1035" t="s">
        <v>5568</v>
      </c>
      <c r="F44" s="1035" t="s">
        <v>5568</v>
      </c>
      <c r="G44" s="1035" t="s">
        <v>6204</v>
      </c>
      <c r="H44" s="1035" t="str">
        <f t="shared" si="0"/>
        <v>Ryea</v>
      </c>
      <c r="I44" s="1035">
        <f t="shared" si="1"/>
        <v>71</v>
      </c>
      <c r="J44" s="1114">
        <v>0.17</v>
      </c>
      <c r="K44" s="1314" t="s">
        <v>7458</v>
      </c>
      <c r="L44" s="1073" t="s">
        <v>7459</v>
      </c>
      <c r="M44" s="1074">
        <v>0.5</v>
      </c>
      <c r="N44" s="1315">
        <f t="shared" si="2"/>
        <v>8.5000000000000006E-2</v>
      </c>
      <c r="O44" s="1325">
        <f t="shared" si="3"/>
        <v>0.995869183314949</v>
      </c>
      <c r="P44" s="1321" t="s">
        <v>7739</v>
      </c>
    </row>
    <row r="45" spans="1:16">
      <c r="A45" s="1034" t="s">
        <v>804</v>
      </c>
      <c r="B45" s="826">
        <v>75</v>
      </c>
      <c r="C45" s="1035">
        <v>1</v>
      </c>
      <c r="D45" s="1035">
        <v>75</v>
      </c>
      <c r="E45" s="1035" t="s">
        <v>804</v>
      </c>
      <c r="F45" s="1035"/>
      <c r="G45" s="1035"/>
      <c r="H45" s="1035" t="str">
        <f t="shared" si="0"/>
        <v/>
      </c>
      <c r="I45" s="1035" t="str">
        <f t="shared" si="1"/>
        <v/>
      </c>
      <c r="J45" s="1114"/>
      <c r="K45" s="1314">
        <v>2782920</v>
      </c>
      <c r="L45" s="1073">
        <v>809384</v>
      </c>
      <c r="M45" s="1074">
        <v>0.29083983729320301</v>
      </c>
      <c r="N45" s="1315" t="str">
        <f t="shared" si="2"/>
        <v/>
      </c>
      <c r="O45" s="1325">
        <f t="shared" si="3"/>
        <v>1</v>
      </c>
      <c r="P45" s="1321">
        <v>2011</v>
      </c>
    </row>
    <row r="46" spans="1:16">
      <c r="A46" s="1034" t="s">
        <v>259</v>
      </c>
      <c r="B46" s="826">
        <v>76</v>
      </c>
      <c r="C46" s="1035">
        <v>2</v>
      </c>
      <c r="D46" s="1035">
        <v>75</v>
      </c>
      <c r="E46" s="1035" t="s">
        <v>804</v>
      </c>
      <c r="F46" s="1035" t="s">
        <v>804</v>
      </c>
      <c r="G46" s="1035" t="s">
        <v>6204</v>
      </c>
      <c r="H46" s="1035" t="str">
        <f t="shared" si="0"/>
        <v>Oatsa</v>
      </c>
      <c r="I46" s="1035">
        <f t="shared" si="1"/>
        <v>75</v>
      </c>
      <c r="J46" s="1114">
        <v>0.53</v>
      </c>
      <c r="K46" s="1314">
        <v>596256</v>
      </c>
      <c r="L46" s="1073">
        <v>489904</v>
      </c>
      <c r="M46" s="1074">
        <v>0.82163366070949395</v>
      </c>
      <c r="N46" s="1315">
        <f t="shared" si="2"/>
        <v>0.43546584017603179</v>
      </c>
      <c r="O46" s="1325">
        <f t="shared" si="3"/>
        <v>0.55024729549790252</v>
      </c>
      <c r="P46" s="1321">
        <v>2011</v>
      </c>
    </row>
    <row r="47" spans="1:16">
      <c r="A47" s="1034" t="s">
        <v>4724</v>
      </c>
      <c r="B47" s="826">
        <v>77</v>
      </c>
      <c r="C47" s="1035">
        <v>2</v>
      </c>
      <c r="D47" s="1035">
        <v>75</v>
      </c>
      <c r="E47" s="1035" t="s">
        <v>804</v>
      </c>
      <c r="F47" s="1035" t="s">
        <v>804</v>
      </c>
      <c r="G47" s="1035" t="s">
        <v>6204</v>
      </c>
      <c r="H47" s="1035" t="str">
        <f t="shared" si="0"/>
        <v>Oatsa</v>
      </c>
      <c r="I47" s="1035">
        <f t="shared" si="1"/>
        <v>75</v>
      </c>
      <c r="J47" s="1114">
        <v>0.2</v>
      </c>
      <c r="K47" s="1314" t="s">
        <v>7460</v>
      </c>
      <c r="L47" s="1073" t="s">
        <v>7461</v>
      </c>
      <c r="M47" s="1074">
        <v>8.3179297597042512E-2</v>
      </c>
      <c r="N47" s="1315">
        <f t="shared" si="2"/>
        <v>1.6635859519408502E-2</v>
      </c>
      <c r="O47" s="1325">
        <f t="shared" si="3"/>
        <v>5.4352671007829603</v>
      </c>
      <c r="P47" s="1321" t="s">
        <v>7739</v>
      </c>
    </row>
    <row r="48" spans="1:16">
      <c r="A48" s="1034" t="s">
        <v>2899</v>
      </c>
      <c r="B48" s="826">
        <v>79</v>
      </c>
      <c r="C48" s="1035">
        <v>1</v>
      </c>
      <c r="D48" s="1035">
        <v>79</v>
      </c>
      <c r="E48" s="1035" t="s">
        <v>2899</v>
      </c>
      <c r="F48" s="1035"/>
      <c r="G48" s="1035"/>
      <c r="H48" s="1035" t="str">
        <f t="shared" si="0"/>
        <v/>
      </c>
      <c r="I48" s="1035" t="str">
        <f t="shared" si="1"/>
        <v/>
      </c>
      <c r="J48" s="1114"/>
      <c r="K48" s="1314">
        <v>417828</v>
      </c>
      <c r="L48" s="1073">
        <v>175851</v>
      </c>
      <c r="M48" s="1074">
        <v>0.42086935293948702</v>
      </c>
      <c r="N48" s="1315" t="str">
        <f t="shared" si="2"/>
        <v/>
      </c>
      <c r="O48" s="1325">
        <f t="shared" si="3"/>
        <v>1</v>
      </c>
      <c r="P48" s="1321">
        <v>2011</v>
      </c>
    </row>
    <row r="49" spans="1:16">
      <c r="A49" s="1034" t="s">
        <v>2274</v>
      </c>
      <c r="B49" s="826">
        <v>80</v>
      </c>
      <c r="C49" s="1035">
        <v>2</v>
      </c>
      <c r="D49" s="1035">
        <v>79</v>
      </c>
      <c r="E49" s="1035" t="s">
        <v>2899</v>
      </c>
      <c r="F49" s="1035" t="s">
        <v>2899</v>
      </c>
      <c r="G49" s="1035" t="s">
        <v>6204</v>
      </c>
      <c r="H49" s="1035" t="str">
        <f t="shared" si="0"/>
        <v>Milleta</v>
      </c>
      <c r="I49" s="1035">
        <f t="shared" si="1"/>
        <v>79</v>
      </c>
      <c r="J49" s="1114">
        <v>0.86</v>
      </c>
      <c r="K49" s="1314" t="s">
        <v>7462</v>
      </c>
      <c r="L49" s="1073" t="s">
        <v>7463</v>
      </c>
      <c r="M49" s="1074">
        <v>0.42974238875878218</v>
      </c>
      <c r="N49" s="1315">
        <f t="shared" si="2"/>
        <v>0.36957845433255265</v>
      </c>
      <c r="O49" s="1325">
        <f t="shared" si="3"/>
        <v>1.3253950953678475</v>
      </c>
      <c r="P49" s="1321" t="s">
        <v>7739</v>
      </c>
    </row>
    <row r="50" spans="1:16">
      <c r="A50" s="1034" t="s">
        <v>4722</v>
      </c>
      <c r="B50" s="826">
        <v>81</v>
      </c>
      <c r="C50" s="1035">
        <v>2</v>
      </c>
      <c r="D50" s="1035">
        <v>79</v>
      </c>
      <c r="E50" s="1035" t="s">
        <v>2899</v>
      </c>
      <c r="F50" s="1035" t="s">
        <v>2899</v>
      </c>
      <c r="G50" s="1035" t="s">
        <v>6204</v>
      </c>
      <c r="H50" s="1035" t="str">
        <f t="shared" si="0"/>
        <v>Milleta</v>
      </c>
      <c r="I50" s="1035">
        <f t="shared" si="1"/>
        <v>79</v>
      </c>
      <c r="J50" s="1114">
        <v>0.1</v>
      </c>
      <c r="K50" s="1314">
        <v>2</v>
      </c>
      <c r="L50" s="1073">
        <v>1</v>
      </c>
      <c r="M50" s="1074">
        <v>2</v>
      </c>
      <c r="N50" s="1315">
        <f t="shared" si="2"/>
        <v>0.2</v>
      </c>
      <c r="O50" s="1325">
        <f t="shared" si="3"/>
        <v>0.2847892271662763</v>
      </c>
      <c r="P50" s="1321">
        <v>1989</v>
      </c>
    </row>
    <row r="51" spans="1:16">
      <c r="A51" s="1034" t="s">
        <v>2805</v>
      </c>
      <c r="B51" s="826">
        <v>83</v>
      </c>
      <c r="C51" s="1035">
        <v>1</v>
      </c>
      <c r="D51" s="1035">
        <v>83</v>
      </c>
      <c r="E51" s="1035" t="s">
        <v>2805</v>
      </c>
      <c r="F51" s="1035"/>
      <c r="G51" s="1035"/>
      <c r="H51" s="1035" t="str">
        <f t="shared" si="0"/>
        <v/>
      </c>
      <c r="I51" s="1035" t="str">
        <f t="shared" si="1"/>
        <v/>
      </c>
      <c r="J51" s="1114"/>
      <c r="K51" s="1314">
        <v>6820990</v>
      </c>
      <c r="L51" s="1073">
        <v>2056160</v>
      </c>
      <c r="M51" s="1074">
        <v>0.30144597778328402</v>
      </c>
      <c r="N51" s="1315" t="str">
        <f t="shared" si="2"/>
        <v/>
      </c>
      <c r="O51" s="1325">
        <f t="shared" si="3"/>
        <v>1</v>
      </c>
      <c r="P51" s="1321">
        <v>2011</v>
      </c>
    </row>
    <row r="52" spans="1:16">
      <c r="A52" s="1034" t="s">
        <v>854</v>
      </c>
      <c r="B52" s="826">
        <v>84</v>
      </c>
      <c r="C52" s="1035">
        <v>2</v>
      </c>
      <c r="D52" s="1035">
        <v>83</v>
      </c>
      <c r="E52" s="1035" t="s">
        <v>2805</v>
      </c>
      <c r="F52" s="1035" t="s">
        <v>2805</v>
      </c>
      <c r="G52" s="1035" t="s">
        <v>6204</v>
      </c>
      <c r="H52" s="1035" t="str">
        <f t="shared" si="0"/>
        <v>Sorghuma</v>
      </c>
      <c r="I52" s="1035">
        <f t="shared" si="1"/>
        <v>83</v>
      </c>
      <c r="J52" s="1114">
        <v>0.9</v>
      </c>
      <c r="K52" s="1314" t="s">
        <v>7464</v>
      </c>
      <c r="L52" s="1073" t="s">
        <v>7465</v>
      </c>
      <c r="M52" s="1074">
        <v>0.86937901498929337</v>
      </c>
      <c r="N52" s="1315">
        <f t="shared" si="2"/>
        <v>0.78244111349036405</v>
      </c>
      <c r="O52" s="1325">
        <f t="shared" si="3"/>
        <v>0.90224760772323198</v>
      </c>
      <c r="P52" s="1321" t="s">
        <v>7739</v>
      </c>
    </row>
    <row r="53" spans="1:16">
      <c r="A53" s="1034" t="s">
        <v>4089</v>
      </c>
      <c r="B53" s="826">
        <v>85</v>
      </c>
      <c r="C53" s="1035">
        <v>2</v>
      </c>
      <c r="D53" s="1035">
        <v>83</v>
      </c>
      <c r="E53" s="1035" t="s">
        <v>2805</v>
      </c>
      <c r="F53" s="1035" t="s">
        <v>2805</v>
      </c>
      <c r="G53" s="1035" t="s">
        <v>6204</v>
      </c>
      <c r="H53" s="1035" t="str">
        <f t="shared" si="0"/>
        <v>Sorghuma</v>
      </c>
      <c r="I53" s="1035">
        <f t="shared" si="1"/>
        <v>83</v>
      </c>
      <c r="J53" s="1114">
        <v>0.08</v>
      </c>
      <c r="K53" s="1314">
        <v>17</v>
      </c>
      <c r="L53" s="1073">
        <v>696</v>
      </c>
      <c r="M53" s="1074">
        <v>2.4425287356321799E-2</v>
      </c>
      <c r="N53" s="1315">
        <f t="shared" si="2"/>
        <v>1.954022988505744E-3</v>
      </c>
      <c r="O53" s="1325">
        <f t="shared" si="3"/>
        <v>32.1140597052526</v>
      </c>
      <c r="P53" s="1321">
        <v>2004</v>
      </c>
    </row>
    <row r="54" spans="1:16">
      <c r="A54" s="1034" t="s">
        <v>321</v>
      </c>
      <c r="B54" s="826">
        <v>86</v>
      </c>
      <c r="C54" s="1035">
        <v>2</v>
      </c>
      <c r="D54" s="1035">
        <v>83</v>
      </c>
      <c r="E54" s="1035" t="s">
        <v>2805</v>
      </c>
      <c r="F54" s="1035" t="s">
        <v>2805</v>
      </c>
      <c r="G54" s="1035" t="s">
        <v>6205</v>
      </c>
      <c r="H54" s="1035" t="str">
        <f t="shared" si="0"/>
        <v>Sorghumb</v>
      </c>
      <c r="I54" s="1035">
        <f t="shared" si="1"/>
        <v>83</v>
      </c>
      <c r="J54" s="1114">
        <v>4.8499999999999996</v>
      </c>
      <c r="K54" s="1314" t="s">
        <v>7466</v>
      </c>
      <c r="L54" s="1073" t="s">
        <v>7467</v>
      </c>
      <c r="M54" s="1074">
        <v>0.44333333333333336</v>
      </c>
      <c r="N54" s="1315">
        <f t="shared" si="2"/>
        <v>2.1501666666666668</v>
      </c>
      <c r="O54" s="1325">
        <f t="shared" si="3"/>
        <v>4.8499999999999996</v>
      </c>
      <c r="P54" s="1321" t="s">
        <v>7739</v>
      </c>
    </row>
    <row r="55" spans="1:16">
      <c r="A55" s="1034" t="s">
        <v>3912</v>
      </c>
      <c r="B55" s="826">
        <v>89</v>
      </c>
      <c r="C55" s="1035">
        <v>1</v>
      </c>
      <c r="D55" s="1035">
        <v>89</v>
      </c>
      <c r="E55" s="1035" t="s">
        <v>3912</v>
      </c>
      <c r="F55" s="1035"/>
      <c r="G55" s="1035"/>
      <c r="H55" s="1035" t="str">
        <f t="shared" si="0"/>
        <v/>
      </c>
      <c r="I55" s="1035" t="str">
        <f t="shared" si="1"/>
        <v/>
      </c>
      <c r="J55" s="1114"/>
      <c r="K55" s="1314">
        <v>170704</v>
      </c>
      <c r="L55" s="1073">
        <v>152955</v>
      </c>
      <c r="M55" s="1074">
        <v>0.89602469772237303</v>
      </c>
      <c r="N55" s="1315" t="str">
        <f t="shared" si="2"/>
        <v/>
      </c>
      <c r="O55" s="1325">
        <f t="shared" si="3"/>
        <v>1</v>
      </c>
      <c r="P55" s="1321">
        <v>2011</v>
      </c>
    </row>
    <row r="56" spans="1:16">
      <c r="A56" s="1034" t="s">
        <v>2268</v>
      </c>
      <c r="B56" s="826">
        <v>90</v>
      </c>
      <c r="C56" s="1035">
        <v>2</v>
      </c>
      <c r="D56" s="1035">
        <v>89</v>
      </c>
      <c r="E56" s="1035" t="s">
        <v>3912</v>
      </c>
      <c r="F56" s="1035" t="s">
        <v>3912</v>
      </c>
      <c r="G56" s="1035" t="s">
        <v>6204</v>
      </c>
      <c r="H56" s="1035" t="str">
        <f t="shared" si="0"/>
        <v>Buckwheata</v>
      </c>
      <c r="I56" s="1035">
        <f t="shared" si="1"/>
        <v>89</v>
      </c>
      <c r="J56" s="1114">
        <v>0.75</v>
      </c>
      <c r="K56" s="1314" t="s">
        <v>7468</v>
      </c>
      <c r="L56" s="1073" t="s">
        <v>7469</v>
      </c>
      <c r="M56" s="1074">
        <v>0.21943159286186384</v>
      </c>
      <c r="N56" s="1315">
        <f t="shared" si="2"/>
        <v>0.16457369464639787</v>
      </c>
      <c r="O56" s="1325">
        <f t="shared" si="3"/>
        <v>5.1202656780970006</v>
      </c>
      <c r="P56" s="1321" t="s">
        <v>7739</v>
      </c>
    </row>
    <row r="57" spans="1:16">
      <c r="A57" s="1034" t="s">
        <v>976</v>
      </c>
      <c r="B57" s="826">
        <v>91</v>
      </c>
      <c r="C57" s="1035">
        <v>2</v>
      </c>
      <c r="D57" s="1035">
        <v>89</v>
      </c>
      <c r="E57" s="1035" t="s">
        <v>3912</v>
      </c>
      <c r="F57" s="1035" t="s">
        <v>3912</v>
      </c>
      <c r="G57" s="1035" t="s">
        <v>6204</v>
      </c>
      <c r="H57" s="1035" t="str">
        <f t="shared" si="0"/>
        <v>Buckwheata</v>
      </c>
      <c r="I57" s="1035">
        <f t="shared" si="1"/>
        <v>89</v>
      </c>
      <c r="J57" s="1114">
        <v>0.2</v>
      </c>
      <c r="K57" s="1314">
        <v>374</v>
      </c>
      <c r="L57" s="1073">
        <v>78</v>
      </c>
      <c r="M57" s="1074">
        <v>4.7948717948717903</v>
      </c>
      <c r="N57" s="1315">
        <f t="shared" si="2"/>
        <v>0.95897435897435812</v>
      </c>
      <c r="O57" s="1325">
        <f t="shared" si="3"/>
        <v>0.23432285610272474</v>
      </c>
      <c r="P57" s="1321">
        <v>1988</v>
      </c>
    </row>
    <row r="58" spans="1:16">
      <c r="A58" s="1034" t="s">
        <v>5557</v>
      </c>
      <c r="B58" s="826">
        <v>92</v>
      </c>
      <c r="C58" s="1035">
        <v>1</v>
      </c>
      <c r="D58" s="1035">
        <v>92</v>
      </c>
      <c r="E58" s="1035" t="s">
        <v>5557</v>
      </c>
      <c r="F58" s="1035"/>
      <c r="G58" s="1035"/>
      <c r="H58" s="1035" t="str">
        <f t="shared" si="0"/>
        <v/>
      </c>
      <c r="I58" s="1035" t="str">
        <f t="shared" si="1"/>
        <v/>
      </c>
      <c r="J58" s="1114"/>
      <c r="K58" s="1314" t="s">
        <v>7470</v>
      </c>
      <c r="L58" s="1073" t="s">
        <v>7471</v>
      </c>
      <c r="M58" s="1074">
        <v>0.39285714285714285</v>
      </c>
      <c r="N58" s="1315" t="str">
        <f t="shared" si="2"/>
        <v/>
      </c>
      <c r="O58" s="1325">
        <f t="shared" si="3"/>
        <v>1</v>
      </c>
      <c r="P58" s="1321" t="s">
        <v>7739</v>
      </c>
    </row>
    <row r="59" spans="1:16">
      <c r="A59" s="1034" t="s">
        <v>4472</v>
      </c>
      <c r="B59" s="826">
        <v>94</v>
      </c>
      <c r="C59" s="1035">
        <v>1</v>
      </c>
      <c r="D59" s="1035">
        <v>94</v>
      </c>
      <c r="E59" s="1035" t="s">
        <v>4472</v>
      </c>
      <c r="F59" s="1035"/>
      <c r="G59" s="1035"/>
      <c r="H59" s="1035" t="str">
        <f t="shared" si="0"/>
        <v/>
      </c>
      <c r="I59" s="1035" t="str">
        <f t="shared" si="1"/>
        <v/>
      </c>
      <c r="J59" s="1114"/>
      <c r="K59" s="1314">
        <v>2255</v>
      </c>
      <c r="L59" s="1073">
        <v>164</v>
      </c>
      <c r="M59" s="1074">
        <v>13.75</v>
      </c>
      <c r="N59" s="1315" t="str">
        <f t="shared" si="2"/>
        <v/>
      </c>
      <c r="O59" s="1325">
        <f t="shared" si="3"/>
        <v>1</v>
      </c>
      <c r="P59" s="1321">
        <v>1990</v>
      </c>
    </row>
    <row r="60" spans="1:16">
      <c r="A60" s="1034" t="s">
        <v>2160</v>
      </c>
      <c r="B60" s="826">
        <v>95</v>
      </c>
      <c r="C60" s="1035">
        <v>2</v>
      </c>
      <c r="D60" s="1035">
        <v>94</v>
      </c>
      <c r="E60" s="1035" t="s">
        <v>4472</v>
      </c>
      <c r="F60" s="1035" t="s">
        <v>4472</v>
      </c>
      <c r="G60" s="1035" t="s">
        <v>6204</v>
      </c>
      <c r="H60" s="1035" t="str">
        <f t="shared" si="0"/>
        <v>Fonioa</v>
      </c>
      <c r="I60" s="1035">
        <f t="shared" si="1"/>
        <v>94</v>
      </c>
      <c r="J60" s="1114">
        <v>0.8</v>
      </c>
      <c r="K60" s="1314">
        <v>7757</v>
      </c>
      <c r="L60" s="1073">
        <v>840</v>
      </c>
      <c r="M60" s="1074">
        <v>9.2345238095238091</v>
      </c>
      <c r="N60" s="1315">
        <f t="shared" si="2"/>
        <v>7.3876190476190473</v>
      </c>
      <c r="O60" s="1325">
        <f t="shared" si="3"/>
        <v>0.80177127458446218</v>
      </c>
      <c r="P60" s="1321">
        <v>1967</v>
      </c>
    </row>
    <row r="61" spans="1:16">
      <c r="A61" s="1034" t="s">
        <v>3394</v>
      </c>
      <c r="B61" s="826">
        <v>96</v>
      </c>
      <c r="C61" s="1035">
        <v>2</v>
      </c>
      <c r="D61" s="1035">
        <v>94</v>
      </c>
      <c r="E61" s="1035" t="s">
        <v>4472</v>
      </c>
      <c r="F61" s="1035" t="s">
        <v>4472</v>
      </c>
      <c r="G61" s="1035" t="s">
        <v>6204</v>
      </c>
      <c r="H61" s="1035" t="str">
        <f t="shared" si="0"/>
        <v>Fonioa</v>
      </c>
      <c r="I61" s="1035">
        <f t="shared" si="1"/>
        <v>94</v>
      </c>
      <c r="J61" s="1114">
        <v>0.15</v>
      </c>
      <c r="K61" s="1314" t="s">
        <v>7472</v>
      </c>
      <c r="L61" s="1073" t="s">
        <v>7473</v>
      </c>
      <c r="M61" s="1074">
        <v>0.1090458488228005</v>
      </c>
      <c r="N61" s="1315">
        <f t="shared" si="2"/>
        <v>1.6356877323420074E-2</v>
      </c>
      <c r="O61" s="1325">
        <f t="shared" si="3"/>
        <v>67.897824675324671</v>
      </c>
      <c r="P61" s="1321" t="s">
        <v>7739</v>
      </c>
    </row>
    <row r="62" spans="1:16">
      <c r="A62" s="1034" t="s">
        <v>4581</v>
      </c>
      <c r="B62" s="826">
        <v>97</v>
      </c>
      <c r="C62" s="1035">
        <v>1</v>
      </c>
      <c r="D62" s="1035">
        <v>97</v>
      </c>
      <c r="E62" s="1035" t="s">
        <v>4581</v>
      </c>
      <c r="F62" s="1035"/>
      <c r="G62" s="1035"/>
      <c r="H62" s="1035" t="str">
        <f t="shared" si="0"/>
        <v/>
      </c>
      <c r="I62" s="1035" t="str">
        <f t="shared" si="1"/>
        <v/>
      </c>
      <c r="J62" s="1114"/>
      <c r="K62" s="1314">
        <v>274850</v>
      </c>
      <c r="L62" s="1073">
        <v>79786</v>
      </c>
      <c r="M62" s="1074">
        <v>0.29028924868109901</v>
      </c>
      <c r="N62" s="1315" t="str">
        <f t="shared" si="2"/>
        <v/>
      </c>
      <c r="O62" s="1325">
        <f t="shared" si="3"/>
        <v>1</v>
      </c>
      <c r="P62" s="1321">
        <v>2011</v>
      </c>
    </row>
    <row r="63" spans="1:16">
      <c r="A63" s="1034" t="s">
        <v>5612</v>
      </c>
      <c r="B63" s="826">
        <v>101</v>
      </c>
      <c r="C63" s="1035">
        <v>1</v>
      </c>
      <c r="D63" s="1035">
        <v>101</v>
      </c>
      <c r="E63" s="1035" t="s">
        <v>5612</v>
      </c>
      <c r="F63" s="1035"/>
      <c r="G63" s="1035"/>
      <c r="H63" s="1035" t="str">
        <f t="shared" si="0"/>
        <v/>
      </c>
      <c r="I63" s="1035" t="str">
        <f t="shared" si="1"/>
        <v/>
      </c>
      <c r="J63" s="1114"/>
      <c r="K63" s="1314">
        <v>213931</v>
      </c>
      <c r="L63" s="1073">
        <v>159625</v>
      </c>
      <c r="M63" s="1074">
        <v>0.74615179660731701</v>
      </c>
      <c r="N63" s="1315" t="str">
        <f t="shared" si="2"/>
        <v/>
      </c>
      <c r="O63" s="1325">
        <f t="shared" si="3"/>
        <v>1</v>
      </c>
      <c r="P63" s="1321">
        <v>2011</v>
      </c>
    </row>
    <row r="64" spans="1:16">
      <c r="A64" s="1034" t="s">
        <v>2900</v>
      </c>
      <c r="B64" s="826">
        <v>103</v>
      </c>
      <c r="C64" s="1035">
        <v>1</v>
      </c>
      <c r="D64" s="1035">
        <v>103</v>
      </c>
      <c r="E64" s="1035" t="s">
        <v>2900</v>
      </c>
      <c r="F64" s="1035"/>
      <c r="G64" s="1035"/>
      <c r="H64" s="1035" t="str">
        <f t="shared" si="0"/>
        <v/>
      </c>
      <c r="I64" s="1035" t="str">
        <f t="shared" si="1"/>
        <v/>
      </c>
      <c r="J64" s="1114"/>
      <c r="K64" s="1314">
        <v>24872</v>
      </c>
      <c r="L64" s="1073">
        <v>29495</v>
      </c>
      <c r="M64" s="1074">
        <v>1.1858716629141199</v>
      </c>
      <c r="N64" s="1315" t="str">
        <f t="shared" si="2"/>
        <v/>
      </c>
      <c r="O64" s="1325">
        <f t="shared" si="3"/>
        <v>1</v>
      </c>
      <c r="P64" s="1321">
        <v>2011</v>
      </c>
    </row>
    <row r="65" spans="1:16">
      <c r="A65" s="1034" t="s">
        <v>1945</v>
      </c>
      <c r="B65" s="826">
        <v>104</v>
      </c>
      <c r="C65" s="1035">
        <v>2</v>
      </c>
      <c r="D65" s="1035">
        <v>103</v>
      </c>
      <c r="E65" s="1035" t="s">
        <v>2900</v>
      </c>
      <c r="F65" s="1035" t="s">
        <v>2900</v>
      </c>
      <c r="G65" s="1035" t="s">
        <v>6204</v>
      </c>
      <c r="H65" s="1035" t="str">
        <f t="shared" si="0"/>
        <v>Mixed graina</v>
      </c>
      <c r="I65" s="1035">
        <f t="shared" si="1"/>
        <v>103</v>
      </c>
      <c r="J65" s="1114">
        <v>0.9</v>
      </c>
      <c r="K65" s="1314">
        <v>52003</v>
      </c>
      <c r="L65" s="1073">
        <v>37322</v>
      </c>
      <c r="M65" s="1074">
        <v>0.71768936407514905</v>
      </c>
      <c r="N65" s="1315">
        <f t="shared" si="2"/>
        <v>0.64592042766763413</v>
      </c>
      <c r="O65" s="1325">
        <f t="shared" si="3"/>
        <v>0.93923988207718645</v>
      </c>
      <c r="P65" s="1321">
        <v>2011</v>
      </c>
    </row>
    <row r="66" spans="1:16">
      <c r="A66" s="1034" t="s">
        <v>3395</v>
      </c>
      <c r="B66" s="826">
        <v>105</v>
      </c>
      <c r="C66" s="1035">
        <v>2</v>
      </c>
      <c r="D66" s="1035">
        <v>103</v>
      </c>
      <c r="E66" s="1035" t="s">
        <v>2900</v>
      </c>
      <c r="F66" s="1035" t="s">
        <v>2900</v>
      </c>
      <c r="G66" s="1035" t="s">
        <v>6204</v>
      </c>
      <c r="H66" s="1035" t="str">
        <f t="shared" si="0"/>
        <v>Mixed graina</v>
      </c>
      <c r="I66" s="1035">
        <f t="shared" si="1"/>
        <v>103</v>
      </c>
      <c r="J66" s="1114">
        <v>0.08</v>
      </c>
      <c r="K66" s="1314" t="s">
        <v>7474</v>
      </c>
      <c r="L66" s="1073" t="s">
        <v>7475</v>
      </c>
      <c r="M66" s="1074">
        <v>0.35202557517949795</v>
      </c>
      <c r="N66" s="1315">
        <f t="shared" si="2"/>
        <v>2.8162046014359836E-2</v>
      </c>
      <c r="O66" s="1325">
        <f t="shared" si="3"/>
        <v>1.9148678994083856</v>
      </c>
      <c r="P66" s="1321" t="s">
        <v>7739</v>
      </c>
    </row>
    <row r="67" spans="1:16">
      <c r="A67" s="1034" t="s">
        <v>1940</v>
      </c>
      <c r="B67" s="826">
        <v>108</v>
      </c>
      <c r="C67" s="1035">
        <v>1</v>
      </c>
      <c r="D67" s="1035">
        <v>108</v>
      </c>
      <c r="E67" s="1035" t="s">
        <v>1940</v>
      </c>
      <c r="F67" s="1035"/>
      <c r="G67" s="1035"/>
      <c r="H67" s="1035" t="str">
        <f t="shared" si="0"/>
        <v/>
      </c>
      <c r="I67" s="1035" t="str">
        <f t="shared" si="1"/>
        <v/>
      </c>
      <c r="J67" s="1114"/>
      <c r="K67" s="1314" t="s">
        <v>7476</v>
      </c>
      <c r="L67" s="1073" t="s">
        <v>7477</v>
      </c>
      <c r="M67" s="1074">
        <v>0.58563703380377319</v>
      </c>
      <c r="N67" s="1315" t="str">
        <f t="shared" si="2"/>
        <v/>
      </c>
      <c r="O67" s="1325">
        <f t="shared" si="3"/>
        <v>1</v>
      </c>
      <c r="P67" s="1321" t="s">
        <v>7739</v>
      </c>
    </row>
    <row r="68" spans="1:16">
      <c r="A68" s="1034" t="s">
        <v>2786</v>
      </c>
      <c r="B68" s="826">
        <v>109</v>
      </c>
      <c r="C68" s="1035"/>
      <c r="D68" s="1035" t="s">
        <v>2862</v>
      </c>
      <c r="E68" s="1035"/>
      <c r="F68" s="1035"/>
      <c r="G68" s="1035"/>
      <c r="H68" s="1035" t="str">
        <f t="shared" si="0"/>
        <v/>
      </c>
      <c r="I68" s="1035" t="str">
        <f t="shared" si="1"/>
        <v/>
      </c>
      <c r="J68" s="1114"/>
      <c r="K68" s="1314">
        <v>912629</v>
      </c>
      <c r="L68" s="1073">
        <v>5667080</v>
      </c>
      <c r="M68" s="1074">
        <v>6.2096207768983902</v>
      </c>
      <c r="N68" s="1315" t="str">
        <f t="shared" si="2"/>
        <v/>
      </c>
      <c r="O68" s="1325">
        <f t="shared" si="3"/>
        <v>1</v>
      </c>
      <c r="P68" s="1321">
        <v>2011</v>
      </c>
    </row>
    <row r="69" spans="1:16">
      <c r="A69" s="1034" t="s">
        <v>3682</v>
      </c>
      <c r="B69" s="826">
        <v>110</v>
      </c>
      <c r="C69" s="1035">
        <v>3</v>
      </c>
      <c r="D69" s="1035">
        <v>103</v>
      </c>
      <c r="E69" s="1035" t="s">
        <v>2900</v>
      </c>
      <c r="F69" s="1035" t="s">
        <v>1945</v>
      </c>
      <c r="G69" s="1035" t="s">
        <v>6204</v>
      </c>
      <c r="H69" s="1035" t="str">
        <f t="shared" si="0"/>
        <v>Flour of Mixed Graina</v>
      </c>
      <c r="I69" s="1035">
        <f t="shared" si="1"/>
        <v>104</v>
      </c>
      <c r="J69" s="1114">
        <v>1</v>
      </c>
      <c r="K69" s="1314">
        <v>249580</v>
      </c>
      <c r="L69" s="1073">
        <v>836597</v>
      </c>
      <c r="M69" s="1074">
        <v>3.3520193925795301</v>
      </c>
      <c r="N69" s="1315">
        <f t="shared" si="2"/>
        <v>3.3520193925795301</v>
      </c>
      <c r="O69" s="1325">
        <f t="shared" si="3"/>
        <v>0.93923988207718645</v>
      </c>
      <c r="P69" s="1321">
        <v>2011</v>
      </c>
    </row>
    <row r="70" spans="1:16">
      <c r="A70" s="1034" t="s">
        <v>586</v>
      </c>
      <c r="B70" s="826">
        <v>111</v>
      </c>
      <c r="C70" s="1035">
        <v>2</v>
      </c>
      <c r="D70" s="1035">
        <v>108</v>
      </c>
      <c r="E70" s="1035" t="s">
        <v>1940</v>
      </c>
      <c r="F70" s="1035" t="s">
        <v>1940</v>
      </c>
      <c r="G70" s="1035" t="s">
        <v>6204</v>
      </c>
      <c r="H70" s="1035" t="str">
        <f t="shared" si="0"/>
        <v>Cereals, nesa</v>
      </c>
      <c r="I70" s="1035">
        <f t="shared" si="1"/>
        <v>108</v>
      </c>
      <c r="J70" s="1114">
        <v>0.9</v>
      </c>
      <c r="K70" s="1314">
        <v>553913</v>
      </c>
      <c r="L70" s="1073">
        <v>381041</v>
      </c>
      <c r="M70" s="1074">
        <v>0.68790766781064905</v>
      </c>
      <c r="N70" s="1315">
        <f t="shared" si="2"/>
        <v>0.61911690102958417</v>
      </c>
      <c r="O70" s="1325">
        <f t="shared" si="3"/>
        <v>0.92802741472591088</v>
      </c>
      <c r="P70" s="1321">
        <v>2011</v>
      </c>
    </row>
    <row r="71" spans="1:16">
      <c r="A71" s="1034" t="s">
        <v>3393</v>
      </c>
      <c r="B71" s="826">
        <v>112</v>
      </c>
      <c r="C71" s="1035">
        <v>2</v>
      </c>
      <c r="D71" s="1035">
        <v>108</v>
      </c>
      <c r="E71" s="1035" t="s">
        <v>1940</v>
      </c>
      <c r="F71" s="1035" t="s">
        <v>1940</v>
      </c>
      <c r="G71" s="1035" t="s">
        <v>6204</v>
      </c>
      <c r="H71" s="1035" t="str">
        <f t="shared" si="0"/>
        <v>Cereals, nesa</v>
      </c>
      <c r="I71" s="1035">
        <f t="shared" si="1"/>
        <v>108</v>
      </c>
      <c r="J71" s="1114">
        <v>0.08</v>
      </c>
      <c r="K71" s="1314" t="s">
        <v>7478</v>
      </c>
      <c r="L71" s="1073" t="s">
        <v>7479</v>
      </c>
      <c r="M71" s="1074">
        <v>0.2410034187357892</v>
      </c>
      <c r="N71" s="1315">
        <f t="shared" si="2"/>
        <v>1.9280273498863135E-2</v>
      </c>
      <c r="O71" s="1325">
        <f t="shared" si="3"/>
        <v>2.6489133551599902</v>
      </c>
      <c r="P71" s="1321" t="s">
        <v>7739</v>
      </c>
    </row>
    <row r="72" spans="1:16">
      <c r="A72" s="1034" t="s">
        <v>276</v>
      </c>
      <c r="B72" s="826">
        <v>113</v>
      </c>
      <c r="C72" s="1035">
        <v>2</v>
      </c>
      <c r="D72" s="1035">
        <v>108</v>
      </c>
      <c r="E72" s="1035" t="s">
        <v>1940</v>
      </c>
      <c r="F72" s="1035" t="s">
        <v>1940</v>
      </c>
      <c r="G72" s="1035" t="s">
        <v>6205</v>
      </c>
      <c r="H72" s="1035" t="str">
        <f t="shared" ref="H72:H135" si="4">F72&amp;G72</f>
        <v>Cereals, nesb</v>
      </c>
      <c r="I72" s="1035">
        <f t="shared" ref="I72:I135" si="5">IFERROR(VLOOKUP(F72,$A$7:$B$590,2,FALSE),"")</f>
        <v>108</v>
      </c>
      <c r="J72" s="1114">
        <v>0.85</v>
      </c>
      <c r="K72" s="1314">
        <v>1507330</v>
      </c>
      <c r="L72" s="1073">
        <v>728235</v>
      </c>
      <c r="M72" s="1074">
        <v>0.48312910908692902</v>
      </c>
      <c r="N72" s="1315">
        <f t="shared" ref="N72:N135" si="6">IF(ISBLANK(J72),"",J72*M72)</f>
        <v>0.41065974272388966</v>
      </c>
      <c r="O72" s="1325">
        <f t="shared" ref="O72:O135" si="7">IF(ISBLANK(F72),1,J72/(N72/SUMIF(H$7:H$601,H72,N$7:N$601))*VLOOKUP(F72,A$7:O$601,15,FALSE))</f>
        <v>0.85</v>
      </c>
      <c r="P72" s="1321">
        <v>2011</v>
      </c>
    </row>
    <row r="73" spans="1:16">
      <c r="A73" s="1034" t="s">
        <v>256</v>
      </c>
      <c r="B73" s="826">
        <v>114</v>
      </c>
      <c r="C73" s="1035"/>
      <c r="D73" s="1035" t="s">
        <v>2862</v>
      </c>
      <c r="E73" s="1035"/>
      <c r="F73" s="1035"/>
      <c r="G73" s="1035"/>
      <c r="H73" s="1035" t="str">
        <f t="shared" si="4"/>
        <v/>
      </c>
      <c r="I73" s="1035" t="str">
        <f t="shared" si="5"/>
        <v/>
      </c>
      <c r="J73" s="1114"/>
      <c r="K73" s="1314">
        <v>1273750</v>
      </c>
      <c r="L73" s="1073">
        <v>2656500</v>
      </c>
      <c r="M73" s="1074">
        <v>2.0855740922472998</v>
      </c>
      <c r="N73" s="1315" t="str">
        <f t="shared" si="6"/>
        <v/>
      </c>
      <c r="O73" s="1325">
        <f t="shared" si="7"/>
        <v>1</v>
      </c>
      <c r="P73" s="1321">
        <v>2011</v>
      </c>
    </row>
    <row r="74" spans="1:16">
      <c r="A74" s="1034" t="s">
        <v>4150</v>
      </c>
      <c r="B74" s="826">
        <v>115</v>
      </c>
      <c r="C74" s="1035"/>
      <c r="D74" s="1035" t="s">
        <v>2862</v>
      </c>
      <c r="E74" s="1035"/>
      <c r="F74" s="1035"/>
      <c r="G74" s="1035"/>
      <c r="H74" s="1035" t="str">
        <f t="shared" si="4"/>
        <v/>
      </c>
      <c r="I74" s="1035" t="str">
        <f t="shared" si="5"/>
        <v/>
      </c>
      <c r="J74" s="1114"/>
      <c r="K74" s="1314">
        <v>2043840</v>
      </c>
      <c r="L74" s="1073">
        <v>5227340</v>
      </c>
      <c r="M74" s="1074">
        <v>2.5576072490997301</v>
      </c>
      <c r="N74" s="1315" t="str">
        <f t="shared" si="6"/>
        <v/>
      </c>
      <c r="O74" s="1325">
        <f t="shared" si="7"/>
        <v>1</v>
      </c>
      <c r="P74" s="1321">
        <v>2011</v>
      </c>
    </row>
    <row r="75" spans="1:16">
      <c r="A75" s="1034" t="s">
        <v>3261</v>
      </c>
      <c r="B75" s="826">
        <v>116</v>
      </c>
      <c r="C75" s="1035">
        <v>1</v>
      </c>
      <c r="D75" s="1035">
        <v>116</v>
      </c>
      <c r="E75" s="1035" t="s">
        <v>3261</v>
      </c>
      <c r="F75" s="1035"/>
      <c r="G75" s="1035"/>
      <c r="H75" s="1035" t="str">
        <f t="shared" si="4"/>
        <v/>
      </c>
      <c r="I75" s="1035" t="str">
        <f t="shared" si="5"/>
        <v/>
      </c>
      <c r="J75" s="1114"/>
      <c r="K75" s="1314">
        <v>12243400</v>
      </c>
      <c r="L75" s="1073">
        <v>4936530</v>
      </c>
      <c r="M75" s="1074">
        <v>0.40319927471127298</v>
      </c>
      <c r="N75" s="1315" t="str">
        <f t="shared" si="6"/>
        <v/>
      </c>
      <c r="O75" s="1325">
        <f t="shared" si="7"/>
        <v>1</v>
      </c>
      <c r="P75" s="1321">
        <v>2011</v>
      </c>
    </row>
    <row r="76" spans="1:16">
      <c r="A76" s="1034" t="s">
        <v>3817</v>
      </c>
      <c r="B76" s="826">
        <v>117</v>
      </c>
      <c r="C76" s="1035">
        <v>2</v>
      </c>
      <c r="D76" s="1035">
        <v>116</v>
      </c>
      <c r="E76" s="1035" t="s">
        <v>3261</v>
      </c>
      <c r="F76" s="1035" t="s">
        <v>3261</v>
      </c>
      <c r="G76" s="1035" t="s">
        <v>6204</v>
      </c>
      <c r="H76" s="1035" t="str">
        <f t="shared" si="4"/>
        <v>Potatoesa</v>
      </c>
      <c r="I76" s="1035">
        <f t="shared" si="5"/>
        <v>116</v>
      </c>
      <c r="J76" s="1114">
        <v>0.2</v>
      </c>
      <c r="K76" s="1314">
        <v>421863</v>
      </c>
      <c r="L76" s="1073">
        <v>589293</v>
      </c>
      <c r="M76" s="1074">
        <v>1.39688240021049</v>
      </c>
      <c r="N76" s="1315">
        <f t="shared" si="6"/>
        <v>0.27937648004209803</v>
      </c>
      <c r="O76" s="1325">
        <f t="shared" si="7"/>
        <v>0.2</v>
      </c>
      <c r="P76" s="1321">
        <v>2011</v>
      </c>
    </row>
    <row r="77" spans="1:16">
      <c r="A77" s="1034" t="s">
        <v>2041</v>
      </c>
      <c r="B77" s="826">
        <v>118</v>
      </c>
      <c r="C77" s="1035">
        <v>2</v>
      </c>
      <c r="D77" s="1035">
        <v>116</v>
      </c>
      <c r="E77" s="1035" t="s">
        <v>3261</v>
      </c>
      <c r="F77" s="1035" t="s">
        <v>3261</v>
      </c>
      <c r="G77" s="1035" t="s">
        <v>6205</v>
      </c>
      <c r="H77" s="1035" t="str">
        <f t="shared" si="4"/>
        <v>Potatoesb</v>
      </c>
      <c r="I77" s="1035">
        <f t="shared" si="5"/>
        <v>116</v>
      </c>
      <c r="J77" s="1114">
        <v>0.5</v>
      </c>
      <c r="K77" s="1314">
        <v>5735450</v>
      </c>
      <c r="L77" s="1073">
        <v>5842180</v>
      </c>
      <c r="M77" s="1074">
        <v>1.0186088275549401</v>
      </c>
      <c r="N77" s="1315">
        <f t="shared" si="6"/>
        <v>0.50930441377747004</v>
      </c>
      <c r="O77" s="1325">
        <f t="shared" si="7"/>
        <v>1.1128382234236571</v>
      </c>
      <c r="P77" s="1321">
        <v>2011</v>
      </c>
    </row>
    <row r="78" spans="1:16">
      <c r="A78" s="1034" t="s">
        <v>2079</v>
      </c>
      <c r="B78" s="826">
        <v>120</v>
      </c>
      <c r="C78" s="1035">
        <v>2</v>
      </c>
      <c r="D78" s="1035">
        <v>116</v>
      </c>
      <c r="E78" s="1035" t="s">
        <v>3261</v>
      </c>
      <c r="F78" s="1035" t="s">
        <v>3261</v>
      </c>
      <c r="G78" s="1035" t="s">
        <v>6205</v>
      </c>
      <c r="H78" s="1035" t="str">
        <f t="shared" si="4"/>
        <v>Potatoesb</v>
      </c>
      <c r="I78" s="1035">
        <f t="shared" si="5"/>
        <v>116</v>
      </c>
      <c r="J78" s="1114">
        <v>0.6</v>
      </c>
      <c r="K78" s="1314">
        <v>1751</v>
      </c>
      <c r="L78" s="1073">
        <v>1683</v>
      </c>
      <c r="M78" s="1074">
        <v>1.04040404040404</v>
      </c>
      <c r="N78" s="1315">
        <f t="shared" si="6"/>
        <v>0.62424242424242393</v>
      </c>
      <c r="O78" s="1325">
        <f t="shared" si="7"/>
        <v>1.0895256015919372</v>
      </c>
      <c r="P78" s="1321">
        <v>2001</v>
      </c>
    </row>
    <row r="79" spans="1:16">
      <c r="A79" s="1034" t="s">
        <v>4808</v>
      </c>
      <c r="B79" s="826">
        <v>121</v>
      </c>
      <c r="C79" s="1035">
        <v>2</v>
      </c>
      <c r="D79" s="1035">
        <v>116</v>
      </c>
      <c r="E79" s="1035" t="s">
        <v>3261</v>
      </c>
      <c r="F79" s="1035" t="s">
        <v>3261</v>
      </c>
      <c r="G79" s="1035" t="s">
        <v>6206</v>
      </c>
      <c r="H79" s="1035" t="str">
        <f t="shared" si="4"/>
        <v>Potatoesc</v>
      </c>
      <c r="I79" s="1035">
        <f t="shared" si="5"/>
        <v>116</v>
      </c>
      <c r="J79" s="1114">
        <v>0.2</v>
      </c>
      <c r="K79" s="1314" t="s">
        <v>7480</v>
      </c>
      <c r="L79" s="1073" t="s">
        <v>7481</v>
      </c>
      <c r="M79" s="1074">
        <v>0.7916356499966164</v>
      </c>
      <c r="N79" s="1315">
        <f t="shared" si="6"/>
        <v>0.1583271299993233</v>
      </c>
      <c r="O79" s="1325">
        <f t="shared" si="7"/>
        <v>0.2</v>
      </c>
      <c r="P79" s="1321" t="s">
        <v>7739</v>
      </c>
    </row>
    <row r="80" spans="1:16">
      <c r="A80" s="1034" t="s">
        <v>3917</v>
      </c>
      <c r="B80" s="826">
        <v>122</v>
      </c>
      <c r="C80" s="1035">
        <v>1</v>
      </c>
      <c r="D80" s="1035">
        <v>122</v>
      </c>
      <c r="E80" s="1035" t="s">
        <v>3917</v>
      </c>
      <c r="F80" s="1035"/>
      <c r="G80" s="1035"/>
      <c r="H80" s="1035" t="str">
        <f t="shared" si="4"/>
        <v/>
      </c>
      <c r="I80" s="1035" t="str">
        <f t="shared" si="5"/>
        <v/>
      </c>
      <c r="J80" s="1114"/>
      <c r="K80" s="1314">
        <v>270050</v>
      </c>
      <c r="L80" s="1073">
        <v>211390</v>
      </c>
      <c r="M80" s="1074">
        <v>0.78278096648768702</v>
      </c>
      <c r="N80" s="1315" t="str">
        <f t="shared" si="6"/>
        <v/>
      </c>
      <c r="O80" s="1325">
        <f t="shared" si="7"/>
        <v>1</v>
      </c>
      <c r="P80" s="1321">
        <v>2011</v>
      </c>
    </row>
    <row r="81" spans="1:16">
      <c r="A81" s="1034" t="s">
        <v>4664</v>
      </c>
      <c r="B81" s="826">
        <v>125</v>
      </c>
      <c r="C81" s="1035">
        <v>1</v>
      </c>
      <c r="D81" s="1035">
        <v>125</v>
      </c>
      <c r="E81" s="1035" t="s">
        <v>4664</v>
      </c>
      <c r="F81" s="1035"/>
      <c r="G81" s="1035"/>
      <c r="H81" s="1035" t="str">
        <f t="shared" si="4"/>
        <v/>
      </c>
      <c r="I81" s="1035" t="str">
        <f t="shared" si="5"/>
        <v/>
      </c>
      <c r="J81" s="1114"/>
      <c r="K81" s="1314">
        <v>848</v>
      </c>
      <c r="L81" s="1073">
        <v>85</v>
      </c>
      <c r="M81" s="1074">
        <v>9.9764705882352906</v>
      </c>
      <c r="N81" s="1315" t="str">
        <f t="shared" si="6"/>
        <v/>
      </c>
      <c r="O81" s="1325">
        <f t="shared" si="7"/>
        <v>1</v>
      </c>
      <c r="P81" s="1321">
        <v>2000</v>
      </c>
    </row>
    <row r="82" spans="1:16">
      <c r="A82" s="1034" t="s">
        <v>2270</v>
      </c>
      <c r="B82" s="826">
        <v>126</v>
      </c>
      <c r="C82" s="1035">
        <v>2</v>
      </c>
      <c r="D82" s="1035">
        <v>125</v>
      </c>
      <c r="E82" s="1035" t="s">
        <v>4664</v>
      </c>
      <c r="F82" s="1035" t="s">
        <v>4664</v>
      </c>
      <c r="G82" s="1035" t="s">
        <v>6204</v>
      </c>
      <c r="H82" s="1035" t="str">
        <f t="shared" si="4"/>
        <v>Cassavaa</v>
      </c>
      <c r="I82" s="1035">
        <f t="shared" si="5"/>
        <v>125</v>
      </c>
      <c r="J82" s="1114">
        <v>0.3</v>
      </c>
      <c r="K82" s="1314" t="s">
        <v>7482</v>
      </c>
      <c r="L82" s="1073" t="s">
        <v>7483</v>
      </c>
      <c r="M82" s="1074">
        <v>0.36435160065111233</v>
      </c>
      <c r="N82" s="1315">
        <f t="shared" si="6"/>
        <v>0.10930548019533369</v>
      </c>
      <c r="O82" s="1325">
        <f t="shared" si="7"/>
        <v>0.3</v>
      </c>
      <c r="P82" s="1321" t="s">
        <v>7739</v>
      </c>
    </row>
    <row r="83" spans="1:16">
      <c r="A83" s="1034" t="s">
        <v>4806</v>
      </c>
      <c r="B83" s="826">
        <v>127</v>
      </c>
      <c r="C83" s="1035">
        <v>2</v>
      </c>
      <c r="D83" s="1035">
        <v>125</v>
      </c>
      <c r="E83" s="1035" t="s">
        <v>4664</v>
      </c>
      <c r="F83" s="1035" t="s">
        <v>4664</v>
      </c>
      <c r="G83" s="1035" t="s">
        <v>6205</v>
      </c>
      <c r="H83" s="1035" t="str">
        <f t="shared" si="4"/>
        <v>Cassavab</v>
      </c>
      <c r="I83" s="1035">
        <f t="shared" si="5"/>
        <v>125</v>
      </c>
      <c r="J83" s="1114">
        <v>0.2</v>
      </c>
      <c r="K83" s="1314" t="s">
        <v>7484</v>
      </c>
      <c r="L83" s="1073" t="s">
        <v>7485</v>
      </c>
      <c r="M83" s="1074">
        <v>0.677738052057965</v>
      </c>
      <c r="N83" s="1315">
        <f t="shared" si="6"/>
        <v>0.13554761041159299</v>
      </c>
      <c r="O83" s="1325">
        <f t="shared" si="7"/>
        <v>0.2</v>
      </c>
      <c r="P83" s="1321" t="s">
        <v>7739</v>
      </c>
    </row>
    <row r="84" spans="1:16">
      <c r="A84" s="1034" t="s">
        <v>4505</v>
      </c>
      <c r="B84" s="826">
        <v>128</v>
      </c>
      <c r="C84" s="1035">
        <v>2</v>
      </c>
      <c r="D84" s="1035">
        <v>125</v>
      </c>
      <c r="E84" s="1035" t="s">
        <v>4664</v>
      </c>
      <c r="F84" s="1035" t="s">
        <v>4664</v>
      </c>
      <c r="G84" s="1035" t="s">
        <v>6206</v>
      </c>
      <c r="H84" s="1035" t="str">
        <f t="shared" si="4"/>
        <v>Cassavac</v>
      </c>
      <c r="I84" s="1035">
        <f t="shared" si="5"/>
        <v>125</v>
      </c>
      <c r="J84" s="1114">
        <v>0.35</v>
      </c>
      <c r="K84" s="1314">
        <v>5855300</v>
      </c>
      <c r="L84" s="1073">
        <v>1614910</v>
      </c>
      <c r="M84" s="1074">
        <v>0.27580311854217499</v>
      </c>
      <c r="N84" s="1315">
        <f t="shared" si="6"/>
        <v>9.6531091489761245E-2</v>
      </c>
      <c r="O84" s="1325">
        <f t="shared" si="7"/>
        <v>0.35</v>
      </c>
      <c r="P84" s="1321">
        <v>2011</v>
      </c>
    </row>
    <row r="85" spans="1:16">
      <c r="A85" s="1034" t="s">
        <v>4507</v>
      </c>
      <c r="B85" s="826">
        <v>129</v>
      </c>
      <c r="C85" s="1035">
        <v>2</v>
      </c>
      <c r="D85" s="1035">
        <v>125</v>
      </c>
      <c r="E85" s="1035" t="s">
        <v>4664</v>
      </c>
      <c r="F85" s="1035" t="s">
        <v>4664</v>
      </c>
      <c r="G85" s="1035" t="s">
        <v>6207</v>
      </c>
      <c r="H85" s="1035" t="str">
        <f t="shared" si="4"/>
        <v>Cassavad</v>
      </c>
      <c r="I85" s="1035">
        <f t="shared" si="5"/>
        <v>125</v>
      </c>
      <c r="J85" s="1114">
        <v>0.25</v>
      </c>
      <c r="K85" s="1314">
        <v>2354520</v>
      </c>
      <c r="L85" s="1073">
        <v>1254870</v>
      </c>
      <c r="M85" s="1074">
        <v>0.53296213240915302</v>
      </c>
      <c r="N85" s="1315">
        <f t="shared" si="6"/>
        <v>0.13324053310228826</v>
      </c>
      <c r="O85" s="1325">
        <f t="shared" si="7"/>
        <v>0.25</v>
      </c>
      <c r="P85" s="1321">
        <v>2011</v>
      </c>
    </row>
    <row r="86" spans="1:16">
      <c r="A86" s="1034" t="s">
        <v>3934</v>
      </c>
      <c r="B86" s="826">
        <v>135</v>
      </c>
      <c r="C86" s="1035">
        <v>1</v>
      </c>
      <c r="D86" s="1035">
        <v>135</v>
      </c>
      <c r="E86" s="1035" t="s">
        <v>3934</v>
      </c>
      <c r="F86" s="1035"/>
      <c r="G86" s="1035"/>
      <c r="H86" s="1035" t="str">
        <f t="shared" si="4"/>
        <v/>
      </c>
      <c r="I86" s="1035" t="str">
        <f t="shared" si="5"/>
        <v/>
      </c>
      <c r="J86" s="1114"/>
      <c r="K86" s="1314" t="s">
        <v>7486</v>
      </c>
      <c r="L86" s="1073" t="s">
        <v>7487</v>
      </c>
      <c r="M86" s="1074">
        <v>0.69437846397466352</v>
      </c>
      <c r="N86" s="1315" t="str">
        <f t="shared" si="6"/>
        <v/>
      </c>
      <c r="O86" s="1325">
        <f t="shared" si="7"/>
        <v>1</v>
      </c>
      <c r="P86" s="1321" t="s">
        <v>7739</v>
      </c>
    </row>
    <row r="87" spans="1:16">
      <c r="A87" s="1034" t="s">
        <v>741</v>
      </c>
      <c r="B87" s="826">
        <v>136</v>
      </c>
      <c r="C87" s="1035">
        <v>1</v>
      </c>
      <c r="D87" s="1035">
        <v>136</v>
      </c>
      <c r="E87" s="1035" t="s">
        <v>741</v>
      </c>
      <c r="F87" s="1035"/>
      <c r="G87" s="1035"/>
      <c r="H87" s="1035" t="str">
        <f t="shared" si="4"/>
        <v/>
      </c>
      <c r="I87" s="1035" t="str">
        <f t="shared" si="5"/>
        <v/>
      </c>
      <c r="J87" s="1114"/>
      <c r="K87" s="1314" t="s">
        <v>7488</v>
      </c>
      <c r="L87" s="1073" t="s">
        <v>7489</v>
      </c>
      <c r="M87" s="1074">
        <v>1.0018835730272342</v>
      </c>
      <c r="N87" s="1315" t="str">
        <f t="shared" si="6"/>
        <v/>
      </c>
      <c r="O87" s="1325">
        <f t="shared" si="7"/>
        <v>1</v>
      </c>
      <c r="P87" s="1321" t="s">
        <v>7739</v>
      </c>
    </row>
    <row r="88" spans="1:16">
      <c r="A88" s="1034" t="s">
        <v>1217</v>
      </c>
      <c r="B88" s="826">
        <v>137</v>
      </c>
      <c r="C88" s="1035">
        <v>1</v>
      </c>
      <c r="D88" s="1035">
        <v>137</v>
      </c>
      <c r="E88" s="1035" t="s">
        <v>1217</v>
      </c>
      <c r="F88" s="1035"/>
      <c r="G88" s="1035"/>
      <c r="H88" s="1035" t="str">
        <f t="shared" si="4"/>
        <v/>
      </c>
      <c r="I88" s="1035" t="str">
        <f t="shared" si="5"/>
        <v/>
      </c>
      <c r="J88" s="1114"/>
      <c r="K88" s="1314" t="s">
        <v>7490</v>
      </c>
      <c r="L88" s="1073" t="s">
        <v>7491</v>
      </c>
      <c r="M88" s="1074">
        <v>0.92481732182409071</v>
      </c>
      <c r="N88" s="1315" t="str">
        <f t="shared" si="6"/>
        <v/>
      </c>
      <c r="O88" s="1325">
        <f t="shared" si="7"/>
        <v>1</v>
      </c>
      <c r="P88" s="1321" t="s">
        <v>7739</v>
      </c>
    </row>
    <row r="89" spans="1:16">
      <c r="A89" s="1034" t="s">
        <v>672</v>
      </c>
      <c r="B89" s="826">
        <v>149</v>
      </c>
      <c r="C89" s="1035">
        <v>1</v>
      </c>
      <c r="D89" s="1035">
        <v>149</v>
      </c>
      <c r="E89" s="1035" t="s">
        <v>672</v>
      </c>
      <c r="F89" s="1035"/>
      <c r="G89" s="1035"/>
      <c r="H89" s="1035" t="str">
        <f t="shared" si="4"/>
        <v/>
      </c>
      <c r="I89" s="1035" t="str">
        <f t="shared" si="5"/>
        <v/>
      </c>
      <c r="J89" s="1114"/>
      <c r="K89" s="1314">
        <v>163035</v>
      </c>
      <c r="L89" s="1073">
        <v>178911</v>
      </c>
      <c r="M89" s="1074">
        <v>1.09737786364891</v>
      </c>
      <c r="N89" s="1315" t="str">
        <f t="shared" si="6"/>
        <v/>
      </c>
      <c r="O89" s="1325">
        <f t="shared" si="7"/>
        <v>1</v>
      </c>
      <c r="P89" s="1321">
        <v>2011</v>
      </c>
    </row>
    <row r="90" spans="1:16">
      <c r="A90" s="1034" t="s">
        <v>589</v>
      </c>
      <c r="B90" s="826">
        <v>150</v>
      </c>
      <c r="C90" s="1035">
        <v>2</v>
      </c>
      <c r="D90" s="1035">
        <v>135</v>
      </c>
      <c r="E90" s="1035" t="s">
        <v>3934</v>
      </c>
      <c r="F90" s="1035" t="s">
        <v>3934</v>
      </c>
      <c r="G90" s="1035" t="s">
        <v>6204</v>
      </c>
      <c r="H90" s="1035" t="str">
        <f t="shared" si="4"/>
        <v>Yautia (cocoyam)a</v>
      </c>
      <c r="I90" s="1035">
        <f t="shared" si="5"/>
        <v>135</v>
      </c>
      <c r="J90" s="1114">
        <v>0.25</v>
      </c>
      <c r="K90" s="1314">
        <v>66462</v>
      </c>
      <c r="L90" s="1073">
        <v>44155</v>
      </c>
      <c r="M90" s="1074">
        <v>0.66436459931991199</v>
      </c>
      <c r="N90" s="1315">
        <f t="shared" si="6"/>
        <v>0.166091149829978</v>
      </c>
      <c r="O90" s="1325">
        <f t="shared" si="7"/>
        <v>0.25</v>
      </c>
      <c r="P90" s="1321">
        <v>2011</v>
      </c>
    </row>
    <row r="91" spans="1:16">
      <c r="A91" s="1034" t="s">
        <v>671</v>
      </c>
      <c r="B91" s="826">
        <v>151</v>
      </c>
      <c r="C91" s="1035">
        <v>2</v>
      </c>
      <c r="D91" s="1035">
        <v>135</v>
      </c>
      <c r="E91" s="1035" t="s">
        <v>3934</v>
      </c>
      <c r="F91" s="1035" t="s">
        <v>3934</v>
      </c>
      <c r="G91" s="1035" t="s">
        <v>6205</v>
      </c>
      <c r="H91" s="1035" t="str">
        <f t="shared" si="4"/>
        <v>Yautia (cocoyam)b</v>
      </c>
      <c r="I91" s="1035">
        <f t="shared" si="5"/>
        <v>135</v>
      </c>
      <c r="J91" s="1114">
        <v>0.3</v>
      </c>
      <c r="K91" s="1314" t="s">
        <v>7492</v>
      </c>
      <c r="L91" s="1073" t="s">
        <v>7493</v>
      </c>
      <c r="M91" s="1074">
        <v>1.5041095890410958</v>
      </c>
      <c r="N91" s="1315">
        <f t="shared" si="6"/>
        <v>0.4512328767123287</v>
      </c>
      <c r="O91" s="1325">
        <f t="shared" si="7"/>
        <v>0.3</v>
      </c>
      <c r="P91" s="1321" t="s">
        <v>7739</v>
      </c>
    </row>
    <row r="92" spans="1:16">
      <c r="A92" s="1034" t="s">
        <v>1060</v>
      </c>
      <c r="B92" s="826">
        <v>156</v>
      </c>
      <c r="C92" s="1035">
        <v>1</v>
      </c>
      <c r="D92" s="1035">
        <v>156</v>
      </c>
      <c r="E92" s="1035" t="s">
        <v>1060</v>
      </c>
      <c r="F92" s="1035"/>
      <c r="G92" s="1035"/>
      <c r="H92" s="1035" t="str">
        <f t="shared" si="4"/>
        <v/>
      </c>
      <c r="I92" s="1035" t="str">
        <f t="shared" si="5"/>
        <v/>
      </c>
      <c r="J92" s="1114"/>
      <c r="K92" s="1314" t="s">
        <v>7494</v>
      </c>
      <c r="L92" s="1073" t="s">
        <v>7495</v>
      </c>
      <c r="M92" s="1074">
        <v>0.1079585853568263</v>
      </c>
      <c r="N92" s="1315" t="str">
        <f t="shared" si="6"/>
        <v/>
      </c>
      <c r="O92" s="1325">
        <f t="shared" si="7"/>
        <v>1</v>
      </c>
      <c r="P92" s="1321" t="s">
        <v>7739</v>
      </c>
    </row>
    <row r="93" spans="1:16">
      <c r="A93" s="1034" t="s">
        <v>1059</v>
      </c>
      <c r="B93" s="826">
        <v>157</v>
      </c>
      <c r="C93" s="1035">
        <v>1</v>
      </c>
      <c r="D93" s="1035">
        <v>157</v>
      </c>
      <c r="E93" s="1035" t="s">
        <v>1059</v>
      </c>
      <c r="F93" s="1035"/>
      <c r="G93" s="1035"/>
      <c r="H93" s="1035" t="str">
        <f t="shared" si="4"/>
        <v/>
      </c>
      <c r="I93" s="1035" t="str">
        <f t="shared" si="5"/>
        <v/>
      </c>
      <c r="J93" s="1114"/>
      <c r="K93" s="1314">
        <v>1060160</v>
      </c>
      <c r="L93" s="1073">
        <v>84945</v>
      </c>
      <c r="M93" s="1074">
        <v>8.0124698158768506E-2</v>
      </c>
      <c r="N93" s="1315" t="str">
        <f t="shared" si="6"/>
        <v/>
      </c>
      <c r="O93" s="1325">
        <f t="shared" si="7"/>
        <v>1</v>
      </c>
      <c r="P93" s="1321">
        <v>2011</v>
      </c>
    </row>
    <row r="94" spans="1:16">
      <c r="A94" s="1034" t="s">
        <v>2204</v>
      </c>
      <c r="B94" s="826">
        <v>160</v>
      </c>
      <c r="C94" s="1035"/>
      <c r="D94" s="1035" t="s">
        <v>2862</v>
      </c>
      <c r="E94" s="1035"/>
      <c r="F94" s="1035"/>
      <c r="G94" s="1035"/>
      <c r="H94" s="1035" t="str">
        <f t="shared" si="4"/>
        <v/>
      </c>
      <c r="I94" s="1035" t="str">
        <f t="shared" si="5"/>
        <v/>
      </c>
      <c r="J94" s="1114"/>
      <c r="K94" s="1314">
        <v>39932</v>
      </c>
      <c r="L94" s="1073">
        <v>285989</v>
      </c>
      <c r="M94" s="1074">
        <v>7.1619002303916703</v>
      </c>
      <c r="N94" s="1315" t="str">
        <f t="shared" si="6"/>
        <v/>
      </c>
      <c r="O94" s="1325">
        <f t="shared" si="7"/>
        <v>1</v>
      </c>
      <c r="P94" s="1321">
        <v>2011</v>
      </c>
    </row>
    <row r="95" spans="1:16">
      <c r="A95" s="1034" t="s">
        <v>679</v>
      </c>
      <c r="B95" s="826">
        <v>161</v>
      </c>
      <c r="C95" s="1035">
        <v>1</v>
      </c>
      <c r="D95" s="1035">
        <v>161</v>
      </c>
      <c r="E95" s="1035" t="s">
        <v>679</v>
      </c>
      <c r="F95" s="1035"/>
      <c r="G95" s="1035"/>
      <c r="H95" s="1035" t="str">
        <f t="shared" si="4"/>
        <v/>
      </c>
      <c r="I95" s="1035" t="str">
        <f t="shared" si="5"/>
        <v/>
      </c>
      <c r="J95" s="1114"/>
      <c r="K95" s="1314">
        <v>7</v>
      </c>
      <c r="L95" s="1073">
        <v>31</v>
      </c>
      <c r="M95" s="1074">
        <v>0.225806451612903</v>
      </c>
      <c r="N95" s="1315" t="str">
        <f t="shared" si="6"/>
        <v/>
      </c>
      <c r="O95" s="1325">
        <f t="shared" si="7"/>
        <v>1</v>
      </c>
      <c r="P95" s="1321">
        <v>2009</v>
      </c>
    </row>
    <row r="96" spans="1:16">
      <c r="A96" s="1034" t="s">
        <v>680</v>
      </c>
      <c r="B96" s="826">
        <v>162</v>
      </c>
      <c r="C96" s="1035">
        <v>2</v>
      </c>
      <c r="D96" s="1035">
        <v>156</v>
      </c>
      <c r="E96" s="1035" t="s">
        <v>416</v>
      </c>
      <c r="F96" s="1035" t="s">
        <v>416</v>
      </c>
      <c r="G96" s="1035" t="s">
        <v>6204</v>
      </c>
      <c r="H96" s="1035" t="str">
        <f t="shared" si="4"/>
        <v>Sugar Canea</v>
      </c>
      <c r="I96" s="1035">
        <f t="shared" si="5"/>
        <v>156</v>
      </c>
      <c r="J96" s="1114">
        <v>0.11</v>
      </c>
      <c r="K96" s="1314">
        <v>33838300</v>
      </c>
      <c r="L96" s="1073">
        <v>22649900</v>
      </c>
      <c r="M96" s="1074">
        <v>0.66935691213802095</v>
      </c>
      <c r="N96" s="1315">
        <f t="shared" si="6"/>
        <v>7.3629260335182301E-2</v>
      </c>
      <c r="O96" s="1325">
        <f t="shared" si="7"/>
        <v>0.17762015644358448</v>
      </c>
      <c r="P96" s="1321">
        <v>2011</v>
      </c>
    </row>
    <row r="97" spans="1:16">
      <c r="A97" s="1034" t="s">
        <v>3688</v>
      </c>
      <c r="B97" s="826">
        <v>163</v>
      </c>
      <c r="C97" s="1035">
        <v>2</v>
      </c>
      <c r="D97" s="1035">
        <v>156</v>
      </c>
      <c r="E97" s="1035" t="s">
        <v>416</v>
      </c>
      <c r="F97" s="1035" t="s">
        <v>416</v>
      </c>
      <c r="G97" s="1035" t="s">
        <v>6205</v>
      </c>
      <c r="H97" s="1035" t="str">
        <f t="shared" si="4"/>
        <v>Sugar Caneb</v>
      </c>
      <c r="I97" s="1035">
        <f t="shared" si="5"/>
        <v>156</v>
      </c>
      <c r="J97" s="1114">
        <v>0.09</v>
      </c>
      <c r="K97" s="1314">
        <v>13500</v>
      </c>
      <c r="L97" s="1073">
        <v>4435</v>
      </c>
      <c r="M97" s="1074">
        <v>3.0439684329199599</v>
      </c>
      <c r="N97" s="1315">
        <f t="shared" si="6"/>
        <v>0.27395715896279638</v>
      </c>
      <c r="O97" s="1325">
        <f t="shared" si="7"/>
        <v>0.09</v>
      </c>
      <c r="P97" s="1321">
        <v>2009</v>
      </c>
    </row>
    <row r="98" spans="1:16">
      <c r="A98" s="1034" t="s">
        <v>681</v>
      </c>
      <c r="B98" s="826">
        <v>164</v>
      </c>
      <c r="C98" s="1035">
        <v>3</v>
      </c>
      <c r="D98" s="1035">
        <v>156</v>
      </c>
      <c r="E98" s="1035" t="s">
        <v>416</v>
      </c>
      <c r="F98" s="1035" t="s">
        <v>680</v>
      </c>
      <c r="G98" s="1035"/>
      <c r="H98" s="1035" t="str">
        <f t="shared" si="4"/>
        <v>Sugar Raw Centrifugal</v>
      </c>
      <c r="I98" s="1035">
        <f t="shared" si="5"/>
        <v>162</v>
      </c>
      <c r="J98" s="1114">
        <v>0.93500000000000005</v>
      </c>
      <c r="K98" s="1314">
        <v>21921600</v>
      </c>
      <c r="L98" s="1073">
        <v>16694600</v>
      </c>
      <c r="M98" s="1074">
        <v>0.76155937522808603</v>
      </c>
      <c r="N98" s="1315">
        <f t="shared" si="6"/>
        <v>0.71205801583826045</v>
      </c>
      <c r="O98" s="1325">
        <f t="shared" si="7"/>
        <v>0.1660748462747515</v>
      </c>
      <c r="P98" s="1321">
        <v>2011</v>
      </c>
    </row>
    <row r="99" spans="1:16">
      <c r="A99" s="1034" t="s">
        <v>783</v>
      </c>
      <c r="B99" s="826">
        <v>165</v>
      </c>
      <c r="C99" s="1035">
        <v>2</v>
      </c>
      <c r="D99" s="1035">
        <v>156</v>
      </c>
      <c r="E99" s="1035" t="s">
        <v>416</v>
      </c>
      <c r="F99" s="1035" t="s">
        <v>416</v>
      </c>
      <c r="G99" s="1035" t="s">
        <v>6204</v>
      </c>
      <c r="H99" s="1035" t="str">
        <f t="shared" si="4"/>
        <v>Sugar Canea</v>
      </c>
      <c r="I99" s="1035">
        <f t="shared" si="5"/>
        <v>156</v>
      </c>
      <c r="J99" s="1114">
        <v>0.05</v>
      </c>
      <c r="K99" s="1314">
        <v>6404480</v>
      </c>
      <c r="L99" s="1073">
        <v>1065020</v>
      </c>
      <c r="M99" s="1074">
        <v>0.16629296992105499</v>
      </c>
      <c r="N99" s="1315">
        <f t="shared" si="6"/>
        <v>8.3146484960527501E-3</v>
      </c>
      <c r="O99" s="1325">
        <f t="shared" si="7"/>
        <v>0.71495072525911152</v>
      </c>
      <c r="P99" s="1321">
        <v>2011</v>
      </c>
    </row>
    <row r="100" spans="1:16">
      <c r="A100" s="1034" t="s">
        <v>552</v>
      </c>
      <c r="B100" s="826">
        <v>166</v>
      </c>
      <c r="C100" s="1035">
        <v>3</v>
      </c>
      <c r="D100" s="1035">
        <v>56</v>
      </c>
      <c r="E100" s="1035" t="s">
        <v>2175</v>
      </c>
      <c r="F100" s="1035" t="s">
        <v>1944</v>
      </c>
      <c r="G100" s="1035" t="s">
        <v>6204</v>
      </c>
      <c r="H100" s="1035" t="str">
        <f t="shared" si="4"/>
        <v>Flour of Maizea</v>
      </c>
      <c r="I100" s="1035">
        <f t="shared" si="5"/>
        <v>58</v>
      </c>
      <c r="J100" s="1114">
        <v>0.75</v>
      </c>
      <c r="K100" s="1314">
        <v>1909150</v>
      </c>
      <c r="L100" s="1073">
        <v>848079</v>
      </c>
      <c r="M100" s="1074">
        <v>0.44421810753476698</v>
      </c>
      <c r="N100" s="1315">
        <f t="shared" si="6"/>
        <v>0.33316358065107521</v>
      </c>
      <c r="O100" s="1325">
        <f t="shared" si="7"/>
        <v>0.71664540645483255</v>
      </c>
      <c r="P100" s="1321">
        <v>2011</v>
      </c>
    </row>
    <row r="101" spans="1:16">
      <c r="A101" s="1034" t="s">
        <v>3379</v>
      </c>
      <c r="B101" s="826">
        <v>167</v>
      </c>
      <c r="C101" s="1035">
        <v>2</v>
      </c>
      <c r="D101" s="1035">
        <v>156</v>
      </c>
      <c r="E101" s="1035" t="s">
        <v>416</v>
      </c>
      <c r="F101" s="1035" t="s">
        <v>416</v>
      </c>
      <c r="G101" s="1035" t="s">
        <v>6206</v>
      </c>
      <c r="H101" s="1035" t="str">
        <f t="shared" si="4"/>
        <v>Sugar Canec</v>
      </c>
      <c r="I101" s="1035">
        <f t="shared" si="5"/>
        <v>156</v>
      </c>
      <c r="J101" s="1114">
        <v>0.11</v>
      </c>
      <c r="K101" s="1314">
        <v>1319550</v>
      </c>
      <c r="L101" s="1073">
        <v>1375850</v>
      </c>
      <c r="M101" s="1074">
        <v>1.04266606039938</v>
      </c>
      <c r="N101" s="1315">
        <f t="shared" si="6"/>
        <v>0.1146932666439318</v>
      </c>
      <c r="O101" s="1325">
        <f t="shared" si="7"/>
        <v>0.11</v>
      </c>
      <c r="P101" s="1321">
        <v>2011</v>
      </c>
    </row>
    <row r="102" spans="1:16">
      <c r="A102" s="1034" t="s">
        <v>4593</v>
      </c>
      <c r="B102" s="826">
        <v>168</v>
      </c>
      <c r="C102" s="1035">
        <v>4</v>
      </c>
      <c r="D102" s="1035">
        <v>156</v>
      </c>
      <c r="E102" s="1035" t="s">
        <v>416</v>
      </c>
      <c r="F102" s="1035" t="s">
        <v>681</v>
      </c>
      <c r="G102" s="1035" t="s">
        <v>6204</v>
      </c>
      <c r="H102" s="1035" t="str">
        <f t="shared" si="4"/>
        <v>Sugar Refineda</v>
      </c>
      <c r="I102" s="1035">
        <f t="shared" si="5"/>
        <v>164</v>
      </c>
      <c r="J102" s="1114">
        <v>1</v>
      </c>
      <c r="K102" s="1314">
        <v>2951170</v>
      </c>
      <c r="L102" s="1073">
        <v>9227830</v>
      </c>
      <c r="M102" s="1074">
        <v>3.1268378304198001</v>
      </c>
      <c r="N102" s="1315">
        <f t="shared" si="6"/>
        <v>3.1268378304198001</v>
      </c>
      <c r="O102" s="1325">
        <f t="shared" si="7"/>
        <v>0.1660748462747515</v>
      </c>
      <c r="P102" s="1321">
        <v>2011</v>
      </c>
    </row>
    <row r="103" spans="1:16">
      <c r="A103" s="1034" t="s">
        <v>3636</v>
      </c>
      <c r="B103" s="826">
        <v>169</v>
      </c>
      <c r="C103" s="1035">
        <v>2</v>
      </c>
      <c r="D103" s="1035">
        <v>157</v>
      </c>
      <c r="E103" s="1035" t="s">
        <v>1059</v>
      </c>
      <c r="F103" s="1035" t="s">
        <v>1059</v>
      </c>
      <c r="G103" s="1035" t="s">
        <v>6204</v>
      </c>
      <c r="H103" s="1035" t="str">
        <f t="shared" si="4"/>
        <v>Sugar beeta</v>
      </c>
      <c r="I103" s="1035">
        <f t="shared" si="5"/>
        <v>157</v>
      </c>
      <c r="J103" s="1114">
        <v>7.0000000000000007E-2</v>
      </c>
      <c r="K103" s="1314">
        <v>2757900</v>
      </c>
      <c r="L103" s="1073">
        <v>620993</v>
      </c>
      <c r="M103" s="1074">
        <v>0.225168787845825</v>
      </c>
      <c r="N103" s="1315">
        <f t="shared" si="6"/>
        <v>1.5761815149207752E-2</v>
      </c>
      <c r="O103" s="1325">
        <f t="shared" si="7"/>
        <v>7.0000000000000007E-2</v>
      </c>
      <c r="P103" s="1321">
        <v>2011</v>
      </c>
    </row>
    <row r="104" spans="1:16">
      <c r="A104" s="1034" t="s">
        <v>1472</v>
      </c>
      <c r="B104" s="826">
        <v>170</v>
      </c>
      <c r="C104" s="1035">
        <v>2</v>
      </c>
      <c r="D104" s="1035">
        <v>156</v>
      </c>
      <c r="E104" s="1035" t="s">
        <v>416</v>
      </c>
      <c r="F104" s="1035" t="s">
        <v>416</v>
      </c>
      <c r="G104" s="1035" t="s">
        <v>6204</v>
      </c>
      <c r="H104" s="1035" t="str">
        <f t="shared" si="4"/>
        <v>Sugar Canea</v>
      </c>
      <c r="I104" s="1035">
        <f t="shared" si="5"/>
        <v>156</v>
      </c>
      <c r="J104" s="1114">
        <v>0.25</v>
      </c>
      <c r="K104" s="1314" t="s">
        <v>7496</v>
      </c>
      <c r="L104" s="1073" t="s">
        <v>7497</v>
      </c>
      <c r="M104" s="1074">
        <v>0.14778948247725937</v>
      </c>
      <c r="N104" s="1315">
        <f t="shared" si="6"/>
        <v>3.6947370619314843E-2</v>
      </c>
      <c r="O104" s="1325">
        <f t="shared" si="7"/>
        <v>0.80446373759272016</v>
      </c>
      <c r="P104" s="1321" t="s">
        <v>7739</v>
      </c>
    </row>
    <row r="105" spans="1:16">
      <c r="A105" s="1034" t="s">
        <v>404</v>
      </c>
      <c r="B105" s="826">
        <v>172</v>
      </c>
      <c r="C105" s="1035">
        <v>3</v>
      </c>
      <c r="D105" s="1035">
        <v>56</v>
      </c>
      <c r="E105" s="1035" t="s">
        <v>2175</v>
      </c>
      <c r="F105" s="1035" t="s">
        <v>1944</v>
      </c>
      <c r="G105" s="1035" t="s">
        <v>6205</v>
      </c>
      <c r="H105" s="1035" t="str">
        <f t="shared" si="4"/>
        <v>Flour of Maizeb</v>
      </c>
      <c r="I105" s="1035">
        <f t="shared" si="5"/>
        <v>58</v>
      </c>
      <c r="J105" s="1114">
        <v>0.75</v>
      </c>
      <c r="K105" s="1314">
        <v>4300300</v>
      </c>
      <c r="L105" s="1073">
        <v>2465340</v>
      </c>
      <c r="M105" s="1074">
        <v>0.57329488640327397</v>
      </c>
      <c r="N105" s="1315">
        <f t="shared" si="6"/>
        <v>0.42997116480245545</v>
      </c>
      <c r="O105" s="1325">
        <f t="shared" si="7"/>
        <v>0.71664540645483255</v>
      </c>
      <c r="P105" s="1321">
        <v>2011</v>
      </c>
    </row>
    <row r="106" spans="1:16">
      <c r="A106" s="1034" t="s">
        <v>1486</v>
      </c>
      <c r="B106" s="826">
        <v>173</v>
      </c>
      <c r="C106" s="1035"/>
      <c r="D106" s="1035">
        <v>882</v>
      </c>
      <c r="E106" s="1035" t="s">
        <v>5594</v>
      </c>
      <c r="F106" s="747" t="s">
        <v>5545</v>
      </c>
      <c r="G106" s="747" t="s">
        <v>6207</v>
      </c>
      <c r="H106" s="1035" t="str">
        <f t="shared" si="4"/>
        <v>Whey Freshd</v>
      </c>
      <c r="I106" s="1035">
        <f t="shared" si="5"/>
        <v>903</v>
      </c>
      <c r="J106" s="1114">
        <v>0.05</v>
      </c>
      <c r="K106" s="1314">
        <v>693395</v>
      </c>
      <c r="L106" s="1073">
        <v>1060360</v>
      </c>
      <c r="M106" s="1074">
        <v>1.5292293714261</v>
      </c>
      <c r="N106" s="1315">
        <f t="shared" si="6"/>
        <v>7.6461468571305008E-2</v>
      </c>
      <c r="O106" s="1325">
        <f t="shared" si="7"/>
        <v>0.31195464692471803</v>
      </c>
      <c r="P106" s="1321">
        <v>2011</v>
      </c>
    </row>
    <row r="107" spans="1:16">
      <c r="A107" s="1034" t="s">
        <v>815</v>
      </c>
      <c r="B107" s="826">
        <v>175</v>
      </c>
      <c r="C107" s="1035">
        <v>3</v>
      </c>
      <c r="D107" s="1035">
        <v>56</v>
      </c>
      <c r="E107" s="1035" t="s">
        <v>2175</v>
      </c>
      <c r="F107" s="1035" t="s">
        <v>1944</v>
      </c>
      <c r="G107" s="1035" t="s">
        <v>6206</v>
      </c>
      <c r="H107" s="1035" t="str">
        <f t="shared" si="4"/>
        <v>Flour of Maizec</v>
      </c>
      <c r="I107" s="1035">
        <f t="shared" si="5"/>
        <v>58</v>
      </c>
      <c r="J107" s="1114">
        <v>0.75</v>
      </c>
      <c r="K107" s="1314" t="s">
        <v>7498</v>
      </c>
      <c r="L107" s="1073" t="s">
        <v>7499</v>
      </c>
      <c r="M107" s="1074">
        <v>0.61246508722841075</v>
      </c>
      <c r="N107" s="1315">
        <f t="shared" si="6"/>
        <v>0.45934881542130807</v>
      </c>
      <c r="O107" s="1325">
        <f t="shared" si="7"/>
        <v>0.71664540645483255</v>
      </c>
      <c r="P107" s="1321" t="s">
        <v>7739</v>
      </c>
    </row>
    <row r="108" spans="1:16">
      <c r="A108" s="1034" t="s">
        <v>2030</v>
      </c>
      <c r="B108" s="826">
        <v>176</v>
      </c>
      <c r="C108" s="1035">
        <v>1</v>
      </c>
      <c r="D108" s="1035">
        <v>176</v>
      </c>
      <c r="E108" s="1035" t="s">
        <v>2030</v>
      </c>
      <c r="F108" s="1035"/>
      <c r="G108" s="1035"/>
      <c r="H108" s="1035" t="str">
        <f t="shared" si="4"/>
        <v/>
      </c>
      <c r="I108" s="1035" t="str">
        <f t="shared" si="5"/>
        <v/>
      </c>
      <c r="J108" s="1114"/>
      <c r="K108" s="1314">
        <v>3321730</v>
      </c>
      <c r="L108" s="1073">
        <v>3227560</v>
      </c>
      <c r="M108" s="1074">
        <v>0.97165031474563002</v>
      </c>
      <c r="N108" s="1315" t="str">
        <f t="shared" si="6"/>
        <v/>
      </c>
      <c r="O108" s="1325">
        <f t="shared" si="7"/>
        <v>1</v>
      </c>
      <c r="P108" s="1321">
        <v>2011</v>
      </c>
    </row>
    <row r="109" spans="1:16">
      <c r="A109" s="1034" t="s">
        <v>3910</v>
      </c>
      <c r="B109" s="826">
        <v>181</v>
      </c>
      <c r="C109" s="1035">
        <v>1</v>
      </c>
      <c r="D109" s="1035">
        <v>181</v>
      </c>
      <c r="E109" s="1035" t="s">
        <v>3910</v>
      </c>
      <c r="F109" s="1035"/>
      <c r="G109" s="1035"/>
      <c r="H109" s="1035" t="str">
        <f t="shared" si="4"/>
        <v/>
      </c>
      <c r="I109" s="1035" t="str">
        <f t="shared" si="5"/>
        <v/>
      </c>
      <c r="J109" s="1114"/>
      <c r="K109" s="1314">
        <v>587712</v>
      </c>
      <c r="L109" s="1073">
        <v>466842</v>
      </c>
      <c r="M109" s="1074">
        <v>0.79433804312316203</v>
      </c>
      <c r="N109" s="1315" t="str">
        <f t="shared" si="6"/>
        <v/>
      </c>
      <c r="O109" s="1325">
        <f t="shared" si="7"/>
        <v>1</v>
      </c>
      <c r="P109" s="1321">
        <v>2011</v>
      </c>
    </row>
    <row r="110" spans="1:16">
      <c r="A110" s="1034" t="s">
        <v>5265</v>
      </c>
      <c r="B110" s="826">
        <v>187</v>
      </c>
      <c r="C110" s="1035">
        <v>1</v>
      </c>
      <c r="D110" s="1035">
        <v>187</v>
      </c>
      <c r="E110" s="1035" t="s">
        <v>5265</v>
      </c>
      <c r="F110" s="1035"/>
      <c r="G110" s="1035"/>
      <c r="H110" s="1035" t="str">
        <f t="shared" si="4"/>
        <v/>
      </c>
      <c r="I110" s="1035" t="str">
        <f t="shared" si="5"/>
        <v/>
      </c>
      <c r="J110" s="1114"/>
      <c r="K110" s="1314">
        <v>4316720</v>
      </c>
      <c r="L110" s="1073">
        <v>1955230</v>
      </c>
      <c r="M110" s="1074">
        <v>0.45294343853666702</v>
      </c>
      <c r="N110" s="1315" t="str">
        <f t="shared" si="6"/>
        <v/>
      </c>
      <c r="O110" s="1325">
        <f t="shared" si="7"/>
        <v>1</v>
      </c>
      <c r="P110" s="1321">
        <v>2011</v>
      </c>
    </row>
    <row r="111" spans="1:16">
      <c r="A111" s="1034" t="s">
        <v>2630</v>
      </c>
      <c r="B111" s="826">
        <v>191</v>
      </c>
      <c r="C111" s="1035">
        <v>1</v>
      </c>
      <c r="D111" s="1035">
        <v>191</v>
      </c>
      <c r="E111" s="1035" t="s">
        <v>2630</v>
      </c>
      <c r="F111" s="1035"/>
      <c r="G111" s="1035"/>
      <c r="H111" s="1035" t="str">
        <f t="shared" si="4"/>
        <v/>
      </c>
      <c r="I111" s="1035" t="str">
        <f t="shared" si="5"/>
        <v/>
      </c>
      <c r="J111" s="1114"/>
      <c r="K111" s="1314">
        <v>1114170</v>
      </c>
      <c r="L111" s="1073">
        <v>975969</v>
      </c>
      <c r="M111" s="1074">
        <v>0.87596058052182302</v>
      </c>
      <c r="N111" s="1315" t="str">
        <f t="shared" si="6"/>
        <v/>
      </c>
      <c r="O111" s="1325">
        <f t="shared" si="7"/>
        <v>1</v>
      </c>
      <c r="P111" s="1321">
        <v>2011</v>
      </c>
    </row>
    <row r="112" spans="1:16">
      <c r="A112" s="1034" t="s">
        <v>1097</v>
      </c>
      <c r="B112" s="826">
        <v>195</v>
      </c>
      <c r="C112" s="1035">
        <v>1</v>
      </c>
      <c r="D112" s="1035">
        <v>195</v>
      </c>
      <c r="E112" s="1035" t="s">
        <v>1097</v>
      </c>
      <c r="F112" s="1035"/>
      <c r="G112" s="1035"/>
      <c r="H112" s="1035" t="str">
        <f t="shared" si="4"/>
        <v/>
      </c>
      <c r="I112" s="1035" t="str">
        <f t="shared" si="5"/>
        <v/>
      </c>
      <c r="J112" s="1114"/>
      <c r="K112" s="1314" t="s">
        <v>7500</v>
      </c>
      <c r="L112" s="1073" t="s">
        <v>7501</v>
      </c>
      <c r="M112" s="1074">
        <v>0.6152368758002561</v>
      </c>
      <c r="N112" s="1315" t="str">
        <f t="shared" si="6"/>
        <v/>
      </c>
      <c r="O112" s="1325">
        <f t="shared" si="7"/>
        <v>1</v>
      </c>
      <c r="P112" s="1321" t="s">
        <v>7739</v>
      </c>
    </row>
    <row r="113" spans="1:16">
      <c r="A113" s="1034" t="s">
        <v>5273</v>
      </c>
      <c r="B113" s="826">
        <v>197</v>
      </c>
      <c r="C113" s="1035">
        <v>1</v>
      </c>
      <c r="D113" s="1035">
        <v>197</v>
      </c>
      <c r="E113" s="1035" t="s">
        <v>5273</v>
      </c>
      <c r="F113" s="1035"/>
      <c r="G113" s="1035"/>
      <c r="H113" s="1035" t="str">
        <f t="shared" si="4"/>
        <v/>
      </c>
      <c r="I113" s="1035" t="str">
        <f t="shared" si="5"/>
        <v/>
      </c>
      <c r="J113" s="1114"/>
      <c r="K113" s="1314" t="s">
        <v>7502</v>
      </c>
      <c r="L113" s="1073" t="s">
        <v>7503</v>
      </c>
      <c r="M113" s="1074">
        <v>1.0067069081153588</v>
      </c>
      <c r="N113" s="1315" t="str">
        <f t="shared" si="6"/>
        <v/>
      </c>
      <c r="O113" s="1325">
        <f t="shared" si="7"/>
        <v>1</v>
      </c>
      <c r="P113" s="1321" t="s">
        <v>7739</v>
      </c>
    </row>
    <row r="114" spans="1:16">
      <c r="A114" s="1034" t="s">
        <v>575</v>
      </c>
      <c r="B114" s="826">
        <v>201</v>
      </c>
      <c r="C114" s="1035">
        <v>1</v>
      </c>
      <c r="D114" s="1035">
        <v>201</v>
      </c>
      <c r="E114" s="1035" t="s">
        <v>575</v>
      </c>
      <c r="F114" s="1035"/>
      <c r="G114" s="1035"/>
      <c r="H114" s="1035" t="str">
        <f t="shared" si="4"/>
        <v/>
      </c>
      <c r="I114" s="1035" t="str">
        <f t="shared" si="5"/>
        <v/>
      </c>
      <c r="J114" s="1114"/>
      <c r="K114" s="1314">
        <v>1918220</v>
      </c>
      <c r="L114" s="1073">
        <v>1650960</v>
      </c>
      <c r="M114" s="1074">
        <v>0.86067291551542602</v>
      </c>
      <c r="N114" s="1315" t="str">
        <f t="shared" si="6"/>
        <v/>
      </c>
      <c r="O114" s="1325">
        <f t="shared" si="7"/>
        <v>1</v>
      </c>
      <c r="P114" s="1321">
        <v>2011</v>
      </c>
    </row>
    <row r="115" spans="1:16">
      <c r="A115" s="1034" t="s">
        <v>624</v>
      </c>
      <c r="B115" s="826">
        <v>203</v>
      </c>
      <c r="C115" s="1035">
        <v>1</v>
      </c>
      <c r="D115" s="1035">
        <v>203</v>
      </c>
      <c r="E115" s="1035" t="s">
        <v>624</v>
      </c>
      <c r="F115" s="1035"/>
      <c r="G115" s="1035"/>
      <c r="H115" s="1035" t="str">
        <f t="shared" si="4"/>
        <v/>
      </c>
      <c r="I115" s="1035" t="str">
        <f t="shared" si="5"/>
        <v/>
      </c>
      <c r="J115" s="1114"/>
      <c r="K115" s="1314">
        <v>352</v>
      </c>
      <c r="L115" s="1073">
        <v>95</v>
      </c>
      <c r="M115" s="1074">
        <v>3.7052631578947399</v>
      </c>
      <c r="N115" s="1315" t="str">
        <f t="shared" si="6"/>
        <v/>
      </c>
      <c r="O115" s="1325">
        <f t="shared" si="7"/>
        <v>1</v>
      </c>
      <c r="P115" s="1321">
        <v>1992</v>
      </c>
    </row>
    <row r="116" spans="1:16">
      <c r="A116" s="1034" t="s">
        <v>1209</v>
      </c>
      <c r="B116" s="826">
        <v>205</v>
      </c>
      <c r="C116" s="1035">
        <v>1</v>
      </c>
      <c r="D116" s="1035">
        <v>205</v>
      </c>
      <c r="E116" s="1035" t="s">
        <v>1209</v>
      </c>
      <c r="F116" s="1035"/>
      <c r="G116" s="1035"/>
      <c r="H116" s="1035" t="str">
        <f t="shared" si="4"/>
        <v/>
      </c>
      <c r="I116" s="1035" t="str">
        <f t="shared" si="5"/>
        <v/>
      </c>
      <c r="J116" s="1114"/>
      <c r="K116" s="1314">
        <v>143</v>
      </c>
      <c r="L116" s="1073">
        <v>18</v>
      </c>
      <c r="M116" s="1074">
        <v>7.9444444444444402</v>
      </c>
      <c r="N116" s="1315" t="str">
        <f t="shared" si="6"/>
        <v/>
      </c>
      <c r="O116" s="1325">
        <f t="shared" si="7"/>
        <v>1</v>
      </c>
      <c r="P116" s="1321">
        <v>2002</v>
      </c>
    </row>
    <row r="117" spans="1:16">
      <c r="A117" s="1034" t="s">
        <v>3258</v>
      </c>
      <c r="B117" s="826">
        <v>210</v>
      </c>
      <c r="C117" s="1035">
        <v>1</v>
      </c>
      <c r="D117" s="1035">
        <v>210</v>
      </c>
      <c r="E117" s="1035" t="s">
        <v>3258</v>
      </c>
      <c r="F117" s="1035"/>
      <c r="G117" s="1035"/>
      <c r="H117" s="1035" t="str">
        <f t="shared" si="4"/>
        <v/>
      </c>
      <c r="I117" s="1035" t="str">
        <f t="shared" si="5"/>
        <v/>
      </c>
      <c r="J117" s="1114"/>
      <c r="K117" s="1314" t="s">
        <v>7504</v>
      </c>
      <c r="L117" s="1073" t="s">
        <v>7505</v>
      </c>
      <c r="M117" s="1074">
        <v>0.64848352607462356</v>
      </c>
      <c r="N117" s="1315" t="str">
        <f t="shared" si="6"/>
        <v/>
      </c>
      <c r="O117" s="1325">
        <f t="shared" si="7"/>
        <v>1</v>
      </c>
      <c r="P117" s="1321" t="s">
        <v>7739</v>
      </c>
    </row>
    <row r="118" spans="1:16">
      <c r="A118" s="1034" t="s">
        <v>102</v>
      </c>
      <c r="B118" s="826">
        <v>211</v>
      </c>
      <c r="C118" s="1035">
        <v>1</v>
      </c>
      <c r="D118" s="1035">
        <v>211</v>
      </c>
      <c r="E118" s="1035" t="s">
        <v>102</v>
      </c>
      <c r="F118" s="1035"/>
      <c r="G118" s="1035"/>
      <c r="H118" s="1035" t="str">
        <f t="shared" si="4"/>
        <v/>
      </c>
      <c r="I118" s="1035" t="str">
        <f t="shared" si="5"/>
        <v/>
      </c>
      <c r="J118" s="1114"/>
      <c r="K118" s="1314" t="s">
        <v>7506</v>
      </c>
      <c r="L118" s="1073" t="s">
        <v>7507</v>
      </c>
      <c r="M118" s="1074">
        <v>0.62515780920354835</v>
      </c>
      <c r="N118" s="1315" t="str">
        <f t="shared" si="6"/>
        <v/>
      </c>
      <c r="O118" s="1325">
        <f t="shared" si="7"/>
        <v>1</v>
      </c>
      <c r="P118" s="1321" t="s">
        <v>7739</v>
      </c>
    </row>
    <row r="119" spans="1:16">
      <c r="A119" s="1034" t="s">
        <v>587</v>
      </c>
      <c r="B119" s="826">
        <v>212</v>
      </c>
      <c r="C119" s="1035">
        <v>2</v>
      </c>
      <c r="D119" s="1035">
        <v>176</v>
      </c>
      <c r="E119" s="1035" t="s">
        <v>2030</v>
      </c>
      <c r="F119" s="1035" t="s">
        <v>2030</v>
      </c>
      <c r="G119" s="1035" t="s">
        <v>6204</v>
      </c>
      <c r="H119" s="1035" t="str">
        <f t="shared" si="4"/>
        <v>Beans, drya</v>
      </c>
      <c r="I119" s="1035">
        <f t="shared" si="5"/>
        <v>176</v>
      </c>
      <c r="J119" s="1114">
        <v>0.72</v>
      </c>
      <c r="K119" s="1314">
        <v>62999</v>
      </c>
      <c r="L119" s="1073">
        <v>47613</v>
      </c>
      <c r="M119" s="1074">
        <v>0.755773901173034</v>
      </c>
      <c r="N119" s="1315">
        <f t="shared" si="6"/>
        <v>0.54415720884458441</v>
      </c>
      <c r="O119" s="1325">
        <f t="shared" si="7"/>
        <v>0.7976160502300379</v>
      </c>
      <c r="P119" s="1321">
        <v>2011</v>
      </c>
    </row>
    <row r="120" spans="1:16">
      <c r="A120" s="1034" t="s">
        <v>2687</v>
      </c>
      <c r="B120" s="826">
        <v>213</v>
      </c>
      <c r="C120" s="1035">
        <v>2</v>
      </c>
      <c r="D120" s="1035">
        <v>176</v>
      </c>
      <c r="E120" s="1035" t="s">
        <v>2030</v>
      </c>
      <c r="F120" s="1035" t="s">
        <v>2030</v>
      </c>
      <c r="G120" s="1035" t="s">
        <v>6204</v>
      </c>
      <c r="H120" s="1035" t="str">
        <f t="shared" si="4"/>
        <v>Beans, drya</v>
      </c>
      <c r="I120" s="1035">
        <f t="shared" si="5"/>
        <v>176</v>
      </c>
      <c r="J120" s="1114">
        <v>0.23</v>
      </c>
      <c r="K120" s="1314" t="s">
        <v>7508</v>
      </c>
      <c r="L120" s="1073" t="s">
        <v>7509</v>
      </c>
      <c r="M120" s="1074">
        <v>0.25504428293912107</v>
      </c>
      <c r="N120" s="1315">
        <f t="shared" si="6"/>
        <v>5.866018507599785E-2</v>
      </c>
      <c r="O120" s="1325">
        <f t="shared" si="7"/>
        <v>2.3635793242402321</v>
      </c>
      <c r="P120" s="1321" t="s">
        <v>7739</v>
      </c>
    </row>
    <row r="121" spans="1:16">
      <c r="A121" s="1034" t="s">
        <v>323</v>
      </c>
      <c r="B121" s="826">
        <v>216</v>
      </c>
      <c r="C121" s="1035">
        <v>1</v>
      </c>
      <c r="D121" s="1035">
        <v>216</v>
      </c>
      <c r="E121" s="1035" t="s">
        <v>323</v>
      </c>
      <c r="F121" s="1035"/>
      <c r="G121" s="1035"/>
      <c r="H121" s="1035" t="str">
        <f t="shared" si="4"/>
        <v/>
      </c>
      <c r="I121" s="1035" t="str">
        <f t="shared" si="5"/>
        <v/>
      </c>
      <c r="J121" s="1114"/>
      <c r="K121" s="1314" t="s">
        <v>7510</v>
      </c>
      <c r="L121" s="1073" t="s">
        <v>7511</v>
      </c>
      <c r="M121" s="1074">
        <v>1.9825641025641025</v>
      </c>
      <c r="N121" s="1315" t="str">
        <f t="shared" si="6"/>
        <v/>
      </c>
      <c r="O121" s="1325">
        <f t="shared" si="7"/>
        <v>1</v>
      </c>
      <c r="P121" s="1321" t="s">
        <v>7739</v>
      </c>
    </row>
    <row r="122" spans="1:16">
      <c r="A122" s="1034" t="s">
        <v>4661</v>
      </c>
      <c r="B122" s="826">
        <v>217</v>
      </c>
      <c r="C122" s="1035">
        <v>1</v>
      </c>
      <c r="D122" s="1035">
        <v>217</v>
      </c>
      <c r="E122" s="1035" t="s">
        <v>4661</v>
      </c>
      <c r="F122" s="1035"/>
      <c r="G122" s="1035"/>
      <c r="H122" s="1035" t="str">
        <f t="shared" si="4"/>
        <v/>
      </c>
      <c r="I122" s="1035" t="str">
        <f t="shared" si="5"/>
        <v/>
      </c>
      <c r="J122" s="1114"/>
      <c r="K122" s="1314">
        <v>864442</v>
      </c>
      <c r="L122" s="1073">
        <v>1271120</v>
      </c>
      <c r="M122" s="1074">
        <v>1.47045145886017</v>
      </c>
      <c r="N122" s="1315" t="str">
        <f t="shared" si="6"/>
        <v/>
      </c>
      <c r="O122" s="1325">
        <f t="shared" si="7"/>
        <v>1</v>
      </c>
      <c r="P122" s="1321">
        <v>2011</v>
      </c>
    </row>
    <row r="123" spans="1:16">
      <c r="A123" s="1034" t="s">
        <v>3884</v>
      </c>
      <c r="B123" s="826">
        <v>220</v>
      </c>
      <c r="C123" s="1035">
        <v>1</v>
      </c>
      <c r="D123" s="1035">
        <v>220</v>
      </c>
      <c r="E123" s="1035" t="s">
        <v>3884</v>
      </c>
      <c r="F123" s="1035"/>
      <c r="G123" s="1035"/>
      <c r="H123" s="1035" t="str">
        <f t="shared" si="4"/>
        <v/>
      </c>
      <c r="I123" s="1035" t="str">
        <f t="shared" si="5"/>
        <v/>
      </c>
      <c r="J123" s="1114"/>
      <c r="K123" s="1314">
        <v>96917</v>
      </c>
      <c r="L123" s="1073">
        <v>260668</v>
      </c>
      <c r="M123" s="1074">
        <v>2.6896003797063499</v>
      </c>
      <c r="N123" s="1315" t="str">
        <f t="shared" si="6"/>
        <v/>
      </c>
      <c r="O123" s="1325">
        <f t="shared" si="7"/>
        <v>1</v>
      </c>
      <c r="P123" s="1321">
        <v>2011</v>
      </c>
    </row>
    <row r="124" spans="1:16">
      <c r="A124" s="1034" t="s">
        <v>2773</v>
      </c>
      <c r="B124" s="826">
        <v>221</v>
      </c>
      <c r="C124" s="1035">
        <v>1</v>
      </c>
      <c r="D124" s="1035">
        <v>221</v>
      </c>
      <c r="E124" s="1035" t="s">
        <v>2773</v>
      </c>
      <c r="F124" s="1035"/>
      <c r="G124" s="1035"/>
      <c r="H124" s="1035" t="str">
        <f t="shared" si="4"/>
        <v/>
      </c>
      <c r="I124" s="1035" t="str">
        <f t="shared" si="5"/>
        <v/>
      </c>
      <c r="J124" s="1114"/>
      <c r="K124" s="1314" t="s">
        <v>7512</v>
      </c>
      <c r="L124" s="1073" t="s">
        <v>7512</v>
      </c>
      <c r="M124" s="1074">
        <v>0</v>
      </c>
      <c r="N124" s="1315" t="str">
        <f t="shared" si="6"/>
        <v/>
      </c>
      <c r="O124" s="1325">
        <f t="shared" si="7"/>
        <v>1</v>
      </c>
      <c r="P124" s="1321" t="s">
        <v>7739</v>
      </c>
    </row>
    <row r="125" spans="1:16">
      <c r="A125" s="1034" t="s">
        <v>1211</v>
      </c>
      <c r="B125" s="826">
        <v>222</v>
      </c>
      <c r="C125" s="1035">
        <v>1</v>
      </c>
      <c r="D125" s="1035">
        <v>222</v>
      </c>
      <c r="E125" s="1035" t="s">
        <v>1211</v>
      </c>
      <c r="F125" s="1035"/>
      <c r="G125" s="1035"/>
      <c r="H125" s="1035" t="str">
        <f t="shared" si="4"/>
        <v/>
      </c>
      <c r="I125" s="1035" t="str">
        <f t="shared" si="5"/>
        <v/>
      </c>
      <c r="J125" s="1114"/>
      <c r="K125" s="1314">
        <v>190219</v>
      </c>
      <c r="L125" s="1073">
        <v>697223</v>
      </c>
      <c r="M125" s="1074">
        <v>3.6653699157287098</v>
      </c>
      <c r="N125" s="1315" t="str">
        <f t="shared" si="6"/>
        <v/>
      </c>
      <c r="O125" s="1325">
        <f t="shared" si="7"/>
        <v>1</v>
      </c>
      <c r="P125" s="1321">
        <v>2011</v>
      </c>
    </row>
    <row r="126" spans="1:16">
      <c r="A126" s="1034" t="s">
        <v>5276</v>
      </c>
      <c r="B126" s="826">
        <v>223</v>
      </c>
      <c r="C126" s="1035">
        <v>1</v>
      </c>
      <c r="D126" s="1035">
        <v>223</v>
      </c>
      <c r="E126" s="1035" t="s">
        <v>5276</v>
      </c>
      <c r="F126" s="1035"/>
      <c r="G126" s="1035"/>
      <c r="H126" s="1035" t="str">
        <f t="shared" si="4"/>
        <v/>
      </c>
      <c r="I126" s="1035" t="str">
        <f t="shared" si="5"/>
        <v/>
      </c>
      <c r="J126" s="1114"/>
      <c r="K126" s="1314">
        <v>309169</v>
      </c>
      <c r="L126" s="1073">
        <v>2190460</v>
      </c>
      <c r="M126" s="1074">
        <v>7.0849923504620396</v>
      </c>
      <c r="N126" s="1315" t="str">
        <f t="shared" si="6"/>
        <v/>
      </c>
      <c r="O126" s="1325">
        <f t="shared" si="7"/>
        <v>1</v>
      </c>
      <c r="P126" s="1321">
        <v>2011</v>
      </c>
    </row>
    <row r="127" spans="1:16">
      <c r="A127" s="1034" t="s">
        <v>571</v>
      </c>
      <c r="B127" s="826">
        <v>224</v>
      </c>
      <c r="C127" s="1035">
        <v>1</v>
      </c>
      <c r="D127" s="1035">
        <v>224</v>
      </c>
      <c r="E127" s="1035" t="s">
        <v>571</v>
      </c>
      <c r="F127" s="1035"/>
      <c r="G127" s="1035"/>
      <c r="H127" s="1035" t="str">
        <f t="shared" si="4"/>
        <v/>
      </c>
      <c r="I127" s="1035" t="str">
        <f t="shared" si="5"/>
        <v/>
      </c>
      <c r="J127" s="1114"/>
      <c r="K127" s="1314">
        <v>13522</v>
      </c>
      <c r="L127" s="1073">
        <v>9041</v>
      </c>
      <c r="M127" s="1074">
        <v>0.66861411033870699</v>
      </c>
      <c r="N127" s="1315" t="str">
        <f t="shared" si="6"/>
        <v/>
      </c>
      <c r="O127" s="1325">
        <f t="shared" si="7"/>
        <v>1</v>
      </c>
      <c r="P127" s="1321">
        <v>2011</v>
      </c>
    </row>
    <row r="128" spans="1:16">
      <c r="A128" s="1034" t="s">
        <v>3781</v>
      </c>
      <c r="B128" s="826">
        <v>225</v>
      </c>
      <c r="C128" s="1035">
        <v>1</v>
      </c>
      <c r="D128" s="1035">
        <v>225</v>
      </c>
      <c r="E128" s="1035" t="s">
        <v>3781</v>
      </c>
      <c r="F128" s="1035"/>
      <c r="G128" s="1035"/>
      <c r="H128" s="1035" t="str">
        <f t="shared" si="4"/>
        <v/>
      </c>
      <c r="I128" s="1035" t="str">
        <f t="shared" si="5"/>
        <v/>
      </c>
      <c r="J128" s="1114"/>
      <c r="K128" s="1314" t="s">
        <v>7513</v>
      </c>
      <c r="L128" s="1073" t="s">
        <v>7514</v>
      </c>
      <c r="M128" s="1074">
        <v>2.776528100642691</v>
      </c>
      <c r="N128" s="1315" t="str">
        <f t="shared" si="6"/>
        <v/>
      </c>
      <c r="O128" s="1325">
        <f t="shared" si="7"/>
        <v>1</v>
      </c>
      <c r="P128" s="1321" t="s">
        <v>7739</v>
      </c>
    </row>
    <row r="129" spans="1:16">
      <c r="A129" s="1034" t="s">
        <v>3937</v>
      </c>
      <c r="B129" s="826">
        <v>226</v>
      </c>
      <c r="C129" s="1035">
        <v>1</v>
      </c>
      <c r="D129" s="1035">
        <v>226</v>
      </c>
      <c r="E129" s="1035" t="s">
        <v>3937</v>
      </c>
      <c r="F129" s="1035"/>
      <c r="G129" s="1035"/>
      <c r="H129" s="1035" t="str">
        <f t="shared" si="4"/>
        <v/>
      </c>
      <c r="I129" s="1035" t="str">
        <f t="shared" si="5"/>
        <v/>
      </c>
      <c r="J129" s="1114"/>
      <c r="K129" s="1314" t="s">
        <v>7515</v>
      </c>
      <c r="L129" s="1073" t="s">
        <v>7516</v>
      </c>
      <c r="M129" s="1074">
        <v>0.73045874056101046</v>
      </c>
      <c r="N129" s="1315" t="str">
        <f t="shared" si="6"/>
        <v/>
      </c>
      <c r="O129" s="1325">
        <f t="shared" si="7"/>
        <v>1</v>
      </c>
      <c r="P129" s="1321" t="s">
        <v>7739</v>
      </c>
    </row>
    <row r="130" spans="1:16">
      <c r="A130" s="1034" t="s">
        <v>5063</v>
      </c>
      <c r="B130" s="826">
        <v>229</v>
      </c>
      <c r="C130" s="1035">
        <v>2</v>
      </c>
      <c r="D130" s="1035">
        <v>216</v>
      </c>
      <c r="E130" s="1035" t="s">
        <v>323</v>
      </c>
      <c r="F130" s="1035" t="s">
        <v>323</v>
      </c>
      <c r="G130" s="1035" t="s">
        <v>6204</v>
      </c>
      <c r="H130" s="1035" t="str">
        <f t="shared" si="4"/>
        <v>Brazil nuts, with shella</v>
      </c>
      <c r="I130" s="1035">
        <f t="shared" si="5"/>
        <v>216</v>
      </c>
      <c r="J130" s="1114">
        <v>0.55000000000000004</v>
      </c>
      <c r="K130" s="1314">
        <v>29791</v>
      </c>
      <c r="L130" s="1073">
        <v>231895</v>
      </c>
      <c r="M130" s="1074">
        <v>7.7840623006948402</v>
      </c>
      <c r="N130" s="1315">
        <f t="shared" si="6"/>
        <v>4.281234265382162</v>
      </c>
      <c r="O130" s="1325">
        <f t="shared" si="7"/>
        <v>0.55000000000000004</v>
      </c>
      <c r="P130" s="1321">
        <v>2011</v>
      </c>
    </row>
    <row r="131" spans="1:16">
      <c r="A131" s="1034" t="s">
        <v>4503</v>
      </c>
      <c r="B131" s="826">
        <v>230</v>
      </c>
      <c r="C131" s="1035">
        <v>2</v>
      </c>
      <c r="D131" s="1035">
        <v>217</v>
      </c>
      <c r="E131" s="1035" t="s">
        <v>4661</v>
      </c>
      <c r="F131" s="1035" t="s">
        <v>4661</v>
      </c>
      <c r="G131" s="1035" t="s">
        <v>6204</v>
      </c>
      <c r="H131" s="1035" t="str">
        <f t="shared" si="4"/>
        <v>Cashew nuts, with shella</v>
      </c>
      <c r="I131" s="1035">
        <f t="shared" si="5"/>
        <v>217</v>
      </c>
      <c r="J131" s="1114">
        <v>0.3</v>
      </c>
      <c r="K131" s="1314">
        <v>338378</v>
      </c>
      <c r="L131" s="1073">
        <v>2601870</v>
      </c>
      <c r="M131" s="1074">
        <v>7.6892410263078599</v>
      </c>
      <c r="N131" s="1315">
        <f t="shared" si="6"/>
        <v>2.3067723078923579</v>
      </c>
      <c r="O131" s="1325">
        <f t="shared" si="7"/>
        <v>0.3</v>
      </c>
      <c r="P131" s="1321">
        <v>2011</v>
      </c>
    </row>
    <row r="132" spans="1:16">
      <c r="A132" s="1034" t="s">
        <v>4597</v>
      </c>
      <c r="B132" s="826">
        <v>231</v>
      </c>
      <c r="C132" s="1035">
        <v>2</v>
      </c>
      <c r="D132" s="1035">
        <v>221</v>
      </c>
      <c r="E132" s="1035" t="s">
        <v>2773</v>
      </c>
      <c r="F132" s="1035" t="s">
        <v>2773</v>
      </c>
      <c r="G132" s="1035"/>
      <c r="H132" s="1035" t="str">
        <f t="shared" si="4"/>
        <v>Almonds, with shell</v>
      </c>
      <c r="I132" s="1035">
        <f t="shared" si="5"/>
        <v>221</v>
      </c>
      <c r="J132" s="1114">
        <v>0.5</v>
      </c>
      <c r="K132" s="1314">
        <v>576883</v>
      </c>
      <c r="L132" s="1073">
        <v>2845620</v>
      </c>
      <c r="M132" s="1074">
        <v>4.9327506617459704</v>
      </c>
      <c r="N132" s="1315">
        <f t="shared" si="6"/>
        <v>2.4663753308729852</v>
      </c>
      <c r="O132" s="1325">
        <f t="shared" si="7"/>
        <v>0.5</v>
      </c>
      <c r="P132" s="1321">
        <v>2011</v>
      </c>
    </row>
    <row r="133" spans="1:16">
      <c r="A133" s="1034" t="s">
        <v>3684</v>
      </c>
      <c r="B133" s="826">
        <v>232</v>
      </c>
      <c r="C133" s="1035">
        <v>2</v>
      </c>
      <c r="D133" s="1035">
        <v>222</v>
      </c>
      <c r="E133" s="1035" t="s">
        <v>1211</v>
      </c>
      <c r="F133" s="1035" t="s">
        <v>1211</v>
      </c>
      <c r="G133" s="1035" t="s">
        <v>6204</v>
      </c>
      <c r="H133" s="1035" t="str">
        <f t="shared" si="4"/>
        <v>Walnuts, with shella</v>
      </c>
      <c r="I133" s="1035">
        <f t="shared" si="5"/>
        <v>222</v>
      </c>
      <c r="J133" s="1114">
        <v>0.53</v>
      </c>
      <c r="K133" s="1314">
        <v>151007</v>
      </c>
      <c r="L133" s="1073">
        <v>1167440</v>
      </c>
      <c r="M133" s="1074">
        <v>7.7310323362493101</v>
      </c>
      <c r="N133" s="1315">
        <f t="shared" si="6"/>
        <v>4.0974471382121349</v>
      </c>
      <c r="O133" s="1325">
        <f t="shared" si="7"/>
        <v>0.53</v>
      </c>
      <c r="P133" s="1321">
        <v>2011</v>
      </c>
    </row>
    <row r="134" spans="1:16">
      <c r="A134" s="1034" t="s">
        <v>4895</v>
      </c>
      <c r="B134" s="826">
        <v>233</v>
      </c>
      <c r="C134" s="1035">
        <v>2</v>
      </c>
      <c r="D134" s="1035">
        <v>225</v>
      </c>
      <c r="E134" s="1035" t="s">
        <v>3781</v>
      </c>
      <c r="F134" s="1035" t="s">
        <v>3781</v>
      </c>
      <c r="G134" s="1035" t="s">
        <v>6204</v>
      </c>
      <c r="H134" s="1035" t="str">
        <f t="shared" si="4"/>
        <v>Hazelnuts, with shella</v>
      </c>
      <c r="I134" s="1035">
        <f t="shared" si="5"/>
        <v>225</v>
      </c>
      <c r="J134" s="1114">
        <v>0.5</v>
      </c>
      <c r="K134" s="1314">
        <v>213189</v>
      </c>
      <c r="L134" s="1073">
        <v>1462120</v>
      </c>
      <c r="M134" s="1074">
        <v>6.8583275872582501</v>
      </c>
      <c r="N134" s="1315">
        <f t="shared" si="6"/>
        <v>3.429163793629125</v>
      </c>
      <c r="O134" s="1325">
        <f t="shared" si="7"/>
        <v>0.5</v>
      </c>
      <c r="P134" s="1321">
        <v>2011</v>
      </c>
    </row>
    <row r="135" spans="1:16">
      <c r="A135" s="1034" t="s">
        <v>915</v>
      </c>
      <c r="B135" s="826">
        <v>234</v>
      </c>
      <c r="C135" s="1035">
        <v>1</v>
      </c>
      <c r="D135" s="1035">
        <v>234</v>
      </c>
      <c r="E135" s="1035" t="s">
        <v>915</v>
      </c>
      <c r="F135" s="1035"/>
      <c r="G135" s="1035"/>
      <c r="H135" s="1035" t="str">
        <f t="shared" si="4"/>
        <v/>
      </c>
      <c r="I135" s="1035" t="str">
        <f t="shared" si="5"/>
        <v/>
      </c>
      <c r="J135" s="1114"/>
      <c r="K135" s="1314">
        <v>426160</v>
      </c>
      <c r="L135" s="1073">
        <v>1833810</v>
      </c>
      <c r="M135" s="1074">
        <v>4.3031021212690099</v>
      </c>
      <c r="N135" s="1315" t="str">
        <f t="shared" si="6"/>
        <v/>
      </c>
      <c r="O135" s="1325">
        <f t="shared" si="7"/>
        <v>1</v>
      </c>
      <c r="P135" s="1321">
        <v>2011</v>
      </c>
    </row>
    <row r="136" spans="1:16">
      <c r="A136" s="1034" t="s">
        <v>7296</v>
      </c>
      <c r="B136" s="826">
        <v>235</v>
      </c>
      <c r="C136" s="1035">
        <v>1</v>
      </c>
      <c r="D136" s="1035">
        <v>235</v>
      </c>
      <c r="E136" s="1035" t="s">
        <v>7296</v>
      </c>
      <c r="F136" s="1035"/>
      <c r="G136" s="1035"/>
      <c r="H136" s="1035" t="str">
        <f t="shared" ref="H136:H199" si="8">F136&amp;G136</f>
        <v/>
      </c>
      <c r="I136" s="1035" t="str">
        <f t="shared" ref="I136:I199" si="9">IFERROR(VLOOKUP(F136,$A$7:$B$590,2,FALSE),"")</f>
        <v/>
      </c>
      <c r="J136" s="1114"/>
      <c r="K136" s="1314">
        <v>501184</v>
      </c>
      <c r="L136" s="1073">
        <v>2731450</v>
      </c>
      <c r="M136" s="1074">
        <v>5.4499944132294704</v>
      </c>
      <c r="N136" s="1315" t="str">
        <f t="shared" ref="N136:N199" si="10">IF(ISBLANK(J136),"",J136*M136)</f>
        <v/>
      </c>
      <c r="O136" s="1325">
        <f t="shared" ref="O136:O199" si="11">IF(ISBLANK(F136),1,J136/(N136/SUMIF(H$7:H$601,H136,N$7:N$601))*VLOOKUP(F136,A$7:O$601,15,FALSE))</f>
        <v>1</v>
      </c>
      <c r="P136" s="1321">
        <v>2011</v>
      </c>
    </row>
    <row r="137" spans="1:16">
      <c r="A137" s="1034" t="s">
        <v>4047</v>
      </c>
      <c r="B137" s="826">
        <v>236</v>
      </c>
      <c r="C137" s="1035">
        <v>1</v>
      </c>
      <c r="D137" s="1035">
        <v>236</v>
      </c>
      <c r="E137" s="1035" t="s">
        <v>4047</v>
      </c>
      <c r="F137" s="1035"/>
      <c r="G137" s="1035"/>
      <c r="H137" s="1035" t="str">
        <f t="shared" si="8"/>
        <v/>
      </c>
      <c r="I137" s="1035" t="str">
        <f t="shared" si="9"/>
        <v/>
      </c>
      <c r="J137" s="1114"/>
      <c r="K137" s="1314">
        <v>90814000</v>
      </c>
      <c r="L137" s="1073">
        <v>51403300</v>
      </c>
      <c r="M137" s="1074">
        <v>0.56602836567049097</v>
      </c>
      <c r="N137" s="1315" t="str">
        <f t="shared" si="10"/>
        <v/>
      </c>
      <c r="O137" s="1325">
        <f t="shared" si="11"/>
        <v>1</v>
      </c>
      <c r="P137" s="1321">
        <v>2011</v>
      </c>
    </row>
    <row r="138" spans="1:16">
      <c r="A138" s="1034" t="s">
        <v>4045</v>
      </c>
      <c r="B138" s="826">
        <v>237</v>
      </c>
      <c r="C138" s="1035">
        <v>2</v>
      </c>
      <c r="D138" s="1035">
        <v>236</v>
      </c>
      <c r="E138" s="1035" t="s">
        <v>4047</v>
      </c>
      <c r="F138" s="1035" t="s">
        <v>4047</v>
      </c>
      <c r="G138" s="1035" t="s">
        <v>6204</v>
      </c>
      <c r="H138" s="1035" t="str">
        <f t="shared" si="8"/>
        <v>Soybeansa</v>
      </c>
      <c r="I138" s="1035">
        <f t="shared" si="9"/>
        <v>236</v>
      </c>
      <c r="J138" s="1114">
        <v>0.18</v>
      </c>
      <c r="K138" s="1314">
        <v>10202400</v>
      </c>
      <c r="L138" s="1073">
        <v>12549700</v>
      </c>
      <c r="M138" s="1074">
        <v>1.2300733160824899</v>
      </c>
      <c r="N138" s="1315">
        <f t="shared" si="10"/>
        <v>0.22141319689484817</v>
      </c>
      <c r="O138" s="1325">
        <f t="shared" si="11"/>
        <v>0.45730327472191562</v>
      </c>
      <c r="P138" s="1321">
        <v>2011</v>
      </c>
    </row>
    <row r="139" spans="1:16">
      <c r="A139" s="1034" t="s">
        <v>1519</v>
      </c>
      <c r="B139" s="826">
        <v>238</v>
      </c>
      <c r="C139" s="1035">
        <v>2</v>
      </c>
      <c r="D139" s="1035">
        <v>236</v>
      </c>
      <c r="E139" s="1035" t="s">
        <v>4047</v>
      </c>
      <c r="F139" s="1035" t="s">
        <v>4047</v>
      </c>
      <c r="G139" s="1035" t="s">
        <v>6204</v>
      </c>
      <c r="H139" s="1035" t="str">
        <f t="shared" si="8"/>
        <v>Soybeansa</v>
      </c>
      <c r="I139" s="1035">
        <f t="shared" si="9"/>
        <v>236</v>
      </c>
      <c r="J139" s="1114">
        <v>0.79</v>
      </c>
      <c r="K139" s="1314">
        <v>63593100</v>
      </c>
      <c r="L139" s="1073">
        <v>27458000</v>
      </c>
      <c r="M139" s="1074">
        <v>0.43177640341483597</v>
      </c>
      <c r="N139" s="1315">
        <f t="shared" si="10"/>
        <v>0.34110335869772046</v>
      </c>
      <c r="O139" s="1325">
        <f t="shared" si="11"/>
        <v>1.302795963706525</v>
      </c>
      <c r="P139" s="1321">
        <v>2011</v>
      </c>
    </row>
    <row r="140" spans="1:16">
      <c r="A140" s="1034" t="s">
        <v>2140</v>
      </c>
      <c r="B140" s="826">
        <v>239</v>
      </c>
      <c r="C140" s="1035">
        <v>2</v>
      </c>
      <c r="D140" s="1035">
        <v>236</v>
      </c>
      <c r="E140" s="1035" t="s">
        <v>4047</v>
      </c>
      <c r="F140" s="1035" t="s">
        <v>4047</v>
      </c>
      <c r="G140" s="1035" t="s">
        <v>6205</v>
      </c>
      <c r="H140" s="1035" t="str">
        <f t="shared" si="8"/>
        <v>Soybeansb</v>
      </c>
      <c r="I140" s="1035">
        <f t="shared" si="9"/>
        <v>236</v>
      </c>
      <c r="J140" s="1114">
        <v>3.5</v>
      </c>
      <c r="K140" s="1314">
        <v>299183</v>
      </c>
      <c r="L140" s="1073">
        <v>473667</v>
      </c>
      <c r="M140" s="1074">
        <v>1.58320158565159</v>
      </c>
      <c r="N140" s="1315">
        <f t="shared" si="10"/>
        <v>5.5412055497805648</v>
      </c>
      <c r="O140" s="1325">
        <f t="shared" si="11"/>
        <v>3.5</v>
      </c>
      <c r="P140" s="1321">
        <v>2011</v>
      </c>
    </row>
    <row r="141" spans="1:16">
      <c r="A141" s="1034" t="s">
        <v>676</v>
      </c>
      <c r="B141" s="826">
        <v>240</v>
      </c>
      <c r="C141" s="1035">
        <v>2</v>
      </c>
      <c r="D141" s="1035">
        <v>236</v>
      </c>
      <c r="E141" s="1035" t="s">
        <v>4047</v>
      </c>
      <c r="F141" s="1035" t="s">
        <v>4047</v>
      </c>
      <c r="G141" s="1035" t="s">
        <v>6206</v>
      </c>
      <c r="H141" s="1035" t="str">
        <f t="shared" si="8"/>
        <v>Soybeansc</v>
      </c>
      <c r="I141" s="1035">
        <f t="shared" si="9"/>
        <v>236</v>
      </c>
      <c r="J141" s="1114">
        <v>4.5</v>
      </c>
      <c r="K141" s="1314">
        <v>116</v>
      </c>
      <c r="L141" s="1073">
        <v>620</v>
      </c>
      <c r="M141" s="1074">
        <v>0.187096774193548</v>
      </c>
      <c r="N141" s="1315">
        <f t="shared" si="10"/>
        <v>0.84193548387096606</v>
      </c>
      <c r="O141" s="1325">
        <f t="shared" si="11"/>
        <v>4.5</v>
      </c>
      <c r="P141" s="1321">
        <v>2003</v>
      </c>
    </row>
    <row r="142" spans="1:16">
      <c r="A142" s="1034" t="s">
        <v>675</v>
      </c>
      <c r="B142" s="826">
        <v>241</v>
      </c>
      <c r="C142" s="1035">
        <v>2</v>
      </c>
      <c r="D142" s="1035">
        <v>236</v>
      </c>
      <c r="E142" s="1035" t="s">
        <v>4047</v>
      </c>
      <c r="F142" s="1035" t="s">
        <v>4047</v>
      </c>
      <c r="G142" s="1035" t="s">
        <v>6207</v>
      </c>
      <c r="H142" s="1035" t="str">
        <f t="shared" si="8"/>
        <v>Soybeansd</v>
      </c>
      <c r="I142" s="1035">
        <f t="shared" si="9"/>
        <v>236</v>
      </c>
      <c r="J142" s="1114">
        <v>3.75</v>
      </c>
      <c r="K142" s="1314" t="s">
        <v>7517</v>
      </c>
      <c r="L142" s="1073" t="s">
        <v>7518</v>
      </c>
      <c r="M142" s="1074">
        <v>2.7295330503335355</v>
      </c>
      <c r="N142" s="1315">
        <f t="shared" si="10"/>
        <v>10.235748938750758</v>
      </c>
      <c r="O142" s="1325">
        <f t="shared" si="11"/>
        <v>3.75</v>
      </c>
      <c r="P142" s="1321" t="s">
        <v>7739</v>
      </c>
    </row>
    <row r="143" spans="1:16">
      <c r="A143" s="1034" t="s">
        <v>3780</v>
      </c>
      <c r="B143" s="826">
        <v>242</v>
      </c>
      <c r="C143" s="1035">
        <v>1</v>
      </c>
      <c r="D143" s="1035">
        <v>242</v>
      </c>
      <c r="E143" s="1035" t="s">
        <v>3780</v>
      </c>
      <c r="F143" s="1035"/>
      <c r="G143" s="1035"/>
      <c r="H143" s="1035" t="str">
        <f t="shared" si="8"/>
        <v/>
      </c>
      <c r="I143" s="1035" t="str">
        <f t="shared" si="9"/>
        <v/>
      </c>
      <c r="J143" s="1114"/>
      <c r="K143" s="1314" t="s">
        <v>7519</v>
      </c>
      <c r="L143" s="1073" t="s">
        <v>7520</v>
      </c>
      <c r="M143" s="1074">
        <v>1.1477842583127893</v>
      </c>
      <c r="N143" s="1315" t="str">
        <f t="shared" si="10"/>
        <v/>
      </c>
      <c r="O143" s="1325">
        <f t="shared" si="11"/>
        <v>1</v>
      </c>
      <c r="P143" s="1321" t="s">
        <v>7739</v>
      </c>
    </row>
    <row r="144" spans="1:16">
      <c r="A144" s="1034" t="s">
        <v>7276</v>
      </c>
      <c r="B144" s="826">
        <v>243</v>
      </c>
      <c r="C144" s="1035">
        <v>2</v>
      </c>
      <c r="D144" s="1035">
        <v>242</v>
      </c>
      <c r="E144" s="1035" t="s">
        <v>3780</v>
      </c>
      <c r="F144" s="1035" t="s">
        <v>3780</v>
      </c>
      <c r="G144" s="1035" t="s">
        <v>6204</v>
      </c>
      <c r="H144" s="1035" t="str">
        <f t="shared" si="8"/>
        <v>Groundnuts, with shella</v>
      </c>
      <c r="I144" s="1035">
        <f t="shared" si="9"/>
        <v>242</v>
      </c>
      <c r="J144" s="1114">
        <v>0.7</v>
      </c>
      <c r="K144" s="1314">
        <v>1665520</v>
      </c>
      <c r="L144" s="1073">
        <v>2255810</v>
      </c>
      <c r="M144" s="1074">
        <v>1.35441783947356</v>
      </c>
      <c r="N144" s="1315">
        <f t="shared" si="10"/>
        <v>0.9480924876314919</v>
      </c>
      <c r="O144" s="1325">
        <f t="shared" si="11"/>
        <v>0.7</v>
      </c>
      <c r="P144" s="1321">
        <v>2011</v>
      </c>
    </row>
    <row r="145" spans="1:16">
      <c r="A145" s="1034" t="s">
        <v>4559</v>
      </c>
      <c r="B145" s="826">
        <v>244</v>
      </c>
      <c r="C145" s="1035">
        <v>3</v>
      </c>
      <c r="D145" s="1035">
        <v>242</v>
      </c>
      <c r="E145" s="1035" t="s">
        <v>3780</v>
      </c>
      <c r="F145" s="1035" t="s">
        <v>7276</v>
      </c>
      <c r="G145" s="1035" t="s">
        <v>6204</v>
      </c>
      <c r="H145" s="1035" t="str">
        <f t="shared" si="8"/>
        <v>Groundnuts, shelleda</v>
      </c>
      <c r="I145" s="1035">
        <f t="shared" si="9"/>
        <v>243</v>
      </c>
      <c r="J145" s="1114">
        <v>0.43</v>
      </c>
      <c r="K145" s="1314">
        <v>225769</v>
      </c>
      <c r="L145" s="1073">
        <v>390392</v>
      </c>
      <c r="M145" s="1074">
        <v>1.7291656516173599</v>
      </c>
      <c r="N145" s="1315">
        <f t="shared" si="10"/>
        <v>0.7435412301954647</v>
      </c>
      <c r="O145" s="1325">
        <f t="shared" si="11"/>
        <v>0.38087073631584845</v>
      </c>
      <c r="P145" s="1321">
        <v>2011</v>
      </c>
    </row>
    <row r="146" spans="1:16">
      <c r="A146" s="1034" t="s">
        <v>1197</v>
      </c>
      <c r="B146" s="826">
        <v>245</v>
      </c>
      <c r="C146" s="1035">
        <v>3</v>
      </c>
      <c r="D146" s="1035">
        <v>242</v>
      </c>
      <c r="E146" s="1035" t="s">
        <v>3780</v>
      </c>
      <c r="F146" s="1035" t="s">
        <v>7276</v>
      </c>
      <c r="G146" s="1035" t="s">
        <v>6204</v>
      </c>
      <c r="H146" s="1035" t="str">
        <f t="shared" si="8"/>
        <v>Groundnuts, shelleda</v>
      </c>
      <c r="I146" s="1035">
        <f t="shared" si="9"/>
        <v>243</v>
      </c>
      <c r="J146" s="1114">
        <v>0.54</v>
      </c>
      <c r="K146" s="1314">
        <v>190388</v>
      </c>
      <c r="L146" s="1073">
        <v>69562</v>
      </c>
      <c r="M146" s="1074">
        <v>0.36536966615542998</v>
      </c>
      <c r="N146" s="1315">
        <f t="shared" si="10"/>
        <v>0.1972996197239322</v>
      </c>
      <c r="O146" s="1325">
        <f t="shared" si="11"/>
        <v>1.8025267446898863</v>
      </c>
      <c r="P146" s="1321">
        <v>2011</v>
      </c>
    </row>
    <row r="147" spans="1:16">
      <c r="A147" s="1034" t="s">
        <v>3018</v>
      </c>
      <c r="B147" s="826">
        <v>246</v>
      </c>
      <c r="C147" s="1035">
        <v>3</v>
      </c>
      <c r="D147" s="1035">
        <v>242</v>
      </c>
      <c r="E147" s="1035" t="s">
        <v>3780</v>
      </c>
      <c r="F147" s="1035" t="s">
        <v>7276</v>
      </c>
      <c r="G147" s="1035" t="s">
        <v>6205</v>
      </c>
      <c r="H147" s="1035" t="str">
        <f t="shared" si="8"/>
        <v>Groundnuts, shelledb</v>
      </c>
      <c r="I147" s="1035">
        <f t="shared" si="9"/>
        <v>243</v>
      </c>
      <c r="J147" s="1114">
        <v>1</v>
      </c>
      <c r="K147" s="1314" t="s">
        <v>7521</v>
      </c>
      <c r="L147" s="1073" t="s">
        <v>7522</v>
      </c>
      <c r="M147" s="1074">
        <v>2.05661546411236</v>
      </c>
      <c r="N147" s="1315">
        <f t="shared" si="10"/>
        <v>2.05661546411236</v>
      </c>
      <c r="O147" s="1325">
        <f t="shared" si="11"/>
        <v>0.7</v>
      </c>
      <c r="P147" s="1321" t="s">
        <v>7739</v>
      </c>
    </row>
    <row r="148" spans="1:16">
      <c r="A148" s="1034" t="s">
        <v>5400</v>
      </c>
      <c r="B148" s="826">
        <v>247</v>
      </c>
      <c r="C148" s="1035">
        <v>3</v>
      </c>
      <c r="D148" s="1035">
        <v>242</v>
      </c>
      <c r="E148" s="1035" t="s">
        <v>3780</v>
      </c>
      <c r="F148" s="1035" t="s">
        <v>7276</v>
      </c>
      <c r="G148" s="1035" t="s">
        <v>6206</v>
      </c>
      <c r="H148" s="1035" t="str">
        <f t="shared" si="8"/>
        <v>Groundnuts, shelledc</v>
      </c>
      <c r="I148" s="1035">
        <f t="shared" si="9"/>
        <v>243</v>
      </c>
      <c r="J148" s="1114">
        <v>0.85</v>
      </c>
      <c r="K148" s="1314">
        <v>78922</v>
      </c>
      <c r="L148" s="1073">
        <v>209315</v>
      </c>
      <c r="M148" s="1074">
        <v>2.6521755657484598</v>
      </c>
      <c r="N148" s="1315">
        <f t="shared" si="10"/>
        <v>2.254349230886191</v>
      </c>
      <c r="O148" s="1325">
        <f t="shared" si="11"/>
        <v>0.59499999999999997</v>
      </c>
      <c r="P148" s="1321">
        <v>2011</v>
      </c>
    </row>
    <row r="149" spans="1:16">
      <c r="A149" s="1034" t="s">
        <v>902</v>
      </c>
      <c r="B149" s="826">
        <v>249</v>
      </c>
      <c r="C149" s="1035">
        <v>1</v>
      </c>
      <c r="D149" s="1035">
        <v>249</v>
      </c>
      <c r="E149" s="1035" t="s">
        <v>902</v>
      </c>
      <c r="F149" s="1035"/>
      <c r="G149" s="1035"/>
      <c r="H149" s="1035" t="str">
        <f t="shared" si="8"/>
        <v/>
      </c>
      <c r="I149" s="1035" t="str">
        <f t="shared" si="9"/>
        <v/>
      </c>
      <c r="J149" s="1114"/>
      <c r="K149" s="1314">
        <v>587551</v>
      </c>
      <c r="L149" s="1073">
        <v>313154</v>
      </c>
      <c r="M149" s="1074">
        <v>0.53298181774858699</v>
      </c>
      <c r="N149" s="1315" t="str">
        <f t="shared" si="10"/>
        <v/>
      </c>
      <c r="O149" s="1325">
        <f t="shared" si="11"/>
        <v>1</v>
      </c>
      <c r="P149" s="1321">
        <v>2011</v>
      </c>
    </row>
    <row r="150" spans="1:16">
      <c r="A150" s="1034" t="s">
        <v>2836</v>
      </c>
      <c r="B150" s="826">
        <v>250</v>
      </c>
      <c r="C150" s="1035">
        <v>2</v>
      </c>
      <c r="D150" s="1035">
        <v>249</v>
      </c>
      <c r="E150" s="1035" t="s">
        <v>902</v>
      </c>
      <c r="F150" s="1035" t="s">
        <v>902</v>
      </c>
      <c r="G150" s="1035" t="s">
        <v>6204</v>
      </c>
      <c r="H150" s="1035" t="str">
        <f t="shared" si="8"/>
        <v>Coconutsa</v>
      </c>
      <c r="I150" s="1035">
        <f t="shared" si="9"/>
        <v>249</v>
      </c>
      <c r="J150" s="1114">
        <v>0.2</v>
      </c>
      <c r="K150" s="1314">
        <v>310397</v>
      </c>
      <c r="L150" s="1073">
        <v>708698</v>
      </c>
      <c r="M150" s="1074">
        <v>2.2831986133886599</v>
      </c>
      <c r="N150" s="1315">
        <f t="shared" si="10"/>
        <v>0.45663972267773201</v>
      </c>
      <c r="O150" s="1325">
        <f t="shared" si="11"/>
        <v>0.2</v>
      </c>
      <c r="P150" s="1321">
        <v>2011</v>
      </c>
    </row>
    <row r="151" spans="1:16">
      <c r="A151" s="1034" t="s">
        <v>904</v>
      </c>
      <c r="B151" s="826">
        <v>251</v>
      </c>
      <c r="C151" s="1035">
        <v>2</v>
      </c>
      <c r="D151" s="1035">
        <v>249</v>
      </c>
      <c r="E151" s="1035" t="s">
        <v>902</v>
      </c>
      <c r="F151" s="1035" t="s">
        <v>902</v>
      </c>
      <c r="G151" s="1035" t="s">
        <v>6205</v>
      </c>
      <c r="H151" s="1035" t="str">
        <f t="shared" si="8"/>
        <v>Coconutsb</v>
      </c>
      <c r="I151" s="1035">
        <f t="shared" si="9"/>
        <v>249</v>
      </c>
      <c r="J151" s="1114">
        <v>0.21</v>
      </c>
      <c r="K151" s="1314">
        <v>156837</v>
      </c>
      <c r="L151" s="1073">
        <v>82288</v>
      </c>
      <c r="M151" s="1074">
        <v>0.52467211181035101</v>
      </c>
      <c r="N151" s="1315">
        <f t="shared" si="10"/>
        <v>0.1101811434801737</v>
      </c>
      <c r="O151" s="1325">
        <f t="shared" si="11"/>
        <v>0.21</v>
      </c>
      <c r="P151" s="1321">
        <v>2011</v>
      </c>
    </row>
    <row r="152" spans="1:16">
      <c r="A152" s="1034" t="s">
        <v>3347</v>
      </c>
      <c r="B152" s="826">
        <v>252</v>
      </c>
      <c r="C152" s="1035">
        <v>3</v>
      </c>
      <c r="D152" s="1035">
        <v>249</v>
      </c>
      <c r="E152" s="1035" t="s">
        <v>902</v>
      </c>
      <c r="F152" s="1035" t="s">
        <v>904</v>
      </c>
      <c r="G152" s="1035" t="s">
        <v>6204</v>
      </c>
      <c r="H152" s="1035" t="str">
        <f t="shared" si="8"/>
        <v>Copraa</v>
      </c>
      <c r="I152" s="1035">
        <f t="shared" si="9"/>
        <v>251</v>
      </c>
      <c r="J152" s="1114">
        <v>0.61</v>
      </c>
      <c r="K152" s="1314">
        <v>2127560</v>
      </c>
      <c r="L152" s="1073">
        <v>3761240</v>
      </c>
      <c r="M152" s="1074">
        <v>1.7678655361070901</v>
      </c>
      <c r="N152" s="1315">
        <f t="shared" si="10"/>
        <v>1.0783979770253249</v>
      </c>
      <c r="O152" s="1325">
        <f t="shared" si="11"/>
        <v>0.13752653317297925</v>
      </c>
      <c r="P152" s="1321">
        <v>2011</v>
      </c>
    </row>
    <row r="153" spans="1:16">
      <c r="A153" s="1034" t="s">
        <v>1434</v>
      </c>
      <c r="B153" s="826">
        <v>253</v>
      </c>
      <c r="C153" s="1035">
        <v>3</v>
      </c>
      <c r="D153" s="1035">
        <v>249</v>
      </c>
      <c r="E153" s="1035" t="s">
        <v>902</v>
      </c>
      <c r="F153" s="1035" t="s">
        <v>904</v>
      </c>
      <c r="G153" s="1035" t="s">
        <v>6204</v>
      </c>
      <c r="H153" s="1035" t="str">
        <f t="shared" si="8"/>
        <v>Copraa</v>
      </c>
      <c r="I153" s="1035">
        <f t="shared" si="9"/>
        <v>251</v>
      </c>
      <c r="J153" s="1114">
        <v>0.36</v>
      </c>
      <c r="K153" s="1314">
        <v>606584</v>
      </c>
      <c r="L153" s="1073">
        <v>133712</v>
      </c>
      <c r="M153" s="1074">
        <v>0.220434432823813</v>
      </c>
      <c r="N153" s="1315">
        <f t="shared" si="10"/>
        <v>7.9356395816572681E-2</v>
      </c>
      <c r="O153" s="1325">
        <f t="shared" si="11"/>
        <v>1.1029511822734341</v>
      </c>
      <c r="P153" s="1321">
        <v>2011</v>
      </c>
    </row>
    <row r="154" spans="1:16">
      <c r="A154" s="1034" t="s">
        <v>805</v>
      </c>
      <c r="B154" s="1035">
        <v>254</v>
      </c>
      <c r="C154" s="1035">
        <v>1</v>
      </c>
      <c r="D154" s="1035">
        <v>254</v>
      </c>
      <c r="E154" s="1035" t="s">
        <v>805</v>
      </c>
      <c r="F154" s="1035"/>
      <c r="G154" s="1035"/>
      <c r="H154" s="1035" t="str">
        <f t="shared" si="8"/>
        <v/>
      </c>
      <c r="I154" s="1035" t="str">
        <f t="shared" si="9"/>
        <v/>
      </c>
      <c r="J154" s="1114"/>
      <c r="K154" s="1314" t="s">
        <v>7512</v>
      </c>
      <c r="L154" s="1073" t="s">
        <v>7512</v>
      </c>
      <c r="M154" s="1074">
        <v>0</v>
      </c>
      <c r="N154" s="1315" t="str">
        <f t="shared" si="10"/>
        <v/>
      </c>
      <c r="O154" s="1325">
        <f t="shared" si="11"/>
        <v>1</v>
      </c>
      <c r="P154" s="1321" t="s">
        <v>7739</v>
      </c>
    </row>
    <row r="155" spans="1:16">
      <c r="A155" s="1034" t="s">
        <v>3231</v>
      </c>
      <c r="B155" s="826">
        <v>256</v>
      </c>
      <c r="C155" s="1035">
        <v>2</v>
      </c>
      <c r="D155" s="1035">
        <v>254</v>
      </c>
      <c r="E155" s="1035" t="s">
        <v>805</v>
      </c>
      <c r="F155" s="1035" t="s">
        <v>805</v>
      </c>
      <c r="G155" s="1035" t="s">
        <v>6204</v>
      </c>
      <c r="H155" s="1035" t="str">
        <f t="shared" si="8"/>
        <v>Oil palm fruita</v>
      </c>
      <c r="I155" s="1035">
        <f t="shared" si="9"/>
        <v>254</v>
      </c>
      <c r="J155" s="1114">
        <v>0.06</v>
      </c>
      <c r="K155" s="1314" t="s">
        <v>7523</v>
      </c>
      <c r="L155" s="1073" t="s">
        <v>7524</v>
      </c>
      <c r="M155" s="1074">
        <v>0.41887389358193383</v>
      </c>
      <c r="N155" s="1315">
        <f t="shared" si="10"/>
        <v>2.513243361491603E-2</v>
      </c>
      <c r="O155" s="1325">
        <f t="shared" si="11"/>
        <v>0.58109304659252659</v>
      </c>
      <c r="P155" s="1321" t="s">
        <v>7739</v>
      </c>
    </row>
    <row r="156" spans="1:16">
      <c r="A156" s="1034" t="s">
        <v>300</v>
      </c>
      <c r="B156" s="826">
        <v>257</v>
      </c>
      <c r="C156" s="1035">
        <v>2</v>
      </c>
      <c r="D156" s="1035">
        <v>254</v>
      </c>
      <c r="E156" s="1035" t="s">
        <v>805</v>
      </c>
      <c r="F156" s="1035" t="s">
        <v>805</v>
      </c>
      <c r="G156" s="1035" t="s">
        <v>6204</v>
      </c>
      <c r="H156" s="1035" t="str">
        <f t="shared" si="8"/>
        <v>Oil palm fruita</v>
      </c>
      <c r="I156" s="1035">
        <f t="shared" si="9"/>
        <v>254</v>
      </c>
      <c r="J156" s="1114">
        <v>0.19</v>
      </c>
      <c r="K156" s="1314">
        <v>36589700</v>
      </c>
      <c r="L156" s="1073">
        <v>42034300</v>
      </c>
      <c r="M156" s="1074">
        <v>1.14880143865623</v>
      </c>
      <c r="N156" s="1315">
        <f t="shared" si="10"/>
        <v>0.21827227334468369</v>
      </c>
      <c r="O156" s="1325">
        <f t="shared" si="11"/>
        <v>0.21187709100043764</v>
      </c>
      <c r="P156" s="1321">
        <v>2011</v>
      </c>
    </row>
    <row r="157" spans="1:16">
      <c r="A157" s="1034" t="s">
        <v>3229</v>
      </c>
      <c r="B157" s="826">
        <v>258</v>
      </c>
      <c r="C157" s="1035">
        <v>3</v>
      </c>
      <c r="D157" s="1035">
        <v>254</v>
      </c>
      <c r="E157" s="1035" t="s">
        <v>805</v>
      </c>
      <c r="F157" s="1035" t="s">
        <v>3231</v>
      </c>
      <c r="G157" s="1035" t="s">
        <v>6204</v>
      </c>
      <c r="H157" s="1035" t="str">
        <f t="shared" si="8"/>
        <v>Palm kernelsa</v>
      </c>
      <c r="I157" s="1035">
        <f t="shared" si="9"/>
        <v>256</v>
      </c>
      <c r="J157" s="1114">
        <v>0.46</v>
      </c>
      <c r="K157" s="1314">
        <v>2840990</v>
      </c>
      <c r="L157" s="1073">
        <v>4706810</v>
      </c>
      <c r="M157" s="1074">
        <v>1.6567499357618301</v>
      </c>
      <c r="N157" s="1315">
        <f t="shared" si="10"/>
        <v>0.7621049704504419</v>
      </c>
      <c r="O157" s="1325">
        <f t="shared" si="11"/>
        <v>0.30067538627889873</v>
      </c>
      <c r="P157" s="1321">
        <v>2011</v>
      </c>
    </row>
    <row r="158" spans="1:16">
      <c r="A158" s="1034" t="s">
        <v>3573</v>
      </c>
      <c r="B158" s="826">
        <v>259</v>
      </c>
      <c r="C158" s="1035">
        <v>3</v>
      </c>
      <c r="D158" s="1035">
        <v>254</v>
      </c>
      <c r="E158" s="1035" t="s">
        <v>805</v>
      </c>
      <c r="F158" s="1035" t="s">
        <v>3231</v>
      </c>
      <c r="G158" s="1035" t="s">
        <v>6204</v>
      </c>
      <c r="H158" s="1035" t="str">
        <f t="shared" si="8"/>
        <v>Palm kernelsa</v>
      </c>
      <c r="I158" s="1035">
        <f t="shared" si="9"/>
        <v>256</v>
      </c>
      <c r="J158" s="1114">
        <v>0.52</v>
      </c>
      <c r="K158" s="1314">
        <v>5378600</v>
      </c>
      <c r="L158" s="1073">
        <v>984163</v>
      </c>
      <c r="M158" s="1074">
        <v>0.18297754062395399</v>
      </c>
      <c r="N158" s="1315">
        <f t="shared" si="10"/>
        <v>9.5148321124456078E-2</v>
      </c>
      <c r="O158" s="1325">
        <f t="shared" si="11"/>
        <v>2.7224320821236123</v>
      </c>
      <c r="P158" s="1321">
        <v>2011</v>
      </c>
    </row>
    <row r="159" spans="1:16">
      <c r="A159" s="1034" t="s">
        <v>3874</v>
      </c>
      <c r="B159" s="826">
        <v>260</v>
      </c>
      <c r="C159" s="1035">
        <v>1</v>
      </c>
      <c r="D159" s="1035">
        <v>260</v>
      </c>
      <c r="E159" s="1035" t="s">
        <v>3874</v>
      </c>
      <c r="F159" s="1035"/>
      <c r="G159" s="1035"/>
      <c r="H159" s="1035" t="str">
        <f t="shared" si="8"/>
        <v/>
      </c>
      <c r="I159" s="1035" t="str">
        <f t="shared" si="9"/>
        <v/>
      </c>
      <c r="J159" s="1114"/>
      <c r="K159" s="1314">
        <v>33255</v>
      </c>
      <c r="L159" s="1073">
        <v>47748</v>
      </c>
      <c r="M159" s="1074">
        <v>1.43581416328372</v>
      </c>
      <c r="N159" s="1315" t="str">
        <f t="shared" si="10"/>
        <v/>
      </c>
      <c r="O159" s="1325">
        <f t="shared" si="11"/>
        <v>1</v>
      </c>
      <c r="P159" s="1321">
        <v>2011</v>
      </c>
    </row>
    <row r="160" spans="1:16">
      <c r="A160" s="1034" t="s">
        <v>2657</v>
      </c>
      <c r="B160" s="826">
        <v>261</v>
      </c>
      <c r="C160" s="1035">
        <v>2</v>
      </c>
      <c r="D160" s="1035">
        <v>260</v>
      </c>
      <c r="E160" s="1035" t="s">
        <v>3874</v>
      </c>
      <c r="F160" s="1035" t="s">
        <v>3874</v>
      </c>
      <c r="G160" s="1035" t="s">
        <v>6204</v>
      </c>
      <c r="H160" s="1035" t="str">
        <f t="shared" si="8"/>
        <v>Olivesa</v>
      </c>
      <c r="I160" s="1035">
        <f t="shared" si="9"/>
        <v>260</v>
      </c>
      <c r="J160" s="1114">
        <v>0.2</v>
      </c>
      <c r="K160" s="1314">
        <v>1747190</v>
      </c>
      <c r="L160" s="1073">
        <v>5888850</v>
      </c>
      <c r="M160" s="1074">
        <v>3.3704691533262001</v>
      </c>
      <c r="N160" s="1315">
        <f t="shared" si="10"/>
        <v>0.67409383066524009</v>
      </c>
      <c r="O160" s="1325">
        <f t="shared" si="11"/>
        <v>0.21194017940086435</v>
      </c>
      <c r="P160" s="1321">
        <v>2011</v>
      </c>
    </row>
    <row r="161" spans="1:16">
      <c r="A161" s="1034" t="s">
        <v>4758</v>
      </c>
      <c r="B161" s="826">
        <v>262</v>
      </c>
      <c r="C161" s="1035">
        <v>2</v>
      </c>
      <c r="D161" s="1035">
        <v>260</v>
      </c>
      <c r="E161" s="1035" t="s">
        <v>3874</v>
      </c>
      <c r="F161" s="1035" t="s">
        <v>3874</v>
      </c>
      <c r="G161" s="1035" t="s">
        <v>6205</v>
      </c>
      <c r="H161" s="1035" t="str">
        <f t="shared" si="8"/>
        <v>Olivesb</v>
      </c>
      <c r="I161" s="1035">
        <f t="shared" si="9"/>
        <v>260</v>
      </c>
      <c r="J161" s="1114">
        <v>1</v>
      </c>
      <c r="K161" s="1314">
        <v>984457</v>
      </c>
      <c r="L161" s="1073">
        <v>1936160</v>
      </c>
      <c r="M161" s="1074">
        <v>1.9667288667763001</v>
      </c>
      <c r="N161" s="1315">
        <f t="shared" si="10"/>
        <v>1.9667288667763001</v>
      </c>
      <c r="O161" s="1325">
        <f t="shared" si="11"/>
        <v>1</v>
      </c>
      <c r="P161" s="1321">
        <v>2011</v>
      </c>
    </row>
    <row r="162" spans="1:16">
      <c r="A162" s="1034" t="s">
        <v>4053</v>
      </c>
      <c r="B162" s="826">
        <v>263</v>
      </c>
      <c r="C162" s="1035">
        <v>1</v>
      </c>
      <c r="D162" s="1035">
        <v>263</v>
      </c>
      <c r="E162" s="1035" t="s">
        <v>4053</v>
      </c>
      <c r="F162" s="1035"/>
      <c r="G162" s="1035"/>
      <c r="H162" s="1035" t="str">
        <f t="shared" si="8"/>
        <v/>
      </c>
      <c r="I162" s="1035" t="str">
        <f t="shared" si="9"/>
        <v/>
      </c>
      <c r="J162" s="1114"/>
      <c r="K162" s="1314" t="s">
        <v>7525</v>
      </c>
      <c r="L162" s="1073" t="s">
        <v>7526</v>
      </c>
      <c r="M162" s="1074">
        <v>7.9522862823061632E-2</v>
      </c>
      <c r="N162" s="1315" t="str">
        <f t="shared" si="10"/>
        <v/>
      </c>
      <c r="O162" s="1325">
        <f t="shared" si="11"/>
        <v>1</v>
      </c>
      <c r="P162" s="1321" t="s">
        <v>7739</v>
      </c>
    </row>
    <row r="163" spans="1:16">
      <c r="A163" s="1034" t="s">
        <v>105</v>
      </c>
      <c r="B163" s="826">
        <v>264</v>
      </c>
      <c r="C163" s="1035">
        <v>2</v>
      </c>
      <c r="D163" s="1035">
        <v>263</v>
      </c>
      <c r="E163" s="1035" t="s">
        <v>6200</v>
      </c>
      <c r="F163" s="1035" t="s">
        <v>6200</v>
      </c>
      <c r="G163" s="1035" t="s">
        <v>6204</v>
      </c>
      <c r="H163" s="1035" t="str">
        <f t="shared" si="8"/>
        <v>Karite nuts (sheanuts)a</v>
      </c>
      <c r="I163" s="1035">
        <f t="shared" si="9"/>
        <v>263</v>
      </c>
      <c r="J163" s="1114">
        <v>1</v>
      </c>
      <c r="K163" s="1314">
        <v>200</v>
      </c>
      <c r="L163" s="1073">
        <v>220</v>
      </c>
      <c r="M163" s="1074">
        <v>0.90909090909090895</v>
      </c>
      <c r="N163" s="1315">
        <f t="shared" si="10"/>
        <v>0.90909090909090895</v>
      </c>
      <c r="O163" s="1325">
        <f t="shared" si="11"/>
        <v>1</v>
      </c>
      <c r="P163" s="1321">
        <v>1998</v>
      </c>
    </row>
    <row r="164" spans="1:16">
      <c r="A164" s="1034" t="s">
        <v>3879</v>
      </c>
      <c r="B164" s="826">
        <v>265</v>
      </c>
      <c r="C164" s="1035">
        <v>1</v>
      </c>
      <c r="D164" s="1035">
        <v>265</v>
      </c>
      <c r="E164" s="1035" t="s">
        <v>3879</v>
      </c>
      <c r="F164" s="1035"/>
      <c r="G164" s="1035"/>
      <c r="H164" s="1035" t="str">
        <f t="shared" si="8"/>
        <v/>
      </c>
      <c r="I164" s="1035" t="str">
        <f t="shared" si="9"/>
        <v/>
      </c>
      <c r="J164" s="1114"/>
      <c r="K164" s="1314" t="s">
        <v>7527</v>
      </c>
      <c r="L164" s="1073" t="s">
        <v>7528</v>
      </c>
      <c r="M164" s="1074">
        <v>1.5740198946752486</v>
      </c>
      <c r="N164" s="1315" t="str">
        <f t="shared" si="10"/>
        <v/>
      </c>
      <c r="O164" s="1325">
        <f t="shared" si="11"/>
        <v>1</v>
      </c>
      <c r="P164" s="1321" t="s">
        <v>7739</v>
      </c>
    </row>
    <row r="165" spans="1:16">
      <c r="A165" s="1034" t="s">
        <v>3043</v>
      </c>
      <c r="B165" s="826">
        <v>266</v>
      </c>
      <c r="C165" s="1035">
        <v>2</v>
      </c>
      <c r="D165" s="1035">
        <v>265</v>
      </c>
      <c r="E165" s="1035" t="s">
        <v>3879</v>
      </c>
      <c r="F165" s="1035" t="s">
        <v>3879</v>
      </c>
      <c r="G165" s="1035" t="s">
        <v>6204</v>
      </c>
      <c r="H165" s="1035" t="str">
        <f t="shared" si="8"/>
        <v>Castor oil seeda</v>
      </c>
      <c r="I165" s="1035">
        <f t="shared" si="9"/>
        <v>265</v>
      </c>
      <c r="J165" s="1114">
        <v>0.4</v>
      </c>
      <c r="K165" s="1314">
        <v>468419</v>
      </c>
      <c r="L165" s="1073">
        <v>1063410</v>
      </c>
      <c r="M165" s="1074">
        <v>2.2702110717114401</v>
      </c>
      <c r="N165" s="1315">
        <f t="shared" si="10"/>
        <v>0.90808442868457606</v>
      </c>
      <c r="O165" s="1325">
        <f t="shared" si="11"/>
        <v>0.4</v>
      </c>
      <c r="P165" s="1321">
        <v>2011</v>
      </c>
    </row>
    <row r="166" spans="1:16">
      <c r="A166" s="1034" t="s">
        <v>3916</v>
      </c>
      <c r="B166" s="826">
        <v>267</v>
      </c>
      <c r="C166" s="1035">
        <v>1</v>
      </c>
      <c r="D166" s="1035">
        <v>267</v>
      </c>
      <c r="E166" s="1035" t="s">
        <v>3916</v>
      </c>
      <c r="F166" s="1035"/>
      <c r="G166" s="1035"/>
      <c r="H166" s="1035" t="str">
        <f t="shared" si="8"/>
        <v/>
      </c>
      <c r="I166" s="1035" t="str">
        <f t="shared" si="9"/>
        <v/>
      </c>
      <c r="J166" s="1114"/>
      <c r="K166" s="1314">
        <v>4650940</v>
      </c>
      <c r="L166" s="1073">
        <v>3779680</v>
      </c>
      <c r="M166" s="1074">
        <v>0.81267012689907803</v>
      </c>
      <c r="N166" s="1315" t="str">
        <f t="shared" si="10"/>
        <v/>
      </c>
      <c r="O166" s="1325">
        <f t="shared" si="11"/>
        <v>1</v>
      </c>
      <c r="P166" s="1321">
        <v>2011</v>
      </c>
    </row>
    <row r="167" spans="1:16">
      <c r="A167" s="1034" t="s">
        <v>3169</v>
      </c>
      <c r="B167" s="826">
        <v>268</v>
      </c>
      <c r="C167" s="1035">
        <v>2</v>
      </c>
      <c r="D167" s="1035">
        <v>267</v>
      </c>
      <c r="E167" s="1035" t="s">
        <v>3916</v>
      </c>
      <c r="F167" s="1035" t="s">
        <v>3916</v>
      </c>
      <c r="G167" s="1035" t="s">
        <v>6204</v>
      </c>
      <c r="H167" s="1035" t="str">
        <f t="shared" si="8"/>
        <v>Sunflower seeda</v>
      </c>
      <c r="I167" s="1035">
        <f t="shared" si="9"/>
        <v>267</v>
      </c>
      <c r="J167" s="1114">
        <v>0.41</v>
      </c>
      <c r="K167" s="1314">
        <v>6486680</v>
      </c>
      <c r="L167" s="1073">
        <v>9369440</v>
      </c>
      <c r="M167" s="1074">
        <v>1.44441224170146</v>
      </c>
      <c r="N167" s="1315">
        <f t="shared" si="10"/>
        <v>0.5922090190975986</v>
      </c>
      <c r="O167" s="1325">
        <f t="shared" si="11"/>
        <v>0.49160895457689602</v>
      </c>
      <c r="P167" s="1321">
        <v>2011</v>
      </c>
    </row>
    <row r="168" spans="1:16">
      <c r="A168" s="1034" t="s">
        <v>3619</v>
      </c>
      <c r="B168" s="826">
        <v>269</v>
      </c>
      <c r="C168" s="1035">
        <v>2</v>
      </c>
      <c r="D168" s="1035">
        <v>267</v>
      </c>
      <c r="E168" s="1035" t="s">
        <v>3916</v>
      </c>
      <c r="F168" s="1035" t="s">
        <v>3916</v>
      </c>
      <c r="G168" s="1035" t="s">
        <v>6204</v>
      </c>
      <c r="H168" s="1035" t="str">
        <f t="shared" si="8"/>
        <v>Sunflower seeda</v>
      </c>
      <c r="I168" s="1035">
        <f t="shared" si="9"/>
        <v>267</v>
      </c>
      <c r="J168" s="1114">
        <v>0.47</v>
      </c>
      <c r="K168" s="1314">
        <v>5753860</v>
      </c>
      <c r="L168" s="1073">
        <v>1443080</v>
      </c>
      <c r="M168" s="1074">
        <v>0.25080207026239798</v>
      </c>
      <c r="N168" s="1315">
        <f t="shared" si="10"/>
        <v>0.11787697302332704</v>
      </c>
      <c r="O168" s="1325">
        <f t="shared" si="11"/>
        <v>2.8312604891100324</v>
      </c>
      <c r="P168" s="1321">
        <v>2011</v>
      </c>
    </row>
    <row r="169" spans="1:16">
      <c r="A169" s="1034" t="s">
        <v>5561</v>
      </c>
      <c r="B169" s="826">
        <v>270</v>
      </c>
      <c r="C169" s="1035">
        <v>1</v>
      </c>
      <c r="D169" s="1035">
        <v>270</v>
      </c>
      <c r="E169" s="1035" t="s">
        <v>5561</v>
      </c>
      <c r="F169" s="1035"/>
      <c r="G169" s="1035"/>
      <c r="H169" s="1035" t="str">
        <f t="shared" si="8"/>
        <v/>
      </c>
      <c r="I169" s="1035" t="str">
        <f t="shared" si="9"/>
        <v/>
      </c>
      <c r="J169" s="1114"/>
      <c r="K169" s="1314">
        <v>18029800</v>
      </c>
      <c r="L169" s="1073">
        <v>11790000</v>
      </c>
      <c r="M169" s="1074">
        <v>0.65391740340991</v>
      </c>
      <c r="N169" s="1315" t="str">
        <f t="shared" si="10"/>
        <v/>
      </c>
      <c r="O169" s="1325">
        <f t="shared" si="11"/>
        <v>1</v>
      </c>
      <c r="P169" s="1321">
        <v>2011</v>
      </c>
    </row>
    <row r="170" spans="1:16">
      <c r="A170" s="1034" t="s">
        <v>5562</v>
      </c>
      <c r="B170" s="826">
        <v>271</v>
      </c>
      <c r="C170" s="1035">
        <v>2</v>
      </c>
      <c r="D170" s="1035">
        <v>270</v>
      </c>
      <c r="E170" s="1035" t="s">
        <v>5561</v>
      </c>
      <c r="F170" s="1035" t="s">
        <v>5561</v>
      </c>
      <c r="G170" s="1035" t="s">
        <v>6204</v>
      </c>
      <c r="H170" s="1035" t="str">
        <f t="shared" si="8"/>
        <v>Rapeseeda</v>
      </c>
      <c r="I170" s="1035">
        <f t="shared" si="9"/>
        <v>270</v>
      </c>
      <c r="J170" s="1114">
        <v>0.38</v>
      </c>
      <c r="K170" s="1314">
        <v>5787300</v>
      </c>
      <c r="L170" s="1073">
        <v>7855910</v>
      </c>
      <c r="M170" s="1074">
        <v>1.35743956594612</v>
      </c>
      <c r="N170" s="1315">
        <f t="shared" si="10"/>
        <v>0.51582703505952565</v>
      </c>
      <c r="O170" s="1325">
        <f t="shared" si="11"/>
        <v>0.50225252247592012</v>
      </c>
      <c r="P170" s="1321">
        <v>2011</v>
      </c>
    </row>
    <row r="171" spans="1:16">
      <c r="A171" s="1034" t="s">
        <v>1518</v>
      </c>
      <c r="B171" s="826">
        <v>272</v>
      </c>
      <c r="C171" s="1035">
        <v>2</v>
      </c>
      <c r="D171" s="1035">
        <v>270</v>
      </c>
      <c r="E171" s="1035" t="s">
        <v>5561</v>
      </c>
      <c r="F171" s="1035" t="s">
        <v>5561</v>
      </c>
      <c r="G171" s="1035" t="s">
        <v>6204</v>
      </c>
      <c r="H171" s="1035" t="str">
        <f t="shared" si="8"/>
        <v>Rapeseeda</v>
      </c>
      <c r="I171" s="1035">
        <f t="shared" si="9"/>
        <v>270</v>
      </c>
      <c r="J171" s="1114">
        <v>0.6</v>
      </c>
      <c r="K171" s="1314">
        <v>9108480</v>
      </c>
      <c r="L171" s="1073">
        <v>2519260</v>
      </c>
      <c r="M171" s="1074">
        <v>0.27658401840921898</v>
      </c>
      <c r="N171" s="1315">
        <f t="shared" si="10"/>
        <v>0.16595041104553138</v>
      </c>
      <c r="O171" s="1325">
        <f t="shared" si="11"/>
        <v>2.464992193064226</v>
      </c>
      <c r="P171" s="1321">
        <v>2011</v>
      </c>
    </row>
    <row r="172" spans="1:16">
      <c r="A172" s="1034" t="s">
        <v>634</v>
      </c>
      <c r="B172" s="826">
        <v>273</v>
      </c>
      <c r="C172" s="1035">
        <v>2</v>
      </c>
      <c r="D172" s="1035">
        <v>260</v>
      </c>
      <c r="E172" s="1035" t="s">
        <v>3874</v>
      </c>
      <c r="F172" s="1035" t="s">
        <v>3874</v>
      </c>
      <c r="G172" s="1035" t="s">
        <v>6204</v>
      </c>
      <c r="H172" s="1035" t="str">
        <f t="shared" si="8"/>
        <v>Olivesa</v>
      </c>
      <c r="I172" s="1035">
        <f t="shared" si="9"/>
        <v>260</v>
      </c>
      <c r="J172" s="1114">
        <v>0.4</v>
      </c>
      <c r="K172" s="1314" t="s">
        <v>7529</v>
      </c>
      <c r="L172" s="1073" t="s">
        <v>7530</v>
      </c>
      <c r="M172" s="1074">
        <v>0.10061001588948537</v>
      </c>
      <c r="N172" s="1315">
        <f t="shared" si="10"/>
        <v>4.024400635579415E-2</v>
      </c>
      <c r="O172" s="1325">
        <f t="shared" si="11"/>
        <v>7.100066834356686</v>
      </c>
      <c r="P172" s="1321" t="s">
        <v>7739</v>
      </c>
    </row>
    <row r="173" spans="1:16">
      <c r="A173" s="1034" t="s">
        <v>3757</v>
      </c>
      <c r="B173" s="826">
        <v>274</v>
      </c>
      <c r="C173" s="1035">
        <v>3</v>
      </c>
      <c r="D173" s="1035">
        <v>260</v>
      </c>
      <c r="E173" s="1035" t="s">
        <v>3874</v>
      </c>
      <c r="F173" s="1035" t="s">
        <v>634</v>
      </c>
      <c r="G173" s="1035" t="s">
        <v>6204</v>
      </c>
      <c r="H173" s="1035" t="str">
        <f t="shared" si="8"/>
        <v>Olive Residuesa</v>
      </c>
      <c r="I173" s="1035">
        <f t="shared" si="9"/>
        <v>273</v>
      </c>
      <c r="J173" s="1114">
        <v>0.05</v>
      </c>
      <c r="K173" s="1314">
        <v>126771</v>
      </c>
      <c r="L173" s="1073">
        <v>240368</v>
      </c>
      <c r="M173" s="1074">
        <v>1.8960803338302901</v>
      </c>
      <c r="N173" s="1315">
        <f t="shared" si="10"/>
        <v>9.4804016691514503E-2</v>
      </c>
      <c r="O173" s="1325">
        <f t="shared" si="11"/>
        <v>0.35500334171783432</v>
      </c>
      <c r="P173" s="1321">
        <v>2011</v>
      </c>
    </row>
    <row r="174" spans="1:16">
      <c r="A174" s="1034" t="s">
        <v>3699</v>
      </c>
      <c r="B174" s="826">
        <v>275</v>
      </c>
      <c r="C174" s="1035">
        <v>1</v>
      </c>
      <c r="D174" s="1035">
        <v>275</v>
      </c>
      <c r="E174" s="1035" t="s">
        <v>3699</v>
      </c>
      <c r="F174" s="1035"/>
      <c r="G174" s="1035"/>
      <c r="H174" s="1035" t="str">
        <f t="shared" si="8"/>
        <v/>
      </c>
      <c r="I174" s="1035" t="str">
        <f t="shared" si="9"/>
        <v/>
      </c>
      <c r="J174" s="1114"/>
      <c r="K174" s="1314" t="s">
        <v>7531</v>
      </c>
      <c r="L174" s="1073" t="s">
        <v>7532</v>
      </c>
      <c r="M174" s="1074">
        <v>2.2000000000000002</v>
      </c>
      <c r="N174" s="1315" t="str">
        <f t="shared" si="10"/>
        <v/>
      </c>
      <c r="O174" s="1325">
        <f t="shared" si="11"/>
        <v>1</v>
      </c>
      <c r="P174" s="1321" t="s">
        <v>7739</v>
      </c>
    </row>
    <row r="175" spans="1:16">
      <c r="A175" s="1034" t="s">
        <v>4756</v>
      </c>
      <c r="B175" s="826">
        <v>276</v>
      </c>
      <c r="C175" s="1035">
        <v>2</v>
      </c>
      <c r="D175" s="1035">
        <v>275</v>
      </c>
      <c r="E175" s="1035" t="s">
        <v>3699</v>
      </c>
      <c r="F175" s="1035" t="s">
        <v>3699</v>
      </c>
      <c r="G175" s="1035" t="s">
        <v>6204</v>
      </c>
      <c r="H175" s="1035" t="str">
        <f t="shared" si="8"/>
        <v>Tung Nutsa</v>
      </c>
      <c r="I175" s="1035">
        <f t="shared" si="9"/>
        <v>275</v>
      </c>
      <c r="J175" s="1114">
        <v>0.5</v>
      </c>
      <c r="K175" s="1314" t="s">
        <v>7533</v>
      </c>
      <c r="L175" s="1073" t="s">
        <v>7534</v>
      </c>
      <c r="M175" s="1074">
        <v>2.6377749029754205</v>
      </c>
      <c r="N175" s="1315">
        <f t="shared" si="10"/>
        <v>1.3188874514877102</v>
      </c>
      <c r="O175" s="1325">
        <f t="shared" si="11"/>
        <v>0.5</v>
      </c>
      <c r="P175" s="1321" t="s">
        <v>7739</v>
      </c>
    </row>
    <row r="176" spans="1:16">
      <c r="A176" s="1034" t="s">
        <v>7535</v>
      </c>
      <c r="B176" s="826">
        <v>277</v>
      </c>
      <c r="C176" s="1035">
        <v>1</v>
      </c>
      <c r="D176" s="1035">
        <v>277</v>
      </c>
      <c r="E176" s="1035" t="s">
        <v>7091</v>
      </c>
      <c r="F176" s="1035"/>
      <c r="G176" s="1035"/>
      <c r="H176" s="1035" t="str">
        <f t="shared" si="8"/>
        <v/>
      </c>
      <c r="I176" s="1035" t="str">
        <f t="shared" si="9"/>
        <v/>
      </c>
      <c r="J176" s="1114"/>
      <c r="K176" s="1314" t="s">
        <v>7512</v>
      </c>
      <c r="L176" s="1073" t="s">
        <v>7512</v>
      </c>
      <c r="M176" s="1074">
        <v>0</v>
      </c>
      <c r="N176" s="1315" t="str">
        <f t="shared" si="10"/>
        <v/>
      </c>
      <c r="O176" s="1325">
        <f t="shared" si="11"/>
        <v>1</v>
      </c>
      <c r="P176" s="1321" t="s">
        <v>7739</v>
      </c>
    </row>
    <row r="177" spans="1:16">
      <c r="A177" s="1034" t="s">
        <v>936</v>
      </c>
      <c r="B177" s="826">
        <v>278</v>
      </c>
      <c r="C177" s="1035">
        <v>2</v>
      </c>
      <c r="D177" s="1035">
        <v>277</v>
      </c>
      <c r="E177" s="1035" t="s">
        <v>7091</v>
      </c>
      <c r="F177" s="1035" t="s">
        <v>7091</v>
      </c>
      <c r="G177" s="1035" t="s">
        <v>6204</v>
      </c>
      <c r="H177" s="1035" t="str">
        <f t="shared" si="8"/>
        <v>Jojoba seeda</v>
      </c>
      <c r="I177" s="1035">
        <f t="shared" si="9"/>
        <v>277</v>
      </c>
      <c r="J177" s="1114">
        <v>0.43</v>
      </c>
      <c r="K177" s="1314" t="s">
        <v>7536</v>
      </c>
      <c r="L177" s="1073" t="s">
        <v>7537</v>
      </c>
      <c r="M177" s="1074">
        <v>7.3909224011713031</v>
      </c>
      <c r="N177" s="1315">
        <f t="shared" si="10"/>
        <v>3.1780966325036601</v>
      </c>
      <c r="O177" s="1325">
        <f t="shared" si="11"/>
        <v>0.43</v>
      </c>
      <c r="P177" s="1321" t="s">
        <v>7739</v>
      </c>
    </row>
    <row r="178" spans="1:16">
      <c r="A178" s="1034" t="s">
        <v>5322</v>
      </c>
      <c r="B178" s="826">
        <v>280</v>
      </c>
      <c r="C178" s="1035">
        <v>1</v>
      </c>
      <c r="D178" s="1035">
        <v>280</v>
      </c>
      <c r="E178" s="1035" t="s">
        <v>5322</v>
      </c>
      <c r="F178" s="1035"/>
      <c r="G178" s="1035"/>
      <c r="H178" s="1035" t="str">
        <f t="shared" si="8"/>
        <v/>
      </c>
      <c r="I178" s="1035" t="str">
        <f t="shared" si="9"/>
        <v/>
      </c>
      <c r="J178" s="1114"/>
      <c r="K178" s="1314" t="s">
        <v>7538</v>
      </c>
      <c r="L178" s="1073" t="s">
        <v>7539</v>
      </c>
      <c r="M178" s="1074">
        <v>0.59569230769230774</v>
      </c>
      <c r="N178" s="1315" t="str">
        <f t="shared" si="10"/>
        <v/>
      </c>
      <c r="O178" s="1325">
        <f t="shared" si="11"/>
        <v>1</v>
      </c>
      <c r="P178" s="1321" t="s">
        <v>7739</v>
      </c>
    </row>
    <row r="179" spans="1:16">
      <c r="A179" s="1034" t="s">
        <v>2294</v>
      </c>
      <c r="B179" s="826">
        <v>281</v>
      </c>
      <c r="C179" s="1035">
        <v>2</v>
      </c>
      <c r="D179" s="1035">
        <v>280</v>
      </c>
      <c r="E179" s="1035" t="s">
        <v>5322</v>
      </c>
      <c r="F179" s="1035" t="s">
        <v>5322</v>
      </c>
      <c r="G179" s="1035" t="s">
        <v>6204</v>
      </c>
      <c r="H179" s="1035" t="str">
        <f t="shared" si="8"/>
        <v>Safflower seeda</v>
      </c>
      <c r="I179" s="1035">
        <f t="shared" si="9"/>
        <v>280</v>
      </c>
      <c r="J179" s="1114">
        <v>0.38</v>
      </c>
      <c r="K179" s="1314">
        <v>72456</v>
      </c>
      <c r="L179" s="1073">
        <v>118735</v>
      </c>
      <c r="M179" s="1074">
        <v>1.63871867064149</v>
      </c>
      <c r="N179" s="1315">
        <f t="shared" si="10"/>
        <v>0.62271309484376625</v>
      </c>
      <c r="O179" s="1325">
        <f t="shared" si="11"/>
        <v>2.2106986145618426</v>
      </c>
      <c r="P179" s="1321">
        <v>2011</v>
      </c>
    </row>
    <row r="180" spans="1:16">
      <c r="A180" s="1034" t="s">
        <v>5476</v>
      </c>
      <c r="B180" s="826">
        <v>282</v>
      </c>
      <c r="C180" s="1035">
        <v>2</v>
      </c>
      <c r="D180" s="1035">
        <v>280</v>
      </c>
      <c r="E180" s="1035" t="s">
        <v>5322</v>
      </c>
      <c r="F180" s="1035" t="s">
        <v>5322</v>
      </c>
      <c r="G180" s="1035" t="s">
        <v>6204</v>
      </c>
      <c r="H180" s="1035" t="str">
        <f t="shared" si="8"/>
        <v>Safflower seeda</v>
      </c>
      <c r="I180" s="1035">
        <f t="shared" si="9"/>
        <v>280</v>
      </c>
      <c r="J180" s="1114">
        <v>0.6</v>
      </c>
      <c r="K180" s="1314">
        <v>10</v>
      </c>
      <c r="L180" s="1073">
        <v>2</v>
      </c>
      <c r="M180" s="1074">
        <v>5</v>
      </c>
      <c r="N180" s="1315">
        <f t="shared" si="10"/>
        <v>3</v>
      </c>
      <c r="O180" s="1325">
        <f t="shared" si="11"/>
        <v>0.72454261896875316</v>
      </c>
      <c r="P180" s="1321">
        <v>1985</v>
      </c>
    </row>
    <row r="181" spans="1:16">
      <c r="A181" s="1034" t="s">
        <v>2804</v>
      </c>
      <c r="B181" s="826">
        <v>289</v>
      </c>
      <c r="C181" s="1035">
        <v>1</v>
      </c>
      <c r="D181" s="1035">
        <v>289</v>
      </c>
      <c r="E181" s="1035" t="s">
        <v>2804</v>
      </c>
      <c r="F181" s="1035"/>
      <c r="G181" s="1035"/>
      <c r="H181" s="1035" t="str">
        <f t="shared" si="8"/>
        <v/>
      </c>
      <c r="I181" s="1035" t="str">
        <f t="shared" si="9"/>
        <v/>
      </c>
      <c r="J181" s="1114"/>
      <c r="K181" s="1314">
        <v>1403490</v>
      </c>
      <c r="L181" s="1073">
        <v>1986140</v>
      </c>
      <c r="M181" s="1074">
        <v>1.4151436775466899</v>
      </c>
      <c r="N181" s="1315" t="str">
        <f t="shared" si="10"/>
        <v/>
      </c>
      <c r="O181" s="1325">
        <f t="shared" si="11"/>
        <v>1</v>
      </c>
      <c r="P181" s="1321">
        <v>2011</v>
      </c>
    </row>
    <row r="182" spans="1:16">
      <c r="A182" s="1034" t="s">
        <v>2802</v>
      </c>
      <c r="B182" s="826">
        <v>290</v>
      </c>
      <c r="C182" s="1035">
        <v>2</v>
      </c>
      <c r="D182" s="1035">
        <v>289</v>
      </c>
      <c r="E182" s="1035" t="s">
        <v>2804</v>
      </c>
      <c r="F182" s="1035" t="s">
        <v>2804</v>
      </c>
      <c r="G182" s="1035" t="s">
        <v>6204</v>
      </c>
      <c r="H182" s="1035" t="str">
        <f t="shared" si="8"/>
        <v>Sesame seeda</v>
      </c>
      <c r="I182" s="1035">
        <f t="shared" si="9"/>
        <v>289</v>
      </c>
      <c r="J182" s="1114">
        <v>0.43</v>
      </c>
      <c r="K182" s="1314">
        <v>52193</v>
      </c>
      <c r="L182" s="1073">
        <v>188394</v>
      </c>
      <c r="M182" s="1074">
        <v>3.6095645009867199</v>
      </c>
      <c r="N182" s="1315">
        <f t="shared" si="10"/>
        <v>1.5521127354242896</v>
      </c>
      <c r="O182" s="1325">
        <f t="shared" si="11"/>
        <v>1.0821136145933126</v>
      </c>
      <c r="P182" s="1321">
        <v>2011</v>
      </c>
    </row>
    <row r="183" spans="1:16">
      <c r="A183" s="1034" t="s">
        <v>1363</v>
      </c>
      <c r="B183" s="826">
        <v>291</v>
      </c>
      <c r="C183" s="1035">
        <v>2</v>
      </c>
      <c r="D183" s="1035">
        <v>289</v>
      </c>
      <c r="E183" s="1035" t="s">
        <v>2804</v>
      </c>
      <c r="F183" s="1035" t="s">
        <v>2804</v>
      </c>
      <c r="G183" s="1035" t="s">
        <v>6204</v>
      </c>
      <c r="H183" s="1035" t="str">
        <f t="shared" si="8"/>
        <v>Sesame seeda</v>
      </c>
      <c r="I183" s="1035">
        <f t="shared" si="9"/>
        <v>289</v>
      </c>
      <c r="J183" s="1114">
        <v>0.51</v>
      </c>
      <c r="K183" s="1314">
        <v>60</v>
      </c>
      <c r="L183" s="1073">
        <v>13</v>
      </c>
      <c r="M183" s="1074">
        <v>4.6153846153846203</v>
      </c>
      <c r="N183" s="1315">
        <f t="shared" si="10"/>
        <v>2.3538461538461566</v>
      </c>
      <c r="O183" s="1325">
        <f t="shared" si="11"/>
        <v>0.84629109267526237</v>
      </c>
      <c r="P183" s="1321">
        <v>2009</v>
      </c>
    </row>
    <row r="184" spans="1:16">
      <c r="A184" s="1034" t="s">
        <v>799</v>
      </c>
      <c r="B184" s="826">
        <v>292</v>
      </c>
      <c r="C184" s="1035">
        <v>1</v>
      </c>
      <c r="D184" s="1035">
        <v>292</v>
      </c>
      <c r="E184" s="1035" t="s">
        <v>799</v>
      </c>
      <c r="F184" s="1035"/>
      <c r="G184" s="1035"/>
      <c r="H184" s="1035" t="str">
        <f t="shared" si="8"/>
        <v/>
      </c>
      <c r="I184" s="1035" t="str">
        <f t="shared" si="9"/>
        <v/>
      </c>
      <c r="J184" s="1114"/>
      <c r="K184" s="1314">
        <v>263040</v>
      </c>
      <c r="L184" s="1073">
        <v>212483</v>
      </c>
      <c r="M184" s="1074">
        <v>0.80779729318734805</v>
      </c>
      <c r="N184" s="1315" t="str">
        <f t="shared" si="10"/>
        <v/>
      </c>
      <c r="O184" s="1325">
        <f t="shared" si="11"/>
        <v>1</v>
      </c>
      <c r="P184" s="1321">
        <v>2011</v>
      </c>
    </row>
    <row r="185" spans="1:16">
      <c r="A185" s="1034" t="s">
        <v>797</v>
      </c>
      <c r="B185" s="826">
        <v>293</v>
      </c>
      <c r="C185" s="1035">
        <v>2</v>
      </c>
      <c r="D185" s="1035">
        <v>292</v>
      </c>
      <c r="E185" s="1035" t="s">
        <v>799</v>
      </c>
      <c r="F185" s="1035" t="s">
        <v>799</v>
      </c>
      <c r="G185" s="1035" t="s">
        <v>6204</v>
      </c>
      <c r="H185" s="1035" t="str">
        <f t="shared" si="8"/>
        <v>Mustard seeda</v>
      </c>
      <c r="I185" s="1035">
        <f t="shared" si="9"/>
        <v>292</v>
      </c>
      <c r="J185" s="1114">
        <v>0.36</v>
      </c>
      <c r="K185" s="1314" t="s">
        <v>7540</v>
      </c>
      <c r="L185" s="1073" t="s">
        <v>7541</v>
      </c>
      <c r="M185" s="1074">
        <v>1.3974370544174715</v>
      </c>
      <c r="N185" s="1315">
        <f t="shared" si="10"/>
        <v>0.50307733959028966</v>
      </c>
      <c r="O185" s="1325">
        <f t="shared" si="11"/>
        <v>4.1634997700609579</v>
      </c>
      <c r="P185" s="1321" t="s">
        <v>7739</v>
      </c>
    </row>
    <row r="186" spans="1:16">
      <c r="A186" s="1034" t="s">
        <v>151</v>
      </c>
      <c r="B186" s="826">
        <v>294</v>
      </c>
      <c r="C186" s="1035">
        <v>2</v>
      </c>
      <c r="D186" s="1035">
        <v>292</v>
      </c>
      <c r="E186" s="1035" t="s">
        <v>799</v>
      </c>
      <c r="F186" s="1035" t="s">
        <v>799</v>
      </c>
      <c r="G186" s="1035" t="s">
        <v>6204</v>
      </c>
      <c r="H186" s="1035" t="str">
        <f t="shared" si="8"/>
        <v>Mustard seeda</v>
      </c>
      <c r="I186" s="1035">
        <f t="shared" si="9"/>
        <v>292</v>
      </c>
      <c r="J186" s="1114">
        <v>0.6</v>
      </c>
      <c r="K186" s="1314">
        <v>877</v>
      </c>
      <c r="L186" s="1073">
        <v>99</v>
      </c>
      <c r="M186" s="1074">
        <v>8.8585858585858599</v>
      </c>
      <c r="N186" s="1315">
        <f t="shared" si="10"/>
        <v>5.3151515151515154</v>
      </c>
      <c r="O186" s="1325">
        <f t="shared" si="11"/>
        <v>0.65678980230266659</v>
      </c>
      <c r="P186" s="1321">
        <v>1992</v>
      </c>
    </row>
    <row r="187" spans="1:16">
      <c r="A187" s="1034" t="s">
        <v>5223</v>
      </c>
      <c r="B187" s="826">
        <v>295</v>
      </c>
      <c r="C187" s="1035">
        <v>2</v>
      </c>
      <c r="D187" s="1035">
        <v>292</v>
      </c>
      <c r="E187" s="1035" t="s">
        <v>799</v>
      </c>
      <c r="F187" s="1035" t="s">
        <v>799</v>
      </c>
      <c r="G187" s="1035" t="s">
        <v>6205</v>
      </c>
      <c r="H187" s="1035" t="str">
        <f t="shared" si="8"/>
        <v>Mustard seedb</v>
      </c>
      <c r="I187" s="1035">
        <f t="shared" si="9"/>
        <v>292</v>
      </c>
      <c r="J187" s="1114">
        <v>0.8</v>
      </c>
      <c r="K187" s="1314">
        <v>156090</v>
      </c>
      <c r="L187" s="1073">
        <v>294225</v>
      </c>
      <c r="M187" s="1074">
        <v>1.88497020949452</v>
      </c>
      <c r="N187" s="1315">
        <f t="shared" si="10"/>
        <v>1.507976167595616</v>
      </c>
      <c r="O187" s="1325">
        <f t="shared" si="11"/>
        <v>0.8</v>
      </c>
      <c r="P187" s="1321">
        <v>2011</v>
      </c>
    </row>
    <row r="188" spans="1:16">
      <c r="A188" s="1034" t="s">
        <v>3821</v>
      </c>
      <c r="B188" s="826">
        <v>296</v>
      </c>
      <c r="C188" s="1035">
        <v>1</v>
      </c>
      <c r="D188" s="1035">
        <v>296</v>
      </c>
      <c r="E188" s="1035" t="s">
        <v>3821</v>
      </c>
      <c r="F188" s="1035"/>
      <c r="G188" s="1035"/>
      <c r="H188" s="1035" t="str">
        <f t="shared" si="8"/>
        <v/>
      </c>
      <c r="I188" s="1035" t="str">
        <f t="shared" si="9"/>
        <v/>
      </c>
      <c r="J188" s="1114"/>
      <c r="K188" s="1314">
        <v>84112</v>
      </c>
      <c r="L188" s="1073">
        <v>153676</v>
      </c>
      <c r="M188" s="1074">
        <v>1.82704013696024</v>
      </c>
      <c r="N188" s="1315" t="str">
        <f t="shared" si="10"/>
        <v/>
      </c>
      <c r="O188" s="1325">
        <f t="shared" si="11"/>
        <v>1</v>
      </c>
      <c r="P188" s="1321">
        <v>2011</v>
      </c>
    </row>
    <row r="189" spans="1:16">
      <c r="A189" s="1034" t="s">
        <v>546</v>
      </c>
      <c r="B189" s="826">
        <v>297</v>
      </c>
      <c r="C189" s="1035">
        <v>2</v>
      </c>
      <c r="D189" s="1035">
        <v>296</v>
      </c>
      <c r="E189" s="1035" t="s">
        <v>3821</v>
      </c>
      <c r="F189" s="1035" t="s">
        <v>3821</v>
      </c>
      <c r="G189" s="1035" t="s">
        <v>6204</v>
      </c>
      <c r="H189" s="1035" t="str">
        <f t="shared" si="8"/>
        <v>Poppy seeda</v>
      </c>
      <c r="I189" s="1035">
        <f t="shared" si="9"/>
        <v>296</v>
      </c>
      <c r="J189" s="1114">
        <v>0.4</v>
      </c>
      <c r="K189" s="1314">
        <v>293</v>
      </c>
      <c r="L189" s="1073">
        <v>102</v>
      </c>
      <c r="M189" s="1074">
        <v>2.87254901960784</v>
      </c>
      <c r="N189" s="1315">
        <f t="shared" si="10"/>
        <v>1.1490196078431361</v>
      </c>
      <c r="O189" s="1325">
        <f t="shared" si="11"/>
        <v>0.4</v>
      </c>
      <c r="P189" s="1321">
        <v>1992</v>
      </c>
    </row>
    <row r="190" spans="1:16">
      <c r="A190" s="1034" t="s">
        <v>2897</v>
      </c>
      <c r="B190" s="826">
        <v>299</v>
      </c>
      <c r="C190" s="1035">
        <v>1</v>
      </c>
      <c r="D190" s="1035">
        <v>299</v>
      </c>
      <c r="E190" s="1035" t="s">
        <v>2897</v>
      </c>
      <c r="F190" s="1035"/>
      <c r="G190" s="1035"/>
      <c r="H190" s="1035" t="str">
        <f t="shared" si="8"/>
        <v/>
      </c>
      <c r="I190" s="1035" t="str">
        <f t="shared" si="9"/>
        <v/>
      </c>
      <c r="J190" s="1114"/>
      <c r="K190" s="1314" t="s">
        <v>7542</v>
      </c>
      <c r="L190" s="1073" t="s">
        <v>7543</v>
      </c>
      <c r="M190" s="1074">
        <v>0.26709502874535002</v>
      </c>
      <c r="N190" s="1315" t="str">
        <f t="shared" si="10"/>
        <v/>
      </c>
      <c r="O190" s="1325">
        <f t="shared" si="11"/>
        <v>1</v>
      </c>
      <c r="P190" s="1321" t="s">
        <v>7739</v>
      </c>
    </row>
    <row r="191" spans="1:16">
      <c r="A191" s="1034" t="s">
        <v>7095</v>
      </c>
      <c r="B191" s="826">
        <v>305</v>
      </c>
      <c r="C191" s="1035">
        <v>1</v>
      </c>
      <c r="D191" s="1035">
        <v>305</v>
      </c>
      <c r="E191" s="1035" t="s">
        <v>7095</v>
      </c>
      <c r="F191" s="1035"/>
      <c r="G191" s="1035"/>
      <c r="H191" s="1035" t="str">
        <f t="shared" si="8"/>
        <v/>
      </c>
      <c r="I191" s="1035" t="str">
        <f t="shared" si="9"/>
        <v/>
      </c>
      <c r="J191" s="1114"/>
      <c r="K191" s="1314" t="s">
        <v>7512</v>
      </c>
      <c r="L191" s="1073" t="s">
        <v>7512</v>
      </c>
      <c r="M191" s="1074">
        <v>0</v>
      </c>
      <c r="N191" s="1315" t="str">
        <f t="shared" si="10"/>
        <v/>
      </c>
      <c r="O191" s="1325">
        <f t="shared" si="11"/>
        <v>1</v>
      </c>
      <c r="P191" s="1321" t="s">
        <v>7739</v>
      </c>
    </row>
    <row r="192" spans="1:16">
      <c r="A192" s="1034" t="s">
        <v>3382</v>
      </c>
      <c r="B192" s="826">
        <v>306</v>
      </c>
      <c r="C192" s="1035">
        <v>2</v>
      </c>
      <c r="D192" s="1035">
        <v>305</v>
      </c>
      <c r="E192" s="1035" t="s">
        <v>7095</v>
      </c>
      <c r="F192" s="1035" t="s">
        <v>7095</v>
      </c>
      <c r="G192" s="1035" t="s">
        <v>6204</v>
      </c>
      <c r="H192" s="1035" t="str">
        <f t="shared" si="8"/>
        <v>Tallowtree seeda</v>
      </c>
      <c r="I192" s="1035">
        <f t="shared" si="9"/>
        <v>305</v>
      </c>
      <c r="J192" s="1114">
        <v>0.15</v>
      </c>
      <c r="K192" s="1314">
        <v>52</v>
      </c>
      <c r="L192" s="1073">
        <v>35</v>
      </c>
      <c r="M192" s="1074">
        <v>1.48571428571429</v>
      </c>
      <c r="N192" s="1315">
        <f t="shared" si="10"/>
        <v>0.2228571428571435</v>
      </c>
      <c r="O192" s="1325">
        <f t="shared" si="11"/>
        <v>0.15</v>
      </c>
      <c r="P192" s="1321">
        <v>1988</v>
      </c>
    </row>
    <row r="193" spans="1:16">
      <c r="A193" s="1034" t="s">
        <v>6001</v>
      </c>
      <c r="B193" s="826">
        <v>310</v>
      </c>
      <c r="C193" s="1035">
        <v>1</v>
      </c>
      <c r="D193" s="826">
        <v>310</v>
      </c>
      <c r="E193" s="1035" t="s">
        <v>6001</v>
      </c>
      <c r="F193" s="1035"/>
      <c r="G193" s="1035"/>
      <c r="H193" s="1035" t="str">
        <f t="shared" si="8"/>
        <v/>
      </c>
      <c r="I193" s="1035" t="str">
        <f t="shared" si="9"/>
        <v/>
      </c>
      <c r="J193" s="1114"/>
      <c r="K193" s="1314" t="s">
        <v>7512</v>
      </c>
      <c r="L193" s="1073" t="s">
        <v>7512</v>
      </c>
      <c r="M193" s="1074">
        <v>0</v>
      </c>
      <c r="N193" s="1315" t="str">
        <f t="shared" si="10"/>
        <v/>
      </c>
      <c r="O193" s="1325">
        <f t="shared" si="11"/>
        <v>1</v>
      </c>
      <c r="P193" s="1321" t="s">
        <v>7739</v>
      </c>
    </row>
    <row r="194" spans="1:16">
      <c r="A194" s="1034" t="s">
        <v>4734</v>
      </c>
      <c r="B194" s="826">
        <v>311</v>
      </c>
      <c r="C194" s="1035">
        <v>2</v>
      </c>
      <c r="D194" s="826">
        <v>310</v>
      </c>
      <c r="E194" s="1035" t="s">
        <v>6001</v>
      </c>
      <c r="F194" s="1035" t="s">
        <v>6001</v>
      </c>
      <c r="G194" s="1035" t="s">
        <v>6204</v>
      </c>
      <c r="H194" s="1035" t="str">
        <f t="shared" si="8"/>
        <v>Kapok Fruita</v>
      </c>
      <c r="I194" s="1035">
        <f t="shared" si="9"/>
        <v>310</v>
      </c>
      <c r="J194" s="1114">
        <v>0.66</v>
      </c>
      <c r="K194" s="1314">
        <v>118</v>
      </c>
      <c r="L194" s="1073">
        <v>95</v>
      </c>
      <c r="M194" s="1074">
        <v>1.2421052631578899</v>
      </c>
      <c r="N194" s="1315">
        <f t="shared" si="10"/>
        <v>0.8197894736842074</v>
      </c>
      <c r="O194" s="1325">
        <f t="shared" si="11"/>
        <v>0.76939680957128653</v>
      </c>
      <c r="P194" s="1321">
        <v>2007</v>
      </c>
    </row>
    <row r="195" spans="1:16">
      <c r="A195" s="1034" t="s">
        <v>5076</v>
      </c>
      <c r="B195" s="826">
        <v>312</v>
      </c>
      <c r="C195" s="1035">
        <v>3</v>
      </c>
      <c r="D195" s="826">
        <v>310</v>
      </c>
      <c r="E195" s="1035" t="s">
        <v>6001</v>
      </c>
      <c r="F195" s="1035" t="s">
        <v>4734</v>
      </c>
      <c r="G195" s="1035" t="s">
        <v>6204</v>
      </c>
      <c r="H195" s="1035" t="str">
        <f t="shared" si="8"/>
        <v>Kapokseed in Shella</v>
      </c>
      <c r="I195" s="1035">
        <f t="shared" si="9"/>
        <v>311</v>
      </c>
      <c r="J195" s="1114">
        <v>0.7</v>
      </c>
      <c r="K195" s="1314">
        <v>33</v>
      </c>
      <c r="L195" s="1073">
        <v>3</v>
      </c>
      <c r="M195" s="1074">
        <v>11</v>
      </c>
      <c r="N195" s="1315">
        <f t="shared" si="10"/>
        <v>7.6999999999999993</v>
      </c>
      <c r="O195" s="1325">
        <f t="shared" si="11"/>
        <v>0.53857776669990054</v>
      </c>
      <c r="P195" s="1321">
        <v>1985</v>
      </c>
    </row>
    <row r="196" spans="1:16">
      <c r="A196" s="1034" t="s">
        <v>938</v>
      </c>
      <c r="B196" s="826">
        <v>313</v>
      </c>
      <c r="C196" s="1035">
        <v>4</v>
      </c>
      <c r="D196" s="826">
        <v>310</v>
      </c>
      <c r="E196" s="1035" t="s">
        <v>6001</v>
      </c>
      <c r="F196" s="1035" t="s">
        <v>5076</v>
      </c>
      <c r="G196" s="1035" t="s">
        <v>6204</v>
      </c>
      <c r="H196" s="1035" t="str">
        <f t="shared" si="8"/>
        <v>Kapokseed Shelleda</v>
      </c>
      <c r="I196" s="1035">
        <f t="shared" si="9"/>
        <v>312</v>
      </c>
      <c r="J196" s="1114">
        <v>0.2</v>
      </c>
      <c r="K196" s="1314">
        <v>22</v>
      </c>
      <c r="L196" s="1073">
        <v>19</v>
      </c>
      <c r="M196" s="1074">
        <v>1.15789473684211</v>
      </c>
      <c r="N196" s="1315">
        <f t="shared" si="10"/>
        <v>0.23157894736842199</v>
      </c>
      <c r="O196" s="1325">
        <f t="shared" si="11"/>
        <v>5.0466072056557527</v>
      </c>
      <c r="P196" s="1321">
        <v>2004</v>
      </c>
    </row>
    <row r="197" spans="1:16">
      <c r="A197" s="1034" t="s">
        <v>149</v>
      </c>
      <c r="B197" s="826">
        <v>314</v>
      </c>
      <c r="C197" s="1035">
        <v>4</v>
      </c>
      <c r="D197" s="826">
        <v>310</v>
      </c>
      <c r="E197" s="1035" t="s">
        <v>6001</v>
      </c>
      <c r="F197" s="1035" t="s">
        <v>5076</v>
      </c>
      <c r="G197" s="1035" t="s">
        <v>6204</v>
      </c>
      <c r="H197" s="1035" t="str">
        <f t="shared" si="8"/>
        <v>Kapokseed Shelleda</v>
      </c>
      <c r="I197" s="1035">
        <f t="shared" si="9"/>
        <v>312</v>
      </c>
      <c r="J197" s="1114">
        <v>0.8</v>
      </c>
      <c r="K197" s="1314">
        <v>292</v>
      </c>
      <c r="L197" s="1073">
        <v>22</v>
      </c>
      <c r="M197" s="1074">
        <v>13.2727272727273</v>
      </c>
      <c r="N197" s="1315">
        <f t="shared" si="10"/>
        <v>10.61818181818184</v>
      </c>
      <c r="O197" s="1325">
        <f t="shared" si="11"/>
        <v>0.44025917223096422</v>
      </c>
      <c r="P197" s="1321">
        <v>2006</v>
      </c>
    </row>
    <row r="198" spans="1:16">
      <c r="A198" s="1034" t="s">
        <v>2151</v>
      </c>
      <c r="B198" s="826">
        <v>328</v>
      </c>
      <c r="C198" s="1035">
        <v>1</v>
      </c>
      <c r="D198" s="1035">
        <v>328</v>
      </c>
      <c r="E198" s="1035" t="s">
        <v>2151</v>
      </c>
      <c r="F198" s="1035"/>
      <c r="G198" s="1035"/>
      <c r="H198" s="1035" t="str">
        <f t="shared" si="8"/>
        <v/>
      </c>
      <c r="I198" s="1035" t="str">
        <f t="shared" si="9"/>
        <v/>
      </c>
      <c r="J198" s="1114"/>
      <c r="K198" s="1314" t="s">
        <v>7544</v>
      </c>
      <c r="L198" s="1073" t="s">
        <v>7544</v>
      </c>
      <c r="M198" s="1074">
        <v>0</v>
      </c>
      <c r="N198" s="1315" t="str">
        <f t="shared" si="10"/>
        <v/>
      </c>
      <c r="O198" s="1325">
        <f>IF(ISBLANK(F198),1,J198/(N198/SUMIF(H$7:H$601,H198,N$7:N$601))*VLOOKUP(F198,A$7:O$601,15,FALSE))</f>
        <v>1</v>
      </c>
      <c r="P198" s="1321" t="s">
        <v>7739</v>
      </c>
    </row>
    <row r="199" spans="1:16">
      <c r="A199" s="1034" t="s">
        <v>907</v>
      </c>
      <c r="B199" s="826">
        <v>329</v>
      </c>
      <c r="C199" s="1035">
        <v>2</v>
      </c>
      <c r="D199" s="1035">
        <v>328</v>
      </c>
      <c r="E199" s="1035" t="s">
        <v>1321</v>
      </c>
      <c r="F199" s="1035" t="s">
        <v>1321</v>
      </c>
      <c r="G199" s="1035" t="s">
        <v>6204</v>
      </c>
      <c r="H199" s="1035" t="str">
        <f t="shared" si="8"/>
        <v>Seed cottona</v>
      </c>
      <c r="I199" s="1035">
        <f t="shared" si="9"/>
        <v>328</v>
      </c>
      <c r="J199" s="1114">
        <v>0.63</v>
      </c>
      <c r="K199" s="1314">
        <v>1125300</v>
      </c>
      <c r="L199" s="1073">
        <v>436428</v>
      </c>
      <c r="M199" s="1074">
        <v>0.38783257797920601</v>
      </c>
      <c r="N199" s="1315">
        <f t="shared" si="10"/>
        <v>0.24433452412689979</v>
      </c>
      <c r="O199" s="1325">
        <f t="shared" si="11"/>
        <v>3.5983461295013752</v>
      </c>
      <c r="P199" s="1321">
        <v>2011</v>
      </c>
    </row>
    <row r="200" spans="1:16">
      <c r="A200" s="1034" t="s">
        <v>955</v>
      </c>
      <c r="B200" s="826">
        <v>331</v>
      </c>
      <c r="C200" s="1035">
        <v>3</v>
      </c>
      <c r="D200" s="1035">
        <v>328</v>
      </c>
      <c r="E200" s="1035" t="s">
        <v>1321</v>
      </c>
      <c r="F200" s="1035" t="s">
        <v>907</v>
      </c>
      <c r="G200" s="1035" t="s">
        <v>6204</v>
      </c>
      <c r="H200" s="1035" t="str">
        <f t="shared" ref="H200:H263" si="12">F200&amp;G200</f>
        <v>Cottonseeda</v>
      </c>
      <c r="I200" s="1035">
        <f t="shared" ref="I200:I263" si="13">IFERROR(VLOOKUP(F200,$A$7:$B$590,2,FALSE),"")</f>
        <v>329</v>
      </c>
      <c r="J200" s="1114">
        <v>0.16</v>
      </c>
      <c r="K200" s="1314">
        <v>141451</v>
      </c>
      <c r="L200" s="1073">
        <v>150614</v>
      </c>
      <c r="M200" s="1074">
        <v>1.0647786159164701</v>
      </c>
      <c r="N200" s="1315">
        <f t="shared" ref="N200:N263" si="14">IF(ISBLANK(J200),"",J200*M200)</f>
        <v>0.1703645785466352</v>
      </c>
      <c r="O200" s="1325">
        <f t="shared" ref="O200:O263" si="15">IF(ISBLANK(F200),1,J200/(N200/SUMIF(H$7:H$601,H200,N$7:N$601))*VLOOKUP(F200,A$7:O$601,15,FALSE))</f>
        <v>1.4757327911718676</v>
      </c>
      <c r="P200" s="1321">
        <v>2011</v>
      </c>
    </row>
    <row r="201" spans="1:16">
      <c r="A201" s="1034" t="s">
        <v>1661</v>
      </c>
      <c r="B201" s="826">
        <v>332</v>
      </c>
      <c r="C201" s="1035">
        <v>3</v>
      </c>
      <c r="D201" s="1035">
        <v>328</v>
      </c>
      <c r="E201" s="1035" t="s">
        <v>1321</v>
      </c>
      <c r="F201" s="1035" t="s">
        <v>907</v>
      </c>
      <c r="G201" s="1035" t="s">
        <v>6204</v>
      </c>
      <c r="H201" s="1035" t="str">
        <f t="shared" si="12"/>
        <v>Cottonseeda</v>
      </c>
      <c r="I201" s="1035">
        <f t="shared" si="13"/>
        <v>329</v>
      </c>
      <c r="J201" s="1114">
        <v>0.51</v>
      </c>
      <c r="K201" s="1314">
        <v>476708</v>
      </c>
      <c r="L201" s="1073">
        <v>127256</v>
      </c>
      <c r="M201" s="1074">
        <v>0.26694748147713099</v>
      </c>
      <c r="N201" s="1315">
        <f t="shared" si="14"/>
        <v>0.1361432155533368</v>
      </c>
      <c r="O201" s="1325">
        <f t="shared" si="15"/>
        <v>5.8862841115852369</v>
      </c>
      <c r="P201" s="1321">
        <v>2011</v>
      </c>
    </row>
    <row r="202" spans="1:16">
      <c r="A202" s="1034" t="s">
        <v>261</v>
      </c>
      <c r="B202" s="826">
        <v>333</v>
      </c>
      <c r="C202" s="1035">
        <v>1</v>
      </c>
      <c r="D202" s="1035">
        <v>333</v>
      </c>
      <c r="E202" s="1035" t="s">
        <v>261</v>
      </c>
      <c r="F202" s="1035"/>
      <c r="G202" s="1035"/>
      <c r="H202" s="1035" t="str">
        <f t="shared" si="12"/>
        <v/>
      </c>
      <c r="I202" s="1035" t="str">
        <f t="shared" si="13"/>
        <v/>
      </c>
      <c r="J202" s="1114"/>
      <c r="K202" s="1314">
        <v>1082320</v>
      </c>
      <c r="L202" s="1073">
        <v>761218</v>
      </c>
      <c r="M202" s="1074">
        <v>0.70332064454135601</v>
      </c>
      <c r="N202" s="1315" t="str">
        <f t="shared" si="14"/>
        <v/>
      </c>
      <c r="O202" s="1325">
        <f t="shared" si="15"/>
        <v>1</v>
      </c>
      <c r="P202" s="1321">
        <v>2011</v>
      </c>
    </row>
    <row r="203" spans="1:16">
      <c r="A203" s="1034" t="s">
        <v>262</v>
      </c>
      <c r="B203" s="826">
        <v>334</v>
      </c>
      <c r="C203" s="1035">
        <v>2</v>
      </c>
      <c r="D203" s="1035">
        <v>333</v>
      </c>
      <c r="E203" s="1035" t="s">
        <v>261</v>
      </c>
      <c r="F203" s="1035" t="s">
        <v>261</v>
      </c>
      <c r="G203" s="1035" t="s">
        <v>6204</v>
      </c>
      <c r="H203" s="1035" t="str">
        <f t="shared" si="12"/>
        <v>Linseeda</v>
      </c>
      <c r="I203" s="1035">
        <f t="shared" si="13"/>
        <v>333</v>
      </c>
      <c r="J203" s="1114">
        <v>0.35</v>
      </c>
      <c r="K203" s="1314">
        <v>264684</v>
      </c>
      <c r="L203" s="1073">
        <v>361950</v>
      </c>
      <c r="M203" s="1074">
        <v>1.3674797116561599</v>
      </c>
      <c r="N203" s="1315">
        <f t="shared" si="14"/>
        <v>0.47861789907965591</v>
      </c>
      <c r="O203" s="1325">
        <f t="shared" si="15"/>
        <v>0.56293088042767803</v>
      </c>
      <c r="P203" s="1321">
        <v>2011</v>
      </c>
    </row>
    <row r="204" spans="1:16">
      <c r="A204" s="1034" t="s">
        <v>1199</v>
      </c>
      <c r="B204" s="826">
        <v>335</v>
      </c>
      <c r="C204" s="1035">
        <v>2</v>
      </c>
      <c r="D204" s="1035">
        <v>333</v>
      </c>
      <c r="E204" s="1035" t="s">
        <v>261</v>
      </c>
      <c r="F204" s="1035" t="s">
        <v>261</v>
      </c>
      <c r="G204" s="1035" t="s">
        <v>6204</v>
      </c>
      <c r="H204" s="1035" t="str">
        <f t="shared" si="12"/>
        <v>Linseeda</v>
      </c>
      <c r="I204" s="1035">
        <f t="shared" si="13"/>
        <v>333</v>
      </c>
      <c r="J204" s="1114">
        <v>0.63</v>
      </c>
      <c r="K204" s="1314">
        <v>137894</v>
      </c>
      <c r="L204" s="1073">
        <v>63733</v>
      </c>
      <c r="M204" s="1074">
        <v>0.46218834757132299</v>
      </c>
      <c r="N204" s="1315">
        <f t="shared" si="14"/>
        <v>0.2911786589699335</v>
      </c>
      <c r="O204" s="1325">
        <f t="shared" si="15"/>
        <v>1.6655473079203873</v>
      </c>
      <c r="P204" s="1321">
        <v>2011</v>
      </c>
    </row>
    <row r="205" spans="1:16">
      <c r="A205" s="1034" t="s">
        <v>4172</v>
      </c>
      <c r="B205" s="826">
        <v>336</v>
      </c>
      <c r="C205" s="1035">
        <v>1</v>
      </c>
      <c r="D205" s="1035">
        <v>336</v>
      </c>
      <c r="E205" s="1035" t="s">
        <v>4172</v>
      </c>
      <c r="F205" s="1035"/>
      <c r="G205" s="1035"/>
      <c r="H205" s="1035" t="str">
        <f t="shared" si="12"/>
        <v/>
      </c>
      <c r="I205" s="1035" t="str">
        <f t="shared" si="13"/>
        <v/>
      </c>
      <c r="J205" s="1114"/>
      <c r="K205" s="1314" t="s">
        <v>7545</v>
      </c>
      <c r="L205" s="1073" t="s">
        <v>7546</v>
      </c>
      <c r="M205" s="1074">
        <v>1.0837596192340198</v>
      </c>
      <c r="N205" s="1315" t="str">
        <f t="shared" si="14"/>
        <v/>
      </c>
      <c r="O205" s="1325">
        <f t="shared" si="15"/>
        <v>1</v>
      </c>
      <c r="P205" s="1321" t="s">
        <v>7739</v>
      </c>
    </row>
    <row r="206" spans="1:16">
      <c r="A206" s="1034" t="s">
        <v>147</v>
      </c>
      <c r="B206" s="826">
        <v>338</v>
      </c>
      <c r="C206" s="1035">
        <v>2</v>
      </c>
      <c r="D206" s="1035">
        <v>336</v>
      </c>
      <c r="E206" s="1035" t="s">
        <v>4172</v>
      </c>
      <c r="F206" s="1035" t="s">
        <v>4172</v>
      </c>
      <c r="G206" s="1035" t="s">
        <v>6204</v>
      </c>
      <c r="H206" s="1035" t="str">
        <f t="shared" si="12"/>
        <v>Hempseeda</v>
      </c>
      <c r="I206" s="1035">
        <f t="shared" si="13"/>
        <v>336</v>
      </c>
      <c r="J206" s="1114">
        <v>0.63</v>
      </c>
      <c r="K206" s="1314">
        <v>243</v>
      </c>
      <c r="L206" s="1073">
        <v>44</v>
      </c>
      <c r="M206" s="1074">
        <v>5.5227272727272698</v>
      </c>
      <c r="N206" s="1315">
        <f t="shared" si="14"/>
        <v>3.4793181818181802</v>
      </c>
      <c r="O206" s="1325">
        <f t="shared" si="15"/>
        <v>0.63</v>
      </c>
      <c r="P206" s="1321">
        <v>1998</v>
      </c>
    </row>
    <row r="207" spans="1:16">
      <c r="A207" s="1034" t="s">
        <v>633</v>
      </c>
      <c r="B207" s="826">
        <v>339</v>
      </c>
      <c r="C207" s="1035">
        <v>1</v>
      </c>
      <c r="D207" s="1035">
        <v>339</v>
      </c>
      <c r="E207" s="1035" t="s">
        <v>633</v>
      </c>
      <c r="F207" s="1035"/>
      <c r="G207" s="1035"/>
      <c r="H207" s="1035" t="str">
        <f t="shared" si="12"/>
        <v/>
      </c>
      <c r="I207" s="1035" t="str">
        <f t="shared" si="13"/>
        <v/>
      </c>
      <c r="J207" s="1114"/>
      <c r="K207" s="1314">
        <v>475603</v>
      </c>
      <c r="L207" s="1073">
        <v>587537</v>
      </c>
      <c r="M207" s="1074">
        <v>1.2353517534582401</v>
      </c>
      <c r="N207" s="1315" t="str">
        <f t="shared" si="14"/>
        <v/>
      </c>
      <c r="O207" s="1325">
        <f t="shared" si="15"/>
        <v>1</v>
      </c>
      <c r="P207" s="1321">
        <v>2011</v>
      </c>
    </row>
    <row r="208" spans="1:16">
      <c r="A208" s="1034" t="s">
        <v>631</v>
      </c>
      <c r="B208" s="826">
        <v>340</v>
      </c>
      <c r="C208" s="1035">
        <v>2</v>
      </c>
      <c r="D208" s="1035">
        <v>339</v>
      </c>
      <c r="E208" s="1035" t="s">
        <v>633</v>
      </c>
      <c r="F208" s="1035" t="s">
        <v>633</v>
      </c>
      <c r="G208" s="1035" t="s">
        <v>6204</v>
      </c>
      <c r="H208" s="1035" t="str">
        <f t="shared" si="12"/>
        <v>Oilseeds, Nesa</v>
      </c>
      <c r="I208" s="1035">
        <f t="shared" si="13"/>
        <v>339</v>
      </c>
      <c r="J208" s="1114">
        <v>0.38</v>
      </c>
      <c r="K208" s="1314">
        <v>700615</v>
      </c>
      <c r="L208" s="1073">
        <v>1482320</v>
      </c>
      <c r="M208" s="1074">
        <v>2.1157411702575599</v>
      </c>
      <c r="N208" s="1315">
        <f t="shared" si="14"/>
        <v>0.80398164469787281</v>
      </c>
      <c r="O208" s="1325">
        <f t="shared" si="15"/>
        <v>0.44181383784635997</v>
      </c>
      <c r="P208" s="1321">
        <v>2011</v>
      </c>
    </row>
    <row r="209" spans="1:16">
      <c r="A209" s="1034" t="s">
        <v>3571</v>
      </c>
      <c r="B209" s="826">
        <v>341</v>
      </c>
      <c r="C209" s="1035">
        <v>2</v>
      </c>
      <c r="D209" s="1035">
        <v>339</v>
      </c>
      <c r="E209" s="1035" t="s">
        <v>633</v>
      </c>
      <c r="F209" s="1035" t="s">
        <v>633</v>
      </c>
      <c r="G209" s="1035" t="s">
        <v>6204</v>
      </c>
      <c r="H209" s="1035" t="str">
        <f t="shared" si="12"/>
        <v>Oilseeds, Nesa</v>
      </c>
      <c r="I209" s="1035">
        <f t="shared" si="13"/>
        <v>339</v>
      </c>
      <c r="J209" s="1114">
        <v>0.6</v>
      </c>
      <c r="K209" s="1314" t="s">
        <v>7547</v>
      </c>
      <c r="L209" s="1073" t="s">
        <v>7548</v>
      </c>
      <c r="M209" s="1074">
        <v>0.21797013603861456</v>
      </c>
      <c r="N209" s="1315">
        <f t="shared" si="14"/>
        <v>0.13078208162316873</v>
      </c>
      <c r="O209" s="1325">
        <f t="shared" si="15"/>
        <v>4.2884944851135165</v>
      </c>
      <c r="P209" s="1321" t="s">
        <v>7739</v>
      </c>
    </row>
    <row r="210" spans="1:16">
      <c r="A210" s="1034" t="s">
        <v>5225</v>
      </c>
      <c r="B210" s="826">
        <v>343</v>
      </c>
      <c r="C210" s="1035">
        <v>2</v>
      </c>
      <c r="D210" s="1035">
        <v>339</v>
      </c>
      <c r="E210" s="1035" t="s">
        <v>633</v>
      </c>
      <c r="F210" s="1035" t="s">
        <v>633</v>
      </c>
      <c r="G210" s="1035" t="s">
        <v>6205</v>
      </c>
      <c r="H210" s="1035" t="str">
        <f t="shared" si="12"/>
        <v>Oilseeds, Nesb</v>
      </c>
      <c r="I210" s="1035">
        <f t="shared" si="13"/>
        <v>339</v>
      </c>
      <c r="J210" s="1114">
        <v>0.85</v>
      </c>
      <c r="K210" s="1314" t="s">
        <v>7549</v>
      </c>
      <c r="L210" s="1073" t="s">
        <v>7550</v>
      </c>
      <c r="M210" s="1074">
        <v>0.47961529230550809</v>
      </c>
      <c r="N210" s="1315">
        <f t="shared" si="14"/>
        <v>0.40767299845968186</v>
      </c>
      <c r="O210" s="1325">
        <f t="shared" si="15"/>
        <v>0.85</v>
      </c>
      <c r="P210" s="1321" t="s">
        <v>7739</v>
      </c>
    </row>
    <row r="211" spans="1:16">
      <c r="A211" s="1034" t="s">
        <v>3914</v>
      </c>
      <c r="B211" s="826">
        <v>358</v>
      </c>
      <c r="C211" s="1035">
        <v>1</v>
      </c>
      <c r="D211" s="1035">
        <v>358</v>
      </c>
      <c r="E211" s="1035" t="s">
        <v>3914</v>
      </c>
      <c r="F211" s="1035"/>
      <c r="G211" s="1035"/>
      <c r="H211" s="1035" t="str">
        <f t="shared" si="12"/>
        <v/>
      </c>
      <c r="I211" s="1035" t="str">
        <f t="shared" si="13"/>
        <v/>
      </c>
      <c r="J211" s="1114"/>
      <c r="K211" s="1314">
        <v>2341030</v>
      </c>
      <c r="L211" s="1073">
        <v>1480780</v>
      </c>
      <c r="M211" s="1074">
        <v>0.63253354292768604</v>
      </c>
      <c r="N211" s="1315" t="str">
        <f t="shared" si="14"/>
        <v/>
      </c>
      <c r="O211" s="1325">
        <f t="shared" si="15"/>
        <v>1</v>
      </c>
      <c r="P211" s="1321">
        <v>2011</v>
      </c>
    </row>
    <row r="212" spans="1:16">
      <c r="A212" s="1034" t="s">
        <v>2198</v>
      </c>
      <c r="B212" s="826">
        <v>366</v>
      </c>
      <c r="C212" s="1035">
        <v>1</v>
      </c>
      <c r="D212" s="1035">
        <v>366</v>
      </c>
      <c r="E212" s="1035" t="s">
        <v>2198</v>
      </c>
      <c r="F212" s="1035"/>
      <c r="G212" s="1035"/>
      <c r="H212" s="1035" t="str">
        <f t="shared" si="12"/>
        <v/>
      </c>
      <c r="I212" s="1035" t="str">
        <f t="shared" si="13"/>
        <v/>
      </c>
      <c r="J212" s="1114"/>
      <c r="K212" s="1314">
        <v>32454</v>
      </c>
      <c r="L212" s="1073">
        <v>51887</v>
      </c>
      <c r="M212" s="1074">
        <v>1.5987859739939601</v>
      </c>
      <c r="N212" s="1315" t="str">
        <f t="shared" si="14"/>
        <v/>
      </c>
      <c r="O212" s="1325">
        <f t="shared" si="15"/>
        <v>1</v>
      </c>
      <c r="P212" s="1321">
        <v>2011</v>
      </c>
    </row>
    <row r="213" spans="1:16">
      <c r="A213" s="1034" t="s">
        <v>2200</v>
      </c>
      <c r="B213" s="826">
        <v>367</v>
      </c>
      <c r="C213" s="1035">
        <v>1</v>
      </c>
      <c r="D213" s="1035">
        <v>367</v>
      </c>
      <c r="E213" s="1035" t="s">
        <v>2200</v>
      </c>
      <c r="F213" s="1035"/>
      <c r="G213" s="1035"/>
      <c r="H213" s="1035" t="str">
        <f t="shared" si="12"/>
        <v/>
      </c>
      <c r="I213" s="1035" t="str">
        <f t="shared" si="13"/>
        <v/>
      </c>
      <c r="J213" s="1114"/>
      <c r="K213" s="1314">
        <v>331028</v>
      </c>
      <c r="L213" s="1073">
        <v>1189280</v>
      </c>
      <c r="M213" s="1074">
        <v>3.5926870234542099</v>
      </c>
      <c r="N213" s="1315" t="str">
        <f t="shared" si="14"/>
        <v/>
      </c>
      <c r="O213" s="1325">
        <f t="shared" si="15"/>
        <v>1</v>
      </c>
      <c r="P213" s="1321">
        <v>2011</v>
      </c>
    </row>
    <row r="214" spans="1:16">
      <c r="A214" s="1034" t="s">
        <v>577</v>
      </c>
      <c r="B214" s="826">
        <v>372</v>
      </c>
      <c r="C214" s="1035">
        <v>1</v>
      </c>
      <c r="D214" s="1035">
        <v>372</v>
      </c>
      <c r="E214" s="1035" t="s">
        <v>577</v>
      </c>
      <c r="F214" s="1035"/>
      <c r="G214" s="1035"/>
      <c r="H214" s="1035" t="str">
        <f t="shared" si="12"/>
        <v/>
      </c>
      <c r="I214" s="1035" t="str">
        <f t="shared" si="13"/>
        <v/>
      </c>
      <c r="J214" s="1114"/>
      <c r="K214" s="1314">
        <v>1878980</v>
      </c>
      <c r="L214" s="1073">
        <v>2335190</v>
      </c>
      <c r="M214" s="1074">
        <v>1.24279662370009</v>
      </c>
      <c r="N214" s="1315" t="str">
        <f t="shared" si="14"/>
        <v/>
      </c>
      <c r="O214" s="1325">
        <f t="shared" si="15"/>
        <v>1</v>
      </c>
      <c r="P214" s="1321">
        <v>2011</v>
      </c>
    </row>
    <row r="215" spans="1:16">
      <c r="A215" s="1034" t="s">
        <v>4048</v>
      </c>
      <c r="B215" s="826">
        <v>373</v>
      </c>
      <c r="C215" s="1035">
        <v>1</v>
      </c>
      <c r="D215" s="1035">
        <v>373</v>
      </c>
      <c r="E215" s="1035" t="s">
        <v>4048</v>
      </c>
      <c r="F215" s="1035"/>
      <c r="G215" s="1035"/>
      <c r="H215" s="1035" t="str">
        <f t="shared" si="12"/>
        <v/>
      </c>
      <c r="I215" s="1035" t="str">
        <f t="shared" si="13"/>
        <v/>
      </c>
      <c r="J215" s="1114"/>
      <c r="K215" s="1314">
        <v>130755</v>
      </c>
      <c r="L215" s="1073">
        <v>190008</v>
      </c>
      <c r="M215" s="1074">
        <v>1.4531604909946101</v>
      </c>
      <c r="N215" s="1315" t="str">
        <f t="shared" si="14"/>
        <v/>
      </c>
      <c r="O215" s="1325">
        <f t="shared" si="15"/>
        <v>1</v>
      </c>
      <c r="P215" s="1321">
        <v>2011</v>
      </c>
    </row>
    <row r="216" spans="1:16">
      <c r="A216" s="1034" t="s">
        <v>4580</v>
      </c>
      <c r="B216" s="826">
        <v>388</v>
      </c>
      <c r="C216" s="1035">
        <v>1</v>
      </c>
      <c r="D216" s="1035">
        <v>388</v>
      </c>
      <c r="E216" s="1035" t="s">
        <v>4580</v>
      </c>
      <c r="F216" s="1035"/>
      <c r="G216" s="1035"/>
      <c r="H216" s="1035" t="str">
        <f t="shared" si="12"/>
        <v/>
      </c>
      <c r="I216" s="1035" t="str">
        <f t="shared" si="13"/>
        <v/>
      </c>
      <c r="J216" s="1114"/>
      <c r="K216" s="1314">
        <v>6825640</v>
      </c>
      <c r="L216" s="1073">
        <v>8593370</v>
      </c>
      <c r="M216" s="1074">
        <v>1.25898377295023</v>
      </c>
      <c r="N216" s="1315" t="str">
        <f t="shared" si="14"/>
        <v/>
      </c>
      <c r="O216" s="1325">
        <f t="shared" si="15"/>
        <v>1</v>
      </c>
      <c r="P216" s="1321">
        <v>2011</v>
      </c>
    </row>
    <row r="217" spans="1:16">
      <c r="A217" s="1034" t="s">
        <v>3697</v>
      </c>
      <c r="B217" s="826">
        <v>389</v>
      </c>
      <c r="C217" s="1035">
        <v>2</v>
      </c>
      <c r="D217" s="1035">
        <v>388</v>
      </c>
      <c r="E217" s="1035" t="s">
        <v>4580</v>
      </c>
      <c r="F217" s="1035" t="s">
        <v>4580</v>
      </c>
      <c r="G217" s="1035" t="s">
        <v>6204</v>
      </c>
      <c r="H217" s="1035" t="str">
        <f t="shared" si="12"/>
        <v>Tomatoesa</v>
      </c>
      <c r="I217" s="1035">
        <f t="shared" si="13"/>
        <v>388</v>
      </c>
      <c r="J217" s="1114">
        <v>0.2</v>
      </c>
      <c r="K217" s="1314" t="s">
        <v>7551</v>
      </c>
      <c r="L217" s="1073" t="s">
        <v>7552</v>
      </c>
      <c r="M217" s="1074">
        <v>0.69888944977284195</v>
      </c>
      <c r="N217" s="1315">
        <f t="shared" si="14"/>
        <v>0.13977788995456839</v>
      </c>
      <c r="O217" s="1325">
        <f t="shared" si="15"/>
        <v>0.2</v>
      </c>
      <c r="P217" s="1321" t="s">
        <v>7739</v>
      </c>
    </row>
    <row r="218" spans="1:16">
      <c r="A218" s="1034" t="s">
        <v>1376</v>
      </c>
      <c r="B218" s="826">
        <v>390</v>
      </c>
      <c r="C218" s="1035">
        <v>2</v>
      </c>
      <c r="D218" s="1035">
        <v>388</v>
      </c>
      <c r="E218" s="1035" t="s">
        <v>4580</v>
      </c>
      <c r="F218" s="1035" t="s">
        <v>4580</v>
      </c>
      <c r="G218" s="1035" t="s">
        <v>6205</v>
      </c>
      <c r="H218" s="1035" t="str">
        <f t="shared" si="12"/>
        <v>Tomatoesb</v>
      </c>
      <c r="I218" s="1035">
        <f t="shared" si="13"/>
        <v>388</v>
      </c>
      <c r="J218" s="1114">
        <v>0.8</v>
      </c>
      <c r="K218" s="1314">
        <v>91180</v>
      </c>
      <c r="L218" s="1073">
        <v>71389</v>
      </c>
      <c r="M218" s="1074">
        <v>0.78294582145207303</v>
      </c>
      <c r="N218" s="1315">
        <f t="shared" si="14"/>
        <v>0.62635665716165845</v>
      </c>
      <c r="O218" s="1325">
        <f t="shared" si="15"/>
        <v>0.8</v>
      </c>
      <c r="P218" s="1321">
        <v>2011</v>
      </c>
    </row>
    <row r="219" spans="1:16">
      <c r="A219" s="1034" t="s">
        <v>5210</v>
      </c>
      <c r="B219" s="826">
        <v>391</v>
      </c>
      <c r="C219" s="1035">
        <v>2</v>
      </c>
      <c r="D219" s="1035">
        <v>388</v>
      </c>
      <c r="E219" s="1035" t="s">
        <v>4580</v>
      </c>
      <c r="F219" s="1035" t="s">
        <v>4580</v>
      </c>
      <c r="G219" s="1035" t="s">
        <v>6206</v>
      </c>
      <c r="H219" s="1035" t="str">
        <f t="shared" si="12"/>
        <v>Tomatoesc</v>
      </c>
      <c r="I219" s="1035">
        <f t="shared" si="13"/>
        <v>388</v>
      </c>
      <c r="J219" s="1114">
        <v>0.25</v>
      </c>
      <c r="K219" s="1314">
        <v>2700670</v>
      </c>
      <c r="L219" s="1073">
        <v>2787740</v>
      </c>
      <c r="M219" s="1074">
        <v>1.0322401478151699</v>
      </c>
      <c r="N219" s="1315">
        <f t="shared" si="14"/>
        <v>0.25806003695379248</v>
      </c>
      <c r="O219" s="1325">
        <f t="shared" si="15"/>
        <v>0.25</v>
      </c>
      <c r="P219" s="1321">
        <v>2011</v>
      </c>
    </row>
    <row r="220" spans="1:16">
      <c r="A220" s="1034" t="s">
        <v>4810</v>
      </c>
      <c r="B220" s="826">
        <v>392</v>
      </c>
      <c r="C220" s="1035">
        <v>2</v>
      </c>
      <c r="D220" s="1035">
        <v>388</v>
      </c>
      <c r="E220" s="1035" t="s">
        <v>4580</v>
      </c>
      <c r="F220" s="1035" t="s">
        <v>4580</v>
      </c>
      <c r="G220" s="1035" t="s">
        <v>6207</v>
      </c>
      <c r="H220" s="1035" t="str">
        <f t="shared" si="12"/>
        <v>Tomatoesd</v>
      </c>
      <c r="I220" s="1035">
        <f t="shared" si="13"/>
        <v>388</v>
      </c>
      <c r="J220" s="1114">
        <v>0.8</v>
      </c>
      <c r="K220" s="1314">
        <v>1332530</v>
      </c>
      <c r="L220" s="1073">
        <v>1231490</v>
      </c>
      <c r="M220" s="1074">
        <v>0.92417431502480196</v>
      </c>
      <c r="N220" s="1315">
        <f t="shared" si="14"/>
        <v>0.73933945201984164</v>
      </c>
      <c r="O220" s="1325">
        <f t="shared" si="15"/>
        <v>0.8</v>
      </c>
      <c r="P220" s="1321">
        <v>2011</v>
      </c>
    </row>
    <row r="221" spans="1:16">
      <c r="A221" s="1034" t="s">
        <v>3880</v>
      </c>
      <c r="B221" s="826">
        <v>393</v>
      </c>
      <c r="C221" s="1035">
        <v>1</v>
      </c>
      <c r="D221" s="1035">
        <v>393</v>
      </c>
      <c r="E221" s="1035" t="s">
        <v>3880</v>
      </c>
      <c r="F221" s="1035"/>
      <c r="G221" s="1035"/>
      <c r="H221" s="1035" t="str">
        <f t="shared" si="12"/>
        <v/>
      </c>
      <c r="I221" s="1035" t="str">
        <f t="shared" si="13"/>
        <v/>
      </c>
      <c r="J221" s="1114"/>
      <c r="K221" s="1314">
        <v>867830</v>
      </c>
      <c r="L221" s="1073">
        <v>870178</v>
      </c>
      <c r="M221" s="1074">
        <v>1.0027055990228499</v>
      </c>
      <c r="N221" s="1315" t="str">
        <f t="shared" si="14"/>
        <v/>
      </c>
      <c r="O221" s="1325">
        <f t="shared" si="15"/>
        <v>1</v>
      </c>
      <c r="P221" s="1321">
        <v>2011</v>
      </c>
    </row>
    <row r="222" spans="1:16">
      <c r="A222" s="1034" t="s">
        <v>483</v>
      </c>
      <c r="B222" s="826">
        <v>394</v>
      </c>
      <c r="C222" s="1035">
        <v>1</v>
      </c>
      <c r="D222" s="1035">
        <v>394</v>
      </c>
      <c r="E222" s="1035" t="s">
        <v>483</v>
      </c>
      <c r="F222" s="1035"/>
      <c r="G222" s="1035"/>
      <c r="H222" s="1035" t="str">
        <f t="shared" si="12"/>
        <v/>
      </c>
      <c r="I222" s="1035" t="str">
        <f t="shared" si="13"/>
        <v/>
      </c>
      <c r="J222" s="1114"/>
      <c r="K222" s="1314">
        <v>938910</v>
      </c>
      <c r="L222" s="1073">
        <v>884763</v>
      </c>
      <c r="M222" s="1074">
        <v>0.94232993577659196</v>
      </c>
      <c r="N222" s="1315" t="str">
        <f t="shared" si="14"/>
        <v/>
      </c>
      <c r="O222" s="1325">
        <f t="shared" si="15"/>
        <v>1</v>
      </c>
      <c r="P222" s="1321">
        <v>2011</v>
      </c>
    </row>
    <row r="223" spans="1:16">
      <c r="A223" s="1034" t="s">
        <v>2574</v>
      </c>
      <c r="B223" s="826">
        <v>397</v>
      </c>
      <c r="C223" s="1035">
        <v>1</v>
      </c>
      <c r="D223" s="1035">
        <v>397</v>
      </c>
      <c r="E223" s="1035" t="s">
        <v>2574</v>
      </c>
      <c r="F223" s="1035"/>
      <c r="G223" s="1035"/>
      <c r="H223" s="1035" t="str">
        <f t="shared" si="12"/>
        <v/>
      </c>
      <c r="I223" s="1035" t="str">
        <f t="shared" si="13"/>
        <v/>
      </c>
      <c r="J223" s="1114"/>
      <c r="K223" s="1314">
        <v>2320970</v>
      </c>
      <c r="L223" s="1073">
        <v>2080110</v>
      </c>
      <c r="M223" s="1074">
        <v>0.89622442340917796</v>
      </c>
      <c r="N223" s="1315" t="str">
        <f t="shared" si="14"/>
        <v/>
      </c>
      <c r="O223" s="1325">
        <f t="shared" si="15"/>
        <v>1</v>
      </c>
      <c r="P223" s="1321">
        <v>2011</v>
      </c>
    </row>
    <row r="224" spans="1:16">
      <c r="A224" s="1034" t="s">
        <v>823</v>
      </c>
      <c r="B224" s="826">
        <v>399</v>
      </c>
      <c r="C224" s="1035">
        <v>1</v>
      </c>
      <c r="D224" s="1035">
        <v>399</v>
      </c>
      <c r="E224" s="1035" t="s">
        <v>823</v>
      </c>
      <c r="F224" s="1035"/>
      <c r="G224" s="1035"/>
      <c r="H224" s="1035" t="str">
        <f t="shared" si="12"/>
        <v/>
      </c>
      <c r="I224" s="1035" t="str">
        <f t="shared" si="13"/>
        <v/>
      </c>
      <c r="J224" s="1114"/>
      <c r="K224" s="1314">
        <v>384739</v>
      </c>
      <c r="L224" s="1073">
        <v>471582</v>
      </c>
      <c r="M224" s="1074">
        <v>1.22571925383182</v>
      </c>
      <c r="N224" s="1315" t="str">
        <f t="shared" si="14"/>
        <v/>
      </c>
      <c r="O224" s="1325">
        <f t="shared" si="15"/>
        <v>1</v>
      </c>
      <c r="P224" s="1321">
        <v>2011</v>
      </c>
    </row>
    <row r="225" spans="1:16">
      <c r="A225" s="1034" t="s">
        <v>2633</v>
      </c>
      <c r="B225" s="826">
        <v>401</v>
      </c>
      <c r="C225" s="1035">
        <v>1</v>
      </c>
      <c r="D225" s="1035">
        <v>401</v>
      </c>
      <c r="E225" s="1035" t="s">
        <v>2633</v>
      </c>
      <c r="F225" s="1035"/>
      <c r="G225" s="1035"/>
      <c r="H225" s="1035" t="str">
        <f t="shared" si="12"/>
        <v/>
      </c>
      <c r="I225" s="1035" t="str">
        <f t="shared" si="13"/>
        <v/>
      </c>
      <c r="J225" s="1114"/>
      <c r="K225" s="1314">
        <v>2697280</v>
      </c>
      <c r="L225" s="1073">
        <v>4582310</v>
      </c>
      <c r="M225" s="1074">
        <v>1.69886329932376</v>
      </c>
      <c r="N225" s="1315" t="str">
        <f t="shared" si="14"/>
        <v/>
      </c>
      <c r="O225" s="1325">
        <f t="shared" si="15"/>
        <v>1</v>
      </c>
      <c r="P225" s="1321">
        <v>2011</v>
      </c>
    </row>
    <row r="226" spans="1:16">
      <c r="A226" s="1034" t="s">
        <v>3504</v>
      </c>
      <c r="B226" s="826">
        <v>402</v>
      </c>
      <c r="C226" s="1035">
        <v>1</v>
      </c>
      <c r="D226" s="1035">
        <v>402</v>
      </c>
      <c r="E226" s="1035" t="s">
        <v>3504</v>
      </c>
      <c r="F226" s="1035"/>
      <c r="G226" s="1035"/>
      <c r="H226" s="1035" t="str">
        <f t="shared" si="12"/>
        <v/>
      </c>
      <c r="I226" s="1035" t="str">
        <f t="shared" si="13"/>
        <v/>
      </c>
      <c r="J226" s="1114"/>
      <c r="K226" s="1314">
        <v>464370</v>
      </c>
      <c r="L226" s="1073">
        <v>242654</v>
      </c>
      <c r="M226" s="1074">
        <v>0.52254452268665097</v>
      </c>
      <c r="N226" s="1315" t="str">
        <f t="shared" si="14"/>
        <v/>
      </c>
      <c r="O226" s="1325">
        <f t="shared" si="15"/>
        <v>1</v>
      </c>
      <c r="P226" s="1321">
        <v>2011</v>
      </c>
    </row>
    <row r="227" spans="1:16">
      <c r="A227" s="1034" t="s">
        <v>2495</v>
      </c>
      <c r="B227" s="826">
        <v>403</v>
      </c>
      <c r="C227" s="1035">
        <v>1</v>
      </c>
      <c r="D227" s="1035">
        <v>403</v>
      </c>
      <c r="E227" s="1035" t="s">
        <v>2495</v>
      </c>
      <c r="F227" s="1035"/>
      <c r="G227" s="1035"/>
      <c r="H227" s="1035" t="str">
        <f t="shared" si="12"/>
        <v/>
      </c>
      <c r="I227" s="1035" t="str">
        <f t="shared" si="13"/>
        <v/>
      </c>
      <c r="J227" s="1114"/>
      <c r="K227" s="1314">
        <v>6388040</v>
      </c>
      <c r="L227" s="1073">
        <v>3017820</v>
      </c>
      <c r="M227" s="1074">
        <v>0.47241720465119202</v>
      </c>
      <c r="N227" s="1315" t="str">
        <f t="shared" si="14"/>
        <v/>
      </c>
      <c r="O227" s="1325">
        <f t="shared" si="15"/>
        <v>1</v>
      </c>
      <c r="P227" s="1321">
        <v>2011</v>
      </c>
    </row>
    <row r="228" spans="1:16">
      <c r="A228" s="1034" t="s">
        <v>5231</v>
      </c>
      <c r="B228" s="826">
        <v>406</v>
      </c>
      <c r="C228" s="1035">
        <v>1</v>
      </c>
      <c r="D228" s="1035">
        <v>406</v>
      </c>
      <c r="E228" s="1035" t="s">
        <v>5231</v>
      </c>
      <c r="F228" s="1035"/>
      <c r="G228" s="1035"/>
      <c r="H228" s="1035" t="str">
        <f t="shared" si="12"/>
        <v/>
      </c>
      <c r="I228" s="1035" t="str">
        <f t="shared" si="13"/>
        <v/>
      </c>
      <c r="J228" s="1114"/>
      <c r="K228" s="1314">
        <v>1850920</v>
      </c>
      <c r="L228" s="1073">
        <v>2355290</v>
      </c>
      <c r="M228" s="1074">
        <v>1.27249692045037</v>
      </c>
      <c r="N228" s="1315" t="str">
        <f t="shared" si="14"/>
        <v/>
      </c>
      <c r="O228" s="1325">
        <f t="shared" si="15"/>
        <v>1</v>
      </c>
      <c r="P228" s="1321">
        <v>2011</v>
      </c>
    </row>
    <row r="229" spans="1:16">
      <c r="A229" s="1034" t="s">
        <v>7093</v>
      </c>
      <c r="B229" s="826">
        <v>407</v>
      </c>
      <c r="C229" s="1035">
        <v>1</v>
      </c>
      <c r="D229" s="1035">
        <v>407</v>
      </c>
      <c r="E229" s="1035" t="s">
        <v>7093</v>
      </c>
      <c r="F229" s="1035"/>
      <c r="G229" s="1035"/>
      <c r="H229" s="1035" t="str">
        <f t="shared" si="12"/>
        <v/>
      </c>
      <c r="I229" s="1035" t="str">
        <f t="shared" si="13"/>
        <v/>
      </c>
      <c r="J229" s="1114"/>
      <c r="K229" s="1314">
        <v>308556</v>
      </c>
      <c r="L229" s="1073">
        <v>361087</v>
      </c>
      <c r="M229" s="1074">
        <v>1.17024786424506</v>
      </c>
      <c r="N229" s="1315" t="str">
        <f t="shared" si="14"/>
        <v/>
      </c>
      <c r="O229" s="1325">
        <f t="shared" si="15"/>
        <v>1</v>
      </c>
      <c r="P229" s="1321">
        <v>2011</v>
      </c>
    </row>
    <row r="230" spans="1:16">
      <c r="A230" s="1034" t="s">
        <v>3205</v>
      </c>
      <c r="B230" s="826">
        <v>414</v>
      </c>
      <c r="C230" s="1035">
        <v>1</v>
      </c>
      <c r="D230" s="1035">
        <v>414</v>
      </c>
      <c r="E230" s="1035" t="s">
        <v>3205</v>
      </c>
      <c r="F230" s="1035"/>
      <c r="G230" s="1035"/>
      <c r="H230" s="1035" t="str">
        <f t="shared" si="12"/>
        <v/>
      </c>
      <c r="I230" s="1035" t="str">
        <f t="shared" si="13"/>
        <v/>
      </c>
      <c r="J230" s="1114"/>
      <c r="K230" s="1314">
        <v>473708</v>
      </c>
      <c r="L230" s="1073">
        <v>871789</v>
      </c>
      <c r="M230" s="1074">
        <v>1.84035101792666</v>
      </c>
      <c r="N230" s="1315" t="str">
        <f t="shared" si="14"/>
        <v/>
      </c>
      <c r="O230" s="1325">
        <f t="shared" si="15"/>
        <v>1</v>
      </c>
      <c r="P230" s="1321">
        <v>2011</v>
      </c>
    </row>
    <row r="231" spans="1:16">
      <c r="A231" s="1034" t="s">
        <v>5267</v>
      </c>
      <c r="B231" s="826">
        <v>417</v>
      </c>
      <c r="C231" s="1035">
        <v>1</v>
      </c>
      <c r="D231" s="1035">
        <v>417</v>
      </c>
      <c r="E231" s="1035" t="s">
        <v>5267</v>
      </c>
      <c r="F231" s="1035"/>
      <c r="G231" s="1035"/>
      <c r="H231" s="1035" t="str">
        <f t="shared" si="12"/>
        <v/>
      </c>
      <c r="I231" s="1035" t="str">
        <f t="shared" si="13"/>
        <v/>
      </c>
      <c r="J231" s="1114"/>
      <c r="K231" s="1314">
        <v>241666</v>
      </c>
      <c r="L231" s="1073">
        <v>351204</v>
      </c>
      <c r="M231" s="1074">
        <v>1.4532619400329401</v>
      </c>
      <c r="N231" s="1315" t="str">
        <f t="shared" si="14"/>
        <v/>
      </c>
      <c r="O231" s="1325">
        <f t="shared" si="15"/>
        <v>1</v>
      </c>
      <c r="P231" s="1321">
        <v>2011</v>
      </c>
    </row>
    <row r="232" spans="1:16">
      <c r="A232" s="1034" t="s">
        <v>817</v>
      </c>
      <c r="B232" s="826">
        <v>420</v>
      </c>
      <c r="C232" s="1035">
        <v>1</v>
      </c>
      <c r="D232" s="1035">
        <v>420</v>
      </c>
      <c r="E232" s="1035" t="s">
        <v>817</v>
      </c>
      <c r="F232" s="1035"/>
      <c r="G232" s="1035"/>
      <c r="H232" s="1035" t="str">
        <f t="shared" si="12"/>
        <v/>
      </c>
      <c r="I232" s="1035" t="str">
        <f t="shared" si="13"/>
        <v/>
      </c>
      <c r="J232" s="1114"/>
      <c r="K232" s="1314" t="s">
        <v>7553</v>
      </c>
      <c r="L232" s="1073" t="s">
        <v>7554</v>
      </c>
      <c r="M232" s="1074">
        <v>1.2199145184987312</v>
      </c>
      <c r="N232" s="1315" t="str">
        <f t="shared" si="14"/>
        <v/>
      </c>
      <c r="O232" s="1325">
        <f t="shared" si="15"/>
        <v>1</v>
      </c>
      <c r="P232" s="1321" t="s">
        <v>7739</v>
      </c>
    </row>
    <row r="233" spans="1:16">
      <c r="A233" s="1034" t="s">
        <v>527</v>
      </c>
      <c r="B233" s="826">
        <v>423</v>
      </c>
      <c r="C233" s="1035">
        <v>1</v>
      </c>
      <c r="D233" s="1035">
        <v>423</v>
      </c>
      <c r="E233" s="1035" t="s">
        <v>527</v>
      </c>
      <c r="F233" s="1035"/>
      <c r="G233" s="1035"/>
      <c r="H233" s="1035" t="str">
        <f t="shared" si="12"/>
        <v/>
      </c>
      <c r="I233" s="1035" t="str">
        <f t="shared" si="13"/>
        <v/>
      </c>
      <c r="J233" s="1114"/>
      <c r="K233" s="1314" t="s">
        <v>7555</v>
      </c>
      <c r="L233" s="1073" t="s">
        <v>7556</v>
      </c>
      <c r="M233" s="1074">
        <v>5.0734177215189877</v>
      </c>
      <c r="N233" s="1315" t="str">
        <f t="shared" si="14"/>
        <v/>
      </c>
      <c r="O233" s="1325">
        <f t="shared" si="15"/>
        <v>1</v>
      </c>
      <c r="P233" s="1321" t="s">
        <v>7739</v>
      </c>
    </row>
    <row r="234" spans="1:16">
      <c r="A234" s="1034" t="s">
        <v>767</v>
      </c>
      <c r="B234" s="826">
        <v>426</v>
      </c>
      <c r="C234" s="1035">
        <v>1</v>
      </c>
      <c r="D234" s="1035">
        <v>426</v>
      </c>
      <c r="E234" s="1035" t="s">
        <v>767</v>
      </c>
      <c r="F234" s="1035"/>
      <c r="G234" s="1035"/>
      <c r="H234" s="1035" t="str">
        <f t="shared" si="12"/>
        <v/>
      </c>
      <c r="I234" s="1035" t="str">
        <f t="shared" si="13"/>
        <v/>
      </c>
      <c r="J234" s="1114"/>
      <c r="K234" s="1314">
        <v>2260890</v>
      </c>
      <c r="L234" s="1073">
        <v>1132310</v>
      </c>
      <c r="M234" s="1074">
        <v>0.50082489639035999</v>
      </c>
      <c r="N234" s="1315" t="str">
        <f t="shared" si="14"/>
        <v/>
      </c>
      <c r="O234" s="1325">
        <f t="shared" si="15"/>
        <v>1</v>
      </c>
      <c r="P234" s="1321">
        <v>2011</v>
      </c>
    </row>
    <row r="235" spans="1:16">
      <c r="A235" s="1034" t="s">
        <v>807</v>
      </c>
      <c r="B235" s="826">
        <v>430</v>
      </c>
      <c r="C235" s="1035">
        <v>1</v>
      </c>
      <c r="D235" s="1035">
        <v>430</v>
      </c>
      <c r="E235" s="1035" t="s">
        <v>807</v>
      </c>
      <c r="F235" s="1035"/>
      <c r="G235" s="1035"/>
      <c r="H235" s="1035" t="str">
        <f t="shared" si="12"/>
        <v/>
      </c>
      <c r="I235" s="1035" t="str">
        <f t="shared" si="13"/>
        <v/>
      </c>
      <c r="J235" s="1114"/>
      <c r="K235" s="1314" t="s">
        <v>7557</v>
      </c>
      <c r="L235" s="1073" t="s">
        <v>7558</v>
      </c>
      <c r="M235" s="1074">
        <v>0.50422360569347213</v>
      </c>
      <c r="N235" s="1315" t="str">
        <f t="shared" si="14"/>
        <v/>
      </c>
      <c r="O235" s="1325">
        <f t="shared" si="15"/>
        <v>1</v>
      </c>
      <c r="P235" s="1321" t="s">
        <v>7739</v>
      </c>
    </row>
    <row r="236" spans="1:16">
      <c r="A236" s="1034" t="s">
        <v>1195</v>
      </c>
      <c r="B236" s="826">
        <v>446</v>
      </c>
      <c r="C236" s="1035">
        <v>1</v>
      </c>
      <c r="D236" s="1035">
        <v>446</v>
      </c>
      <c r="E236" s="1035" t="s">
        <v>1195</v>
      </c>
      <c r="F236" s="1035"/>
      <c r="G236" s="1035"/>
      <c r="H236" s="1035" t="str">
        <f t="shared" si="12"/>
        <v/>
      </c>
      <c r="I236" s="1035" t="str">
        <f t="shared" si="13"/>
        <v/>
      </c>
      <c r="J236" s="1114"/>
      <c r="K236" s="1314">
        <v>224874</v>
      </c>
      <c r="L236" s="1073">
        <v>244045</v>
      </c>
      <c r="M236" s="1074">
        <v>1.0852521856684201</v>
      </c>
      <c r="N236" s="1315" t="str">
        <f t="shared" si="14"/>
        <v/>
      </c>
      <c r="O236" s="1325">
        <f t="shared" si="15"/>
        <v>1</v>
      </c>
      <c r="P236" s="1321">
        <v>2011</v>
      </c>
    </row>
    <row r="237" spans="1:16">
      <c r="A237" s="1034" t="s">
        <v>5172</v>
      </c>
      <c r="B237" s="826">
        <v>447</v>
      </c>
      <c r="C237" s="1035">
        <v>2</v>
      </c>
      <c r="D237" s="1035">
        <v>446</v>
      </c>
      <c r="E237" s="1035" t="s">
        <v>1195</v>
      </c>
      <c r="F237" s="1035" t="s">
        <v>1195</v>
      </c>
      <c r="G237" s="1035" t="s">
        <v>6204</v>
      </c>
      <c r="H237" s="1035" t="str">
        <f t="shared" si="12"/>
        <v>Maize, greena</v>
      </c>
      <c r="I237" s="1035">
        <f t="shared" si="13"/>
        <v>446</v>
      </c>
      <c r="J237" s="1114">
        <v>0.35</v>
      </c>
      <c r="K237" s="1314">
        <v>321844</v>
      </c>
      <c r="L237" s="1073">
        <v>393342</v>
      </c>
      <c r="M237" s="1074">
        <v>1.2221511042616899</v>
      </c>
      <c r="N237" s="1315">
        <f t="shared" si="14"/>
        <v>0.42775288649159143</v>
      </c>
      <c r="O237" s="1325">
        <f t="shared" si="15"/>
        <v>0.35</v>
      </c>
      <c r="P237" s="1321">
        <v>2011</v>
      </c>
    </row>
    <row r="238" spans="1:16">
      <c r="A238" s="1034" t="s">
        <v>4918</v>
      </c>
      <c r="B238" s="826">
        <v>448</v>
      </c>
      <c r="C238" s="1035">
        <v>2</v>
      </c>
      <c r="D238" s="1035">
        <v>446</v>
      </c>
      <c r="E238" s="1035" t="s">
        <v>1195</v>
      </c>
      <c r="F238" s="1035" t="s">
        <v>1195</v>
      </c>
      <c r="G238" s="1035" t="s">
        <v>6205</v>
      </c>
      <c r="H238" s="1035" t="str">
        <f t="shared" si="12"/>
        <v>Maize, greenb</v>
      </c>
      <c r="I238" s="1035">
        <f t="shared" si="13"/>
        <v>446</v>
      </c>
      <c r="J238" s="1114">
        <v>0.45</v>
      </c>
      <c r="K238" s="1314">
        <v>727425</v>
      </c>
      <c r="L238" s="1073">
        <v>968483</v>
      </c>
      <c r="M238" s="1074">
        <v>1.3313853661889501</v>
      </c>
      <c r="N238" s="1315">
        <f t="shared" si="14"/>
        <v>0.59912341478502751</v>
      </c>
      <c r="O238" s="1325">
        <f t="shared" si="15"/>
        <v>0.45</v>
      </c>
      <c r="P238" s="1321">
        <v>2011</v>
      </c>
    </row>
    <row r="239" spans="1:16">
      <c r="A239" s="1034" t="s">
        <v>796</v>
      </c>
      <c r="B239" s="826">
        <v>449</v>
      </c>
      <c r="C239" s="1035">
        <v>1</v>
      </c>
      <c r="D239" s="1035">
        <v>449</v>
      </c>
      <c r="E239" s="1035" t="s">
        <v>796</v>
      </c>
      <c r="F239" s="1035"/>
      <c r="G239" s="1035"/>
      <c r="H239" s="1035" t="str">
        <f t="shared" si="12"/>
        <v/>
      </c>
      <c r="I239" s="1035" t="str">
        <f t="shared" si="13"/>
        <v/>
      </c>
      <c r="J239" s="1114"/>
      <c r="K239" s="1314">
        <v>578694</v>
      </c>
      <c r="L239" s="1073">
        <v>1681800</v>
      </c>
      <c r="M239" s="1074">
        <v>2.9061991311470301</v>
      </c>
      <c r="N239" s="1315" t="str">
        <f t="shared" si="14"/>
        <v/>
      </c>
      <c r="O239" s="1325">
        <f t="shared" si="15"/>
        <v>1</v>
      </c>
      <c r="P239" s="1321">
        <v>2011</v>
      </c>
    </row>
    <row r="240" spans="1:16">
      <c r="A240" s="1034" t="s">
        <v>3196</v>
      </c>
      <c r="B240" s="826">
        <v>450</v>
      </c>
      <c r="C240" s="1035">
        <v>1</v>
      </c>
      <c r="D240" s="1035">
        <v>449</v>
      </c>
      <c r="E240" s="1035" t="s">
        <v>796</v>
      </c>
      <c r="F240" s="1035" t="s">
        <v>796</v>
      </c>
      <c r="G240" s="1035"/>
      <c r="H240" s="1035" t="str">
        <f t="shared" si="12"/>
        <v>Mushrooms and truffles</v>
      </c>
      <c r="I240" s="1035">
        <f t="shared" si="13"/>
        <v>449</v>
      </c>
      <c r="J240" s="1114">
        <v>0.26</v>
      </c>
      <c r="K240" s="1314" t="s">
        <v>7559</v>
      </c>
      <c r="L240" s="1073" t="s">
        <v>7560</v>
      </c>
      <c r="M240" s="1074">
        <v>8.7127977301575452</v>
      </c>
      <c r="N240" s="1315">
        <f t="shared" si="14"/>
        <v>2.2653274098409617</v>
      </c>
      <c r="O240" s="1325">
        <f t="shared" si="15"/>
        <v>0.49830461132551268</v>
      </c>
      <c r="P240" s="1321" t="s">
        <v>7739</v>
      </c>
    </row>
    <row r="241" spans="1:16">
      <c r="A241" s="1034" t="s">
        <v>1204</v>
      </c>
      <c r="B241" s="826">
        <v>451</v>
      </c>
      <c r="C241" s="1035">
        <v>1</v>
      </c>
      <c r="D241" s="1035">
        <v>449</v>
      </c>
      <c r="E241" s="1035" t="s">
        <v>796</v>
      </c>
      <c r="F241" s="1035" t="s">
        <v>796</v>
      </c>
      <c r="G241" s="1035"/>
      <c r="H241" s="1035" t="str">
        <f t="shared" si="12"/>
        <v>Mushrooms and truffles</v>
      </c>
      <c r="I241" s="1035">
        <f t="shared" si="13"/>
        <v>449</v>
      </c>
      <c r="J241" s="1114">
        <v>1.1000000000000001</v>
      </c>
      <c r="K241" s="1314">
        <v>545571</v>
      </c>
      <c r="L241" s="1073">
        <v>1029790</v>
      </c>
      <c r="M241" s="1074">
        <v>1.88754534240273</v>
      </c>
      <c r="N241" s="1315">
        <f t="shared" si="14"/>
        <v>2.0762998766430032</v>
      </c>
      <c r="O241" s="1325">
        <f t="shared" si="15"/>
        <v>2.300144631734959</v>
      </c>
      <c r="P241" s="1321">
        <v>2011</v>
      </c>
    </row>
    <row r="242" spans="1:16">
      <c r="A242" s="1034" t="s">
        <v>4652</v>
      </c>
      <c r="B242" s="826">
        <v>459</v>
      </c>
      <c r="C242" s="1035">
        <v>1</v>
      </c>
      <c r="D242" s="1035">
        <v>459</v>
      </c>
      <c r="E242" s="1035" t="s">
        <v>4652</v>
      </c>
      <c r="F242" s="1035"/>
      <c r="G242" s="1035"/>
      <c r="H242" s="1035" t="str">
        <f t="shared" si="12"/>
        <v/>
      </c>
      <c r="I242" s="1035" t="str">
        <f t="shared" si="13"/>
        <v/>
      </c>
      <c r="J242" s="1114"/>
      <c r="K242" s="1314" t="s">
        <v>7561</v>
      </c>
      <c r="L242" s="1073" t="s">
        <v>7562</v>
      </c>
      <c r="M242" s="1074">
        <v>2.175081967213115</v>
      </c>
      <c r="N242" s="1315" t="str">
        <f t="shared" si="14"/>
        <v/>
      </c>
      <c r="O242" s="1325">
        <f t="shared" si="15"/>
        <v>1</v>
      </c>
      <c r="P242" s="1321" t="s">
        <v>7739</v>
      </c>
    </row>
    <row r="243" spans="1:16">
      <c r="A243" s="1034" t="s">
        <v>3415</v>
      </c>
      <c r="B243" s="826">
        <v>460</v>
      </c>
      <c r="C243" s="1035">
        <v>1</v>
      </c>
      <c r="D243" s="1035">
        <v>463</v>
      </c>
      <c r="E243" s="1035" t="s">
        <v>3384</v>
      </c>
      <c r="F243" s="1035" t="s">
        <v>3384</v>
      </c>
      <c r="G243" s="1035"/>
      <c r="H243" s="1035" t="str">
        <f t="shared" si="12"/>
        <v>Vegetables fresh nes</v>
      </c>
      <c r="I243" s="1035">
        <f t="shared" si="13"/>
        <v>463</v>
      </c>
      <c r="J243" s="1114">
        <v>1</v>
      </c>
      <c r="K243" s="1314">
        <v>196444</v>
      </c>
      <c r="L243" s="1073">
        <v>423045</v>
      </c>
      <c r="M243" s="1074">
        <v>2.1535144875893399</v>
      </c>
      <c r="N243" s="1315">
        <f t="shared" si="14"/>
        <v>2.1535144875893399</v>
      </c>
      <c r="O243" s="1325">
        <f t="shared" si="15"/>
        <v>1</v>
      </c>
      <c r="P243" s="1321">
        <v>2011</v>
      </c>
    </row>
    <row r="244" spans="1:16">
      <c r="A244" s="1034" t="s">
        <v>5614</v>
      </c>
      <c r="B244" s="826">
        <v>461</v>
      </c>
      <c r="C244" s="1035">
        <v>1</v>
      </c>
      <c r="D244" s="1035">
        <v>461</v>
      </c>
      <c r="E244" s="1035" t="s">
        <v>5614</v>
      </c>
      <c r="F244" s="1035"/>
      <c r="G244" s="1035"/>
      <c r="H244" s="1035" t="str">
        <f t="shared" si="12"/>
        <v/>
      </c>
      <c r="I244" s="1035" t="str">
        <f t="shared" si="13"/>
        <v/>
      </c>
      <c r="J244" s="1114"/>
      <c r="K244" s="1314" t="s">
        <v>7563</v>
      </c>
      <c r="L244" s="1073" t="s">
        <v>7564</v>
      </c>
      <c r="M244" s="1074">
        <v>1.4751386521332022</v>
      </c>
      <c r="N244" s="1315" t="str">
        <f t="shared" si="14"/>
        <v/>
      </c>
      <c r="O244" s="1325">
        <f t="shared" si="15"/>
        <v>1</v>
      </c>
      <c r="P244" s="1321" t="s">
        <v>7739</v>
      </c>
    </row>
    <row r="245" spans="1:16">
      <c r="A245" s="1034" t="s">
        <v>3384</v>
      </c>
      <c r="B245" s="826">
        <v>463</v>
      </c>
      <c r="C245" s="1035">
        <v>1</v>
      </c>
      <c r="D245" s="1035">
        <v>463</v>
      </c>
      <c r="E245" s="1035" t="s">
        <v>3384</v>
      </c>
      <c r="F245" s="1035"/>
      <c r="G245" s="1035"/>
      <c r="H245" s="1035" t="str">
        <f t="shared" si="12"/>
        <v/>
      </c>
      <c r="I245" s="1035" t="str">
        <f t="shared" si="13"/>
        <v/>
      </c>
      <c r="J245" s="1114"/>
      <c r="K245" s="1314">
        <v>2422230</v>
      </c>
      <c r="L245" s="1073">
        <v>2623080</v>
      </c>
      <c r="M245" s="1074">
        <v>1.0829194585155</v>
      </c>
      <c r="N245" s="1315" t="str">
        <f t="shared" si="14"/>
        <v/>
      </c>
      <c r="O245" s="1325">
        <f t="shared" si="15"/>
        <v>1</v>
      </c>
      <c r="P245" s="1321">
        <v>2011</v>
      </c>
    </row>
    <row r="246" spans="1:16">
      <c r="A246" s="1034" t="s">
        <v>3386</v>
      </c>
      <c r="B246" s="826">
        <v>464</v>
      </c>
      <c r="C246" s="1035">
        <v>2</v>
      </c>
      <c r="D246" s="1035">
        <v>463</v>
      </c>
      <c r="E246" s="1035" t="s">
        <v>3384</v>
      </c>
      <c r="F246" s="1035" t="s">
        <v>3384</v>
      </c>
      <c r="G246" s="1035" t="s">
        <v>6204</v>
      </c>
      <c r="H246" s="1035" t="str">
        <f t="shared" si="12"/>
        <v>Vegetables fresh nesa</v>
      </c>
      <c r="I246" s="1035">
        <f t="shared" si="13"/>
        <v>463</v>
      </c>
      <c r="J246" s="1114">
        <v>0.25</v>
      </c>
      <c r="K246" s="1314">
        <v>38</v>
      </c>
      <c r="L246" s="1073">
        <v>16</v>
      </c>
      <c r="M246" s="1074">
        <v>2.375</v>
      </c>
      <c r="N246" s="1315">
        <f t="shared" si="14"/>
        <v>0.59375</v>
      </c>
      <c r="O246" s="1325">
        <f t="shared" si="15"/>
        <v>0.25</v>
      </c>
      <c r="P246" s="1321">
        <v>2001</v>
      </c>
    </row>
    <row r="247" spans="1:16">
      <c r="A247" s="1034" t="s">
        <v>1378</v>
      </c>
      <c r="B247" s="826">
        <v>466</v>
      </c>
      <c r="C247" s="1035">
        <v>2</v>
      </c>
      <c r="D247" s="1035">
        <v>463</v>
      </c>
      <c r="E247" s="1035" t="s">
        <v>3384</v>
      </c>
      <c r="F247" s="1035" t="s">
        <v>3384</v>
      </c>
      <c r="G247" s="1035" t="s">
        <v>6205</v>
      </c>
      <c r="H247" s="1035" t="str">
        <f t="shared" si="12"/>
        <v>Vegetables fresh nesb</v>
      </c>
      <c r="I247" s="1035">
        <f t="shared" si="13"/>
        <v>463</v>
      </c>
      <c r="J247" s="1114">
        <v>0.5</v>
      </c>
      <c r="K247" s="1314" t="s">
        <v>7565</v>
      </c>
      <c r="L247" s="1073" t="s">
        <v>7566</v>
      </c>
      <c r="M247" s="1074">
        <v>1.8472177157689811</v>
      </c>
      <c r="N247" s="1315">
        <f t="shared" si="14"/>
        <v>0.92360885788449054</v>
      </c>
      <c r="O247" s="1325">
        <f t="shared" si="15"/>
        <v>0.5</v>
      </c>
      <c r="P247" s="1321" t="s">
        <v>7739</v>
      </c>
    </row>
    <row r="248" spans="1:16">
      <c r="A248" s="1034" t="s">
        <v>3383</v>
      </c>
      <c r="B248" s="826">
        <v>469</v>
      </c>
      <c r="C248" s="1035">
        <v>2</v>
      </c>
      <c r="D248" s="1035">
        <v>463</v>
      </c>
      <c r="E248" s="1035" t="s">
        <v>3384</v>
      </c>
      <c r="F248" s="1035" t="s">
        <v>3384</v>
      </c>
      <c r="G248" s="1035" t="s">
        <v>6206</v>
      </c>
      <c r="H248" s="1035" t="str">
        <f t="shared" si="12"/>
        <v>Vegetables fresh nesc</v>
      </c>
      <c r="I248" s="1035">
        <f t="shared" si="13"/>
        <v>463</v>
      </c>
      <c r="J248" s="1114">
        <v>0.25</v>
      </c>
      <c r="K248" s="1314">
        <v>616725</v>
      </c>
      <c r="L248" s="1073">
        <v>1790500</v>
      </c>
      <c r="M248" s="1074">
        <v>2.9032388828083802</v>
      </c>
      <c r="N248" s="1315">
        <f t="shared" si="14"/>
        <v>0.72580972070209504</v>
      </c>
      <c r="O248" s="1325">
        <f t="shared" si="15"/>
        <v>0.25</v>
      </c>
      <c r="P248" s="1321">
        <v>2011</v>
      </c>
    </row>
    <row r="249" spans="1:16">
      <c r="A249" s="1034" t="s">
        <v>4683</v>
      </c>
      <c r="B249" s="826">
        <v>471</v>
      </c>
      <c r="C249" s="1035">
        <v>2</v>
      </c>
      <c r="D249" s="1035">
        <v>463</v>
      </c>
      <c r="E249" s="1035" t="s">
        <v>3384</v>
      </c>
      <c r="F249" s="1035" t="s">
        <v>3384</v>
      </c>
      <c r="G249" s="1035" t="s">
        <v>6207</v>
      </c>
      <c r="H249" s="1035" t="str">
        <f t="shared" si="12"/>
        <v>Vegetables fresh nesd</v>
      </c>
      <c r="I249" s="1035">
        <f t="shared" si="13"/>
        <v>463</v>
      </c>
      <c r="J249" s="1114">
        <v>1</v>
      </c>
      <c r="K249" s="1314">
        <v>1206760</v>
      </c>
      <c r="L249" s="1073">
        <v>1718710</v>
      </c>
      <c r="M249" s="1074">
        <v>1.42423514203321</v>
      </c>
      <c r="N249" s="1315">
        <f t="shared" si="14"/>
        <v>1.42423514203321</v>
      </c>
      <c r="O249" s="1325">
        <f t="shared" si="15"/>
        <v>1</v>
      </c>
      <c r="P249" s="1321">
        <v>2011</v>
      </c>
    </row>
    <row r="250" spans="1:16">
      <c r="A250" s="1034" t="s">
        <v>3385</v>
      </c>
      <c r="B250" s="826">
        <v>472</v>
      </c>
      <c r="C250" s="1035">
        <v>2</v>
      </c>
      <c r="D250" s="1035">
        <v>463</v>
      </c>
      <c r="E250" s="1035" t="s">
        <v>3384</v>
      </c>
      <c r="F250" s="1035" t="s">
        <v>3384</v>
      </c>
      <c r="G250" s="1035" t="s">
        <v>6208</v>
      </c>
      <c r="H250" s="1035" t="str">
        <f t="shared" si="12"/>
        <v>Vegetables fresh nese</v>
      </c>
      <c r="I250" s="1035">
        <f t="shared" si="13"/>
        <v>463</v>
      </c>
      <c r="J250" s="1114">
        <v>1</v>
      </c>
      <c r="K250" s="1314">
        <v>3749120</v>
      </c>
      <c r="L250" s="1073">
        <v>6347790</v>
      </c>
      <c r="M250" s="1074">
        <v>1.6931413238306601</v>
      </c>
      <c r="N250" s="1315">
        <f t="shared" si="14"/>
        <v>1.6931413238306601</v>
      </c>
      <c r="O250" s="1325">
        <f t="shared" si="15"/>
        <v>1</v>
      </c>
      <c r="P250" s="1321">
        <v>2011</v>
      </c>
    </row>
    <row r="251" spans="1:16">
      <c r="A251" s="1034" t="s">
        <v>4681</v>
      </c>
      <c r="B251" s="826">
        <v>473</v>
      </c>
      <c r="C251" s="1035">
        <v>2</v>
      </c>
      <c r="D251" s="1035">
        <v>463</v>
      </c>
      <c r="E251" s="1035" t="s">
        <v>3384</v>
      </c>
      <c r="F251" s="1035" t="s">
        <v>3384</v>
      </c>
      <c r="G251" s="1035" t="s">
        <v>6209</v>
      </c>
      <c r="H251" s="1035" t="str">
        <f t="shared" si="12"/>
        <v>Vegetables fresh nesf</v>
      </c>
      <c r="I251" s="1035">
        <f t="shared" si="13"/>
        <v>463</v>
      </c>
      <c r="J251" s="1114">
        <v>0.5</v>
      </c>
      <c r="K251" s="1314">
        <v>4420620</v>
      </c>
      <c r="L251" s="1073">
        <v>5383970</v>
      </c>
      <c r="M251" s="1074">
        <v>1.2179219204545999</v>
      </c>
      <c r="N251" s="1315">
        <f t="shared" si="14"/>
        <v>0.60896096022729995</v>
      </c>
      <c r="O251" s="1325">
        <f t="shared" si="15"/>
        <v>0.5</v>
      </c>
      <c r="P251" s="1321">
        <v>2011</v>
      </c>
    </row>
    <row r="252" spans="1:16">
      <c r="A252" s="1034" t="s">
        <v>4941</v>
      </c>
      <c r="B252" s="826">
        <v>474</v>
      </c>
      <c r="C252" s="1035">
        <v>2</v>
      </c>
      <c r="D252" s="1035">
        <v>463</v>
      </c>
      <c r="E252" s="1035" t="s">
        <v>3384</v>
      </c>
      <c r="F252" s="1035" t="s">
        <v>3384</v>
      </c>
      <c r="G252" s="1035" t="s">
        <v>6210</v>
      </c>
      <c r="H252" s="1035" t="str">
        <f t="shared" si="12"/>
        <v>Vegetables fresh nesg</v>
      </c>
      <c r="I252" s="1035">
        <f t="shared" si="13"/>
        <v>463</v>
      </c>
      <c r="J252" s="1114">
        <v>0.5</v>
      </c>
      <c r="K252" s="1314">
        <v>454663</v>
      </c>
      <c r="L252" s="1073">
        <v>540808</v>
      </c>
      <c r="M252" s="1074">
        <v>1.1894700030572101</v>
      </c>
      <c r="N252" s="1315">
        <f t="shared" si="14"/>
        <v>0.59473500152860503</v>
      </c>
      <c r="O252" s="1325">
        <f t="shared" si="15"/>
        <v>0.5</v>
      </c>
      <c r="P252" s="1321">
        <v>2011</v>
      </c>
    </row>
    <row r="253" spans="1:16">
      <c r="A253" s="1034" t="s">
        <v>4943</v>
      </c>
      <c r="B253" s="826">
        <v>475</v>
      </c>
      <c r="C253" s="1035">
        <v>2</v>
      </c>
      <c r="D253" s="1035">
        <v>463</v>
      </c>
      <c r="E253" s="1035" t="s">
        <v>3384</v>
      </c>
      <c r="F253" s="1035" t="s">
        <v>3384</v>
      </c>
      <c r="G253" s="1035" t="s">
        <v>6211</v>
      </c>
      <c r="H253" s="1035" t="str">
        <f t="shared" si="12"/>
        <v>Vegetables fresh nesh</v>
      </c>
      <c r="I253" s="1035">
        <f t="shared" si="13"/>
        <v>463</v>
      </c>
      <c r="J253" s="1114">
        <v>0.5</v>
      </c>
      <c r="K253" s="1314">
        <v>507845</v>
      </c>
      <c r="L253" s="1073">
        <v>986314</v>
      </c>
      <c r="M253" s="1074">
        <v>1.9421555789660201</v>
      </c>
      <c r="N253" s="1315">
        <f t="shared" si="14"/>
        <v>0.97107778948301005</v>
      </c>
      <c r="O253" s="1325">
        <f t="shared" si="15"/>
        <v>0.5</v>
      </c>
      <c r="P253" s="1321">
        <v>2011</v>
      </c>
    </row>
    <row r="254" spans="1:16">
      <c r="A254" s="1034" t="s">
        <v>3978</v>
      </c>
      <c r="B254" s="826">
        <v>476</v>
      </c>
      <c r="C254" s="1035">
        <v>2</v>
      </c>
      <c r="D254" s="1035">
        <v>463</v>
      </c>
      <c r="E254" s="1035" t="s">
        <v>3384</v>
      </c>
      <c r="F254" s="1035" t="s">
        <v>3384</v>
      </c>
      <c r="G254" s="1035" t="s">
        <v>6212</v>
      </c>
      <c r="H254" s="1035" t="str">
        <f t="shared" si="12"/>
        <v>Vegetables fresh nesi</v>
      </c>
      <c r="I254" s="1035">
        <f t="shared" si="13"/>
        <v>463</v>
      </c>
      <c r="J254" s="1114">
        <v>0.5</v>
      </c>
      <c r="K254" s="1314">
        <v>38083</v>
      </c>
      <c r="L254" s="1073">
        <v>100059</v>
      </c>
      <c r="M254" s="1074">
        <v>2.6273927999369802</v>
      </c>
      <c r="N254" s="1315">
        <f t="shared" si="14"/>
        <v>1.3136963999684901</v>
      </c>
      <c r="O254" s="1325">
        <f t="shared" si="15"/>
        <v>0.5</v>
      </c>
      <c r="P254" s="1321">
        <v>2011</v>
      </c>
    </row>
    <row r="255" spans="1:16">
      <c r="A255" s="1034" t="s">
        <v>626</v>
      </c>
      <c r="B255" s="826">
        <v>486</v>
      </c>
      <c r="C255" s="1035">
        <v>1</v>
      </c>
      <c r="D255" s="1035">
        <v>486</v>
      </c>
      <c r="E255" s="1035" t="s">
        <v>626</v>
      </c>
      <c r="F255" s="1035"/>
      <c r="G255" s="1035"/>
      <c r="H255" s="1035" t="str">
        <f t="shared" si="12"/>
        <v/>
      </c>
      <c r="I255" s="1035" t="str">
        <f t="shared" si="13"/>
        <v/>
      </c>
      <c r="J255" s="1114"/>
      <c r="K255" s="1314">
        <v>18918800</v>
      </c>
      <c r="L255" s="1073">
        <v>13068900</v>
      </c>
      <c r="M255" s="1074">
        <v>0.69078905638835397</v>
      </c>
      <c r="N255" s="1315" t="str">
        <f t="shared" si="14"/>
        <v/>
      </c>
      <c r="O255" s="1325">
        <f t="shared" si="15"/>
        <v>1</v>
      </c>
      <c r="P255" s="1321">
        <v>2011</v>
      </c>
    </row>
    <row r="256" spans="1:16">
      <c r="A256" s="1034" t="s">
        <v>5277</v>
      </c>
      <c r="B256" s="826">
        <v>489</v>
      </c>
      <c r="C256" s="1035">
        <v>1</v>
      </c>
      <c r="D256" s="1035">
        <v>489</v>
      </c>
      <c r="E256" s="1035" t="s">
        <v>5277</v>
      </c>
      <c r="F256" s="1035"/>
      <c r="G256" s="1035"/>
      <c r="H256" s="1035" t="str">
        <f t="shared" si="12"/>
        <v/>
      </c>
      <c r="I256" s="1035" t="str">
        <f t="shared" si="13"/>
        <v/>
      </c>
      <c r="J256" s="1114"/>
      <c r="K256" s="1314">
        <v>663479</v>
      </c>
      <c r="L256" s="1073">
        <v>415389</v>
      </c>
      <c r="M256" s="1074">
        <v>0.626077087594332</v>
      </c>
      <c r="N256" s="1315" t="str">
        <f t="shared" si="14"/>
        <v/>
      </c>
      <c r="O256" s="1325">
        <f t="shared" si="15"/>
        <v>1</v>
      </c>
      <c r="P256" s="1321">
        <v>2011</v>
      </c>
    </row>
    <row r="257" spans="1:16">
      <c r="A257" s="1034" t="s">
        <v>3226</v>
      </c>
      <c r="B257" s="826">
        <v>490</v>
      </c>
      <c r="C257" s="1035">
        <v>1</v>
      </c>
      <c r="D257" s="1035">
        <v>490</v>
      </c>
      <c r="E257" s="1035" t="s">
        <v>3226</v>
      </c>
      <c r="F257" s="1035"/>
      <c r="G257" s="1035"/>
      <c r="H257" s="1035" t="str">
        <f t="shared" si="12"/>
        <v/>
      </c>
      <c r="I257" s="1035" t="str">
        <f t="shared" si="13"/>
        <v/>
      </c>
      <c r="J257" s="1114"/>
      <c r="K257" s="1314">
        <v>6536510</v>
      </c>
      <c r="L257" s="1073">
        <v>5003630</v>
      </c>
      <c r="M257" s="1074">
        <v>0.76548953493530902</v>
      </c>
      <c r="N257" s="1315" t="str">
        <f t="shared" si="14"/>
        <v/>
      </c>
      <c r="O257" s="1325">
        <f t="shared" si="15"/>
        <v>1</v>
      </c>
      <c r="P257" s="1321">
        <v>2011</v>
      </c>
    </row>
    <row r="258" spans="1:16">
      <c r="A258" s="1034" t="s">
        <v>5178</v>
      </c>
      <c r="B258" s="826">
        <v>491</v>
      </c>
      <c r="C258" s="1035">
        <v>2</v>
      </c>
      <c r="D258" s="1035">
        <v>490</v>
      </c>
      <c r="E258" s="1035" t="s">
        <v>3226</v>
      </c>
      <c r="F258" s="1035" t="s">
        <v>3226</v>
      </c>
      <c r="G258" s="1035" t="s">
        <v>6204</v>
      </c>
      <c r="H258" s="1035" t="str">
        <f t="shared" si="12"/>
        <v>Orangesa</v>
      </c>
      <c r="I258" s="1035">
        <f t="shared" si="13"/>
        <v>490</v>
      </c>
      <c r="J258" s="1114">
        <v>0.55000000000000004</v>
      </c>
      <c r="K258" s="1314">
        <v>3379870</v>
      </c>
      <c r="L258" s="1073">
        <v>3811880</v>
      </c>
      <c r="M258" s="1074">
        <v>1.1278185255645901</v>
      </c>
      <c r="N258" s="1315">
        <f t="shared" si="14"/>
        <v>0.62030018906052453</v>
      </c>
      <c r="O258" s="1325">
        <f t="shared" si="15"/>
        <v>0.55000000000000004</v>
      </c>
      <c r="P258" s="1321">
        <v>2011</v>
      </c>
    </row>
    <row r="259" spans="1:16">
      <c r="A259" s="1034" t="s">
        <v>3164</v>
      </c>
      <c r="B259" s="826">
        <v>492</v>
      </c>
      <c r="C259" s="1035">
        <v>2</v>
      </c>
      <c r="D259" s="1035">
        <v>490</v>
      </c>
      <c r="E259" s="1035" t="s">
        <v>3226</v>
      </c>
      <c r="F259" s="1035" t="s">
        <v>3226</v>
      </c>
      <c r="G259" s="1035" t="s">
        <v>6205</v>
      </c>
      <c r="H259" s="1035" t="str">
        <f t="shared" si="12"/>
        <v>Orangesb</v>
      </c>
      <c r="I259" s="1035">
        <f t="shared" si="13"/>
        <v>490</v>
      </c>
      <c r="J259" s="1114">
        <v>0.1</v>
      </c>
      <c r="K259" s="1314">
        <v>1444440</v>
      </c>
      <c r="L259" s="1073">
        <v>2583750</v>
      </c>
      <c r="M259" s="1074">
        <v>1.78875550386309</v>
      </c>
      <c r="N259" s="1315">
        <f t="shared" si="14"/>
        <v>0.17887555038630901</v>
      </c>
      <c r="O259" s="1325">
        <f t="shared" si="15"/>
        <v>0.1</v>
      </c>
      <c r="P259" s="1321">
        <v>2011</v>
      </c>
    </row>
    <row r="260" spans="1:16">
      <c r="A260" s="1034" t="s">
        <v>3918</v>
      </c>
      <c r="B260" s="826">
        <v>495</v>
      </c>
      <c r="C260" s="1035">
        <v>1</v>
      </c>
      <c r="D260" s="1035">
        <v>495</v>
      </c>
      <c r="E260" s="1035" t="s">
        <v>3918</v>
      </c>
      <c r="F260" s="1035"/>
      <c r="G260" s="1035"/>
      <c r="H260" s="1035" t="str">
        <f t="shared" si="12"/>
        <v/>
      </c>
      <c r="I260" s="1035" t="str">
        <f t="shared" si="13"/>
        <v/>
      </c>
      <c r="J260" s="1114"/>
      <c r="K260" s="1314">
        <v>4186870</v>
      </c>
      <c r="L260" s="1073">
        <v>4251840</v>
      </c>
      <c r="M260" s="1074">
        <v>1.01551755846253</v>
      </c>
      <c r="N260" s="1315" t="str">
        <f t="shared" si="14"/>
        <v/>
      </c>
      <c r="O260" s="1325">
        <f t="shared" si="15"/>
        <v>1</v>
      </c>
      <c r="P260" s="1321">
        <v>2011</v>
      </c>
    </row>
    <row r="261" spans="1:16">
      <c r="A261" s="1034" t="s">
        <v>3380</v>
      </c>
      <c r="B261" s="826">
        <v>496</v>
      </c>
      <c r="C261" s="1035">
        <v>2</v>
      </c>
      <c r="D261" s="1035">
        <v>495</v>
      </c>
      <c r="E261" s="1035" t="s">
        <v>3918</v>
      </c>
      <c r="F261" s="1035" t="s">
        <v>3918</v>
      </c>
      <c r="G261" s="1035" t="s">
        <v>6204</v>
      </c>
      <c r="H261" s="1035" t="str">
        <f t="shared" si="12"/>
        <v>Tangerines, mandarins, clem.a</v>
      </c>
      <c r="I261" s="1035">
        <f t="shared" si="13"/>
        <v>495</v>
      </c>
      <c r="J261" s="1114">
        <v>0.45</v>
      </c>
      <c r="K261" s="1314" t="s">
        <v>7567</v>
      </c>
      <c r="L261" s="1073" t="s">
        <v>7568</v>
      </c>
      <c r="M261" s="1074">
        <v>0.7142857142857143</v>
      </c>
      <c r="N261" s="1315">
        <f t="shared" si="14"/>
        <v>0.32142857142857145</v>
      </c>
      <c r="O261" s="1325">
        <f t="shared" si="15"/>
        <v>0.45</v>
      </c>
      <c r="P261" s="1321" t="s">
        <v>7739</v>
      </c>
    </row>
    <row r="262" spans="1:16">
      <c r="A262" s="1034" t="s">
        <v>574</v>
      </c>
      <c r="B262" s="826">
        <v>497</v>
      </c>
      <c r="C262" s="1035">
        <v>1</v>
      </c>
      <c r="D262" s="1035">
        <v>497</v>
      </c>
      <c r="E262" s="1035" t="s">
        <v>574</v>
      </c>
      <c r="F262" s="1035"/>
      <c r="G262" s="1035"/>
      <c r="H262" s="1035" t="str">
        <f t="shared" si="12"/>
        <v/>
      </c>
      <c r="I262" s="1035" t="str">
        <f t="shared" si="13"/>
        <v/>
      </c>
      <c r="J262" s="1114"/>
      <c r="K262" s="1314">
        <v>2395700</v>
      </c>
      <c r="L262" s="1073">
        <v>2175010</v>
      </c>
      <c r="M262" s="1074">
        <v>0.90788078640898295</v>
      </c>
      <c r="N262" s="1315" t="str">
        <f t="shared" si="14"/>
        <v/>
      </c>
      <c r="O262" s="1325">
        <f t="shared" si="15"/>
        <v>1</v>
      </c>
      <c r="P262" s="1321">
        <v>2011</v>
      </c>
    </row>
    <row r="263" spans="1:16">
      <c r="A263" s="1034" t="s">
        <v>5156</v>
      </c>
      <c r="B263" s="826">
        <v>498</v>
      </c>
      <c r="C263" s="1035">
        <v>2</v>
      </c>
      <c r="D263" s="1035">
        <v>497</v>
      </c>
      <c r="E263" s="1035" t="s">
        <v>574</v>
      </c>
      <c r="F263" s="1035" t="s">
        <v>574</v>
      </c>
      <c r="G263" s="1035" t="s">
        <v>6204</v>
      </c>
      <c r="H263" s="1035" t="str">
        <f t="shared" si="12"/>
        <v>Lemons and limesa</v>
      </c>
      <c r="I263" s="1035">
        <f t="shared" si="13"/>
        <v>497</v>
      </c>
      <c r="J263" s="1114">
        <v>0.39</v>
      </c>
      <c r="K263" s="1314" t="s">
        <v>7569</v>
      </c>
      <c r="L263" s="1073" t="s">
        <v>7570</v>
      </c>
      <c r="M263" s="1074">
        <v>0.87331443140027221</v>
      </c>
      <c r="N263" s="1315">
        <f t="shared" si="14"/>
        <v>0.3405926282461062</v>
      </c>
      <c r="O263" s="1325">
        <f t="shared" si="15"/>
        <v>0.39</v>
      </c>
      <c r="P263" s="1321" t="s">
        <v>7739</v>
      </c>
    </row>
    <row r="264" spans="1:16">
      <c r="A264" s="1034" t="s">
        <v>818</v>
      </c>
      <c r="B264" s="826">
        <v>499</v>
      </c>
      <c r="C264" s="1035">
        <v>2</v>
      </c>
      <c r="D264" s="1035">
        <v>497</v>
      </c>
      <c r="E264" s="1035" t="s">
        <v>574</v>
      </c>
      <c r="F264" s="1035" t="s">
        <v>574</v>
      </c>
      <c r="G264" s="1035" t="s">
        <v>6205</v>
      </c>
      <c r="H264" s="1035" t="str">
        <f t="shared" ref="H264:H327" si="16">F264&amp;G264</f>
        <v>Lemons and limesb</v>
      </c>
      <c r="I264" s="1035">
        <f t="shared" ref="I264:I327" si="17">IFERROR(VLOOKUP(F264,$A$7:$B$590,2,FALSE),"")</f>
        <v>497</v>
      </c>
      <c r="J264" s="1114">
        <v>0.12</v>
      </c>
      <c r="K264" s="1314">
        <v>88752</v>
      </c>
      <c r="L264" s="1073">
        <v>44276</v>
      </c>
      <c r="M264" s="1074">
        <v>0.49887326482783501</v>
      </c>
      <c r="N264" s="1315">
        <f t="shared" ref="N264:N327" si="18">IF(ISBLANK(J264),"",J264*M264)</f>
        <v>5.9864791779340197E-2</v>
      </c>
      <c r="O264" s="1325">
        <f t="shared" ref="O264:O327" si="19">IF(ISBLANK(F264),1,J264/(N264/SUMIF(H$7:H$601,H264,N$7:N$601))*VLOOKUP(F264,A$7:O$601,15,FALSE))</f>
        <v>0.12</v>
      </c>
      <c r="P264" s="1321">
        <v>2011</v>
      </c>
    </row>
    <row r="265" spans="1:16">
      <c r="A265" s="1034" t="s">
        <v>4934</v>
      </c>
      <c r="B265" s="826">
        <v>507</v>
      </c>
      <c r="C265" s="1035">
        <v>1</v>
      </c>
      <c r="D265" s="1035">
        <v>507</v>
      </c>
      <c r="E265" s="1035" t="s">
        <v>4934</v>
      </c>
      <c r="F265" s="1035"/>
      <c r="G265" s="1035"/>
      <c r="H265" s="1035" t="str">
        <f t="shared" si="16"/>
        <v/>
      </c>
      <c r="I265" s="1035" t="str">
        <f t="shared" si="17"/>
        <v/>
      </c>
      <c r="J265" s="1114"/>
      <c r="K265" s="1314">
        <v>1075770</v>
      </c>
      <c r="L265" s="1073">
        <v>1023790</v>
      </c>
      <c r="M265" s="1074">
        <v>0.95168112142930195</v>
      </c>
      <c r="N265" s="1315" t="str">
        <f t="shared" si="18"/>
        <v/>
      </c>
      <c r="O265" s="1325">
        <f t="shared" si="19"/>
        <v>1</v>
      </c>
      <c r="P265" s="1321">
        <v>2011</v>
      </c>
    </row>
    <row r="266" spans="1:16">
      <c r="A266" s="1034" t="s">
        <v>2788</v>
      </c>
      <c r="B266" s="826">
        <v>509</v>
      </c>
      <c r="C266" s="1035">
        <v>2</v>
      </c>
      <c r="D266" s="1035">
        <v>507</v>
      </c>
      <c r="E266" s="1035" t="s">
        <v>4934</v>
      </c>
      <c r="F266" s="1035" t="s">
        <v>4934</v>
      </c>
      <c r="G266" s="1035" t="s">
        <v>6204</v>
      </c>
      <c r="H266" s="1035" t="str">
        <f t="shared" si="16"/>
        <v>Grapefruit (inc. pomelos)a</v>
      </c>
      <c r="I266" s="1035">
        <f t="shared" si="17"/>
        <v>507</v>
      </c>
      <c r="J266" s="1114">
        <v>0.47</v>
      </c>
      <c r="K266" s="1314">
        <v>180167</v>
      </c>
      <c r="L266" s="1073">
        <v>152172</v>
      </c>
      <c r="M266" s="1074">
        <v>0.84461638368846703</v>
      </c>
      <c r="N266" s="1315">
        <f t="shared" si="18"/>
        <v>0.39696970033357948</v>
      </c>
      <c r="O266" s="1325">
        <f t="shared" si="19"/>
        <v>0.47</v>
      </c>
      <c r="P266" s="1321">
        <v>2011</v>
      </c>
    </row>
    <row r="267" spans="1:16">
      <c r="A267" s="1034" t="s">
        <v>814</v>
      </c>
      <c r="B267" s="826">
        <v>510</v>
      </c>
      <c r="C267" s="1035">
        <v>2</v>
      </c>
      <c r="D267" s="1035">
        <v>507</v>
      </c>
      <c r="E267" s="1035" t="s">
        <v>4934</v>
      </c>
      <c r="F267" s="1035" t="s">
        <v>4934</v>
      </c>
      <c r="G267" s="1035" t="s">
        <v>6205</v>
      </c>
      <c r="H267" s="1035" t="str">
        <f t="shared" si="16"/>
        <v>Grapefruit (inc. pomelos)b</v>
      </c>
      <c r="I267" s="1035">
        <f t="shared" si="17"/>
        <v>507</v>
      </c>
      <c r="J267" s="1114">
        <v>0.14000000000000001</v>
      </c>
      <c r="K267" s="1314">
        <v>147084</v>
      </c>
      <c r="L267" s="1073">
        <v>251934</v>
      </c>
      <c r="M267" s="1074">
        <v>1.7128579587174699</v>
      </c>
      <c r="N267" s="1315">
        <f t="shared" si="18"/>
        <v>0.23980011422044581</v>
      </c>
      <c r="O267" s="1325">
        <f t="shared" si="19"/>
        <v>0.14000000000000001</v>
      </c>
      <c r="P267" s="1321">
        <v>2011</v>
      </c>
    </row>
    <row r="268" spans="1:16">
      <c r="A268" s="1034" t="s">
        <v>1942</v>
      </c>
      <c r="B268" s="826">
        <v>512</v>
      </c>
      <c r="C268" s="1035">
        <v>1</v>
      </c>
      <c r="D268" s="1035">
        <v>512</v>
      </c>
      <c r="E268" s="1035" t="s">
        <v>1942</v>
      </c>
      <c r="F268" s="1035"/>
      <c r="G268" s="1035"/>
      <c r="H268" s="1035" t="str">
        <f t="shared" si="16"/>
        <v/>
      </c>
      <c r="I268" s="1035" t="str">
        <f t="shared" si="17"/>
        <v/>
      </c>
      <c r="J268" s="1114"/>
      <c r="K268" s="1314" t="s">
        <v>7571</v>
      </c>
      <c r="L268" s="1073" t="s">
        <v>7572</v>
      </c>
      <c r="M268" s="1074">
        <v>0.98711541019744964</v>
      </c>
      <c r="N268" s="1315" t="str">
        <f t="shared" si="18"/>
        <v/>
      </c>
      <c r="O268" s="1325">
        <f t="shared" si="19"/>
        <v>1</v>
      </c>
      <c r="P268" s="1321" t="s">
        <v>7739</v>
      </c>
    </row>
    <row r="269" spans="1:16">
      <c r="A269" s="1034" t="s">
        <v>584</v>
      </c>
      <c r="B269" s="826">
        <v>513</v>
      </c>
      <c r="C269" s="1035">
        <v>2</v>
      </c>
      <c r="D269" s="1035">
        <v>512</v>
      </c>
      <c r="E269" s="1035" t="s">
        <v>1942</v>
      </c>
      <c r="F269" s="1035" t="s">
        <v>1942</v>
      </c>
      <c r="G269" s="1035" t="s">
        <v>6204</v>
      </c>
      <c r="H269" s="1035" t="str">
        <f t="shared" si="16"/>
        <v>Citrus fruit, nesa</v>
      </c>
      <c r="I269" s="1035">
        <f t="shared" si="17"/>
        <v>512</v>
      </c>
      <c r="J269" s="1114">
        <v>0.39</v>
      </c>
      <c r="K269" s="1314">
        <v>126720</v>
      </c>
      <c r="L269" s="1073">
        <v>163990</v>
      </c>
      <c r="M269" s="1074">
        <v>1.2941130050505001</v>
      </c>
      <c r="N269" s="1315">
        <f t="shared" si="18"/>
        <v>0.50470407196969502</v>
      </c>
      <c r="O269" s="1325">
        <f t="shared" si="19"/>
        <v>0.39</v>
      </c>
      <c r="P269" s="1321">
        <v>2011</v>
      </c>
    </row>
    <row r="270" spans="1:16">
      <c r="A270" s="1034" t="s">
        <v>1943</v>
      </c>
      <c r="B270" s="826">
        <v>514</v>
      </c>
      <c r="C270" s="1035">
        <v>2</v>
      </c>
      <c r="D270" s="1035">
        <v>512</v>
      </c>
      <c r="E270" s="1035" t="s">
        <v>1942</v>
      </c>
      <c r="F270" s="1035" t="s">
        <v>1942</v>
      </c>
      <c r="G270" s="1035" t="s">
        <v>6205</v>
      </c>
      <c r="H270" s="1035" t="str">
        <f t="shared" si="16"/>
        <v>Citrus fruit, nesb</v>
      </c>
      <c r="I270" s="1035">
        <f t="shared" si="17"/>
        <v>512</v>
      </c>
      <c r="J270" s="1114">
        <v>0.12</v>
      </c>
      <c r="K270" s="1314">
        <v>137681</v>
      </c>
      <c r="L270" s="1073">
        <v>409738</v>
      </c>
      <c r="M270" s="1074">
        <v>2.9759952353629</v>
      </c>
      <c r="N270" s="1315">
        <f t="shared" si="18"/>
        <v>0.35711942824354798</v>
      </c>
      <c r="O270" s="1325">
        <f t="shared" si="19"/>
        <v>0.12</v>
      </c>
      <c r="P270" s="1321">
        <v>2011</v>
      </c>
    </row>
    <row r="271" spans="1:16">
      <c r="A271" s="1034" t="s">
        <v>786</v>
      </c>
      <c r="B271" s="826">
        <v>515</v>
      </c>
      <c r="C271" s="1035">
        <v>1</v>
      </c>
      <c r="D271" s="1035">
        <v>515</v>
      </c>
      <c r="E271" s="1035" t="s">
        <v>786</v>
      </c>
      <c r="F271" s="1035"/>
      <c r="G271" s="1035"/>
      <c r="H271" s="1035" t="str">
        <f t="shared" si="16"/>
        <v/>
      </c>
      <c r="I271" s="1035" t="str">
        <f t="shared" si="17"/>
        <v/>
      </c>
      <c r="J271" s="1114"/>
      <c r="K271" s="1314">
        <v>8057890</v>
      </c>
      <c r="L271" s="1073">
        <v>7138440</v>
      </c>
      <c r="M271" s="1074">
        <v>0.88589444631286896</v>
      </c>
      <c r="N271" s="1315" t="str">
        <f t="shared" si="18"/>
        <v/>
      </c>
      <c r="O271" s="1325">
        <f t="shared" si="19"/>
        <v>1</v>
      </c>
      <c r="P271" s="1321">
        <v>2011</v>
      </c>
    </row>
    <row r="272" spans="1:16">
      <c r="A272" s="1034" t="s">
        <v>1941</v>
      </c>
      <c r="B272" s="826">
        <v>517</v>
      </c>
      <c r="C272" s="1035">
        <v>2</v>
      </c>
      <c r="D272" s="1035">
        <v>515</v>
      </c>
      <c r="E272" s="1035" t="s">
        <v>786</v>
      </c>
      <c r="F272" s="1035" t="s">
        <v>786</v>
      </c>
      <c r="G272" s="1035" t="s">
        <v>6204</v>
      </c>
      <c r="H272" s="1035" t="str">
        <f t="shared" si="16"/>
        <v>Applesa</v>
      </c>
      <c r="I272" s="1035">
        <f t="shared" si="17"/>
        <v>515</v>
      </c>
      <c r="J272" s="1114">
        <v>0.22</v>
      </c>
      <c r="K272" s="1314">
        <v>838318</v>
      </c>
      <c r="L272" s="1073">
        <v>1283180</v>
      </c>
      <c r="M272" s="1074">
        <v>1.5306602029301499</v>
      </c>
      <c r="N272" s="1315">
        <f t="shared" si="18"/>
        <v>0.33674524464463301</v>
      </c>
      <c r="O272" s="1325">
        <f t="shared" si="19"/>
        <v>0.22</v>
      </c>
      <c r="P272" s="1321">
        <v>2011</v>
      </c>
    </row>
    <row r="273" spans="1:16">
      <c r="A273" s="1034" t="s">
        <v>3388</v>
      </c>
      <c r="B273" s="826">
        <v>518</v>
      </c>
      <c r="C273" s="1035">
        <v>2</v>
      </c>
      <c r="D273" s="1035">
        <v>515</v>
      </c>
      <c r="E273" s="1035" t="s">
        <v>786</v>
      </c>
      <c r="F273" s="1035" t="s">
        <v>786</v>
      </c>
      <c r="G273" s="1035" t="s">
        <v>6205</v>
      </c>
      <c r="H273" s="1035" t="str">
        <f t="shared" si="16"/>
        <v>Applesb</v>
      </c>
      <c r="I273" s="1035">
        <f t="shared" si="17"/>
        <v>515</v>
      </c>
      <c r="J273" s="1114">
        <v>0.65</v>
      </c>
      <c r="K273" s="1314" t="s">
        <v>7573</v>
      </c>
      <c r="L273" s="1073" t="s">
        <v>7574</v>
      </c>
      <c r="M273" s="1074">
        <v>1.360270305256152</v>
      </c>
      <c r="N273" s="1315">
        <f t="shared" si="18"/>
        <v>0.88417569841649879</v>
      </c>
      <c r="O273" s="1325">
        <f t="shared" si="19"/>
        <v>0.65</v>
      </c>
      <c r="P273" s="1321" t="s">
        <v>7739</v>
      </c>
    </row>
    <row r="274" spans="1:16">
      <c r="A274" s="1034" t="s">
        <v>3387</v>
      </c>
      <c r="B274" s="826">
        <v>519</v>
      </c>
      <c r="C274" s="1035">
        <v>2</v>
      </c>
      <c r="D274" s="1035">
        <v>515</v>
      </c>
      <c r="E274" s="1035" t="s">
        <v>786</v>
      </c>
      <c r="F274" s="1035" t="s">
        <v>786</v>
      </c>
      <c r="G274" s="1035" t="s">
        <v>6206</v>
      </c>
      <c r="H274" s="1035" t="str">
        <f t="shared" si="16"/>
        <v>Applesc</v>
      </c>
      <c r="I274" s="1035">
        <f t="shared" si="17"/>
        <v>515</v>
      </c>
      <c r="J274" s="1114">
        <v>0.22</v>
      </c>
      <c r="K274" s="1314" t="s">
        <v>7575</v>
      </c>
      <c r="L274" s="1073" t="s">
        <v>7576</v>
      </c>
      <c r="M274" s="1074">
        <v>1.6474741347747444</v>
      </c>
      <c r="N274" s="1315">
        <f t="shared" si="18"/>
        <v>0.36244430965044377</v>
      </c>
      <c r="O274" s="1325">
        <f t="shared" si="19"/>
        <v>0.22</v>
      </c>
      <c r="P274" s="1321" t="s">
        <v>7739</v>
      </c>
    </row>
    <row r="275" spans="1:16">
      <c r="A275" s="1034" t="s">
        <v>2623</v>
      </c>
      <c r="B275" s="826">
        <v>521</v>
      </c>
      <c r="C275" s="1035">
        <v>1</v>
      </c>
      <c r="D275" s="1035">
        <v>521</v>
      </c>
      <c r="E275" s="1035" t="s">
        <v>2623</v>
      </c>
      <c r="F275" s="1035"/>
      <c r="G275" s="1035"/>
      <c r="H275" s="1035" t="str">
        <f t="shared" si="16"/>
        <v/>
      </c>
      <c r="I275" s="1035" t="str">
        <f t="shared" si="17"/>
        <v/>
      </c>
      <c r="J275" s="1114"/>
      <c r="K275" s="1314">
        <v>2667840</v>
      </c>
      <c r="L275" s="1073">
        <v>2766380</v>
      </c>
      <c r="M275" s="1074">
        <v>1.0369362480508599</v>
      </c>
      <c r="N275" s="1315" t="str">
        <f t="shared" si="18"/>
        <v/>
      </c>
      <c r="O275" s="1325">
        <f t="shared" si="19"/>
        <v>1</v>
      </c>
      <c r="P275" s="1321">
        <v>2011</v>
      </c>
    </row>
    <row r="276" spans="1:16">
      <c r="A276" s="1034" t="s">
        <v>485</v>
      </c>
      <c r="B276" s="826">
        <v>523</v>
      </c>
      <c r="C276" s="1035">
        <v>1</v>
      </c>
      <c r="D276" s="1035">
        <v>523</v>
      </c>
      <c r="E276" s="1035" t="s">
        <v>485</v>
      </c>
      <c r="F276" s="1035"/>
      <c r="G276" s="1035"/>
      <c r="H276" s="1035" t="str">
        <f t="shared" si="16"/>
        <v/>
      </c>
      <c r="I276" s="1035" t="str">
        <f t="shared" si="17"/>
        <v/>
      </c>
      <c r="J276" s="1114"/>
      <c r="K276" s="1314">
        <v>16556</v>
      </c>
      <c r="L276" s="1073">
        <v>16405</v>
      </c>
      <c r="M276" s="1074">
        <v>0.99087943947813495</v>
      </c>
      <c r="N276" s="1315" t="str">
        <f t="shared" si="18"/>
        <v/>
      </c>
      <c r="O276" s="1325">
        <f t="shared" si="19"/>
        <v>1</v>
      </c>
      <c r="P276" s="1321">
        <v>2011</v>
      </c>
    </row>
    <row r="277" spans="1:16">
      <c r="A277" s="1034" t="s">
        <v>2956</v>
      </c>
      <c r="B277" s="826">
        <v>526</v>
      </c>
      <c r="C277" s="1035">
        <v>1</v>
      </c>
      <c r="D277" s="1035">
        <v>526</v>
      </c>
      <c r="E277" s="1035" t="s">
        <v>2956</v>
      </c>
      <c r="F277" s="1035"/>
      <c r="G277" s="1035"/>
      <c r="H277" s="1035" t="str">
        <f t="shared" si="16"/>
        <v/>
      </c>
      <c r="I277" s="1035" t="str">
        <f t="shared" si="17"/>
        <v/>
      </c>
      <c r="J277" s="1114"/>
      <c r="K277" s="1314">
        <v>259801</v>
      </c>
      <c r="L277" s="1073">
        <v>422372</v>
      </c>
      <c r="M277" s="1074">
        <v>1.62575201789062</v>
      </c>
      <c r="N277" s="1315" t="str">
        <f t="shared" si="18"/>
        <v/>
      </c>
      <c r="O277" s="1325">
        <f t="shared" si="19"/>
        <v>1</v>
      </c>
      <c r="P277" s="1321">
        <v>2011</v>
      </c>
    </row>
    <row r="278" spans="1:16">
      <c r="A278" s="1034" t="s">
        <v>3198</v>
      </c>
      <c r="B278" s="826">
        <v>527</v>
      </c>
      <c r="C278" s="1035">
        <v>2</v>
      </c>
      <c r="D278" s="1035">
        <v>526</v>
      </c>
      <c r="E278" s="1035" t="s">
        <v>2956</v>
      </c>
      <c r="F278" s="1035" t="s">
        <v>2956</v>
      </c>
      <c r="G278" s="1035" t="s">
        <v>6204</v>
      </c>
      <c r="H278" s="1035" t="str">
        <f t="shared" si="16"/>
        <v>Apricotsa</v>
      </c>
      <c r="I278" s="1035">
        <f t="shared" si="17"/>
        <v>526</v>
      </c>
      <c r="J278" s="1114">
        <v>0.28999999999999998</v>
      </c>
      <c r="K278" s="1314">
        <v>136495</v>
      </c>
      <c r="L278" s="1073">
        <v>465524</v>
      </c>
      <c r="M278" s="1074">
        <v>3.4105571632660499</v>
      </c>
      <c r="N278" s="1315">
        <f t="shared" si="18"/>
        <v>0.98906157734715439</v>
      </c>
      <c r="O278" s="1325">
        <f t="shared" si="19"/>
        <v>0.28999999999999998</v>
      </c>
      <c r="P278" s="1321">
        <v>2011</v>
      </c>
    </row>
    <row r="279" spans="1:16">
      <c r="A279" s="1034" t="s">
        <v>4043</v>
      </c>
      <c r="B279" s="826">
        <v>530</v>
      </c>
      <c r="C279" s="1035">
        <v>1</v>
      </c>
      <c r="D279" s="1035">
        <v>530</v>
      </c>
      <c r="E279" s="1035" t="s">
        <v>4043</v>
      </c>
      <c r="F279" s="1035"/>
      <c r="G279" s="1035"/>
      <c r="H279" s="1035" t="str">
        <f t="shared" si="16"/>
        <v/>
      </c>
      <c r="I279" s="1035" t="str">
        <f t="shared" si="17"/>
        <v/>
      </c>
      <c r="J279" s="1114"/>
      <c r="K279" s="1314">
        <v>42802</v>
      </c>
      <c r="L279" s="1073">
        <v>61976</v>
      </c>
      <c r="M279" s="1074">
        <v>1.44796972104107</v>
      </c>
      <c r="N279" s="1315" t="str">
        <f t="shared" si="18"/>
        <v/>
      </c>
      <c r="O279" s="1325">
        <f t="shared" si="19"/>
        <v>1</v>
      </c>
      <c r="P279" s="1321">
        <v>2011</v>
      </c>
    </row>
    <row r="280" spans="1:16">
      <c r="A280" s="1034" t="s">
        <v>3882</v>
      </c>
      <c r="B280" s="826">
        <v>531</v>
      </c>
      <c r="C280" s="1035">
        <v>1</v>
      </c>
      <c r="D280" s="1035">
        <v>531</v>
      </c>
      <c r="E280" s="1035" t="s">
        <v>3882</v>
      </c>
      <c r="F280" s="1035"/>
      <c r="G280" s="1035"/>
      <c r="H280" s="1035" t="str">
        <f t="shared" si="16"/>
        <v/>
      </c>
      <c r="I280" s="1035" t="str">
        <f t="shared" si="17"/>
        <v/>
      </c>
      <c r="J280" s="1114"/>
      <c r="K280" s="1314">
        <v>370811</v>
      </c>
      <c r="L280" s="1073">
        <v>1555870</v>
      </c>
      <c r="M280" s="1074">
        <v>4.1958571887026004</v>
      </c>
      <c r="N280" s="1315" t="str">
        <f t="shared" si="18"/>
        <v/>
      </c>
      <c r="O280" s="1325">
        <f t="shared" si="19"/>
        <v>1</v>
      </c>
      <c r="P280" s="1321">
        <v>2011</v>
      </c>
    </row>
    <row r="281" spans="1:16">
      <c r="A281" s="1034" t="s">
        <v>4466</v>
      </c>
      <c r="B281" s="826">
        <v>534</v>
      </c>
      <c r="C281" s="1035">
        <v>1</v>
      </c>
      <c r="D281" s="1035">
        <v>534</v>
      </c>
      <c r="E281" s="1035" t="s">
        <v>4466</v>
      </c>
      <c r="F281" s="1035"/>
      <c r="G281" s="1035"/>
      <c r="H281" s="1035" t="str">
        <f t="shared" si="16"/>
        <v/>
      </c>
      <c r="I281" s="1035" t="str">
        <f t="shared" si="17"/>
        <v/>
      </c>
      <c r="J281" s="1114"/>
      <c r="K281" s="1314">
        <v>1695500</v>
      </c>
      <c r="L281" s="1073">
        <v>2195550</v>
      </c>
      <c r="M281" s="1074">
        <v>1.2949277499262799</v>
      </c>
      <c r="N281" s="1315" t="str">
        <f t="shared" si="18"/>
        <v/>
      </c>
      <c r="O281" s="1325">
        <f t="shared" si="19"/>
        <v>1</v>
      </c>
      <c r="P281" s="1321">
        <v>2011</v>
      </c>
    </row>
    <row r="282" spans="1:16">
      <c r="A282" s="1034" t="s">
        <v>3820</v>
      </c>
      <c r="B282" s="826">
        <v>536</v>
      </c>
      <c r="C282" s="1035">
        <v>1</v>
      </c>
      <c r="D282" s="1035">
        <v>536</v>
      </c>
      <c r="E282" s="1035" t="s">
        <v>3820</v>
      </c>
      <c r="F282" s="1035"/>
      <c r="G282" s="1035"/>
      <c r="H282" s="1035" t="str">
        <f t="shared" si="16"/>
        <v/>
      </c>
      <c r="I282" s="1035" t="str">
        <f t="shared" si="17"/>
        <v/>
      </c>
      <c r="J282" s="1114"/>
      <c r="K282" s="1314">
        <v>618643</v>
      </c>
      <c r="L282" s="1073">
        <v>890978</v>
      </c>
      <c r="M282" s="1074">
        <v>1.4402134995465901</v>
      </c>
      <c r="N282" s="1315" t="str">
        <f t="shared" si="18"/>
        <v/>
      </c>
      <c r="O282" s="1325">
        <f t="shared" si="19"/>
        <v>1</v>
      </c>
      <c r="P282" s="1321">
        <v>2011</v>
      </c>
    </row>
    <row r="283" spans="1:16">
      <c r="A283" s="1034" t="s">
        <v>3814</v>
      </c>
      <c r="B283" s="826">
        <v>537</v>
      </c>
      <c r="C283" s="1035">
        <v>2</v>
      </c>
      <c r="D283" s="1035">
        <v>536</v>
      </c>
      <c r="E283" s="1035" t="s">
        <v>3820</v>
      </c>
      <c r="F283" s="1035" t="s">
        <v>3820</v>
      </c>
      <c r="G283" s="1035" t="s">
        <v>6204</v>
      </c>
      <c r="H283" s="1035" t="str">
        <f t="shared" si="16"/>
        <v>Plums and sloesa</v>
      </c>
      <c r="I283" s="1035">
        <f t="shared" si="17"/>
        <v>536</v>
      </c>
      <c r="J283" s="1114">
        <v>0.35</v>
      </c>
      <c r="K283" s="1314">
        <v>203399</v>
      </c>
      <c r="L283" s="1073">
        <v>450683</v>
      </c>
      <c r="M283" s="1074">
        <v>2.2157581895682901</v>
      </c>
      <c r="N283" s="1315">
        <f t="shared" si="18"/>
        <v>0.7755153663489015</v>
      </c>
      <c r="O283" s="1325">
        <f t="shared" si="19"/>
        <v>0.35</v>
      </c>
      <c r="P283" s="1321">
        <v>2011</v>
      </c>
    </row>
    <row r="284" spans="1:16">
      <c r="A284" s="1034" t="s">
        <v>5181</v>
      </c>
      <c r="B284" s="826">
        <v>538</v>
      </c>
      <c r="C284" s="1035">
        <v>2</v>
      </c>
      <c r="D284" s="1035">
        <v>536</v>
      </c>
      <c r="E284" s="1035" t="s">
        <v>3820</v>
      </c>
      <c r="F284" s="1035" t="s">
        <v>3820</v>
      </c>
      <c r="G284" s="1035" t="s">
        <v>6205</v>
      </c>
      <c r="H284" s="1035" t="str">
        <f t="shared" si="16"/>
        <v>Plums and sloesb</v>
      </c>
      <c r="I284" s="1035">
        <f t="shared" si="17"/>
        <v>536</v>
      </c>
      <c r="J284" s="1114">
        <v>0.2</v>
      </c>
      <c r="K284" s="1314">
        <v>8</v>
      </c>
      <c r="L284" s="1073">
        <v>6</v>
      </c>
      <c r="M284" s="1074">
        <v>1.3333333333333299</v>
      </c>
      <c r="N284" s="1315">
        <f t="shared" si="18"/>
        <v>0.266666666666666</v>
      </c>
      <c r="O284" s="1325">
        <f t="shared" si="19"/>
        <v>0.2</v>
      </c>
      <c r="P284" s="1321">
        <v>1985</v>
      </c>
    </row>
    <row r="285" spans="1:16">
      <c r="A285" s="1034" t="s">
        <v>5180</v>
      </c>
      <c r="B285" s="826">
        <v>539</v>
      </c>
      <c r="C285" s="1035">
        <v>2</v>
      </c>
      <c r="D285" s="1035">
        <v>536</v>
      </c>
      <c r="E285" s="1035" t="s">
        <v>3820</v>
      </c>
      <c r="F285" s="1035" t="s">
        <v>3820</v>
      </c>
      <c r="G285" s="1035" t="s">
        <v>6206</v>
      </c>
      <c r="H285" s="1035" t="str">
        <f t="shared" si="16"/>
        <v>Plums and sloesc</v>
      </c>
      <c r="I285" s="1035">
        <f t="shared" si="17"/>
        <v>536</v>
      </c>
      <c r="J285" s="1114">
        <v>0.1</v>
      </c>
      <c r="K285" s="1314">
        <v>12</v>
      </c>
      <c r="L285" s="1073">
        <v>7</v>
      </c>
      <c r="M285" s="1074">
        <v>1.71428571428571</v>
      </c>
      <c r="N285" s="1315">
        <f t="shared" si="18"/>
        <v>0.17142857142857101</v>
      </c>
      <c r="O285" s="1325">
        <f t="shared" si="19"/>
        <v>0.1</v>
      </c>
      <c r="P285" s="1321">
        <v>1982</v>
      </c>
    </row>
    <row r="286" spans="1:16">
      <c r="A286" s="1034" t="s">
        <v>678</v>
      </c>
      <c r="B286" s="826">
        <v>541</v>
      </c>
      <c r="C286" s="1035">
        <v>1</v>
      </c>
      <c r="D286" s="1035">
        <v>541</v>
      </c>
      <c r="E286" s="1035" t="s">
        <v>678</v>
      </c>
      <c r="F286" s="1035"/>
      <c r="G286" s="1035"/>
      <c r="H286" s="1035" t="str">
        <f t="shared" si="16"/>
        <v/>
      </c>
      <c r="I286" s="1035" t="str">
        <f t="shared" si="17"/>
        <v/>
      </c>
      <c r="J286" s="1114"/>
      <c r="K286" s="1314" t="s">
        <v>7577</v>
      </c>
      <c r="L286" s="1073" t="s">
        <v>7578</v>
      </c>
      <c r="M286" s="1074">
        <v>1.0444203683640303</v>
      </c>
      <c r="N286" s="1315" t="str">
        <f t="shared" si="18"/>
        <v/>
      </c>
      <c r="O286" s="1325">
        <f t="shared" si="19"/>
        <v>1</v>
      </c>
      <c r="P286" s="1321" t="s">
        <v>7739</v>
      </c>
    </row>
    <row r="287" spans="1:16">
      <c r="A287" s="1034" t="s">
        <v>7090</v>
      </c>
      <c r="B287" s="1035">
        <v>542</v>
      </c>
      <c r="C287" s="1035">
        <v>1</v>
      </c>
      <c r="D287" s="1035">
        <v>542</v>
      </c>
      <c r="E287" s="1035" t="s">
        <v>7090</v>
      </c>
      <c r="F287" s="1035"/>
      <c r="G287" s="1035"/>
      <c r="H287" s="1035" t="str">
        <f t="shared" si="16"/>
        <v/>
      </c>
      <c r="I287" s="1035" t="str">
        <f t="shared" si="17"/>
        <v/>
      </c>
      <c r="J287" s="1114"/>
      <c r="K287" s="1314" t="s">
        <v>7512</v>
      </c>
      <c r="L287" s="1073" t="s">
        <v>7512</v>
      </c>
      <c r="M287" s="1074">
        <v>0</v>
      </c>
      <c r="N287" s="1315" t="str">
        <f t="shared" si="18"/>
        <v/>
      </c>
      <c r="O287" s="1325">
        <f t="shared" si="19"/>
        <v>1</v>
      </c>
      <c r="P287" s="1321" t="s">
        <v>7739</v>
      </c>
    </row>
    <row r="288" spans="1:16">
      <c r="A288" s="1034" t="s">
        <v>525</v>
      </c>
      <c r="B288" s="826">
        <v>544</v>
      </c>
      <c r="C288" s="1035">
        <v>1</v>
      </c>
      <c r="D288" s="1035">
        <v>544</v>
      </c>
      <c r="E288" s="1035" t="s">
        <v>525</v>
      </c>
      <c r="F288" s="1035"/>
      <c r="G288" s="1035"/>
      <c r="H288" s="1035" t="str">
        <f t="shared" si="16"/>
        <v/>
      </c>
      <c r="I288" s="1035" t="str">
        <f t="shared" si="17"/>
        <v/>
      </c>
      <c r="J288" s="1114"/>
      <c r="K288" s="1314">
        <v>772413</v>
      </c>
      <c r="L288" s="1073">
        <v>2267440</v>
      </c>
      <c r="M288" s="1074">
        <v>2.9355280141582298</v>
      </c>
      <c r="N288" s="1315" t="str">
        <f t="shared" si="18"/>
        <v/>
      </c>
      <c r="O288" s="1325">
        <f t="shared" si="19"/>
        <v>1</v>
      </c>
      <c r="P288" s="1321">
        <v>2011</v>
      </c>
    </row>
    <row r="289" spans="1:16">
      <c r="A289" s="1034" t="s">
        <v>3737</v>
      </c>
      <c r="B289" s="826">
        <v>547</v>
      </c>
      <c r="C289" s="1035">
        <v>1</v>
      </c>
      <c r="D289" s="1035">
        <v>547</v>
      </c>
      <c r="E289" s="1035" t="s">
        <v>3737</v>
      </c>
      <c r="F289" s="1035"/>
      <c r="G289" s="1035"/>
      <c r="H289" s="1035" t="str">
        <f t="shared" si="16"/>
        <v/>
      </c>
      <c r="I289" s="1035" t="str">
        <f t="shared" si="17"/>
        <v/>
      </c>
      <c r="J289" s="1114"/>
      <c r="K289" s="1314" t="s">
        <v>7579</v>
      </c>
      <c r="L289" s="1073" t="s">
        <v>7580</v>
      </c>
      <c r="M289" s="1074">
        <v>4.9725066642154614</v>
      </c>
      <c r="N289" s="1315" t="str">
        <f t="shared" si="18"/>
        <v/>
      </c>
      <c r="O289" s="1325">
        <f t="shared" si="19"/>
        <v>1</v>
      </c>
      <c r="P289" s="1321" t="s">
        <v>7739</v>
      </c>
    </row>
    <row r="290" spans="1:16">
      <c r="A290" s="1034" t="s">
        <v>5235</v>
      </c>
      <c r="B290" s="826">
        <v>549</v>
      </c>
      <c r="C290" s="1035">
        <v>1</v>
      </c>
      <c r="D290" s="1035">
        <v>549</v>
      </c>
      <c r="E290" s="1035" t="s">
        <v>5235</v>
      </c>
      <c r="F290" s="1035"/>
      <c r="G290" s="1035"/>
      <c r="H290" s="1035" t="str">
        <f t="shared" si="16"/>
        <v/>
      </c>
      <c r="I290" s="1035" t="str">
        <f t="shared" si="17"/>
        <v/>
      </c>
      <c r="J290" s="1114"/>
      <c r="K290" s="1314">
        <v>330</v>
      </c>
      <c r="L290" s="1073">
        <v>2573</v>
      </c>
      <c r="M290" s="1074">
        <v>7.7969696969697004</v>
      </c>
      <c r="N290" s="1315" t="str">
        <f t="shared" si="18"/>
        <v/>
      </c>
      <c r="O290" s="1325">
        <f t="shared" si="19"/>
        <v>1</v>
      </c>
      <c r="P290" s="1321">
        <v>2011</v>
      </c>
    </row>
    <row r="291" spans="1:16">
      <c r="A291" s="1034" t="s">
        <v>819</v>
      </c>
      <c r="B291" s="826">
        <v>550</v>
      </c>
      <c r="C291" s="1035">
        <v>1</v>
      </c>
      <c r="D291" s="1035">
        <v>550</v>
      </c>
      <c r="E291" s="1035" t="s">
        <v>819</v>
      </c>
      <c r="F291" s="1035"/>
      <c r="G291" s="1035"/>
      <c r="H291" s="1035" t="str">
        <f t="shared" si="16"/>
        <v/>
      </c>
      <c r="I291" s="1035" t="str">
        <f t="shared" si="17"/>
        <v/>
      </c>
      <c r="J291" s="1114"/>
      <c r="K291" s="1314">
        <v>21468</v>
      </c>
      <c r="L291" s="1073">
        <v>48934</v>
      </c>
      <c r="M291" s="1074">
        <v>2.2793925843115299</v>
      </c>
      <c r="N291" s="1315" t="str">
        <f t="shared" si="18"/>
        <v/>
      </c>
      <c r="O291" s="1325">
        <f t="shared" si="19"/>
        <v>1</v>
      </c>
      <c r="P291" s="1321">
        <v>2011</v>
      </c>
    </row>
    <row r="292" spans="1:16">
      <c r="A292" s="1034" t="s">
        <v>3392</v>
      </c>
      <c r="B292" s="826">
        <v>552</v>
      </c>
      <c r="C292" s="1035">
        <v>1</v>
      </c>
      <c r="D292" s="1035">
        <v>552</v>
      </c>
      <c r="E292" s="1035" t="s">
        <v>3392</v>
      </c>
      <c r="F292" s="1035"/>
      <c r="G292" s="1035"/>
      <c r="H292" s="1035" t="str">
        <f t="shared" si="16"/>
        <v/>
      </c>
      <c r="I292" s="1035" t="str">
        <f t="shared" si="17"/>
        <v/>
      </c>
      <c r="J292" s="1114"/>
      <c r="K292" s="1314">
        <v>131724</v>
      </c>
      <c r="L292" s="1073">
        <v>632312</v>
      </c>
      <c r="M292" s="1074">
        <v>4.8002793720202801</v>
      </c>
      <c r="N292" s="1315" t="str">
        <f t="shared" si="18"/>
        <v/>
      </c>
      <c r="O292" s="1325">
        <f t="shared" si="19"/>
        <v>1</v>
      </c>
      <c r="P292" s="1321">
        <v>2011</v>
      </c>
    </row>
    <row r="293" spans="1:16">
      <c r="A293" s="1034" t="s">
        <v>585</v>
      </c>
      <c r="B293" s="826">
        <v>554</v>
      </c>
      <c r="C293" s="1035">
        <v>1</v>
      </c>
      <c r="D293" s="1035">
        <v>554</v>
      </c>
      <c r="E293" s="1035" t="s">
        <v>585</v>
      </c>
      <c r="F293" s="1035"/>
      <c r="G293" s="1035"/>
      <c r="H293" s="1035" t="str">
        <f t="shared" si="16"/>
        <v/>
      </c>
      <c r="I293" s="1035" t="str">
        <f t="shared" si="17"/>
        <v/>
      </c>
      <c r="J293" s="1114"/>
      <c r="K293" s="1314">
        <v>97063</v>
      </c>
      <c r="L293" s="1073">
        <v>412255</v>
      </c>
      <c r="M293" s="1074">
        <v>4.2472929952711098</v>
      </c>
      <c r="N293" s="1315" t="str">
        <f t="shared" si="18"/>
        <v/>
      </c>
      <c r="O293" s="1325">
        <f t="shared" si="19"/>
        <v>1</v>
      </c>
      <c r="P293" s="1321">
        <v>2011</v>
      </c>
    </row>
    <row r="294" spans="1:16">
      <c r="A294" s="1034" t="s">
        <v>1419</v>
      </c>
      <c r="B294" s="826">
        <v>558</v>
      </c>
      <c r="C294" s="1035">
        <v>1</v>
      </c>
      <c r="D294" s="1035">
        <v>558</v>
      </c>
      <c r="E294" s="1035" t="s">
        <v>1419</v>
      </c>
      <c r="F294" s="1035"/>
      <c r="G294" s="1035"/>
      <c r="H294" s="1035" t="str">
        <f t="shared" si="16"/>
        <v/>
      </c>
      <c r="I294" s="1035" t="str">
        <f t="shared" si="17"/>
        <v/>
      </c>
      <c r="J294" s="1114"/>
      <c r="K294" s="1314" t="s">
        <v>7581</v>
      </c>
      <c r="L294" s="1073" t="s">
        <v>7582</v>
      </c>
      <c r="M294" s="1074">
        <v>4.9015189782075339</v>
      </c>
      <c r="N294" s="1315" t="str">
        <f t="shared" si="18"/>
        <v/>
      </c>
      <c r="O294" s="1325">
        <f t="shared" si="19"/>
        <v>1</v>
      </c>
      <c r="P294" s="1321" t="s">
        <v>7739</v>
      </c>
    </row>
    <row r="295" spans="1:16">
      <c r="A295" s="1034" t="s">
        <v>4935</v>
      </c>
      <c r="B295" s="826">
        <v>560</v>
      </c>
      <c r="C295" s="1035">
        <v>1</v>
      </c>
      <c r="D295" s="1035">
        <v>560</v>
      </c>
      <c r="E295" s="1035" t="s">
        <v>4935</v>
      </c>
      <c r="F295" s="1035"/>
      <c r="G295" s="1035"/>
      <c r="H295" s="1035" t="str">
        <f t="shared" si="16"/>
        <v/>
      </c>
      <c r="I295" s="1035" t="str">
        <f t="shared" si="17"/>
        <v/>
      </c>
      <c r="J295" s="1114"/>
      <c r="K295" s="1314">
        <v>3848250</v>
      </c>
      <c r="L295" s="1073">
        <v>7747250</v>
      </c>
      <c r="M295" s="1074">
        <v>2.0131878126421099</v>
      </c>
      <c r="N295" s="1315" t="str">
        <f t="shared" si="18"/>
        <v/>
      </c>
      <c r="O295" s="1325">
        <f t="shared" si="19"/>
        <v>1</v>
      </c>
      <c r="P295" s="1321">
        <v>2011</v>
      </c>
    </row>
    <row r="296" spans="1:16">
      <c r="A296" s="1034" t="s">
        <v>5559</v>
      </c>
      <c r="B296" s="826">
        <v>561</v>
      </c>
      <c r="C296" s="1035">
        <v>2</v>
      </c>
      <c r="D296" s="1035">
        <v>560</v>
      </c>
      <c r="E296" s="1035" t="s">
        <v>4935</v>
      </c>
      <c r="F296" s="1035" t="s">
        <v>4935</v>
      </c>
      <c r="G296" s="1035" t="s">
        <v>6204</v>
      </c>
      <c r="H296" s="1035" t="str">
        <f t="shared" si="16"/>
        <v>Grapesa</v>
      </c>
      <c r="I296" s="1035">
        <f t="shared" si="17"/>
        <v>560</v>
      </c>
      <c r="J296" s="1114">
        <v>0.25</v>
      </c>
      <c r="K296" s="1314">
        <v>768707</v>
      </c>
      <c r="L296" s="1073">
        <v>1730040</v>
      </c>
      <c r="M296" s="1074">
        <v>2.2505844229335801</v>
      </c>
      <c r="N296" s="1315">
        <f t="shared" si="18"/>
        <v>0.56264610573339502</v>
      </c>
      <c r="O296" s="1325">
        <f t="shared" si="19"/>
        <v>0.25</v>
      </c>
      <c r="P296" s="1321">
        <v>2011</v>
      </c>
    </row>
    <row r="297" spans="1:16">
      <c r="A297" s="1034" t="s">
        <v>410</v>
      </c>
      <c r="B297" s="826">
        <v>562</v>
      </c>
      <c r="C297" s="1035">
        <v>2</v>
      </c>
      <c r="D297" s="1035">
        <v>560</v>
      </c>
      <c r="E297" s="1035" t="s">
        <v>4935</v>
      </c>
      <c r="F297" s="1035" t="s">
        <v>4935</v>
      </c>
      <c r="G297" s="1035" t="s">
        <v>6205</v>
      </c>
      <c r="H297" s="1035" t="str">
        <f t="shared" si="16"/>
        <v>Grapesb</v>
      </c>
      <c r="I297" s="1035">
        <f t="shared" si="17"/>
        <v>560</v>
      </c>
      <c r="J297" s="1114">
        <v>0.75</v>
      </c>
      <c r="K297" s="1314">
        <v>1018520</v>
      </c>
      <c r="L297" s="1073">
        <v>1025410</v>
      </c>
      <c r="M297" s="1074">
        <v>1.00676471743314</v>
      </c>
      <c r="N297" s="1315">
        <f t="shared" si="18"/>
        <v>0.755073538074855</v>
      </c>
      <c r="O297" s="1325">
        <f t="shared" si="19"/>
        <v>0.75</v>
      </c>
      <c r="P297" s="1321">
        <v>2011</v>
      </c>
    </row>
    <row r="298" spans="1:16">
      <c r="A298" s="1034" t="s">
        <v>914</v>
      </c>
      <c r="B298" s="826">
        <v>563</v>
      </c>
      <c r="C298" s="1035">
        <v>2</v>
      </c>
      <c r="D298" s="1035">
        <v>560</v>
      </c>
      <c r="E298" s="1035" t="s">
        <v>4935</v>
      </c>
      <c r="F298" s="1035" t="s">
        <v>4935</v>
      </c>
      <c r="G298" s="1035" t="s">
        <v>6206</v>
      </c>
      <c r="H298" s="1035" t="str">
        <f t="shared" si="16"/>
        <v>Grapesc</v>
      </c>
      <c r="I298" s="1035">
        <f t="shared" si="17"/>
        <v>560</v>
      </c>
      <c r="J298" s="1114">
        <v>0.86</v>
      </c>
      <c r="K298" s="1314" t="s">
        <v>7583</v>
      </c>
      <c r="L298" s="1073" t="s">
        <v>7584</v>
      </c>
      <c r="M298" s="1074">
        <v>0.75864263053516368</v>
      </c>
      <c r="N298" s="1315">
        <f t="shared" si="18"/>
        <v>0.65243266226024077</v>
      </c>
      <c r="O298" s="1325">
        <f t="shared" si="19"/>
        <v>0.86</v>
      </c>
      <c r="P298" s="1321" t="s">
        <v>7739</v>
      </c>
    </row>
    <row r="299" spans="1:16">
      <c r="A299" s="1034" t="s">
        <v>1215</v>
      </c>
      <c r="B299" s="826">
        <v>564</v>
      </c>
      <c r="C299" s="1035">
        <v>2</v>
      </c>
      <c r="D299" s="1035">
        <v>560</v>
      </c>
      <c r="E299" s="1035" t="s">
        <v>4935</v>
      </c>
      <c r="F299" s="1035" t="s">
        <v>4935</v>
      </c>
      <c r="G299" s="1035" t="s">
        <v>6207</v>
      </c>
      <c r="H299" s="1035" t="str">
        <f t="shared" si="16"/>
        <v>Grapesd</v>
      </c>
      <c r="I299" s="1035">
        <f t="shared" si="17"/>
        <v>560</v>
      </c>
      <c r="J299" s="1114">
        <v>0.7</v>
      </c>
      <c r="K299" s="1314">
        <v>10004300</v>
      </c>
      <c r="L299" s="1073">
        <v>33041400</v>
      </c>
      <c r="M299" s="1074">
        <v>3.3027198304729</v>
      </c>
      <c r="N299" s="1315">
        <f t="shared" si="18"/>
        <v>2.31190388133103</v>
      </c>
      <c r="O299" s="1325">
        <f t="shared" si="19"/>
        <v>0.72545095075526789</v>
      </c>
      <c r="P299" s="1321">
        <v>2011</v>
      </c>
    </row>
    <row r="300" spans="1:16">
      <c r="A300" s="1034" t="s">
        <v>414</v>
      </c>
      <c r="B300" s="826">
        <v>565</v>
      </c>
      <c r="C300" s="1035">
        <v>3</v>
      </c>
      <c r="D300" s="1035">
        <v>560</v>
      </c>
      <c r="E300" s="1035" t="s">
        <v>4935</v>
      </c>
      <c r="F300" s="1035" t="s">
        <v>1215</v>
      </c>
      <c r="G300" s="1035" t="s">
        <v>6204</v>
      </c>
      <c r="H300" s="1035" t="str">
        <f t="shared" si="16"/>
        <v>Winea</v>
      </c>
      <c r="I300" s="1035">
        <f t="shared" si="17"/>
        <v>564</v>
      </c>
      <c r="J300" s="1114">
        <v>0.7</v>
      </c>
      <c r="K300" s="1314">
        <v>300394</v>
      </c>
      <c r="L300" s="1073">
        <v>746913</v>
      </c>
      <c r="M300" s="1074">
        <v>2.4864444695965999</v>
      </c>
      <c r="N300" s="1315">
        <f t="shared" si="18"/>
        <v>1.7405111287176198</v>
      </c>
      <c r="O300" s="1325">
        <f t="shared" si="19"/>
        <v>0.50781566552868751</v>
      </c>
      <c r="P300" s="1321">
        <v>2011</v>
      </c>
    </row>
    <row r="301" spans="1:16">
      <c r="A301" s="1034" t="s">
        <v>1022</v>
      </c>
      <c r="B301" s="826">
        <v>566</v>
      </c>
      <c r="C301" s="1035">
        <v>2</v>
      </c>
      <c r="D301" s="1035">
        <v>560</v>
      </c>
      <c r="E301" s="1035" t="s">
        <v>4935</v>
      </c>
      <c r="F301" s="1035" t="s">
        <v>4935</v>
      </c>
      <c r="G301" s="1035" t="s">
        <v>6207</v>
      </c>
      <c r="H301" s="1035" t="str">
        <f t="shared" si="16"/>
        <v>Grapesd</v>
      </c>
      <c r="I301" s="1035">
        <f t="shared" si="17"/>
        <v>560</v>
      </c>
      <c r="J301" s="1114">
        <v>0.2</v>
      </c>
      <c r="K301" s="1314" t="s">
        <v>7585</v>
      </c>
      <c r="L301" s="1073" t="s">
        <v>7586</v>
      </c>
      <c r="M301" s="1074">
        <v>0.42028679881906367</v>
      </c>
      <c r="N301" s="1315">
        <f t="shared" si="18"/>
        <v>8.4057359763812733E-2</v>
      </c>
      <c r="O301" s="1325">
        <f t="shared" si="19"/>
        <v>5.7007768215111607</v>
      </c>
      <c r="P301" s="1321" t="s">
        <v>7739</v>
      </c>
    </row>
    <row r="302" spans="1:16">
      <c r="A302" s="1034" t="s">
        <v>1212</v>
      </c>
      <c r="B302" s="826">
        <v>567</v>
      </c>
      <c r="C302" s="1035">
        <v>1</v>
      </c>
      <c r="D302" s="1035">
        <v>567</v>
      </c>
      <c r="E302" s="1035" t="s">
        <v>1212</v>
      </c>
      <c r="F302" s="1035"/>
      <c r="G302" s="1035"/>
      <c r="H302" s="1035" t="str">
        <f t="shared" si="16"/>
        <v/>
      </c>
      <c r="I302" s="1035" t="str">
        <f t="shared" si="17"/>
        <v/>
      </c>
      <c r="J302" s="1114"/>
      <c r="K302" s="1314">
        <v>2414420</v>
      </c>
      <c r="L302" s="1073">
        <v>1079070</v>
      </c>
      <c r="M302" s="1074">
        <v>0.44692721233256799</v>
      </c>
      <c r="N302" s="1315" t="str">
        <f t="shared" si="18"/>
        <v/>
      </c>
      <c r="O302" s="1325">
        <f t="shared" si="19"/>
        <v>1</v>
      </c>
      <c r="P302" s="1321">
        <v>2011</v>
      </c>
    </row>
    <row r="303" spans="1:16">
      <c r="A303" s="1034" t="s">
        <v>3227</v>
      </c>
      <c r="B303" s="826">
        <v>568</v>
      </c>
      <c r="C303" s="1035">
        <v>1</v>
      </c>
      <c r="D303" s="1035">
        <v>568</v>
      </c>
      <c r="E303" s="1035" t="s">
        <v>3227</v>
      </c>
      <c r="F303" s="1035"/>
      <c r="G303" s="1035"/>
      <c r="H303" s="1035" t="str">
        <f t="shared" si="16"/>
        <v/>
      </c>
      <c r="I303" s="1035" t="str">
        <f t="shared" si="17"/>
        <v/>
      </c>
      <c r="J303" s="1114"/>
      <c r="K303" s="1314">
        <v>2009820</v>
      </c>
      <c r="L303" s="1073">
        <v>1648870</v>
      </c>
      <c r="M303" s="1074">
        <v>0.82040680259923804</v>
      </c>
      <c r="N303" s="1315" t="str">
        <f t="shared" si="18"/>
        <v/>
      </c>
      <c r="O303" s="1325">
        <f t="shared" si="19"/>
        <v>1</v>
      </c>
      <c r="P303" s="1321">
        <v>2011</v>
      </c>
    </row>
    <row r="304" spans="1:16">
      <c r="A304" s="1034" t="s">
        <v>825</v>
      </c>
      <c r="B304" s="826">
        <v>569</v>
      </c>
      <c r="C304" s="1035">
        <v>1</v>
      </c>
      <c r="D304" s="1035">
        <v>569</v>
      </c>
      <c r="E304" s="1035" t="s">
        <v>825</v>
      </c>
      <c r="F304" s="1035"/>
      <c r="G304" s="1035"/>
      <c r="H304" s="1035" t="str">
        <f t="shared" si="16"/>
        <v/>
      </c>
      <c r="I304" s="1035" t="str">
        <f t="shared" si="17"/>
        <v/>
      </c>
      <c r="J304" s="1114"/>
      <c r="K304" s="1314">
        <v>39049</v>
      </c>
      <c r="L304" s="1073">
        <v>122659</v>
      </c>
      <c r="M304" s="1074">
        <v>3.1411559835078999</v>
      </c>
      <c r="N304" s="1315" t="str">
        <f t="shared" si="18"/>
        <v/>
      </c>
      <c r="O304" s="1325">
        <f t="shared" si="19"/>
        <v>1</v>
      </c>
      <c r="P304" s="1321">
        <v>2011</v>
      </c>
    </row>
    <row r="305" spans="1:16">
      <c r="A305" s="1034" t="s">
        <v>2261</v>
      </c>
      <c r="B305" s="826">
        <v>570</v>
      </c>
      <c r="C305" s="1035">
        <v>2</v>
      </c>
      <c r="D305" s="1035">
        <v>569</v>
      </c>
      <c r="E305" s="1035" t="s">
        <v>825</v>
      </c>
      <c r="F305" s="1035" t="s">
        <v>825</v>
      </c>
      <c r="G305" s="1035" t="s">
        <v>6204</v>
      </c>
      <c r="H305" s="1035" t="str">
        <f t="shared" si="16"/>
        <v>Figsa</v>
      </c>
      <c r="I305" s="1035">
        <f t="shared" si="17"/>
        <v>569</v>
      </c>
      <c r="J305" s="1114">
        <v>0.35</v>
      </c>
      <c r="K305" s="1314">
        <v>71153</v>
      </c>
      <c r="L305" s="1073">
        <v>275439</v>
      </c>
      <c r="M305" s="1074">
        <v>3.8710806290669399</v>
      </c>
      <c r="N305" s="1315">
        <f t="shared" si="18"/>
        <v>1.3548782201734288</v>
      </c>
      <c r="O305" s="1325">
        <f t="shared" si="19"/>
        <v>0.35</v>
      </c>
      <c r="P305" s="1321">
        <v>2011</v>
      </c>
    </row>
    <row r="306" spans="1:16">
      <c r="A306" s="1034" t="s">
        <v>5160</v>
      </c>
      <c r="B306" s="826">
        <v>571</v>
      </c>
      <c r="C306" s="1035">
        <v>1</v>
      </c>
      <c r="D306" s="1035">
        <v>571</v>
      </c>
      <c r="E306" s="1035" t="s">
        <v>5160</v>
      </c>
      <c r="F306" s="1035"/>
      <c r="G306" s="1035"/>
      <c r="H306" s="1035" t="str">
        <f t="shared" si="16"/>
        <v/>
      </c>
      <c r="I306" s="1035" t="str">
        <f t="shared" si="17"/>
        <v/>
      </c>
      <c r="J306" s="1114"/>
      <c r="K306" s="1314">
        <v>1098010</v>
      </c>
      <c r="L306" s="1073">
        <v>1336960</v>
      </c>
      <c r="M306" s="1074">
        <v>1.2176209688436399</v>
      </c>
      <c r="N306" s="1315" t="str">
        <f t="shared" si="18"/>
        <v/>
      </c>
      <c r="O306" s="1325">
        <f t="shared" si="19"/>
        <v>1</v>
      </c>
      <c r="P306" s="1321">
        <v>2011</v>
      </c>
    </row>
    <row r="307" spans="1:16">
      <c r="A307" s="1034" t="s">
        <v>2461</v>
      </c>
      <c r="B307" s="826">
        <v>572</v>
      </c>
      <c r="C307" s="1035">
        <v>1</v>
      </c>
      <c r="D307" s="1035">
        <v>572</v>
      </c>
      <c r="E307" s="1035" t="s">
        <v>2461</v>
      </c>
      <c r="F307" s="1035"/>
      <c r="G307" s="1035"/>
      <c r="H307" s="1035" t="str">
        <f t="shared" si="16"/>
        <v/>
      </c>
      <c r="I307" s="1035" t="str">
        <f t="shared" si="17"/>
        <v/>
      </c>
      <c r="J307" s="1114"/>
      <c r="K307" s="1314">
        <v>951573</v>
      </c>
      <c r="L307" s="1073">
        <v>2213950</v>
      </c>
      <c r="M307" s="1074">
        <v>2.3266212891706699</v>
      </c>
      <c r="N307" s="1315" t="str">
        <f t="shared" si="18"/>
        <v/>
      </c>
      <c r="O307" s="1325">
        <f t="shared" si="19"/>
        <v>1</v>
      </c>
      <c r="P307" s="1321">
        <v>2011</v>
      </c>
    </row>
    <row r="308" spans="1:16">
      <c r="A308" s="1034" t="s">
        <v>5275</v>
      </c>
      <c r="B308" s="826">
        <v>574</v>
      </c>
      <c r="C308" s="1035">
        <v>1</v>
      </c>
      <c r="D308" s="1035">
        <v>574</v>
      </c>
      <c r="E308" s="1035" t="s">
        <v>5275</v>
      </c>
      <c r="F308" s="1035"/>
      <c r="G308" s="1035"/>
      <c r="H308" s="1035" t="str">
        <f t="shared" si="16"/>
        <v/>
      </c>
      <c r="I308" s="1035" t="str">
        <f t="shared" si="17"/>
        <v/>
      </c>
      <c r="J308" s="1114"/>
      <c r="K308" s="1314">
        <v>2918150</v>
      </c>
      <c r="L308" s="1073">
        <v>2373620</v>
      </c>
      <c r="M308" s="1074">
        <v>0.81339889998800596</v>
      </c>
      <c r="N308" s="1315" t="str">
        <f t="shared" si="18"/>
        <v/>
      </c>
      <c r="O308" s="1325">
        <f t="shared" si="19"/>
        <v>1</v>
      </c>
      <c r="P308" s="1321">
        <v>2011</v>
      </c>
    </row>
    <row r="309" spans="1:16">
      <c r="A309" s="1034" t="s">
        <v>3812</v>
      </c>
      <c r="B309" s="826">
        <v>575</v>
      </c>
      <c r="C309" s="1035">
        <v>2</v>
      </c>
      <c r="D309" s="1035">
        <v>574</v>
      </c>
      <c r="E309" s="1035" t="s">
        <v>5275</v>
      </c>
      <c r="F309" s="1035" t="s">
        <v>5275</v>
      </c>
      <c r="G309" s="1035" t="s">
        <v>6204</v>
      </c>
      <c r="H309" s="1035" t="str">
        <f t="shared" si="16"/>
        <v>Pineapplesa</v>
      </c>
      <c r="I309" s="1035">
        <f t="shared" si="17"/>
        <v>574</v>
      </c>
      <c r="J309" s="1114">
        <v>0.52</v>
      </c>
      <c r="K309" s="1314">
        <v>1231220</v>
      </c>
      <c r="L309" s="1073">
        <v>1391250</v>
      </c>
      <c r="M309" s="1074">
        <v>1.1299767710076201</v>
      </c>
      <c r="N309" s="1315">
        <f t="shared" si="18"/>
        <v>0.5875879209239625</v>
      </c>
      <c r="O309" s="1325">
        <f t="shared" si="19"/>
        <v>0.66070748887322517</v>
      </c>
      <c r="P309" s="1321">
        <v>2011</v>
      </c>
    </row>
    <row r="310" spans="1:16">
      <c r="A310" s="1034" t="s">
        <v>3626</v>
      </c>
      <c r="B310" s="826">
        <v>576</v>
      </c>
      <c r="C310" s="1035">
        <v>2</v>
      </c>
      <c r="D310" s="1035">
        <v>574</v>
      </c>
      <c r="E310" s="1035" t="s">
        <v>5275</v>
      </c>
      <c r="F310" s="1035" t="s">
        <v>5275</v>
      </c>
      <c r="G310" s="1035" t="s">
        <v>6204</v>
      </c>
      <c r="H310" s="1035" t="str">
        <f t="shared" si="16"/>
        <v>Pineapplesa</v>
      </c>
      <c r="I310" s="1035">
        <f t="shared" si="17"/>
        <v>574</v>
      </c>
      <c r="J310" s="1114">
        <v>0.2</v>
      </c>
      <c r="K310" s="1314">
        <v>369673</v>
      </c>
      <c r="L310" s="1073">
        <v>293883</v>
      </c>
      <c r="M310" s="1074">
        <v>0.79498096966778797</v>
      </c>
      <c r="N310" s="1315">
        <f t="shared" si="18"/>
        <v>0.1589961939335576</v>
      </c>
      <c r="O310" s="1325">
        <f t="shared" si="19"/>
        <v>0.93912199580011047</v>
      </c>
      <c r="P310" s="1321">
        <v>2011</v>
      </c>
    </row>
    <row r="311" spans="1:16">
      <c r="A311" s="1034" t="s">
        <v>821</v>
      </c>
      <c r="B311" s="826">
        <v>577</v>
      </c>
      <c r="C311" s="1035">
        <v>1</v>
      </c>
      <c r="D311" s="1035">
        <v>577</v>
      </c>
      <c r="E311" s="1035" t="s">
        <v>821</v>
      </c>
      <c r="F311" s="1035"/>
      <c r="G311" s="1035"/>
      <c r="H311" s="1035" t="str">
        <f t="shared" si="16"/>
        <v/>
      </c>
      <c r="I311" s="1035" t="str">
        <f t="shared" si="17"/>
        <v/>
      </c>
      <c r="J311" s="1114"/>
      <c r="K311" s="1314">
        <v>677785</v>
      </c>
      <c r="L311" s="1073">
        <v>796501</v>
      </c>
      <c r="M311" s="1074">
        <v>1.17515288771513</v>
      </c>
      <c r="N311" s="1315" t="str">
        <f t="shared" si="18"/>
        <v/>
      </c>
      <c r="O311" s="1325">
        <f t="shared" si="19"/>
        <v>1</v>
      </c>
      <c r="P311" s="1321">
        <v>2011</v>
      </c>
    </row>
    <row r="312" spans="1:16">
      <c r="A312" s="1034" t="s">
        <v>1777</v>
      </c>
      <c r="B312" s="826">
        <v>580</v>
      </c>
      <c r="C312" s="1035">
        <v>2</v>
      </c>
      <c r="D312" s="1035">
        <v>574</v>
      </c>
      <c r="E312" s="1035" t="s">
        <v>5275</v>
      </c>
      <c r="F312" s="1035" t="s">
        <v>5275</v>
      </c>
      <c r="G312" s="1035" t="s">
        <v>6205</v>
      </c>
      <c r="H312" s="1035" t="str">
        <f t="shared" si="16"/>
        <v>Pineapplesb</v>
      </c>
      <c r="I312" s="1035">
        <f t="shared" si="17"/>
        <v>574</v>
      </c>
      <c r="J312" s="1114">
        <v>0.08</v>
      </c>
      <c r="K312" s="1314">
        <v>516635</v>
      </c>
      <c r="L312" s="1073">
        <v>614718</v>
      </c>
      <c r="M312" s="1074">
        <v>1.18984970046551</v>
      </c>
      <c r="N312" s="1315">
        <f t="shared" si="18"/>
        <v>9.5187976037240801E-2</v>
      </c>
      <c r="O312" s="1325">
        <f t="shared" si="19"/>
        <v>0.08</v>
      </c>
      <c r="P312" s="1321">
        <v>2011</v>
      </c>
    </row>
    <row r="313" spans="1:16">
      <c r="A313" s="1034" t="s">
        <v>5158</v>
      </c>
      <c r="B313" s="826">
        <v>583</v>
      </c>
      <c r="C313" s="1035">
        <v>2</v>
      </c>
      <c r="D313" s="1035">
        <v>571</v>
      </c>
      <c r="E313" s="1035" t="s">
        <v>5160</v>
      </c>
      <c r="F313" s="1035" t="s">
        <v>5160</v>
      </c>
      <c r="G313" s="1035" t="s">
        <v>6204</v>
      </c>
      <c r="H313" s="1035" t="str">
        <f t="shared" si="16"/>
        <v>Mangoes, mangosteens, guavasa</v>
      </c>
      <c r="I313" s="1035">
        <f t="shared" si="17"/>
        <v>571</v>
      </c>
      <c r="J313" s="1114">
        <v>0.1</v>
      </c>
      <c r="K313" s="1314" t="s">
        <v>7587</v>
      </c>
      <c r="L313" s="1073" t="s">
        <v>7588</v>
      </c>
      <c r="M313" s="1074">
        <v>0.62612728678175733</v>
      </c>
      <c r="N313" s="1315">
        <f t="shared" si="18"/>
        <v>6.261272867817573E-2</v>
      </c>
      <c r="O313" s="1325">
        <f t="shared" si="19"/>
        <v>1.0209718456974324</v>
      </c>
      <c r="P313" s="1321" t="s">
        <v>7739</v>
      </c>
    </row>
    <row r="314" spans="1:16">
      <c r="A314" s="1034" t="s">
        <v>5159</v>
      </c>
      <c r="B314" s="826">
        <v>584</v>
      </c>
      <c r="C314" s="1035">
        <v>2</v>
      </c>
      <c r="D314" s="1035">
        <v>571</v>
      </c>
      <c r="E314" s="1035" t="s">
        <v>5160</v>
      </c>
      <c r="F314" s="1035" t="s">
        <v>5160</v>
      </c>
      <c r="G314" s="1035" t="s">
        <v>6204</v>
      </c>
      <c r="H314" s="1035" t="str">
        <f t="shared" si="16"/>
        <v>Mangoes, mangosteens, guavasa</v>
      </c>
      <c r="I314" s="1035">
        <f t="shared" si="17"/>
        <v>571</v>
      </c>
      <c r="J314" s="1114">
        <v>0.55000000000000004</v>
      </c>
      <c r="K314" s="1314" t="s">
        <v>7589</v>
      </c>
      <c r="L314" s="1073" t="s">
        <v>7590</v>
      </c>
      <c r="M314" s="1074">
        <v>1.0484465508162191</v>
      </c>
      <c r="N314" s="1315">
        <f t="shared" si="18"/>
        <v>0.57664560294892053</v>
      </c>
      <c r="O314" s="1325">
        <f t="shared" si="19"/>
        <v>0.60971952373674321</v>
      </c>
      <c r="P314" s="1321" t="s">
        <v>7739</v>
      </c>
    </row>
    <row r="315" spans="1:16">
      <c r="A315" s="1034" t="s">
        <v>5271</v>
      </c>
      <c r="B315" s="826">
        <v>587</v>
      </c>
      <c r="C315" s="1035">
        <v>1</v>
      </c>
      <c r="D315" s="1035">
        <v>587</v>
      </c>
      <c r="E315" s="1035" t="s">
        <v>5271</v>
      </c>
      <c r="F315" s="1035"/>
      <c r="G315" s="1035"/>
      <c r="H315" s="1035" t="str">
        <f t="shared" si="16"/>
        <v/>
      </c>
      <c r="I315" s="1035" t="str">
        <f t="shared" si="17"/>
        <v/>
      </c>
      <c r="J315" s="1114"/>
      <c r="K315" s="1314">
        <v>1395</v>
      </c>
      <c r="L315" s="1073">
        <v>3104</v>
      </c>
      <c r="M315" s="1074">
        <v>2.22508960573477</v>
      </c>
      <c r="N315" s="1315" t="str">
        <f t="shared" si="18"/>
        <v/>
      </c>
      <c r="O315" s="1325">
        <f t="shared" si="19"/>
        <v>1</v>
      </c>
      <c r="P315" s="1321">
        <v>2011</v>
      </c>
    </row>
    <row r="316" spans="1:16">
      <c r="A316" s="1034" t="s">
        <v>4662</v>
      </c>
      <c r="B316" s="826">
        <v>591</v>
      </c>
      <c r="C316" s="1035">
        <v>1</v>
      </c>
      <c r="D316" s="1035">
        <v>591</v>
      </c>
      <c r="E316" s="1035" t="s">
        <v>4662</v>
      </c>
      <c r="F316" s="1035"/>
      <c r="G316" s="1035"/>
      <c r="H316" s="1035" t="str">
        <f t="shared" si="16"/>
        <v/>
      </c>
      <c r="I316" s="1035" t="str">
        <f t="shared" si="17"/>
        <v/>
      </c>
      <c r="J316" s="1114"/>
      <c r="K316" s="1314">
        <v>11</v>
      </c>
      <c r="L316" s="1073">
        <v>13</v>
      </c>
      <c r="M316" s="1074">
        <v>0.84615384615384603</v>
      </c>
      <c r="N316" s="1315" t="str">
        <f t="shared" si="18"/>
        <v/>
      </c>
      <c r="O316" s="1325">
        <f t="shared" si="19"/>
        <v>1</v>
      </c>
      <c r="P316" s="1321">
        <v>2002</v>
      </c>
    </row>
    <row r="317" spans="1:16">
      <c r="A317" s="1034" t="s">
        <v>569</v>
      </c>
      <c r="B317" s="826">
        <v>592</v>
      </c>
      <c r="C317" s="1035">
        <v>1</v>
      </c>
      <c r="D317" s="1035">
        <v>592</v>
      </c>
      <c r="E317" s="1035" t="s">
        <v>569</v>
      </c>
      <c r="F317" s="1035"/>
      <c r="G317" s="1035"/>
      <c r="H317" s="1035" t="str">
        <f t="shared" si="16"/>
        <v/>
      </c>
      <c r="I317" s="1035" t="str">
        <f t="shared" si="17"/>
        <v/>
      </c>
      <c r="J317" s="1114"/>
      <c r="K317" s="1314">
        <v>1288590</v>
      </c>
      <c r="L317" s="1073">
        <v>2123410</v>
      </c>
      <c r="M317" s="1074">
        <v>1.6478554078488901</v>
      </c>
      <c r="N317" s="1315" t="str">
        <f t="shared" si="18"/>
        <v/>
      </c>
      <c r="O317" s="1325">
        <f t="shared" si="19"/>
        <v>1</v>
      </c>
      <c r="P317" s="1321">
        <v>2011</v>
      </c>
    </row>
    <row r="318" spans="1:16">
      <c r="A318" s="1034" t="s">
        <v>948</v>
      </c>
      <c r="B318" s="826">
        <v>600</v>
      </c>
      <c r="C318" s="1035">
        <v>1</v>
      </c>
      <c r="D318" s="1035">
        <v>600</v>
      </c>
      <c r="E318" s="1035" t="s">
        <v>948</v>
      </c>
      <c r="F318" s="1035"/>
      <c r="G318" s="1035"/>
      <c r="H318" s="1035" t="str">
        <f t="shared" si="16"/>
        <v/>
      </c>
      <c r="I318" s="1035" t="str">
        <f t="shared" si="17"/>
        <v/>
      </c>
      <c r="J318" s="1114"/>
      <c r="K318" s="1314">
        <v>261591</v>
      </c>
      <c r="L318" s="1073">
        <v>250782</v>
      </c>
      <c r="M318" s="1074">
        <v>0.95867977109304203</v>
      </c>
      <c r="N318" s="1315" t="str">
        <f t="shared" si="18"/>
        <v/>
      </c>
      <c r="O318" s="1325">
        <f t="shared" si="19"/>
        <v>1</v>
      </c>
      <c r="P318" s="1321">
        <v>2011</v>
      </c>
    </row>
    <row r="319" spans="1:16">
      <c r="A319" s="1034" t="s">
        <v>813</v>
      </c>
      <c r="B319" s="826">
        <v>603</v>
      </c>
      <c r="C319" s="1035">
        <v>1</v>
      </c>
      <c r="D319" s="1035">
        <v>603</v>
      </c>
      <c r="E319" s="1035" t="s">
        <v>813</v>
      </c>
      <c r="F319" s="1035"/>
      <c r="G319" s="1035"/>
      <c r="H319" s="1035" t="str">
        <f t="shared" si="16"/>
        <v/>
      </c>
      <c r="I319" s="1035" t="str">
        <f t="shared" si="17"/>
        <v/>
      </c>
      <c r="J319" s="1114"/>
      <c r="K319" s="1314">
        <v>813427</v>
      </c>
      <c r="L319" s="1073">
        <v>751102</v>
      </c>
      <c r="M319" s="1074">
        <v>0.92337972553160896</v>
      </c>
      <c r="N319" s="1315" t="str">
        <f t="shared" si="18"/>
        <v/>
      </c>
      <c r="O319" s="1325">
        <f t="shared" si="19"/>
        <v>1</v>
      </c>
      <c r="P319" s="1321">
        <v>2011</v>
      </c>
    </row>
    <row r="320" spans="1:16">
      <c r="A320" s="1034" t="s">
        <v>3765</v>
      </c>
      <c r="B320" s="826">
        <v>604</v>
      </c>
      <c r="C320" s="1035">
        <v>2</v>
      </c>
      <c r="D320" s="1035">
        <v>603</v>
      </c>
      <c r="E320" s="1035" t="s">
        <v>813</v>
      </c>
      <c r="F320" s="1035" t="s">
        <v>813</v>
      </c>
      <c r="G320" s="1035" t="s">
        <v>6204</v>
      </c>
      <c r="H320" s="1035" t="str">
        <f t="shared" si="16"/>
        <v>Fruit, tropical fresh nesa</v>
      </c>
      <c r="I320" s="1035">
        <f t="shared" si="17"/>
        <v>603</v>
      </c>
      <c r="J320" s="1114">
        <v>0.35</v>
      </c>
      <c r="K320" s="1314" t="s">
        <v>7591</v>
      </c>
      <c r="L320" s="1073" t="s">
        <v>7592</v>
      </c>
      <c r="M320" s="1074">
        <v>3.0143679285910032</v>
      </c>
      <c r="N320" s="1315">
        <f t="shared" si="18"/>
        <v>1.055028775006851</v>
      </c>
      <c r="O320" s="1325">
        <f t="shared" si="19"/>
        <v>0.35</v>
      </c>
      <c r="P320" s="1321" t="s">
        <v>7739</v>
      </c>
    </row>
    <row r="321" spans="1:16">
      <c r="A321" s="1034" t="s">
        <v>288</v>
      </c>
      <c r="B321" s="826">
        <v>619</v>
      </c>
      <c r="C321" s="1035">
        <v>1</v>
      </c>
      <c r="D321" s="1035">
        <v>619</v>
      </c>
      <c r="E321" s="1035" t="s">
        <v>288</v>
      </c>
      <c r="F321" s="1035"/>
      <c r="G321" s="1035"/>
      <c r="H321" s="1035" t="str">
        <f t="shared" si="16"/>
        <v/>
      </c>
      <c r="I321" s="1035" t="str">
        <f t="shared" si="17"/>
        <v/>
      </c>
      <c r="J321" s="1114"/>
      <c r="K321" s="1314">
        <v>2444600</v>
      </c>
      <c r="L321" s="1073">
        <v>2451780</v>
      </c>
      <c r="M321" s="1074">
        <v>1.0029370858218101</v>
      </c>
      <c r="N321" s="1315" t="str">
        <f t="shared" si="18"/>
        <v/>
      </c>
      <c r="O321" s="1325">
        <f t="shared" si="19"/>
        <v>1</v>
      </c>
      <c r="P321" s="1321">
        <v>2011</v>
      </c>
    </row>
    <row r="322" spans="1:16">
      <c r="A322" s="1034" t="s">
        <v>286</v>
      </c>
      <c r="B322" s="826">
        <v>620</v>
      </c>
      <c r="C322" s="1035">
        <v>2</v>
      </c>
      <c r="D322" s="1035">
        <v>619</v>
      </c>
      <c r="E322" s="1035" t="s">
        <v>288</v>
      </c>
      <c r="F322" s="1035" t="s">
        <v>288</v>
      </c>
      <c r="G322" s="1035" t="s">
        <v>6204</v>
      </c>
      <c r="H322" s="1035" t="str">
        <f t="shared" si="16"/>
        <v>Fruit Fresh Nesa</v>
      </c>
      <c r="I322" s="1035">
        <f t="shared" si="17"/>
        <v>619</v>
      </c>
      <c r="J322" s="1114">
        <v>0.25</v>
      </c>
      <c r="K322" s="1314">
        <v>473948</v>
      </c>
      <c r="L322" s="1073">
        <v>1047670</v>
      </c>
      <c r="M322" s="1074">
        <v>2.2105167655523399</v>
      </c>
      <c r="N322" s="1315">
        <f t="shared" si="18"/>
        <v>0.55262919138808497</v>
      </c>
      <c r="O322" s="1325">
        <f t="shared" si="19"/>
        <v>0.25</v>
      </c>
      <c r="P322" s="1321">
        <v>2011</v>
      </c>
    </row>
    <row r="323" spans="1:16">
      <c r="A323" s="1034" t="s">
        <v>1946</v>
      </c>
      <c r="B323" s="826">
        <v>622</v>
      </c>
      <c r="C323" s="1035">
        <v>2</v>
      </c>
      <c r="D323" s="1035">
        <v>619</v>
      </c>
      <c r="E323" s="1035" t="s">
        <v>288</v>
      </c>
      <c r="F323" s="1035" t="s">
        <v>288</v>
      </c>
      <c r="G323" s="1035" t="s">
        <v>6205</v>
      </c>
      <c r="H323" s="1035" t="str">
        <f t="shared" si="16"/>
        <v>Fruit Fresh Nesb</v>
      </c>
      <c r="I323" s="1035">
        <f t="shared" si="17"/>
        <v>619</v>
      </c>
      <c r="J323" s="1114">
        <v>0.5</v>
      </c>
      <c r="K323" s="1314">
        <v>2653300</v>
      </c>
      <c r="L323" s="1073">
        <v>3968500</v>
      </c>
      <c r="M323" s="1074">
        <v>1.49568461915351</v>
      </c>
      <c r="N323" s="1315">
        <f t="shared" si="18"/>
        <v>0.74784230957675502</v>
      </c>
      <c r="O323" s="1325">
        <f t="shared" si="19"/>
        <v>0.5</v>
      </c>
      <c r="P323" s="1321">
        <v>2011</v>
      </c>
    </row>
    <row r="324" spans="1:16">
      <c r="A324" s="1034" t="s">
        <v>812</v>
      </c>
      <c r="B324" s="826">
        <v>623</v>
      </c>
      <c r="C324" s="1035">
        <v>2</v>
      </c>
      <c r="D324" s="1035">
        <v>619</v>
      </c>
      <c r="E324" s="1035" t="s">
        <v>288</v>
      </c>
      <c r="F324" s="1035" t="s">
        <v>288</v>
      </c>
      <c r="G324" s="1035" t="s">
        <v>6206</v>
      </c>
      <c r="H324" s="1035" t="str">
        <f t="shared" si="16"/>
        <v>Fruit Fresh Nesc</v>
      </c>
      <c r="I324" s="1035">
        <f t="shared" si="17"/>
        <v>619</v>
      </c>
      <c r="J324" s="1114">
        <v>0.25</v>
      </c>
      <c r="K324" s="1314">
        <v>7187940</v>
      </c>
      <c r="L324" s="1073">
        <v>12990000</v>
      </c>
      <c r="M324" s="1074">
        <v>1.8071937161411999</v>
      </c>
      <c r="N324" s="1315">
        <f t="shared" si="18"/>
        <v>0.45179842903529999</v>
      </c>
      <c r="O324" s="1325">
        <f t="shared" si="19"/>
        <v>0.25</v>
      </c>
      <c r="P324" s="1321">
        <v>2011</v>
      </c>
    </row>
    <row r="325" spans="1:16">
      <c r="A325" s="1034" t="s">
        <v>2272</v>
      </c>
      <c r="B325" s="826">
        <v>624</v>
      </c>
      <c r="C325" s="1035">
        <v>2</v>
      </c>
      <c r="D325" s="1035">
        <v>619</v>
      </c>
      <c r="E325" s="1035" t="s">
        <v>288</v>
      </c>
      <c r="F325" s="1035" t="s">
        <v>288</v>
      </c>
      <c r="G325" s="1035" t="s">
        <v>6207</v>
      </c>
      <c r="H325" s="1035" t="str">
        <f t="shared" si="16"/>
        <v>Fruit Fresh Nesd</v>
      </c>
      <c r="I325" s="1035">
        <f t="shared" si="17"/>
        <v>619</v>
      </c>
      <c r="J325" s="1114">
        <v>0.5</v>
      </c>
      <c r="K325" s="1314" t="s">
        <v>7593</v>
      </c>
      <c r="L325" s="1073" t="s">
        <v>7594</v>
      </c>
      <c r="M325" s="1074">
        <v>3.338169858773457</v>
      </c>
      <c r="N325" s="1315">
        <f t="shared" si="18"/>
        <v>1.6690849293867285</v>
      </c>
      <c r="O325" s="1325">
        <f t="shared" si="19"/>
        <v>0.5</v>
      </c>
      <c r="P325" s="1321" t="s">
        <v>7739</v>
      </c>
    </row>
    <row r="326" spans="1:16">
      <c r="A326" s="1034" t="s">
        <v>2496</v>
      </c>
      <c r="B326" s="826">
        <v>625</v>
      </c>
      <c r="C326" s="1035">
        <v>2</v>
      </c>
      <c r="D326" s="1035">
        <v>619</v>
      </c>
      <c r="E326" s="1035" t="s">
        <v>288</v>
      </c>
      <c r="F326" s="1035" t="s">
        <v>288</v>
      </c>
      <c r="G326" s="1035" t="s">
        <v>6208</v>
      </c>
      <c r="H326" s="1035" t="str">
        <f t="shared" si="16"/>
        <v>Fruit Fresh Nese</v>
      </c>
      <c r="I326" s="1035">
        <f t="shared" si="17"/>
        <v>619</v>
      </c>
      <c r="J326" s="1114">
        <v>0.1</v>
      </c>
      <c r="K326" s="1314" t="s">
        <v>7595</v>
      </c>
      <c r="L326" s="1073" t="s">
        <v>7596</v>
      </c>
      <c r="M326" s="1074">
        <v>2.4611293334006157</v>
      </c>
      <c r="N326" s="1315">
        <f t="shared" si="18"/>
        <v>0.24611293334006157</v>
      </c>
      <c r="O326" s="1325">
        <f t="shared" si="19"/>
        <v>0.1</v>
      </c>
      <c r="P326" s="1321" t="s">
        <v>7739</v>
      </c>
    </row>
    <row r="327" spans="1:16">
      <c r="A327" s="1034" t="s">
        <v>3975</v>
      </c>
      <c r="B327" s="826">
        <v>626</v>
      </c>
      <c r="C327" s="1035">
        <v>2</v>
      </c>
      <c r="D327" s="1035">
        <v>619</v>
      </c>
      <c r="E327" s="1035" t="s">
        <v>288</v>
      </c>
      <c r="F327" s="1035" t="s">
        <v>288</v>
      </c>
      <c r="G327" s="1035" t="s">
        <v>6209</v>
      </c>
      <c r="H327" s="1035" t="str">
        <f t="shared" si="16"/>
        <v>Fruit Fresh Nesf</v>
      </c>
      <c r="I327" s="1035">
        <f t="shared" si="17"/>
        <v>619</v>
      </c>
      <c r="J327" s="1114">
        <v>0.5</v>
      </c>
      <c r="K327" s="1314">
        <v>108417</v>
      </c>
      <c r="L327" s="1073">
        <v>260370</v>
      </c>
      <c r="M327" s="1074">
        <v>2.4015606408589099</v>
      </c>
      <c r="N327" s="1315">
        <f t="shared" si="18"/>
        <v>1.2007803204294549</v>
      </c>
      <c r="O327" s="1325">
        <f t="shared" si="19"/>
        <v>0.5</v>
      </c>
      <c r="P327" s="1321">
        <v>2011</v>
      </c>
    </row>
    <row r="328" spans="1:16">
      <c r="A328" s="1034" t="s">
        <v>3032</v>
      </c>
      <c r="B328" s="826">
        <v>628</v>
      </c>
      <c r="C328" s="1035">
        <v>2</v>
      </c>
      <c r="D328" s="1035">
        <v>619</v>
      </c>
      <c r="E328" s="1035" t="s">
        <v>288</v>
      </c>
      <c r="F328" s="1035" t="s">
        <v>288</v>
      </c>
      <c r="G328" s="1035" t="s">
        <v>6210</v>
      </c>
      <c r="H328" s="1035" t="str">
        <f t="shared" ref="H328:H391" si="20">F328&amp;G328</f>
        <v>Fruit Fresh Nesg</v>
      </c>
      <c r="I328" s="1035">
        <f t="shared" ref="I328:I391" si="21">IFERROR(VLOOKUP(F328,$A$7:$B$590,2,FALSE),"")</f>
        <v>619</v>
      </c>
      <c r="J328" s="1114">
        <v>0.8</v>
      </c>
      <c r="K328" s="1314">
        <v>792992</v>
      </c>
      <c r="L328" s="1073">
        <v>230361</v>
      </c>
      <c r="M328" s="1074">
        <v>0.29049599491545902</v>
      </c>
      <c r="N328" s="1315">
        <f t="shared" ref="N328:N391" si="22">IF(ISBLANK(J328),"",J328*M328)</f>
        <v>0.23239679593236723</v>
      </c>
      <c r="O328" s="1325">
        <f t="shared" ref="O328:O391" si="23">IF(ISBLANK(F328),1,J328/(N328/SUMIF(H$7:H$601,H328,N$7:N$601))*VLOOKUP(F328,A$7:O$601,15,FALSE))</f>
        <v>0.8</v>
      </c>
      <c r="P328" s="1321">
        <v>2011</v>
      </c>
    </row>
    <row r="329" spans="1:16">
      <c r="A329" s="1034" t="s">
        <v>5478</v>
      </c>
      <c r="B329" s="826">
        <v>630</v>
      </c>
      <c r="C329" s="1035">
        <v>2</v>
      </c>
      <c r="D329" s="1035">
        <v>156</v>
      </c>
      <c r="E329" s="1035" t="s">
        <v>1060</v>
      </c>
      <c r="F329" s="1035" t="s">
        <v>1060</v>
      </c>
      <c r="G329" s="1035" t="s">
        <v>6211</v>
      </c>
      <c r="H329" s="1035" t="str">
        <f t="shared" si="20"/>
        <v>Sugar caneh</v>
      </c>
      <c r="I329" s="1035">
        <f t="shared" si="21"/>
        <v>156</v>
      </c>
      <c r="J329" s="1114">
        <v>0.5</v>
      </c>
      <c r="K329" s="1314" t="s">
        <v>7597</v>
      </c>
      <c r="L329" s="1073" t="s">
        <v>7598</v>
      </c>
      <c r="M329" s="1074">
        <v>0.10240963855421686</v>
      </c>
      <c r="N329" s="1315">
        <f t="shared" si="22"/>
        <v>5.1204819277108432E-2</v>
      </c>
      <c r="O329" s="1325">
        <f t="shared" si="23"/>
        <v>0.5</v>
      </c>
      <c r="P329" s="1321" t="s">
        <v>7739</v>
      </c>
    </row>
    <row r="330" spans="1:16">
      <c r="A330" s="1034" t="s">
        <v>267</v>
      </c>
      <c r="B330" s="826">
        <v>631</v>
      </c>
      <c r="C330" s="1035"/>
      <c r="D330" s="1035" t="s">
        <v>2862</v>
      </c>
      <c r="E330" s="1035"/>
      <c r="F330" s="1035"/>
      <c r="G330" s="1035"/>
      <c r="H330" s="1035" t="str">
        <f t="shared" si="20"/>
        <v/>
      </c>
      <c r="I330" s="1035" t="str">
        <f t="shared" si="21"/>
        <v/>
      </c>
      <c r="J330" s="1114"/>
      <c r="K330" s="1314">
        <v>20309400</v>
      </c>
      <c r="L330" s="1073">
        <v>3190500</v>
      </c>
      <c r="M330" s="1074">
        <v>0.157094744305592</v>
      </c>
      <c r="N330" s="1315" t="str">
        <f t="shared" si="22"/>
        <v/>
      </c>
      <c r="O330" s="1325">
        <f t="shared" si="23"/>
        <v>1</v>
      </c>
      <c r="P330" s="1321">
        <v>2011</v>
      </c>
    </row>
    <row r="331" spans="1:16">
      <c r="A331" s="1034" t="s">
        <v>2683</v>
      </c>
      <c r="B331" s="826">
        <v>633</v>
      </c>
      <c r="C331" s="1035"/>
      <c r="D331" s="1035" t="s">
        <v>2862</v>
      </c>
      <c r="E331" s="1035"/>
      <c r="F331" s="1035"/>
      <c r="G331" s="1035"/>
      <c r="H331" s="1035" t="str">
        <f t="shared" si="20"/>
        <v/>
      </c>
      <c r="I331" s="1035" t="str">
        <f t="shared" si="21"/>
        <v/>
      </c>
      <c r="J331" s="1114"/>
      <c r="K331" s="1314">
        <v>14941600</v>
      </c>
      <c r="L331" s="1073">
        <v>14911400</v>
      </c>
      <c r="M331" s="1074">
        <v>0.99797879745141105</v>
      </c>
      <c r="N331" s="1315" t="str">
        <f t="shared" si="22"/>
        <v/>
      </c>
      <c r="O331" s="1325">
        <f t="shared" si="23"/>
        <v>1</v>
      </c>
      <c r="P331" s="1321">
        <v>2011</v>
      </c>
    </row>
    <row r="332" spans="1:16">
      <c r="A332" s="1034" t="s">
        <v>7239</v>
      </c>
      <c r="B332" s="826">
        <v>634</v>
      </c>
      <c r="C332" s="1035">
        <v>1</v>
      </c>
      <c r="D332" s="1035">
        <v>634</v>
      </c>
      <c r="E332" s="1035" t="s">
        <v>7239</v>
      </c>
      <c r="F332" s="1035"/>
      <c r="G332" s="1035"/>
      <c r="H332" s="1035" t="str">
        <f t="shared" si="20"/>
        <v/>
      </c>
      <c r="I332" s="1035" t="str">
        <f t="shared" si="21"/>
        <v/>
      </c>
      <c r="J332" s="1114"/>
      <c r="K332" s="1314">
        <v>4074220</v>
      </c>
      <c r="L332" s="1073">
        <v>27945100</v>
      </c>
      <c r="M332" s="1074">
        <v>6.8590061410527703</v>
      </c>
      <c r="N332" s="1315" t="str">
        <f t="shared" si="22"/>
        <v/>
      </c>
      <c r="O332" s="1325">
        <f t="shared" si="23"/>
        <v>1</v>
      </c>
      <c r="P332" s="1321">
        <v>2011</v>
      </c>
    </row>
    <row r="333" spans="1:16">
      <c r="A333" s="1034" t="s">
        <v>4591</v>
      </c>
      <c r="B333" s="826">
        <v>635</v>
      </c>
      <c r="C333" s="1035"/>
      <c r="D333" s="1035" t="s">
        <v>2862</v>
      </c>
      <c r="E333" s="1035"/>
      <c r="F333" s="1035"/>
      <c r="G333" s="1035"/>
      <c r="H333" s="1035" t="str">
        <f t="shared" si="20"/>
        <v/>
      </c>
      <c r="I333" s="1035" t="str">
        <f t="shared" si="21"/>
        <v/>
      </c>
      <c r="J333" s="1114"/>
      <c r="K333" s="1314">
        <v>1617890</v>
      </c>
      <c r="L333" s="1073">
        <v>342871</v>
      </c>
      <c r="M333" s="1074">
        <v>0.21192479093139799</v>
      </c>
      <c r="N333" s="1315" t="str">
        <f t="shared" si="22"/>
        <v/>
      </c>
      <c r="O333" s="1325">
        <f t="shared" si="23"/>
        <v>1</v>
      </c>
      <c r="P333" s="1321">
        <v>2011</v>
      </c>
    </row>
    <row r="334" spans="1:16">
      <c r="A334" s="1034" t="s">
        <v>1191</v>
      </c>
      <c r="B334" s="826">
        <v>636</v>
      </c>
      <c r="C334" s="1035">
        <v>1</v>
      </c>
      <c r="D334" s="1035">
        <v>636</v>
      </c>
      <c r="E334" s="1035" t="s">
        <v>1191</v>
      </c>
      <c r="F334" s="1035"/>
      <c r="G334" s="1035"/>
      <c r="H334" s="1035" t="str">
        <f t="shared" si="20"/>
        <v/>
      </c>
      <c r="I334" s="1035" t="str">
        <f t="shared" si="21"/>
        <v/>
      </c>
      <c r="J334" s="1114"/>
      <c r="K334" s="1314" t="s">
        <v>7599</v>
      </c>
      <c r="L334" s="1073" t="s">
        <v>7600</v>
      </c>
      <c r="M334" s="1074">
        <v>0.25</v>
      </c>
      <c r="N334" s="1315" t="str">
        <f t="shared" si="22"/>
        <v/>
      </c>
      <c r="O334" s="1325">
        <f t="shared" si="23"/>
        <v>1</v>
      </c>
      <c r="P334" s="1321" t="s">
        <v>7739</v>
      </c>
    </row>
    <row r="335" spans="1:16">
      <c r="A335" s="1034" t="s">
        <v>2806</v>
      </c>
      <c r="B335" s="1035">
        <v>637</v>
      </c>
      <c r="C335" s="1035">
        <v>1</v>
      </c>
      <c r="D335" s="1035">
        <v>637</v>
      </c>
      <c r="E335" s="1035" t="s">
        <v>2806</v>
      </c>
      <c r="F335" s="1035"/>
      <c r="G335" s="1035"/>
      <c r="H335" s="1035" t="str">
        <f t="shared" si="20"/>
        <v/>
      </c>
      <c r="I335" s="1035" t="str">
        <f t="shared" si="21"/>
        <v/>
      </c>
      <c r="J335" s="1114"/>
      <c r="K335" s="1314" t="s">
        <v>7512</v>
      </c>
      <c r="L335" s="1073" t="s">
        <v>7512</v>
      </c>
      <c r="M335" s="1074">
        <v>0</v>
      </c>
      <c r="N335" s="1315" t="str">
        <f t="shared" si="22"/>
        <v/>
      </c>
      <c r="O335" s="1325">
        <f t="shared" si="23"/>
        <v>1</v>
      </c>
      <c r="P335" s="1321" t="s">
        <v>7739</v>
      </c>
    </row>
    <row r="336" spans="1:16">
      <c r="A336" s="1034" t="s">
        <v>5569</v>
      </c>
      <c r="B336" s="1035">
        <v>638</v>
      </c>
      <c r="C336" s="1035">
        <v>1</v>
      </c>
      <c r="D336" s="1035">
        <v>638</v>
      </c>
      <c r="E336" s="1035" t="s">
        <v>5569</v>
      </c>
      <c r="F336" s="1035"/>
      <c r="G336" s="1035"/>
      <c r="H336" s="1035" t="str">
        <f t="shared" si="20"/>
        <v/>
      </c>
      <c r="I336" s="1035" t="str">
        <f t="shared" si="21"/>
        <v/>
      </c>
      <c r="J336" s="1114"/>
      <c r="K336" s="1314" t="s">
        <v>7512</v>
      </c>
      <c r="L336" s="1073" t="s">
        <v>7512</v>
      </c>
      <c r="M336" s="1074">
        <v>0</v>
      </c>
      <c r="N336" s="1315" t="str">
        <f t="shared" si="22"/>
        <v/>
      </c>
      <c r="O336" s="1325">
        <f t="shared" si="23"/>
        <v>1</v>
      </c>
      <c r="P336" s="1321" t="s">
        <v>7739</v>
      </c>
    </row>
    <row r="337" spans="1:16">
      <c r="A337" s="1034" t="s">
        <v>7087</v>
      </c>
      <c r="B337" s="826">
        <v>639</v>
      </c>
      <c r="C337" s="1035">
        <v>1</v>
      </c>
      <c r="D337" s="1035">
        <v>639</v>
      </c>
      <c r="E337" s="1035" t="s">
        <v>7087</v>
      </c>
      <c r="F337" s="1035"/>
      <c r="G337" s="1035"/>
      <c r="H337" s="1035" t="str">
        <f t="shared" si="20"/>
        <v/>
      </c>
      <c r="I337" s="1035" t="str">
        <f t="shared" si="21"/>
        <v/>
      </c>
      <c r="J337" s="1114"/>
      <c r="K337" s="1314">
        <v>7015</v>
      </c>
      <c r="L337" s="1073">
        <v>1588</v>
      </c>
      <c r="M337" s="1074">
        <v>4.4175062972292203</v>
      </c>
      <c r="N337" s="1315" t="str">
        <f t="shared" si="22"/>
        <v/>
      </c>
      <c r="O337" s="1325">
        <f t="shared" si="23"/>
        <v>1</v>
      </c>
      <c r="P337" s="1321">
        <v>1987</v>
      </c>
    </row>
    <row r="338" spans="1:16">
      <c r="A338" s="1034" t="s">
        <v>2637</v>
      </c>
      <c r="B338" s="826">
        <v>640</v>
      </c>
      <c r="C338" s="1035">
        <v>1</v>
      </c>
      <c r="D338" s="1035">
        <v>640</v>
      </c>
      <c r="E338" s="1035" t="s">
        <v>2637</v>
      </c>
      <c r="F338" s="1035"/>
      <c r="G338" s="1035"/>
      <c r="H338" s="1035" t="str">
        <f t="shared" si="20"/>
        <v/>
      </c>
      <c r="I338" s="1035" t="str">
        <f t="shared" si="21"/>
        <v/>
      </c>
      <c r="J338" s="1114"/>
      <c r="K338" s="1314">
        <v>195</v>
      </c>
      <c r="L338" s="1073">
        <v>176</v>
      </c>
      <c r="M338" s="1074">
        <v>1.1079545454545501</v>
      </c>
      <c r="N338" s="1315" t="str">
        <f t="shared" si="22"/>
        <v/>
      </c>
      <c r="O338" s="1325">
        <f t="shared" si="23"/>
        <v>1</v>
      </c>
      <c r="P338" s="1321">
        <v>1976</v>
      </c>
    </row>
    <row r="339" spans="1:16">
      <c r="A339" s="1034" t="s">
        <v>2427</v>
      </c>
      <c r="B339" s="826">
        <v>641</v>
      </c>
      <c r="C339" s="1035">
        <v>1</v>
      </c>
      <c r="D339" s="1035">
        <v>641</v>
      </c>
      <c r="E339" s="1035" t="s">
        <v>2427</v>
      </c>
      <c r="F339" s="1035"/>
      <c r="G339" s="1035"/>
      <c r="H339" s="1035" t="str">
        <f t="shared" si="20"/>
        <v/>
      </c>
      <c r="I339" s="1035" t="str">
        <f t="shared" si="21"/>
        <v/>
      </c>
      <c r="J339" s="1114"/>
      <c r="K339" s="1314" t="s">
        <v>7544</v>
      </c>
      <c r="L339" s="1073" t="s">
        <v>7544</v>
      </c>
      <c r="M339" s="1074">
        <v>0</v>
      </c>
      <c r="N339" s="1315" t="str">
        <f t="shared" si="22"/>
        <v/>
      </c>
      <c r="O339" s="1325">
        <f t="shared" si="23"/>
        <v>1</v>
      </c>
      <c r="P339" s="1321" t="s">
        <v>7739</v>
      </c>
    </row>
    <row r="340" spans="1:16">
      <c r="A340" s="1034" t="s">
        <v>7098</v>
      </c>
      <c r="B340" s="1035">
        <v>642</v>
      </c>
      <c r="C340" s="1035">
        <v>1</v>
      </c>
      <c r="D340" s="1035">
        <v>642</v>
      </c>
      <c r="E340" s="1035" t="s">
        <v>7098</v>
      </c>
      <c r="F340" s="1035"/>
      <c r="G340" s="1035"/>
      <c r="H340" s="1035" t="str">
        <f t="shared" si="20"/>
        <v/>
      </c>
      <c r="I340" s="1035" t="str">
        <f t="shared" si="21"/>
        <v/>
      </c>
      <c r="J340" s="1114"/>
      <c r="K340" s="1314" t="s">
        <v>7512</v>
      </c>
      <c r="L340" s="1073" t="s">
        <v>7512</v>
      </c>
      <c r="M340" s="1074">
        <v>0</v>
      </c>
      <c r="N340" s="1315" t="str">
        <f t="shared" si="22"/>
        <v/>
      </c>
      <c r="O340" s="1325">
        <f t="shared" si="23"/>
        <v>1</v>
      </c>
      <c r="P340" s="1321" t="s">
        <v>7739</v>
      </c>
    </row>
    <row r="341" spans="1:16">
      <c r="A341" s="1034" t="s">
        <v>7088</v>
      </c>
      <c r="B341" s="826">
        <v>643</v>
      </c>
      <c r="C341" s="1035">
        <v>2</v>
      </c>
      <c r="D341" s="1035">
        <v>643</v>
      </c>
      <c r="E341" s="1035" t="s">
        <v>7088</v>
      </c>
      <c r="F341" s="1035"/>
      <c r="G341" s="1035"/>
      <c r="H341" s="1035" t="str">
        <f t="shared" si="20"/>
        <v/>
      </c>
      <c r="I341" s="1035" t="str">
        <f t="shared" si="21"/>
        <v/>
      </c>
      <c r="J341" s="1114">
        <v>1</v>
      </c>
      <c r="K341" s="1314">
        <v>30</v>
      </c>
      <c r="L341" s="1073">
        <v>31</v>
      </c>
      <c r="M341" s="1074">
        <v>0.967741935483871</v>
      </c>
      <c r="N341" s="1315">
        <f t="shared" si="22"/>
        <v>0.967741935483871</v>
      </c>
      <c r="O341" s="1325">
        <f t="shared" si="23"/>
        <v>1</v>
      </c>
      <c r="P341" s="1321">
        <v>1975</v>
      </c>
    </row>
    <row r="342" spans="1:16">
      <c r="A342" s="1034" t="s">
        <v>7085</v>
      </c>
      <c r="B342" s="1035">
        <v>644</v>
      </c>
      <c r="C342" s="1035">
        <v>1</v>
      </c>
      <c r="D342" s="1035">
        <v>644</v>
      </c>
      <c r="E342" s="1035" t="s">
        <v>7085</v>
      </c>
      <c r="F342" s="1035"/>
      <c r="G342" s="1035"/>
      <c r="H342" s="1035" t="str">
        <f t="shared" si="20"/>
        <v/>
      </c>
      <c r="I342" s="1035" t="str">
        <f t="shared" si="21"/>
        <v/>
      </c>
      <c r="J342" s="1114"/>
      <c r="K342" s="1314" t="s">
        <v>7512</v>
      </c>
      <c r="L342" s="1073" t="s">
        <v>7512</v>
      </c>
      <c r="M342" s="1074">
        <v>0</v>
      </c>
      <c r="N342" s="1315" t="str">
        <f t="shared" si="22"/>
        <v/>
      </c>
      <c r="O342" s="1325">
        <f t="shared" si="23"/>
        <v>1</v>
      </c>
      <c r="P342" s="1321" t="s">
        <v>7739</v>
      </c>
    </row>
    <row r="343" spans="1:16">
      <c r="A343" s="1034" t="s">
        <v>7789</v>
      </c>
      <c r="B343" s="1035">
        <v>645</v>
      </c>
      <c r="C343" s="1035">
        <v>1</v>
      </c>
      <c r="D343" s="1035">
        <v>645</v>
      </c>
      <c r="E343" s="1035" t="s">
        <v>7789</v>
      </c>
      <c r="F343" s="1035"/>
      <c r="G343" s="1035"/>
      <c r="H343" s="1035" t="str">
        <f t="shared" si="20"/>
        <v/>
      </c>
      <c r="I343" s="1035" t="str">
        <f t="shared" si="21"/>
        <v/>
      </c>
      <c r="J343" s="1114"/>
      <c r="K343" s="1314" t="s">
        <v>7512</v>
      </c>
      <c r="L343" s="1073" t="s">
        <v>7512</v>
      </c>
      <c r="M343" s="1074">
        <v>0</v>
      </c>
      <c r="N343" s="1315" t="str">
        <f t="shared" si="22"/>
        <v/>
      </c>
      <c r="O343" s="1325">
        <f t="shared" si="23"/>
        <v>1</v>
      </c>
      <c r="P343" s="1321" t="s">
        <v>7739</v>
      </c>
    </row>
    <row r="344" spans="1:16">
      <c r="A344" s="1034" t="s">
        <v>2463</v>
      </c>
      <c r="B344" s="826">
        <v>646</v>
      </c>
      <c r="C344" s="1035">
        <v>1</v>
      </c>
      <c r="D344" s="1035">
        <v>646</v>
      </c>
      <c r="E344" s="1035" t="s">
        <v>2463</v>
      </c>
      <c r="F344" s="1035"/>
      <c r="G344" s="1035"/>
      <c r="H344" s="1035" t="str">
        <f t="shared" si="20"/>
        <v/>
      </c>
      <c r="I344" s="1035" t="str">
        <f t="shared" si="21"/>
        <v/>
      </c>
      <c r="J344" s="1114"/>
      <c r="K344" s="1314">
        <v>11</v>
      </c>
      <c r="L344" s="1073">
        <v>1</v>
      </c>
      <c r="M344" s="1074">
        <v>11</v>
      </c>
      <c r="N344" s="1315" t="str">
        <f t="shared" si="22"/>
        <v/>
      </c>
      <c r="O344" s="1325">
        <f t="shared" si="23"/>
        <v>1</v>
      </c>
      <c r="P344" s="1321">
        <v>1995</v>
      </c>
    </row>
    <row r="345" spans="1:16">
      <c r="A345" s="1034" t="s">
        <v>3638</v>
      </c>
      <c r="B345" s="826">
        <v>647</v>
      </c>
      <c r="C345" s="1035">
        <v>1</v>
      </c>
      <c r="D345" s="1035">
        <v>647</v>
      </c>
      <c r="E345" s="1035" t="s">
        <v>3638</v>
      </c>
      <c r="F345" s="1035"/>
      <c r="G345" s="1035"/>
      <c r="H345" s="1035" t="str">
        <f t="shared" si="20"/>
        <v/>
      </c>
      <c r="I345" s="1035" t="str">
        <f t="shared" si="21"/>
        <v/>
      </c>
      <c r="J345" s="1114"/>
      <c r="K345" s="1314" t="s">
        <v>7601</v>
      </c>
      <c r="L345" s="1073" t="s">
        <v>7602</v>
      </c>
      <c r="M345" s="1074">
        <v>0.31044742392286834</v>
      </c>
      <c r="N345" s="1315" t="str">
        <f t="shared" si="22"/>
        <v/>
      </c>
      <c r="O345" s="1325">
        <f t="shared" si="23"/>
        <v>1</v>
      </c>
      <c r="P345" s="1321" t="s">
        <v>7739</v>
      </c>
    </row>
    <row r="346" spans="1:16">
      <c r="A346" s="1034" t="s">
        <v>7086</v>
      </c>
      <c r="B346" s="1035">
        <v>648</v>
      </c>
      <c r="C346" s="1035">
        <v>1</v>
      </c>
      <c r="D346" s="1035">
        <v>648</v>
      </c>
      <c r="E346" s="1035" t="s">
        <v>7086</v>
      </c>
      <c r="F346" s="1035"/>
      <c r="G346" s="1035"/>
      <c r="H346" s="1035" t="str">
        <f t="shared" si="20"/>
        <v/>
      </c>
      <c r="I346" s="1035" t="str">
        <f t="shared" si="21"/>
        <v/>
      </c>
      <c r="J346" s="1114"/>
      <c r="K346" s="1314" t="s">
        <v>7512</v>
      </c>
      <c r="L346" s="1073" t="s">
        <v>7512</v>
      </c>
      <c r="M346" s="1074">
        <v>0</v>
      </c>
      <c r="N346" s="1315" t="str">
        <f t="shared" si="22"/>
        <v/>
      </c>
      <c r="O346" s="1325">
        <f t="shared" si="23"/>
        <v>1</v>
      </c>
      <c r="P346" s="1321" t="s">
        <v>7739</v>
      </c>
    </row>
    <row r="347" spans="1:16">
      <c r="A347" s="1034" t="s">
        <v>3691</v>
      </c>
      <c r="B347" s="826">
        <v>649</v>
      </c>
      <c r="C347" s="1035">
        <v>1</v>
      </c>
      <c r="D347" s="1035">
        <v>649</v>
      </c>
      <c r="E347" s="1035" t="s">
        <v>3691</v>
      </c>
      <c r="F347" s="1035"/>
      <c r="G347" s="1035"/>
      <c r="H347" s="1035" t="str">
        <f t="shared" si="20"/>
        <v/>
      </c>
      <c r="I347" s="1035" t="str">
        <f t="shared" si="21"/>
        <v/>
      </c>
      <c r="J347" s="1114"/>
      <c r="K347" s="1314" t="s">
        <v>7603</v>
      </c>
      <c r="L347" s="1073" t="s">
        <v>7604</v>
      </c>
      <c r="M347" s="1074">
        <v>0.30240414391081583</v>
      </c>
      <c r="N347" s="1315" t="str">
        <f t="shared" si="22"/>
        <v/>
      </c>
      <c r="O347" s="1325">
        <f t="shared" si="23"/>
        <v>1</v>
      </c>
      <c r="P347" s="1321" t="s">
        <v>7739</v>
      </c>
    </row>
    <row r="348" spans="1:16">
      <c r="A348" s="1034" t="s">
        <v>7605</v>
      </c>
      <c r="B348" s="826">
        <v>651</v>
      </c>
      <c r="C348" s="1035">
        <v>1</v>
      </c>
      <c r="D348" s="826">
        <v>651</v>
      </c>
      <c r="E348" s="1035" t="s">
        <v>7605</v>
      </c>
      <c r="F348" s="1035"/>
      <c r="G348" s="1035"/>
      <c r="H348" s="1035" t="str">
        <f t="shared" si="20"/>
        <v/>
      </c>
      <c r="I348" s="1035" t="str">
        <f t="shared" si="21"/>
        <v/>
      </c>
      <c r="J348" s="1114"/>
      <c r="K348" s="1314">
        <v>5548000</v>
      </c>
      <c r="L348" s="1073">
        <v>1816810</v>
      </c>
      <c r="M348" s="1074">
        <v>0.32747116077865901</v>
      </c>
      <c r="N348" s="1315" t="str">
        <f t="shared" si="22"/>
        <v/>
      </c>
      <c r="O348" s="1325">
        <f t="shared" si="23"/>
        <v>1</v>
      </c>
      <c r="P348" s="1321">
        <v>2011</v>
      </c>
    </row>
    <row r="349" spans="1:16">
      <c r="A349" s="1034" t="s">
        <v>4939</v>
      </c>
      <c r="B349" s="826">
        <v>652</v>
      </c>
      <c r="C349" s="1035"/>
      <c r="D349" s="1035" t="s">
        <v>2862</v>
      </c>
      <c r="E349" s="1035"/>
      <c r="F349" s="1035"/>
      <c r="G349" s="1035"/>
      <c r="H349" s="1035" t="str">
        <f t="shared" si="20"/>
        <v/>
      </c>
      <c r="I349" s="1035" t="str">
        <f t="shared" si="21"/>
        <v/>
      </c>
      <c r="J349" s="1114"/>
      <c r="K349" s="1314">
        <v>2954940</v>
      </c>
      <c r="L349" s="1073">
        <v>637960</v>
      </c>
      <c r="M349" s="1074">
        <v>0.21589609264485901</v>
      </c>
      <c r="N349" s="1315" t="str">
        <f t="shared" si="22"/>
        <v/>
      </c>
      <c r="O349" s="1325">
        <f t="shared" si="23"/>
        <v>1</v>
      </c>
      <c r="P349" s="1321">
        <v>2011</v>
      </c>
    </row>
    <row r="350" spans="1:16">
      <c r="A350" s="1034" t="s">
        <v>2178</v>
      </c>
      <c r="B350" s="826">
        <v>653</v>
      </c>
      <c r="C350" s="1035"/>
      <c r="D350" s="1035" t="s">
        <v>2862</v>
      </c>
      <c r="E350" s="1035"/>
      <c r="F350" s="1035"/>
      <c r="G350" s="1035"/>
      <c r="H350" s="1035" t="str">
        <f t="shared" si="20"/>
        <v/>
      </c>
      <c r="I350" s="1035" t="str">
        <f t="shared" si="21"/>
        <v/>
      </c>
      <c r="J350" s="1114"/>
      <c r="K350" s="1314">
        <v>10540500</v>
      </c>
      <c r="L350" s="1073">
        <v>8956980</v>
      </c>
      <c r="M350" s="1074">
        <v>0.84976803756937502</v>
      </c>
      <c r="N350" s="1315" t="str">
        <f t="shared" si="22"/>
        <v/>
      </c>
      <c r="O350" s="1325">
        <f t="shared" si="23"/>
        <v>1</v>
      </c>
      <c r="P350" s="1321">
        <v>2011</v>
      </c>
    </row>
    <row r="351" spans="1:16">
      <c r="A351" s="1034" t="s">
        <v>7215</v>
      </c>
      <c r="B351" s="826">
        <v>654</v>
      </c>
      <c r="C351" s="1035">
        <v>1</v>
      </c>
      <c r="D351" s="1035">
        <v>654</v>
      </c>
      <c r="E351" s="1035" t="s">
        <v>7215</v>
      </c>
      <c r="F351" s="1035"/>
      <c r="G351" s="1035"/>
      <c r="H351" s="1035" t="str">
        <f t="shared" si="20"/>
        <v/>
      </c>
      <c r="I351" s="1035" t="str">
        <f t="shared" si="21"/>
        <v/>
      </c>
      <c r="J351" s="1114"/>
      <c r="K351" s="1314">
        <v>9242260</v>
      </c>
      <c r="L351" s="1073">
        <v>2436700</v>
      </c>
      <c r="M351" s="1074">
        <v>0.26364763596782598</v>
      </c>
      <c r="N351" s="1315" t="str">
        <f t="shared" si="22"/>
        <v/>
      </c>
      <c r="O351" s="1325">
        <f t="shared" si="23"/>
        <v>1</v>
      </c>
      <c r="P351" s="1321">
        <v>2011</v>
      </c>
    </row>
    <row r="352" spans="1:16">
      <c r="A352" s="1034" t="s">
        <v>4796</v>
      </c>
      <c r="B352" s="826">
        <v>655</v>
      </c>
      <c r="C352" s="1035">
        <v>1</v>
      </c>
      <c r="D352" s="826">
        <v>655</v>
      </c>
      <c r="E352" s="1035" t="s">
        <v>4796</v>
      </c>
      <c r="F352" s="1035"/>
      <c r="G352" s="1035"/>
      <c r="H352" s="1035" t="str">
        <f t="shared" si="20"/>
        <v/>
      </c>
      <c r="I352" s="1035" t="str">
        <f t="shared" si="21"/>
        <v/>
      </c>
      <c r="J352" s="1114"/>
      <c r="K352" s="1314" t="s">
        <v>7606</v>
      </c>
      <c r="L352" s="1073" t="s">
        <v>7607</v>
      </c>
      <c r="M352" s="1074">
        <v>0.17543859649122806</v>
      </c>
      <c r="N352" s="1315" t="str">
        <f t="shared" si="22"/>
        <v/>
      </c>
      <c r="O352" s="1325">
        <f t="shared" si="23"/>
        <v>1</v>
      </c>
      <c r="P352" s="1321" t="s">
        <v>7739</v>
      </c>
    </row>
    <row r="353" spans="1:16">
      <c r="A353" s="1034" t="s">
        <v>903</v>
      </c>
      <c r="B353" s="826">
        <v>656</v>
      </c>
      <c r="C353" s="1035">
        <v>1</v>
      </c>
      <c r="D353" s="1035">
        <v>656</v>
      </c>
      <c r="E353" s="1035" t="s">
        <v>903</v>
      </c>
      <c r="F353" s="1035"/>
      <c r="G353" s="1035"/>
      <c r="H353" s="1035" t="str">
        <f t="shared" si="20"/>
        <v/>
      </c>
      <c r="I353" s="1035" t="str">
        <f t="shared" si="21"/>
        <v/>
      </c>
      <c r="J353" s="1114">
        <v>1</v>
      </c>
      <c r="K353" s="1314">
        <v>6445690</v>
      </c>
      <c r="L353" s="1073">
        <v>28303600</v>
      </c>
      <c r="M353" s="1074">
        <v>4.3910892394763001</v>
      </c>
      <c r="N353" s="1315">
        <f t="shared" si="22"/>
        <v>4.3910892394763001</v>
      </c>
      <c r="O353" s="1325">
        <f t="shared" si="23"/>
        <v>1</v>
      </c>
      <c r="P353" s="1321">
        <v>2011</v>
      </c>
    </row>
    <row r="354" spans="1:16">
      <c r="A354" s="1034" t="s">
        <v>2115</v>
      </c>
      <c r="B354" s="826">
        <v>657</v>
      </c>
      <c r="C354" s="1035">
        <v>2</v>
      </c>
      <c r="D354" s="1035">
        <v>656</v>
      </c>
      <c r="E354" s="1035" t="s">
        <v>903</v>
      </c>
      <c r="F354" s="1035" t="s">
        <v>903</v>
      </c>
      <c r="G354" s="747" t="s">
        <v>6204</v>
      </c>
      <c r="H354" s="1035" t="str">
        <f t="shared" si="20"/>
        <v>Coffee, greena</v>
      </c>
      <c r="I354" s="1035">
        <f t="shared" si="21"/>
        <v>656</v>
      </c>
      <c r="J354" s="1114">
        <v>1</v>
      </c>
      <c r="K354" s="1314">
        <v>807647</v>
      </c>
      <c r="L354" s="1073">
        <v>7997740</v>
      </c>
      <c r="M354" s="1074">
        <v>9.9025192937013298</v>
      </c>
      <c r="N354" s="1315">
        <f t="shared" si="22"/>
        <v>9.9025192937013298</v>
      </c>
      <c r="O354" s="1325">
        <f t="shared" si="23"/>
        <v>1</v>
      </c>
      <c r="P354" s="1321">
        <v>2011</v>
      </c>
    </row>
    <row r="355" spans="1:16">
      <c r="A355" s="1034" t="s">
        <v>3527</v>
      </c>
      <c r="B355" s="826">
        <v>658</v>
      </c>
      <c r="C355" s="1035">
        <v>2</v>
      </c>
      <c r="D355" s="1035">
        <v>656</v>
      </c>
      <c r="E355" s="1035" t="s">
        <v>903</v>
      </c>
      <c r="F355" s="1035" t="s">
        <v>903</v>
      </c>
      <c r="G355" s="747" t="s">
        <v>6205</v>
      </c>
      <c r="H355" s="1035" t="str">
        <f t="shared" si="20"/>
        <v>Coffee, greenb</v>
      </c>
      <c r="I355" s="1035">
        <f t="shared" si="21"/>
        <v>656</v>
      </c>
      <c r="J355" s="1114">
        <v>1</v>
      </c>
      <c r="K355" s="1314">
        <v>16965</v>
      </c>
      <c r="L355" s="1073">
        <v>79674</v>
      </c>
      <c r="M355" s="1074">
        <v>4.6963748894783404</v>
      </c>
      <c r="N355" s="1315">
        <f t="shared" si="22"/>
        <v>4.6963748894783404</v>
      </c>
      <c r="O355" s="1325">
        <f t="shared" si="23"/>
        <v>1</v>
      </c>
      <c r="P355" s="1321">
        <v>2011</v>
      </c>
    </row>
    <row r="356" spans="1:16">
      <c r="A356" s="1034" t="s">
        <v>2839</v>
      </c>
      <c r="B356" s="826">
        <v>659</v>
      </c>
      <c r="C356" s="1035">
        <v>2</v>
      </c>
      <c r="D356" s="1035">
        <v>656</v>
      </c>
      <c r="E356" s="1035" t="s">
        <v>903</v>
      </c>
      <c r="F356" s="1035" t="s">
        <v>903</v>
      </c>
      <c r="G356" s="747" t="s">
        <v>6206</v>
      </c>
      <c r="H356" s="1035" t="str">
        <f t="shared" si="20"/>
        <v>Coffee, greenc</v>
      </c>
      <c r="I356" s="1035">
        <f t="shared" si="21"/>
        <v>656</v>
      </c>
      <c r="J356" s="1114">
        <v>1</v>
      </c>
      <c r="K356" s="1314">
        <v>797227</v>
      </c>
      <c r="L356" s="1073">
        <v>6661540</v>
      </c>
      <c r="M356" s="1074">
        <v>8.3558885988557794</v>
      </c>
      <c r="N356" s="1315">
        <f t="shared" si="22"/>
        <v>8.3558885988557794</v>
      </c>
      <c r="O356" s="1325">
        <f t="shared" si="23"/>
        <v>1</v>
      </c>
      <c r="P356" s="1321">
        <v>2011</v>
      </c>
    </row>
    <row r="357" spans="1:16">
      <c r="A357" s="1034" t="s">
        <v>3936</v>
      </c>
      <c r="B357" s="826">
        <v>660</v>
      </c>
      <c r="C357" s="1035">
        <v>2</v>
      </c>
      <c r="D357" s="1035">
        <v>656</v>
      </c>
      <c r="E357" s="1035" t="s">
        <v>903</v>
      </c>
      <c r="F357" s="1035" t="s">
        <v>903</v>
      </c>
      <c r="G357" s="747" t="s">
        <v>6207</v>
      </c>
      <c r="H357" s="1035" t="str">
        <f t="shared" si="20"/>
        <v>Coffee, greend</v>
      </c>
      <c r="I357" s="1035">
        <f t="shared" si="21"/>
        <v>656</v>
      </c>
      <c r="J357" s="1114">
        <v>1</v>
      </c>
      <c r="K357" s="1314">
        <v>9020</v>
      </c>
      <c r="L357" s="1073">
        <v>24375</v>
      </c>
      <c r="M357" s="1074">
        <v>2.70232815964523</v>
      </c>
      <c r="N357" s="1315">
        <f t="shared" si="22"/>
        <v>2.70232815964523</v>
      </c>
      <c r="O357" s="1325">
        <f t="shared" si="23"/>
        <v>1</v>
      </c>
      <c r="P357" s="1321">
        <v>2011</v>
      </c>
    </row>
    <row r="358" spans="1:16">
      <c r="A358" s="1034" t="s">
        <v>3346</v>
      </c>
      <c r="B358" s="826">
        <v>661</v>
      </c>
      <c r="C358" s="1035">
        <v>1</v>
      </c>
      <c r="D358" s="1035">
        <v>661</v>
      </c>
      <c r="E358" s="1035" t="s">
        <v>3346</v>
      </c>
      <c r="F358" s="1035"/>
      <c r="G358" s="1035"/>
      <c r="H358" s="1035" t="str">
        <f t="shared" si="20"/>
        <v/>
      </c>
      <c r="I358" s="1035" t="str">
        <f t="shared" si="21"/>
        <v/>
      </c>
      <c r="J358" s="1114"/>
      <c r="K358" s="1314">
        <v>3302670</v>
      </c>
      <c r="L358" s="1073">
        <v>10841600</v>
      </c>
      <c r="M358" s="1074">
        <v>3.2826773489328298</v>
      </c>
      <c r="N358" s="1315" t="str">
        <f t="shared" si="22"/>
        <v/>
      </c>
      <c r="O358" s="1325">
        <f t="shared" si="23"/>
        <v>1</v>
      </c>
      <c r="P358" s="1321">
        <v>2011</v>
      </c>
    </row>
    <row r="359" spans="1:16">
      <c r="A359" s="1034" t="s">
        <v>7249</v>
      </c>
      <c r="B359" s="826">
        <v>662</v>
      </c>
      <c r="C359" s="1035">
        <v>2</v>
      </c>
      <c r="D359" s="1035">
        <v>661</v>
      </c>
      <c r="E359" s="1035" t="s">
        <v>3346</v>
      </c>
      <c r="F359" s="1035" t="s">
        <v>3346</v>
      </c>
      <c r="G359" s="747" t="s">
        <v>6204</v>
      </c>
      <c r="H359" s="1035" t="str">
        <f t="shared" si="20"/>
        <v>Cocoa beansa</v>
      </c>
      <c r="I359" s="1035">
        <f t="shared" si="21"/>
        <v>661</v>
      </c>
      <c r="J359" s="1114">
        <v>0.8</v>
      </c>
      <c r="K359" s="1314">
        <v>582601</v>
      </c>
      <c r="L359" s="1073">
        <v>2642530</v>
      </c>
      <c r="M359" s="1074">
        <v>4.5357457333578202</v>
      </c>
      <c r="N359" s="1315">
        <f t="shared" si="22"/>
        <v>3.6285965866862564</v>
      </c>
      <c r="O359" s="1325">
        <f t="shared" si="23"/>
        <v>0.81872189470182843</v>
      </c>
      <c r="P359" s="1321">
        <v>2011</v>
      </c>
    </row>
    <row r="360" spans="1:16">
      <c r="A360" s="1034" t="s">
        <v>2832</v>
      </c>
      <c r="B360" s="826">
        <v>663</v>
      </c>
      <c r="C360" s="1035">
        <v>2</v>
      </c>
      <c r="D360" s="1035">
        <v>661</v>
      </c>
      <c r="E360" s="1035" t="s">
        <v>3346</v>
      </c>
      <c r="F360" s="1035" t="s">
        <v>3346</v>
      </c>
      <c r="G360" s="747" t="s">
        <v>6204</v>
      </c>
      <c r="H360" s="1035" t="str">
        <f t="shared" si="20"/>
        <v>Cocoa beansa</v>
      </c>
      <c r="I360" s="1035">
        <f t="shared" si="21"/>
        <v>661</v>
      </c>
      <c r="J360" s="1114">
        <v>0.2</v>
      </c>
      <c r="K360" s="1314" t="s">
        <v>7608</v>
      </c>
      <c r="L360" s="1073" t="s">
        <v>7609</v>
      </c>
      <c r="M360" s="1074">
        <v>0.42458877007096374</v>
      </c>
      <c r="N360" s="1315">
        <f t="shared" si="22"/>
        <v>8.4917754014192756E-2</v>
      </c>
      <c r="O360" s="1325">
        <f t="shared" si="23"/>
        <v>8.7461435687048201</v>
      </c>
      <c r="P360" s="1321" t="s">
        <v>7739</v>
      </c>
    </row>
    <row r="361" spans="1:16">
      <c r="A361" s="1034" t="s">
        <v>2829</v>
      </c>
      <c r="B361" s="826">
        <v>664</v>
      </c>
      <c r="C361" s="1035">
        <v>3</v>
      </c>
      <c r="D361" s="1035">
        <v>661</v>
      </c>
      <c r="E361" s="1035" t="s">
        <v>3346</v>
      </c>
      <c r="F361" s="1035" t="s">
        <v>7249</v>
      </c>
      <c r="G361" s="1035" t="s">
        <v>6204</v>
      </c>
      <c r="H361" s="1035" t="str">
        <f t="shared" si="20"/>
        <v>Cocoa, pastea</v>
      </c>
      <c r="I361" s="1035">
        <f t="shared" si="21"/>
        <v>662</v>
      </c>
      <c r="J361" s="1114">
        <v>0.47</v>
      </c>
      <c r="K361" s="1314">
        <v>737661</v>
      </c>
      <c r="L361" s="1073">
        <v>3574680</v>
      </c>
      <c r="M361" s="1074">
        <v>4.8459658298323998</v>
      </c>
      <c r="N361" s="1315">
        <f t="shared" si="22"/>
        <v>2.2776039400212276</v>
      </c>
      <c r="O361" s="1325">
        <f t="shared" si="23"/>
        <v>0.79775496586971351</v>
      </c>
      <c r="P361" s="1321">
        <v>2011</v>
      </c>
    </row>
    <row r="362" spans="1:16">
      <c r="A362" s="1034" t="s">
        <v>2834</v>
      </c>
      <c r="B362" s="826">
        <v>665</v>
      </c>
      <c r="C362" s="1035">
        <v>3</v>
      </c>
      <c r="D362" s="1035">
        <v>661</v>
      </c>
      <c r="E362" s="1035" t="s">
        <v>3346</v>
      </c>
      <c r="F362" s="1035" t="s">
        <v>7249</v>
      </c>
      <c r="G362" s="747" t="s">
        <v>6204</v>
      </c>
      <c r="H362" s="1035" t="str">
        <f t="shared" si="20"/>
        <v>Cocoa, pastea</v>
      </c>
      <c r="I362" s="1035">
        <f t="shared" si="21"/>
        <v>662</v>
      </c>
      <c r="J362" s="1114">
        <v>0.53</v>
      </c>
      <c r="K362" s="1314">
        <v>954033</v>
      </c>
      <c r="L362" s="1073">
        <v>4399820</v>
      </c>
      <c r="M362" s="1074">
        <v>4.6118111218375004</v>
      </c>
      <c r="N362" s="1315">
        <f t="shared" si="22"/>
        <v>2.4442598945738752</v>
      </c>
      <c r="O362" s="1325">
        <f t="shared" si="23"/>
        <v>0.83825924415643516</v>
      </c>
      <c r="P362" s="1321">
        <v>2011</v>
      </c>
    </row>
    <row r="363" spans="1:16">
      <c r="A363" s="1034" t="s">
        <v>4712</v>
      </c>
      <c r="B363" s="826">
        <v>666</v>
      </c>
      <c r="C363" s="1035">
        <v>4</v>
      </c>
      <c r="D363" s="1035">
        <v>661</v>
      </c>
      <c r="E363" s="1035" t="s">
        <v>3346</v>
      </c>
      <c r="F363" s="1035" t="s">
        <v>2834</v>
      </c>
      <c r="G363" s="1035" t="s">
        <v>6204</v>
      </c>
      <c r="H363" s="1035" t="str">
        <f t="shared" si="20"/>
        <v>Cocoapowder&amp;Cakea</v>
      </c>
      <c r="I363" s="1035">
        <f t="shared" si="21"/>
        <v>665</v>
      </c>
      <c r="J363" s="1114">
        <v>4.7</v>
      </c>
      <c r="K363" s="1314">
        <v>4717530</v>
      </c>
      <c r="L363" s="1073">
        <v>22429700</v>
      </c>
      <c r="M363" s="1074">
        <v>4.7545431613577396</v>
      </c>
      <c r="N363" s="1315">
        <f t="shared" si="22"/>
        <v>22.346352858381376</v>
      </c>
      <c r="O363" s="1325">
        <f t="shared" si="23"/>
        <v>3.9398184475352456</v>
      </c>
      <c r="P363" s="1321">
        <v>2011</v>
      </c>
    </row>
    <row r="364" spans="1:16">
      <c r="A364" s="1034" t="s">
        <v>4578</v>
      </c>
      <c r="B364" s="826">
        <v>667</v>
      </c>
      <c r="C364" s="1035">
        <v>1</v>
      </c>
      <c r="D364" s="1035">
        <v>667</v>
      </c>
      <c r="E364" s="1035" t="s">
        <v>4578</v>
      </c>
      <c r="F364" s="1035"/>
      <c r="G364" s="1035"/>
      <c r="H364" s="1035" t="str">
        <f t="shared" si="20"/>
        <v/>
      </c>
      <c r="I364" s="1035" t="str">
        <f t="shared" si="21"/>
        <v/>
      </c>
      <c r="J364" s="1114"/>
      <c r="K364" s="1314">
        <v>1902160</v>
      </c>
      <c r="L364" s="1073">
        <v>6640780</v>
      </c>
      <c r="M364" s="1074">
        <v>3.4911784497623799</v>
      </c>
      <c r="N364" s="1315" t="str">
        <f t="shared" si="22"/>
        <v/>
      </c>
      <c r="O364" s="1325">
        <f t="shared" si="23"/>
        <v>1</v>
      </c>
      <c r="P364" s="1321">
        <v>2011</v>
      </c>
    </row>
    <row r="365" spans="1:16">
      <c r="A365" s="1034" t="s">
        <v>2895</v>
      </c>
      <c r="B365" s="826">
        <v>671</v>
      </c>
      <c r="C365" s="1035">
        <v>1</v>
      </c>
      <c r="D365" s="1035">
        <v>671</v>
      </c>
      <c r="E365" s="1035" t="s">
        <v>2895</v>
      </c>
      <c r="F365" s="1035"/>
      <c r="G365" s="1035"/>
      <c r="H365" s="1035" t="str">
        <f t="shared" si="20"/>
        <v/>
      </c>
      <c r="I365" s="1035" t="str">
        <f t="shared" si="21"/>
        <v/>
      </c>
      <c r="J365" s="1114"/>
      <c r="K365" s="1314">
        <v>79883</v>
      </c>
      <c r="L365" s="1073">
        <v>128700</v>
      </c>
      <c r="M365" s="1074">
        <v>1.6111062428802101</v>
      </c>
      <c r="N365" s="1315" t="str">
        <f t="shared" si="22"/>
        <v/>
      </c>
      <c r="O365" s="1325">
        <f t="shared" si="23"/>
        <v>1</v>
      </c>
      <c r="P365" s="1321">
        <v>2011</v>
      </c>
    </row>
    <row r="366" spans="1:16">
      <c r="A366" s="1034" t="s">
        <v>7326</v>
      </c>
      <c r="B366" s="826">
        <v>672</v>
      </c>
      <c r="C366" s="1035">
        <v>1</v>
      </c>
      <c r="D366" s="1035">
        <v>672</v>
      </c>
      <c r="E366" s="1035" t="s">
        <v>7326</v>
      </c>
      <c r="F366" s="1035"/>
      <c r="G366" s="1035"/>
      <c r="H366" s="1035" t="str">
        <f t="shared" si="20"/>
        <v/>
      </c>
      <c r="I366" s="1035" t="str">
        <f t="shared" si="21"/>
        <v/>
      </c>
      <c r="J366" s="1114"/>
      <c r="K366" s="1314">
        <v>186539</v>
      </c>
      <c r="L366" s="1073">
        <v>882881</v>
      </c>
      <c r="M366" s="1074">
        <v>4.7329566471354498</v>
      </c>
      <c r="N366" s="1315" t="str">
        <f t="shared" si="22"/>
        <v/>
      </c>
      <c r="O366" s="1325">
        <f t="shared" si="23"/>
        <v>1</v>
      </c>
      <c r="P366" s="1321">
        <v>2011</v>
      </c>
    </row>
    <row r="367" spans="1:16">
      <c r="A367" s="1034" t="s">
        <v>6050</v>
      </c>
      <c r="B367" s="1035">
        <v>674</v>
      </c>
      <c r="C367" s="1035">
        <v>1</v>
      </c>
      <c r="D367" s="1035">
        <v>674</v>
      </c>
      <c r="E367" s="1035" t="s">
        <v>6050</v>
      </c>
      <c r="F367" s="1035"/>
      <c r="G367" s="1035"/>
      <c r="H367" s="1035" t="str">
        <f t="shared" si="20"/>
        <v/>
      </c>
      <c r="I367" s="1035" t="str">
        <f t="shared" si="21"/>
        <v/>
      </c>
      <c r="J367" s="1114"/>
      <c r="K367" s="1314" t="s">
        <v>7512</v>
      </c>
      <c r="L367" s="1073" t="s">
        <v>7512</v>
      </c>
      <c r="M367" s="1074">
        <v>0</v>
      </c>
      <c r="N367" s="1315" t="str">
        <f t="shared" si="22"/>
        <v/>
      </c>
      <c r="O367" s="1325">
        <f t="shared" si="23"/>
        <v>1</v>
      </c>
      <c r="P367" s="1321" t="s">
        <v>7739</v>
      </c>
    </row>
    <row r="368" spans="1:16">
      <c r="A368" s="1034" t="s">
        <v>3782</v>
      </c>
      <c r="B368" s="826">
        <v>677</v>
      </c>
      <c r="C368" s="1035">
        <v>1</v>
      </c>
      <c r="D368" s="1035">
        <v>677</v>
      </c>
      <c r="E368" s="1035" t="s">
        <v>3782</v>
      </c>
      <c r="F368" s="1035"/>
      <c r="G368" s="1035"/>
      <c r="H368" s="1035" t="str">
        <f t="shared" si="20"/>
        <v/>
      </c>
      <c r="I368" s="1035" t="str">
        <f t="shared" si="21"/>
        <v/>
      </c>
      <c r="J368" s="1114"/>
      <c r="K368" s="1314">
        <v>48631</v>
      </c>
      <c r="L368" s="1073">
        <v>340420</v>
      </c>
      <c r="M368" s="1074">
        <v>7.0000616890460803</v>
      </c>
      <c r="N368" s="1315" t="str">
        <f t="shared" si="22"/>
        <v/>
      </c>
      <c r="O368" s="1325">
        <f t="shared" si="23"/>
        <v>1</v>
      </c>
      <c r="P368" s="1321">
        <v>2011</v>
      </c>
    </row>
    <row r="369" spans="1:16">
      <c r="A369" s="1034" t="s">
        <v>5269</v>
      </c>
      <c r="B369" s="826">
        <v>687</v>
      </c>
      <c r="C369" s="1035">
        <v>1</v>
      </c>
      <c r="D369" s="1035">
        <v>687</v>
      </c>
      <c r="E369" s="1035" t="s">
        <v>5269</v>
      </c>
      <c r="F369" s="1035"/>
      <c r="G369" s="1035"/>
      <c r="H369" s="1035" t="str">
        <f t="shared" si="20"/>
        <v/>
      </c>
      <c r="I369" s="1035" t="str">
        <f t="shared" si="21"/>
        <v/>
      </c>
      <c r="J369" s="1114"/>
      <c r="K369" s="1314">
        <v>314240</v>
      </c>
      <c r="L369" s="1073">
        <v>1667880</v>
      </c>
      <c r="M369" s="1074">
        <v>5.3076629327902198</v>
      </c>
      <c r="N369" s="1315" t="str">
        <f t="shared" si="22"/>
        <v/>
      </c>
      <c r="O369" s="1325">
        <f t="shared" si="23"/>
        <v>1</v>
      </c>
      <c r="P369" s="1321">
        <v>2011</v>
      </c>
    </row>
    <row r="370" spans="1:16">
      <c r="A370" s="1034" t="s">
        <v>2631</v>
      </c>
      <c r="B370" s="826">
        <v>689</v>
      </c>
      <c r="C370" s="1035">
        <v>1</v>
      </c>
      <c r="D370" s="1035">
        <v>689</v>
      </c>
      <c r="E370" s="1035" t="s">
        <v>2631</v>
      </c>
      <c r="F370" s="1035"/>
      <c r="G370" s="1035"/>
      <c r="H370" s="1035" t="str">
        <f t="shared" si="20"/>
        <v/>
      </c>
      <c r="I370" s="1035" t="str">
        <f t="shared" si="21"/>
        <v/>
      </c>
      <c r="J370" s="1114"/>
      <c r="K370" s="1314">
        <v>546853</v>
      </c>
      <c r="L370" s="1073">
        <v>1308300</v>
      </c>
      <c r="M370" s="1074">
        <v>2.3924162434877401</v>
      </c>
      <c r="N370" s="1315" t="str">
        <f t="shared" si="22"/>
        <v/>
      </c>
      <c r="O370" s="1325">
        <f t="shared" si="23"/>
        <v>1</v>
      </c>
      <c r="P370" s="1321">
        <v>2011</v>
      </c>
    </row>
    <row r="371" spans="1:16">
      <c r="A371" s="1034" t="s">
        <v>4583</v>
      </c>
      <c r="B371" s="826">
        <v>692</v>
      </c>
      <c r="C371" s="1035">
        <v>1</v>
      </c>
      <c r="D371" s="1035">
        <v>692</v>
      </c>
      <c r="E371" s="1035" t="s">
        <v>4583</v>
      </c>
      <c r="F371" s="1035"/>
      <c r="G371" s="1035"/>
      <c r="H371" s="1035" t="str">
        <f t="shared" si="20"/>
        <v/>
      </c>
      <c r="I371" s="1035" t="str">
        <f t="shared" si="21"/>
        <v/>
      </c>
      <c r="J371" s="1114"/>
      <c r="K371" s="1314">
        <v>6294</v>
      </c>
      <c r="L371" s="1073">
        <v>123409</v>
      </c>
      <c r="M371" s="1074">
        <v>19.607403876707998</v>
      </c>
      <c r="N371" s="1315" t="str">
        <f t="shared" si="22"/>
        <v/>
      </c>
      <c r="O371" s="1325">
        <f t="shared" si="23"/>
        <v>1</v>
      </c>
      <c r="P371" s="1321">
        <v>2011</v>
      </c>
    </row>
    <row r="372" spans="1:16">
      <c r="A372" s="1034" t="s">
        <v>2635</v>
      </c>
      <c r="B372" s="826">
        <v>693</v>
      </c>
      <c r="C372" s="1035">
        <v>1</v>
      </c>
      <c r="D372" s="1035">
        <v>693</v>
      </c>
      <c r="E372" s="1035" t="s">
        <v>2635</v>
      </c>
      <c r="F372" s="1035"/>
      <c r="G372" s="1035"/>
      <c r="H372" s="1035" t="str">
        <f t="shared" si="20"/>
        <v/>
      </c>
      <c r="I372" s="1035" t="str">
        <f t="shared" si="21"/>
        <v/>
      </c>
      <c r="J372" s="1114"/>
      <c r="K372" s="1314">
        <v>141583</v>
      </c>
      <c r="L372" s="1073">
        <v>317784</v>
      </c>
      <c r="M372" s="1074">
        <v>2.2445067557545801</v>
      </c>
      <c r="N372" s="1315" t="str">
        <f t="shared" si="22"/>
        <v/>
      </c>
      <c r="O372" s="1325">
        <f t="shared" si="23"/>
        <v>1</v>
      </c>
      <c r="P372" s="1321">
        <v>2011</v>
      </c>
    </row>
    <row r="373" spans="1:16">
      <c r="A373" s="1034" t="s">
        <v>2639</v>
      </c>
      <c r="B373" s="826">
        <v>698</v>
      </c>
      <c r="C373" s="1035">
        <v>1</v>
      </c>
      <c r="D373" s="1035">
        <v>698</v>
      </c>
      <c r="E373" s="1035" t="s">
        <v>2639</v>
      </c>
      <c r="F373" s="1035"/>
      <c r="G373" s="1035"/>
      <c r="H373" s="1035" t="str">
        <f t="shared" si="20"/>
        <v/>
      </c>
      <c r="I373" s="1035" t="str">
        <f t="shared" si="21"/>
        <v/>
      </c>
      <c r="J373" s="1114"/>
      <c r="K373" s="1314">
        <v>66121</v>
      </c>
      <c r="L373" s="1073">
        <v>712425</v>
      </c>
      <c r="M373" s="1074">
        <v>10.7745648129944</v>
      </c>
      <c r="N373" s="1315" t="str">
        <f t="shared" si="22"/>
        <v/>
      </c>
      <c r="O373" s="1325">
        <f t="shared" si="23"/>
        <v>1</v>
      </c>
      <c r="P373" s="1321">
        <v>2011</v>
      </c>
    </row>
    <row r="374" spans="1:16">
      <c r="A374" s="1034" t="s">
        <v>802</v>
      </c>
      <c r="B374" s="826">
        <v>702</v>
      </c>
      <c r="C374" s="1035">
        <v>1</v>
      </c>
      <c r="D374" s="1035">
        <v>702</v>
      </c>
      <c r="E374" s="1035" t="s">
        <v>802</v>
      </c>
      <c r="F374" s="1035"/>
      <c r="G374" s="1035"/>
      <c r="H374" s="1035" t="str">
        <f t="shared" si="20"/>
        <v/>
      </c>
      <c r="I374" s="1035" t="str">
        <f t="shared" si="21"/>
        <v/>
      </c>
      <c r="J374" s="1114"/>
      <c r="K374" s="1314">
        <v>66578</v>
      </c>
      <c r="L374" s="1073">
        <v>824561</v>
      </c>
      <c r="M374" s="1074">
        <v>12.384886899576401</v>
      </c>
      <c r="N374" s="1315" t="str">
        <f t="shared" si="22"/>
        <v/>
      </c>
      <c r="O374" s="1325">
        <f t="shared" si="23"/>
        <v>1</v>
      </c>
      <c r="P374" s="1321">
        <v>2011</v>
      </c>
    </row>
    <row r="375" spans="1:16">
      <c r="A375" s="1034" t="s">
        <v>785</v>
      </c>
      <c r="B375" s="826">
        <v>711</v>
      </c>
      <c r="C375" s="1035">
        <v>1</v>
      </c>
      <c r="D375" s="1035">
        <v>711</v>
      </c>
      <c r="E375" s="1035" t="s">
        <v>785</v>
      </c>
      <c r="F375" s="1035"/>
      <c r="G375" s="1035"/>
      <c r="H375" s="1035" t="str">
        <f t="shared" si="20"/>
        <v/>
      </c>
      <c r="I375" s="1035" t="str">
        <f t="shared" si="21"/>
        <v/>
      </c>
      <c r="J375" s="1114"/>
      <c r="K375" s="1314">
        <v>305412</v>
      </c>
      <c r="L375" s="1073">
        <v>601348</v>
      </c>
      <c r="M375" s="1074">
        <v>1.9689730593427901</v>
      </c>
      <c r="N375" s="1315" t="str">
        <f t="shared" si="22"/>
        <v/>
      </c>
      <c r="O375" s="1325">
        <f t="shared" si="23"/>
        <v>1</v>
      </c>
      <c r="P375" s="1321">
        <v>2011</v>
      </c>
    </row>
    <row r="376" spans="1:16">
      <c r="A376" s="1034" t="s">
        <v>5233</v>
      </c>
      <c r="B376" s="826">
        <v>720</v>
      </c>
      <c r="C376" s="1035">
        <v>1</v>
      </c>
      <c r="D376" s="1035">
        <v>720</v>
      </c>
      <c r="E376" s="1035" t="s">
        <v>5233</v>
      </c>
      <c r="F376" s="1035"/>
      <c r="G376" s="1035"/>
      <c r="H376" s="1035" t="str">
        <f t="shared" si="20"/>
        <v/>
      </c>
      <c r="I376" s="1035" t="str">
        <f t="shared" si="21"/>
        <v/>
      </c>
      <c r="J376" s="1114"/>
      <c r="K376" s="1314">
        <v>537350</v>
      </c>
      <c r="L376" s="1073">
        <v>672431</v>
      </c>
      <c r="M376" s="1074">
        <v>1.25138364194659</v>
      </c>
      <c r="N376" s="1315" t="str">
        <f t="shared" si="22"/>
        <v/>
      </c>
      <c r="O376" s="1325">
        <f t="shared" si="23"/>
        <v>1</v>
      </c>
      <c r="P376" s="1321">
        <v>2011</v>
      </c>
    </row>
    <row r="377" spans="1:16">
      <c r="A377" s="1034" t="s">
        <v>677</v>
      </c>
      <c r="B377" s="826">
        <v>723</v>
      </c>
      <c r="C377" s="1035">
        <v>1</v>
      </c>
      <c r="D377" s="1035">
        <v>723</v>
      </c>
      <c r="E377" s="1035" t="s">
        <v>677</v>
      </c>
      <c r="F377" s="1035"/>
      <c r="G377" s="1035"/>
      <c r="H377" s="1035" t="str">
        <f t="shared" si="20"/>
        <v/>
      </c>
      <c r="I377" s="1035" t="str">
        <f t="shared" si="21"/>
        <v/>
      </c>
      <c r="J377" s="1114"/>
      <c r="K377" s="1314">
        <v>363379</v>
      </c>
      <c r="L377" s="1073">
        <v>1350910</v>
      </c>
      <c r="M377" s="1074">
        <v>3.7176336552194802</v>
      </c>
      <c r="N377" s="1315" t="str">
        <f t="shared" si="22"/>
        <v/>
      </c>
      <c r="O377" s="1325">
        <f t="shared" si="23"/>
        <v>1</v>
      </c>
      <c r="P377" s="1321">
        <v>2011</v>
      </c>
    </row>
    <row r="378" spans="1:16">
      <c r="A378" s="1034" t="s">
        <v>4953</v>
      </c>
      <c r="B378" s="826">
        <v>737</v>
      </c>
      <c r="C378" s="1035">
        <v>1</v>
      </c>
      <c r="D378" s="1035">
        <v>737</v>
      </c>
      <c r="E378" s="1035" t="s">
        <v>4953</v>
      </c>
      <c r="F378" s="1035"/>
      <c r="G378" s="1035"/>
      <c r="H378" s="1035" t="str">
        <f t="shared" si="20"/>
        <v/>
      </c>
      <c r="I378" s="1035" t="str">
        <f t="shared" si="21"/>
        <v/>
      </c>
      <c r="J378" s="1114"/>
      <c r="K378" s="1314">
        <v>355</v>
      </c>
      <c r="L378" s="1073">
        <v>15612</v>
      </c>
      <c r="M378" s="1074">
        <v>43.977464788732398</v>
      </c>
      <c r="N378" s="1315" t="str">
        <f t="shared" si="22"/>
        <v/>
      </c>
      <c r="O378" s="1325">
        <f t="shared" si="23"/>
        <v>1</v>
      </c>
      <c r="P378" s="1321">
        <v>2011</v>
      </c>
    </row>
    <row r="379" spans="1:16">
      <c r="A379" s="1034" t="s">
        <v>2983</v>
      </c>
      <c r="B379" s="826">
        <v>748</v>
      </c>
      <c r="C379" s="1035">
        <v>1</v>
      </c>
      <c r="D379" s="1035">
        <v>748</v>
      </c>
      <c r="E379" s="1035" t="s">
        <v>2983</v>
      </c>
      <c r="F379" s="1035"/>
      <c r="G379" s="1035"/>
      <c r="H379" s="1035" t="str">
        <f t="shared" si="20"/>
        <v/>
      </c>
      <c r="I379" s="1035" t="str">
        <f t="shared" si="21"/>
        <v/>
      </c>
      <c r="J379" s="1114"/>
      <c r="K379" s="1314">
        <v>8</v>
      </c>
      <c r="L379" s="1073">
        <v>47</v>
      </c>
      <c r="M379" s="1074">
        <v>5.875</v>
      </c>
      <c r="N379" s="1315" t="str">
        <f t="shared" si="22"/>
        <v/>
      </c>
      <c r="O379" s="1325">
        <f t="shared" si="23"/>
        <v>1</v>
      </c>
      <c r="P379" s="1321">
        <v>2011</v>
      </c>
    </row>
    <row r="380" spans="1:16">
      <c r="A380" s="1034" t="s">
        <v>4955</v>
      </c>
      <c r="B380" s="826">
        <v>753</v>
      </c>
      <c r="C380" s="1035"/>
      <c r="D380" s="1035" t="s">
        <v>2862</v>
      </c>
      <c r="E380" s="1035"/>
      <c r="F380" s="1035"/>
      <c r="G380" s="1035"/>
      <c r="H380" s="1035" t="str">
        <f t="shared" si="20"/>
        <v/>
      </c>
      <c r="I380" s="1035" t="str">
        <f t="shared" si="21"/>
        <v/>
      </c>
      <c r="J380" s="1114"/>
      <c r="K380" s="1314">
        <v>204831</v>
      </c>
      <c r="L380" s="1073">
        <v>3662570</v>
      </c>
      <c r="M380" s="1074">
        <v>17.880935991134201</v>
      </c>
      <c r="N380" s="1315" t="str">
        <f t="shared" si="22"/>
        <v/>
      </c>
      <c r="O380" s="1325">
        <f t="shared" si="23"/>
        <v>1</v>
      </c>
      <c r="P380" s="1321">
        <v>2011</v>
      </c>
    </row>
    <row r="381" spans="1:16">
      <c r="A381" s="1034" t="s">
        <v>3732</v>
      </c>
      <c r="B381" s="826">
        <v>754</v>
      </c>
      <c r="C381" s="1035">
        <v>1</v>
      </c>
      <c r="D381" s="826">
        <v>754</v>
      </c>
      <c r="E381" s="1035" t="s">
        <v>3732</v>
      </c>
      <c r="F381" s="1035"/>
      <c r="G381" s="1035"/>
      <c r="H381" s="1035" t="str">
        <f t="shared" si="20"/>
        <v/>
      </c>
      <c r="I381" s="1035" t="str">
        <f t="shared" si="21"/>
        <v/>
      </c>
      <c r="J381" s="1114"/>
      <c r="K381" s="1314">
        <v>8236</v>
      </c>
      <c r="L381" s="1073">
        <v>40647</v>
      </c>
      <c r="M381" s="1074">
        <v>4.9352841185041303</v>
      </c>
      <c r="N381" s="1315" t="str">
        <f t="shared" si="22"/>
        <v/>
      </c>
      <c r="O381" s="1325">
        <f t="shared" si="23"/>
        <v>1</v>
      </c>
      <c r="P381" s="1321">
        <v>2011</v>
      </c>
    </row>
    <row r="382" spans="1:16">
      <c r="A382" s="1034" t="s">
        <v>3730</v>
      </c>
      <c r="B382" s="826">
        <v>755</v>
      </c>
      <c r="C382" s="1035"/>
      <c r="D382" s="1035" t="s">
        <v>2862</v>
      </c>
      <c r="E382" s="1035"/>
      <c r="F382" s="1035"/>
      <c r="G382" s="1035"/>
      <c r="H382" s="1035" t="str">
        <f t="shared" si="20"/>
        <v/>
      </c>
      <c r="I382" s="1035" t="str">
        <f t="shared" si="21"/>
        <v/>
      </c>
      <c r="J382" s="1114"/>
      <c r="K382" s="1314">
        <v>1</v>
      </c>
      <c r="L382" s="1073">
        <v>80</v>
      </c>
      <c r="M382" s="1074">
        <v>1.2500000000000001E-2</v>
      </c>
      <c r="N382" s="1315" t="str">
        <f t="shared" si="22"/>
        <v/>
      </c>
      <c r="O382" s="1325">
        <f t="shared" si="23"/>
        <v>1</v>
      </c>
      <c r="P382" s="1321">
        <v>2009</v>
      </c>
    </row>
    <row r="383" spans="1:16">
      <c r="A383" s="1034" t="s">
        <v>906</v>
      </c>
      <c r="B383" s="826">
        <v>767</v>
      </c>
      <c r="C383" s="1035">
        <v>2</v>
      </c>
      <c r="D383" s="1035">
        <v>328</v>
      </c>
      <c r="E383" s="1035" t="s">
        <v>1321</v>
      </c>
      <c r="F383" s="1035" t="s">
        <v>1321</v>
      </c>
      <c r="G383" s="1035" t="s">
        <v>6204</v>
      </c>
      <c r="H383" s="1035" t="str">
        <f t="shared" si="20"/>
        <v>Seed cottona</v>
      </c>
      <c r="I383" s="1035">
        <f t="shared" si="21"/>
        <v>328</v>
      </c>
      <c r="J383" s="1114">
        <v>0.35</v>
      </c>
      <c r="K383" s="1314">
        <v>7856760</v>
      </c>
      <c r="L383" s="1073">
        <v>23177400</v>
      </c>
      <c r="M383" s="1074">
        <v>2.94999465428497</v>
      </c>
      <c r="N383" s="1315">
        <f t="shared" si="22"/>
        <v>1.0324981289997395</v>
      </c>
      <c r="O383" s="1325">
        <f t="shared" si="23"/>
        <v>0.47307063890401385</v>
      </c>
      <c r="P383" s="1321">
        <v>2011</v>
      </c>
    </row>
    <row r="384" spans="1:16">
      <c r="A384" s="1034" t="s">
        <v>3095</v>
      </c>
      <c r="B384" s="826">
        <v>768</v>
      </c>
      <c r="C384" s="1035">
        <v>3</v>
      </c>
      <c r="D384" s="1035">
        <v>328</v>
      </c>
      <c r="E384" s="1035" t="s">
        <v>1321</v>
      </c>
      <c r="F384" s="1035" t="s">
        <v>906</v>
      </c>
      <c r="G384" s="1035" t="s">
        <v>6204</v>
      </c>
      <c r="H384" s="1035" t="str">
        <f t="shared" si="20"/>
        <v>Cotton linta</v>
      </c>
      <c r="I384" s="1035">
        <f t="shared" si="21"/>
        <v>767</v>
      </c>
      <c r="J384" s="1114">
        <v>1</v>
      </c>
      <c r="K384" s="1314">
        <v>102268</v>
      </c>
      <c r="L384" s="1073">
        <v>299281</v>
      </c>
      <c r="M384" s="1074">
        <v>2.9264383775961198</v>
      </c>
      <c r="N384" s="1315">
        <f t="shared" si="22"/>
        <v>2.9264383775961198</v>
      </c>
      <c r="O384" s="1325">
        <f t="shared" si="23"/>
        <v>0.47307063890401385</v>
      </c>
      <c r="P384" s="1321">
        <v>2011</v>
      </c>
    </row>
    <row r="385" spans="1:16">
      <c r="A385" s="1034" t="s">
        <v>1427</v>
      </c>
      <c r="B385" s="826">
        <v>769</v>
      </c>
      <c r="C385" s="1035">
        <v>2</v>
      </c>
      <c r="D385" s="1035">
        <v>328</v>
      </c>
      <c r="E385" s="1035" t="s">
        <v>1321</v>
      </c>
      <c r="F385" s="1035" t="s">
        <v>1321</v>
      </c>
      <c r="G385" s="1035" t="s">
        <v>6204</v>
      </c>
      <c r="H385" s="1035" t="str">
        <f t="shared" si="20"/>
        <v>Seed cottona</v>
      </c>
      <c r="I385" s="1035">
        <f t="shared" si="21"/>
        <v>328</v>
      </c>
      <c r="J385" s="1114">
        <v>7.0000000000000007E-2</v>
      </c>
      <c r="K385" s="1314">
        <v>439224</v>
      </c>
      <c r="L385" s="1073">
        <v>744944</v>
      </c>
      <c r="M385" s="1074">
        <v>1.69604575341967</v>
      </c>
      <c r="N385" s="1315">
        <f t="shared" si="22"/>
        <v>0.11872320273937691</v>
      </c>
      <c r="O385" s="1325">
        <f t="shared" si="23"/>
        <v>0.82282913244068578</v>
      </c>
      <c r="P385" s="1321">
        <v>2011</v>
      </c>
    </row>
    <row r="386" spans="1:16">
      <c r="A386" s="1034" t="s">
        <v>5471</v>
      </c>
      <c r="B386" s="826">
        <v>770</v>
      </c>
      <c r="C386" s="1035">
        <v>3</v>
      </c>
      <c r="D386" s="1035">
        <v>328</v>
      </c>
      <c r="E386" s="1035" t="s">
        <v>1321</v>
      </c>
      <c r="F386" s="1035" t="s">
        <v>907</v>
      </c>
      <c r="G386" s="1035" t="s">
        <v>6204</v>
      </c>
      <c r="H386" s="1035" t="str">
        <f t="shared" si="20"/>
        <v>Cottonseeda</v>
      </c>
      <c r="I386" s="1035">
        <f t="shared" si="21"/>
        <v>329</v>
      </c>
      <c r="J386" s="1114">
        <v>0.1</v>
      </c>
      <c r="K386" s="1314">
        <v>213154</v>
      </c>
      <c r="L386" s="1073">
        <v>277469</v>
      </c>
      <c r="M386" s="1074">
        <v>1.30173020445312</v>
      </c>
      <c r="N386" s="1315">
        <f t="shared" si="22"/>
        <v>0.13017302044531201</v>
      </c>
      <c r="O386" s="1325">
        <f t="shared" si="23"/>
        <v>1.2071078273140889</v>
      </c>
      <c r="P386" s="1321">
        <v>2011</v>
      </c>
    </row>
    <row r="387" spans="1:16">
      <c r="A387" s="1034" t="s">
        <v>2264</v>
      </c>
      <c r="B387" s="826">
        <v>771</v>
      </c>
      <c r="C387" s="1035">
        <v>2</v>
      </c>
      <c r="D387" s="826">
        <v>773</v>
      </c>
      <c r="E387" s="1035" t="s">
        <v>4471</v>
      </c>
      <c r="F387" s="1035" t="s">
        <v>4471</v>
      </c>
      <c r="G387" s="1035" t="s">
        <v>6204</v>
      </c>
      <c r="H387" s="1035" t="str">
        <f t="shared" si="20"/>
        <v>Flax fibre and towa</v>
      </c>
      <c r="I387" s="1035">
        <f t="shared" si="21"/>
        <v>773</v>
      </c>
      <c r="J387" s="1114">
        <v>0.35</v>
      </c>
      <c r="K387" s="1314">
        <v>7416</v>
      </c>
      <c r="L387" s="1073">
        <v>7308</v>
      </c>
      <c r="M387" s="1074">
        <v>0.98543689320388395</v>
      </c>
      <c r="N387" s="1315">
        <f t="shared" si="22"/>
        <v>0.34490291262135936</v>
      </c>
      <c r="O387" s="1325">
        <f t="shared" si="23"/>
        <v>0.40656607254211946</v>
      </c>
      <c r="P387" s="1321">
        <v>2011</v>
      </c>
    </row>
    <row r="388" spans="1:16">
      <c r="A388" s="1034" t="s">
        <v>4471</v>
      </c>
      <c r="B388" s="826">
        <v>773</v>
      </c>
      <c r="C388" s="1035">
        <v>1</v>
      </c>
      <c r="D388" s="826">
        <v>773</v>
      </c>
      <c r="E388" s="1035" t="s">
        <v>4471</v>
      </c>
      <c r="F388" s="1035"/>
      <c r="G388" s="1035"/>
      <c r="H388" s="1035" t="str">
        <f t="shared" si="20"/>
        <v/>
      </c>
      <c r="I388" s="1035" t="str">
        <f t="shared" si="21"/>
        <v/>
      </c>
      <c r="J388" s="1114"/>
      <c r="K388" s="1314">
        <v>177253</v>
      </c>
      <c r="L388" s="1073">
        <v>468146</v>
      </c>
      <c r="M388" s="1074">
        <v>2.64111749871652</v>
      </c>
      <c r="N388" s="1315" t="str">
        <f t="shared" si="22"/>
        <v/>
      </c>
      <c r="O388" s="1325">
        <f t="shared" si="23"/>
        <v>1</v>
      </c>
      <c r="P388" s="1321">
        <v>2011</v>
      </c>
    </row>
    <row r="389" spans="1:16">
      <c r="A389" s="1034" t="s">
        <v>2266</v>
      </c>
      <c r="B389" s="826">
        <v>774</v>
      </c>
      <c r="C389" s="1035">
        <v>2</v>
      </c>
      <c r="D389" s="826">
        <v>773</v>
      </c>
      <c r="E389" s="1035" t="s">
        <v>4471</v>
      </c>
      <c r="F389" s="1035" t="s">
        <v>4471</v>
      </c>
      <c r="G389" s="1035" t="s">
        <v>6204</v>
      </c>
      <c r="H389" s="1035" t="str">
        <f t="shared" si="20"/>
        <v>Flax fibre and towa</v>
      </c>
      <c r="I389" s="1035">
        <f t="shared" si="21"/>
        <v>773</v>
      </c>
      <c r="J389" s="1114">
        <v>7.0000000000000007E-2</v>
      </c>
      <c r="K389" s="1314">
        <v>157653</v>
      </c>
      <c r="L389" s="1073">
        <v>125542</v>
      </c>
      <c r="M389" s="1074">
        <v>0.79631849695216705</v>
      </c>
      <c r="N389" s="1315">
        <f t="shared" si="22"/>
        <v>5.57422947866517E-2</v>
      </c>
      <c r="O389" s="1325">
        <f t="shared" si="23"/>
        <v>0.5031218148786476</v>
      </c>
      <c r="P389" s="1321">
        <v>2011</v>
      </c>
    </row>
    <row r="390" spans="1:16">
      <c r="A390" s="1034" t="s">
        <v>4897</v>
      </c>
      <c r="B390" s="826">
        <v>777</v>
      </c>
      <c r="C390" s="1035">
        <v>1</v>
      </c>
      <c r="D390" s="826">
        <v>777</v>
      </c>
      <c r="E390" s="1035" t="s">
        <v>4897</v>
      </c>
      <c r="F390" s="1035"/>
      <c r="G390" s="1035"/>
      <c r="H390" s="1035" t="str">
        <f t="shared" si="20"/>
        <v/>
      </c>
      <c r="I390" s="1035" t="str">
        <f t="shared" si="21"/>
        <v/>
      </c>
      <c r="J390" s="1114"/>
      <c r="K390" s="1314" t="s">
        <v>7610</v>
      </c>
      <c r="L390" s="1073" t="s">
        <v>7611</v>
      </c>
      <c r="M390" s="1074">
        <v>0.8521528725648343</v>
      </c>
      <c r="N390" s="1315" t="str">
        <f t="shared" si="22"/>
        <v/>
      </c>
      <c r="O390" s="1325">
        <f t="shared" si="23"/>
        <v>1</v>
      </c>
      <c r="P390" s="1321" t="s">
        <v>7739</v>
      </c>
    </row>
    <row r="391" spans="1:16">
      <c r="A391" s="1034" t="s">
        <v>5339</v>
      </c>
      <c r="B391" s="826">
        <v>778</v>
      </c>
      <c r="C391" s="1035">
        <v>2</v>
      </c>
      <c r="D391" s="1035">
        <v>310</v>
      </c>
      <c r="E391" s="1035" t="s">
        <v>6001</v>
      </c>
      <c r="F391" s="1035" t="s">
        <v>6001</v>
      </c>
      <c r="G391" s="1035" t="s">
        <v>6204</v>
      </c>
      <c r="H391" s="1035" t="str">
        <f t="shared" si="20"/>
        <v>Kapok Fruita</v>
      </c>
      <c r="I391" s="1035">
        <f t="shared" si="21"/>
        <v>310</v>
      </c>
      <c r="J391" s="1114">
        <v>0.33</v>
      </c>
      <c r="K391" s="1314">
        <v>28</v>
      </c>
      <c r="L391" s="1073">
        <v>68</v>
      </c>
      <c r="M391" s="1074">
        <v>0.41176470588235298</v>
      </c>
      <c r="N391" s="1315">
        <f t="shared" si="22"/>
        <v>0.13588235294117648</v>
      </c>
      <c r="O391" s="1325">
        <f t="shared" si="23"/>
        <v>2.3209172932330753</v>
      </c>
      <c r="P391" s="1321">
        <v>2005</v>
      </c>
    </row>
    <row r="392" spans="1:16">
      <c r="A392" s="1034" t="s">
        <v>816</v>
      </c>
      <c r="B392" s="826">
        <v>780</v>
      </c>
      <c r="C392" s="1035">
        <v>1</v>
      </c>
      <c r="D392" s="826">
        <v>780</v>
      </c>
      <c r="E392" s="1035" t="s">
        <v>816</v>
      </c>
      <c r="F392" s="1035"/>
      <c r="G392" s="1035"/>
      <c r="H392" s="1035" t="str">
        <f t="shared" ref="H392:H455" si="24">F392&amp;G392</f>
        <v/>
      </c>
      <c r="I392" s="1035" t="str">
        <f t="shared" ref="I392:I455" si="25">IFERROR(VLOOKUP(F392,$A$7:$B$590,2,FALSE),"")</f>
        <v/>
      </c>
      <c r="J392" s="1114"/>
      <c r="K392" s="1314">
        <v>490574</v>
      </c>
      <c r="L392" s="1073">
        <v>341902</v>
      </c>
      <c r="M392" s="1074">
        <v>0.69694276500589103</v>
      </c>
      <c r="N392" s="1315" t="str">
        <f t="shared" ref="N392:N455" si="26">IF(ISBLANK(J392),"",J392*M392)</f>
        <v/>
      </c>
      <c r="O392" s="1325">
        <f t="shared" ref="O392:O455" si="27">IF(ISBLANK(F392),1,J392/(N392/SUMIF(H$7:H$601,H392,N$7:N$601))*VLOOKUP(F392,A$7:O$601,15,FALSE))</f>
        <v>1</v>
      </c>
      <c r="P392" s="1321">
        <v>2011</v>
      </c>
    </row>
    <row r="393" spans="1:16">
      <c r="A393" s="1034" t="s">
        <v>5179</v>
      </c>
      <c r="B393" s="826">
        <v>782</v>
      </c>
      <c r="C393" s="1035">
        <v>1</v>
      </c>
      <c r="D393" s="826">
        <v>782</v>
      </c>
      <c r="E393" s="1035" t="s">
        <v>5179</v>
      </c>
      <c r="F393" s="1035"/>
      <c r="G393" s="1035"/>
      <c r="H393" s="1035" t="str">
        <f t="shared" si="24"/>
        <v/>
      </c>
      <c r="I393" s="1035" t="str">
        <f t="shared" si="25"/>
        <v/>
      </c>
      <c r="J393" s="1114"/>
      <c r="K393" s="1314" t="s">
        <v>7612</v>
      </c>
      <c r="L393" s="1073" t="s">
        <v>7613</v>
      </c>
      <c r="M393" s="1074">
        <v>0.39353448275862069</v>
      </c>
      <c r="N393" s="1315" t="str">
        <f t="shared" si="26"/>
        <v/>
      </c>
      <c r="O393" s="1325">
        <f t="shared" si="27"/>
        <v>1</v>
      </c>
      <c r="P393" s="1321" t="s">
        <v>7739</v>
      </c>
    </row>
    <row r="394" spans="1:16">
      <c r="A394" s="1034" t="s">
        <v>3735</v>
      </c>
      <c r="B394" s="826">
        <v>788</v>
      </c>
      <c r="C394" s="1035">
        <v>1</v>
      </c>
      <c r="D394" s="826">
        <v>788</v>
      </c>
      <c r="E394" s="1035" t="s">
        <v>3735</v>
      </c>
      <c r="F394" s="1035"/>
      <c r="G394" s="1035"/>
      <c r="H394" s="1035" t="str">
        <f t="shared" si="24"/>
        <v/>
      </c>
      <c r="I394" s="1035" t="str">
        <f t="shared" si="25"/>
        <v/>
      </c>
      <c r="J394" s="1114"/>
      <c r="K394" s="1314" t="s">
        <v>7614</v>
      </c>
      <c r="L394" s="1073" t="s">
        <v>7615</v>
      </c>
      <c r="M394" s="1074">
        <v>2.1855670103092781</v>
      </c>
      <c r="N394" s="1315" t="str">
        <f t="shared" si="26"/>
        <v/>
      </c>
      <c r="O394" s="1325">
        <f t="shared" si="27"/>
        <v>1</v>
      </c>
      <c r="P394" s="1321" t="s">
        <v>7739</v>
      </c>
    </row>
    <row r="395" spans="1:16">
      <c r="A395" s="1034" t="s">
        <v>674</v>
      </c>
      <c r="B395" s="826">
        <v>789</v>
      </c>
      <c r="C395" s="1035">
        <v>1</v>
      </c>
      <c r="D395" s="826">
        <v>789</v>
      </c>
      <c r="E395" s="1035" t="s">
        <v>674</v>
      </c>
      <c r="F395" s="1035"/>
      <c r="G395" s="1035"/>
      <c r="H395" s="1035" t="str">
        <f t="shared" si="24"/>
        <v/>
      </c>
      <c r="I395" s="1035" t="str">
        <f t="shared" si="25"/>
        <v/>
      </c>
      <c r="J395" s="1114"/>
      <c r="K395" s="1314" t="s">
        <v>7616</v>
      </c>
      <c r="L395" s="1073" t="s">
        <v>7617</v>
      </c>
      <c r="M395" s="1074">
        <v>1.1761137837272537</v>
      </c>
      <c r="N395" s="1315" t="str">
        <f t="shared" si="26"/>
        <v/>
      </c>
      <c r="O395" s="1325">
        <f t="shared" si="27"/>
        <v>1</v>
      </c>
      <c r="P395" s="1321" t="s">
        <v>7739</v>
      </c>
    </row>
    <row r="396" spans="1:16">
      <c r="A396" s="1034" t="s">
        <v>3377</v>
      </c>
      <c r="B396" s="826">
        <v>800</v>
      </c>
      <c r="C396" s="1035">
        <v>1</v>
      </c>
      <c r="D396" s="1035">
        <v>800</v>
      </c>
      <c r="E396" s="1035" t="s">
        <v>3377</v>
      </c>
      <c r="F396" s="1035"/>
      <c r="G396" s="1035"/>
      <c r="H396" s="1035" t="str">
        <f t="shared" si="24"/>
        <v/>
      </c>
      <c r="I396" s="1035" t="str">
        <f t="shared" si="25"/>
        <v/>
      </c>
      <c r="J396" s="1114"/>
      <c r="K396" s="1314" t="s">
        <v>7512</v>
      </c>
      <c r="L396" s="1073" t="s">
        <v>7512</v>
      </c>
      <c r="M396" s="1074">
        <v>0</v>
      </c>
      <c r="N396" s="1315" t="str">
        <f t="shared" si="26"/>
        <v/>
      </c>
      <c r="O396" s="1325">
        <f t="shared" si="27"/>
        <v>1</v>
      </c>
      <c r="P396" s="1321" t="s">
        <v>7739</v>
      </c>
    </row>
    <row r="397" spans="1:16">
      <c r="A397" s="1034" t="s">
        <v>4266</v>
      </c>
      <c r="B397" s="826">
        <v>809</v>
      </c>
      <c r="C397" s="1035">
        <v>1</v>
      </c>
      <c r="D397" s="826">
        <v>809</v>
      </c>
      <c r="E397" s="1035" t="s">
        <v>4266</v>
      </c>
      <c r="F397" s="1035"/>
      <c r="G397" s="1035"/>
      <c r="H397" s="1035" t="str">
        <f t="shared" si="24"/>
        <v/>
      </c>
      <c r="I397" s="1035" t="str">
        <f t="shared" si="25"/>
        <v/>
      </c>
      <c r="J397" s="1114"/>
      <c r="K397" s="1314">
        <v>10801</v>
      </c>
      <c r="L397" s="1073">
        <v>16439</v>
      </c>
      <c r="M397" s="1074">
        <v>1.5219887047495599</v>
      </c>
      <c r="N397" s="1315" t="str">
        <f t="shared" si="26"/>
        <v/>
      </c>
      <c r="O397" s="1325">
        <f t="shared" si="27"/>
        <v>1</v>
      </c>
      <c r="P397" s="1321">
        <v>2011</v>
      </c>
    </row>
    <row r="398" spans="1:16">
      <c r="A398" s="1034" t="s">
        <v>3529</v>
      </c>
      <c r="B398" s="826">
        <v>813</v>
      </c>
      <c r="C398" s="1035"/>
      <c r="D398" s="1035" t="s">
        <v>2862</v>
      </c>
      <c r="E398" s="1035"/>
      <c r="F398" s="1035"/>
      <c r="G398" s="1035"/>
      <c r="H398" s="1035" t="str">
        <f t="shared" si="24"/>
        <v/>
      </c>
      <c r="I398" s="1035" t="str">
        <f t="shared" si="25"/>
        <v/>
      </c>
      <c r="J398" s="1114"/>
      <c r="K398" s="1314" t="s">
        <v>7618</v>
      </c>
      <c r="L398" s="1073" t="s">
        <v>7619</v>
      </c>
      <c r="M398" s="1074">
        <v>0.26579576068723632</v>
      </c>
      <c r="N398" s="1315" t="str">
        <f t="shared" si="26"/>
        <v/>
      </c>
      <c r="O398" s="1325">
        <f t="shared" si="27"/>
        <v>1</v>
      </c>
      <c r="P398" s="1321" t="s">
        <v>7739</v>
      </c>
    </row>
    <row r="399" spans="1:16">
      <c r="A399" s="1034" t="s">
        <v>2259</v>
      </c>
      <c r="B399" s="826">
        <v>821</v>
      </c>
      <c r="C399" s="1035">
        <v>1</v>
      </c>
      <c r="D399" s="826">
        <v>821</v>
      </c>
      <c r="E399" s="1035" t="s">
        <v>2259</v>
      </c>
      <c r="F399" s="1035"/>
      <c r="G399" s="1035"/>
      <c r="H399" s="1035" t="str">
        <f t="shared" si="24"/>
        <v/>
      </c>
      <c r="I399" s="1035" t="str">
        <f t="shared" si="25"/>
        <v/>
      </c>
      <c r="J399" s="1114"/>
      <c r="K399" s="1314" t="s">
        <v>7620</v>
      </c>
      <c r="L399" s="1073" t="s">
        <v>7621</v>
      </c>
      <c r="M399" s="1074">
        <v>0.737616017777876</v>
      </c>
      <c r="N399" s="1315" t="str">
        <f t="shared" si="26"/>
        <v/>
      </c>
      <c r="O399" s="1325">
        <f t="shared" si="27"/>
        <v>1</v>
      </c>
      <c r="P399" s="1321" t="s">
        <v>7739</v>
      </c>
    </row>
    <row r="400" spans="1:16">
      <c r="A400" s="1034" t="s">
        <v>4579</v>
      </c>
      <c r="B400" s="826">
        <v>826</v>
      </c>
      <c r="C400" s="1035">
        <v>1</v>
      </c>
      <c r="D400" s="826">
        <v>826</v>
      </c>
      <c r="E400" s="1035" t="s">
        <v>4579</v>
      </c>
      <c r="F400" s="1035"/>
      <c r="G400" s="1035"/>
      <c r="H400" s="1035" t="str">
        <f t="shared" si="24"/>
        <v/>
      </c>
      <c r="I400" s="1035" t="str">
        <f t="shared" si="25"/>
        <v/>
      </c>
      <c r="J400" s="1114"/>
      <c r="K400" s="1314">
        <v>2434380</v>
      </c>
      <c r="L400" s="1073">
        <v>12712400</v>
      </c>
      <c r="M400" s="1074">
        <v>5.2220277853087804</v>
      </c>
      <c r="N400" s="1315" t="str">
        <f t="shared" si="26"/>
        <v/>
      </c>
      <c r="O400" s="1325">
        <f t="shared" si="27"/>
        <v>1</v>
      </c>
      <c r="P400" s="1321">
        <v>2011</v>
      </c>
    </row>
    <row r="401" spans="1:16">
      <c r="A401" s="1034" t="s">
        <v>4481</v>
      </c>
      <c r="B401" s="826">
        <v>828</v>
      </c>
      <c r="C401" s="1035"/>
      <c r="D401" s="1035" t="s">
        <v>2862</v>
      </c>
      <c r="E401" s="1035"/>
      <c r="F401" s="1035"/>
      <c r="G401" s="1035"/>
      <c r="H401" s="1035" t="str">
        <f t="shared" si="24"/>
        <v/>
      </c>
      <c r="I401" s="1035" t="str">
        <f t="shared" si="25"/>
        <v/>
      </c>
      <c r="J401" s="1114"/>
      <c r="K401" s="1314">
        <v>1003750</v>
      </c>
      <c r="L401" s="1073">
        <v>25381600</v>
      </c>
      <c r="M401" s="1074">
        <v>25.286774595267701</v>
      </c>
      <c r="N401" s="1315" t="str">
        <f t="shared" si="26"/>
        <v/>
      </c>
      <c r="O401" s="1325">
        <f t="shared" si="27"/>
        <v>1</v>
      </c>
      <c r="P401" s="1321">
        <v>2011</v>
      </c>
    </row>
    <row r="402" spans="1:16">
      <c r="A402" s="1034" t="s">
        <v>2873</v>
      </c>
      <c r="B402" s="826">
        <v>829</v>
      </c>
      <c r="C402" s="1035"/>
      <c r="D402" s="1035" t="s">
        <v>2862</v>
      </c>
      <c r="E402" s="1035"/>
      <c r="F402" s="1035"/>
      <c r="G402" s="1035"/>
      <c r="H402" s="1035" t="str">
        <f t="shared" si="24"/>
        <v/>
      </c>
      <c r="I402" s="1035" t="str">
        <f t="shared" si="25"/>
        <v/>
      </c>
      <c r="J402" s="1114"/>
      <c r="K402" s="1314">
        <v>39722</v>
      </c>
      <c r="L402" s="1073">
        <v>1975720</v>
      </c>
      <c r="M402" s="1074">
        <v>49.738683852776802</v>
      </c>
      <c r="N402" s="1315" t="str">
        <f t="shared" si="26"/>
        <v/>
      </c>
      <c r="O402" s="1325">
        <f t="shared" si="27"/>
        <v>1</v>
      </c>
      <c r="P402" s="1321">
        <v>2011</v>
      </c>
    </row>
    <row r="403" spans="1:16">
      <c r="A403" s="1034" t="s">
        <v>3381</v>
      </c>
      <c r="B403" s="826">
        <v>831</v>
      </c>
      <c r="C403" s="1035"/>
      <c r="D403" s="1035" t="s">
        <v>2862</v>
      </c>
      <c r="E403" s="1035"/>
      <c r="F403" s="1035"/>
      <c r="G403" s="1035"/>
      <c r="H403" s="1035" t="str">
        <f t="shared" si="24"/>
        <v/>
      </c>
      <c r="I403" s="1035" t="str">
        <f t="shared" si="25"/>
        <v/>
      </c>
      <c r="J403" s="1114"/>
      <c r="K403" s="1314">
        <v>484260</v>
      </c>
      <c r="L403" s="1073">
        <v>4337690</v>
      </c>
      <c r="M403" s="1074">
        <v>8.9573576178086096</v>
      </c>
      <c r="N403" s="1315" t="str">
        <f t="shared" si="26"/>
        <v/>
      </c>
      <c r="O403" s="1325">
        <f t="shared" si="27"/>
        <v>1</v>
      </c>
      <c r="P403" s="1321">
        <v>2011</v>
      </c>
    </row>
    <row r="404" spans="1:16">
      <c r="A404" s="1034" t="s">
        <v>801</v>
      </c>
      <c r="B404" s="826">
        <v>836</v>
      </c>
      <c r="C404" s="1035">
        <v>1</v>
      </c>
      <c r="D404" s="826">
        <v>836</v>
      </c>
      <c r="E404" s="1035" t="s">
        <v>801</v>
      </c>
      <c r="F404" s="1035"/>
      <c r="G404" s="1035"/>
      <c r="H404" s="1035" t="str">
        <f t="shared" si="24"/>
        <v/>
      </c>
      <c r="I404" s="1035" t="str">
        <f t="shared" si="25"/>
        <v/>
      </c>
      <c r="J404" s="1114"/>
      <c r="K404" s="1314">
        <v>974899</v>
      </c>
      <c r="L404" s="1073">
        <v>3784680</v>
      </c>
      <c r="M404" s="1074">
        <v>3.8821252252797498</v>
      </c>
      <c r="N404" s="1315" t="str">
        <f t="shared" si="26"/>
        <v/>
      </c>
      <c r="O404" s="1325">
        <f t="shared" si="27"/>
        <v>1</v>
      </c>
      <c r="P404" s="1321">
        <v>2011</v>
      </c>
    </row>
    <row r="405" spans="1:16">
      <c r="A405" s="1034" t="s">
        <v>2766</v>
      </c>
      <c r="B405" s="826">
        <v>837</v>
      </c>
      <c r="C405" s="1035"/>
      <c r="D405" s="1035" t="s">
        <v>2862</v>
      </c>
      <c r="E405" s="1035"/>
      <c r="F405" s="1035"/>
      <c r="G405" s="1035"/>
      <c r="H405" s="1035" t="str">
        <f t="shared" si="24"/>
        <v/>
      </c>
      <c r="I405" s="1035" t="str">
        <f t="shared" si="25"/>
        <v/>
      </c>
      <c r="J405" s="1114"/>
      <c r="K405" s="1314">
        <v>7179260</v>
      </c>
      <c r="L405" s="1073">
        <v>33766000</v>
      </c>
      <c r="M405" s="1074">
        <v>4.7032702534801603</v>
      </c>
      <c r="N405" s="1315" t="str">
        <f t="shared" si="26"/>
        <v/>
      </c>
      <c r="O405" s="1325">
        <f t="shared" si="27"/>
        <v>1</v>
      </c>
      <c r="P405" s="1321">
        <v>2011</v>
      </c>
    </row>
    <row r="406" spans="1:16">
      <c r="A406" s="1034" t="s">
        <v>5443</v>
      </c>
      <c r="B406" s="826">
        <v>839</v>
      </c>
      <c r="C406" s="1035"/>
      <c r="D406" s="1035" t="s">
        <v>2862</v>
      </c>
      <c r="E406" s="1035"/>
      <c r="F406" s="1035"/>
      <c r="G406" s="1035"/>
      <c r="H406" s="1035" t="str">
        <f t="shared" si="24"/>
        <v/>
      </c>
      <c r="I406" s="1035" t="str">
        <f t="shared" si="25"/>
        <v/>
      </c>
      <c r="J406" s="1114"/>
      <c r="K406" s="1314" t="s">
        <v>7622</v>
      </c>
      <c r="L406" s="1073" t="s">
        <v>7623</v>
      </c>
      <c r="M406" s="1074">
        <v>3.5742924528301887</v>
      </c>
      <c r="N406" s="1315" t="str">
        <f t="shared" si="26"/>
        <v/>
      </c>
      <c r="O406" s="1325">
        <f t="shared" si="27"/>
        <v>1</v>
      </c>
      <c r="P406" s="1321" t="s">
        <v>7739</v>
      </c>
    </row>
    <row r="407" spans="1:16">
      <c r="A407" s="1034" t="s">
        <v>3531</v>
      </c>
      <c r="B407" s="826">
        <v>840</v>
      </c>
      <c r="C407" s="1035"/>
      <c r="D407" s="1035" t="s">
        <v>2862</v>
      </c>
      <c r="E407" s="1035"/>
      <c r="F407" s="1035"/>
      <c r="G407" s="1035"/>
      <c r="H407" s="1035" t="str">
        <f t="shared" si="24"/>
        <v/>
      </c>
      <c r="I407" s="1035" t="str">
        <f t="shared" si="25"/>
        <v/>
      </c>
      <c r="J407" s="1114"/>
      <c r="K407" s="1314" t="s">
        <v>7624</v>
      </c>
      <c r="L407" s="1073" t="s">
        <v>7625</v>
      </c>
      <c r="M407" s="1074">
        <v>0.61536107275548402</v>
      </c>
      <c r="N407" s="1315" t="str">
        <f t="shared" si="26"/>
        <v/>
      </c>
      <c r="O407" s="1325">
        <f t="shared" si="27"/>
        <v>1</v>
      </c>
      <c r="P407" s="1321" t="s">
        <v>7739</v>
      </c>
    </row>
    <row r="408" spans="1:16">
      <c r="A408" s="1034" t="s">
        <v>2826</v>
      </c>
      <c r="B408" s="826">
        <v>841</v>
      </c>
      <c r="C408" s="1035"/>
      <c r="D408" s="1035" t="s">
        <v>2862</v>
      </c>
      <c r="E408" s="1035"/>
      <c r="F408" s="1035"/>
      <c r="G408" s="1035"/>
      <c r="H408" s="1035" t="str">
        <f t="shared" si="24"/>
        <v/>
      </c>
      <c r="I408" s="1035" t="str">
        <f t="shared" si="25"/>
        <v/>
      </c>
      <c r="J408" s="1114"/>
      <c r="K408" s="1314" t="s">
        <v>7626</v>
      </c>
      <c r="L408" s="1073" t="s">
        <v>7627</v>
      </c>
      <c r="M408" s="1074">
        <v>0.52806416495901642</v>
      </c>
      <c r="N408" s="1315" t="str">
        <f t="shared" si="26"/>
        <v/>
      </c>
      <c r="O408" s="1325">
        <f t="shared" si="27"/>
        <v>1</v>
      </c>
      <c r="P408" s="1321" t="s">
        <v>7739</v>
      </c>
    </row>
    <row r="409" spans="1:16">
      <c r="A409" s="1034" t="s">
        <v>5486</v>
      </c>
      <c r="B409" s="826">
        <v>842</v>
      </c>
      <c r="C409" s="1035"/>
      <c r="D409" s="1035" t="s">
        <v>2862</v>
      </c>
      <c r="E409" s="1035"/>
      <c r="F409" s="1035"/>
      <c r="G409" s="1035"/>
      <c r="H409" s="1035" t="str">
        <f t="shared" si="24"/>
        <v/>
      </c>
      <c r="I409" s="1035" t="str">
        <f t="shared" si="25"/>
        <v/>
      </c>
      <c r="J409" s="1114"/>
      <c r="K409" s="1314" t="s">
        <v>7628</v>
      </c>
      <c r="L409" s="1073" t="s">
        <v>7629</v>
      </c>
      <c r="M409" s="1074">
        <v>0.88303040534203669</v>
      </c>
      <c r="N409" s="1315" t="str">
        <f t="shared" si="26"/>
        <v/>
      </c>
      <c r="O409" s="1325">
        <f t="shared" si="27"/>
        <v>1</v>
      </c>
      <c r="P409" s="1321" t="s">
        <v>7739</v>
      </c>
    </row>
    <row r="410" spans="1:16">
      <c r="A410" s="1034" t="s">
        <v>3589</v>
      </c>
      <c r="B410" s="826">
        <v>843</v>
      </c>
      <c r="C410" s="1035"/>
      <c r="D410" s="1035"/>
      <c r="E410" s="1035"/>
      <c r="F410" s="1035"/>
      <c r="G410" s="1035"/>
      <c r="H410" s="1035" t="str">
        <f t="shared" si="24"/>
        <v/>
      </c>
      <c r="I410" s="1035" t="str">
        <f t="shared" si="25"/>
        <v/>
      </c>
      <c r="J410" s="1114"/>
      <c r="K410" s="1314">
        <v>5235900</v>
      </c>
      <c r="L410" s="1073">
        <v>9565330</v>
      </c>
      <c r="M410" s="1074">
        <v>1.8268740808648001</v>
      </c>
      <c r="N410" s="1315" t="str">
        <f t="shared" si="26"/>
        <v/>
      </c>
      <c r="O410" s="1325">
        <f t="shared" si="27"/>
        <v>1</v>
      </c>
      <c r="P410" s="1321">
        <v>2011</v>
      </c>
    </row>
    <row r="411" spans="1:16">
      <c r="A411" s="1034" t="s">
        <v>7216</v>
      </c>
      <c r="B411" s="826">
        <v>845</v>
      </c>
      <c r="C411" s="1035"/>
      <c r="D411" s="1035" t="s">
        <v>2862</v>
      </c>
      <c r="E411" s="1035"/>
      <c r="F411" s="1035"/>
      <c r="G411" s="1035"/>
      <c r="H411" s="1035" t="str">
        <f t="shared" si="24"/>
        <v/>
      </c>
      <c r="I411" s="1035" t="str">
        <f t="shared" si="25"/>
        <v/>
      </c>
      <c r="J411" s="1114"/>
      <c r="K411" s="1314">
        <v>1775570</v>
      </c>
      <c r="L411" s="1073">
        <v>2420740</v>
      </c>
      <c r="M411" s="1074">
        <v>1.3633593719199999</v>
      </c>
      <c r="N411" s="1315" t="str">
        <f t="shared" si="26"/>
        <v/>
      </c>
      <c r="O411" s="1325">
        <f t="shared" si="27"/>
        <v>1</v>
      </c>
      <c r="P411" s="1321">
        <v>2011</v>
      </c>
    </row>
    <row r="412" spans="1:16">
      <c r="A412" s="1034" t="s">
        <v>406</v>
      </c>
      <c r="B412" s="826">
        <v>846</v>
      </c>
      <c r="C412" s="1035">
        <v>3</v>
      </c>
      <c r="D412" s="1035">
        <v>15</v>
      </c>
      <c r="E412" s="1035" t="s">
        <v>1214</v>
      </c>
      <c r="F412" s="1035" t="s">
        <v>7266</v>
      </c>
      <c r="G412" s="1035" t="s">
        <v>6207</v>
      </c>
      <c r="H412" s="1035" t="str">
        <f t="shared" si="24"/>
        <v>Flour, wheatd</v>
      </c>
      <c r="I412" s="1035">
        <f t="shared" si="25"/>
        <v>16</v>
      </c>
      <c r="J412" s="1114">
        <v>0.15</v>
      </c>
      <c r="K412" s="1314">
        <v>4049070</v>
      </c>
      <c r="L412" s="1073">
        <v>1490540</v>
      </c>
      <c r="M412" s="1074">
        <v>0.36811909895358702</v>
      </c>
      <c r="N412" s="1315">
        <f t="shared" si="26"/>
        <v>5.5217864843038054E-2</v>
      </c>
      <c r="O412" s="1325">
        <f t="shared" si="27"/>
        <v>0.13580786044347012</v>
      </c>
      <c r="P412" s="1321">
        <v>2011</v>
      </c>
    </row>
    <row r="413" spans="1:16">
      <c r="A413" s="1034" t="s">
        <v>2257</v>
      </c>
      <c r="B413" s="826">
        <v>850</v>
      </c>
      <c r="C413" s="1035"/>
      <c r="D413" s="1035" t="s">
        <v>2862</v>
      </c>
      <c r="E413" s="1035"/>
      <c r="F413" s="1035"/>
      <c r="G413" s="1035"/>
      <c r="H413" s="1035" t="str">
        <f t="shared" si="24"/>
        <v/>
      </c>
      <c r="I413" s="1035" t="str">
        <f t="shared" si="25"/>
        <v/>
      </c>
      <c r="J413" s="1114"/>
      <c r="K413" s="1314">
        <v>584499</v>
      </c>
      <c r="L413" s="1073">
        <v>416088</v>
      </c>
      <c r="M413" s="1074">
        <v>0.71187119225182605</v>
      </c>
      <c r="N413" s="1315" t="str">
        <f t="shared" si="26"/>
        <v/>
      </c>
      <c r="O413" s="1325">
        <f t="shared" si="27"/>
        <v>1</v>
      </c>
      <c r="P413" s="1321">
        <v>2011</v>
      </c>
    </row>
    <row r="414" spans="1:16">
      <c r="A414" s="1034" t="s">
        <v>550</v>
      </c>
      <c r="B414" s="826">
        <v>852</v>
      </c>
      <c r="C414" s="1035"/>
      <c r="D414" s="1035" t="s">
        <v>2862</v>
      </c>
      <c r="E414" s="1035"/>
      <c r="F414" s="1035"/>
      <c r="G414" s="1035"/>
      <c r="H414" s="1035" t="str">
        <f t="shared" si="24"/>
        <v/>
      </c>
      <c r="I414" s="1035" t="str">
        <f t="shared" si="25"/>
        <v/>
      </c>
      <c r="J414" s="1114"/>
      <c r="K414" s="1314" t="s">
        <v>7630</v>
      </c>
      <c r="L414" s="1073" t="s">
        <v>7631</v>
      </c>
      <c r="M414" s="1074">
        <v>1.2991985059528441</v>
      </c>
      <c r="N414" s="1315" t="str">
        <f t="shared" si="26"/>
        <v/>
      </c>
      <c r="O414" s="1325">
        <f t="shared" si="27"/>
        <v>1</v>
      </c>
      <c r="P414" s="1321" t="s">
        <v>7739</v>
      </c>
    </row>
    <row r="415" spans="1:16">
      <c r="A415" s="1034" t="s">
        <v>3680</v>
      </c>
      <c r="B415" s="826">
        <v>853</v>
      </c>
      <c r="C415" s="1035"/>
      <c r="D415" s="1035" t="s">
        <v>2862</v>
      </c>
      <c r="E415" s="1035"/>
      <c r="F415" s="1035"/>
      <c r="G415" s="1035"/>
      <c r="H415" s="1035" t="str">
        <f t="shared" si="24"/>
        <v/>
      </c>
      <c r="I415" s="1035" t="str">
        <f t="shared" si="25"/>
        <v/>
      </c>
      <c r="J415" s="1114"/>
      <c r="K415" s="1314">
        <v>45</v>
      </c>
      <c r="L415" s="1073">
        <v>985</v>
      </c>
      <c r="M415" s="1074">
        <v>4.5685279187817299E-2</v>
      </c>
      <c r="N415" s="1315" t="str">
        <f t="shared" si="26"/>
        <v/>
      </c>
      <c r="O415" s="1325">
        <f t="shared" si="27"/>
        <v>1</v>
      </c>
      <c r="P415" s="1321">
        <v>2009</v>
      </c>
    </row>
    <row r="416" spans="1:16">
      <c r="A416" s="1034" t="s">
        <v>4179</v>
      </c>
      <c r="B416" s="826">
        <v>854</v>
      </c>
      <c r="C416" s="1035"/>
      <c r="D416" s="1035" t="s">
        <v>2862</v>
      </c>
      <c r="E416" s="1035"/>
      <c r="F416" s="1035"/>
      <c r="G416" s="1035"/>
      <c r="H416" s="1035" t="str">
        <f t="shared" si="24"/>
        <v/>
      </c>
      <c r="I416" s="1035" t="str">
        <f t="shared" si="25"/>
        <v/>
      </c>
      <c r="J416" s="1114"/>
      <c r="K416" s="1314" t="s">
        <v>7544</v>
      </c>
      <c r="L416" s="1073" t="s">
        <v>7544</v>
      </c>
      <c r="M416" s="1074">
        <v>1</v>
      </c>
      <c r="N416" s="1315" t="str">
        <f t="shared" si="26"/>
        <v/>
      </c>
      <c r="O416" s="1325">
        <f t="shared" si="27"/>
        <v>1</v>
      </c>
      <c r="P416" s="1321" t="s">
        <v>7739</v>
      </c>
    </row>
    <row r="417" spans="1:16">
      <c r="A417" s="1034" t="s">
        <v>851</v>
      </c>
      <c r="B417" s="826">
        <v>855</v>
      </c>
      <c r="C417" s="1035"/>
      <c r="D417" s="1035" t="s">
        <v>2862</v>
      </c>
      <c r="E417" s="1035"/>
      <c r="F417" s="1035"/>
      <c r="G417" s="1035"/>
      <c r="H417" s="1035" t="str">
        <f t="shared" si="24"/>
        <v/>
      </c>
      <c r="I417" s="1035" t="str">
        <f t="shared" si="25"/>
        <v/>
      </c>
      <c r="J417" s="1114"/>
      <c r="K417" s="1314">
        <v>307</v>
      </c>
      <c r="L417" s="1073">
        <v>286</v>
      </c>
      <c r="M417" s="1074">
        <v>1.07342657342657</v>
      </c>
      <c r="N417" s="1315" t="str">
        <f t="shared" si="26"/>
        <v/>
      </c>
      <c r="O417" s="1325">
        <f t="shared" si="27"/>
        <v>1</v>
      </c>
      <c r="P417" s="1321">
        <v>1991</v>
      </c>
    </row>
    <row r="418" spans="1:16">
      <c r="A418" s="1034" t="s">
        <v>4893</v>
      </c>
      <c r="B418" s="826">
        <v>857</v>
      </c>
      <c r="C418" s="1035"/>
      <c r="D418" s="1035" t="s">
        <v>2862</v>
      </c>
      <c r="E418" s="1035"/>
      <c r="F418" s="1035"/>
      <c r="G418" s="1035"/>
      <c r="H418" s="1035" t="str">
        <f t="shared" si="24"/>
        <v/>
      </c>
      <c r="I418" s="1035" t="str">
        <f t="shared" si="25"/>
        <v/>
      </c>
      <c r="J418" s="1114"/>
      <c r="K418" s="1314" t="s">
        <v>7632</v>
      </c>
      <c r="L418" s="1073" t="s">
        <v>7633</v>
      </c>
      <c r="M418" s="1074">
        <v>0.20342049964977818</v>
      </c>
      <c r="N418" s="1315" t="str">
        <f t="shared" si="26"/>
        <v/>
      </c>
      <c r="O418" s="1325">
        <f t="shared" si="27"/>
        <v>1</v>
      </c>
      <c r="P418" s="1321" t="s">
        <v>7739</v>
      </c>
    </row>
    <row r="419" spans="1:16">
      <c r="A419" s="1034" t="s">
        <v>1538</v>
      </c>
      <c r="B419" s="826">
        <v>858</v>
      </c>
      <c r="C419" s="1035"/>
      <c r="D419" s="1035" t="s">
        <v>2862</v>
      </c>
      <c r="E419" s="1035"/>
      <c r="F419" s="1035"/>
      <c r="G419" s="1035"/>
      <c r="H419" s="1035" t="str">
        <f t="shared" si="24"/>
        <v/>
      </c>
      <c r="I419" s="1035" t="str">
        <f t="shared" si="25"/>
        <v/>
      </c>
      <c r="J419" s="1114"/>
      <c r="K419" s="1314">
        <v>25</v>
      </c>
      <c r="L419" s="1073">
        <v>3</v>
      </c>
      <c r="M419" s="1074">
        <v>8.3333333333333304</v>
      </c>
      <c r="N419" s="1315" t="str">
        <f t="shared" si="26"/>
        <v/>
      </c>
      <c r="O419" s="1325">
        <f t="shared" si="27"/>
        <v>1</v>
      </c>
      <c r="P419" s="1321">
        <v>1992</v>
      </c>
    </row>
    <row r="420" spans="1:16">
      <c r="A420" s="1034" t="s">
        <v>4891</v>
      </c>
      <c r="B420" s="826">
        <v>859</v>
      </c>
      <c r="C420" s="1035"/>
      <c r="D420" s="1035" t="s">
        <v>2862</v>
      </c>
      <c r="E420" s="1035"/>
      <c r="F420" s="1035"/>
      <c r="G420" s="1035"/>
      <c r="H420" s="1035" t="str">
        <f t="shared" si="24"/>
        <v/>
      </c>
      <c r="I420" s="1035" t="str">
        <f t="shared" si="25"/>
        <v/>
      </c>
      <c r="J420" s="1114"/>
      <c r="K420" s="1314">
        <v>34226</v>
      </c>
      <c r="L420" s="1073">
        <v>11028</v>
      </c>
      <c r="M420" s="1074">
        <v>0.32221118447963498</v>
      </c>
      <c r="N420" s="1315" t="str">
        <f t="shared" si="26"/>
        <v/>
      </c>
      <c r="O420" s="1325">
        <f t="shared" si="27"/>
        <v>1</v>
      </c>
      <c r="P420" s="1321">
        <v>2011</v>
      </c>
    </row>
    <row r="421" spans="1:16">
      <c r="A421" s="1034" t="s">
        <v>4595</v>
      </c>
      <c r="B421" s="826">
        <v>862</v>
      </c>
      <c r="C421" s="1035">
        <v>2</v>
      </c>
      <c r="D421" s="1035">
        <v>641</v>
      </c>
      <c r="E421" s="1035" t="s">
        <v>2427</v>
      </c>
      <c r="F421" s="1035" t="s">
        <v>2427</v>
      </c>
      <c r="G421" s="1035"/>
      <c r="H421" s="1035" t="str">
        <f t="shared" si="24"/>
        <v>Alfalfa for forage and silage</v>
      </c>
      <c r="I421" s="1035">
        <f t="shared" si="25"/>
        <v>641</v>
      </c>
      <c r="J421" s="1114">
        <v>1</v>
      </c>
      <c r="K421" s="1314">
        <v>1482740</v>
      </c>
      <c r="L421" s="1073">
        <v>388226</v>
      </c>
      <c r="M421" s="1074">
        <v>0.26183012530854999</v>
      </c>
      <c r="N421" s="1315">
        <f t="shared" si="26"/>
        <v>0.26183012530854999</v>
      </c>
      <c r="O421" s="1325">
        <f t="shared" si="27"/>
        <v>1</v>
      </c>
      <c r="P421" s="1321">
        <v>2011</v>
      </c>
    </row>
    <row r="422" spans="1:16">
      <c r="A422" s="1034" t="s">
        <v>4828</v>
      </c>
      <c r="B422" s="826">
        <v>866</v>
      </c>
      <c r="C422" s="1035">
        <v>1</v>
      </c>
      <c r="D422" s="1035">
        <v>866</v>
      </c>
      <c r="E422" s="1035" t="s">
        <v>4828</v>
      </c>
      <c r="F422" s="1035"/>
      <c r="G422" s="1035"/>
      <c r="H422" s="1035" t="str">
        <f t="shared" si="24"/>
        <v/>
      </c>
      <c r="I422" s="1035" t="str">
        <f t="shared" si="25"/>
        <v/>
      </c>
      <c r="J422" s="1114"/>
      <c r="K422" s="1314">
        <v>10357800</v>
      </c>
      <c r="L422" s="1073">
        <v>8875990</v>
      </c>
      <c r="M422" s="1074">
        <v>0.856937766707216</v>
      </c>
      <c r="N422" s="1315" t="str">
        <f t="shared" si="26"/>
        <v/>
      </c>
      <c r="O422" s="1325">
        <f t="shared" si="27"/>
        <v>1</v>
      </c>
      <c r="P422" s="1321">
        <v>2011</v>
      </c>
    </row>
    <row r="423" spans="1:16">
      <c r="A423" s="1034" t="s">
        <v>4638</v>
      </c>
      <c r="B423" s="826">
        <v>867</v>
      </c>
      <c r="C423" s="1035">
        <v>2</v>
      </c>
      <c r="D423" s="1035">
        <v>866</v>
      </c>
      <c r="E423" s="1035" t="s">
        <v>4828</v>
      </c>
      <c r="F423" s="1035" t="s">
        <v>4828</v>
      </c>
      <c r="G423" s="1035" t="s">
        <v>6204</v>
      </c>
      <c r="H423" s="1035" t="str">
        <f t="shared" si="24"/>
        <v>Cattlea</v>
      </c>
      <c r="I423" s="1035">
        <f t="shared" si="25"/>
        <v>866</v>
      </c>
      <c r="J423" s="1114">
        <v>0.52</v>
      </c>
      <c r="K423" s="1314">
        <v>1767650</v>
      </c>
      <c r="L423" s="1073">
        <v>8178040</v>
      </c>
      <c r="M423" s="1074">
        <v>4.6265041156337503</v>
      </c>
      <c r="N423" s="1315">
        <f t="shared" si="26"/>
        <v>2.4057821401295501</v>
      </c>
      <c r="O423" s="1325">
        <f t="shared" si="27"/>
        <v>0.58226527382553306</v>
      </c>
      <c r="P423" s="1321">
        <v>2011</v>
      </c>
    </row>
    <row r="424" spans="1:16">
      <c r="A424" s="1034" t="s">
        <v>3506</v>
      </c>
      <c r="B424" s="826">
        <v>868</v>
      </c>
      <c r="C424" s="1035">
        <v>2</v>
      </c>
      <c r="D424" s="1035">
        <v>866</v>
      </c>
      <c r="E424" s="1035" t="s">
        <v>4828</v>
      </c>
      <c r="F424" s="1035" t="s">
        <v>4828</v>
      </c>
      <c r="G424" s="1035" t="s">
        <v>6204</v>
      </c>
      <c r="H424" s="1035" t="str">
        <f t="shared" si="24"/>
        <v>Cattlea</v>
      </c>
      <c r="I424" s="1035">
        <f t="shared" si="25"/>
        <v>866</v>
      </c>
      <c r="J424" s="1114">
        <v>7.0000000000000007E-2</v>
      </c>
      <c r="K424" s="1314">
        <v>976425</v>
      </c>
      <c r="L424" s="1073">
        <v>2765290</v>
      </c>
      <c r="M424" s="1074">
        <v>2.8320557134444502</v>
      </c>
      <c r="N424" s="1315">
        <f t="shared" si="26"/>
        <v>0.19824389994111152</v>
      </c>
      <c r="O424" s="1325">
        <f t="shared" si="27"/>
        <v>0.95120045589360191</v>
      </c>
      <c r="P424" s="1321">
        <v>2011</v>
      </c>
    </row>
    <row r="425" spans="1:16">
      <c r="A425" s="1034" t="s">
        <v>5498</v>
      </c>
      <c r="B425" s="826">
        <v>869</v>
      </c>
      <c r="C425" s="1035">
        <v>2</v>
      </c>
      <c r="D425" s="1035">
        <v>866</v>
      </c>
      <c r="E425" s="1035" t="s">
        <v>4828</v>
      </c>
      <c r="F425" s="1035" t="s">
        <v>4828</v>
      </c>
      <c r="G425" s="1035" t="s">
        <v>6204</v>
      </c>
      <c r="H425" s="1035" t="str">
        <f t="shared" si="24"/>
        <v>Cattlea</v>
      </c>
      <c r="I425" s="1035">
        <f t="shared" si="25"/>
        <v>866</v>
      </c>
      <c r="J425" s="1114">
        <v>0.03</v>
      </c>
      <c r="K425" s="1314">
        <v>51747</v>
      </c>
      <c r="L425" s="1073">
        <v>50454</v>
      </c>
      <c r="M425" s="1074">
        <v>0.97501304423444801</v>
      </c>
      <c r="N425" s="1315">
        <f t="shared" si="26"/>
        <v>2.9250391327033439E-2</v>
      </c>
      <c r="O425" s="1325">
        <f t="shared" si="27"/>
        <v>2.762888867665946</v>
      </c>
      <c r="P425" s="1321">
        <v>2011</v>
      </c>
    </row>
    <row r="426" spans="1:16">
      <c r="A426" s="1034" t="s">
        <v>7364</v>
      </c>
      <c r="B426" s="826">
        <v>919</v>
      </c>
      <c r="C426" s="1035">
        <v>2</v>
      </c>
      <c r="D426" s="1035">
        <v>866</v>
      </c>
      <c r="E426" s="1035" t="s">
        <v>4828</v>
      </c>
      <c r="F426" s="1035" t="s">
        <v>4828</v>
      </c>
      <c r="G426" s="1035" t="s">
        <v>6204</v>
      </c>
      <c r="H426" s="1035" t="str">
        <f t="shared" si="24"/>
        <v>Cattlea</v>
      </c>
      <c r="I426" s="1035">
        <f t="shared" si="25"/>
        <v>866</v>
      </c>
      <c r="J426" s="1114">
        <v>0.06</v>
      </c>
      <c r="K426" s="1314" t="s">
        <v>7512</v>
      </c>
      <c r="L426" s="1073" t="s">
        <v>7512</v>
      </c>
      <c r="M426" s="1074">
        <v>1.0096042391124358</v>
      </c>
      <c r="N426" s="1315">
        <f t="shared" si="26"/>
        <v>6.0576254346746149E-2</v>
      </c>
      <c r="O426" s="1325">
        <f t="shared" si="27"/>
        <v>2.6682264013794783</v>
      </c>
      <c r="P426" s="1321" t="s">
        <v>7739</v>
      </c>
    </row>
    <row r="427" spans="1:16">
      <c r="A427" s="1034" t="s">
        <v>3327</v>
      </c>
      <c r="B427" s="826">
        <v>870</v>
      </c>
      <c r="C427" s="1035">
        <v>3</v>
      </c>
      <c r="D427" s="1035">
        <v>866</v>
      </c>
      <c r="E427" s="1035" t="s">
        <v>4828</v>
      </c>
      <c r="F427" s="1035" t="s">
        <v>4638</v>
      </c>
      <c r="G427" s="1035" t="s">
        <v>6204</v>
      </c>
      <c r="H427" s="1035" t="str">
        <f t="shared" si="24"/>
        <v>Cattle meata</v>
      </c>
      <c r="I427" s="1035">
        <f t="shared" si="25"/>
        <v>867</v>
      </c>
      <c r="J427" s="1114">
        <v>0.71</v>
      </c>
      <c r="K427" s="1314">
        <v>4931840</v>
      </c>
      <c r="L427" s="1073">
        <v>26246700</v>
      </c>
      <c r="M427" s="1074">
        <v>5.3218879769011203</v>
      </c>
      <c r="N427" s="1315">
        <f t="shared" si="26"/>
        <v>3.778540463599795</v>
      </c>
      <c r="O427" s="1325">
        <f t="shared" si="27"/>
        <v>0.43513934115101777</v>
      </c>
      <c r="P427" s="1321">
        <v>2011</v>
      </c>
    </row>
    <row r="428" spans="1:16">
      <c r="A428" s="1034" t="s">
        <v>5483</v>
      </c>
      <c r="B428" s="826">
        <v>871</v>
      </c>
      <c r="C428" s="1035">
        <v>3</v>
      </c>
      <c r="D428" s="1035">
        <v>866</v>
      </c>
      <c r="E428" s="1035" t="s">
        <v>4828</v>
      </c>
      <c r="F428" s="1035" t="s">
        <v>4638</v>
      </c>
      <c r="G428" s="1035" t="s">
        <v>6204</v>
      </c>
      <c r="H428" s="1035" t="str">
        <f t="shared" si="24"/>
        <v>Cattle meata</v>
      </c>
      <c r="I428" s="1035">
        <f t="shared" si="25"/>
        <v>867</v>
      </c>
      <c r="J428" s="1114">
        <v>0.12</v>
      </c>
      <c r="K428" s="1314" t="s">
        <v>7634</v>
      </c>
      <c r="L428" s="1073" t="s">
        <v>7635</v>
      </c>
      <c r="M428" s="1074">
        <v>1.6551724137931034</v>
      </c>
      <c r="N428" s="1315">
        <f t="shared" si="26"/>
        <v>0.19862068965517241</v>
      </c>
      <c r="O428" s="1325">
        <f t="shared" si="27"/>
        <v>1.3991067085520836</v>
      </c>
      <c r="P428" s="1321" t="s">
        <v>7739</v>
      </c>
    </row>
    <row r="429" spans="1:16">
      <c r="A429" s="1034" t="s">
        <v>1988</v>
      </c>
      <c r="B429" s="826">
        <v>872</v>
      </c>
      <c r="C429" s="1035">
        <v>3</v>
      </c>
      <c r="D429" s="1035">
        <v>866</v>
      </c>
      <c r="E429" s="1035" t="s">
        <v>4828</v>
      </c>
      <c r="F429" s="1035" t="s">
        <v>4638</v>
      </c>
      <c r="G429" s="1035" t="s">
        <v>6205</v>
      </c>
      <c r="H429" s="1035" t="str">
        <f t="shared" si="24"/>
        <v>Cattle meatb</v>
      </c>
      <c r="I429" s="1035">
        <f t="shared" si="25"/>
        <v>867</v>
      </c>
      <c r="J429" s="1114">
        <v>0.46</v>
      </c>
      <c r="K429" s="1314" t="s">
        <v>7636</v>
      </c>
      <c r="L429" s="1073" t="s">
        <v>7637</v>
      </c>
      <c r="M429" s="1074">
        <v>7.9893046176309541</v>
      </c>
      <c r="N429" s="1315">
        <f t="shared" si="26"/>
        <v>3.6750801241102389</v>
      </c>
      <c r="O429" s="1325">
        <f t="shared" si="27"/>
        <v>0.26784202595974521</v>
      </c>
      <c r="P429" s="1321" t="s">
        <v>7739</v>
      </c>
    </row>
    <row r="430" spans="1:16">
      <c r="A430" s="1034" t="s">
        <v>1987</v>
      </c>
      <c r="B430" s="826">
        <v>873</v>
      </c>
      <c r="C430" s="1035">
        <v>3</v>
      </c>
      <c r="D430" s="1035">
        <v>866</v>
      </c>
      <c r="E430" s="1035" t="s">
        <v>4828</v>
      </c>
      <c r="F430" s="1035" t="s">
        <v>4638</v>
      </c>
      <c r="G430" s="1035" t="s">
        <v>6206</v>
      </c>
      <c r="H430" s="1035" t="str">
        <f t="shared" si="24"/>
        <v>Cattle meatc</v>
      </c>
      <c r="I430" s="1035">
        <f t="shared" si="25"/>
        <v>867</v>
      </c>
      <c r="J430" s="1114">
        <v>0.2</v>
      </c>
      <c r="K430" s="1314" t="s">
        <v>7638</v>
      </c>
      <c r="L430" s="1073" t="s">
        <v>7639</v>
      </c>
      <c r="M430" s="1074">
        <v>6.6475536433338851</v>
      </c>
      <c r="N430" s="1315">
        <f t="shared" si="26"/>
        <v>1.3295107286667771</v>
      </c>
      <c r="O430" s="1325">
        <f t="shared" si="27"/>
        <v>0.11645305476510662</v>
      </c>
      <c r="P430" s="1321" t="s">
        <v>7739</v>
      </c>
    </row>
    <row r="431" spans="1:16">
      <c r="A431" s="1034" t="s">
        <v>2767</v>
      </c>
      <c r="B431" s="826">
        <v>874</v>
      </c>
      <c r="C431" s="1035">
        <v>3</v>
      </c>
      <c r="D431" s="1035">
        <v>866</v>
      </c>
      <c r="E431" s="1035" t="s">
        <v>4828</v>
      </c>
      <c r="F431" s="1035" t="s">
        <v>4638</v>
      </c>
      <c r="G431" s="1035" t="s">
        <v>6207</v>
      </c>
      <c r="H431" s="1035" t="str">
        <f t="shared" si="24"/>
        <v>Cattle meatd</v>
      </c>
      <c r="I431" s="1035">
        <f t="shared" si="25"/>
        <v>867</v>
      </c>
      <c r="J431" s="1114">
        <v>0.8</v>
      </c>
      <c r="K431" s="1314">
        <v>22007</v>
      </c>
      <c r="L431" s="1073">
        <v>50700</v>
      </c>
      <c r="M431" s="1074">
        <v>2.30381242331985</v>
      </c>
      <c r="N431" s="1315">
        <f t="shared" si="26"/>
        <v>1.8430499386558801</v>
      </c>
      <c r="O431" s="1325">
        <f t="shared" si="27"/>
        <v>0.46581221906042647</v>
      </c>
      <c r="P431" s="1321">
        <v>2011</v>
      </c>
    </row>
    <row r="432" spans="1:16">
      <c r="A432" s="1034" t="s">
        <v>101</v>
      </c>
      <c r="B432" s="826">
        <v>875</v>
      </c>
      <c r="C432" s="1035">
        <v>3</v>
      </c>
      <c r="D432" s="1035">
        <v>866</v>
      </c>
      <c r="E432" s="1035" t="s">
        <v>4828</v>
      </c>
      <c r="F432" s="1035" t="s">
        <v>4638</v>
      </c>
      <c r="G432" s="1035" t="s">
        <v>6208</v>
      </c>
      <c r="H432" s="1035" t="str">
        <f t="shared" si="24"/>
        <v>Cattle meate</v>
      </c>
      <c r="I432" s="1035">
        <f t="shared" si="25"/>
        <v>867</v>
      </c>
      <c r="J432" s="1114">
        <v>0.6</v>
      </c>
      <c r="K432" s="1314">
        <v>416943</v>
      </c>
      <c r="L432" s="1073">
        <v>2123270</v>
      </c>
      <c r="M432" s="1074">
        <v>5.0924706734493697</v>
      </c>
      <c r="N432" s="1315">
        <f t="shared" si="26"/>
        <v>3.0554824040696218</v>
      </c>
      <c r="O432" s="1325">
        <f t="shared" si="27"/>
        <v>0.34935916429531982</v>
      </c>
      <c r="P432" s="1321">
        <v>2011</v>
      </c>
    </row>
    <row r="433" spans="1:16">
      <c r="A433" s="1034" t="s">
        <v>3977</v>
      </c>
      <c r="B433" s="826">
        <v>877</v>
      </c>
      <c r="C433" s="1035">
        <v>3</v>
      </c>
      <c r="D433" s="1035">
        <v>866</v>
      </c>
      <c r="E433" s="1035" t="s">
        <v>4828</v>
      </c>
      <c r="F433" s="1035" t="s">
        <v>4638</v>
      </c>
      <c r="G433" s="1035" t="s">
        <v>6209</v>
      </c>
      <c r="H433" s="1035" t="str">
        <f t="shared" si="24"/>
        <v>Cattle meatf</v>
      </c>
      <c r="I433" s="1035">
        <f t="shared" si="25"/>
        <v>867</v>
      </c>
      <c r="J433" s="1114">
        <v>0.5</v>
      </c>
      <c r="K433" s="1314" t="s">
        <v>7640</v>
      </c>
      <c r="L433" s="1073" t="s">
        <v>7641</v>
      </c>
      <c r="M433" s="1074">
        <v>3.7206756784560624</v>
      </c>
      <c r="N433" s="1315">
        <f t="shared" si="26"/>
        <v>1.8603378392280312</v>
      </c>
      <c r="O433" s="1325">
        <f t="shared" si="27"/>
        <v>0.29113263691276653</v>
      </c>
      <c r="P433" s="1321" t="s">
        <v>7739</v>
      </c>
    </row>
    <row r="434" spans="1:16">
      <c r="A434" s="1034" t="s">
        <v>1396</v>
      </c>
      <c r="B434" s="826">
        <v>878</v>
      </c>
      <c r="C434" s="1035">
        <v>3</v>
      </c>
      <c r="D434" s="1035">
        <v>866</v>
      </c>
      <c r="E434" s="1035" t="s">
        <v>4828</v>
      </c>
      <c r="F434" s="1035" t="s">
        <v>3506</v>
      </c>
      <c r="G434" s="1035" t="s">
        <v>6204</v>
      </c>
      <c r="H434" s="1035" t="str">
        <f t="shared" si="24"/>
        <v>Offals of Cattle, Ediblea</v>
      </c>
      <c r="I434" s="1035">
        <f t="shared" si="25"/>
        <v>868</v>
      </c>
      <c r="J434" s="1114">
        <v>0.5</v>
      </c>
      <c r="K434" s="1314" t="s">
        <v>7642</v>
      </c>
      <c r="L434" s="1073" t="s">
        <v>7643</v>
      </c>
      <c r="M434" s="1074">
        <v>5.1565571571425091</v>
      </c>
      <c r="N434" s="1315">
        <f t="shared" si="26"/>
        <v>2.5782785785712545</v>
      </c>
      <c r="O434" s="1325">
        <f t="shared" si="27"/>
        <v>0.47560022794680096</v>
      </c>
      <c r="P434" s="1321" t="s">
        <v>7739</v>
      </c>
    </row>
    <row r="435" spans="1:16">
      <c r="A435" s="1034" t="s">
        <v>5594</v>
      </c>
      <c r="B435" s="826">
        <v>882</v>
      </c>
      <c r="C435" s="1035">
        <v>1</v>
      </c>
      <c r="D435" s="1035">
        <v>882</v>
      </c>
      <c r="E435" s="1035" t="s">
        <v>5594</v>
      </c>
      <c r="F435" s="1035"/>
      <c r="G435" s="1035"/>
      <c r="H435" s="1035" t="str">
        <f t="shared" si="24"/>
        <v/>
      </c>
      <c r="I435" s="1035" t="str">
        <f t="shared" si="25"/>
        <v/>
      </c>
      <c r="J435" s="1114"/>
      <c r="K435" s="1314">
        <v>8072350</v>
      </c>
      <c r="L435" s="1073">
        <v>4808120</v>
      </c>
      <c r="M435" s="1074">
        <v>0.59562828668231704</v>
      </c>
      <c r="N435" s="1315" t="str">
        <f t="shared" si="26"/>
        <v/>
      </c>
      <c r="O435" s="1325">
        <f t="shared" si="27"/>
        <v>1</v>
      </c>
      <c r="P435" s="1321">
        <v>2011</v>
      </c>
    </row>
    <row r="436" spans="1:16">
      <c r="A436" s="1034" t="s">
        <v>1428</v>
      </c>
      <c r="B436" s="826">
        <v>885</v>
      </c>
      <c r="C436" s="1035">
        <v>2</v>
      </c>
      <c r="D436" s="1035">
        <v>882</v>
      </c>
      <c r="E436" s="1035" t="s">
        <v>5594</v>
      </c>
      <c r="F436" s="1035" t="s">
        <v>5594</v>
      </c>
      <c r="G436" s="1035" t="s">
        <v>6204</v>
      </c>
      <c r="H436" s="1035" t="str">
        <f t="shared" si="24"/>
        <v>Cow milk, whole, fresha</v>
      </c>
      <c r="I436" s="1035">
        <f t="shared" si="25"/>
        <v>882</v>
      </c>
      <c r="J436" s="1114">
        <v>0.15</v>
      </c>
      <c r="K436" s="1314">
        <v>1147270</v>
      </c>
      <c r="L436" s="1073">
        <v>2681120</v>
      </c>
      <c r="M436" s="1074">
        <v>2.3369564269962599</v>
      </c>
      <c r="N436" s="1315">
        <f t="shared" si="26"/>
        <v>0.35054346404943898</v>
      </c>
      <c r="O436" s="1325">
        <f t="shared" si="27"/>
        <v>0.35572850826682961</v>
      </c>
      <c r="P436" s="1321">
        <v>2011</v>
      </c>
    </row>
    <row r="437" spans="1:16">
      <c r="A437" s="1034" t="s">
        <v>1433</v>
      </c>
      <c r="B437" s="826">
        <v>886</v>
      </c>
      <c r="C437" s="1035">
        <v>2</v>
      </c>
      <c r="D437" s="1035">
        <v>882</v>
      </c>
      <c r="E437" s="1035" t="s">
        <v>5594</v>
      </c>
      <c r="F437" s="1035" t="s">
        <v>5594</v>
      </c>
      <c r="G437" s="1035" t="s">
        <v>6205</v>
      </c>
      <c r="H437" s="1035" t="str">
        <f t="shared" si="24"/>
        <v>Cow milk, whole, freshb</v>
      </c>
      <c r="I437" s="1035">
        <f t="shared" si="25"/>
        <v>882</v>
      </c>
      <c r="J437" s="1114">
        <v>5.5E-2</v>
      </c>
      <c r="K437" s="1314">
        <v>1441790</v>
      </c>
      <c r="L437" s="1073">
        <v>7226330</v>
      </c>
      <c r="M437" s="1074">
        <v>5.0120544600808703</v>
      </c>
      <c r="N437" s="1315">
        <f t="shared" si="26"/>
        <v>0.27566299530444788</v>
      </c>
      <c r="O437" s="1325">
        <f t="shared" si="27"/>
        <v>5.5E-2</v>
      </c>
      <c r="P437" s="1321">
        <v>2011</v>
      </c>
    </row>
    <row r="438" spans="1:16">
      <c r="A438" s="1034" t="s">
        <v>403</v>
      </c>
      <c r="B438" s="826">
        <v>887</v>
      </c>
      <c r="C438" s="1035">
        <v>2</v>
      </c>
      <c r="D438" s="1035">
        <v>882</v>
      </c>
      <c r="E438" s="1035" t="s">
        <v>5594</v>
      </c>
      <c r="F438" s="1035" t="s">
        <v>5594</v>
      </c>
      <c r="G438" s="1035" t="s">
        <v>6206</v>
      </c>
      <c r="H438" s="1035" t="str">
        <f t="shared" si="24"/>
        <v>Cow milk, whole, freshc</v>
      </c>
      <c r="I438" s="1035">
        <f t="shared" si="25"/>
        <v>882</v>
      </c>
      <c r="J438" s="1114">
        <v>0.05</v>
      </c>
      <c r="K438" s="1314" t="s">
        <v>7644</v>
      </c>
      <c r="L438" s="1073" t="s">
        <v>7645</v>
      </c>
      <c r="M438" s="1074">
        <v>3.6345968062737968</v>
      </c>
      <c r="N438" s="1315">
        <f t="shared" si="26"/>
        <v>0.18172984031368986</v>
      </c>
      <c r="O438" s="1325">
        <f t="shared" si="27"/>
        <v>0.47870916099572702</v>
      </c>
      <c r="P438" s="1321" t="s">
        <v>7739</v>
      </c>
    </row>
    <row r="439" spans="1:16">
      <c r="A439" s="1034" t="s">
        <v>3778</v>
      </c>
      <c r="B439" s="826">
        <v>888</v>
      </c>
      <c r="C439" s="1035">
        <v>2</v>
      </c>
      <c r="D439" s="1035">
        <v>882</v>
      </c>
      <c r="E439" s="1035" t="s">
        <v>5594</v>
      </c>
      <c r="F439" s="1035" t="s">
        <v>5594</v>
      </c>
      <c r="G439" s="1035" t="s">
        <v>6204</v>
      </c>
      <c r="H439" s="1035" t="str">
        <f t="shared" si="24"/>
        <v>Cow milk, whole, fresha</v>
      </c>
      <c r="I439" s="1035">
        <f t="shared" si="25"/>
        <v>882</v>
      </c>
      <c r="J439" s="1114">
        <v>0.93</v>
      </c>
      <c r="K439" s="1314">
        <v>1577490</v>
      </c>
      <c r="L439" s="1073">
        <v>815509</v>
      </c>
      <c r="M439" s="1074">
        <v>0.51696619312959202</v>
      </c>
      <c r="N439" s="1315">
        <f t="shared" si="26"/>
        <v>0.48077855961052063</v>
      </c>
      <c r="O439" s="1325">
        <f t="shared" si="27"/>
        <v>1.6080781194362657</v>
      </c>
      <c r="P439" s="1321">
        <v>2011</v>
      </c>
    </row>
    <row r="440" spans="1:16">
      <c r="A440" s="1034" t="s">
        <v>2658</v>
      </c>
      <c r="B440" s="826">
        <v>889</v>
      </c>
      <c r="C440" s="1035">
        <v>2</v>
      </c>
      <c r="D440" s="1035">
        <v>882</v>
      </c>
      <c r="E440" s="1035" t="s">
        <v>5594</v>
      </c>
      <c r="F440" s="1035" t="s">
        <v>5594</v>
      </c>
      <c r="G440" s="1035" t="s">
        <v>6207</v>
      </c>
      <c r="H440" s="1035" t="str">
        <f t="shared" si="24"/>
        <v>Cow milk, whole, freshd</v>
      </c>
      <c r="I440" s="1035">
        <f t="shared" si="25"/>
        <v>882</v>
      </c>
      <c r="J440" s="1114">
        <v>0.32500000000000001</v>
      </c>
      <c r="K440" s="1314">
        <v>404022</v>
      </c>
      <c r="L440" s="1073">
        <v>804989</v>
      </c>
      <c r="M440" s="1074">
        <v>1.99243853057507</v>
      </c>
      <c r="N440" s="1315">
        <f t="shared" si="26"/>
        <v>0.6475425224368978</v>
      </c>
      <c r="O440" s="1325">
        <f t="shared" si="27"/>
        <v>0.32500000000000001</v>
      </c>
      <c r="P440" s="1321">
        <v>2011</v>
      </c>
    </row>
    <row r="441" spans="1:16">
      <c r="A441" s="1034" t="s">
        <v>5544</v>
      </c>
      <c r="B441" s="826">
        <v>890</v>
      </c>
      <c r="C441" s="1035">
        <v>4</v>
      </c>
      <c r="D441" s="1035">
        <v>882</v>
      </c>
      <c r="E441" s="1035" t="s">
        <v>5594</v>
      </c>
      <c r="F441" s="1035" t="s">
        <v>5545</v>
      </c>
      <c r="G441" s="747" t="s">
        <v>6206</v>
      </c>
      <c r="H441" s="1035" t="str">
        <f t="shared" si="24"/>
        <v>Whey Freshc</v>
      </c>
      <c r="I441" s="1035">
        <f t="shared" si="25"/>
        <v>903</v>
      </c>
      <c r="J441" s="1114">
        <v>0.32500000000000001</v>
      </c>
      <c r="K441" s="1314">
        <v>873647</v>
      </c>
      <c r="L441" s="1073">
        <v>279739</v>
      </c>
      <c r="M441" s="1074">
        <v>0.32019683006981098</v>
      </c>
      <c r="N441" s="1315">
        <f t="shared" si="26"/>
        <v>0.10406396977268857</v>
      </c>
      <c r="O441" s="1325">
        <f t="shared" si="27"/>
        <v>2.0277052050106672</v>
      </c>
      <c r="P441" s="1321">
        <v>2011</v>
      </c>
    </row>
    <row r="442" spans="1:16">
      <c r="A442" s="1034" t="s">
        <v>596</v>
      </c>
      <c r="B442" s="826">
        <v>891</v>
      </c>
      <c r="C442" s="1035">
        <v>2</v>
      </c>
      <c r="D442" s="1035">
        <v>882</v>
      </c>
      <c r="E442" s="1035" t="s">
        <v>5594</v>
      </c>
      <c r="F442" s="1035" t="s">
        <v>5594</v>
      </c>
      <c r="G442" s="1035" t="s">
        <v>6208</v>
      </c>
      <c r="H442" s="1035" t="str">
        <f t="shared" si="24"/>
        <v>Cow milk, whole, freshe</v>
      </c>
      <c r="I442" s="1035">
        <f t="shared" si="25"/>
        <v>882</v>
      </c>
      <c r="J442" s="1114">
        <v>0.8</v>
      </c>
      <c r="K442" s="1314" t="s">
        <v>7646</v>
      </c>
      <c r="L442" s="1073" t="s">
        <v>7647</v>
      </c>
      <c r="M442" s="1074">
        <v>1.4636789006513391</v>
      </c>
      <c r="N442" s="1315">
        <f t="shared" si="26"/>
        <v>1.1709431205210714</v>
      </c>
      <c r="O442" s="1325">
        <f t="shared" si="27"/>
        <v>0.8</v>
      </c>
      <c r="P442" s="1321" t="s">
        <v>7739</v>
      </c>
    </row>
    <row r="443" spans="1:16">
      <c r="A443" s="1034" t="s">
        <v>5546</v>
      </c>
      <c r="B443" s="826">
        <v>892</v>
      </c>
      <c r="C443" s="1035">
        <v>2</v>
      </c>
      <c r="D443" s="1035">
        <v>882</v>
      </c>
      <c r="E443" s="1035" t="s">
        <v>5594</v>
      </c>
      <c r="F443" s="1035" t="s">
        <v>5594</v>
      </c>
      <c r="G443" s="1035" t="s">
        <v>6209</v>
      </c>
      <c r="H443" s="1035" t="str">
        <f t="shared" si="24"/>
        <v>Cow milk, whole, freshf</v>
      </c>
      <c r="I443" s="1035">
        <f t="shared" si="25"/>
        <v>882</v>
      </c>
      <c r="J443" s="1114">
        <v>0.8</v>
      </c>
      <c r="K443" s="1314">
        <v>1495250</v>
      </c>
      <c r="L443" s="1073">
        <v>2423330</v>
      </c>
      <c r="M443" s="1074">
        <v>1.62068550409631</v>
      </c>
      <c r="N443" s="1315">
        <f t="shared" si="26"/>
        <v>1.296548403277048</v>
      </c>
      <c r="O443" s="1325">
        <f t="shared" si="27"/>
        <v>0.8</v>
      </c>
      <c r="P443" s="1321">
        <v>2011</v>
      </c>
    </row>
    <row r="444" spans="1:16">
      <c r="A444" s="1034" t="s">
        <v>1938</v>
      </c>
      <c r="B444" s="826">
        <v>893</v>
      </c>
      <c r="C444" s="1035">
        <v>2</v>
      </c>
      <c r="D444" s="1035">
        <v>882</v>
      </c>
      <c r="E444" s="1035" t="s">
        <v>5594</v>
      </c>
      <c r="F444" s="1035" t="s">
        <v>5594</v>
      </c>
      <c r="G444" s="1035" t="s">
        <v>6206</v>
      </c>
      <c r="H444" s="1035" t="str">
        <f t="shared" si="24"/>
        <v>Cow milk, whole, freshc</v>
      </c>
      <c r="I444" s="1035">
        <f t="shared" si="25"/>
        <v>882</v>
      </c>
      <c r="J444" s="1114">
        <v>0.93</v>
      </c>
      <c r="K444" s="1314">
        <v>936634</v>
      </c>
      <c r="L444" s="1073">
        <v>1569300</v>
      </c>
      <c r="M444" s="1074">
        <v>1.67546768534988</v>
      </c>
      <c r="N444" s="1315">
        <f t="shared" si="26"/>
        <v>1.5581849473753884</v>
      </c>
      <c r="O444" s="1325">
        <f t="shared" si="27"/>
        <v>1.0384651419437791</v>
      </c>
      <c r="P444" s="1321">
        <v>2011</v>
      </c>
    </row>
    <row r="445" spans="1:16">
      <c r="A445" s="1034" t="s">
        <v>255</v>
      </c>
      <c r="B445" s="826">
        <v>894</v>
      </c>
      <c r="C445" s="1035">
        <v>2</v>
      </c>
      <c r="D445" s="1035">
        <v>882</v>
      </c>
      <c r="E445" s="1035" t="s">
        <v>5594</v>
      </c>
      <c r="F445" s="1035" t="s">
        <v>5594</v>
      </c>
      <c r="G445" s="1035" t="s">
        <v>6210</v>
      </c>
      <c r="H445" s="1035" t="str">
        <f t="shared" si="24"/>
        <v>Cow milk, whole, freshg</v>
      </c>
      <c r="I445" s="1035">
        <f t="shared" si="25"/>
        <v>882</v>
      </c>
      <c r="J445" s="1114">
        <v>0.4</v>
      </c>
      <c r="K445" s="1314">
        <v>893915</v>
      </c>
      <c r="L445" s="1073">
        <v>1372870</v>
      </c>
      <c r="M445" s="1074">
        <v>1.5357947903324101</v>
      </c>
      <c r="N445" s="1315">
        <f t="shared" si="26"/>
        <v>0.61431791613296405</v>
      </c>
      <c r="O445" s="1325">
        <f t="shared" si="27"/>
        <v>0.4</v>
      </c>
      <c r="P445" s="1321">
        <v>2011</v>
      </c>
    </row>
    <row r="446" spans="1:16">
      <c r="A446" s="1034" t="s">
        <v>4067</v>
      </c>
      <c r="B446" s="826">
        <v>895</v>
      </c>
      <c r="C446" s="1035">
        <v>3</v>
      </c>
      <c r="D446" s="1035">
        <v>882</v>
      </c>
      <c r="E446" s="1035" t="s">
        <v>5594</v>
      </c>
      <c r="F446" s="1035" t="s">
        <v>3778</v>
      </c>
      <c r="G446" s="1035" t="s">
        <v>6204</v>
      </c>
      <c r="H446" s="1035" t="str">
        <f t="shared" si="24"/>
        <v>Milk Skm of Cowsa</v>
      </c>
      <c r="I446" s="1035">
        <f t="shared" si="25"/>
        <v>888</v>
      </c>
      <c r="J446" s="1114">
        <v>0.4</v>
      </c>
      <c r="K446" s="1314" t="s">
        <v>7648</v>
      </c>
      <c r="L446" s="1073" t="s">
        <v>7649</v>
      </c>
      <c r="M446" s="1074">
        <v>4.0816012317167054</v>
      </c>
      <c r="N446" s="1315">
        <f t="shared" si="26"/>
        <v>1.6326404926866822</v>
      </c>
      <c r="O446" s="1325">
        <f t="shared" si="27"/>
        <v>0.64323124777450635</v>
      </c>
      <c r="P446" s="1321" t="s">
        <v>7739</v>
      </c>
    </row>
    <row r="447" spans="1:16">
      <c r="A447" s="1034" t="s">
        <v>3328</v>
      </c>
      <c r="B447" s="826">
        <v>896</v>
      </c>
      <c r="C447" s="1035">
        <v>3</v>
      </c>
      <c r="D447" s="1035">
        <v>882</v>
      </c>
      <c r="E447" s="1035" t="s">
        <v>5594</v>
      </c>
      <c r="F447" s="1035" t="s">
        <v>3778</v>
      </c>
      <c r="G447" s="1035" t="s">
        <v>6205</v>
      </c>
      <c r="H447" s="1035" t="str">
        <f t="shared" si="24"/>
        <v>Milk Skm of Cowsb</v>
      </c>
      <c r="I447" s="1035">
        <f t="shared" si="25"/>
        <v>888</v>
      </c>
      <c r="J447" s="1114">
        <v>0.36</v>
      </c>
      <c r="K447" s="1314" t="s">
        <v>7650</v>
      </c>
      <c r="L447" s="1073" t="s">
        <v>7651</v>
      </c>
      <c r="M447" s="1074">
        <v>1.9709922599539782</v>
      </c>
      <c r="N447" s="1315">
        <f t="shared" si="26"/>
        <v>0.70955721358343216</v>
      </c>
      <c r="O447" s="1325">
        <f t="shared" si="27"/>
        <v>0.57890812299705563</v>
      </c>
      <c r="P447" s="1321" t="s">
        <v>7739</v>
      </c>
    </row>
    <row r="448" spans="1:16">
      <c r="A448" s="1034" t="s">
        <v>2659</v>
      </c>
      <c r="B448" s="826">
        <v>897</v>
      </c>
      <c r="C448" s="1035">
        <v>2</v>
      </c>
      <c r="D448" s="1035">
        <v>882</v>
      </c>
      <c r="E448" s="1035" t="s">
        <v>5594</v>
      </c>
      <c r="F448" s="1035" t="s">
        <v>5594</v>
      </c>
      <c r="G448" s="1035" t="s">
        <v>6211</v>
      </c>
      <c r="H448" s="1035" t="str">
        <f t="shared" si="24"/>
        <v>Cow milk, whole, freshh</v>
      </c>
      <c r="I448" s="1035">
        <f t="shared" si="25"/>
        <v>882</v>
      </c>
      <c r="J448" s="1114">
        <v>0.15</v>
      </c>
      <c r="K448" s="1314">
        <v>2277930</v>
      </c>
      <c r="L448" s="1073">
        <v>9686670</v>
      </c>
      <c r="M448" s="1074">
        <v>4.2524002054496801</v>
      </c>
      <c r="N448" s="1315">
        <f t="shared" si="26"/>
        <v>0.63786003081745202</v>
      </c>
      <c r="O448" s="1325">
        <f t="shared" si="27"/>
        <v>0.15</v>
      </c>
      <c r="P448" s="1321">
        <v>2011</v>
      </c>
    </row>
    <row r="449" spans="1:16">
      <c r="A449" s="1034" t="s">
        <v>3777</v>
      </c>
      <c r="B449" s="826">
        <v>898</v>
      </c>
      <c r="C449" s="1035">
        <v>3</v>
      </c>
      <c r="D449" s="1035">
        <v>882</v>
      </c>
      <c r="E449" s="1035" t="s">
        <v>5594</v>
      </c>
      <c r="F449" s="1035" t="s">
        <v>3778</v>
      </c>
      <c r="G449" s="1035" t="s">
        <v>6206</v>
      </c>
      <c r="H449" s="1035" t="str">
        <f t="shared" si="24"/>
        <v>Milk Skm of Cowsc</v>
      </c>
      <c r="I449" s="1035">
        <f t="shared" si="25"/>
        <v>888</v>
      </c>
      <c r="J449" s="1114">
        <v>0.1</v>
      </c>
      <c r="K449" s="1314">
        <v>2287650</v>
      </c>
      <c r="L449" s="1073">
        <v>7743330</v>
      </c>
      <c r="M449" s="1074">
        <v>3.3848403383384702</v>
      </c>
      <c r="N449" s="1315">
        <f t="shared" si="26"/>
        <v>0.33848403383384706</v>
      </c>
      <c r="O449" s="1325">
        <f t="shared" si="27"/>
        <v>0.16080781194362659</v>
      </c>
      <c r="P449" s="1321">
        <v>2011</v>
      </c>
    </row>
    <row r="450" spans="1:16">
      <c r="A450" s="1034" t="s">
        <v>5164</v>
      </c>
      <c r="B450" s="826">
        <v>899</v>
      </c>
      <c r="C450" s="1035">
        <v>3</v>
      </c>
      <c r="D450" s="1035">
        <v>882</v>
      </c>
      <c r="E450" s="1035" t="s">
        <v>5594</v>
      </c>
      <c r="F450" s="1035" t="s">
        <v>3778</v>
      </c>
      <c r="G450" s="1035" t="s">
        <v>6207</v>
      </c>
      <c r="H450" s="1035" t="str">
        <f t="shared" si="24"/>
        <v>Milk Skm of Cowsd</v>
      </c>
      <c r="I450" s="1035">
        <f t="shared" si="25"/>
        <v>888</v>
      </c>
      <c r="J450" s="1114">
        <v>0.1</v>
      </c>
      <c r="K450" s="1314" t="s">
        <v>7652</v>
      </c>
      <c r="L450" s="1073" t="s">
        <v>7653</v>
      </c>
      <c r="M450" s="1074">
        <v>3.1598546775658494</v>
      </c>
      <c r="N450" s="1315">
        <f t="shared" si="26"/>
        <v>0.31598546775658498</v>
      </c>
      <c r="O450" s="1325">
        <f t="shared" si="27"/>
        <v>0.16080781194362659</v>
      </c>
      <c r="P450" s="1321" t="s">
        <v>7739</v>
      </c>
    </row>
    <row r="451" spans="1:16">
      <c r="A451" s="1034" t="s">
        <v>272</v>
      </c>
      <c r="B451" s="826">
        <v>900</v>
      </c>
      <c r="C451" s="1035">
        <v>4</v>
      </c>
      <c r="D451" s="1035">
        <v>882</v>
      </c>
      <c r="E451" s="1035" t="s">
        <v>5594</v>
      </c>
      <c r="F451" s="1035" t="s">
        <v>5545</v>
      </c>
      <c r="G451" s="1035" t="s">
        <v>6204</v>
      </c>
      <c r="H451" s="1035" t="str">
        <f t="shared" si="24"/>
        <v>Whey Fresha</v>
      </c>
      <c r="I451" s="1035">
        <f t="shared" si="25"/>
        <v>903</v>
      </c>
      <c r="J451" s="1114">
        <v>0.1</v>
      </c>
      <c r="K451" s="1314">
        <v>1956480</v>
      </c>
      <c r="L451" s="1073">
        <v>3132330</v>
      </c>
      <c r="M451" s="1074">
        <v>1.6010028213935199</v>
      </c>
      <c r="N451" s="1315">
        <f t="shared" si="26"/>
        <v>0.16010028213935201</v>
      </c>
      <c r="O451" s="1325">
        <f t="shared" si="27"/>
        <v>0.62390929384943605</v>
      </c>
      <c r="P451" s="1321">
        <v>2011</v>
      </c>
    </row>
    <row r="452" spans="1:16">
      <c r="A452" s="1034" t="s">
        <v>4708</v>
      </c>
      <c r="B452" s="826">
        <v>901</v>
      </c>
      <c r="C452" s="1035">
        <v>2</v>
      </c>
      <c r="D452" s="1035">
        <v>882</v>
      </c>
      <c r="E452" s="1035" t="s">
        <v>5594</v>
      </c>
      <c r="F452" s="1035" t="s">
        <v>5594</v>
      </c>
      <c r="G452" s="1035" t="s">
        <v>6212</v>
      </c>
      <c r="H452" s="1035" t="str">
        <f t="shared" si="24"/>
        <v>Cow milk, whole, freshi</v>
      </c>
      <c r="I452" s="1035">
        <f t="shared" si="25"/>
        <v>882</v>
      </c>
      <c r="J452" s="1114">
        <v>0.15</v>
      </c>
      <c r="K452" s="1314">
        <v>4764850</v>
      </c>
      <c r="L452" s="1073">
        <v>24670900</v>
      </c>
      <c r="M452" s="1074">
        <v>5.1776866008373803</v>
      </c>
      <c r="N452" s="1315">
        <f t="shared" si="26"/>
        <v>0.77665299012560707</v>
      </c>
      <c r="O452" s="1325">
        <f t="shared" si="27"/>
        <v>0.15</v>
      </c>
      <c r="P452" s="1321">
        <v>2011</v>
      </c>
    </row>
    <row r="453" spans="1:16">
      <c r="A453" s="1034" t="s">
        <v>5545</v>
      </c>
      <c r="B453" s="826">
        <v>903</v>
      </c>
      <c r="C453" s="1035">
        <v>3</v>
      </c>
      <c r="D453" s="1035">
        <v>882</v>
      </c>
      <c r="E453" s="1035" t="s">
        <v>5594</v>
      </c>
      <c r="F453" s="1035" t="s">
        <v>3778</v>
      </c>
      <c r="G453" s="1035" t="s">
        <v>6208</v>
      </c>
      <c r="H453" s="1035" t="str">
        <f t="shared" si="24"/>
        <v>Milk Skm of Cowse</v>
      </c>
      <c r="I453" s="1035">
        <f t="shared" si="25"/>
        <v>888</v>
      </c>
      <c r="J453" s="1114">
        <v>0.85</v>
      </c>
      <c r="K453" s="1314" t="s">
        <v>7654</v>
      </c>
      <c r="L453" s="1073" t="s">
        <v>7655</v>
      </c>
      <c r="M453" s="1074">
        <v>0.33608196730368678</v>
      </c>
      <c r="N453" s="1315">
        <f t="shared" si="26"/>
        <v>0.28566967220813377</v>
      </c>
      <c r="O453" s="1325">
        <f t="shared" si="27"/>
        <v>6.2390929384943599</v>
      </c>
      <c r="P453" s="1321" t="s">
        <v>7739</v>
      </c>
    </row>
    <row r="454" spans="1:16">
      <c r="A454" s="1034" t="s">
        <v>4706</v>
      </c>
      <c r="B454" s="826">
        <v>904</v>
      </c>
      <c r="C454" s="1035">
        <v>3</v>
      </c>
      <c r="D454" s="1035">
        <v>882</v>
      </c>
      <c r="E454" s="1035" t="s">
        <v>5594</v>
      </c>
      <c r="F454" s="1035" t="s">
        <v>3778</v>
      </c>
      <c r="G454" s="1035" t="s">
        <v>6208</v>
      </c>
      <c r="H454" s="1035" t="str">
        <f t="shared" si="24"/>
        <v>Milk Skm of Cowse</v>
      </c>
      <c r="I454" s="1035">
        <f t="shared" si="25"/>
        <v>888</v>
      </c>
      <c r="J454" s="1114">
        <v>0.18</v>
      </c>
      <c r="K454" s="1314" t="s">
        <v>7656</v>
      </c>
      <c r="L454" s="1073" t="s">
        <v>7657</v>
      </c>
      <c r="M454" s="1074">
        <v>5.6570893191755154</v>
      </c>
      <c r="N454" s="1315">
        <f t="shared" si="26"/>
        <v>1.0182760774515927</v>
      </c>
      <c r="O454" s="1325">
        <f t="shared" si="27"/>
        <v>0.3706582149679275</v>
      </c>
      <c r="P454" s="1321" t="s">
        <v>7739</v>
      </c>
    </row>
    <row r="455" spans="1:16">
      <c r="A455" s="1034" t="s">
        <v>271</v>
      </c>
      <c r="B455" s="826">
        <v>905</v>
      </c>
      <c r="C455" s="1035">
        <v>4</v>
      </c>
      <c r="D455" s="1035">
        <v>882</v>
      </c>
      <c r="E455" s="1035" t="s">
        <v>5594</v>
      </c>
      <c r="F455" s="1035" t="s">
        <v>5545</v>
      </c>
      <c r="G455" s="1035" t="s">
        <v>6205</v>
      </c>
      <c r="H455" s="1035" t="str">
        <f t="shared" si="24"/>
        <v>Whey Freshb</v>
      </c>
      <c r="I455" s="1035">
        <f t="shared" si="25"/>
        <v>903</v>
      </c>
      <c r="J455" s="1114">
        <v>0.15</v>
      </c>
      <c r="K455" s="1314" t="s">
        <v>7658</v>
      </c>
      <c r="L455" s="1073" t="s">
        <v>7659</v>
      </c>
      <c r="M455" s="1074">
        <v>4.042603251964203</v>
      </c>
      <c r="N455" s="1315">
        <f t="shared" si="26"/>
        <v>0.60639048779463045</v>
      </c>
      <c r="O455" s="1325">
        <f t="shared" si="27"/>
        <v>0.93586394077415391</v>
      </c>
      <c r="P455" s="1321" t="s">
        <v>7739</v>
      </c>
    </row>
    <row r="456" spans="1:16">
      <c r="A456" s="1034" t="s">
        <v>3030</v>
      </c>
      <c r="B456" s="826">
        <v>907</v>
      </c>
      <c r="C456" s="1035">
        <v>5</v>
      </c>
      <c r="D456" s="1035">
        <v>882</v>
      </c>
      <c r="E456" s="1035" t="s">
        <v>5594</v>
      </c>
      <c r="F456" s="1035" t="s">
        <v>271</v>
      </c>
      <c r="G456" s="1035" t="s">
        <v>6206</v>
      </c>
      <c r="H456" s="1035" t="str">
        <f t="shared" ref="H456:H519" si="28">F456&amp;G456</f>
        <v>Whey Cheesec</v>
      </c>
      <c r="I456" s="1035">
        <f t="shared" ref="I456:I519" si="29">IFERROR(VLOOKUP(F456,$A$7:$B$590,2,FALSE),"")</f>
        <v>905</v>
      </c>
      <c r="J456" s="1114">
        <v>0.15</v>
      </c>
      <c r="K456" s="1314">
        <v>461055</v>
      </c>
      <c r="L456" s="1073">
        <v>2276390</v>
      </c>
      <c r="M456" s="1074">
        <v>4.9373502076758697</v>
      </c>
      <c r="N456" s="1315">
        <f t="shared" ref="N456:N519" si="30">IF(ISBLANK(J456),"",J456*M456)</f>
        <v>0.74060253115138042</v>
      </c>
      <c r="O456" s="1325">
        <f>IF(ISBLANK(F456),1,J456/(N456/SUMIF(H$7:H$601,H456,N$7:N$601))*VLOOKUP(F456,A$7:O$601,15,FALSE))</f>
        <v>0.14037959111612308</v>
      </c>
      <c r="P456" s="1321">
        <v>2011</v>
      </c>
    </row>
    <row r="457" spans="1:16">
      <c r="A457" s="1034" t="s">
        <v>669</v>
      </c>
      <c r="B457" s="826">
        <v>908</v>
      </c>
      <c r="C457" s="1035">
        <v>4</v>
      </c>
      <c r="D457" s="1035">
        <v>882</v>
      </c>
      <c r="E457" s="1035" t="s">
        <v>5594</v>
      </c>
      <c r="F457" s="1035" t="s">
        <v>3777</v>
      </c>
      <c r="G457" s="1035" t="s">
        <v>6204</v>
      </c>
      <c r="H457" s="1035" t="str">
        <f t="shared" si="28"/>
        <v>Milk Skimmed Drya</v>
      </c>
      <c r="I457" s="1035">
        <f t="shared" si="29"/>
        <v>898</v>
      </c>
      <c r="J457" s="1114">
        <v>6.666666666666667</v>
      </c>
      <c r="K457" s="1314">
        <v>79</v>
      </c>
      <c r="L457" s="1073">
        <v>176</v>
      </c>
      <c r="M457" s="1074">
        <v>0.44886363636363602</v>
      </c>
      <c r="N457" s="1315">
        <f t="shared" si="30"/>
        <v>2.9924242424242404</v>
      </c>
      <c r="O457" s="1325">
        <f>IF(ISBLANK(F457),1,J457/(N457/SUMIF(H$7:H$601,H457,N$7:N$601))*VLOOKUP(F457,A$7:O$601,15,FALSE))</f>
        <v>1.0720520796241773</v>
      </c>
      <c r="P457" s="1321">
        <v>1985</v>
      </c>
    </row>
    <row r="458" spans="1:16">
      <c r="A458" s="1034" t="s">
        <v>3031</v>
      </c>
      <c r="B458" s="826">
        <v>909</v>
      </c>
      <c r="C458" s="1035">
        <v>4</v>
      </c>
      <c r="D458" s="1035">
        <v>882</v>
      </c>
      <c r="E458" s="1035" t="s">
        <v>5594</v>
      </c>
      <c r="F458" s="1035"/>
      <c r="G458" s="1035"/>
      <c r="H458" s="1035" t="str">
        <f t="shared" si="28"/>
        <v/>
      </c>
      <c r="I458" s="1035" t="str">
        <f t="shared" si="29"/>
        <v/>
      </c>
      <c r="J458" s="1114"/>
      <c r="K458" s="1314">
        <v>405166</v>
      </c>
      <c r="L458" s="1073">
        <v>1044590</v>
      </c>
      <c r="M458" s="1074">
        <v>2.5781778332831502</v>
      </c>
      <c r="N458" s="1315" t="str">
        <f t="shared" si="30"/>
        <v/>
      </c>
      <c r="O458" s="1325">
        <f t="shared" ref="O458:O521" si="31">IF(ISBLANK(F458),1,J458/(N458/SUMIF(H$7:H$601,H458,N$7:N$601))*VLOOKUP(F458,A$7:O$601,15,FALSE))</f>
        <v>1</v>
      </c>
      <c r="P458" s="1321">
        <v>2011</v>
      </c>
    </row>
    <row r="459" spans="1:16">
      <c r="A459" s="1034" t="s">
        <v>2785</v>
      </c>
      <c r="B459" s="826">
        <v>910</v>
      </c>
      <c r="C459" s="1035"/>
      <c r="D459" s="1035">
        <v>882</v>
      </c>
      <c r="E459" s="1035" t="s">
        <v>5594</v>
      </c>
      <c r="F459" s="1035"/>
      <c r="G459" s="1035"/>
      <c r="H459" s="1035" t="str">
        <f t="shared" si="28"/>
        <v/>
      </c>
      <c r="I459" s="1035" t="str">
        <f t="shared" si="29"/>
        <v/>
      </c>
      <c r="J459" s="1114"/>
      <c r="K459" s="1314">
        <v>1103100</v>
      </c>
      <c r="L459" s="1073">
        <v>3266940</v>
      </c>
      <c r="M459" s="1074">
        <v>2.9615991297253199</v>
      </c>
      <c r="N459" s="1315" t="str">
        <f t="shared" si="30"/>
        <v/>
      </c>
      <c r="O459" s="1325">
        <f t="shared" si="31"/>
        <v>1</v>
      </c>
      <c r="P459" s="1321">
        <v>2011</v>
      </c>
    </row>
    <row r="460" spans="1:16">
      <c r="A460" s="1034" t="s">
        <v>296</v>
      </c>
      <c r="B460" s="826">
        <v>920</v>
      </c>
      <c r="C460" s="1035">
        <v>3</v>
      </c>
      <c r="D460" s="1035">
        <v>866</v>
      </c>
      <c r="E460" s="1035" t="s">
        <v>4828</v>
      </c>
      <c r="F460" s="1035" t="s">
        <v>7364</v>
      </c>
      <c r="G460" s="1035" t="s">
        <v>6204</v>
      </c>
      <c r="H460" s="1035" t="str">
        <f t="shared" si="28"/>
        <v>Hides, cattle, fresha</v>
      </c>
      <c r="I460" s="1035">
        <f t="shared" si="29"/>
        <v>919</v>
      </c>
      <c r="J460" s="1114">
        <v>0.8</v>
      </c>
      <c r="K460" s="1314">
        <v>2130350</v>
      </c>
      <c r="L460" s="1073">
        <v>4687390</v>
      </c>
      <c r="M460" s="1074">
        <v>2.2002910319900502</v>
      </c>
      <c r="N460" s="1315">
        <f t="shared" si="30"/>
        <v>1.7602328255920403</v>
      </c>
      <c r="O460" s="1325">
        <f t="shared" si="31"/>
        <v>2.1345811211035826</v>
      </c>
      <c r="P460" s="1321">
        <v>2011</v>
      </c>
    </row>
    <row r="461" spans="1:16">
      <c r="A461" s="1034" t="s">
        <v>3974</v>
      </c>
      <c r="B461" s="826">
        <v>921</v>
      </c>
      <c r="C461" s="1035">
        <v>4</v>
      </c>
      <c r="D461" s="1035">
        <v>866</v>
      </c>
      <c r="E461" s="1035" t="s">
        <v>4828</v>
      </c>
      <c r="F461" s="1035" t="s">
        <v>296</v>
      </c>
      <c r="G461" s="1035" t="s">
        <v>6204</v>
      </c>
      <c r="H461" s="1035" t="str">
        <f t="shared" si="28"/>
        <v>Hides Wet Salted Cattlea</v>
      </c>
      <c r="I461" s="1035">
        <f t="shared" si="29"/>
        <v>920</v>
      </c>
      <c r="J461" s="1114">
        <v>0.5</v>
      </c>
      <c r="K461" s="1314" t="s">
        <v>7660</v>
      </c>
      <c r="L461" s="1073" t="s">
        <v>7661</v>
      </c>
      <c r="M461" s="1074">
        <v>1.8604605539726284</v>
      </c>
      <c r="N461" s="1315">
        <f t="shared" si="30"/>
        <v>0.93023027698631422</v>
      </c>
      <c r="O461" s="1325">
        <f t="shared" si="31"/>
        <v>1.0672905605517913</v>
      </c>
      <c r="P461" s="1321" t="s">
        <v>7739</v>
      </c>
    </row>
    <row r="462" spans="1:16">
      <c r="A462" s="1034" t="s">
        <v>295</v>
      </c>
      <c r="B462" s="826">
        <v>922</v>
      </c>
      <c r="C462" s="1035">
        <v>3</v>
      </c>
      <c r="D462" s="1035">
        <v>866</v>
      </c>
      <c r="E462" s="1035" t="s">
        <v>4828</v>
      </c>
      <c r="F462" s="1035" t="s">
        <v>7364</v>
      </c>
      <c r="G462" s="1035" t="s">
        <v>6205</v>
      </c>
      <c r="H462" s="1035" t="str">
        <f t="shared" si="28"/>
        <v>Hides, cattle, freshb</v>
      </c>
      <c r="I462" s="1035">
        <f t="shared" si="29"/>
        <v>919</v>
      </c>
      <c r="J462" s="1114">
        <v>0.8</v>
      </c>
      <c r="K462" s="1314" t="s">
        <v>7662</v>
      </c>
      <c r="L462" s="1073" t="s">
        <v>7663</v>
      </c>
      <c r="M462" s="1074">
        <v>1.5453402614817298</v>
      </c>
      <c r="N462" s="1315">
        <f t="shared" si="30"/>
        <v>1.2362722091853839</v>
      </c>
      <c r="O462" s="1325">
        <f t="shared" si="31"/>
        <v>2.1345811211035826</v>
      </c>
      <c r="P462" s="1321" t="s">
        <v>7739</v>
      </c>
    </row>
    <row r="463" spans="1:16">
      <c r="A463" s="1034" t="s">
        <v>358</v>
      </c>
      <c r="B463" s="826">
        <v>928</v>
      </c>
      <c r="C463" s="1035">
        <v>3</v>
      </c>
      <c r="D463" s="1035">
        <v>866</v>
      </c>
      <c r="E463" s="1035" t="s">
        <v>4828</v>
      </c>
      <c r="F463" s="1035" t="s">
        <v>7364</v>
      </c>
      <c r="G463" s="1035" t="s">
        <v>6206</v>
      </c>
      <c r="H463" s="1035" t="str">
        <f t="shared" si="28"/>
        <v>Hides, cattle, freshc</v>
      </c>
      <c r="I463" s="1035">
        <f t="shared" si="29"/>
        <v>919</v>
      </c>
      <c r="J463" s="1114">
        <v>0.8</v>
      </c>
      <c r="K463" s="1314">
        <v>115184</v>
      </c>
      <c r="L463" s="1073">
        <v>404677</v>
      </c>
      <c r="M463" s="1074">
        <v>3.51330914015836</v>
      </c>
      <c r="N463" s="1315">
        <f t="shared" si="30"/>
        <v>2.8106473121266884</v>
      </c>
      <c r="O463" s="1325">
        <f t="shared" si="31"/>
        <v>2.1345811211035826</v>
      </c>
      <c r="P463" s="1321">
        <v>2011</v>
      </c>
    </row>
    <row r="464" spans="1:16">
      <c r="A464" s="1034" t="s">
        <v>1559</v>
      </c>
      <c r="B464" s="826">
        <v>929</v>
      </c>
      <c r="C464" s="1035">
        <v>4</v>
      </c>
      <c r="D464" s="1035">
        <v>866</v>
      </c>
      <c r="E464" s="1035" t="s">
        <v>4828</v>
      </c>
      <c r="F464" s="1035" t="s">
        <v>358</v>
      </c>
      <c r="G464" s="1035" t="s">
        <v>6204</v>
      </c>
      <c r="H464" s="1035" t="str">
        <f t="shared" si="28"/>
        <v>Skins Wet Salted Calvesa</v>
      </c>
      <c r="I464" s="1035">
        <f t="shared" si="29"/>
        <v>928</v>
      </c>
      <c r="J464" s="1114">
        <v>0.5</v>
      </c>
      <c r="K464" s="1314" t="s">
        <v>7664</v>
      </c>
      <c r="L464" s="1073" t="s">
        <v>7665</v>
      </c>
      <c r="M464" s="1074">
        <v>3.7325038880248833</v>
      </c>
      <c r="N464" s="1315">
        <f t="shared" si="30"/>
        <v>1.8662519440124417</v>
      </c>
      <c r="O464" s="1325">
        <f t="shared" si="31"/>
        <v>1.0672905605517913</v>
      </c>
      <c r="P464" s="1321" t="s">
        <v>7739</v>
      </c>
    </row>
    <row r="465" spans="1:16">
      <c r="A465" s="1034" t="s">
        <v>1500</v>
      </c>
      <c r="B465" s="826">
        <v>930</v>
      </c>
      <c r="C465" s="1035">
        <v>3</v>
      </c>
      <c r="D465" s="1035">
        <v>866</v>
      </c>
      <c r="E465" s="1035" t="s">
        <v>4828</v>
      </c>
      <c r="F465" s="1035" t="s">
        <v>7364</v>
      </c>
      <c r="G465" s="1035" t="s">
        <v>6207</v>
      </c>
      <c r="H465" s="1035" t="str">
        <f t="shared" si="28"/>
        <v>Hides, cattle, freshd</v>
      </c>
      <c r="I465" s="1035">
        <f t="shared" si="29"/>
        <v>919</v>
      </c>
      <c r="J465" s="1114">
        <v>0.8</v>
      </c>
      <c r="K465" s="1314" t="s">
        <v>7666</v>
      </c>
      <c r="L465" s="1073" t="s">
        <v>7667</v>
      </c>
      <c r="M465" s="1074">
        <v>0.1392757660167131</v>
      </c>
      <c r="N465" s="1315">
        <f t="shared" si="30"/>
        <v>0.11142061281337048</v>
      </c>
      <c r="O465" s="1325">
        <f t="shared" si="31"/>
        <v>2.1345811211035826</v>
      </c>
      <c r="P465" s="1321" t="s">
        <v>7739</v>
      </c>
    </row>
    <row r="466" spans="1:16">
      <c r="A466" s="1034" t="s">
        <v>2276</v>
      </c>
      <c r="B466" s="826">
        <v>946</v>
      </c>
      <c r="C466" s="1035">
        <v>1</v>
      </c>
      <c r="D466" s="1035">
        <v>946</v>
      </c>
      <c r="E466" s="1035" t="s">
        <v>2276</v>
      </c>
      <c r="F466" s="1035"/>
      <c r="G466" s="1035"/>
      <c r="H466" s="1035" t="str">
        <f t="shared" si="28"/>
        <v/>
      </c>
      <c r="I466" s="1035" t="str">
        <f t="shared" si="29"/>
        <v/>
      </c>
      <c r="J466" s="1114"/>
      <c r="K466" s="1314">
        <v>82470</v>
      </c>
      <c r="L466" s="1073">
        <v>2752</v>
      </c>
      <c r="M466" s="1074">
        <v>3.3369710197647597E-2</v>
      </c>
      <c r="N466" s="1315" t="str">
        <f t="shared" si="30"/>
        <v/>
      </c>
      <c r="O466" s="1325">
        <f t="shared" si="31"/>
        <v>1</v>
      </c>
      <c r="P466" s="1321">
        <v>2011</v>
      </c>
    </row>
    <row r="467" spans="1:16">
      <c r="A467" s="1034" t="s">
        <v>4630</v>
      </c>
      <c r="B467" s="826">
        <v>947</v>
      </c>
      <c r="C467" s="1035">
        <v>2</v>
      </c>
      <c r="D467" s="1035">
        <v>946</v>
      </c>
      <c r="E467" s="1035" t="s">
        <v>2276</v>
      </c>
      <c r="F467" s="1035" t="s">
        <v>2276</v>
      </c>
      <c r="G467" s="1035" t="s">
        <v>6204</v>
      </c>
      <c r="H467" s="1035" t="str">
        <f t="shared" si="28"/>
        <v>Buffaloesa</v>
      </c>
      <c r="I467" s="1035">
        <f t="shared" si="29"/>
        <v>946</v>
      </c>
      <c r="J467" s="1114">
        <v>0.66</v>
      </c>
      <c r="K467" s="1314" t="s">
        <v>7668</v>
      </c>
      <c r="L467" s="1073" t="s">
        <v>7669</v>
      </c>
      <c r="M467" s="1074">
        <v>1.484613520717228</v>
      </c>
      <c r="N467" s="1315">
        <f t="shared" si="30"/>
        <v>0.9798449236733705</v>
      </c>
      <c r="O467" s="1325">
        <f t="shared" si="31"/>
        <v>0.7592670953301055</v>
      </c>
      <c r="P467" s="1321" t="s">
        <v>7739</v>
      </c>
    </row>
    <row r="468" spans="1:16">
      <c r="A468" s="1034" t="s">
        <v>2485</v>
      </c>
      <c r="B468" s="826">
        <v>953</v>
      </c>
      <c r="C468" s="1035"/>
      <c r="D468" s="1035"/>
      <c r="E468" s="1035"/>
      <c r="F468" s="1035"/>
      <c r="G468" s="1035"/>
      <c r="H468" s="1035" t="str">
        <f t="shared" si="28"/>
        <v/>
      </c>
      <c r="I468" s="1035" t="str">
        <f t="shared" si="29"/>
        <v/>
      </c>
      <c r="J468" s="1114"/>
      <c r="K468" s="1314" t="s">
        <v>7512</v>
      </c>
      <c r="L468" s="1073" t="s">
        <v>7512</v>
      </c>
      <c r="M468" s="1074">
        <v>0</v>
      </c>
      <c r="N468" s="1315" t="str">
        <f t="shared" si="30"/>
        <v/>
      </c>
      <c r="O468" s="1325">
        <f t="shared" si="31"/>
        <v>1</v>
      </c>
      <c r="P468" s="1321" t="s">
        <v>7739</v>
      </c>
    </row>
    <row r="469" spans="1:16">
      <c r="A469" s="1034" t="s">
        <v>1543</v>
      </c>
      <c r="B469" s="826">
        <v>958</v>
      </c>
      <c r="C469" s="1035">
        <v>2</v>
      </c>
      <c r="D469" s="1035">
        <v>946</v>
      </c>
      <c r="E469" s="1035" t="s">
        <v>2276</v>
      </c>
      <c r="F469" s="1035" t="s">
        <v>2276</v>
      </c>
      <c r="G469" s="1035" t="s">
        <v>6204</v>
      </c>
      <c r="H469" s="1035" t="str">
        <f t="shared" si="28"/>
        <v>Buffaloesa</v>
      </c>
      <c r="I469" s="1035">
        <f t="shared" si="29"/>
        <v>946</v>
      </c>
      <c r="J469" s="1114">
        <v>0.06</v>
      </c>
      <c r="K469" s="1314">
        <v>115</v>
      </c>
      <c r="L469" s="1073">
        <v>155</v>
      </c>
      <c r="M469" s="1074">
        <v>0.74193548387096797</v>
      </c>
      <c r="N469" s="1315">
        <f t="shared" si="30"/>
        <v>4.451612903225808E-2</v>
      </c>
      <c r="O469" s="1325">
        <f t="shared" si="31"/>
        <v>1.5192940896715605</v>
      </c>
      <c r="P469" s="1321">
        <v>2002</v>
      </c>
    </row>
    <row r="470" spans="1:16">
      <c r="A470" s="1034" t="s">
        <v>1541</v>
      </c>
      <c r="B470" s="826">
        <v>959</v>
      </c>
      <c r="C470" s="1035">
        <v>2</v>
      </c>
      <c r="D470" s="1035">
        <v>946</v>
      </c>
      <c r="E470" s="1035" t="s">
        <v>2276</v>
      </c>
      <c r="F470" s="1035" t="s">
        <v>2276</v>
      </c>
      <c r="G470" s="1035" t="s">
        <v>6204</v>
      </c>
      <c r="H470" s="1035" t="str">
        <f t="shared" si="28"/>
        <v>Buffaloesa</v>
      </c>
      <c r="I470" s="1035">
        <f t="shared" si="29"/>
        <v>946</v>
      </c>
      <c r="J470" s="1114">
        <v>0.06</v>
      </c>
      <c r="K470" s="1314">
        <v>36</v>
      </c>
      <c r="L470" s="1073">
        <v>21</v>
      </c>
      <c r="M470" s="1074">
        <v>1.71428571428571</v>
      </c>
      <c r="N470" s="1315">
        <f t="shared" si="30"/>
        <v>0.10285714285714259</v>
      </c>
      <c r="O470" s="1325">
        <f t="shared" si="31"/>
        <v>0.65754394741161815</v>
      </c>
      <c r="P470" s="1321">
        <v>2002</v>
      </c>
    </row>
    <row r="471" spans="1:16">
      <c r="A471" s="1034" t="s">
        <v>1961</v>
      </c>
      <c r="B471" s="826">
        <v>976</v>
      </c>
      <c r="C471" s="1035">
        <v>1</v>
      </c>
      <c r="D471" s="1035">
        <v>976</v>
      </c>
      <c r="E471" s="1035" t="s">
        <v>1961</v>
      </c>
      <c r="F471" s="1035"/>
      <c r="G471" s="1035"/>
      <c r="H471" s="1035" t="str">
        <f t="shared" si="28"/>
        <v/>
      </c>
      <c r="I471" s="1035" t="str">
        <f t="shared" si="29"/>
        <v/>
      </c>
      <c r="J471" s="1114"/>
      <c r="K471" s="1314">
        <v>15172900</v>
      </c>
      <c r="L471" s="1073">
        <v>1525160</v>
      </c>
      <c r="M471" s="1074">
        <v>0.10051868792386399</v>
      </c>
      <c r="N471" s="1315" t="str">
        <f t="shared" si="30"/>
        <v/>
      </c>
      <c r="O471" s="1325">
        <f t="shared" si="31"/>
        <v>1</v>
      </c>
      <c r="P471" s="1321">
        <v>2011</v>
      </c>
    </row>
    <row r="472" spans="1:16">
      <c r="A472" s="1034" t="s">
        <v>1954</v>
      </c>
      <c r="B472" s="826">
        <v>977</v>
      </c>
      <c r="C472" s="1035">
        <v>2</v>
      </c>
      <c r="D472" s="1035">
        <v>976</v>
      </c>
      <c r="E472" s="1035" t="s">
        <v>1961</v>
      </c>
      <c r="F472" s="1035" t="s">
        <v>1961</v>
      </c>
      <c r="G472" s="1035" t="s">
        <v>6204</v>
      </c>
      <c r="H472" s="1035" t="str">
        <f t="shared" si="28"/>
        <v>Sheepa</v>
      </c>
      <c r="I472" s="1035">
        <f t="shared" si="29"/>
        <v>976</v>
      </c>
      <c r="J472" s="1114">
        <v>0.5</v>
      </c>
      <c r="K472" s="1314">
        <v>852300</v>
      </c>
      <c r="L472" s="1073">
        <v>5971940</v>
      </c>
      <c r="M472" s="1074">
        <v>7.00685204740115</v>
      </c>
      <c r="N472" s="1315">
        <f t="shared" si="30"/>
        <v>3.503426023700575</v>
      </c>
      <c r="O472" s="1325">
        <f t="shared" si="31"/>
        <v>0.64742909431708617</v>
      </c>
      <c r="P472" s="1321">
        <v>2011</v>
      </c>
    </row>
    <row r="473" spans="1:16">
      <c r="A473" s="1034" t="s">
        <v>4657</v>
      </c>
      <c r="B473" s="826">
        <v>978</v>
      </c>
      <c r="C473" s="1035">
        <v>2</v>
      </c>
      <c r="D473" s="1035">
        <v>976</v>
      </c>
      <c r="E473" s="1035" t="s">
        <v>1961</v>
      </c>
      <c r="F473" s="1035" t="s">
        <v>1961</v>
      </c>
      <c r="G473" s="1035" t="s">
        <v>6204</v>
      </c>
      <c r="H473" s="1035" t="str">
        <f t="shared" si="28"/>
        <v>Sheepa</v>
      </c>
      <c r="I473" s="1035">
        <f t="shared" si="29"/>
        <v>976</v>
      </c>
      <c r="J473" s="1114">
        <v>0.08</v>
      </c>
      <c r="K473" s="1314">
        <v>55062</v>
      </c>
      <c r="L473" s="1073">
        <v>129789</v>
      </c>
      <c r="M473" s="1074">
        <v>2.3571428571428599</v>
      </c>
      <c r="N473" s="1315">
        <f t="shared" si="30"/>
        <v>0.18857142857142881</v>
      </c>
      <c r="O473" s="1325">
        <f t="shared" si="31"/>
        <v>1.9245502500266181</v>
      </c>
      <c r="P473" s="1321">
        <v>2011</v>
      </c>
    </row>
    <row r="474" spans="1:16">
      <c r="A474" s="1034" t="s">
        <v>3655</v>
      </c>
      <c r="B474" s="826">
        <v>979</v>
      </c>
      <c r="C474" s="1035">
        <v>2</v>
      </c>
      <c r="D474" s="1035">
        <v>976</v>
      </c>
      <c r="E474" s="1035" t="s">
        <v>1961</v>
      </c>
      <c r="F474" s="1035" t="s">
        <v>1961</v>
      </c>
      <c r="G474" s="1035" t="s">
        <v>6204</v>
      </c>
      <c r="H474" s="1035" t="str">
        <f t="shared" si="28"/>
        <v>Sheepa</v>
      </c>
      <c r="I474" s="1035">
        <f t="shared" si="29"/>
        <v>976</v>
      </c>
      <c r="J474" s="1114">
        <v>0.03</v>
      </c>
      <c r="K474" s="1314" t="s">
        <v>7670</v>
      </c>
      <c r="L474" s="1073" t="s">
        <v>7606</v>
      </c>
      <c r="M474" s="1074">
        <v>0.66279069767441856</v>
      </c>
      <c r="N474" s="1315">
        <f t="shared" si="30"/>
        <v>1.9883720930232555E-2</v>
      </c>
      <c r="O474" s="1325">
        <f t="shared" si="31"/>
        <v>6.8444531448315162</v>
      </c>
      <c r="P474" s="1321" t="s">
        <v>7739</v>
      </c>
    </row>
    <row r="475" spans="1:16">
      <c r="A475" s="1034" t="s">
        <v>1956</v>
      </c>
      <c r="B475" s="826">
        <v>982</v>
      </c>
      <c r="C475" s="1035">
        <v>1</v>
      </c>
      <c r="D475" s="1035">
        <v>982</v>
      </c>
      <c r="E475" s="1035" t="s">
        <v>1956</v>
      </c>
      <c r="F475" s="1035"/>
      <c r="G475" s="1035"/>
      <c r="H475" s="1035" t="str">
        <f t="shared" si="28"/>
        <v/>
      </c>
      <c r="I475" s="1035" t="str">
        <f t="shared" si="29"/>
        <v/>
      </c>
      <c r="J475" s="1114"/>
      <c r="K475" s="1314">
        <v>5</v>
      </c>
      <c r="L475" s="1073">
        <v>3</v>
      </c>
      <c r="M475" s="1074">
        <v>1.6666666666666701</v>
      </c>
      <c r="N475" s="1315" t="str">
        <f t="shared" si="30"/>
        <v/>
      </c>
      <c r="O475" s="1325">
        <f t="shared" si="31"/>
        <v>1</v>
      </c>
      <c r="P475" s="1321">
        <v>2001</v>
      </c>
    </row>
    <row r="476" spans="1:16">
      <c r="A476" s="1034" t="s">
        <v>106</v>
      </c>
      <c r="B476" s="826">
        <v>983</v>
      </c>
      <c r="C476" s="1035">
        <v>2</v>
      </c>
      <c r="D476" s="1035">
        <v>982</v>
      </c>
      <c r="E476" s="1035" t="s">
        <v>1956</v>
      </c>
      <c r="F476" s="1035" t="s">
        <v>1956</v>
      </c>
      <c r="G476" s="1035" t="s">
        <v>6204</v>
      </c>
      <c r="H476" s="1035" t="str">
        <f t="shared" si="28"/>
        <v>Sheep milk, whole, fresha</v>
      </c>
      <c r="I476" s="1035">
        <f t="shared" si="29"/>
        <v>982</v>
      </c>
      <c r="J476" s="1114">
        <v>0.05</v>
      </c>
      <c r="K476" s="1314" t="s">
        <v>7532</v>
      </c>
      <c r="L476" s="1073" t="s">
        <v>7671</v>
      </c>
      <c r="M476" s="1074">
        <v>3.0606060606060606</v>
      </c>
      <c r="N476" s="1315">
        <f t="shared" si="30"/>
        <v>0.15303030303030304</v>
      </c>
      <c r="O476" s="1325">
        <f t="shared" si="31"/>
        <v>0.42159128774865501</v>
      </c>
      <c r="P476" s="1321" t="s">
        <v>7739</v>
      </c>
    </row>
    <row r="477" spans="1:16">
      <c r="A477" s="1034" t="s">
        <v>4705</v>
      </c>
      <c r="B477" s="826">
        <v>984</v>
      </c>
      <c r="C477" s="1035">
        <v>2</v>
      </c>
      <c r="D477" s="1035">
        <v>982</v>
      </c>
      <c r="E477" s="1035" t="s">
        <v>1956</v>
      </c>
      <c r="F477" s="1035" t="s">
        <v>1956</v>
      </c>
      <c r="G477" s="1035" t="s">
        <v>6204</v>
      </c>
      <c r="H477" s="1035" t="str">
        <f t="shared" si="28"/>
        <v>Sheep milk, whole, fresha</v>
      </c>
      <c r="I477" s="1035">
        <f t="shared" si="29"/>
        <v>982</v>
      </c>
      <c r="J477" s="1114">
        <v>0.15</v>
      </c>
      <c r="K477" s="1314">
        <v>80493</v>
      </c>
      <c r="L477" s="1073">
        <v>610295</v>
      </c>
      <c r="M477" s="1074">
        <v>7.5819636490129598</v>
      </c>
      <c r="N477" s="1315">
        <f t="shared" si="30"/>
        <v>1.137294547351944</v>
      </c>
      <c r="O477" s="1325">
        <f t="shared" si="31"/>
        <v>0.17018346567122158</v>
      </c>
      <c r="P477" s="1321">
        <v>2011</v>
      </c>
    </row>
    <row r="478" spans="1:16">
      <c r="A478" s="1034" t="s">
        <v>1960</v>
      </c>
      <c r="B478" s="826">
        <v>987</v>
      </c>
      <c r="C478" s="1035">
        <v>1</v>
      </c>
      <c r="D478" s="1035">
        <v>987</v>
      </c>
      <c r="E478" s="1076" t="s">
        <v>1960</v>
      </c>
      <c r="F478" s="1035"/>
      <c r="G478" s="1035"/>
      <c r="H478" s="1035" t="str">
        <f t="shared" si="28"/>
        <v/>
      </c>
      <c r="I478" s="1035" t="str">
        <f t="shared" si="29"/>
        <v/>
      </c>
      <c r="J478" s="1114"/>
      <c r="K478" s="1314">
        <v>500498</v>
      </c>
      <c r="L478" s="1073">
        <v>3846370</v>
      </c>
      <c r="M478" s="1074">
        <v>7.6850856546879296</v>
      </c>
      <c r="N478" s="1315" t="str">
        <f t="shared" si="30"/>
        <v/>
      </c>
      <c r="O478" s="1325">
        <f t="shared" si="31"/>
        <v>1</v>
      </c>
      <c r="P478" s="1321">
        <v>2011</v>
      </c>
    </row>
    <row r="479" spans="1:16">
      <c r="A479" s="1034" t="s">
        <v>273</v>
      </c>
      <c r="B479" s="826">
        <v>988</v>
      </c>
      <c r="C479" s="1035">
        <v>2</v>
      </c>
      <c r="D479" s="1035">
        <v>987</v>
      </c>
      <c r="E479" s="1076" t="s">
        <v>1960</v>
      </c>
      <c r="F479" s="1076" t="s">
        <v>1960</v>
      </c>
      <c r="G479" s="1035" t="s">
        <v>6204</v>
      </c>
      <c r="H479" s="1035" t="str">
        <f t="shared" si="28"/>
        <v>Wool, greasya</v>
      </c>
      <c r="I479" s="1035">
        <f t="shared" si="29"/>
        <v>987</v>
      </c>
      <c r="J479" s="1114">
        <v>0.82499999999999996</v>
      </c>
      <c r="K479" s="1314">
        <v>253136</v>
      </c>
      <c r="L479" s="1073">
        <v>1153000</v>
      </c>
      <c r="M479" s="1074">
        <v>4.5548637886353598</v>
      </c>
      <c r="N479" s="1315">
        <f t="shared" si="30"/>
        <v>3.7577626256241716</v>
      </c>
      <c r="O479" s="1325">
        <f t="shared" si="31"/>
        <v>1.0294213169862934</v>
      </c>
      <c r="P479" s="1321">
        <v>2011</v>
      </c>
    </row>
    <row r="480" spans="1:16">
      <c r="A480" s="1034" t="s">
        <v>5441</v>
      </c>
      <c r="B480" s="826">
        <v>994</v>
      </c>
      <c r="C480" s="1035">
        <v>2</v>
      </c>
      <c r="D480" s="1035">
        <v>987</v>
      </c>
      <c r="E480" s="1076" t="s">
        <v>1960</v>
      </c>
      <c r="F480" s="1076" t="s">
        <v>1960</v>
      </c>
      <c r="G480" s="1035" t="s">
        <v>6204</v>
      </c>
      <c r="H480" s="1035" t="str">
        <f t="shared" si="28"/>
        <v>Wool, greasya</v>
      </c>
      <c r="I480" s="1035">
        <f t="shared" si="29"/>
        <v>987</v>
      </c>
      <c r="J480" s="1114">
        <v>0.17499999999999999</v>
      </c>
      <c r="K480" s="1314">
        <v>42659</v>
      </c>
      <c r="L480" s="1073">
        <v>226973</v>
      </c>
      <c r="M480" s="1074">
        <v>5.3206357392343904</v>
      </c>
      <c r="N480" s="1315">
        <f t="shared" si="30"/>
        <v>0.93111125436601827</v>
      </c>
      <c r="O480" s="1325">
        <f t="shared" si="31"/>
        <v>0.88126195999745194</v>
      </c>
      <c r="P480" s="1321">
        <v>2011</v>
      </c>
    </row>
    <row r="481" spans="1:16">
      <c r="A481" s="1034" t="s">
        <v>673</v>
      </c>
      <c r="B481" s="826">
        <v>995</v>
      </c>
      <c r="C481" s="1035">
        <v>2</v>
      </c>
      <c r="D481" s="1035">
        <v>976</v>
      </c>
      <c r="E481" s="1035" t="s">
        <v>1961</v>
      </c>
      <c r="F481" s="1035" t="s">
        <v>1961</v>
      </c>
      <c r="G481" s="1035" t="s">
        <v>6204</v>
      </c>
      <c r="H481" s="1035" t="str">
        <f t="shared" si="28"/>
        <v>Sheepa</v>
      </c>
      <c r="I481" s="1035">
        <f t="shared" si="29"/>
        <v>976</v>
      </c>
      <c r="J481" s="1114">
        <v>0.06</v>
      </c>
      <c r="K481" s="1314">
        <v>1057</v>
      </c>
      <c r="L481" s="1073">
        <v>1334</v>
      </c>
      <c r="M481" s="1074">
        <v>0.79235382308845603</v>
      </c>
      <c r="N481" s="1315">
        <f t="shared" si="30"/>
        <v>4.754122938530736E-2</v>
      </c>
      <c r="O481" s="1325">
        <f t="shared" si="31"/>
        <v>5.7252703815834476</v>
      </c>
      <c r="P481" s="1321">
        <v>1998</v>
      </c>
    </row>
    <row r="482" spans="1:16">
      <c r="A482" s="1034" t="s">
        <v>1501</v>
      </c>
      <c r="B482" s="826">
        <v>996</v>
      </c>
      <c r="C482" s="1035">
        <v>2</v>
      </c>
      <c r="D482" s="1035">
        <v>976</v>
      </c>
      <c r="E482" s="1035" t="s">
        <v>1961</v>
      </c>
      <c r="F482" s="1035" t="s">
        <v>1961</v>
      </c>
      <c r="G482" s="1035" t="s">
        <v>6204</v>
      </c>
      <c r="H482" s="1035" t="str">
        <f t="shared" si="28"/>
        <v>Sheepa</v>
      </c>
      <c r="I482" s="1035">
        <f t="shared" si="29"/>
        <v>976</v>
      </c>
      <c r="J482" s="1114">
        <v>0.06</v>
      </c>
      <c r="K482" s="1314">
        <v>525</v>
      </c>
      <c r="L482" s="1073">
        <v>1262</v>
      </c>
      <c r="M482" s="1074">
        <v>2.4038095238095201</v>
      </c>
      <c r="N482" s="1315">
        <f t="shared" si="30"/>
        <v>0.14422857142857121</v>
      </c>
      <c r="O482" s="1325">
        <f t="shared" si="31"/>
        <v>1.8871877451726993</v>
      </c>
      <c r="P482" s="1321">
        <v>2011</v>
      </c>
    </row>
    <row r="483" spans="1:16">
      <c r="A483" s="1034" t="s">
        <v>2138</v>
      </c>
      <c r="B483" s="826">
        <v>997</v>
      </c>
      <c r="C483" s="1035">
        <v>2</v>
      </c>
      <c r="D483" s="1035">
        <v>976</v>
      </c>
      <c r="E483" s="1035" t="s">
        <v>1961</v>
      </c>
      <c r="F483" s="1035" t="s">
        <v>1961</v>
      </c>
      <c r="G483" s="1035" t="s">
        <v>6204</v>
      </c>
      <c r="H483" s="1035" t="str">
        <f t="shared" si="28"/>
        <v>Sheepa</v>
      </c>
      <c r="I483" s="1035">
        <f t="shared" si="29"/>
        <v>976</v>
      </c>
      <c r="J483" s="1114">
        <v>0.06</v>
      </c>
      <c r="K483" s="1314">
        <v>46481</v>
      </c>
      <c r="L483" s="1073">
        <v>289573</v>
      </c>
      <c r="M483" s="1074">
        <v>6.2299219035734996</v>
      </c>
      <c r="N483" s="1315">
        <f t="shared" si="30"/>
        <v>0.37379531421440998</v>
      </c>
      <c r="O483" s="1325">
        <f t="shared" si="31"/>
        <v>0.72816962159038201</v>
      </c>
      <c r="P483" s="1321">
        <v>2011</v>
      </c>
    </row>
    <row r="484" spans="1:16">
      <c r="A484" s="1034" t="s">
        <v>356</v>
      </c>
      <c r="B484" s="826">
        <v>998</v>
      </c>
      <c r="C484" s="1035">
        <v>2</v>
      </c>
      <c r="D484" s="1035">
        <v>976</v>
      </c>
      <c r="E484" s="1035" t="s">
        <v>1961</v>
      </c>
      <c r="F484" s="1035" t="s">
        <v>1961</v>
      </c>
      <c r="G484" s="1035" t="s">
        <v>6204</v>
      </c>
      <c r="H484" s="1035" t="str">
        <f t="shared" si="28"/>
        <v>Sheepa</v>
      </c>
      <c r="I484" s="1035">
        <f t="shared" si="29"/>
        <v>976</v>
      </c>
      <c r="J484" s="1114">
        <v>0.06</v>
      </c>
      <c r="K484" s="1314" t="s">
        <v>7672</v>
      </c>
      <c r="L484" s="1073" t="s">
        <v>7673</v>
      </c>
      <c r="M484" s="1074">
        <v>1.2940889106008793</v>
      </c>
      <c r="N484" s="1315">
        <f t="shared" si="30"/>
        <v>7.7645334636052749E-2</v>
      </c>
      <c r="O484" s="1325">
        <f t="shared" si="31"/>
        <v>3.5055086539273108</v>
      </c>
      <c r="P484" s="1321" t="s">
        <v>7739</v>
      </c>
    </row>
    <row r="485" spans="1:16">
      <c r="A485" s="1034" t="s">
        <v>360</v>
      </c>
      <c r="B485" s="826">
        <v>999</v>
      </c>
      <c r="C485" s="1035">
        <v>2</v>
      </c>
      <c r="D485" s="1035">
        <v>976</v>
      </c>
      <c r="E485" s="1035" t="s">
        <v>1961</v>
      </c>
      <c r="F485" s="1035" t="s">
        <v>1961</v>
      </c>
      <c r="G485" s="1035" t="s">
        <v>6204</v>
      </c>
      <c r="H485" s="1035" t="str">
        <f t="shared" si="28"/>
        <v>Sheepa</v>
      </c>
      <c r="I485" s="1035">
        <f t="shared" si="29"/>
        <v>976</v>
      </c>
      <c r="J485" s="1114">
        <v>0.06</v>
      </c>
      <c r="K485" s="1314">
        <v>399673</v>
      </c>
      <c r="L485" s="1073">
        <v>1208000</v>
      </c>
      <c r="M485" s="1074">
        <v>3.02247086993617</v>
      </c>
      <c r="N485" s="1315">
        <f t="shared" si="30"/>
        <v>0.18134825219617018</v>
      </c>
      <c r="O485" s="1325">
        <f t="shared" si="31"/>
        <v>1.5009044157168507</v>
      </c>
      <c r="P485" s="1321">
        <v>2011</v>
      </c>
    </row>
    <row r="486" spans="1:16">
      <c r="A486" s="1034" t="s">
        <v>1380</v>
      </c>
      <c r="B486" s="826">
        <v>1002</v>
      </c>
      <c r="C486" s="1035"/>
      <c r="D486" s="1035" t="s">
        <v>2862</v>
      </c>
      <c r="E486" s="1035"/>
      <c r="F486" s="1035"/>
      <c r="G486" s="1035"/>
      <c r="H486" s="1035" t="str">
        <f t="shared" si="28"/>
        <v/>
      </c>
      <c r="I486" s="1035" t="str">
        <f t="shared" si="29"/>
        <v/>
      </c>
      <c r="J486" s="1114"/>
      <c r="K486" s="1314" t="s">
        <v>7674</v>
      </c>
      <c r="L486" s="1073" t="s">
        <v>7675</v>
      </c>
      <c r="M486" s="1074">
        <v>100.28878281622912</v>
      </c>
      <c r="N486" s="1315" t="str">
        <f t="shared" si="30"/>
        <v/>
      </c>
      <c r="O486" s="1325">
        <f t="shared" si="31"/>
        <v>1</v>
      </c>
      <c r="P486" s="1321" t="s">
        <v>7739</v>
      </c>
    </row>
    <row r="487" spans="1:16">
      <c r="A487" s="1034" t="s">
        <v>275</v>
      </c>
      <c r="B487" s="826">
        <v>1007</v>
      </c>
      <c r="C487" s="1035">
        <v>2</v>
      </c>
      <c r="D487" s="1035">
        <v>987</v>
      </c>
      <c r="E487" s="1076" t="s">
        <v>1960</v>
      </c>
      <c r="F487" s="1035" t="s">
        <v>273</v>
      </c>
      <c r="G487" s="1035" t="s">
        <v>6205</v>
      </c>
      <c r="H487" s="1035" t="str">
        <f t="shared" si="28"/>
        <v>Wool Degreasedb</v>
      </c>
      <c r="I487" s="1035">
        <f t="shared" si="29"/>
        <v>988</v>
      </c>
      <c r="J487" s="1114">
        <v>1</v>
      </c>
      <c r="K487" s="1314" t="s">
        <v>7676</v>
      </c>
      <c r="L487" s="1073" t="s">
        <v>7677</v>
      </c>
      <c r="M487" s="1074">
        <v>2.82147315855181</v>
      </c>
      <c r="N487" s="1315">
        <f t="shared" si="30"/>
        <v>2.82147315855181</v>
      </c>
      <c r="O487" s="1325">
        <f t="shared" si="31"/>
        <v>1.0294213169862934</v>
      </c>
      <c r="P487" s="1321" t="s">
        <v>7739</v>
      </c>
    </row>
    <row r="488" spans="1:16">
      <c r="A488" s="1034" t="s">
        <v>5445</v>
      </c>
      <c r="B488" s="826">
        <v>1008</v>
      </c>
      <c r="C488" s="1035"/>
      <c r="D488" s="1035" t="s">
        <v>2862</v>
      </c>
      <c r="E488" s="1035"/>
      <c r="F488" s="1035"/>
      <c r="G488" s="1035"/>
      <c r="H488" s="1035" t="str">
        <f t="shared" si="28"/>
        <v/>
      </c>
      <c r="I488" s="1035" t="str">
        <f t="shared" si="29"/>
        <v/>
      </c>
      <c r="J488" s="1114"/>
      <c r="K488" s="1314" t="s">
        <v>7678</v>
      </c>
      <c r="L488" s="1073" t="s">
        <v>7679</v>
      </c>
      <c r="M488" s="1074">
        <v>12.253132593263137</v>
      </c>
      <c r="N488" s="1315" t="str">
        <f t="shared" si="30"/>
        <v/>
      </c>
      <c r="O488" s="1325">
        <f t="shared" si="31"/>
        <v>1</v>
      </c>
      <c r="P488" s="1321" t="s">
        <v>7739</v>
      </c>
    </row>
    <row r="489" spans="1:16">
      <c r="A489" s="1034" t="s">
        <v>595</v>
      </c>
      <c r="B489" s="826">
        <v>1009</v>
      </c>
      <c r="C489" s="1035">
        <v>2</v>
      </c>
      <c r="D489" s="1035">
        <v>987</v>
      </c>
      <c r="E489" s="1076" t="s">
        <v>1960</v>
      </c>
      <c r="F489" s="1035" t="s">
        <v>273</v>
      </c>
      <c r="G489" s="1035" t="s">
        <v>6206</v>
      </c>
      <c r="H489" s="1035" t="str">
        <f t="shared" si="28"/>
        <v>Wool Degreasedc</v>
      </c>
      <c r="I489" s="1035">
        <f t="shared" si="29"/>
        <v>988</v>
      </c>
      <c r="J489" s="1114">
        <v>1</v>
      </c>
      <c r="K489" s="1314">
        <v>34707</v>
      </c>
      <c r="L489" s="1073">
        <v>141813</v>
      </c>
      <c r="M489" s="1074">
        <v>4.0860057049010301</v>
      </c>
      <c r="N489" s="1315">
        <f t="shared" si="30"/>
        <v>4.0860057049010301</v>
      </c>
      <c r="O489" s="1325">
        <f t="shared" si="31"/>
        <v>1.0294213169862934</v>
      </c>
      <c r="P489" s="1321">
        <v>2011</v>
      </c>
    </row>
    <row r="490" spans="1:16">
      <c r="A490" s="1034" t="s">
        <v>408</v>
      </c>
      <c r="B490" s="826">
        <v>1016</v>
      </c>
      <c r="C490" s="1035">
        <v>1</v>
      </c>
      <c r="D490" s="1035">
        <v>1016</v>
      </c>
      <c r="E490" s="1035" t="s">
        <v>408</v>
      </c>
      <c r="F490" s="1035"/>
      <c r="G490" s="1035"/>
      <c r="H490" s="1035" t="str">
        <f t="shared" si="28"/>
        <v/>
      </c>
      <c r="I490" s="1035" t="str">
        <f t="shared" si="29"/>
        <v/>
      </c>
      <c r="J490" s="1114"/>
      <c r="K490" s="1314">
        <v>5875170</v>
      </c>
      <c r="L490" s="1073">
        <v>342657</v>
      </c>
      <c r="M490" s="1074">
        <v>5.83229081030847E-2</v>
      </c>
      <c r="N490" s="1315" t="str">
        <f t="shared" si="30"/>
        <v/>
      </c>
      <c r="O490" s="1325">
        <f t="shared" si="31"/>
        <v>1</v>
      </c>
      <c r="P490" s="1321">
        <v>2011</v>
      </c>
    </row>
    <row r="491" spans="1:16">
      <c r="A491" s="1034" t="s">
        <v>2934</v>
      </c>
      <c r="B491" s="826">
        <v>1017</v>
      </c>
      <c r="C491" s="1035">
        <v>2</v>
      </c>
      <c r="D491" s="1035">
        <v>1016</v>
      </c>
      <c r="E491" s="1035" t="s">
        <v>408</v>
      </c>
      <c r="F491" s="1035" t="s">
        <v>408</v>
      </c>
      <c r="G491" s="1035" t="s">
        <v>6204</v>
      </c>
      <c r="H491" s="1035" t="str">
        <f t="shared" si="28"/>
        <v>Goatsa</v>
      </c>
      <c r="I491" s="1035">
        <f t="shared" si="29"/>
        <v>1016</v>
      </c>
      <c r="J491" s="1114">
        <v>0.5</v>
      </c>
      <c r="K491" s="1314">
        <v>61041</v>
      </c>
      <c r="L491" s="1073">
        <v>341798</v>
      </c>
      <c r="M491" s="1074">
        <v>5.5994823151652202</v>
      </c>
      <c r="N491" s="1315">
        <f t="shared" si="30"/>
        <v>2.7997411575826101</v>
      </c>
      <c r="O491" s="1325">
        <f t="shared" si="31"/>
        <v>0.57711800295720295</v>
      </c>
      <c r="P491" s="1321">
        <v>2011</v>
      </c>
    </row>
    <row r="492" spans="1:16">
      <c r="A492" s="1034" t="s">
        <v>2980</v>
      </c>
      <c r="B492" s="826">
        <v>1018</v>
      </c>
      <c r="C492" s="1035">
        <v>2</v>
      </c>
      <c r="D492" s="1035">
        <v>1016</v>
      </c>
      <c r="E492" s="1035" t="s">
        <v>408</v>
      </c>
      <c r="F492" s="1035" t="s">
        <v>408</v>
      </c>
      <c r="G492" s="1035" t="s">
        <v>6204</v>
      </c>
      <c r="H492" s="1035" t="str">
        <f t="shared" si="28"/>
        <v>Goatsa</v>
      </c>
      <c r="I492" s="1035">
        <f t="shared" si="29"/>
        <v>1016</v>
      </c>
      <c r="J492" s="1114">
        <v>0.08</v>
      </c>
      <c r="K492" s="1314">
        <v>1</v>
      </c>
      <c r="L492" s="1073">
        <v>3</v>
      </c>
      <c r="M492" s="1074">
        <v>0.33333333333333298</v>
      </c>
      <c r="N492" s="1315">
        <f t="shared" si="30"/>
        <v>2.6666666666666641E-2</v>
      </c>
      <c r="O492" s="1325">
        <f t="shared" si="31"/>
        <v>9.6946861539669911</v>
      </c>
      <c r="P492" s="1321">
        <v>2010</v>
      </c>
    </row>
    <row r="493" spans="1:16">
      <c r="A493" s="1034" t="s">
        <v>2936</v>
      </c>
      <c r="B493" s="826">
        <v>1020</v>
      </c>
      <c r="C493" s="1035">
        <v>1</v>
      </c>
      <c r="D493" s="1035">
        <v>1020</v>
      </c>
      <c r="E493" s="1035" t="s">
        <v>2936</v>
      </c>
      <c r="F493" s="1035"/>
      <c r="G493" s="1035"/>
      <c r="H493" s="1035" t="str">
        <f t="shared" si="28"/>
        <v/>
      </c>
      <c r="I493" s="1035" t="str">
        <f t="shared" si="29"/>
        <v/>
      </c>
      <c r="J493" s="1114"/>
      <c r="K493" s="1314" t="s">
        <v>7512</v>
      </c>
      <c r="L493" s="1073" t="s">
        <v>7512</v>
      </c>
      <c r="M493" s="1074">
        <v>0</v>
      </c>
      <c r="N493" s="1315" t="str">
        <f t="shared" si="30"/>
        <v/>
      </c>
      <c r="O493" s="1325">
        <f t="shared" si="31"/>
        <v>1</v>
      </c>
      <c r="P493" s="1321" t="s">
        <v>7739</v>
      </c>
    </row>
    <row r="494" spans="1:16">
      <c r="A494" s="1034" t="s">
        <v>5484</v>
      </c>
      <c r="B494" s="826">
        <v>1021</v>
      </c>
      <c r="C494" s="1035">
        <v>2</v>
      </c>
      <c r="D494" s="1035">
        <v>1020</v>
      </c>
      <c r="E494" s="1035" t="s">
        <v>2936</v>
      </c>
      <c r="F494" s="1035" t="s">
        <v>2936</v>
      </c>
      <c r="G494" s="1035" t="s">
        <v>6204</v>
      </c>
      <c r="H494" s="1035" t="str">
        <f t="shared" si="28"/>
        <v>Goat milk, whole, fresha</v>
      </c>
      <c r="I494" s="1035">
        <f t="shared" si="29"/>
        <v>1020</v>
      </c>
      <c r="J494" s="1114">
        <v>0.15</v>
      </c>
      <c r="K494" s="1314" t="s">
        <v>7680</v>
      </c>
      <c r="L494" s="1073" t="s">
        <v>7681</v>
      </c>
      <c r="M494" s="1074">
        <v>3.5179640718562872</v>
      </c>
      <c r="N494" s="1315">
        <f t="shared" si="30"/>
        <v>0.52769461077844304</v>
      </c>
      <c r="O494" s="1325">
        <f t="shared" si="31"/>
        <v>0.15</v>
      </c>
      <c r="P494" s="1321" t="s">
        <v>7739</v>
      </c>
    </row>
    <row r="495" spans="1:16">
      <c r="A495" s="1034" t="s">
        <v>359</v>
      </c>
      <c r="B495" s="826">
        <v>1026</v>
      </c>
      <c r="C495" s="1035">
        <v>2</v>
      </c>
      <c r="D495" s="1035">
        <v>1016</v>
      </c>
      <c r="E495" s="1035" t="s">
        <v>408</v>
      </c>
      <c r="F495" s="1035" t="s">
        <v>408</v>
      </c>
      <c r="G495" s="1035" t="s">
        <v>6204</v>
      </c>
      <c r="H495" s="1035" t="str">
        <f t="shared" si="28"/>
        <v>Goatsa</v>
      </c>
      <c r="I495" s="1035">
        <f t="shared" si="29"/>
        <v>1016</v>
      </c>
      <c r="J495" s="1114">
        <v>0.06</v>
      </c>
      <c r="K495" s="1314">
        <v>5934</v>
      </c>
      <c r="L495" s="1073">
        <v>13637</v>
      </c>
      <c r="M495" s="1074">
        <v>2.2981125716211701</v>
      </c>
      <c r="N495" s="1315">
        <f t="shared" si="30"/>
        <v>0.13788675429727021</v>
      </c>
      <c r="O495" s="1325">
        <f t="shared" si="31"/>
        <v>1.4061809204771325</v>
      </c>
      <c r="P495" s="1321">
        <v>2011</v>
      </c>
    </row>
    <row r="496" spans="1:16">
      <c r="A496" s="1034" t="s">
        <v>1560</v>
      </c>
      <c r="B496" s="826">
        <v>1027</v>
      </c>
      <c r="C496" s="1035">
        <v>2</v>
      </c>
      <c r="D496" s="1035">
        <v>1016</v>
      </c>
      <c r="E496" s="1035" t="s">
        <v>408</v>
      </c>
      <c r="F496" s="1035" t="s">
        <v>408</v>
      </c>
      <c r="G496" s="1035" t="s">
        <v>6204</v>
      </c>
      <c r="H496" s="1035" t="str">
        <f t="shared" si="28"/>
        <v>Goatsa</v>
      </c>
      <c r="I496" s="1035">
        <f t="shared" si="29"/>
        <v>1016</v>
      </c>
      <c r="J496" s="1114">
        <v>0.06</v>
      </c>
      <c r="K496" s="1314" t="s">
        <v>7682</v>
      </c>
      <c r="L496" s="1073" t="s">
        <v>7683</v>
      </c>
      <c r="M496" s="1074">
        <v>3.8254531126871552</v>
      </c>
      <c r="N496" s="1315">
        <f t="shared" si="30"/>
        <v>0.2295271867612293</v>
      </c>
      <c r="O496" s="1325">
        <f t="shared" si="31"/>
        <v>0.84475275376002334</v>
      </c>
      <c r="P496" s="1321" t="s">
        <v>7739</v>
      </c>
    </row>
    <row r="497" spans="1:16">
      <c r="A497" s="1034" t="s">
        <v>2856</v>
      </c>
      <c r="B497" s="826">
        <v>1028</v>
      </c>
      <c r="C497" s="1035">
        <v>2</v>
      </c>
      <c r="D497" s="1035">
        <v>1016</v>
      </c>
      <c r="E497" s="1035" t="s">
        <v>408</v>
      </c>
      <c r="F497" s="1035" t="s">
        <v>408</v>
      </c>
      <c r="G497" s="1035" t="s">
        <v>6204</v>
      </c>
      <c r="H497" s="1035" t="str">
        <f t="shared" si="28"/>
        <v>Goatsa</v>
      </c>
      <c r="I497" s="1035">
        <f t="shared" si="29"/>
        <v>1016</v>
      </c>
      <c r="J497" s="1114">
        <v>0.06</v>
      </c>
      <c r="K497" s="1314" t="s">
        <v>7684</v>
      </c>
      <c r="L497" s="1073" t="s">
        <v>7685</v>
      </c>
      <c r="M497" s="1074">
        <v>0.51310861423220977</v>
      </c>
      <c r="N497" s="1315">
        <f t="shared" si="30"/>
        <v>3.0786516853932584E-2</v>
      </c>
      <c r="O497" s="1325">
        <f t="shared" si="31"/>
        <v>6.2980077934530021</v>
      </c>
      <c r="P497" s="1321" t="s">
        <v>7739</v>
      </c>
    </row>
    <row r="498" spans="1:16">
      <c r="A498" s="1034" t="s">
        <v>2263</v>
      </c>
      <c r="B498" s="826">
        <v>1030</v>
      </c>
      <c r="C498" s="1035"/>
      <c r="D498" s="1035">
        <v>1016</v>
      </c>
      <c r="E498" s="1035" t="s">
        <v>408</v>
      </c>
      <c r="F498" s="1035" t="s">
        <v>408</v>
      </c>
      <c r="G498" s="747" t="s">
        <v>6204</v>
      </c>
      <c r="H498" s="1035" t="str">
        <f t="shared" si="28"/>
        <v>Goatsa</v>
      </c>
      <c r="I498" s="1035">
        <f t="shared" si="29"/>
        <v>1016</v>
      </c>
      <c r="J498" s="1114">
        <v>1E-4</v>
      </c>
      <c r="K498" s="1314" t="s">
        <v>7686</v>
      </c>
      <c r="L498" s="1073" t="s">
        <v>7687</v>
      </c>
      <c r="M498" s="1074">
        <v>68.316638974602427</v>
      </c>
      <c r="N498" s="1315">
        <f t="shared" si="30"/>
        <v>6.8316638974602432E-3</v>
      </c>
      <c r="O498" s="1325">
        <f t="shared" si="31"/>
        <v>4.7302708385927782E-2</v>
      </c>
      <c r="P498" s="1321" t="s">
        <v>7739</v>
      </c>
    </row>
    <row r="499" spans="1:16">
      <c r="A499" s="1034" t="s">
        <v>2828</v>
      </c>
      <c r="B499" s="826">
        <v>1031</v>
      </c>
      <c r="C499" s="1035"/>
      <c r="D499" s="1035">
        <v>1016</v>
      </c>
      <c r="E499" s="1035" t="s">
        <v>408</v>
      </c>
      <c r="F499" s="1035" t="s">
        <v>408</v>
      </c>
      <c r="G499" s="747" t="s">
        <v>6204</v>
      </c>
      <c r="H499" s="1035" t="str">
        <f t="shared" si="28"/>
        <v>Goatsa</v>
      </c>
      <c r="I499" s="1035">
        <f t="shared" si="29"/>
        <v>1016</v>
      </c>
      <c r="J499" s="1114">
        <v>1E-4</v>
      </c>
      <c r="K499" s="1314">
        <v>232</v>
      </c>
      <c r="L499" s="1073">
        <v>190</v>
      </c>
      <c r="M499" s="1074">
        <v>1.2210526315789501</v>
      </c>
      <c r="N499" s="1315">
        <f t="shared" si="30"/>
        <v>1.2210526315789501E-4</v>
      </c>
      <c r="O499" s="1325">
        <f t="shared" si="31"/>
        <v>2.6465378868587965</v>
      </c>
      <c r="P499" s="1321">
        <v>2003</v>
      </c>
    </row>
    <row r="500" spans="1:16">
      <c r="A500" s="1034" t="s">
        <v>1750</v>
      </c>
      <c r="B500" s="826">
        <v>1034</v>
      </c>
      <c r="C500" s="1035">
        <v>1</v>
      </c>
      <c r="D500" s="1035">
        <v>1034</v>
      </c>
      <c r="E500" s="1035" t="s">
        <v>1750</v>
      </c>
      <c r="F500" s="1035"/>
      <c r="G500" s="1035"/>
      <c r="H500" s="1035" t="str">
        <f t="shared" si="28"/>
        <v/>
      </c>
      <c r="I500" s="1035" t="str">
        <f t="shared" si="29"/>
        <v/>
      </c>
      <c r="J500" s="1114"/>
      <c r="K500" s="1314">
        <v>34178200</v>
      </c>
      <c r="L500" s="1073">
        <v>4072540</v>
      </c>
      <c r="M500" s="1074">
        <v>0.119156070243606</v>
      </c>
      <c r="N500" s="1315" t="str">
        <f t="shared" si="30"/>
        <v/>
      </c>
      <c r="O500" s="1325">
        <f t="shared" si="31"/>
        <v>1</v>
      </c>
      <c r="P500" s="1321">
        <v>2011</v>
      </c>
    </row>
    <row r="501" spans="1:16">
      <c r="A501" s="1034" t="s">
        <v>3663</v>
      </c>
      <c r="B501" s="826">
        <v>1035</v>
      </c>
      <c r="C501" s="1035">
        <v>2</v>
      </c>
      <c r="D501" s="1035">
        <v>1034</v>
      </c>
      <c r="E501" s="1035" t="s">
        <v>1750</v>
      </c>
      <c r="F501" s="1035" t="s">
        <v>1750</v>
      </c>
      <c r="G501" s="1035" t="s">
        <v>6204</v>
      </c>
      <c r="H501" s="1035" t="str">
        <f t="shared" si="28"/>
        <v>Pigsa</v>
      </c>
      <c r="I501" s="1035">
        <f t="shared" si="29"/>
        <v>1034</v>
      </c>
      <c r="J501" s="1114">
        <v>0.76</v>
      </c>
      <c r="K501" s="1314">
        <v>4368860</v>
      </c>
      <c r="L501" s="1073">
        <v>10915800</v>
      </c>
      <c r="M501" s="1074">
        <v>2.4985465315894801</v>
      </c>
      <c r="N501" s="1315">
        <f t="shared" si="30"/>
        <v>1.8988953640080048</v>
      </c>
      <c r="O501" s="1325">
        <f t="shared" si="31"/>
        <v>0.83664727956664808</v>
      </c>
      <c r="P501" s="1321">
        <v>2011</v>
      </c>
    </row>
    <row r="502" spans="1:16">
      <c r="A502" s="1034" t="s">
        <v>4656</v>
      </c>
      <c r="B502" s="826">
        <v>1036</v>
      </c>
      <c r="C502" s="1035">
        <v>2</v>
      </c>
      <c r="D502" s="1035">
        <v>1034</v>
      </c>
      <c r="E502" s="1035" t="s">
        <v>1750</v>
      </c>
      <c r="F502" s="1035" t="s">
        <v>1750</v>
      </c>
      <c r="G502" s="1035" t="s">
        <v>6204</v>
      </c>
      <c r="H502" s="1035" t="str">
        <f t="shared" si="28"/>
        <v>Pigsa</v>
      </c>
      <c r="I502" s="1035">
        <f t="shared" si="29"/>
        <v>1034</v>
      </c>
      <c r="J502" s="1114">
        <v>0.04</v>
      </c>
      <c r="K502" s="1314">
        <v>2457580</v>
      </c>
      <c r="L502" s="1073">
        <v>3378870</v>
      </c>
      <c r="M502" s="1074">
        <v>1.3748769114332</v>
      </c>
      <c r="N502" s="1315">
        <f t="shared" si="30"/>
        <v>5.4995076457327999E-2</v>
      </c>
      <c r="O502" s="1325">
        <f t="shared" si="31"/>
        <v>1.5204285861095335</v>
      </c>
      <c r="P502" s="1321">
        <v>2011</v>
      </c>
    </row>
    <row r="503" spans="1:16">
      <c r="A503" s="1034" t="s">
        <v>5499</v>
      </c>
      <c r="B503" s="826">
        <v>1037</v>
      </c>
      <c r="C503" s="1035">
        <v>2</v>
      </c>
      <c r="D503" s="1035">
        <v>1034</v>
      </c>
      <c r="E503" s="1035" t="s">
        <v>1750</v>
      </c>
      <c r="F503" s="1035" t="s">
        <v>1750</v>
      </c>
      <c r="G503" s="1035" t="s">
        <v>6204</v>
      </c>
      <c r="H503" s="1035" t="str">
        <f t="shared" si="28"/>
        <v>Pigsa</v>
      </c>
      <c r="I503" s="1035">
        <f t="shared" si="29"/>
        <v>1034</v>
      </c>
      <c r="J503" s="1114">
        <v>0.06</v>
      </c>
      <c r="K503" s="1314">
        <v>811358</v>
      </c>
      <c r="L503" s="1073">
        <v>1034810</v>
      </c>
      <c r="M503" s="1074">
        <v>1.2754049383872501</v>
      </c>
      <c r="N503" s="1315">
        <f t="shared" si="30"/>
        <v>7.6524296303234998E-2</v>
      </c>
      <c r="O503" s="1325">
        <f t="shared" si="31"/>
        <v>1.6390105570457778</v>
      </c>
      <c r="P503" s="1321">
        <v>2011</v>
      </c>
    </row>
    <row r="504" spans="1:16">
      <c r="A504" s="1034" t="s">
        <v>6198</v>
      </c>
      <c r="B504" s="826">
        <v>1044</v>
      </c>
      <c r="C504" s="1035">
        <v>2</v>
      </c>
      <c r="D504" s="1035">
        <v>1034</v>
      </c>
      <c r="E504" s="1035" t="s">
        <v>1750</v>
      </c>
      <c r="F504" s="1035" t="s">
        <v>1750</v>
      </c>
      <c r="G504" s="1035" t="s">
        <v>6204</v>
      </c>
      <c r="H504" s="1035" t="str">
        <f t="shared" si="28"/>
        <v>Pigsa</v>
      </c>
      <c r="I504" s="1035">
        <f t="shared" si="29"/>
        <v>1034</v>
      </c>
      <c r="J504" s="1114">
        <v>0.05</v>
      </c>
      <c r="K504" s="1314" t="s">
        <v>7512</v>
      </c>
      <c r="L504" s="1073" t="s">
        <v>7512</v>
      </c>
      <c r="M504" s="1074">
        <v>1.1997484351290897</v>
      </c>
      <c r="N504" s="1315">
        <f t="shared" si="30"/>
        <v>5.9987421756454488E-2</v>
      </c>
      <c r="O504" s="1325">
        <f t="shared" si="31"/>
        <v>1.7423670640588089</v>
      </c>
      <c r="P504" s="1321" t="s">
        <v>7739</v>
      </c>
    </row>
    <row r="505" spans="1:16">
      <c r="A505" s="1034" t="s">
        <v>3816</v>
      </c>
      <c r="B505" s="826">
        <v>1038</v>
      </c>
      <c r="C505" s="1035">
        <v>3</v>
      </c>
      <c r="D505" s="1035">
        <v>1034</v>
      </c>
      <c r="E505" s="1035" t="s">
        <v>1750</v>
      </c>
      <c r="F505" s="1035" t="s">
        <v>3663</v>
      </c>
      <c r="G505" s="1035" t="s">
        <v>6204</v>
      </c>
      <c r="H505" s="1035" t="str">
        <f t="shared" si="28"/>
        <v>Pig meata</v>
      </c>
      <c r="I505" s="1035">
        <f t="shared" si="29"/>
        <v>1035</v>
      </c>
      <c r="J505" s="1114">
        <v>0.73</v>
      </c>
      <c r="K505" s="1314">
        <v>5260400</v>
      </c>
      <c r="L505" s="1073">
        <v>18300100</v>
      </c>
      <c r="M505" s="1074">
        <v>3.4788419131624999</v>
      </c>
      <c r="N505" s="1315">
        <f t="shared" si="30"/>
        <v>2.539554596608625</v>
      </c>
      <c r="O505" s="1325">
        <f t="shared" si="31"/>
        <v>0.64863062117244508</v>
      </c>
      <c r="P505" s="1321">
        <v>2011</v>
      </c>
    </row>
    <row r="506" spans="1:16">
      <c r="A506" s="1034" t="s">
        <v>1471</v>
      </c>
      <c r="B506" s="826">
        <v>1039</v>
      </c>
      <c r="C506" s="1035">
        <v>3</v>
      </c>
      <c r="D506" s="1035">
        <v>1034</v>
      </c>
      <c r="E506" s="1035" t="s">
        <v>1750</v>
      </c>
      <c r="F506" s="1035" t="s">
        <v>6201</v>
      </c>
      <c r="G506" s="1035" t="s">
        <v>6205</v>
      </c>
      <c r="H506" s="1035" t="str">
        <f t="shared" si="28"/>
        <v>Pig Meatb</v>
      </c>
      <c r="I506" s="1035">
        <f t="shared" si="29"/>
        <v>1035</v>
      </c>
      <c r="J506" s="1114">
        <v>0.77</v>
      </c>
      <c r="K506" s="1314">
        <v>554236</v>
      </c>
      <c r="L506" s="1073">
        <v>3094600</v>
      </c>
      <c r="M506" s="1074">
        <v>5.5835420290273499</v>
      </c>
      <c r="N506" s="1315">
        <f t="shared" si="30"/>
        <v>4.2993273623510593</v>
      </c>
      <c r="O506" s="1325">
        <f t="shared" si="31"/>
        <v>0.64421840526631902</v>
      </c>
      <c r="P506" s="1321">
        <v>2011</v>
      </c>
    </row>
    <row r="507" spans="1:16">
      <c r="A507" s="1034" t="s">
        <v>2985</v>
      </c>
      <c r="B507" s="826">
        <v>1040</v>
      </c>
      <c r="C507" s="1035">
        <v>3</v>
      </c>
      <c r="D507" s="1035">
        <v>1034</v>
      </c>
      <c r="E507" s="1035" t="s">
        <v>1750</v>
      </c>
      <c r="F507" s="1035" t="s">
        <v>6201</v>
      </c>
      <c r="G507" s="1035" t="s">
        <v>6204</v>
      </c>
      <c r="H507" s="1035" t="str">
        <f t="shared" si="28"/>
        <v>Pig Meata</v>
      </c>
      <c r="I507" s="1035">
        <f t="shared" si="29"/>
        <v>1035</v>
      </c>
      <c r="J507" s="1114">
        <v>0.17499999999999999</v>
      </c>
      <c r="K507" s="1314" t="s">
        <v>7526</v>
      </c>
      <c r="L507" s="1073" t="s">
        <v>7688</v>
      </c>
      <c r="M507" s="1074">
        <v>0.9</v>
      </c>
      <c r="N507" s="1315">
        <f t="shared" si="30"/>
        <v>0.1575</v>
      </c>
      <c r="O507" s="1325">
        <f t="shared" si="31"/>
        <v>2.5072037678836998</v>
      </c>
      <c r="P507" s="1321" t="s">
        <v>7739</v>
      </c>
    </row>
    <row r="508" spans="1:16">
      <c r="A508" s="1034" t="s">
        <v>1745</v>
      </c>
      <c r="B508" s="826">
        <v>1041</v>
      </c>
      <c r="C508" s="1035">
        <v>3</v>
      </c>
      <c r="D508" s="1035">
        <v>1034</v>
      </c>
      <c r="E508" s="1035" t="s">
        <v>1750</v>
      </c>
      <c r="F508" s="1035" t="s">
        <v>6201</v>
      </c>
      <c r="G508" s="1035" t="s">
        <v>6206</v>
      </c>
      <c r="H508" s="1035" t="str">
        <f t="shared" si="28"/>
        <v>Pig Meatc</v>
      </c>
      <c r="I508" s="1035">
        <f t="shared" si="29"/>
        <v>1035</v>
      </c>
      <c r="J508" s="1114">
        <v>0.85</v>
      </c>
      <c r="K508" s="1314">
        <v>919969</v>
      </c>
      <c r="L508" s="1073">
        <v>3903290</v>
      </c>
      <c r="M508" s="1074">
        <v>4.2428494873196803</v>
      </c>
      <c r="N508" s="1315">
        <f t="shared" si="30"/>
        <v>3.6064220642217282</v>
      </c>
      <c r="O508" s="1325">
        <f t="shared" si="31"/>
        <v>0.71115018763165083</v>
      </c>
      <c r="P508" s="1321">
        <v>2011</v>
      </c>
    </row>
    <row r="509" spans="1:16">
      <c r="A509" s="1034" t="s">
        <v>3819</v>
      </c>
      <c r="B509" s="826">
        <v>1042</v>
      </c>
      <c r="C509" s="1035">
        <v>3</v>
      </c>
      <c r="D509" s="1035">
        <v>1034</v>
      </c>
      <c r="E509" s="1035" t="s">
        <v>1750</v>
      </c>
      <c r="F509" s="1035" t="s">
        <v>6201</v>
      </c>
      <c r="G509" s="1035" t="s">
        <v>6207</v>
      </c>
      <c r="H509" s="1035" t="str">
        <f t="shared" si="28"/>
        <v>Pig Meatd</v>
      </c>
      <c r="I509" s="1035">
        <f t="shared" si="29"/>
        <v>1035</v>
      </c>
      <c r="J509" s="1114">
        <v>0.88</v>
      </c>
      <c r="K509" s="1314">
        <v>938442</v>
      </c>
      <c r="L509" s="1073">
        <v>3969650</v>
      </c>
      <c r="M509" s="1074">
        <v>4.2300429861408597</v>
      </c>
      <c r="N509" s="1315">
        <f t="shared" si="30"/>
        <v>3.7224378278039567</v>
      </c>
      <c r="O509" s="1325">
        <f t="shared" si="31"/>
        <v>0.7362496060186503</v>
      </c>
      <c r="P509" s="1321">
        <v>2011</v>
      </c>
    </row>
    <row r="510" spans="1:16">
      <c r="A510" s="1034" t="s">
        <v>1487</v>
      </c>
      <c r="B510" s="826">
        <v>1043</v>
      </c>
      <c r="C510" s="1035">
        <v>3</v>
      </c>
      <c r="D510" s="1035">
        <v>1034</v>
      </c>
      <c r="E510" s="1035" t="s">
        <v>1750</v>
      </c>
      <c r="F510" s="1035" t="s">
        <v>5499</v>
      </c>
      <c r="G510" s="1035" t="s">
        <v>6204</v>
      </c>
      <c r="H510" s="1035" t="str">
        <f t="shared" si="28"/>
        <v>Fat of Pigsa</v>
      </c>
      <c r="I510" s="1035">
        <f t="shared" si="29"/>
        <v>1037</v>
      </c>
      <c r="J510" s="1114">
        <v>0.8</v>
      </c>
      <c r="K510" s="1314">
        <v>356429</v>
      </c>
      <c r="L510" s="1073">
        <v>381104</v>
      </c>
      <c r="M510" s="1074">
        <v>1.0692283736732999</v>
      </c>
      <c r="N510" s="1315">
        <f t="shared" si="30"/>
        <v>0.85538269893863994</v>
      </c>
      <c r="O510" s="1325">
        <f t="shared" si="31"/>
        <v>1.3112084456366224</v>
      </c>
      <c r="P510" s="1321">
        <v>2011</v>
      </c>
    </row>
    <row r="511" spans="1:16">
      <c r="A511" s="1034" t="s">
        <v>2139</v>
      </c>
      <c r="B511" s="826">
        <v>1045</v>
      </c>
      <c r="C511" s="1035">
        <v>3</v>
      </c>
      <c r="D511" s="1035">
        <v>1034</v>
      </c>
      <c r="E511" s="1035" t="s">
        <v>1750</v>
      </c>
      <c r="F511" s="1035" t="s">
        <v>6198</v>
      </c>
      <c r="G511" s="1035" t="s">
        <v>6204</v>
      </c>
      <c r="H511" s="1035" t="str">
        <f t="shared" si="28"/>
        <v>Pigskins fresha</v>
      </c>
      <c r="I511" s="1035">
        <f t="shared" si="29"/>
        <v>1044</v>
      </c>
      <c r="J511" s="1114">
        <v>0.8</v>
      </c>
      <c r="K511" s="1314" t="s">
        <v>7689</v>
      </c>
      <c r="L511" s="1073" t="s">
        <v>7690</v>
      </c>
      <c r="M511" s="1074">
        <v>0.99032037090353131</v>
      </c>
      <c r="N511" s="1315">
        <f t="shared" si="30"/>
        <v>0.79225629672282505</v>
      </c>
      <c r="O511" s="1325">
        <f t="shared" si="31"/>
        <v>1.3938936512470472</v>
      </c>
      <c r="P511" s="1321" t="s">
        <v>7739</v>
      </c>
    </row>
    <row r="512" spans="1:16">
      <c r="A512" s="1034" t="s">
        <v>1561</v>
      </c>
      <c r="B512" s="826">
        <v>1046</v>
      </c>
      <c r="C512" s="1035">
        <v>4</v>
      </c>
      <c r="D512" s="1035">
        <v>1034</v>
      </c>
      <c r="E512" s="1035" t="s">
        <v>1750</v>
      </c>
      <c r="F512" s="1035" t="s">
        <v>2139</v>
      </c>
      <c r="G512" s="1035" t="s">
        <v>6204</v>
      </c>
      <c r="H512" s="1035" t="str">
        <f t="shared" si="28"/>
        <v>Skinswet Sltdpigsa</v>
      </c>
      <c r="I512" s="1035">
        <f t="shared" si="29"/>
        <v>1045</v>
      </c>
      <c r="J512" s="1114">
        <v>0.2</v>
      </c>
      <c r="K512" s="1314" t="s">
        <v>7691</v>
      </c>
      <c r="L512" s="1073" t="s">
        <v>7692</v>
      </c>
      <c r="M512" s="1074">
        <v>1.2745825602968459</v>
      </c>
      <c r="N512" s="1315">
        <f t="shared" si="30"/>
        <v>0.25491651205936922</v>
      </c>
      <c r="O512" s="1325">
        <f t="shared" si="31"/>
        <v>0.27877873024940947</v>
      </c>
      <c r="P512" s="1321" t="s">
        <v>7739</v>
      </c>
    </row>
    <row r="513" spans="1:16">
      <c r="A513" s="1034" t="s">
        <v>2858</v>
      </c>
      <c r="B513" s="826">
        <v>1047</v>
      </c>
      <c r="C513" s="1035">
        <v>3</v>
      </c>
      <c r="D513" s="1035">
        <v>1034</v>
      </c>
      <c r="E513" s="1035" t="s">
        <v>1750</v>
      </c>
      <c r="F513" s="1035" t="s">
        <v>6198</v>
      </c>
      <c r="G513" s="1035" t="s">
        <v>6205</v>
      </c>
      <c r="H513" s="1035" t="str">
        <f t="shared" si="28"/>
        <v>Pigskins freshb</v>
      </c>
      <c r="I513" s="1035">
        <f t="shared" si="29"/>
        <v>1044</v>
      </c>
      <c r="J513" s="1114">
        <v>0.8</v>
      </c>
      <c r="K513" s="1314" t="s">
        <v>7693</v>
      </c>
      <c r="L513" s="1073" t="s">
        <v>7694</v>
      </c>
      <c r="M513" s="1074">
        <v>1.1056866663066371</v>
      </c>
      <c r="N513" s="1315">
        <f t="shared" si="30"/>
        <v>0.8845493330453098</v>
      </c>
      <c r="O513" s="1325">
        <f t="shared" si="31"/>
        <v>1.3938936512470472</v>
      </c>
      <c r="P513" s="1321" t="s">
        <v>7739</v>
      </c>
    </row>
    <row r="514" spans="1:16">
      <c r="A514" s="1034" t="s">
        <v>4710</v>
      </c>
      <c r="B514" s="826">
        <v>1057</v>
      </c>
      <c r="C514" s="1035">
        <v>1</v>
      </c>
      <c r="D514" s="1035">
        <v>1057</v>
      </c>
      <c r="E514" s="1035" t="s">
        <v>4710</v>
      </c>
      <c r="F514" s="1035"/>
      <c r="G514" s="1035"/>
      <c r="H514" s="1035" t="str">
        <f t="shared" si="28"/>
        <v/>
      </c>
      <c r="I514" s="1035" t="str">
        <f t="shared" si="29"/>
        <v/>
      </c>
      <c r="J514" s="1114"/>
      <c r="K514" s="1314">
        <v>1335140</v>
      </c>
      <c r="L514" s="1073">
        <v>2326860</v>
      </c>
      <c r="M514" s="1074">
        <v>1.74278352831913</v>
      </c>
      <c r="N514" s="1315" t="str">
        <f t="shared" si="30"/>
        <v/>
      </c>
      <c r="O514" s="1325">
        <f t="shared" si="31"/>
        <v>1</v>
      </c>
      <c r="P514" s="1321">
        <v>2011</v>
      </c>
    </row>
    <row r="515" spans="1:16">
      <c r="A515" s="1034" t="s">
        <v>1923</v>
      </c>
      <c r="B515" s="826">
        <v>1058</v>
      </c>
      <c r="C515" s="1035">
        <v>2</v>
      </c>
      <c r="D515" s="1035">
        <v>1057</v>
      </c>
      <c r="E515" s="1035" t="s">
        <v>4710</v>
      </c>
      <c r="F515" s="1035" t="s">
        <v>4710</v>
      </c>
      <c r="G515" s="1035" t="s">
        <v>6204</v>
      </c>
      <c r="H515" s="1035" t="str">
        <f t="shared" si="28"/>
        <v>Chickensa</v>
      </c>
      <c r="I515" s="1035">
        <f t="shared" si="29"/>
        <v>1057</v>
      </c>
      <c r="J515" s="1114">
        <v>0.78</v>
      </c>
      <c r="K515" s="1314">
        <v>11391500</v>
      </c>
      <c r="L515" s="1073">
        <v>21792100</v>
      </c>
      <c r="M515" s="1074">
        <v>1.9130140894526599</v>
      </c>
      <c r="N515" s="1315">
        <f t="shared" si="30"/>
        <v>1.4921509897730747</v>
      </c>
      <c r="O515" s="1325">
        <f t="shared" si="31"/>
        <v>0.83295908481198</v>
      </c>
      <c r="P515" s="1321">
        <v>2011</v>
      </c>
    </row>
    <row r="516" spans="1:16">
      <c r="A516" s="1034" t="s">
        <v>2978</v>
      </c>
      <c r="B516" s="826">
        <v>1059</v>
      </c>
      <c r="C516" s="1035">
        <v>2</v>
      </c>
      <c r="D516" s="1035">
        <v>1057</v>
      </c>
      <c r="E516" s="1035" t="s">
        <v>4710</v>
      </c>
      <c r="F516" s="1035" t="s">
        <v>4710</v>
      </c>
      <c r="G516" s="1035" t="s">
        <v>6204</v>
      </c>
      <c r="H516" s="1035" t="str">
        <f t="shared" si="28"/>
        <v>Chickensa</v>
      </c>
      <c r="I516" s="1035">
        <f t="shared" si="29"/>
        <v>1057</v>
      </c>
      <c r="J516" s="1114">
        <v>0.1</v>
      </c>
      <c r="K516" s="1314">
        <v>306830</v>
      </c>
      <c r="L516" s="1073">
        <v>310854</v>
      </c>
      <c r="M516" s="1074">
        <v>1.01311475409836</v>
      </c>
      <c r="N516" s="1315">
        <f t="shared" si="30"/>
        <v>0.10131147540983601</v>
      </c>
      <c r="O516" s="1325">
        <f t="shared" si="31"/>
        <v>1.5728351193553012</v>
      </c>
      <c r="P516" s="1321">
        <v>2011</v>
      </c>
    </row>
    <row r="517" spans="1:16">
      <c r="A517" s="1034" t="s">
        <v>5497</v>
      </c>
      <c r="B517" s="826">
        <v>1060</v>
      </c>
      <c r="C517" s="1035">
        <v>3</v>
      </c>
      <c r="D517" s="1035">
        <v>1057</v>
      </c>
      <c r="E517" s="1035" t="s">
        <v>4710</v>
      </c>
      <c r="F517" s="1035" t="s">
        <v>1923</v>
      </c>
      <c r="G517" s="1035" t="s">
        <v>6204</v>
      </c>
      <c r="H517" s="1035" t="str">
        <f t="shared" si="28"/>
        <v>Chicken meata</v>
      </c>
      <c r="I517" s="1035">
        <f t="shared" si="29"/>
        <v>1058</v>
      </c>
      <c r="J517" s="1114">
        <v>0.05</v>
      </c>
      <c r="K517" s="1314">
        <v>3833</v>
      </c>
      <c r="L517" s="1073">
        <v>59831</v>
      </c>
      <c r="M517" s="1074">
        <v>15.6094442995043</v>
      </c>
      <c r="N517" s="1315">
        <f t="shared" si="30"/>
        <v>0.78047221497521502</v>
      </c>
      <c r="O517" s="1325">
        <f t="shared" si="31"/>
        <v>4.1647954240599E-2</v>
      </c>
      <c r="P517" s="1321">
        <v>2011</v>
      </c>
    </row>
    <row r="518" spans="1:16">
      <c r="A518" s="1034" t="s">
        <v>1024</v>
      </c>
      <c r="B518" s="826">
        <v>1061</v>
      </c>
      <c r="C518" s="1035">
        <v>3</v>
      </c>
      <c r="D518" s="1035">
        <v>1057</v>
      </c>
      <c r="E518" s="1035" t="s">
        <v>4710</v>
      </c>
      <c r="F518" s="1035" t="s">
        <v>1923</v>
      </c>
      <c r="G518" s="1035" t="s">
        <v>6205</v>
      </c>
      <c r="H518" s="1035" t="str">
        <f t="shared" si="28"/>
        <v>Chicken meatb</v>
      </c>
      <c r="I518" s="1035">
        <f t="shared" si="29"/>
        <v>1058</v>
      </c>
      <c r="J518" s="1114">
        <v>0.92</v>
      </c>
      <c r="K518" s="1314">
        <v>1899370</v>
      </c>
      <c r="L518" s="1073">
        <v>7937580</v>
      </c>
      <c r="M518" s="1074">
        <v>4.1790593723181901</v>
      </c>
      <c r="N518" s="1315">
        <f t="shared" si="30"/>
        <v>3.844734622532735</v>
      </c>
      <c r="O518" s="1325">
        <f t="shared" si="31"/>
        <v>0.76632235802702164</v>
      </c>
      <c r="P518" s="1321">
        <v>2011</v>
      </c>
    </row>
    <row r="519" spans="1:16">
      <c r="A519" s="1034" t="s">
        <v>5190</v>
      </c>
      <c r="B519" s="826">
        <v>1062</v>
      </c>
      <c r="C519" s="1035">
        <v>1</v>
      </c>
      <c r="D519" s="1035">
        <v>1062</v>
      </c>
      <c r="E519" s="1035" t="s">
        <v>5190</v>
      </c>
      <c r="F519" s="1035"/>
      <c r="G519" s="1035"/>
      <c r="H519" s="1035" t="str">
        <f t="shared" si="28"/>
        <v/>
      </c>
      <c r="I519" s="1035" t="str">
        <f t="shared" si="29"/>
        <v/>
      </c>
      <c r="J519" s="1114"/>
      <c r="K519" s="1314">
        <v>1681180</v>
      </c>
      <c r="L519" s="1073">
        <v>3160420</v>
      </c>
      <c r="M519" s="1074">
        <v>1.87988198765153</v>
      </c>
      <c r="N519" s="1315" t="str">
        <f t="shared" si="30"/>
        <v/>
      </c>
      <c r="O519" s="1325">
        <f t="shared" si="31"/>
        <v>1</v>
      </c>
      <c r="P519" s="1321">
        <v>2011</v>
      </c>
    </row>
    <row r="520" spans="1:16">
      <c r="A520" s="1034" t="s">
        <v>3203</v>
      </c>
      <c r="B520" s="826">
        <v>1063</v>
      </c>
      <c r="C520" s="1035"/>
      <c r="D520" s="1035" t="s">
        <v>2862</v>
      </c>
      <c r="E520" s="1035"/>
      <c r="F520" s="1035"/>
      <c r="G520" s="1035"/>
      <c r="H520" s="1035" t="str">
        <f t="shared" ref="H520:H583" si="32">F520&amp;G520</f>
        <v/>
      </c>
      <c r="I520" s="1035" t="str">
        <f t="shared" ref="I520:I583" si="33">IFERROR(VLOOKUP(F520,$A$7:$B$590,2,FALSE),"")</f>
        <v/>
      </c>
      <c r="J520" s="1114"/>
      <c r="K520" s="1314">
        <v>271809</v>
      </c>
      <c r="L520" s="1073">
        <v>539832</v>
      </c>
      <c r="M520" s="1074">
        <v>1.98607110139841</v>
      </c>
      <c r="N520" s="1315" t="str">
        <f t="shared" ref="N520:N583" si="34">IF(ISBLANK(J520),"",J520*M520)</f>
        <v/>
      </c>
      <c r="O520" s="1325">
        <f t="shared" si="31"/>
        <v>1</v>
      </c>
      <c r="P520" s="1321">
        <v>2011</v>
      </c>
    </row>
    <row r="521" spans="1:16">
      <c r="A521" s="1034" t="s">
        <v>3202</v>
      </c>
      <c r="B521" s="826">
        <v>1064</v>
      </c>
      <c r="C521" s="1035"/>
      <c r="D521" s="1035" t="s">
        <v>2862</v>
      </c>
      <c r="E521" s="1035"/>
      <c r="F521" s="1035"/>
      <c r="G521" s="1035"/>
      <c r="H521" s="1035" t="str">
        <f t="shared" si="32"/>
        <v/>
      </c>
      <c r="I521" s="1035" t="str">
        <f t="shared" si="33"/>
        <v/>
      </c>
      <c r="J521" s="1114"/>
      <c r="K521" s="1314">
        <v>59732</v>
      </c>
      <c r="L521" s="1073">
        <v>294296</v>
      </c>
      <c r="M521" s="1074">
        <v>4.9269403334895898</v>
      </c>
      <c r="N521" s="1315" t="str">
        <f t="shared" si="34"/>
        <v/>
      </c>
      <c r="O521" s="1325">
        <f t="shared" si="31"/>
        <v>1</v>
      </c>
      <c r="P521" s="1321">
        <v>2011</v>
      </c>
    </row>
    <row r="522" spans="1:16">
      <c r="A522" s="1034" t="s">
        <v>3654</v>
      </c>
      <c r="B522" s="826">
        <v>1065</v>
      </c>
      <c r="C522" s="1035">
        <v>3</v>
      </c>
      <c r="D522" s="1035">
        <v>1057</v>
      </c>
      <c r="E522" s="1035" t="s">
        <v>4710</v>
      </c>
      <c r="F522" s="1035" t="s">
        <v>1923</v>
      </c>
      <c r="G522" s="1035" t="s">
        <v>6206</v>
      </c>
      <c r="H522" s="1035" t="str">
        <f t="shared" si="32"/>
        <v>Chicken meatc</v>
      </c>
      <c r="I522" s="1035">
        <f t="shared" si="33"/>
        <v>1058</v>
      </c>
      <c r="J522" s="1114">
        <v>0.06</v>
      </c>
      <c r="K522" s="1314" t="s">
        <v>7695</v>
      </c>
      <c r="L522" s="1073" t="s">
        <v>7696</v>
      </c>
      <c r="M522" s="1074">
        <v>0.71253380583791848</v>
      </c>
      <c r="N522" s="1315">
        <f t="shared" si="34"/>
        <v>4.2752028350275105E-2</v>
      </c>
      <c r="O522" s="1325">
        <f t="shared" ref="O522:O585" si="35">IF(ISBLANK(F522),1,J522/(N522/SUMIF(H$7:H$601,H522,N$7:N$601))*VLOOKUP(F522,A$7:O$601,15,FALSE))</f>
        <v>4.9977545088718801E-2</v>
      </c>
      <c r="P522" s="1321" t="s">
        <v>7739</v>
      </c>
    </row>
    <row r="523" spans="1:16">
      <c r="A523" s="1034" t="s">
        <v>5500</v>
      </c>
      <c r="B523" s="826">
        <v>1066</v>
      </c>
      <c r="C523" s="1035">
        <v>4</v>
      </c>
      <c r="D523" s="1035">
        <v>1057</v>
      </c>
      <c r="E523" s="1035" t="s">
        <v>4710</v>
      </c>
      <c r="F523" s="1035" t="s">
        <v>3654</v>
      </c>
      <c r="G523" s="1035" t="s">
        <v>6204</v>
      </c>
      <c r="H523" s="1035" t="str">
        <f t="shared" si="32"/>
        <v>Fat of Poultrya</v>
      </c>
      <c r="I523" s="1035">
        <f t="shared" si="33"/>
        <v>1065</v>
      </c>
      <c r="J523" s="1114">
        <v>1</v>
      </c>
      <c r="K523" s="1314" t="s">
        <v>7697</v>
      </c>
      <c r="L523" s="1073" t="s">
        <v>7698</v>
      </c>
      <c r="M523" s="1074">
        <v>1.1329253281090172</v>
      </c>
      <c r="N523" s="1315">
        <f t="shared" si="34"/>
        <v>1.1329253281090172</v>
      </c>
      <c r="O523" s="1325">
        <f t="shared" si="35"/>
        <v>4.9977545088718801E-2</v>
      </c>
      <c r="P523" s="1321" t="s">
        <v>7739</v>
      </c>
    </row>
    <row r="524" spans="1:16">
      <c r="A524" s="1034" t="s">
        <v>3200</v>
      </c>
      <c r="B524" s="826">
        <v>1068</v>
      </c>
      <c r="C524" s="1035">
        <v>1</v>
      </c>
      <c r="D524" s="1035">
        <v>1068</v>
      </c>
      <c r="E524" s="1035" t="s">
        <v>3200</v>
      </c>
      <c r="F524" s="1035"/>
      <c r="G524" s="1035"/>
      <c r="H524" s="1035" t="str">
        <f t="shared" si="32"/>
        <v/>
      </c>
      <c r="I524" s="1035" t="str">
        <f t="shared" si="33"/>
        <v/>
      </c>
      <c r="J524" s="1114"/>
      <c r="K524" s="1314">
        <v>11324</v>
      </c>
      <c r="L524" s="1073">
        <v>77488</v>
      </c>
      <c r="M524" s="1074">
        <v>6.8428117273048397</v>
      </c>
      <c r="N524" s="1315" t="str">
        <f t="shared" si="34"/>
        <v/>
      </c>
      <c r="O524" s="1325">
        <f t="shared" si="35"/>
        <v>1</v>
      </c>
      <c r="P524" s="1321">
        <v>2011</v>
      </c>
    </row>
    <row r="525" spans="1:16">
      <c r="A525" s="1034" t="s">
        <v>5596</v>
      </c>
      <c r="B525" s="826">
        <v>1069</v>
      </c>
      <c r="C525" s="1035">
        <v>2</v>
      </c>
      <c r="D525" s="1035">
        <v>1068</v>
      </c>
      <c r="E525" s="1035" t="s">
        <v>3200</v>
      </c>
      <c r="F525" s="1035" t="s">
        <v>3200</v>
      </c>
      <c r="G525" s="1035" t="s">
        <v>6204</v>
      </c>
      <c r="H525" s="1035" t="str">
        <f t="shared" si="32"/>
        <v>Ducksa</v>
      </c>
      <c r="I525" s="1035">
        <f t="shared" si="33"/>
        <v>1068</v>
      </c>
      <c r="J525" s="1114">
        <v>0.06</v>
      </c>
      <c r="K525" s="1314">
        <v>137414</v>
      </c>
      <c r="L525" s="1073">
        <v>441810</v>
      </c>
      <c r="M525" s="1074">
        <v>3.2151745819203299</v>
      </c>
      <c r="N525" s="1315">
        <f t="shared" si="34"/>
        <v>0.19291047491521979</v>
      </c>
      <c r="O525" s="1325">
        <f t="shared" si="35"/>
        <v>0.61736603316806926</v>
      </c>
      <c r="P525" s="1321">
        <v>2011</v>
      </c>
    </row>
    <row r="526" spans="1:16">
      <c r="A526" s="1034" t="s">
        <v>6215</v>
      </c>
      <c r="B526" s="826">
        <v>1072</v>
      </c>
      <c r="C526" s="1035">
        <v>1</v>
      </c>
      <c r="D526" s="1035">
        <v>1072</v>
      </c>
      <c r="E526" s="1035" t="s">
        <v>6215</v>
      </c>
      <c r="F526" s="1035"/>
      <c r="G526" s="1035"/>
      <c r="H526" s="1035" t="str">
        <f t="shared" si="32"/>
        <v/>
      </c>
      <c r="I526" s="1035" t="str">
        <f t="shared" si="33"/>
        <v/>
      </c>
      <c r="J526" s="1114"/>
      <c r="K526" s="1314" t="s">
        <v>7512</v>
      </c>
      <c r="L526" s="1073" t="s">
        <v>7512</v>
      </c>
      <c r="M526" s="1074">
        <v>0</v>
      </c>
      <c r="N526" s="1315" t="str">
        <f t="shared" si="34"/>
        <v/>
      </c>
      <c r="O526" s="1325">
        <f t="shared" si="35"/>
        <v>1</v>
      </c>
      <c r="P526" s="1321" t="s">
        <v>7739</v>
      </c>
    </row>
    <row r="527" spans="1:16">
      <c r="A527" s="1034" t="s">
        <v>5188</v>
      </c>
      <c r="B527" s="826">
        <v>1073</v>
      </c>
      <c r="C527" s="1035">
        <v>2</v>
      </c>
      <c r="D527" s="1035">
        <v>1072</v>
      </c>
      <c r="E527" s="1035" t="s">
        <v>6215</v>
      </c>
      <c r="F527" s="1035" t="s">
        <v>6215</v>
      </c>
      <c r="G527" s="1035" t="s">
        <v>6204</v>
      </c>
      <c r="H527" s="1035" t="str">
        <f t="shared" si="32"/>
        <v>Geese and Guinea Fowlsa</v>
      </c>
      <c r="I527" s="1035">
        <f t="shared" si="33"/>
        <v>1072</v>
      </c>
      <c r="J527" s="1114">
        <v>0.81</v>
      </c>
      <c r="K527" s="1314">
        <v>33696</v>
      </c>
      <c r="L527" s="1073">
        <v>251303</v>
      </c>
      <c r="M527" s="1074">
        <v>7.4579475308641996</v>
      </c>
      <c r="N527" s="1315">
        <f t="shared" si="34"/>
        <v>6.0409375000000018</v>
      </c>
      <c r="O527" s="1325">
        <f t="shared" si="35"/>
        <v>1.1105848002070022</v>
      </c>
      <c r="P527" s="1321">
        <v>2011</v>
      </c>
    </row>
    <row r="528" spans="1:16">
      <c r="A528" s="1034" t="s">
        <v>2979</v>
      </c>
      <c r="B528" s="826">
        <v>1074</v>
      </c>
      <c r="C528" s="1035">
        <v>2</v>
      </c>
      <c r="D528" s="1035">
        <v>1072</v>
      </c>
      <c r="E528" s="1035" t="s">
        <v>6215</v>
      </c>
      <c r="F528" s="1035" t="s">
        <v>6215</v>
      </c>
      <c r="G528" s="1035" t="s">
        <v>6204</v>
      </c>
      <c r="H528" s="1035" t="str">
        <f t="shared" si="32"/>
        <v>Geese and Guinea Fowlsa</v>
      </c>
      <c r="I528" s="1035">
        <f t="shared" si="33"/>
        <v>1072</v>
      </c>
      <c r="J528" s="1114">
        <v>0.1</v>
      </c>
      <c r="K528" s="1314">
        <v>3059</v>
      </c>
      <c r="L528" s="1073">
        <v>68575</v>
      </c>
      <c r="M528" s="1074">
        <v>22.417456685191201</v>
      </c>
      <c r="N528" s="1315">
        <f t="shared" si="34"/>
        <v>2.2417456685191204</v>
      </c>
      <c r="O528" s="1325">
        <f t="shared" si="35"/>
        <v>0.36947470379146974</v>
      </c>
      <c r="P528" s="1321">
        <v>2011</v>
      </c>
    </row>
    <row r="529" spans="1:16">
      <c r="A529" s="1034" t="s">
        <v>1049</v>
      </c>
      <c r="B529" s="826">
        <v>1075</v>
      </c>
      <c r="C529" s="1035">
        <v>2</v>
      </c>
      <c r="D529" s="1035">
        <v>1068</v>
      </c>
      <c r="E529" s="1035" t="s">
        <v>3200</v>
      </c>
      <c r="F529" s="1035" t="s">
        <v>3200</v>
      </c>
      <c r="G529" s="1035" t="s">
        <v>6204</v>
      </c>
      <c r="H529" s="1035" t="str">
        <f t="shared" si="32"/>
        <v>Ducksa</v>
      </c>
      <c r="I529" s="1035">
        <f t="shared" si="33"/>
        <v>1068</v>
      </c>
      <c r="J529" s="1114">
        <v>0.1</v>
      </c>
      <c r="K529" s="1314">
        <v>6185</v>
      </c>
      <c r="L529" s="1073">
        <v>110837</v>
      </c>
      <c r="M529" s="1074">
        <v>17.9202910266774</v>
      </c>
      <c r="N529" s="1315">
        <f t="shared" si="34"/>
        <v>1.7920291026677402</v>
      </c>
      <c r="O529" s="1325">
        <f t="shared" si="35"/>
        <v>0.1107649186404417</v>
      </c>
      <c r="P529" s="1321">
        <v>2011</v>
      </c>
    </row>
    <row r="530" spans="1:16">
      <c r="A530" s="1034" t="s">
        <v>4812</v>
      </c>
      <c r="B530" s="826">
        <v>1079</v>
      </c>
      <c r="C530" s="1035">
        <v>1</v>
      </c>
      <c r="D530" s="1035">
        <v>1079</v>
      </c>
      <c r="E530" s="1035" t="s">
        <v>4812</v>
      </c>
      <c r="F530" s="1035"/>
      <c r="G530" s="1035"/>
      <c r="H530" s="1035" t="str">
        <f t="shared" si="32"/>
        <v/>
      </c>
      <c r="I530" s="1035" t="str">
        <f t="shared" si="33"/>
        <v/>
      </c>
      <c r="J530" s="1114"/>
      <c r="K530" s="1314">
        <v>71249</v>
      </c>
      <c r="L530" s="1073">
        <v>367247</v>
      </c>
      <c r="M530" s="1074">
        <v>5.1544162023326603</v>
      </c>
      <c r="N530" s="1315" t="str">
        <f t="shared" si="34"/>
        <v/>
      </c>
      <c r="O530" s="1325">
        <f t="shared" si="35"/>
        <v>1</v>
      </c>
      <c r="P530" s="1321">
        <v>2011</v>
      </c>
    </row>
    <row r="531" spans="1:16">
      <c r="A531" s="1034" t="s">
        <v>1959</v>
      </c>
      <c r="B531" s="826">
        <v>1080</v>
      </c>
      <c r="C531" s="1035">
        <v>2</v>
      </c>
      <c r="D531" s="1035">
        <v>1079</v>
      </c>
      <c r="E531" s="1035" t="s">
        <v>4812</v>
      </c>
      <c r="F531" s="1035" t="s">
        <v>4812</v>
      </c>
      <c r="G531" s="1035" t="s">
        <v>6204</v>
      </c>
      <c r="H531" s="1035" t="str">
        <f t="shared" si="32"/>
        <v>Turkeysa</v>
      </c>
      <c r="I531" s="1035">
        <f t="shared" si="33"/>
        <v>1079</v>
      </c>
      <c r="J531" s="1114">
        <v>0.78</v>
      </c>
      <c r="K531" s="1314">
        <v>877613</v>
      </c>
      <c r="L531" s="1073">
        <v>2747830</v>
      </c>
      <c r="M531" s="1074">
        <v>3.13102700165107</v>
      </c>
      <c r="N531" s="1315">
        <f t="shared" si="34"/>
        <v>2.4422010612878347</v>
      </c>
      <c r="O531" s="1325">
        <f t="shared" si="35"/>
        <v>0.78</v>
      </c>
      <c r="P531" s="1321">
        <v>2011</v>
      </c>
    </row>
    <row r="532" spans="1:16">
      <c r="A532" s="1034" t="s">
        <v>6217</v>
      </c>
      <c r="B532" s="826">
        <v>1083</v>
      </c>
      <c r="C532" s="1035">
        <v>1</v>
      </c>
      <c r="D532" s="1035">
        <v>1083</v>
      </c>
      <c r="E532" s="1035" t="s">
        <v>6217</v>
      </c>
      <c r="F532" s="1035"/>
      <c r="G532" s="1035"/>
      <c r="H532" s="1035" t="str">
        <f t="shared" si="32"/>
        <v/>
      </c>
      <c r="I532" s="1035" t="str">
        <f t="shared" si="33"/>
        <v/>
      </c>
      <c r="J532" s="1114"/>
      <c r="K532" s="1314">
        <v>804</v>
      </c>
      <c r="L532" s="1073">
        <v>26645</v>
      </c>
      <c r="M532" s="1074">
        <v>33.140547263681597</v>
      </c>
      <c r="N532" s="1315" t="str">
        <f t="shared" si="34"/>
        <v/>
      </c>
      <c r="O532" s="1325">
        <f t="shared" si="35"/>
        <v>1</v>
      </c>
      <c r="P532" s="1321">
        <v>2011</v>
      </c>
    </row>
    <row r="533" spans="1:16">
      <c r="A533" s="1034" t="s">
        <v>3391</v>
      </c>
      <c r="B533" s="826">
        <v>1089</v>
      </c>
      <c r="C533" s="1035"/>
      <c r="D533" s="1035" t="s">
        <v>2862</v>
      </c>
      <c r="E533" s="1035"/>
      <c r="F533" s="1035"/>
      <c r="G533" s="1035"/>
      <c r="H533" s="1035" t="str">
        <f t="shared" si="32"/>
        <v/>
      </c>
      <c r="I533" s="1035" t="str">
        <f t="shared" si="33"/>
        <v/>
      </c>
      <c r="J533" s="1114"/>
      <c r="K533" s="1314" t="s">
        <v>7699</v>
      </c>
      <c r="L533" s="1073" t="s">
        <v>7700</v>
      </c>
      <c r="M533" s="1074">
        <v>7.0169491525423728</v>
      </c>
      <c r="N533" s="1315" t="str">
        <f t="shared" si="34"/>
        <v/>
      </c>
      <c r="O533" s="1325">
        <f t="shared" si="35"/>
        <v>1</v>
      </c>
      <c r="P533" s="1321" t="s">
        <v>7739</v>
      </c>
    </row>
    <row r="534" spans="1:16">
      <c r="A534" s="1034" t="s">
        <v>3963</v>
      </c>
      <c r="B534" s="826">
        <v>1091</v>
      </c>
      <c r="C534" s="1035">
        <v>1</v>
      </c>
      <c r="D534" s="1035">
        <v>1091</v>
      </c>
      <c r="E534" s="1035" t="s">
        <v>3963</v>
      </c>
      <c r="F534" s="1035"/>
      <c r="G534" s="1035"/>
      <c r="H534" s="1035" t="str">
        <f t="shared" si="32"/>
        <v/>
      </c>
      <c r="I534" s="1035" t="str">
        <f t="shared" si="33"/>
        <v/>
      </c>
      <c r="J534" s="1114"/>
      <c r="K534" s="1314">
        <v>34359</v>
      </c>
      <c r="L534" s="1073">
        <v>163844</v>
      </c>
      <c r="M534" s="1074">
        <v>4.76859047120114</v>
      </c>
      <c r="N534" s="1315" t="str">
        <f t="shared" si="34"/>
        <v/>
      </c>
      <c r="O534" s="1325">
        <f t="shared" si="35"/>
        <v>1</v>
      </c>
      <c r="P534" s="1321">
        <v>2011</v>
      </c>
    </row>
    <row r="535" spans="1:16">
      <c r="A535" s="1034" t="s">
        <v>2783</v>
      </c>
      <c r="B535" s="826">
        <v>1096</v>
      </c>
      <c r="C535" s="1035">
        <v>1</v>
      </c>
      <c r="D535" s="1035">
        <v>1096</v>
      </c>
      <c r="E535" s="1035" t="s">
        <v>2783</v>
      </c>
      <c r="F535" s="1035"/>
      <c r="G535" s="1035"/>
      <c r="H535" s="1035" t="str">
        <f t="shared" si="32"/>
        <v/>
      </c>
      <c r="I535" s="1035" t="str">
        <f t="shared" si="33"/>
        <v/>
      </c>
      <c r="J535" s="1114"/>
      <c r="K535" s="1314">
        <v>373487</v>
      </c>
      <c r="L535" s="1073">
        <v>2087500</v>
      </c>
      <c r="M535" s="1074">
        <v>5.5892172953810997</v>
      </c>
      <c r="N535" s="1315" t="str">
        <f t="shared" si="34"/>
        <v/>
      </c>
      <c r="O535" s="1325">
        <f t="shared" si="35"/>
        <v>1</v>
      </c>
      <c r="P535" s="1321">
        <v>2011</v>
      </c>
    </row>
    <row r="536" spans="1:16">
      <c r="A536" s="1034" t="s">
        <v>5192</v>
      </c>
      <c r="B536" s="826">
        <v>1097</v>
      </c>
      <c r="C536" s="1035">
        <v>2</v>
      </c>
      <c r="D536" s="1035">
        <v>1096</v>
      </c>
      <c r="E536" s="1035" t="s">
        <v>2783</v>
      </c>
      <c r="F536" s="1035" t="s">
        <v>2783</v>
      </c>
      <c r="G536" s="1035" t="s">
        <v>6204</v>
      </c>
      <c r="H536" s="1035" t="str">
        <f t="shared" si="32"/>
        <v>Horsesa</v>
      </c>
      <c r="I536" s="1035">
        <f t="shared" si="33"/>
        <v>1096</v>
      </c>
      <c r="J536" s="1114">
        <v>0.76</v>
      </c>
      <c r="K536" s="1314">
        <v>133615</v>
      </c>
      <c r="L536" s="1073">
        <v>556989</v>
      </c>
      <c r="M536" s="1074">
        <v>4.1686113086105596</v>
      </c>
      <c r="N536" s="1315">
        <f t="shared" si="34"/>
        <v>3.1681445945440254</v>
      </c>
      <c r="O536" s="1325">
        <f t="shared" si="35"/>
        <v>0.77778906973229744</v>
      </c>
      <c r="P536" s="1321">
        <v>2011</v>
      </c>
    </row>
    <row r="537" spans="1:16">
      <c r="A537" s="1034" t="s">
        <v>917</v>
      </c>
      <c r="B537" s="826">
        <v>1098</v>
      </c>
      <c r="C537" s="1035">
        <v>2</v>
      </c>
      <c r="D537" s="1035">
        <v>1096</v>
      </c>
      <c r="E537" s="1035" t="s">
        <v>2783</v>
      </c>
      <c r="F537" s="1035" t="s">
        <v>2783</v>
      </c>
      <c r="G537" s="1035" t="s">
        <v>6204</v>
      </c>
      <c r="H537" s="1035" t="str">
        <f t="shared" si="32"/>
        <v>Horsesa</v>
      </c>
      <c r="I537" s="1035">
        <f t="shared" si="33"/>
        <v>1096</v>
      </c>
      <c r="J537" s="1114">
        <v>0.04</v>
      </c>
      <c r="K537" s="1314" t="s">
        <v>7701</v>
      </c>
      <c r="L537" s="1073" t="s">
        <v>7702</v>
      </c>
      <c r="M537" s="1074">
        <v>1.8496153846153847</v>
      </c>
      <c r="N537" s="1315">
        <f t="shared" si="34"/>
        <v>7.3984615384615385E-2</v>
      </c>
      <c r="O537" s="1325">
        <f t="shared" si="35"/>
        <v>1.7529592037178896</v>
      </c>
      <c r="P537" s="1321" t="s">
        <v>7739</v>
      </c>
    </row>
    <row r="538" spans="1:16">
      <c r="A538" s="1034" t="s">
        <v>5448</v>
      </c>
      <c r="B538" s="826">
        <v>1100</v>
      </c>
      <c r="C538" s="1035">
        <v>2</v>
      </c>
      <c r="D538" s="1035">
        <v>1096</v>
      </c>
      <c r="E538" s="1035" t="s">
        <v>2783</v>
      </c>
      <c r="F538" s="1035" t="s">
        <v>2783</v>
      </c>
      <c r="G538" s="1035" t="s">
        <v>6204</v>
      </c>
      <c r="H538" s="1035" t="str">
        <f t="shared" si="32"/>
        <v>Horsesa</v>
      </c>
      <c r="I538" s="1035">
        <f t="shared" si="33"/>
        <v>1096</v>
      </c>
      <c r="J538" s="1114">
        <v>1E-4</v>
      </c>
      <c r="K538" s="1314" t="s">
        <v>7703</v>
      </c>
      <c r="L538" s="1073" t="s">
        <v>7704</v>
      </c>
      <c r="M538" s="1074">
        <v>1.7110187110187109</v>
      </c>
      <c r="N538" s="1315">
        <f t="shared" si="34"/>
        <v>1.7110187110187111E-4</v>
      </c>
      <c r="O538" s="1325">
        <f t="shared" si="35"/>
        <v>1.8949531591441995</v>
      </c>
      <c r="P538" s="1321" t="s">
        <v>7739</v>
      </c>
    </row>
    <row r="539" spans="1:16">
      <c r="A539" s="1034" t="s">
        <v>297</v>
      </c>
      <c r="B539" s="826">
        <v>1103</v>
      </c>
      <c r="C539" s="1035">
        <v>2</v>
      </c>
      <c r="D539" s="1035">
        <v>1096</v>
      </c>
      <c r="E539" s="1035" t="s">
        <v>2783</v>
      </c>
      <c r="F539" s="1035" t="s">
        <v>2783</v>
      </c>
      <c r="G539" s="1035" t="s">
        <v>6205</v>
      </c>
      <c r="H539" s="1035" t="str">
        <f t="shared" si="32"/>
        <v>Horsesb</v>
      </c>
      <c r="I539" s="1035">
        <f t="shared" si="33"/>
        <v>1096</v>
      </c>
      <c r="J539" s="1114">
        <v>0.35</v>
      </c>
      <c r="K539" s="1314" t="s">
        <v>7705</v>
      </c>
      <c r="L539" s="1073" t="s">
        <v>7706</v>
      </c>
      <c r="M539" s="1074">
        <v>2.3926121372031663</v>
      </c>
      <c r="N539" s="1315">
        <f t="shared" si="34"/>
        <v>0.8374142480211082</v>
      </c>
      <c r="O539" s="1325">
        <f t="shared" si="35"/>
        <v>0.35</v>
      </c>
      <c r="P539" s="1321" t="s">
        <v>7739</v>
      </c>
    </row>
    <row r="540" spans="1:16">
      <c r="A540" s="1034" t="s">
        <v>1540</v>
      </c>
      <c r="B540" s="826">
        <v>1104</v>
      </c>
      <c r="C540" s="1035">
        <v>2</v>
      </c>
      <c r="D540" s="1035">
        <v>1096</v>
      </c>
      <c r="E540" s="1035" t="s">
        <v>2783</v>
      </c>
      <c r="F540" s="1035" t="s">
        <v>2783</v>
      </c>
      <c r="G540" s="1035" t="s">
        <v>6206</v>
      </c>
      <c r="H540" s="1035" t="str">
        <f t="shared" si="32"/>
        <v>Horsesc</v>
      </c>
      <c r="I540" s="1035">
        <f t="shared" si="33"/>
        <v>1096</v>
      </c>
      <c r="J540" s="1114">
        <v>0.17</v>
      </c>
      <c r="K540" s="1314">
        <v>78</v>
      </c>
      <c r="L540" s="1073">
        <v>182</v>
      </c>
      <c r="M540" s="1074">
        <v>0.42857142857142899</v>
      </c>
      <c r="N540" s="1315">
        <f t="shared" si="34"/>
        <v>7.285714285714294E-2</v>
      </c>
      <c r="O540" s="1325">
        <f t="shared" si="35"/>
        <v>0.17</v>
      </c>
      <c r="P540" s="1321">
        <v>2000</v>
      </c>
    </row>
    <row r="541" spans="1:16">
      <c r="A541" s="1034" t="s">
        <v>1542</v>
      </c>
      <c r="B541" s="826">
        <v>1105</v>
      </c>
      <c r="C541" s="1035">
        <v>2</v>
      </c>
      <c r="D541" s="1035">
        <v>1096</v>
      </c>
      <c r="E541" s="1035" t="s">
        <v>2783</v>
      </c>
      <c r="F541" s="1035" t="s">
        <v>2783</v>
      </c>
      <c r="G541" s="1035" t="s">
        <v>6207</v>
      </c>
      <c r="H541" s="1035" t="str">
        <f t="shared" si="32"/>
        <v>Horsesd</v>
      </c>
      <c r="I541" s="1035">
        <f t="shared" si="33"/>
        <v>1096</v>
      </c>
      <c r="J541" s="1114">
        <v>0.17</v>
      </c>
      <c r="K541" s="1314" t="s">
        <v>7598</v>
      </c>
      <c r="L541" s="1073" t="s">
        <v>7707</v>
      </c>
      <c r="M541" s="1074">
        <v>3.4117647058823528</v>
      </c>
      <c r="N541" s="1315">
        <f t="shared" si="34"/>
        <v>0.58000000000000007</v>
      </c>
      <c r="O541" s="1325">
        <f t="shared" si="35"/>
        <v>0.17</v>
      </c>
      <c r="P541" s="1321" t="s">
        <v>7739</v>
      </c>
    </row>
    <row r="542" spans="1:16">
      <c r="A542" s="1034" t="s">
        <v>3389</v>
      </c>
      <c r="B542" s="826">
        <v>1107</v>
      </c>
      <c r="C542" s="1035">
        <v>1</v>
      </c>
      <c r="D542" s="1035">
        <v>1107</v>
      </c>
      <c r="E542" s="1035" t="s">
        <v>3389</v>
      </c>
      <c r="F542" s="1035"/>
      <c r="G542" s="1035"/>
      <c r="H542" s="1035" t="str">
        <f t="shared" si="32"/>
        <v/>
      </c>
      <c r="I542" s="1035" t="str">
        <f t="shared" si="33"/>
        <v/>
      </c>
      <c r="J542" s="1114"/>
      <c r="K542" s="1314">
        <v>7117</v>
      </c>
      <c r="L542" s="1073">
        <v>2439</v>
      </c>
      <c r="M542" s="1074">
        <v>0.34270057608542898</v>
      </c>
      <c r="N542" s="1315" t="str">
        <f t="shared" si="34"/>
        <v/>
      </c>
      <c r="O542" s="1325">
        <f t="shared" si="35"/>
        <v>1</v>
      </c>
      <c r="P542" s="1321">
        <v>2011</v>
      </c>
    </row>
    <row r="543" spans="1:16">
      <c r="A543" s="1034" t="s">
        <v>5163</v>
      </c>
      <c r="B543" s="826">
        <v>1108</v>
      </c>
      <c r="C543" s="1035">
        <v>2</v>
      </c>
      <c r="D543" s="1035">
        <v>1107</v>
      </c>
      <c r="E543" s="1035" t="s">
        <v>3389</v>
      </c>
      <c r="F543" s="1035" t="s">
        <v>3389</v>
      </c>
      <c r="G543" s="1035"/>
      <c r="H543" s="1035" t="str">
        <f t="shared" si="32"/>
        <v>Asses</v>
      </c>
      <c r="I543" s="1035">
        <f t="shared" si="33"/>
        <v>1107</v>
      </c>
      <c r="J543" s="1114">
        <v>0.76</v>
      </c>
      <c r="K543" s="1314">
        <v>15</v>
      </c>
      <c r="L543" s="1073">
        <v>11</v>
      </c>
      <c r="M543" s="1074">
        <v>1.36363636363636</v>
      </c>
      <c r="N543" s="1315">
        <f t="shared" si="34"/>
        <v>1.0363636363636335</v>
      </c>
      <c r="O543" s="1325">
        <f t="shared" si="35"/>
        <v>0.76</v>
      </c>
      <c r="P543" s="1321">
        <v>1997</v>
      </c>
    </row>
    <row r="544" spans="1:16">
      <c r="A544" s="1034" t="s">
        <v>5166</v>
      </c>
      <c r="B544" s="826">
        <v>1110</v>
      </c>
      <c r="C544" s="1035">
        <v>1</v>
      </c>
      <c r="D544" s="826">
        <v>1110</v>
      </c>
      <c r="E544" s="1035" t="s">
        <v>5166</v>
      </c>
      <c r="F544" s="1035"/>
      <c r="G544" s="1035"/>
      <c r="H544" s="1035" t="str">
        <f t="shared" si="32"/>
        <v/>
      </c>
      <c r="I544" s="1035" t="str">
        <f t="shared" si="33"/>
        <v/>
      </c>
      <c r="J544" s="1114"/>
      <c r="K544" s="1314">
        <v>6</v>
      </c>
      <c r="L544" s="1073">
        <v>6</v>
      </c>
      <c r="M544" s="1074">
        <v>1</v>
      </c>
      <c r="N544" s="1315" t="str">
        <f t="shared" si="34"/>
        <v/>
      </c>
      <c r="O544" s="1325">
        <f t="shared" si="35"/>
        <v>1</v>
      </c>
      <c r="P544" s="1321">
        <v>2011</v>
      </c>
    </row>
    <row r="545" spans="1:16">
      <c r="A545" s="1034" t="s">
        <v>5071</v>
      </c>
      <c r="B545" s="826">
        <v>1126</v>
      </c>
      <c r="C545" s="1035">
        <v>1</v>
      </c>
      <c r="D545" s="1035">
        <v>1126</v>
      </c>
      <c r="E545" s="1035" t="s">
        <v>5071</v>
      </c>
      <c r="F545" s="1035"/>
      <c r="G545" s="1035"/>
      <c r="H545" s="1035" t="str">
        <f t="shared" si="32"/>
        <v/>
      </c>
      <c r="I545" s="1035" t="str">
        <f t="shared" si="33"/>
        <v/>
      </c>
      <c r="J545" s="1114"/>
      <c r="K545" s="1314">
        <v>255626</v>
      </c>
      <c r="L545" s="1073">
        <v>85093</v>
      </c>
      <c r="M545" s="1074">
        <v>0.33288084936586998</v>
      </c>
      <c r="N545" s="1315" t="str">
        <f t="shared" si="34"/>
        <v/>
      </c>
      <c r="O545" s="1325">
        <f t="shared" si="35"/>
        <v>1</v>
      </c>
      <c r="P545" s="1321">
        <v>2011</v>
      </c>
    </row>
    <row r="546" spans="1:16">
      <c r="A546" s="1034" t="s">
        <v>4634</v>
      </c>
      <c r="B546" s="826">
        <v>1127</v>
      </c>
      <c r="C546" s="1035">
        <v>2</v>
      </c>
      <c r="D546" s="1035">
        <v>1126</v>
      </c>
      <c r="E546" s="1035" t="s">
        <v>5071</v>
      </c>
      <c r="F546" s="1035" t="s">
        <v>5071</v>
      </c>
      <c r="G546" s="1035" t="s">
        <v>6204</v>
      </c>
      <c r="H546" s="1035" t="str">
        <f t="shared" si="32"/>
        <v>Camelsa</v>
      </c>
      <c r="I546" s="1035">
        <f t="shared" si="33"/>
        <v>1126</v>
      </c>
      <c r="J546" s="1114">
        <v>0.76</v>
      </c>
      <c r="K546" s="1314" t="s">
        <v>7708</v>
      </c>
      <c r="L546" s="1073" t="s">
        <v>7709</v>
      </c>
      <c r="M546" s="1074">
        <v>2.5913555992141455</v>
      </c>
      <c r="N546" s="1315">
        <f t="shared" si="34"/>
        <v>1.9694302554027505</v>
      </c>
      <c r="O546" s="1325">
        <f t="shared" si="35"/>
        <v>0.86187717968157707</v>
      </c>
      <c r="P546" s="1321" t="s">
        <v>7739</v>
      </c>
    </row>
    <row r="547" spans="1:16">
      <c r="A547" s="1034" t="s">
        <v>3653</v>
      </c>
      <c r="B547" s="826">
        <v>1129</v>
      </c>
      <c r="C547" s="1035">
        <v>2</v>
      </c>
      <c r="D547" s="1035">
        <v>1126</v>
      </c>
      <c r="E547" s="1035" t="s">
        <v>5071</v>
      </c>
      <c r="F547" s="1035" t="s">
        <v>5071</v>
      </c>
      <c r="G547" s="1035" t="s">
        <v>6204</v>
      </c>
      <c r="H547" s="1035" t="str">
        <f t="shared" si="32"/>
        <v>Camelsa</v>
      </c>
      <c r="I547" s="1035">
        <f t="shared" si="33"/>
        <v>1126</v>
      </c>
      <c r="J547" s="1114">
        <v>0.06</v>
      </c>
      <c r="K547" s="1314">
        <v>22</v>
      </c>
      <c r="L547" s="1073">
        <v>5</v>
      </c>
      <c r="M547" s="1074">
        <v>4.4000000000000004</v>
      </c>
      <c r="N547" s="1315">
        <f t="shared" si="34"/>
        <v>0.26400000000000001</v>
      </c>
      <c r="O547" s="1325">
        <f t="shared" si="35"/>
        <v>0.50759778531880695</v>
      </c>
      <c r="P547" s="1321">
        <v>1999</v>
      </c>
    </row>
    <row r="548" spans="1:16">
      <c r="A548" s="1034" t="s">
        <v>5338</v>
      </c>
      <c r="B548" s="826">
        <v>1134</v>
      </c>
      <c r="C548" s="1035">
        <v>2</v>
      </c>
      <c r="D548" s="1035">
        <v>1126</v>
      </c>
      <c r="E548" s="1035" t="s">
        <v>5071</v>
      </c>
      <c r="F548" s="1035" t="s">
        <v>5071</v>
      </c>
      <c r="G548" s="1035" t="s">
        <v>6205</v>
      </c>
      <c r="H548" s="1035" t="str">
        <f t="shared" si="32"/>
        <v>Camelsb</v>
      </c>
      <c r="I548" s="1035">
        <f t="shared" si="33"/>
        <v>1126</v>
      </c>
      <c r="J548" s="1114">
        <v>0.35</v>
      </c>
      <c r="K548" s="1314">
        <v>53</v>
      </c>
      <c r="L548" s="1073">
        <v>86</v>
      </c>
      <c r="M548" s="1074">
        <v>0.61627906976744196</v>
      </c>
      <c r="N548" s="1315">
        <f t="shared" si="34"/>
        <v>0.21569767441860468</v>
      </c>
      <c r="O548" s="1325">
        <f t="shared" si="35"/>
        <v>0.35</v>
      </c>
      <c r="P548" s="1321">
        <v>1987</v>
      </c>
    </row>
    <row r="549" spans="1:16">
      <c r="A549" s="1034" t="s">
        <v>5348</v>
      </c>
      <c r="B549" s="826">
        <v>1136</v>
      </c>
      <c r="C549" s="1035">
        <v>2</v>
      </c>
      <c r="D549" s="1035">
        <v>1126</v>
      </c>
      <c r="E549" s="1035" t="s">
        <v>5071</v>
      </c>
      <c r="F549" s="1035" t="s">
        <v>5071</v>
      </c>
      <c r="G549" s="1035" t="s">
        <v>6206</v>
      </c>
      <c r="H549" s="1035" t="str">
        <f t="shared" si="32"/>
        <v>Camelsc</v>
      </c>
      <c r="I549" s="1035">
        <f t="shared" si="33"/>
        <v>1126</v>
      </c>
      <c r="J549" s="1114">
        <v>0.17</v>
      </c>
      <c r="K549" s="1314">
        <v>10</v>
      </c>
      <c r="L549" s="1073">
        <v>6</v>
      </c>
      <c r="M549" s="1074">
        <v>1.6666666666666701</v>
      </c>
      <c r="N549" s="1315">
        <f t="shared" si="34"/>
        <v>0.28333333333333394</v>
      </c>
      <c r="O549" s="1325">
        <f t="shared" si="35"/>
        <v>0.17</v>
      </c>
      <c r="P549" s="1321">
        <v>1987</v>
      </c>
    </row>
    <row r="550" spans="1:16">
      <c r="A550" s="1034" t="s">
        <v>6218</v>
      </c>
      <c r="B550" s="826">
        <v>1140</v>
      </c>
      <c r="C550" s="1035">
        <v>1</v>
      </c>
      <c r="D550" s="1035">
        <v>1140</v>
      </c>
      <c r="E550" s="1035" t="s">
        <v>6218</v>
      </c>
      <c r="F550" s="1035"/>
      <c r="G550" s="1035"/>
      <c r="H550" s="1035" t="str">
        <f t="shared" si="32"/>
        <v/>
      </c>
      <c r="I550" s="1035" t="str">
        <f t="shared" si="33"/>
        <v/>
      </c>
      <c r="J550" s="1114"/>
      <c r="K550" s="1314">
        <v>4794</v>
      </c>
      <c r="L550" s="1073">
        <v>36770</v>
      </c>
      <c r="M550" s="1074">
        <v>7.6700041718815202</v>
      </c>
      <c r="N550" s="1315" t="str">
        <f t="shared" si="34"/>
        <v/>
      </c>
      <c r="O550" s="1325">
        <f t="shared" si="35"/>
        <v>1</v>
      </c>
      <c r="P550" s="1321">
        <v>2011</v>
      </c>
    </row>
    <row r="551" spans="1:16">
      <c r="A551" s="1034" t="s">
        <v>4052</v>
      </c>
      <c r="B551" s="826">
        <v>1141</v>
      </c>
      <c r="C551" s="1035">
        <v>2</v>
      </c>
      <c r="D551" s="1035">
        <v>1140</v>
      </c>
      <c r="E551" s="1035" t="s">
        <v>6218</v>
      </c>
      <c r="F551" s="1035" t="s">
        <v>6218</v>
      </c>
      <c r="G551" s="1035" t="s">
        <v>6204</v>
      </c>
      <c r="H551" s="1035" t="str">
        <f t="shared" si="32"/>
        <v>Rabbits and Haresa</v>
      </c>
      <c r="I551" s="1035">
        <f t="shared" si="33"/>
        <v>1140</v>
      </c>
      <c r="J551" s="1114">
        <v>0.89</v>
      </c>
      <c r="K551" s="1314">
        <v>26006</v>
      </c>
      <c r="L551" s="1073">
        <v>133219</v>
      </c>
      <c r="M551" s="1074">
        <v>5.1226255479504701</v>
      </c>
      <c r="N551" s="1315">
        <f t="shared" si="34"/>
        <v>4.5591367376759182</v>
      </c>
      <c r="O551" s="1325">
        <f t="shared" si="35"/>
        <v>0.98760619731419697</v>
      </c>
      <c r="P551" s="1321">
        <v>2011</v>
      </c>
    </row>
    <row r="552" spans="1:16">
      <c r="A552" s="1034" t="s">
        <v>357</v>
      </c>
      <c r="B552" s="826">
        <v>1146</v>
      </c>
      <c r="C552" s="1035">
        <v>2</v>
      </c>
      <c r="D552" s="1035">
        <v>1140</v>
      </c>
      <c r="E552" s="1035" t="s">
        <v>6218</v>
      </c>
      <c r="F552" s="1035" t="s">
        <v>6218</v>
      </c>
      <c r="G552" s="1035" t="s">
        <v>6204</v>
      </c>
      <c r="H552" s="1035" t="str">
        <f t="shared" si="32"/>
        <v>Rabbits and Haresa</v>
      </c>
      <c r="I552" s="1035">
        <f t="shared" si="33"/>
        <v>1140</v>
      </c>
      <c r="J552" s="1114">
        <v>0.05</v>
      </c>
      <c r="K552" s="1314" t="s">
        <v>7710</v>
      </c>
      <c r="L552" s="1073" t="s">
        <v>7667</v>
      </c>
      <c r="M552" s="1074">
        <v>10</v>
      </c>
      <c r="N552" s="1315">
        <f t="shared" si="34"/>
        <v>0.5</v>
      </c>
      <c r="O552" s="1325">
        <f t="shared" si="35"/>
        <v>0.50591367376759189</v>
      </c>
      <c r="P552" s="1321" t="s">
        <v>7739</v>
      </c>
    </row>
    <row r="553" spans="1:16">
      <c r="A553" s="1034" t="s">
        <v>6109</v>
      </c>
      <c r="B553" s="826">
        <v>1150</v>
      </c>
      <c r="C553" s="1035">
        <v>1</v>
      </c>
      <c r="D553" s="1035">
        <v>1150</v>
      </c>
      <c r="E553" s="1035" t="s">
        <v>6109</v>
      </c>
      <c r="F553" s="1035"/>
      <c r="G553" s="1035"/>
      <c r="H553" s="1035" t="str">
        <f t="shared" si="32"/>
        <v/>
      </c>
      <c r="I553" s="1035" t="str">
        <f t="shared" si="33"/>
        <v/>
      </c>
      <c r="J553" s="1114"/>
      <c r="K553" s="1314" t="s">
        <v>7512</v>
      </c>
      <c r="L553" s="1073" t="s">
        <v>7512</v>
      </c>
      <c r="M553" s="1074">
        <v>0</v>
      </c>
      <c r="N553" s="1315" t="str">
        <f t="shared" si="34"/>
        <v/>
      </c>
      <c r="O553" s="1325">
        <f t="shared" si="35"/>
        <v>1</v>
      </c>
      <c r="P553" s="1321" t="s">
        <v>7739</v>
      </c>
    </row>
    <row r="554" spans="1:16">
      <c r="A554" s="1034" t="s">
        <v>6110</v>
      </c>
      <c r="B554" s="826">
        <v>1157</v>
      </c>
      <c r="C554" s="1035">
        <v>1</v>
      </c>
      <c r="D554" s="1035">
        <v>1157</v>
      </c>
      <c r="E554" s="1035" t="s">
        <v>6110</v>
      </c>
      <c r="F554" s="1035"/>
      <c r="G554" s="1035"/>
      <c r="H554" s="1035" t="str">
        <f t="shared" si="32"/>
        <v/>
      </c>
      <c r="I554" s="1035" t="str">
        <f t="shared" si="33"/>
        <v/>
      </c>
      <c r="J554" s="1114"/>
      <c r="K554" s="1314" t="s">
        <v>7512</v>
      </c>
      <c r="L554" s="1073" t="s">
        <v>7512</v>
      </c>
      <c r="M554" s="1074">
        <v>0</v>
      </c>
      <c r="N554" s="1315" t="str">
        <f t="shared" si="34"/>
        <v/>
      </c>
      <c r="O554" s="1325">
        <f t="shared" si="35"/>
        <v>1</v>
      </c>
      <c r="P554" s="1321" t="s">
        <v>7739</v>
      </c>
    </row>
    <row r="555" spans="1:16">
      <c r="A555" s="1034" t="s">
        <v>6216</v>
      </c>
      <c r="B555" s="826">
        <v>1159</v>
      </c>
      <c r="C555" s="1035">
        <v>2</v>
      </c>
      <c r="D555" s="1035">
        <v>1126</v>
      </c>
      <c r="E555" s="1035" t="s">
        <v>5071</v>
      </c>
      <c r="F555" s="1035"/>
      <c r="G555" s="1035"/>
      <c r="H555" s="1035"/>
      <c r="I555" s="1035"/>
      <c r="J555" s="1114"/>
      <c r="K555" s="1314" t="s">
        <v>7512</v>
      </c>
      <c r="L555" s="1073" t="s">
        <v>7512</v>
      </c>
      <c r="M555" s="1074">
        <v>0</v>
      </c>
      <c r="N555" s="1315" t="str">
        <f t="shared" si="34"/>
        <v/>
      </c>
      <c r="O555" s="1325">
        <f t="shared" si="35"/>
        <v>1</v>
      </c>
      <c r="P555" s="1321" t="s">
        <v>7739</v>
      </c>
    </row>
    <row r="556" spans="1:16">
      <c r="A556" s="1034" t="s">
        <v>4801</v>
      </c>
      <c r="B556" s="826">
        <v>1163</v>
      </c>
      <c r="C556" s="1035"/>
      <c r="D556" s="1035" t="s">
        <v>2862</v>
      </c>
      <c r="E556" s="1035"/>
      <c r="F556" s="1035"/>
      <c r="G556" s="1035"/>
      <c r="H556" s="1035" t="str">
        <f t="shared" si="32"/>
        <v/>
      </c>
      <c r="I556" s="1035" t="str">
        <f t="shared" si="33"/>
        <v/>
      </c>
      <c r="J556" s="1114"/>
      <c r="K556" s="1314">
        <v>68663</v>
      </c>
      <c r="L556" s="1073">
        <v>615620</v>
      </c>
      <c r="M556" s="1074">
        <v>8.9658185631271596</v>
      </c>
      <c r="N556" s="1315" t="str">
        <f t="shared" si="34"/>
        <v/>
      </c>
      <c r="O556" s="1325">
        <f t="shared" si="35"/>
        <v>1</v>
      </c>
      <c r="P556" s="1321">
        <v>2011</v>
      </c>
    </row>
    <row r="557" spans="1:16">
      <c r="A557" s="1034" t="s">
        <v>181</v>
      </c>
      <c r="B557" s="826">
        <v>1164</v>
      </c>
      <c r="C557" s="1035"/>
      <c r="D557" s="1035" t="s">
        <v>2862</v>
      </c>
      <c r="E557" s="1035"/>
      <c r="F557" s="1035"/>
      <c r="G557" s="1035"/>
      <c r="H557" s="1035" t="str">
        <f t="shared" si="32"/>
        <v/>
      </c>
      <c r="I557" s="1035" t="str">
        <f t="shared" si="33"/>
        <v/>
      </c>
      <c r="J557" s="1114"/>
      <c r="K557" s="1314">
        <v>343112</v>
      </c>
      <c r="L557" s="1073">
        <v>1076680</v>
      </c>
      <c r="M557" s="1074">
        <v>3.1379840984867902</v>
      </c>
      <c r="N557" s="1315" t="str">
        <f t="shared" si="34"/>
        <v/>
      </c>
      <c r="O557" s="1325">
        <f t="shared" si="35"/>
        <v>1</v>
      </c>
      <c r="P557" s="1321">
        <v>2011</v>
      </c>
    </row>
    <row r="558" spans="1:16">
      <c r="A558" s="1034" t="s">
        <v>5162</v>
      </c>
      <c r="B558" s="826">
        <v>1166</v>
      </c>
      <c r="C558" s="1035"/>
      <c r="D558" s="1035" t="s">
        <v>2862</v>
      </c>
      <c r="E558" s="1035"/>
      <c r="F558" s="1035"/>
      <c r="G558" s="1035"/>
      <c r="H558" s="1035" t="str">
        <f t="shared" si="32"/>
        <v/>
      </c>
      <c r="I558" s="1035" t="str">
        <f t="shared" si="33"/>
        <v/>
      </c>
      <c r="J558" s="1114"/>
      <c r="K558" s="1314">
        <v>30989</v>
      </c>
      <c r="L558" s="1073">
        <v>178379</v>
      </c>
      <c r="M558" s="1074">
        <v>5.7562038142566703</v>
      </c>
      <c r="N558" s="1315" t="str">
        <f t="shared" si="34"/>
        <v/>
      </c>
      <c r="O558" s="1325">
        <f t="shared" si="35"/>
        <v>1</v>
      </c>
      <c r="P558" s="1321">
        <v>2011</v>
      </c>
    </row>
    <row r="559" spans="1:16">
      <c r="A559" s="1034" t="s">
        <v>916</v>
      </c>
      <c r="B559" s="826">
        <v>1167</v>
      </c>
      <c r="C559" s="1035"/>
      <c r="D559" s="1035" t="s">
        <v>2862</v>
      </c>
      <c r="E559" s="1035"/>
      <c r="F559" s="1035"/>
      <c r="G559" s="1035"/>
      <c r="H559" s="1035" t="str">
        <f t="shared" si="32"/>
        <v/>
      </c>
      <c r="I559" s="1035" t="str">
        <f t="shared" si="33"/>
        <v/>
      </c>
      <c r="J559" s="1114"/>
      <c r="K559" s="1314" t="s">
        <v>7711</v>
      </c>
      <c r="L559" s="1073" t="s">
        <v>7712</v>
      </c>
      <c r="M559" s="1074">
        <v>1.4122758486022065</v>
      </c>
      <c r="N559" s="1315" t="str">
        <f t="shared" si="34"/>
        <v/>
      </c>
      <c r="O559" s="1325">
        <f t="shared" si="35"/>
        <v>1</v>
      </c>
      <c r="P559" s="1321" t="s">
        <v>7739</v>
      </c>
    </row>
    <row r="560" spans="1:16">
      <c r="A560" s="1034" t="s">
        <v>632</v>
      </c>
      <c r="B560" s="826">
        <v>1168</v>
      </c>
      <c r="C560" s="1035"/>
      <c r="D560" s="1035" t="s">
        <v>2862</v>
      </c>
      <c r="E560" s="1035"/>
      <c r="F560" s="1035"/>
      <c r="G560" s="1035"/>
      <c r="H560" s="1035" t="str">
        <f t="shared" si="32"/>
        <v/>
      </c>
      <c r="I560" s="1035" t="str">
        <f t="shared" si="33"/>
        <v/>
      </c>
      <c r="J560" s="1114"/>
      <c r="K560" s="1314">
        <v>224364</v>
      </c>
      <c r="L560" s="1073">
        <v>257385</v>
      </c>
      <c r="M560" s="1074">
        <v>1.14717601754292</v>
      </c>
      <c r="N560" s="1315" t="str">
        <f t="shared" si="34"/>
        <v/>
      </c>
      <c r="O560" s="1325">
        <f t="shared" si="35"/>
        <v>1</v>
      </c>
      <c r="P560" s="1321">
        <v>2011</v>
      </c>
    </row>
    <row r="561" spans="1:16">
      <c r="A561" s="1034" t="s">
        <v>6214</v>
      </c>
      <c r="B561" s="826">
        <v>1171</v>
      </c>
      <c r="C561" s="1035">
        <v>1</v>
      </c>
      <c r="D561" s="1035">
        <v>1171</v>
      </c>
      <c r="E561" s="1035" t="s">
        <v>6214</v>
      </c>
      <c r="F561" s="1035"/>
      <c r="G561" s="1035"/>
      <c r="H561" s="1035" t="str">
        <f t="shared" si="32"/>
        <v/>
      </c>
      <c r="I561" s="1035" t="str">
        <f t="shared" si="33"/>
        <v/>
      </c>
      <c r="J561" s="1114"/>
      <c r="K561" s="1314" t="s">
        <v>7512</v>
      </c>
      <c r="L561" s="1073" t="s">
        <v>7512</v>
      </c>
      <c r="M561" s="1074">
        <v>0</v>
      </c>
      <c r="N561" s="1315" t="str">
        <f t="shared" si="34"/>
        <v/>
      </c>
      <c r="O561" s="1325">
        <f t="shared" si="35"/>
        <v>1</v>
      </c>
      <c r="P561" s="1321" t="s">
        <v>7739</v>
      </c>
    </row>
    <row r="562" spans="1:16">
      <c r="A562" s="1034" t="s">
        <v>3020</v>
      </c>
      <c r="B562" s="826">
        <v>1172</v>
      </c>
      <c r="C562" s="1035"/>
      <c r="D562" s="1035" t="s">
        <v>2862</v>
      </c>
      <c r="E562" s="1035"/>
      <c r="F562" s="1035"/>
      <c r="G562" s="1035"/>
      <c r="H562" s="1035" t="str">
        <f t="shared" si="32"/>
        <v/>
      </c>
      <c r="I562" s="1035" t="str">
        <f t="shared" si="33"/>
        <v/>
      </c>
      <c r="J562" s="1114"/>
      <c r="K562" s="1314" t="s">
        <v>7713</v>
      </c>
      <c r="L562" s="1073" t="s">
        <v>7714</v>
      </c>
      <c r="M562" s="1074">
        <v>4.2234217998197803</v>
      </c>
      <c r="N562" s="1315" t="str">
        <f t="shared" si="34"/>
        <v/>
      </c>
      <c r="O562" s="1325">
        <f t="shared" si="35"/>
        <v>1</v>
      </c>
      <c r="P562" s="1321" t="s">
        <v>7739</v>
      </c>
    </row>
    <row r="563" spans="1:16">
      <c r="A563" s="1034" t="s">
        <v>2206</v>
      </c>
      <c r="B563" s="826">
        <v>1173</v>
      </c>
      <c r="C563" s="1035"/>
      <c r="D563" s="1035" t="s">
        <v>2862</v>
      </c>
      <c r="E563" s="1035"/>
      <c r="F563" s="1035"/>
      <c r="G563" s="1035"/>
      <c r="H563" s="1035" t="str">
        <f t="shared" si="32"/>
        <v/>
      </c>
      <c r="I563" s="1035" t="str">
        <f t="shared" si="33"/>
        <v/>
      </c>
      <c r="J563" s="1114"/>
      <c r="K563" s="1314">
        <v>2288400</v>
      </c>
      <c r="L563" s="1073">
        <v>1251200</v>
      </c>
      <c r="M563" s="1074">
        <v>0.54675755986715602</v>
      </c>
      <c r="N563" s="1315" t="str">
        <f t="shared" si="34"/>
        <v/>
      </c>
      <c r="O563" s="1325">
        <f t="shared" si="35"/>
        <v>1</v>
      </c>
      <c r="P563" s="1321">
        <v>2011</v>
      </c>
    </row>
    <row r="564" spans="1:16">
      <c r="A564" s="1034" t="s">
        <v>6199</v>
      </c>
      <c r="B564" s="826">
        <v>1182</v>
      </c>
      <c r="C564" s="1035"/>
      <c r="D564" s="1035" t="s">
        <v>2862</v>
      </c>
      <c r="E564" s="1035"/>
      <c r="F564" s="1035"/>
      <c r="G564" s="1035"/>
      <c r="H564" s="1035" t="str">
        <f t="shared" si="32"/>
        <v/>
      </c>
      <c r="I564" s="1035" t="str">
        <f t="shared" si="33"/>
        <v/>
      </c>
      <c r="J564" s="1114"/>
      <c r="K564" s="1314">
        <v>497202</v>
      </c>
      <c r="L564" s="1073">
        <v>1691080</v>
      </c>
      <c r="M564" s="1074">
        <v>3.4011930764558498</v>
      </c>
      <c r="N564" s="1315" t="str">
        <f t="shared" si="34"/>
        <v/>
      </c>
      <c r="O564" s="1325">
        <f t="shared" si="35"/>
        <v>1</v>
      </c>
      <c r="P564" s="1321">
        <v>2011</v>
      </c>
    </row>
    <row r="565" spans="1:16">
      <c r="A565" s="1034" t="s">
        <v>1478</v>
      </c>
      <c r="B565" s="826">
        <v>1183</v>
      </c>
      <c r="C565" s="1035">
        <v>1</v>
      </c>
      <c r="D565" s="1035">
        <v>1183</v>
      </c>
      <c r="E565" s="1035" t="s">
        <v>1478</v>
      </c>
      <c r="F565" s="1035"/>
      <c r="G565" s="1035"/>
      <c r="H565" s="1035" t="str">
        <f t="shared" si="32"/>
        <v/>
      </c>
      <c r="I565" s="1035" t="str">
        <f t="shared" si="33"/>
        <v/>
      </c>
      <c r="J565" s="1114"/>
      <c r="K565" s="1314">
        <v>18964</v>
      </c>
      <c r="L565" s="1073">
        <v>95091</v>
      </c>
      <c r="M565" s="1074">
        <v>5.0142902341278202</v>
      </c>
      <c r="N565" s="1315" t="str">
        <f t="shared" si="34"/>
        <v/>
      </c>
      <c r="O565" s="1325">
        <f t="shared" si="35"/>
        <v>1</v>
      </c>
      <c r="P565" s="1321">
        <v>2011</v>
      </c>
    </row>
    <row r="566" spans="1:16">
      <c r="A566" s="1034" t="s">
        <v>1958</v>
      </c>
      <c r="B566" s="826">
        <v>1185</v>
      </c>
      <c r="C566" s="1035"/>
      <c r="D566" s="1035" t="s">
        <v>2862</v>
      </c>
      <c r="E566" s="1035"/>
      <c r="F566" s="1035"/>
      <c r="G566" s="1035"/>
      <c r="H566" s="1035" t="str">
        <f t="shared" si="32"/>
        <v/>
      </c>
      <c r="I566" s="1035" t="str">
        <f t="shared" si="33"/>
        <v/>
      </c>
      <c r="J566" s="1114"/>
      <c r="K566" s="1314">
        <v>457</v>
      </c>
      <c r="L566" s="1073">
        <v>4212</v>
      </c>
      <c r="M566" s="1074">
        <v>9.2166301969365403</v>
      </c>
      <c r="N566" s="1315" t="str">
        <f t="shared" si="34"/>
        <v/>
      </c>
      <c r="O566" s="1325">
        <f t="shared" si="35"/>
        <v>1</v>
      </c>
      <c r="P566" s="1321">
        <v>2011</v>
      </c>
    </row>
    <row r="567" spans="1:16">
      <c r="A567" s="1034" t="s">
        <v>1747</v>
      </c>
      <c r="B567" s="826">
        <v>1186</v>
      </c>
      <c r="C567" s="1035"/>
      <c r="D567" s="1035" t="s">
        <v>2862</v>
      </c>
      <c r="E567" s="1035"/>
      <c r="F567" s="1035"/>
      <c r="G567" s="1035"/>
      <c r="H567" s="1035" t="str">
        <f t="shared" si="32"/>
        <v/>
      </c>
      <c r="I567" s="1035" t="str">
        <f t="shared" si="33"/>
        <v/>
      </c>
      <c r="J567" s="1114"/>
      <c r="K567" s="1314">
        <v>11481</v>
      </c>
      <c r="L567" s="1073">
        <v>470787</v>
      </c>
      <c r="M567" s="1074">
        <v>41.005748628168298</v>
      </c>
      <c r="N567" s="1315" t="str">
        <f t="shared" si="34"/>
        <v/>
      </c>
      <c r="O567" s="1325">
        <f t="shared" si="35"/>
        <v>1</v>
      </c>
      <c r="P567" s="1321">
        <v>2011</v>
      </c>
    </row>
    <row r="568" spans="1:16">
      <c r="A568" s="1034" t="s">
        <v>2838</v>
      </c>
      <c r="B568" s="826">
        <v>1187</v>
      </c>
      <c r="C568" s="1035"/>
      <c r="D568" s="1035" t="s">
        <v>2862</v>
      </c>
      <c r="E568" s="1035"/>
      <c r="F568" s="1035"/>
      <c r="G568" s="1035"/>
      <c r="H568" s="1035" t="str">
        <f t="shared" si="32"/>
        <v/>
      </c>
      <c r="I568" s="1035" t="str">
        <f t="shared" si="33"/>
        <v/>
      </c>
      <c r="J568" s="1114"/>
      <c r="K568" s="1314">
        <v>5046</v>
      </c>
      <c r="L568" s="1073">
        <v>58336</v>
      </c>
      <c r="M568" s="1074">
        <v>11.5608402695204</v>
      </c>
      <c r="N568" s="1315" t="str">
        <f t="shared" si="34"/>
        <v/>
      </c>
      <c r="O568" s="1325">
        <f t="shared" si="35"/>
        <v>1</v>
      </c>
      <c r="P568" s="1321">
        <v>2011</v>
      </c>
    </row>
    <row r="569" spans="1:16">
      <c r="A569" s="1034" t="s">
        <v>2854</v>
      </c>
      <c r="B569" s="826">
        <v>1195</v>
      </c>
      <c r="C569" s="1035"/>
      <c r="D569" s="1035" t="s">
        <v>2862</v>
      </c>
      <c r="E569" s="1035"/>
      <c r="F569" s="1035"/>
      <c r="G569" s="1035"/>
      <c r="H569" s="1035" t="str">
        <f t="shared" si="32"/>
        <v/>
      </c>
      <c r="I569" s="1035" t="str">
        <f t="shared" si="33"/>
        <v/>
      </c>
      <c r="J569" s="1114"/>
      <c r="K569" s="1314" t="s">
        <v>7715</v>
      </c>
      <c r="L569" s="1073" t="s">
        <v>7716</v>
      </c>
      <c r="M569" s="1074">
        <v>44.355079790741634</v>
      </c>
      <c r="N569" s="1315" t="str">
        <f t="shared" si="34"/>
        <v/>
      </c>
      <c r="O569" s="1325">
        <f t="shared" si="35"/>
        <v>1</v>
      </c>
      <c r="P569" s="1321" t="s">
        <v>7739</v>
      </c>
    </row>
    <row r="570" spans="1:16">
      <c r="A570" s="1034" t="s">
        <v>298</v>
      </c>
      <c r="B570" s="826">
        <v>1214</v>
      </c>
      <c r="C570" s="1035"/>
      <c r="D570" s="1035" t="s">
        <v>2862</v>
      </c>
      <c r="E570" s="1035"/>
      <c r="F570" s="1035"/>
      <c r="G570" s="1035"/>
      <c r="H570" s="1035" t="str">
        <f t="shared" si="32"/>
        <v/>
      </c>
      <c r="I570" s="1035" t="str">
        <f t="shared" si="33"/>
        <v/>
      </c>
      <c r="J570" s="1114"/>
      <c r="K570" s="1314" t="s">
        <v>7717</v>
      </c>
      <c r="L570" s="1073" t="s">
        <v>7718</v>
      </c>
      <c r="M570" s="1074">
        <v>8.3718498954550462</v>
      </c>
      <c r="N570" s="1315" t="str">
        <f t="shared" si="34"/>
        <v/>
      </c>
      <c r="O570" s="1325">
        <f t="shared" si="35"/>
        <v>1</v>
      </c>
      <c r="P570" s="1321" t="s">
        <v>7739</v>
      </c>
    </row>
    <row r="571" spans="1:16">
      <c r="A571" s="1034" t="s">
        <v>70</v>
      </c>
      <c r="B571" s="826">
        <v>1215</v>
      </c>
      <c r="C571" s="1035"/>
      <c r="D571" s="1035" t="s">
        <v>2862</v>
      </c>
      <c r="E571" s="1035"/>
      <c r="F571" s="1035"/>
      <c r="G571" s="1035"/>
      <c r="H571" s="1035" t="str">
        <f t="shared" si="32"/>
        <v/>
      </c>
      <c r="I571" s="1035" t="str">
        <f t="shared" si="33"/>
        <v/>
      </c>
      <c r="J571" s="1114"/>
      <c r="K571" s="1314" t="s">
        <v>7719</v>
      </c>
      <c r="L571" s="1073" t="s">
        <v>7720</v>
      </c>
      <c r="M571" s="1074">
        <v>32.949376114082</v>
      </c>
      <c r="N571" s="1315" t="str">
        <f t="shared" si="34"/>
        <v/>
      </c>
      <c r="O571" s="1325">
        <f t="shared" si="35"/>
        <v>1</v>
      </c>
      <c r="P571" s="1321" t="s">
        <v>7739</v>
      </c>
    </row>
    <row r="572" spans="1:16">
      <c r="A572" s="1034" t="s">
        <v>71</v>
      </c>
      <c r="B572" s="826">
        <v>1216</v>
      </c>
      <c r="C572" s="1035"/>
      <c r="D572" s="1035" t="s">
        <v>2862</v>
      </c>
      <c r="E572" s="1035"/>
      <c r="F572" s="1035"/>
      <c r="G572" s="1035"/>
      <c r="H572" s="1035" t="str">
        <f t="shared" si="32"/>
        <v/>
      </c>
      <c r="I572" s="1035" t="str">
        <f t="shared" si="33"/>
        <v/>
      </c>
      <c r="J572" s="1114"/>
      <c r="K572" s="1314">
        <v>57690</v>
      </c>
      <c r="L572" s="1073">
        <v>211288</v>
      </c>
      <c r="M572" s="1074">
        <v>3.6624718322066201</v>
      </c>
      <c r="N572" s="1315" t="str">
        <f t="shared" si="34"/>
        <v/>
      </c>
      <c r="O572" s="1325">
        <f t="shared" si="35"/>
        <v>1</v>
      </c>
      <c r="P572" s="1321">
        <v>2011</v>
      </c>
    </row>
    <row r="573" spans="1:16">
      <c r="A573" s="1034" t="s">
        <v>1110</v>
      </c>
      <c r="B573" s="826">
        <v>1217</v>
      </c>
      <c r="C573" s="1035"/>
      <c r="D573" s="1035"/>
      <c r="E573" s="1035"/>
      <c r="F573" s="1035"/>
      <c r="G573" s="1035"/>
      <c r="H573" s="1035" t="str">
        <f t="shared" si="32"/>
        <v/>
      </c>
      <c r="I573" s="1035" t="str">
        <f t="shared" si="33"/>
        <v/>
      </c>
      <c r="J573" s="1114"/>
      <c r="K573" s="1314" t="s">
        <v>7721</v>
      </c>
      <c r="L573" s="1073" t="s">
        <v>7722</v>
      </c>
      <c r="M573" s="1074">
        <v>1.6427645885680162</v>
      </c>
      <c r="N573" s="1315" t="str">
        <f t="shared" si="34"/>
        <v/>
      </c>
      <c r="O573" s="1325">
        <f t="shared" si="35"/>
        <v>1</v>
      </c>
      <c r="P573" s="1321" t="s">
        <v>7739</v>
      </c>
    </row>
    <row r="574" spans="1:16">
      <c r="A574" s="1034" t="s">
        <v>5447</v>
      </c>
      <c r="B574" s="826">
        <v>1218</v>
      </c>
      <c r="C574" s="1035"/>
      <c r="D574" s="1035" t="s">
        <v>2862</v>
      </c>
      <c r="E574" s="1035"/>
      <c r="F574" s="1035"/>
      <c r="G574" s="1035"/>
      <c r="H574" s="1035" t="str">
        <f t="shared" si="32"/>
        <v/>
      </c>
      <c r="I574" s="1035" t="str">
        <f t="shared" si="33"/>
        <v/>
      </c>
      <c r="J574" s="1114"/>
      <c r="K574" s="1314">
        <v>14637</v>
      </c>
      <c r="L574" s="1073">
        <v>192763</v>
      </c>
      <c r="M574" s="1074">
        <v>13.169570267131199</v>
      </c>
      <c r="N574" s="1315" t="str">
        <f t="shared" si="34"/>
        <v/>
      </c>
      <c r="O574" s="1325">
        <f t="shared" si="35"/>
        <v>1</v>
      </c>
      <c r="P574" s="1321">
        <v>2011</v>
      </c>
    </row>
    <row r="575" spans="1:16">
      <c r="A575" s="1034" t="s">
        <v>5446</v>
      </c>
      <c r="B575" s="826">
        <v>1219</v>
      </c>
      <c r="C575" s="1035"/>
      <c r="D575" s="1035" t="s">
        <v>2862</v>
      </c>
      <c r="E575" s="1035"/>
      <c r="F575" s="1035"/>
      <c r="G575" s="1035"/>
      <c r="H575" s="1035" t="str">
        <f t="shared" si="32"/>
        <v/>
      </c>
      <c r="I575" s="1035" t="str">
        <f t="shared" si="33"/>
        <v/>
      </c>
      <c r="J575" s="1114"/>
      <c r="K575" s="1314" t="s">
        <v>7723</v>
      </c>
      <c r="L575" s="1073" t="s">
        <v>7724</v>
      </c>
      <c r="M575" s="1074">
        <v>1.6663967015167134</v>
      </c>
      <c r="N575" s="1315" t="str">
        <f t="shared" si="34"/>
        <v/>
      </c>
      <c r="O575" s="1325">
        <f t="shared" si="35"/>
        <v>1</v>
      </c>
      <c r="P575" s="1321" t="s">
        <v>7739</v>
      </c>
    </row>
    <row r="576" spans="1:16">
      <c r="A576" s="1034" t="s">
        <v>1488</v>
      </c>
      <c r="B576" s="826">
        <v>1221</v>
      </c>
      <c r="C576" s="1035"/>
      <c r="D576" s="1035" t="s">
        <v>2862</v>
      </c>
      <c r="E576" s="1035"/>
      <c r="F576" s="1035"/>
      <c r="G576" s="1035"/>
      <c r="H576" s="1035" t="str">
        <f t="shared" si="32"/>
        <v/>
      </c>
      <c r="I576" s="1035" t="str">
        <f t="shared" si="33"/>
        <v/>
      </c>
      <c r="J576" s="1114"/>
      <c r="K576" s="1314" t="s">
        <v>7725</v>
      </c>
      <c r="L576" s="1073" t="s">
        <v>7726</v>
      </c>
      <c r="M576" s="1074">
        <v>1.1063161488562649</v>
      </c>
      <c r="N576" s="1315" t="str">
        <f t="shared" si="34"/>
        <v/>
      </c>
      <c r="O576" s="1325">
        <f t="shared" si="35"/>
        <v>1</v>
      </c>
      <c r="P576" s="1321" t="s">
        <v>7739</v>
      </c>
    </row>
    <row r="577" spans="1:16">
      <c r="A577" s="1034" t="s">
        <v>1431</v>
      </c>
      <c r="B577" s="826">
        <v>1222</v>
      </c>
      <c r="C577" s="1035"/>
      <c r="D577" s="1035" t="s">
        <v>2862</v>
      </c>
      <c r="E577" s="1035"/>
      <c r="F577" s="1035"/>
      <c r="G577" s="1035"/>
      <c r="H577" s="1035" t="str">
        <f t="shared" si="32"/>
        <v/>
      </c>
      <c r="I577" s="1035" t="str">
        <f t="shared" si="33"/>
        <v/>
      </c>
      <c r="J577" s="1114"/>
      <c r="K577" s="1314" t="s">
        <v>7727</v>
      </c>
      <c r="L577" s="1073" t="s">
        <v>7728</v>
      </c>
      <c r="M577" s="1074">
        <v>0.14303768754658283</v>
      </c>
      <c r="N577" s="1315" t="str">
        <f t="shared" si="34"/>
        <v/>
      </c>
      <c r="O577" s="1325">
        <f t="shared" si="35"/>
        <v>1</v>
      </c>
      <c r="P577" s="1321" t="s">
        <v>7739</v>
      </c>
    </row>
    <row r="578" spans="1:16">
      <c r="A578" s="1034" t="s">
        <v>4805</v>
      </c>
      <c r="B578" s="826">
        <v>1225</v>
      </c>
      <c r="C578" s="1035"/>
      <c r="D578" s="1035" t="s">
        <v>2862</v>
      </c>
      <c r="E578" s="1035"/>
      <c r="F578" s="1035"/>
      <c r="G578" s="1035"/>
      <c r="H578" s="1035" t="str">
        <f t="shared" si="32"/>
        <v/>
      </c>
      <c r="I578" s="1035" t="str">
        <f t="shared" si="33"/>
        <v/>
      </c>
      <c r="J578" s="1114"/>
      <c r="K578" s="1314">
        <v>1874440</v>
      </c>
      <c r="L578" s="1073">
        <v>2105890</v>
      </c>
      <c r="M578" s="1074">
        <v>1.1234768784276901</v>
      </c>
      <c r="N578" s="1315" t="str">
        <f t="shared" si="34"/>
        <v/>
      </c>
      <c r="O578" s="1325">
        <f t="shared" si="35"/>
        <v>1</v>
      </c>
      <c r="P578" s="1321">
        <v>2011</v>
      </c>
    </row>
    <row r="579" spans="1:16">
      <c r="A579" s="1034" t="s">
        <v>4148</v>
      </c>
      <c r="B579" s="826">
        <v>1232</v>
      </c>
      <c r="C579" s="1035"/>
      <c r="D579" s="1035" t="s">
        <v>2862</v>
      </c>
      <c r="E579" s="1035"/>
      <c r="F579" s="1035"/>
      <c r="G579" s="1035"/>
      <c r="H579" s="1035" t="str">
        <f t="shared" si="32"/>
        <v/>
      </c>
      <c r="I579" s="1035" t="str">
        <f t="shared" si="33"/>
        <v/>
      </c>
      <c r="J579" s="1114"/>
      <c r="K579" s="1314">
        <v>13416500</v>
      </c>
      <c r="L579" s="1073">
        <v>49892000</v>
      </c>
      <c r="M579" s="1074">
        <v>3.7187045801811198</v>
      </c>
      <c r="N579" s="1315" t="str">
        <f t="shared" si="34"/>
        <v/>
      </c>
      <c r="O579" s="1325">
        <f t="shared" si="35"/>
        <v>1</v>
      </c>
      <c r="P579" s="1321">
        <v>2011</v>
      </c>
    </row>
    <row r="580" spans="1:16">
      <c r="A580" s="1034" t="s">
        <v>5157</v>
      </c>
      <c r="B580" s="826">
        <v>1241</v>
      </c>
      <c r="C580" s="1035"/>
      <c r="D580" s="1035" t="s">
        <v>2862</v>
      </c>
      <c r="E580" s="1035"/>
      <c r="F580" s="1035"/>
      <c r="G580" s="1035"/>
      <c r="H580" s="1035" t="str">
        <f t="shared" si="32"/>
        <v/>
      </c>
      <c r="I580" s="1035" t="str">
        <f t="shared" si="33"/>
        <v/>
      </c>
      <c r="J580" s="1114"/>
      <c r="K580" s="1314">
        <v>104722</v>
      </c>
      <c r="L580" s="1073">
        <v>167441</v>
      </c>
      <c r="M580" s="1074">
        <v>1.59890949370715</v>
      </c>
      <c r="N580" s="1315" t="str">
        <f t="shared" si="34"/>
        <v/>
      </c>
      <c r="O580" s="1325">
        <f t="shared" si="35"/>
        <v>1</v>
      </c>
      <c r="P580" s="1321">
        <v>2011</v>
      </c>
    </row>
    <row r="581" spans="1:16">
      <c r="A581" s="1034" t="s">
        <v>5161</v>
      </c>
      <c r="B581" s="826">
        <v>1242</v>
      </c>
      <c r="C581" s="1035"/>
      <c r="D581" s="1035" t="s">
        <v>2862</v>
      </c>
      <c r="E581" s="1035"/>
      <c r="F581" s="1035"/>
      <c r="G581" s="1035"/>
      <c r="H581" s="1035" t="str">
        <f t="shared" si="32"/>
        <v/>
      </c>
      <c r="I581" s="1035" t="str">
        <f t="shared" si="33"/>
        <v/>
      </c>
      <c r="J581" s="1114"/>
      <c r="K581" s="1314">
        <v>1476390</v>
      </c>
      <c r="L581" s="1073">
        <v>2516160</v>
      </c>
      <c r="M581" s="1074">
        <v>1.70426513319651</v>
      </c>
      <c r="N581" s="1315" t="str">
        <f t="shared" si="34"/>
        <v/>
      </c>
      <c r="O581" s="1325">
        <f t="shared" si="35"/>
        <v>1</v>
      </c>
      <c r="P581" s="1321">
        <v>2011</v>
      </c>
    </row>
    <row r="582" spans="1:16">
      <c r="A582" s="1034" t="s">
        <v>5501</v>
      </c>
      <c r="B582" s="826">
        <v>1243</v>
      </c>
      <c r="C582" s="1035"/>
      <c r="D582" s="1035" t="s">
        <v>2862</v>
      </c>
      <c r="E582" s="1035"/>
      <c r="F582" s="1035"/>
      <c r="G582" s="1035"/>
      <c r="H582" s="1035" t="str">
        <f t="shared" si="32"/>
        <v/>
      </c>
      <c r="I582" s="1035" t="str">
        <f t="shared" si="33"/>
        <v/>
      </c>
      <c r="J582" s="1114"/>
      <c r="K582" s="1314">
        <v>1815770</v>
      </c>
      <c r="L582" s="1073">
        <v>3118860</v>
      </c>
      <c r="M582" s="1074">
        <v>1.71765146466788</v>
      </c>
      <c r="N582" s="1315" t="str">
        <f t="shared" si="34"/>
        <v/>
      </c>
      <c r="O582" s="1325">
        <f t="shared" si="35"/>
        <v>1</v>
      </c>
      <c r="P582" s="1321">
        <v>2011</v>
      </c>
    </row>
    <row r="583" spans="1:16">
      <c r="A583" s="1034" t="s">
        <v>2176</v>
      </c>
      <c r="B583" s="826">
        <v>1259</v>
      </c>
      <c r="C583" s="1035"/>
      <c r="D583" s="1035" t="s">
        <v>2862</v>
      </c>
      <c r="E583" s="1035"/>
      <c r="F583" s="1035"/>
      <c r="G583" s="1035"/>
      <c r="H583" s="1035" t="str">
        <f t="shared" si="32"/>
        <v/>
      </c>
      <c r="I583" s="1035" t="str">
        <f t="shared" si="33"/>
        <v/>
      </c>
      <c r="J583" s="1114"/>
      <c r="K583" s="1314" t="s">
        <v>7729</v>
      </c>
      <c r="L583" s="1073" t="s">
        <v>7730</v>
      </c>
      <c r="M583" s="1074">
        <v>1.1086218326644839</v>
      </c>
      <c r="N583" s="1315" t="str">
        <f t="shared" si="34"/>
        <v/>
      </c>
      <c r="O583" s="1325">
        <f t="shared" si="35"/>
        <v>1</v>
      </c>
      <c r="P583" s="1321" t="s">
        <v>7739</v>
      </c>
    </row>
    <row r="584" spans="1:16">
      <c r="A584" s="1034" t="s">
        <v>4658</v>
      </c>
      <c r="B584" s="826">
        <v>1274</v>
      </c>
      <c r="C584" s="1035"/>
      <c r="D584" s="1035" t="s">
        <v>2862</v>
      </c>
      <c r="E584" s="1035"/>
      <c r="F584" s="1035"/>
      <c r="G584" s="1035"/>
      <c r="H584" s="1035" t="str">
        <f t="shared" ref="H584:H590" si="36">F584&amp;G584</f>
        <v/>
      </c>
      <c r="I584" s="1035" t="str">
        <f t="shared" ref="I584:I590" si="37">IFERROR(VLOOKUP(F584,$A$7:$B$590,2,FALSE),"")</f>
        <v/>
      </c>
      <c r="J584" s="1114"/>
      <c r="K584" s="1314">
        <v>2426810</v>
      </c>
      <c r="L584" s="1073">
        <v>2616050</v>
      </c>
      <c r="M584" s="1074">
        <v>1.07797891058633</v>
      </c>
      <c r="N584" s="1315" t="str">
        <f t="shared" ref="N584:N590" si="38">IF(ISBLANK(J584),"",J584*M584)</f>
        <v/>
      </c>
      <c r="O584" s="1325">
        <f t="shared" si="35"/>
        <v>1</v>
      </c>
      <c r="P584" s="1321">
        <v>2011</v>
      </c>
    </row>
    <row r="585" spans="1:16">
      <c r="A585" s="1034" t="s">
        <v>630</v>
      </c>
      <c r="B585" s="826">
        <v>1275</v>
      </c>
      <c r="C585" s="1035"/>
      <c r="D585" s="1035" t="s">
        <v>2862</v>
      </c>
      <c r="E585" s="1035"/>
      <c r="F585" s="1035"/>
      <c r="G585" s="1035"/>
      <c r="H585" s="1035" t="str">
        <f t="shared" si="36"/>
        <v/>
      </c>
      <c r="I585" s="1035" t="str">
        <f t="shared" si="37"/>
        <v/>
      </c>
      <c r="J585" s="1114"/>
      <c r="K585" s="1314" t="s">
        <v>7731</v>
      </c>
      <c r="L585" s="1073" t="s">
        <v>7732</v>
      </c>
      <c r="M585" s="1074">
        <v>1.4346896879577147</v>
      </c>
      <c r="N585" s="1315" t="str">
        <f t="shared" si="38"/>
        <v/>
      </c>
      <c r="O585" s="1325">
        <f t="shared" si="35"/>
        <v>1</v>
      </c>
      <c r="P585" s="1321" t="s">
        <v>7739</v>
      </c>
    </row>
    <row r="586" spans="1:16">
      <c r="A586" s="1034" t="s">
        <v>5502</v>
      </c>
      <c r="B586" s="826">
        <v>1276</v>
      </c>
      <c r="C586" s="1035"/>
      <c r="D586" s="1035" t="s">
        <v>2862</v>
      </c>
      <c r="E586" s="1035"/>
      <c r="F586" s="1035"/>
      <c r="G586" s="1035"/>
      <c r="H586" s="1035" t="str">
        <f t="shared" si="36"/>
        <v/>
      </c>
      <c r="I586" s="1035" t="str">
        <f t="shared" si="37"/>
        <v/>
      </c>
      <c r="J586" s="1114"/>
      <c r="K586" s="1314">
        <v>4726190</v>
      </c>
      <c r="L586" s="1073">
        <v>5723150</v>
      </c>
      <c r="M586" s="1074">
        <v>1.2109436988356399</v>
      </c>
      <c r="N586" s="1315" t="str">
        <f t="shared" si="38"/>
        <v/>
      </c>
      <c r="O586" s="1325">
        <f t="shared" ref="O586:O590" si="39">IF(ISBLANK(F586),1,J586/(N586/SUMIF(H$7:H$601,H586,N$7:N$601))*VLOOKUP(F586,A$7:O$601,15,FALSE))</f>
        <v>1</v>
      </c>
      <c r="P586" s="1321">
        <v>2011</v>
      </c>
    </row>
    <row r="587" spans="1:16">
      <c r="A587" s="1034" t="s">
        <v>3738</v>
      </c>
      <c r="B587" s="826">
        <v>1277</v>
      </c>
      <c r="C587" s="1035"/>
      <c r="D587" s="1035" t="s">
        <v>2862</v>
      </c>
      <c r="E587" s="1035"/>
      <c r="F587" s="1035"/>
      <c r="G587" s="1035"/>
      <c r="H587" s="1035" t="str">
        <f t="shared" si="36"/>
        <v/>
      </c>
      <c r="I587" s="1035" t="str">
        <f t="shared" si="37"/>
        <v/>
      </c>
      <c r="J587" s="1114"/>
      <c r="K587" s="1314">
        <v>303488</v>
      </c>
      <c r="L587" s="1073">
        <v>132895</v>
      </c>
      <c r="M587" s="1074">
        <v>0.43789210776043902</v>
      </c>
      <c r="N587" s="1315" t="str">
        <f t="shared" si="38"/>
        <v/>
      </c>
      <c r="O587" s="1325">
        <f t="shared" si="39"/>
        <v>1</v>
      </c>
      <c r="P587" s="1321">
        <v>2011</v>
      </c>
    </row>
    <row r="588" spans="1:16">
      <c r="A588" s="1034" t="s">
        <v>1429</v>
      </c>
      <c r="B588" s="826">
        <v>1293</v>
      </c>
      <c r="C588" s="1035"/>
      <c r="D588" s="1035" t="s">
        <v>2862</v>
      </c>
      <c r="E588" s="1035"/>
      <c r="F588" s="1035"/>
      <c r="G588" s="1035"/>
      <c r="H588" s="1035" t="str">
        <f t="shared" si="36"/>
        <v/>
      </c>
      <c r="I588" s="1035" t="str">
        <f t="shared" si="37"/>
        <v/>
      </c>
      <c r="J588" s="1114"/>
      <c r="K588" s="1314" t="s">
        <v>7733</v>
      </c>
      <c r="L588" s="1073" t="s">
        <v>7734</v>
      </c>
      <c r="M588" s="1074">
        <v>45915.662227602908</v>
      </c>
      <c r="N588" s="1315" t="str">
        <f t="shared" si="38"/>
        <v/>
      </c>
      <c r="O588" s="1325">
        <f t="shared" si="39"/>
        <v>1</v>
      </c>
      <c r="P588" s="1321" t="s">
        <v>7739</v>
      </c>
    </row>
    <row r="589" spans="1:16">
      <c r="A589" s="1034" t="s">
        <v>2142</v>
      </c>
      <c r="B589" s="826">
        <v>1295</v>
      </c>
      <c r="C589" s="1035"/>
      <c r="D589" s="1035" t="s">
        <v>2862</v>
      </c>
      <c r="E589" s="1035"/>
      <c r="F589" s="1035"/>
      <c r="G589" s="1035"/>
      <c r="H589" s="1035" t="str">
        <f t="shared" si="36"/>
        <v/>
      </c>
      <c r="I589" s="1035" t="str">
        <f t="shared" si="37"/>
        <v/>
      </c>
      <c r="J589" s="1114"/>
      <c r="K589" s="1314" t="s">
        <v>7735</v>
      </c>
      <c r="L589" s="1073" t="s">
        <v>7736</v>
      </c>
      <c r="M589" s="1074">
        <v>3.83073727933541</v>
      </c>
      <c r="N589" s="1315" t="str">
        <f t="shared" si="38"/>
        <v/>
      </c>
      <c r="O589" s="1325">
        <f t="shared" si="39"/>
        <v>1</v>
      </c>
      <c r="P589" s="1321" t="s">
        <v>7739</v>
      </c>
    </row>
    <row r="590" spans="1:16">
      <c r="A590" s="1034" t="s">
        <v>269</v>
      </c>
      <c r="B590" s="826">
        <v>1296</v>
      </c>
      <c r="C590" s="1035"/>
      <c r="D590" s="1035" t="s">
        <v>2862</v>
      </c>
      <c r="E590" s="1035"/>
      <c r="F590" s="1035"/>
      <c r="G590" s="1035"/>
      <c r="H590" s="1035" t="str">
        <f t="shared" si="36"/>
        <v/>
      </c>
      <c r="I590" s="1035" t="str">
        <f t="shared" si="37"/>
        <v/>
      </c>
      <c r="J590" s="1114"/>
      <c r="K590" s="1314">
        <v>65959</v>
      </c>
      <c r="L590" s="1073">
        <v>215273</v>
      </c>
      <c r="M590" s="1074">
        <v>3.2637395958095201</v>
      </c>
      <c r="N590" s="1315" t="str">
        <f t="shared" si="38"/>
        <v/>
      </c>
      <c r="O590" s="1325">
        <f t="shared" si="39"/>
        <v>1</v>
      </c>
      <c r="P590" s="1321">
        <v>2011</v>
      </c>
    </row>
    <row r="591" spans="1:16">
      <c r="A591" s="1316" t="s">
        <v>4620</v>
      </c>
      <c r="B591" s="1309" t="s">
        <v>600</v>
      </c>
      <c r="C591" s="1310"/>
      <c r="D591" s="1310"/>
      <c r="E591" s="1310"/>
      <c r="F591" s="1310"/>
      <c r="G591" s="1310"/>
      <c r="H591" s="1310"/>
      <c r="I591" s="1310"/>
      <c r="J591" s="1317"/>
      <c r="K591" s="1316"/>
      <c r="L591" s="1310"/>
      <c r="M591" s="1310"/>
      <c r="N591" s="1317"/>
      <c r="O591" s="1325">
        <v>1.2115975294215842</v>
      </c>
      <c r="P591" s="1322"/>
    </row>
    <row r="592" spans="1:16">
      <c r="A592" s="1316" t="s">
        <v>4621</v>
      </c>
      <c r="B592" s="1309" t="s">
        <v>601</v>
      </c>
      <c r="C592" s="1310"/>
      <c r="D592" s="1310"/>
      <c r="E592" s="1310"/>
      <c r="F592" s="1310"/>
      <c r="G592" s="1310"/>
      <c r="H592" s="1310"/>
      <c r="I592" s="1310"/>
      <c r="J592" s="1317"/>
      <c r="K592" s="1316"/>
      <c r="L592" s="1310"/>
      <c r="M592" s="1310"/>
      <c r="N592" s="1317"/>
      <c r="O592" s="1325">
        <v>2.5105981550879215</v>
      </c>
      <c r="P592" s="1322"/>
    </row>
    <row r="593" spans="1:16">
      <c r="A593" s="1316" t="s">
        <v>4623</v>
      </c>
      <c r="B593" s="1309" t="s">
        <v>602</v>
      </c>
      <c r="C593" s="1310"/>
      <c r="D593" s="1310"/>
      <c r="E593" s="1310"/>
      <c r="F593" s="1310"/>
      <c r="G593" s="1310"/>
      <c r="H593" s="1310"/>
      <c r="I593" s="1310"/>
      <c r="J593" s="1317"/>
      <c r="K593" s="1316"/>
      <c r="L593" s="1310"/>
      <c r="M593" s="1310"/>
      <c r="N593" s="1317"/>
      <c r="O593" s="1325">
        <v>2.9954692636423399</v>
      </c>
      <c r="P593" s="1322"/>
    </row>
    <row r="594" spans="1:16">
      <c r="A594" s="1330" t="s">
        <v>4625</v>
      </c>
      <c r="B594" s="1327" t="s">
        <v>2275</v>
      </c>
      <c r="C594" s="1328"/>
      <c r="D594" s="1328"/>
      <c r="E594" s="1328"/>
      <c r="F594" s="1328"/>
      <c r="G594" s="1328"/>
      <c r="H594" s="1328"/>
      <c r="I594" s="1328"/>
      <c r="J594" s="1329"/>
      <c r="K594" s="1318"/>
      <c r="L594" s="1319"/>
      <c r="M594" s="1319"/>
      <c r="N594" s="1320"/>
      <c r="O594" s="1326">
        <v>3.1328696088448389</v>
      </c>
      <c r="P594" s="1323"/>
    </row>
    <row r="596" spans="1:16">
      <c r="A596" s="621" t="s">
        <v>7799</v>
      </c>
    </row>
    <row r="597" spans="1:16">
      <c r="A597" s="924" t="s">
        <v>6196</v>
      </c>
    </row>
    <row r="598" spans="1:16">
      <c r="A598" s="1070" t="s">
        <v>5964</v>
      </c>
    </row>
  </sheetData>
  <hyperlinks>
    <hyperlink ref="E3" location="feed_intensity_w!A1" tooltip="Go to feed_intensity_w" display="feed_intensity_w"/>
    <hyperlink ref="F3" location="livestock_intensity_w" display="livestock_intensity_w"/>
    <hyperlink ref="G3" location="livestock_trade!A1" display="livestock_trade"/>
    <hyperlink ref="H3" location="crop_trade_yield_w!A1" display="crop_trade_yield_w"/>
  </hyperlinks>
  <pageMargins left="0.74791666666666667" right="0.74791666666666667" top="0.98402777777777783" bottom="0.98402777777777783" header="0.51180555555555562" footer="0.51180555555555562"/>
  <pageSetup firstPageNumber="0" orientation="portrait" horizontalDpi="300" verticalDpi="300"/>
  <headerFooter alignWithMargins="0"/>
  <drawing r:id="rId1"/>
  <legacyDrawing r:id="rId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7" enableFormatConditionsCalculation="0">
    <tabColor rgb="FFFF9900"/>
  </sheetPr>
  <dimension ref="A2:E282"/>
  <sheetViews>
    <sheetView workbookViewId="0">
      <selection activeCell="A65536" sqref="A65536"/>
    </sheetView>
  </sheetViews>
  <sheetFormatPr baseColWidth="10" defaultColWidth="9.1640625" defaultRowHeight="12" x14ac:dyDescent="0"/>
  <cols>
    <col min="1" max="1" width="21.1640625" style="1070" customWidth="1"/>
    <col min="2" max="2" width="28" style="1070" customWidth="1"/>
    <col min="3" max="3" width="18.33203125" style="1070" customWidth="1"/>
    <col min="4" max="4" width="13.83203125" style="1070" customWidth="1"/>
    <col min="5" max="5" width="14.83203125" style="1070" customWidth="1"/>
    <col min="6" max="16384" width="9.1640625" style="1070"/>
  </cols>
  <sheetData>
    <row r="2" spans="1:5">
      <c r="C2" s="621" t="s">
        <v>1005</v>
      </c>
    </row>
    <row r="3" spans="1:5" ht="25.5" customHeight="1">
      <c r="C3" s="624" t="s">
        <v>1006</v>
      </c>
      <c r="D3" s="1123" t="s">
        <v>3369</v>
      </c>
      <c r="E3" s="1123" t="s">
        <v>1818</v>
      </c>
    </row>
    <row r="4" spans="1:5">
      <c r="A4" s="622" t="s">
        <v>5726</v>
      </c>
      <c r="B4" s="984" t="s">
        <v>6156</v>
      </c>
      <c r="C4" s="984" t="s">
        <v>6157</v>
      </c>
      <c r="D4" s="984" t="s">
        <v>6158</v>
      </c>
      <c r="E4" s="987" t="s">
        <v>6159</v>
      </c>
    </row>
    <row r="5" spans="1:5">
      <c r="A5" s="658" t="s">
        <v>548</v>
      </c>
      <c r="B5" s="659" t="s">
        <v>548</v>
      </c>
      <c r="C5" s="659" t="s">
        <v>548</v>
      </c>
      <c r="D5" s="659" t="s">
        <v>6160</v>
      </c>
      <c r="E5" s="660" t="s">
        <v>6161</v>
      </c>
    </row>
    <row r="6" spans="1:5">
      <c r="A6" s="1077">
        <v>2</v>
      </c>
      <c r="B6" s="419" t="s">
        <v>5727</v>
      </c>
      <c r="C6" s="419" t="s">
        <v>5727</v>
      </c>
      <c r="D6" s="1222">
        <v>2.67</v>
      </c>
      <c r="E6" s="1223">
        <v>43252.38</v>
      </c>
    </row>
    <row r="7" spans="1:5">
      <c r="A7" s="1077">
        <v>3</v>
      </c>
      <c r="B7" s="419" t="s">
        <v>5728</v>
      </c>
      <c r="C7" s="419" t="s">
        <v>5728</v>
      </c>
      <c r="D7" s="1224">
        <v>11.26</v>
      </c>
      <c r="E7" s="1225">
        <v>261.75</v>
      </c>
    </row>
    <row r="8" spans="1:5">
      <c r="A8" s="1077">
        <v>4</v>
      </c>
      <c r="B8" s="419" t="s">
        <v>5729</v>
      </c>
      <c r="C8" s="419" t="s">
        <v>5729</v>
      </c>
      <c r="D8" s="1224">
        <v>4.38</v>
      </c>
      <c r="E8" s="1225">
        <v>13024.6</v>
      </c>
    </row>
    <row r="9" spans="1:5">
      <c r="A9" s="1077">
        <v>5</v>
      </c>
      <c r="B9" s="419" t="s">
        <v>5730</v>
      </c>
      <c r="C9" s="419" t="s">
        <v>2862</v>
      </c>
      <c r="D9" s="1224" t="s">
        <v>2862</v>
      </c>
      <c r="E9" s="1225" t="s">
        <v>2862</v>
      </c>
    </row>
    <row r="10" spans="1:5">
      <c r="A10" s="1077">
        <v>6</v>
      </c>
      <c r="B10" s="419" t="s">
        <v>5731</v>
      </c>
      <c r="C10" s="419" t="s">
        <v>5731</v>
      </c>
      <c r="D10" s="1224">
        <v>11.65</v>
      </c>
      <c r="E10" s="1225">
        <v>15.12</v>
      </c>
    </row>
    <row r="11" spans="1:5">
      <c r="A11" s="1077">
        <v>7</v>
      </c>
      <c r="B11" s="419" t="s">
        <v>5732</v>
      </c>
      <c r="C11" s="419" t="s">
        <v>5732</v>
      </c>
      <c r="D11" s="1224">
        <v>7.47</v>
      </c>
      <c r="E11" s="1225">
        <v>41105.57</v>
      </c>
    </row>
    <row r="12" spans="1:5">
      <c r="A12" s="1077">
        <v>258</v>
      </c>
      <c r="B12" s="419" t="s">
        <v>5734</v>
      </c>
      <c r="C12" s="419" t="s">
        <v>2862</v>
      </c>
      <c r="D12" s="1224" t="s">
        <v>2862</v>
      </c>
      <c r="E12" s="1225" t="s">
        <v>2862</v>
      </c>
    </row>
    <row r="13" spans="1:5">
      <c r="A13" s="1077">
        <v>8</v>
      </c>
      <c r="B13" s="419" t="s">
        <v>5733</v>
      </c>
      <c r="C13" s="419" t="s">
        <v>2862</v>
      </c>
      <c r="D13" s="1224" t="s">
        <v>2862</v>
      </c>
      <c r="E13" s="1225" t="s">
        <v>2862</v>
      </c>
    </row>
    <row r="14" spans="1:5">
      <c r="A14" s="1077">
        <v>9</v>
      </c>
      <c r="B14" s="419" t="s">
        <v>5735</v>
      </c>
      <c r="C14" s="419" t="s">
        <v>5735</v>
      </c>
      <c r="D14" s="1224">
        <v>9.24</v>
      </c>
      <c r="E14" s="1225">
        <v>117136.24</v>
      </c>
    </row>
    <row r="15" spans="1:5">
      <c r="A15" s="1077">
        <v>1</v>
      </c>
      <c r="B15" s="419" t="s">
        <v>5736</v>
      </c>
      <c r="C15" s="419" t="s">
        <v>5736</v>
      </c>
      <c r="D15" s="1224">
        <v>9.06</v>
      </c>
      <c r="E15" s="1225">
        <v>532.41</v>
      </c>
    </row>
    <row r="16" spans="1:5">
      <c r="A16" s="1077">
        <v>22</v>
      </c>
      <c r="B16" s="419" t="s">
        <v>5737</v>
      </c>
      <c r="C16" s="419" t="s">
        <v>2862</v>
      </c>
      <c r="D16" s="1224" t="s">
        <v>2862</v>
      </c>
      <c r="E16" s="1225" t="s">
        <v>2862</v>
      </c>
    </row>
    <row r="17" spans="1:5">
      <c r="A17" s="1077">
        <v>10</v>
      </c>
      <c r="B17" s="419" t="s">
        <v>5738</v>
      </c>
      <c r="C17" s="419" t="s">
        <v>5738</v>
      </c>
      <c r="D17" s="1224">
        <v>4.79</v>
      </c>
      <c r="E17" s="1225">
        <v>406808.23</v>
      </c>
    </row>
    <row r="18" spans="1:5">
      <c r="A18" s="1077">
        <v>11</v>
      </c>
      <c r="B18" s="419" t="s">
        <v>5739</v>
      </c>
      <c r="C18" s="419" t="s">
        <v>5739</v>
      </c>
      <c r="D18" s="1224">
        <v>11.62</v>
      </c>
      <c r="E18" s="1225">
        <v>678</v>
      </c>
    </row>
    <row r="19" spans="1:5">
      <c r="A19" s="1077">
        <v>52</v>
      </c>
      <c r="B19" s="419" t="s">
        <v>5740</v>
      </c>
      <c r="C19" s="419" t="s">
        <v>5740</v>
      </c>
      <c r="D19" s="1224">
        <v>9.6999999999999993</v>
      </c>
      <c r="E19" s="1225">
        <v>1971.66</v>
      </c>
    </row>
    <row r="20" spans="1:5">
      <c r="A20" s="1077">
        <v>12</v>
      </c>
      <c r="B20" s="419" t="s">
        <v>5741</v>
      </c>
      <c r="C20" s="419" t="s">
        <v>2862</v>
      </c>
      <c r="D20" s="1224" t="s">
        <v>2862</v>
      </c>
      <c r="E20" s="1225" t="s">
        <v>2862</v>
      </c>
    </row>
    <row r="21" spans="1:5">
      <c r="A21" s="1077">
        <v>13</v>
      </c>
      <c r="B21" s="419" t="s">
        <v>5742</v>
      </c>
      <c r="C21" s="419" t="s">
        <v>5742</v>
      </c>
      <c r="D21" s="1224"/>
      <c r="E21" s="1225" t="s">
        <v>2862</v>
      </c>
    </row>
    <row r="22" spans="1:5">
      <c r="A22" s="1077">
        <v>16</v>
      </c>
      <c r="B22" s="419" t="s">
        <v>5743</v>
      </c>
      <c r="C22" s="419" t="s">
        <v>5743</v>
      </c>
      <c r="D22" s="1224">
        <v>11.75</v>
      </c>
      <c r="E22" s="1225">
        <v>1086.2</v>
      </c>
    </row>
    <row r="23" spans="1:5">
      <c r="A23" s="1077">
        <v>14</v>
      </c>
      <c r="B23" s="419" t="s">
        <v>5744</v>
      </c>
      <c r="C23" s="419" t="s">
        <v>2862</v>
      </c>
      <c r="D23" s="1224" t="s">
        <v>2862</v>
      </c>
      <c r="E23" s="1225" t="s">
        <v>2862</v>
      </c>
    </row>
    <row r="24" spans="1:5">
      <c r="A24" s="1077">
        <v>57</v>
      </c>
      <c r="B24" s="419" t="s">
        <v>5745</v>
      </c>
      <c r="C24" s="419" t="s">
        <v>6162</v>
      </c>
      <c r="D24" s="1224">
        <v>12.27</v>
      </c>
      <c r="E24" s="1225">
        <v>4250.1899999999996</v>
      </c>
    </row>
    <row r="25" spans="1:5">
      <c r="A25" s="1077">
        <v>255</v>
      </c>
      <c r="B25" s="419" t="s">
        <v>5719</v>
      </c>
      <c r="C25" s="419" t="s">
        <v>5719</v>
      </c>
      <c r="D25" s="1224">
        <v>14.12</v>
      </c>
      <c r="E25" s="1225">
        <v>281.62</v>
      </c>
    </row>
    <row r="26" spans="1:5">
      <c r="A26" s="1077">
        <v>23</v>
      </c>
      <c r="B26" s="419" t="s">
        <v>5747</v>
      </c>
      <c r="C26" s="419" t="s">
        <v>5747</v>
      </c>
      <c r="D26" s="1224">
        <v>20.329999999999998</v>
      </c>
      <c r="E26" s="1225">
        <v>114.11</v>
      </c>
    </row>
    <row r="27" spans="1:5">
      <c r="A27" s="1077">
        <v>53</v>
      </c>
      <c r="B27" s="419" t="s">
        <v>5748</v>
      </c>
      <c r="C27" s="419" t="s">
        <v>5748</v>
      </c>
      <c r="D27" s="1224">
        <v>9.17</v>
      </c>
      <c r="E27" s="1225">
        <v>6172.55</v>
      </c>
    </row>
    <row r="28" spans="1:5">
      <c r="A28" s="1077">
        <v>17</v>
      </c>
      <c r="B28" s="419" t="s">
        <v>5749</v>
      </c>
      <c r="C28" s="419" t="s">
        <v>2862</v>
      </c>
      <c r="D28" s="1224" t="s">
        <v>2862</v>
      </c>
      <c r="E28" s="1225" t="s">
        <v>2862</v>
      </c>
    </row>
    <row r="29" spans="1:5">
      <c r="A29" s="1077">
        <v>18</v>
      </c>
      <c r="B29" s="419" t="s">
        <v>5750</v>
      </c>
      <c r="C29" s="419" t="s">
        <v>5750</v>
      </c>
      <c r="D29" s="1224">
        <v>8.48</v>
      </c>
      <c r="E29" s="1225">
        <v>634.09</v>
      </c>
    </row>
    <row r="30" spans="1:5">
      <c r="A30" s="1077">
        <v>19</v>
      </c>
      <c r="B30" s="419" t="s">
        <v>5751</v>
      </c>
      <c r="C30" s="419" t="s">
        <v>5751</v>
      </c>
      <c r="D30" s="1224">
        <v>9.4600000000000009</v>
      </c>
      <c r="E30" s="1225">
        <v>28584.78</v>
      </c>
    </row>
    <row r="31" spans="1:5">
      <c r="A31" s="1077">
        <v>80</v>
      </c>
      <c r="B31" s="419" t="s">
        <v>5752</v>
      </c>
      <c r="C31" s="419" t="s">
        <v>2862</v>
      </c>
      <c r="D31" s="1224">
        <v>12.94</v>
      </c>
      <c r="E31" s="1225" t="s">
        <v>2862</v>
      </c>
    </row>
    <row r="32" spans="1:5">
      <c r="A32" s="1077">
        <v>20</v>
      </c>
      <c r="B32" s="419" t="s">
        <v>5753</v>
      </c>
      <c r="C32" s="419" t="s">
        <v>5753</v>
      </c>
      <c r="D32" s="1224">
        <v>2.66</v>
      </c>
      <c r="E32" s="1225">
        <v>33150.07</v>
      </c>
    </row>
    <row r="33" spans="1:5">
      <c r="A33" s="1077">
        <v>21</v>
      </c>
      <c r="B33" s="419" t="s">
        <v>5754</v>
      </c>
      <c r="C33" s="419" t="s">
        <v>5754</v>
      </c>
      <c r="D33" s="1224">
        <v>13.52</v>
      </c>
      <c r="E33" s="1225">
        <v>175848.18</v>
      </c>
    </row>
    <row r="34" spans="1:5">
      <c r="A34" s="1077">
        <v>24</v>
      </c>
      <c r="B34" s="419" t="s">
        <v>5755</v>
      </c>
      <c r="C34" s="419" t="s">
        <v>2862</v>
      </c>
      <c r="D34" s="1224" t="s">
        <v>2862</v>
      </c>
      <c r="E34" s="1225" t="s">
        <v>2862</v>
      </c>
    </row>
    <row r="35" spans="1:5">
      <c r="A35" s="1077">
        <v>239</v>
      </c>
      <c r="B35" s="419" t="s">
        <v>5756</v>
      </c>
      <c r="C35" s="419" t="s">
        <v>2862</v>
      </c>
      <c r="D35" s="1224" t="s">
        <v>2862</v>
      </c>
      <c r="E35" s="1225" t="s">
        <v>2862</v>
      </c>
    </row>
    <row r="36" spans="1:5">
      <c r="A36" s="1077">
        <v>26</v>
      </c>
      <c r="B36" s="419" t="s">
        <v>5757</v>
      </c>
      <c r="C36" s="419" t="s">
        <v>6163</v>
      </c>
      <c r="D36" s="1224">
        <v>18.170000000000002</v>
      </c>
      <c r="E36" s="1225">
        <v>26.83</v>
      </c>
    </row>
    <row r="37" spans="1:5">
      <c r="A37" s="1077">
        <v>27</v>
      </c>
      <c r="B37" s="419" t="s">
        <v>5758</v>
      </c>
      <c r="C37" s="419" t="s">
        <v>5758</v>
      </c>
      <c r="D37" s="1224">
        <v>10.61</v>
      </c>
      <c r="E37" s="1225">
        <v>1120.8399999999999</v>
      </c>
    </row>
    <row r="38" spans="1:5">
      <c r="A38" s="1077">
        <v>233</v>
      </c>
      <c r="B38" s="419" t="s">
        <v>5759</v>
      </c>
      <c r="C38" s="419" t="s">
        <v>5759</v>
      </c>
      <c r="D38" s="1224">
        <v>6.38</v>
      </c>
      <c r="E38" s="1225">
        <v>13749.85</v>
      </c>
    </row>
    <row r="39" spans="1:5">
      <c r="A39" s="1077">
        <v>29</v>
      </c>
      <c r="B39" s="419" t="s">
        <v>5760</v>
      </c>
      <c r="C39" s="419" t="s">
        <v>5760</v>
      </c>
      <c r="D39" s="1224">
        <v>18.399999999999999</v>
      </c>
      <c r="E39" s="1225">
        <v>991.99</v>
      </c>
    </row>
    <row r="40" spans="1:5">
      <c r="A40" s="1077">
        <v>107</v>
      </c>
      <c r="B40" s="419" t="s">
        <v>6164</v>
      </c>
      <c r="C40" s="419" t="s">
        <v>2862</v>
      </c>
      <c r="D40" s="1224">
        <v>11.96</v>
      </c>
      <c r="E40" s="1225" t="s">
        <v>2862</v>
      </c>
    </row>
    <row r="41" spans="1:5">
      <c r="A41" s="1077">
        <v>115</v>
      </c>
      <c r="B41" s="419" t="s">
        <v>5761</v>
      </c>
      <c r="C41" s="419" t="s">
        <v>5761</v>
      </c>
      <c r="D41" s="1224">
        <v>13.94</v>
      </c>
      <c r="E41" s="1225">
        <v>1256.3499999999999</v>
      </c>
    </row>
    <row r="42" spans="1:5">
      <c r="A42" s="1077">
        <v>32</v>
      </c>
      <c r="B42" s="419" t="s">
        <v>5762</v>
      </c>
      <c r="C42" s="419" t="s">
        <v>5762</v>
      </c>
      <c r="D42" s="1224">
        <v>14.15</v>
      </c>
      <c r="E42" s="1225">
        <v>8677.74</v>
      </c>
    </row>
    <row r="43" spans="1:5">
      <c r="A43" s="1077">
        <v>33</v>
      </c>
      <c r="B43" s="419" t="s">
        <v>5763</v>
      </c>
      <c r="C43" s="419" t="s">
        <v>5763</v>
      </c>
      <c r="D43" s="1224">
        <v>6.77</v>
      </c>
      <c r="E43" s="1225">
        <v>13988.37</v>
      </c>
    </row>
    <row r="44" spans="1:5">
      <c r="A44" s="1077">
        <v>35</v>
      </c>
      <c r="B44" s="912" t="s">
        <v>7780</v>
      </c>
      <c r="C44" s="419" t="s">
        <v>2862</v>
      </c>
      <c r="D44" s="1224" t="s">
        <v>2862</v>
      </c>
      <c r="E44" s="1225" t="s">
        <v>2862</v>
      </c>
    </row>
    <row r="45" spans="1:5">
      <c r="A45" s="1077">
        <v>36</v>
      </c>
      <c r="B45" s="419" t="s">
        <v>5764</v>
      </c>
      <c r="C45" s="419" t="s">
        <v>2862</v>
      </c>
      <c r="D45" s="1224" t="s">
        <v>2862</v>
      </c>
      <c r="E45" s="1225" t="s">
        <v>2862</v>
      </c>
    </row>
    <row r="46" spans="1:5">
      <c r="A46" s="1077">
        <v>37</v>
      </c>
      <c r="B46" s="419" t="s">
        <v>5765</v>
      </c>
      <c r="C46" s="419" t="s">
        <v>2862</v>
      </c>
      <c r="D46" s="1224">
        <v>10.98</v>
      </c>
      <c r="E46" s="1225" t="s">
        <v>2862</v>
      </c>
    </row>
    <row r="47" spans="1:5">
      <c r="A47" s="1077">
        <v>39</v>
      </c>
      <c r="B47" s="419" t="s">
        <v>5766</v>
      </c>
      <c r="C47" s="419" t="s">
        <v>5766</v>
      </c>
      <c r="D47" s="1224">
        <v>4.34</v>
      </c>
      <c r="E47" s="1225">
        <v>31423.27</v>
      </c>
    </row>
    <row r="48" spans="1:5">
      <c r="A48" s="1077">
        <v>259</v>
      </c>
      <c r="B48" s="419" t="s">
        <v>5767</v>
      </c>
      <c r="C48" s="419" t="s">
        <v>2862</v>
      </c>
      <c r="D48" s="1224" t="s">
        <v>2862</v>
      </c>
      <c r="E48" s="1225" t="s">
        <v>2862</v>
      </c>
    </row>
    <row r="49" spans="1:5">
      <c r="A49" s="1077">
        <v>40</v>
      </c>
      <c r="B49" s="419" t="s">
        <v>5768</v>
      </c>
      <c r="C49" s="419" t="s">
        <v>5768</v>
      </c>
      <c r="D49" s="1224">
        <v>7.57</v>
      </c>
      <c r="E49" s="1225">
        <v>13122.14</v>
      </c>
    </row>
    <row r="50" spans="1:5">
      <c r="A50" s="1077">
        <v>41</v>
      </c>
      <c r="B50" s="912" t="s">
        <v>7779</v>
      </c>
      <c r="C50" s="419" t="s">
        <v>5769</v>
      </c>
      <c r="D50" s="1224">
        <v>5.03</v>
      </c>
      <c r="E50" s="1225">
        <v>351945.34</v>
      </c>
    </row>
    <row r="51" spans="1:5">
      <c r="A51" s="1077">
        <v>351</v>
      </c>
      <c r="B51" s="747" t="s">
        <v>5769</v>
      </c>
      <c r="C51" s="419"/>
      <c r="D51" s="1224">
        <v>5.03</v>
      </c>
      <c r="E51" s="1225">
        <v>351945.34</v>
      </c>
    </row>
    <row r="52" spans="1:5">
      <c r="A52" s="1077">
        <v>42</v>
      </c>
      <c r="B52" s="419" t="s">
        <v>5770</v>
      </c>
      <c r="C52" s="419" t="s">
        <v>2862</v>
      </c>
      <c r="D52" s="1224" t="s">
        <v>2862</v>
      </c>
      <c r="E52" s="1225" t="s">
        <v>2862</v>
      </c>
    </row>
    <row r="53" spans="1:5">
      <c r="A53" s="1077">
        <v>43</v>
      </c>
      <c r="B53" s="419" t="s">
        <v>5771</v>
      </c>
      <c r="C53" s="419" t="s">
        <v>2862</v>
      </c>
      <c r="D53" s="1224" t="s">
        <v>2862</v>
      </c>
      <c r="E53" s="1225" t="s">
        <v>2862</v>
      </c>
    </row>
    <row r="54" spans="1:5">
      <c r="A54" s="1077">
        <v>44</v>
      </c>
      <c r="B54" s="419" t="s">
        <v>5772</v>
      </c>
      <c r="C54" s="419" t="s">
        <v>5772</v>
      </c>
      <c r="D54" s="1224">
        <v>18.829999999999998</v>
      </c>
      <c r="E54" s="1225">
        <v>22095.41</v>
      </c>
    </row>
    <row r="55" spans="1:5">
      <c r="A55" s="1077">
        <v>45</v>
      </c>
      <c r="B55" s="419" t="s">
        <v>5773</v>
      </c>
      <c r="C55" s="419" t="s">
        <v>2862</v>
      </c>
      <c r="D55" s="1224" t="s">
        <v>2862</v>
      </c>
      <c r="E55" s="1225" t="s">
        <v>2862</v>
      </c>
    </row>
    <row r="56" spans="1:5">
      <c r="A56" s="1077">
        <v>46</v>
      </c>
      <c r="B56" s="419" t="s">
        <v>5774</v>
      </c>
      <c r="C56" s="419" t="s">
        <v>5774</v>
      </c>
      <c r="D56" s="1224">
        <v>18.149999999999999</v>
      </c>
      <c r="E56" s="1225">
        <v>4135.7</v>
      </c>
    </row>
    <row r="57" spans="1:5">
      <c r="A57" s="1077">
        <v>250</v>
      </c>
      <c r="B57" s="419" t="s">
        <v>5775</v>
      </c>
      <c r="C57" s="419" t="s">
        <v>2862</v>
      </c>
      <c r="D57" s="1224">
        <v>15.78</v>
      </c>
      <c r="E57" s="1225" t="s">
        <v>2862</v>
      </c>
    </row>
    <row r="58" spans="1:5">
      <c r="A58" s="1077">
        <v>47</v>
      </c>
      <c r="B58" s="419" t="s">
        <v>5776</v>
      </c>
      <c r="C58" s="419" t="s">
        <v>2862</v>
      </c>
      <c r="D58" s="1224" t="s">
        <v>2862</v>
      </c>
      <c r="E58" s="1225" t="s">
        <v>2862</v>
      </c>
    </row>
    <row r="59" spans="1:5">
      <c r="A59" s="1077">
        <v>48</v>
      </c>
      <c r="B59" s="419" t="s">
        <v>5777</v>
      </c>
      <c r="C59" s="419" t="s">
        <v>5777</v>
      </c>
      <c r="D59" s="1224">
        <v>15.48</v>
      </c>
      <c r="E59" s="1225">
        <v>392.4</v>
      </c>
    </row>
    <row r="60" spans="1:5">
      <c r="A60" s="1077">
        <v>98</v>
      </c>
      <c r="B60" s="419" t="s">
        <v>5779</v>
      </c>
      <c r="C60" s="419" t="s">
        <v>5779</v>
      </c>
      <c r="D60" s="1224">
        <v>12.25</v>
      </c>
      <c r="E60" s="1225">
        <v>390.35</v>
      </c>
    </row>
    <row r="61" spans="1:5">
      <c r="A61" s="1077">
        <v>49</v>
      </c>
      <c r="B61" s="419" t="s">
        <v>5780</v>
      </c>
      <c r="C61" s="419" t="s">
        <v>5780</v>
      </c>
      <c r="D61" s="1224">
        <v>4.84</v>
      </c>
      <c r="E61" s="1225">
        <v>1769.31</v>
      </c>
    </row>
    <row r="62" spans="1:5">
      <c r="A62" s="1077">
        <v>50</v>
      </c>
      <c r="B62" s="419" t="s">
        <v>5781</v>
      </c>
      <c r="C62" s="419" t="s">
        <v>5781</v>
      </c>
      <c r="D62" s="1224"/>
      <c r="E62" s="1225" t="s">
        <v>2862</v>
      </c>
    </row>
    <row r="63" spans="1:5">
      <c r="A63" s="1077">
        <v>167</v>
      </c>
      <c r="B63" s="419" t="s">
        <v>5782</v>
      </c>
      <c r="C63" s="419" t="s">
        <v>5782</v>
      </c>
      <c r="D63" s="1224">
        <v>13.44</v>
      </c>
      <c r="E63" s="1225">
        <v>531.63</v>
      </c>
    </row>
    <row r="64" spans="1:5">
      <c r="A64" s="1077">
        <v>51</v>
      </c>
      <c r="B64" s="419" t="s">
        <v>5783</v>
      </c>
      <c r="C64" s="419" t="s">
        <v>2862</v>
      </c>
      <c r="D64" s="1224" t="s">
        <v>2862</v>
      </c>
      <c r="E64" s="1225" t="s">
        <v>2862</v>
      </c>
    </row>
    <row r="65" spans="1:5">
      <c r="A65" s="1077">
        <v>54</v>
      </c>
      <c r="B65" s="419" t="s">
        <v>5784</v>
      </c>
      <c r="C65" s="419" t="s">
        <v>5784</v>
      </c>
      <c r="D65" s="1224">
        <v>4.87</v>
      </c>
      <c r="E65" s="1225">
        <v>339.67</v>
      </c>
    </row>
    <row r="66" spans="1:5">
      <c r="A66" s="1077">
        <v>72</v>
      </c>
      <c r="B66" s="419" t="s">
        <v>5785</v>
      </c>
      <c r="C66" s="419" t="s">
        <v>5785</v>
      </c>
      <c r="D66" s="1224">
        <v>1.61</v>
      </c>
      <c r="E66" s="1225">
        <v>563.53</v>
      </c>
    </row>
    <row r="67" spans="1:5">
      <c r="A67" s="1077">
        <v>55</v>
      </c>
      <c r="B67" s="419" t="s">
        <v>5786</v>
      </c>
      <c r="C67" s="419" t="s">
        <v>2862</v>
      </c>
      <c r="D67" s="1224" t="s">
        <v>2862</v>
      </c>
      <c r="E67" s="1225" t="s">
        <v>2862</v>
      </c>
    </row>
    <row r="68" spans="1:5">
      <c r="A68" s="1077">
        <v>56</v>
      </c>
      <c r="B68" s="419" t="s">
        <v>5787</v>
      </c>
      <c r="C68" s="419" t="s">
        <v>5787</v>
      </c>
      <c r="D68" s="1224">
        <v>13.03</v>
      </c>
      <c r="E68" s="1225">
        <v>860.33</v>
      </c>
    </row>
    <row r="69" spans="1:5">
      <c r="A69" s="1077">
        <v>58</v>
      </c>
      <c r="B69" s="419" t="s">
        <v>5788</v>
      </c>
      <c r="C69" s="419" t="s">
        <v>5788</v>
      </c>
      <c r="D69" s="1224">
        <v>12.82</v>
      </c>
      <c r="E69" s="1225">
        <v>6124.97</v>
      </c>
    </row>
    <row r="70" spans="1:5">
      <c r="A70" s="1077">
        <v>59</v>
      </c>
      <c r="B70" s="419" t="s">
        <v>5789</v>
      </c>
      <c r="C70" s="419" t="s">
        <v>5789</v>
      </c>
      <c r="D70" s="1224">
        <v>0.38</v>
      </c>
      <c r="E70" s="1225">
        <v>1572.72</v>
      </c>
    </row>
    <row r="71" spans="1:5">
      <c r="A71" s="1077">
        <v>60</v>
      </c>
      <c r="B71" s="419" t="s">
        <v>5790</v>
      </c>
      <c r="C71" s="419" t="s">
        <v>5790</v>
      </c>
      <c r="D71" s="1224">
        <v>14.64</v>
      </c>
      <c r="E71" s="1225">
        <v>162.94</v>
      </c>
    </row>
    <row r="72" spans="1:5">
      <c r="A72" s="1077">
        <v>61</v>
      </c>
      <c r="B72" s="419" t="s">
        <v>5791</v>
      </c>
      <c r="C72" s="419" t="s">
        <v>5791</v>
      </c>
      <c r="D72" s="1224">
        <v>14.19</v>
      </c>
      <c r="E72" s="1225">
        <v>408.49</v>
      </c>
    </row>
    <row r="73" spans="1:5">
      <c r="A73" s="1077">
        <v>178</v>
      </c>
      <c r="B73" s="419" t="s">
        <v>5792</v>
      </c>
      <c r="C73" s="419" t="s">
        <v>5792</v>
      </c>
      <c r="D73" s="1224">
        <v>2.2400000000000002</v>
      </c>
      <c r="E73" s="1225">
        <v>4908.41</v>
      </c>
    </row>
    <row r="74" spans="1:5">
      <c r="A74" s="1077">
        <v>63</v>
      </c>
      <c r="B74" s="419" t="s">
        <v>5793</v>
      </c>
      <c r="C74" s="419" t="s">
        <v>5793</v>
      </c>
      <c r="D74" s="1224">
        <v>5.31</v>
      </c>
      <c r="E74" s="1225">
        <v>771.98</v>
      </c>
    </row>
    <row r="75" spans="1:5">
      <c r="A75" s="1077">
        <v>238</v>
      </c>
      <c r="B75" s="419" t="s">
        <v>5794</v>
      </c>
      <c r="C75" s="419" t="s">
        <v>5794</v>
      </c>
      <c r="D75" s="1224">
        <v>6.9</v>
      </c>
      <c r="E75" s="1225">
        <v>46501.53</v>
      </c>
    </row>
    <row r="76" spans="1:5">
      <c r="A76" s="1077">
        <v>62</v>
      </c>
      <c r="B76" s="419" t="s">
        <v>5795</v>
      </c>
      <c r="C76" s="419" t="s">
        <v>2862</v>
      </c>
      <c r="D76" s="1224">
        <v>6.4550823323271729</v>
      </c>
      <c r="E76" s="1225">
        <f>E75+E73</f>
        <v>51409.94</v>
      </c>
    </row>
    <row r="77" spans="1:5">
      <c r="A77" s="1077">
        <v>65</v>
      </c>
      <c r="B77" s="419" t="s">
        <v>5796</v>
      </c>
      <c r="C77" s="419" t="s">
        <v>2862</v>
      </c>
      <c r="D77" s="1224" t="s">
        <v>2862</v>
      </c>
      <c r="E77" s="1225" t="s">
        <v>2862</v>
      </c>
    </row>
    <row r="78" spans="1:5">
      <c r="A78" s="1077">
        <v>64</v>
      </c>
      <c r="B78" s="419" t="s">
        <v>5797</v>
      </c>
      <c r="C78" s="419" t="s">
        <v>2862</v>
      </c>
      <c r="D78" s="1224" t="s">
        <v>2862</v>
      </c>
      <c r="E78" s="1225" t="s">
        <v>2862</v>
      </c>
    </row>
    <row r="79" spans="1:5">
      <c r="A79" s="1077">
        <v>66</v>
      </c>
      <c r="B79" s="419" t="s">
        <v>5798</v>
      </c>
      <c r="C79" s="419" t="s">
        <v>2862</v>
      </c>
      <c r="D79" s="1224" t="s">
        <v>2862</v>
      </c>
      <c r="E79" s="1225" t="s">
        <v>2862</v>
      </c>
    </row>
    <row r="80" spans="1:5">
      <c r="A80" s="1077">
        <v>67</v>
      </c>
      <c r="B80" s="419" t="s">
        <v>5799</v>
      </c>
      <c r="C80" s="419" t="s">
        <v>5799</v>
      </c>
      <c r="D80" s="1224">
        <v>8</v>
      </c>
      <c r="E80" s="1225">
        <v>170.81</v>
      </c>
    </row>
    <row r="81" spans="1:5">
      <c r="A81" s="1077">
        <v>68</v>
      </c>
      <c r="B81" s="419" t="s">
        <v>5800</v>
      </c>
      <c r="C81" s="419" t="s">
        <v>5800</v>
      </c>
      <c r="D81" s="1224">
        <v>13.01</v>
      </c>
      <c r="E81" s="1225">
        <v>4189.6499999999996</v>
      </c>
    </row>
    <row r="82" spans="1:5">
      <c r="A82" s="1077">
        <v>69</v>
      </c>
      <c r="B82" s="419" t="s">
        <v>5801</v>
      </c>
      <c r="C82" s="419" t="s">
        <v>5801</v>
      </c>
      <c r="D82" s="1224">
        <v>18.16</v>
      </c>
      <c r="E82" s="1225">
        <v>199.59</v>
      </c>
    </row>
    <row r="83" spans="1:5">
      <c r="A83" s="1077">
        <v>70</v>
      </c>
      <c r="B83" s="419" t="s">
        <v>5802</v>
      </c>
      <c r="C83" s="419" t="s">
        <v>2862</v>
      </c>
      <c r="D83" s="1224" t="s">
        <v>2862</v>
      </c>
      <c r="E83" s="1225" t="s">
        <v>2862</v>
      </c>
    </row>
    <row r="84" spans="1:5">
      <c r="A84" s="1077">
        <v>74</v>
      </c>
      <c r="B84" s="419" t="s">
        <v>5803</v>
      </c>
      <c r="C84" s="419" t="s">
        <v>5803</v>
      </c>
      <c r="D84" s="1224">
        <v>17.2</v>
      </c>
      <c r="E84" s="1225">
        <v>2971.5</v>
      </c>
    </row>
    <row r="85" spans="1:5">
      <c r="A85" s="1077">
        <v>75</v>
      </c>
      <c r="B85" s="419" t="s">
        <v>5804</v>
      </c>
      <c r="C85" s="419" t="s">
        <v>5804</v>
      </c>
      <c r="D85" s="1224">
        <v>5.97</v>
      </c>
      <c r="E85" s="1225">
        <v>321.94</v>
      </c>
    </row>
    <row r="86" spans="1:5">
      <c r="A86" s="1077">
        <v>73</v>
      </c>
      <c r="B86" s="419" t="s">
        <v>5805</v>
      </c>
      <c r="C86" s="419" t="s">
        <v>5805</v>
      </c>
      <c r="D86" s="1224">
        <v>11.11</v>
      </c>
      <c r="E86" s="1225">
        <v>1022.61</v>
      </c>
    </row>
    <row r="87" spans="1:5">
      <c r="A87" s="1077">
        <v>79</v>
      </c>
      <c r="B87" s="419" t="s">
        <v>5806</v>
      </c>
      <c r="C87" s="419" t="s">
        <v>5806</v>
      </c>
      <c r="D87" s="1224">
        <v>13.81</v>
      </c>
      <c r="E87" s="1225">
        <v>2551.19</v>
      </c>
    </row>
    <row r="88" spans="1:5">
      <c r="A88" s="1077">
        <v>81</v>
      </c>
      <c r="B88" s="419" t="s">
        <v>5807</v>
      </c>
      <c r="C88" s="419" t="s">
        <v>5807</v>
      </c>
      <c r="D88" s="1224">
        <v>10.66</v>
      </c>
      <c r="E88" s="1225">
        <v>12532.03</v>
      </c>
    </row>
    <row r="89" spans="1:5">
      <c r="A89" s="1077">
        <v>82</v>
      </c>
      <c r="B89" s="419" t="s">
        <v>5808</v>
      </c>
      <c r="C89" s="419" t="s">
        <v>2862</v>
      </c>
      <c r="D89" s="1224" t="s">
        <v>2862</v>
      </c>
      <c r="E89" s="1225" t="s">
        <v>2862</v>
      </c>
    </row>
    <row r="90" spans="1:5">
      <c r="A90" s="1077">
        <v>84</v>
      </c>
      <c r="B90" s="419" t="s">
        <v>5809</v>
      </c>
      <c r="C90" s="419" t="s">
        <v>5809</v>
      </c>
      <c r="D90" s="1224">
        <v>6.17</v>
      </c>
      <c r="E90" s="1225">
        <v>1026.01</v>
      </c>
    </row>
    <row r="91" spans="1:5">
      <c r="A91" s="1077">
        <v>85</v>
      </c>
      <c r="B91" s="419" t="s">
        <v>5810</v>
      </c>
      <c r="C91" s="419" t="s">
        <v>2862</v>
      </c>
      <c r="D91" s="1224" t="s">
        <v>2862</v>
      </c>
      <c r="E91" s="1225" t="s">
        <v>2862</v>
      </c>
    </row>
    <row r="92" spans="1:5">
      <c r="A92" s="1077">
        <v>86</v>
      </c>
      <c r="B92" s="419" t="s">
        <v>5811</v>
      </c>
      <c r="C92" s="419" t="s">
        <v>2862</v>
      </c>
      <c r="D92" s="1224" t="s">
        <v>2862</v>
      </c>
      <c r="E92" s="1225" t="s">
        <v>2862</v>
      </c>
    </row>
    <row r="93" spans="1:5">
      <c r="A93" s="1077">
        <v>87</v>
      </c>
      <c r="B93" s="419" t="s">
        <v>5812</v>
      </c>
      <c r="C93" s="419" t="s">
        <v>2862</v>
      </c>
      <c r="D93" s="1224" t="s">
        <v>2862</v>
      </c>
      <c r="E93" s="1225" t="s">
        <v>2862</v>
      </c>
    </row>
    <row r="94" spans="1:5">
      <c r="A94" s="1077">
        <v>88</v>
      </c>
      <c r="B94" s="419" t="s">
        <v>5813</v>
      </c>
      <c r="C94" s="419" t="s">
        <v>2862</v>
      </c>
      <c r="D94" s="1224" t="s">
        <v>2862</v>
      </c>
      <c r="E94" s="1225" t="s">
        <v>2862</v>
      </c>
    </row>
    <row r="95" spans="1:5">
      <c r="A95" s="1077">
        <v>89</v>
      </c>
      <c r="B95" s="419" t="s">
        <v>5814</v>
      </c>
      <c r="C95" s="419" t="s">
        <v>5814</v>
      </c>
      <c r="D95" s="1224">
        <v>18.100000000000001</v>
      </c>
      <c r="E95" s="1225">
        <v>1015.9</v>
      </c>
    </row>
    <row r="96" spans="1:5">
      <c r="A96" s="1077">
        <v>90</v>
      </c>
      <c r="B96" s="419" t="s">
        <v>5815</v>
      </c>
      <c r="C96" s="419" t="s">
        <v>5815</v>
      </c>
      <c r="D96" s="1224">
        <v>11.01</v>
      </c>
      <c r="E96" s="1225">
        <v>7604.93</v>
      </c>
    </row>
    <row r="97" spans="1:5">
      <c r="A97" s="1077">
        <v>175</v>
      </c>
      <c r="B97" s="419" t="s">
        <v>5816</v>
      </c>
      <c r="C97" s="419" t="s">
        <v>5816</v>
      </c>
      <c r="D97" s="1224">
        <v>7.5</v>
      </c>
      <c r="E97" s="1225">
        <v>736.03</v>
      </c>
    </row>
    <row r="98" spans="1:5">
      <c r="A98" s="1077">
        <v>91</v>
      </c>
      <c r="B98" s="419" t="s">
        <v>5817</v>
      </c>
      <c r="C98" s="419" t="s">
        <v>5817</v>
      </c>
      <c r="D98" s="1224">
        <v>13.32</v>
      </c>
      <c r="E98" s="1225">
        <v>1312.44</v>
      </c>
    </row>
    <row r="99" spans="1:5">
      <c r="A99" s="1077">
        <v>93</v>
      </c>
      <c r="B99" s="419" t="s">
        <v>5818</v>
      </c>
      <c r="C99" s="419" t="s">
        <v>5818</v>
      </c>
      <c r="D99" s="1224">
        <v>9.1999999999999993</v>
      </c>
      <c r="E99" s="1225">
        <v>631.16</v>
      </c>
    </row>
    <row r="100" spans="1:5">
      <c r="A100" s="1077">
        <v>94</v>
      </c>
      <c r="B100" s="419" t="s">
        <v>5819</v>
      </c>
      <c r="C100" s="419" t="s">
        <v>2862</v>
      </c>
      <c r="D100" s="1224" t="s">
        <v>2862</v>
      </c>
      <c r="E100" s="1225" t="s">
        <v>2862</v>
      </c>
    </row>
    <row r="101" spans="1:5">
      <c r="A101" s="1077">
        <v>95</v>
      </c>
      <c r="B101" s="419" t="s">
        <v>5820</v>
      </c>
      <c r="C101" s="419" t="s">
        <v>5820</v>
      </c>
      <c r="D101" s="1224">
        <v>16.32</v>
      </c>
      <c r="E101" s="1225">
        <v>850.68</v>
      </c>
    </row>
    <row r="102" spans="1:5">
      <c r="A102" s="1077">
        <v>97</v>
      </c>
      <c r="B102" s="419" t="s">
        <v>5821</v>
      </c>
      <c r="C102" s="419" t="s">
        <v>5821</v>
      </c>
      <c r="D102" s="1224">
        <v>11.94</v>
      </c>
      <c r="E102" s="1225">
        <v>864.87</v>
      </c>
    </row>
    <row r="103" spans="1:5">
      <c r="A103" s="1077">
        <v>99</v>
      </c>
      <c r="B103" s="419" t="s">
        <v>5822</v>
      </c>
      <c r="C103" s="419" t="s">
        <v>5822</v>
      </c>
      <c r="D103" s="1224">
        <v>6.08</v>
      </c>
      <c r="E103" s="1225">
        <v>370.98</v>
      </c>
    </row>
    <row r="104" spans="1:5">
      <c r="A104" s="1077">
        <v>100</v>
      </c>
      <c r="B104" s="419" t="s">
        <v>5823</v>
      </c>
      <c r="C104" s="419" t="s">
        <v>5823</v>
      </c>
      <c r="D104" s="1224">
        <v>5.57</v>
      </c>
      <c r="E104" s="1225">
        <v>48662</v>
      </c>
    </row>
    <row r="105" spans="1:5">
      <c r="A105" s="1077">
        <v>101</v>
      </c>
      <c r="B105" s="419" t="s">
        <v>5824</v>
      </c>
      <c r="C105" s="419" t="s">
        <v>5824</v>
      </c>
      <c r="D105" s="1224">
        <v>17.329999999999998</v>
      </c>
      <c r="E105" s="1225">
        <v>19915.97</v>
      </c>
    </row>
    <row r="106" spans="1:5">
      <c r="A106" s="1077">
        <v>102</v>
      </c>
      <c r="B106" s="419" t="s">
        <v>5825</v>
      </c>
      <c r="C106" s="419" t="s">
        <v>2862</v>
      </c>
      <c r="D106" s="1224">
        <v>2.5099999999999998</v>
      </c>
      <c r="E106" s="1225" t="s">
        <v>2862</v>
      </c>
    </row>
    <row r="107" spans="1:5">
      <c r="A107" s="1077">
        <v>103</v>
      </c>
      <c r="B107" s="419" t="s">
        <v>5826</v>
      </c>
      <c r="C107" s="419" t="s">
        <v>5826</v>
      </c>
      <c r="D107" s="1224">
        <v>2.11</v>
      </c>
      <c r="E107" s="1225">
        <v>15547.9</v>
      </c>
    </row>
    <row r="108" spans="1:5">
      <c r="A108" s="1077">
        <v>104</v>
      </c>
      <c r="B108" s="419" t="s">
        <v>5827</v>
      </c>
      <c r="C108" s="419" t="s">
        <v>5827</v>
      </c>
      <c r="D108" s="1224">
        <v>11.99</v>
      </c>
      <c r="E108" s="1225">
        <v>1337.52</v>
      </c>
    </row>
    <row r="109" spans="1:5">
      <c r="A109" s="1077">
        <v>264</v>
      </c>
      <c r="B109" s="419" t="s">
        <v>5828</v>
      </c>
      <c r="C109" s="419" t="s">
        <v>2862</v>
      </c>
      <c r="D109" s="1224" t="s">
        <v>2862</v>
      </c>
      <c r="E109" s="1225" t="s">
        <v>2862</v>
      </c>
    </row>
    <row r="110" spans="1:5">
      <c r="A110" s="1077">
        <v>105</v>
      </c>
      <c r="B110" s="419" t="s">
        <v>5829</v>
      </c>
      <c r="C110" s="419" t="s">
        <v>5829</v>
      </c>
      <c r="D110" s="1224">
        <v>4.97</v>
      </c>
      <c r="E110" s="1225">
        <v>694.13</v>
      </c>
    </row>
    <row r="111" spans="1:5">
      <c r="A111" s="1077">
        <v>106</v>
      </c>
      <c r="B111" s="419" t="s">
        <v>5830</v>
      </c>
      <c r="C111" s="419" t="s">
        <v>5830</v>
      </c>
      <c r="D111" s="1224">
        <v>11.81</v>
      </c>
      <c r="E111" s="1225">
        <v>2470.71</v>
      </c>
    </row>
    <row r="112" spans="1:5">
      <c r="A112" s="1077">
        <v>109</v>
      </c>
      <c r="B112" s="419" t="s">
        <v>5831</v>
      </c>
      <c r="C112" s="419" t="s">
        <v>5831</v>
      </c>
      <c r="D112" s="1224"/>
      <c r="E112" s="1225" t="s">
        <v>2862</v>
      </c>
    </row>
    <row r="113" spans="1:5">
      <c r="A113" s="1077">
        <v>110</v>
      </c>
      <c r="B113" s="419" t="s">
        <v>5832</v>
      </c>
      <c r="C113" s="419" t="s">
        <v>5832</v>
      </c>
      <c r="D113" s="1224">
        <v>13.35</v>
      </c>
      <c r="E113" s="1225">
        <v>1146.8800000000001</v>
      </c>
    </row>
    <row r="114" spans="1:5">
      <c r="A114" s="1077">
        <v>112</v>
      </c>
      <c r="B114" s="419" t="s">
        <v>5833</v>
      </c>
      <c r="C114" s="419" t="s">
        <v>5833</v>
      </c>
      <c r="D114" s="1224">
        <v>2.27</v>
      </c>
      <c r="E114" s="1225">
        <v>3792.98</v>
      </c>
    </row>
    <row r="115" spans="1:5">
      <c r="A115" s="1077">
        <v>108</v>
      </c>
      <c r="B115" s="419" t="s">
        <v>5834</v>
      </c>
      <c r="C115" s="419" t="s">
        <v>5834</v>
      </c>
      <c r="D115" s="1224">
        <v>2.29</v>
      </c>
      <c r="E115" s="1225">
        <v>174091.51</v>
      </c>
    </row>
    <row r="116" spans="1:5">
      <c r="A116" s="1077">
        <v>114</v>
      </c>
      <c r="B116" s="419" t="s">
        <v>5835</v>
      </c>
      <c r="C116" s="419" t="s">
        <v>5835</v>
      </c>
      <c r="D116" s="1224">
        <v>6.54</v>
      </c>
      <c r="E116" s="1225">
        <v>18083.830000000002</v>
      </c>
    </row>
    <row r="117" spans="1:5">
      <c r="A117" s="1077">
        <v>83</v>
      </c>
      <c r="B117" s="419" t="s">
        <v>5836</v>
      </c>
      <c r="C117" s="419" t="s">
        <v>2862</v>
      </c>
      <c r="D117" s="1224" t="s">
        <v>2862</v>
      </c>
      <c r="E117" s="1225" t="s">
        <v>2862</v>
      </c>
    </row>
    <row r="118" spans="1:5">
      <c r="A118" s="1077">
        <v>116</v>
      </c>
      <c r="B118" s="419" t="s">
        <v>5837</v>
      </c>
      <c r="C118" s="419" t="s">
        <v>2862</v>
      </c>
      <c r="D118" s="1224">
        <v>10.050000000000001</v>
      </c>
      <c r="E118" s="1225" t="s">
        <v>2862</v>
      </c>
    </row>
    <row r="119" spans="1:5">
      <c r="A119" s="1077">
        <v>117</v>
      </c>
      <c r="B119" s="419" t="s">
        <v>5838</v>
      </c>
      <c r="C119" s="419" t="s">
        <v>2862</v>
      </c>
      <c r="D119" s="1224">
        <v>10.5</v>
      </c>
      <c r="E119" s="1225" t="s">
        <v>2862</v>
      </c>
    </row>
    <row r="120" spans="1:5">
      <c r="A120" s="1077">
        <v>118</v>
      </c>
      <c r="B120" s="419" t="s">
        <v>5839</v>
      </c>
      <c r="C120" s="419" t="s">
        <v>5839</v>
      </c>
      <c r="D120" s="1224">
        <v>2.2799999999999998</v>
      </c>
      <c r="E120" s="1225">
        <v>330.37</v>
      </c>
    </row>
    <row r="121" spans="1:5">
      <c r="A121" s="1077">
        <v>113</v>
      </c>
      <c r="B121" s="419" t="s">
        <v>5840</v>
      </c>
      <c r="C121" s="419" t="s">
        <v>5840</v>
      </c>
      <c r="D121" s="1224">
        <v>5.0999999999999996</v>
      </c>
      <c r="E121" s="1225">
        <v>10808.07</v>
      </c>
    </row>
    <row r="122" spans="1:5">
      <c r="A122" s="1077">
        <v>120</v>
      </c>
      <c r="B122" s="419" t="s">
        <v>5841</v>
      </c>
      <c r="C122" s="419" t="s">
        <v>2862</v>
      </c>
      <c r="D122" s="1224">
        <v>16.72</v>
      </c>
      <c r="E122" s="1225" t="s">
        <v>2862</v>
      </c>
    </row>
    <row r="123" spans="1:5">
      <c r="A123" s="1077">
        <v>119</v>
      </c>
      <c r="B123" s="419" t="s">
        <v>5842</v>
      </c>
      <c r="C123" s="419" t="s">
        <v>5842</v>
      </c>
      <c r="D123" s="1224">
        <v>9.86</v>
      </c>
      <c r="E123" s="1225">
        <v>1098.4100000000001</v>
      </c>
    </row>
    <row r="124" spans="1:5">
      <c r="A124" s="1077">
        <v>121</v>
      </c>
      <c r="B124" s="419" t="s">
        <v>5843</v>
      </c>
      <c r="C124" s="419" t="s">
        <v>5843</v>
      </c>
      <c r="D124" s="1224">
        <v>7.13</v>
      </c>
      <c r="E124" s="1225">
        <v>446.87</v>
      </c>
    </row>
    <row r="125" spans="1:5">
      <c r="A125" s="1077">
        <v>122</v>
      </c>
      <c r="B125" s="419" t="s">
        <v>5844</v>
      </c>
      <c r="C125" s="419" t="s">
        <v>5844</v>
      </c>
      <c r="D125" s="1224">
        <v>10.34</v>
      </c>
      <c r="E125" s="1225">
        <v>1773.57</v>
      </c>
    </row>
    <row r="126" spans="1:5">
      <c r="A126" s="1077">
        <v>123</v>
      </c>
      <c r="B126" s="419" t="s">
        <v>5845</v>
      </c>
      <c r="C126" s="419" t="s">
        <v>5845</v>
      </c>
      <c r="D126" s="1224">
        <v>17.510000000000002</v>
      </c>
      <c r="E126" s="1225">
        <v>2462.6999999999998</v>
      </c>
    </row>
    <row r="127" spans="1:5">
      <c r="A127" s="1077">
        <v>124</v>
      </c>
      <c r="B127" s="419" t="s">
        <v>5846</v>
      </c>
      <c r="C127" s="419" t="s">
        <v>2862</v>
      </c>
      <c r="D127" s="1224">
        <v>1.44</v>
      </c>
      <c r="E127" s="1225" t="s">
        <v>2862</v>
      </c>
    </row>
    <row r="128" spans="1:5">
      <c r="A128" s="1077">
        <v>125</v>
      </c>
      <c r="B128" s="419" t="s">
        <v>5847</v>
      </c>
      <c r="C128" s="419" t="s">
        <v>2862</v>
      </c>
      <c r="D128" s="1224" t="s">
        <v>2862</v>
      </c>
      <c r="E128" s="1225" t="s">
        <v>2862</v>
      </c>
    </row>
    <row r="129" spans="1:5">
      <c r="A129" s="1077">
        <v>126</v>
      </c>
      <c r="B129" s="419" t="s">
        <v>5848</v>
      </c>
      <c r="C129" s="419" t="s">
        <v>5848</v>
      </c>
      <c r="D129" s="1224">
        <v>12.21</v>
      </c>
      <c r="E129" s="1225">
        <v>1290.04</v>
      </c>
    </row>
    <row r="130" spans="1:5">
      <c r="A130" s="1077">
        <v>256</v>
      </c>
      <c r="B130" s="419" t="s">
        <v>5849</v>
      </c>
      <c r="C130" s="419" t="s">
        <v>5849</v>
      </c>
      <c r="D130" s="1224">
        <v>14.73</v>
      </c>
      <c r="E130" s="1225">
        <v>16.87</v>
      </c>
    </row>
    <row r="131" spans="1:5">
      <c r="A131" s="1077">
        <v>154</v>
      </c>
      <c r="B131" s="419" t="s">
        <v>5850</v>
      </c>
      <c r="C131" s="419" t="s">
        <v>2862</v>
      </c>
      <c r="D131" s="1224">
        <v>10.02</v>
      </c>
      <c r="E131" s="1225" t="s">
        <v>2862</v>
      </c>
    </row>
    <row r="132" spans="1:5">
      <c r="A132" s="1077">
        <v>129</v>
      </c>
      <c r="B132" s="419" t="s">
        <v>5851</v>
      </c>
      <c r="C132" s="419" t="s">
        <v>5851</v>
      </c>
      <c r="D132" s="1224">
        <v>10.62</v>
      </c>
      <c r="E132" s="1225">
        <v>28766.63</v>
      </c>
    </row>
    <row r="133" spans="1:5">
      <c r="A133" s="1077">
        <v>130</v>
      </c>
      <c r="B133" s="419" t="s">
        <v>5852</v>
      </c>
      <c r="C133" s="419" t="s">
        <v>5852</v>
      </c>
      <c r="D133" s="1224">
        <v>8.8000000000000007</v>
      </c>
      <c r="E133" s="1225">
        <v>4410.7299999999996</v>
      </c>
    </row>
    <row r="134" spans="1:5">
      <c r="A134" s="1077">
        <v>131</v>
      </c>
      <c r="B134" s="419" t="s">
        <v>5853</v>
      </c>
      <c r="C134" s="419" t="s">
        <v>5853</v>
      </c>
      <c r="D134" s="1224">
        <v>19.38</v>
      </c>
      <c r="E134" s="1225">
        <v>1052.8</v>
      </c>
    </row>
    <row r="135" spans="1:5">
      <c r="A135" s="1077">
        <v>132</v>
      </c>
      <c r="B135" s="419" t="s">
        <v>5854</v>
      </c>
      <c r="C135" s="419" t="s">
        <v>2862</v>
      </c>
      <c r="D135" s="1224" t="s">
        <v>2862</v>
      </c>
      <c r="E135" s="1225" t="s">
        <v>2862</v>
      </c>
    </row>
    <row r="136" spans="1:5">
      <c r="A136" s="1077">
        <v>133</v>
      </c>
      <c r="B136" s="419" t="s">
        <v>5855</v>
      </c>
      <c r="C136" s="419" t="s">
        <v>5855</v>
      </c>
      <c r="D136" s="1224">
        <v>4.12</v>
      </c>
      <c r="E136" s="1225">
        <v>29603.41</v>
      </c>
    </row>
    <row r="137" spans="1:5">
      <c r="A137" s="1077">
        <v>134</v>
      </c>
      <c r="B137" s="419" t="s">
        <v>5856</v>
      </c>
      <c r="C137" s="419" t="s">
        <v>2862</v>
      </c>
      <c r="D137" s="1224" t="s">
        <v>2862</v>
      </c>
      <c r="E137" s="1225" t="s">
        <v>2862</v>
      </c>
    </row>
    <row r="138" spans="1:5">
      <c r="A138" s="1077">
        <v>127</v>
      </c>
      <c r="B138" s="419" t="s">
        <v>5857</v>
      </c>
      <c r="C138" s="419" t="s">
        <v>2862</v>
      </c>
      <c r="D138" s="1224" t="s">
        <v>2862</v>
      </c>
      <c r="E138" s="1225" t="s">
        <v>2862</v>
      </c>
    </row>
    <row r="139" spans="1:5">
      <c r="A139" s="1077">
        <v>135</v>
      </c>
      <c r="B139" s="419" t="s">
        <v>5858</v>
      </c>
      <c r="C139" s="419" t="s">
        <v>2862</v>
      </c>
      <c r="D139" s="1224" t="s">
        <v>2862</v>
      </c>
      <c r="E139" s="1225" t="s">
        <v>2862</v>
      </c>
    </row>
    <row r="140" spans="1:5">
      <c r="A140" s="1077">
        <v>136</v>
      </c>
      <c r="B140" s="419" t="s">
        <v>5859</v>
      </c>
      <c r="C140" s="419" t="s">
        <v>5859</v>
      </c>
      <c r="D140" s="1224">
        <v>3.85</v>
      </c>
      <c r="E140" s="1225">
        <v>8820.36</v>
      </c>
    </row>
    <row r="141" spans="1:5">
      <c r="A141" s="1077">
        <v>137</v>
      </c>
      <c r="B141" s="419" t="s">
        <v>5860</v>
      </c>
      <c r="C141" s="419" t="s">
        <v>2862</v>
      </c>
      <c r="D141" s="1224" t="s">
        <v>2862</v>
      </c>
      <c r="E141" s="1225" t="s">
        <v>2862</v>
      </c>
    </row>
    <row r="142" spans="1:5">
      <c r="A142" s="1077">
        <v>270</v>
      </c>
      <c r="B142" s="419" t="s">
        <v>5861</v>
      </c>
      <c r="C142" s="419" t="s">
        <v>2862</v>
      </c>
      <c r="D142" s="1224" t="s">
        <v>2862</v>
      </c>
      <c r="E142" s="1225" t="s">
        <v>2862</v>
      </c>
    </row>
    <row r="143" spans="1:5">
      <c r="A143" s="1077">
        <v>138</v>
      </c>
      <c r="B143" s="419" t="s">
        <v>5862</v>
      </c>
      <c r="C143" s="419" t="s">
        <v>5862</v>
      </c>
      <c r="D143" s="1224">
        <v>4.91</v>
      </c>
      <c r="E143" s="1225">
        <v>84159.1</v>
      </c>
    </row>
    <row r="144" spans="1:5">
      <c r="A144" s="1077">
        <v>145</v>
      </c>
      <c r="B144" s="419" t="s">
        <v>5863</v>
      </c>
      <c r="C144" s="419" t="s">
        <v>2862</v>
      </c>
      <c r="D144" s="1224" t="s">
        <v>2862</v>
      </c>
      <c r="E144" s="1225" t="s">
        <v>2862</v>
      </c>
    </row>
    <row r="145" spans="1:5">
      <c r="A145" s="1077">
        <v>146</v>
      </c>
      <c r="B145" s="419" t="s">
        <v>5864</v>
      </c>
      <c r="C145" s="419" t="s">
        <v>2862</v>
      </c>
      <c r="D145" s="1224">
        <v>9.5399999999999991</v>
      </c>
      <c r="E145" s="1225" t="s">
        <v>2862</v>
      </c>
    </row>
    <row r="146" spans="1:5">
      <c r="A146" s="1077">
        <v>140</v>
      </c>
      <c r="B146" s="419" t="s">
        <v>6151</v>
      </c>
      <c r="C146" s="419" t="s">
        <v>2862</v>
      </c>
      <c r="D146" s="1224" t="s">
        <v>2862</v>
      </c>
      <c r="E146" s="1225" t="s">
        <v>2862</v>
      </c>
    </row>
    <row r="147" spans="1:5">
      <c r="A147" s="1077">
        <v>141</v>
      </c>
      <c r="B147" s="419" t="s">
        <v>5865</v>
      </c>
      <c r="C147" s="419" t="s">
        <v>5865</v>
      </c>
      <c r="D147" s="1224">
        <v>2.79</v>
      </c>
      <c r="E147" s="1225">
        <v>119244.93</v>
      </c>
    </row>
    <row r="148" spans="1:5">
      <c r="A148" s="1077">
        <v>273</v>
      </c>
      <c r="B148" s="419" t="s">
        <v>5866</v>
      </c>
      <c r="C148" s="419" t="s">
        <v>2862</v>
      </c>
      <c r="D148" s="1224">
        <v>11.65</v>
      </c>
      <c r="E148" s="1225" t="s">
        <v>2862</v>
      </c>
    </row>
    <row r="149" spans="1:5">
      <c r="A149" s="1077">
        <v>142</v>
      </c>
      <c r="B149" s="419" t="s">
        <v>5867</v>
      </c>
      <c r="C149" s="419" t="s">
        <v>2862</v>
      </c>
      <c r="D149" s="1224" t="s">
        <v>2862</v>
      </c>
      <c r="E149" s="1225" t="s">
        <v>2862</v>
      </c>
    </row>
    <row r="150" spans="1:5">
      <c r="A150" s="1077">
        <v>143</v>
      </c>
      <c r="B150" s="419" t="s">
        <v>5868</v>
      </c>
      <c r="C150" s="419" t="s">
        <v>5868</v>
      </c>
      <c r="D150" s="1224">
        <v>3.61</v>
      </c>
      <c r="E150" s="1225">
        <v>8311.32</v>
      </c>
    </row>
    <row r="151" spans="1:5">
      <c r="A151" s="1077">
        <v>144</v>
      </c>
      <c r="B151" s="419" t="s">
        <v>5869</v>
      </c>
      <c r="C151" s="419" t="s">
        <v>5869</v>
      </c>
      <c r="D151" s="1224">
        <v>7.49</v>
      </c>
      <c r="E151" s="1225">
        <v>32760.95</v>
      </c>
    </row>
    <row r="152" spans="1:5">
      <c r="A152" s="1077">
        <v>28</v>
      </c>
      <c r="B152" s="419" t="s">
        <v>5870</v>
      </c>
      <c r="C152" s="419" t="s">
        <v>6165</v>
      </c>
      <c r="D152" s="1224">
        <v>11.29</v>
      </c>
      <c r="E152" s="1225">
        <v>1685.42</v>
      </c>
    </row>
    <row r="153" spans="1:5">
      <c r="A153" s="1077">
        <v>147</v>
      </c>
      <c r="B153" s="419" t="s">
        <v>5871</v>
      </c>
      <c r="C153" s="419" t="s">
        <v>5871</v>
      </c>
      <c r="D153" s="1224">
        <v>1.3</v>
      </c>
      <c r="E153" s="1225">
        <v>48942.75</v>
      </c>
    </row>
    <row r="154" spans="1:5">
      <c r="A154" s="1077">
        <v>148</v>
      </c>
      <c r="B154" s="419" t="s">
        <v>5872</v>
      </c>
      <c r="C154" s="419" t="s">
        <v>2862</v>
      </c>
      <c r="D154" s="1224" t="s">
        <v>2862</v>
      </c>
      <c r="E154" s="1225" t="s">
        <v>2862</v>
      </c>
    </row>
    <row r="155" spans="1:5">
      <c r="A155" s="1077">
        <v>149</v>
      </c>
      <c r="B155" s="419" t="s">
        <v>5873</v>
      </c>
      <c r="C155" s="419" t="s">
        <v>5873</v>
      </c>
      <c r="D155" s="1224">
        <v>9.9700000000000006</v>
      </c>
      <c r="E155" s="1225">
        <v>3483.78</v>
      </c>
    </row>
    <row r="156" spans="1:5">
      <c r="A156" s="1077">
        <v>150</v>
      </c>
      <c r="B156" s="419" t="s">
        <v>5874</v>
      </c>
      <c r="C156" s="419" t="s">
        <v>5874</v>
      </c>
      <c r="D156" s="1224">
        <v>9.1</v>
      </c>
      <c r="E156" s="1225">
        <v>334.06</v>
      </c>
    </row>
    <row r="157" spans="1:5">
      <c r="A157" s="1077">
        <v>151</v>
      </c>
      <c r="B157" s="419" t="s">
        <v>5875</v>
      </c>
      <c r="C157" s="419" t="s">
        <v>2862</v>
      </c>
      <c r="D157" s="1224" t="s">
        <v>2862</v>
      </c>
      <c r="E157" s="1225" t="s">
        <v>2862</v>
      </c>
    </row>
    <row r="158" spans="1:5">
      <c r="A158" s="1077">
        <v>153</v>
      </c>
      <c r="B158" s="419" t="s">
        <v>5876</v>
      </c>
      <c r="C158" s="419" t="s">
        <v>2862</v>
      </c>
      <c r="D158" s="1224" t="s">
        <v>2862</v>
      </c>
      <c r="E158" s="1225" t="s">
        <v>2862</v>
      </c>
    </row>
    <row r="159" spans="1:5">
      <c r="A159" s="1077">
        <v>156</v>
      </c>
      <c r="B159" s="419" t="s">
        <v>5877</v>
      </c>
      <c r="C159" s="419" t="s">
        <v>5877</v>
      </c>
      <c r="D159" s="1224">
        <v>15.48</v>
      </c>
      <c r="E159" s="1225">
        <v>12538.64</v>
      </c>
    </row>
    <row r="160" spans="1:5">
      <c r="A160" s="1077">
        <v>157</v>
      </c>
      <c r="B160" s="419" t="s">
        <v>5878</v>
      </c>
      <c r="C160" s="419" t="s">
        <v>5878</v>
      </c>
      <c r="D160" s="1224">
        <v>14.62</v>
      </c>
      <c r="E160" s="1225">
        <v>624.94000000000005</v>
      </c>
    </row>
    <row r="161" spans="1:5">
      <c r="A161" s="1077">
        <v>158</v>
      </c>
      <c r="B161" s="419" t="s">
        <v>5879</v>
      </c>
      <c r="C161" s="419" t="s">
        <v>5879</v>
      </c>
      <c r="D161" s="1224">
        <v>4.1900000000000004</v>
      </c>
      <c r="E161" s="1225">
        <v>27122.01</v>
      </c>
    </row>
    <row r="162" spans="1:5">
      <c r="A162" s="1077">
        <v>159</v>
      </c>
      <c r="B162" s="419" t="s">
        <v>5880</v>
      </c>
      <c r="C162" s="419" t="s">
        <v>5880</v>
      </c>
      <c r="D162" s="1224">
        <v>9.01</v>
      </c>
      <c r="E162" s="1225">
        <v>33313.279999999999</v>
      </c>
    </row>
    <row r="163" spans="1:5">
      <c r="A163" s="1077">
        <v>160</v>
      </c>
      <c r="B163" s="419" t="s">
        <v>5881</v>
      </c>
      <c r="C163" s="419" t="s">
        <v>2862</v>
      </c>
      <c r="D163" s="1224" t="s">
        <v>2862</v>
      </c>
      <c r="E163" s="1225" t="s">
        <v>2862</v>
      </c>
    </row>
    <row r="164" spans="1:5">
      <c r="A164" s="1077">
        <v>161</v>
      </c>
      <c r="B164" s="419" t="s">
        <v>5882</v>
      </c>
      <c r="C164" s="419" t="s">
        <v>2862</v>
      </c>
      <c r="D164" s="1224" t="s">
        <v>2862</v>
      </c>
      <c r="E164" s="1225" t="s">
        <v>2862</v>
      </c>
    </row>
    <row r="165" spans="1:5">
      <c r="A165" s="1077">
        <v>163</v>
      </c>
      <c r="B165" s="419" t="s">
        <v>5883</v>
      </c>
      <c r="C165" s="419" t="s">
        <v>2862</v>
      </c>
      <c r="D165" s="1224" t="s">
        <v>2862</v>
      </c>
      <c r="E165" s="1225" t="s">
        <v>2862</v>
      </c>
    </row>
    <row r="166" spans="1:5">
      <c r="A166" s="1077">
        <v>162</v>
      </c>
      <c r="B166" s="419" t="s">
        <v>5884</v>
      </c>
      <c r="C166" s="419" t="s">
        <v>5884</v>
      </c>
      <c r="D166" s="1224">
        <v>8.85</v>
      </c>
      <c r="E166" s="1225">
        <v>150.78</v>
      </c>
    </row>
    <row r="167" spans="1:5">
      <c r="A167" s="1077">
        <v>299</v>
      </c>
      <c r="B167" s="419" t="s">
        <v>5885</v>
      </c>
      <c r="C167" s="419" t="s">
        <v>2862</v>
      </c>
      <c r="D167" s="1224" t="s">
        <v>2862</v>
      </c>
      <c r="E167" s="1225" t="s">
        <v>2862</v>
      </c>
    </row>
    <row r="168" spans="1:5">
      <c r="A168" s="1077">
        <v>221</v>
      </c>
      <c r="B168" s="419" t="s">
        <v>5886</v>
      </c>
      <c r="C168" s="419" t="s">
        <v>5886</v>
      </c>
      <c r="D168" s="1224">
        <v>1.39</v>
      </c>
      <c r="E168" s="1225">
        <v>3524.72</v>
      </c>
    </row>
    <row r="169" spans="1:5">
      <c r="A169" s="1077">
        <v>164</v>
      </c>
      <c r="B169" s="419" t="s">
        <v>5887</v>
      </c>
      <c r="C169" s="419" t="s">
        <v>2862</v>
      </c>
      <c r="D169" s="1224" t="s">
        <v>2862</v>
      </c>
      <c r="E169" s="1225" t="s">
        <v>2862</v>
      </c>
    </row>
    <row r="170" spans="1:5">
      <c r="A170" s="1077">
        <v>165</v>
      </c>
      <c r="B170" s="419" t="s">
        <v>5888</v>
      </c>
      <c r="C170" s="419" t="s">
        <v>5888</v>
      </c>
      <c r="D170" s="1224">
        <v>1.9</v>
      </c>
      <c r="E170" s="1225">
        <v>28349.19</v>
      </c>
    </row>
    <row r="171" spans="1:5">
      <c r="A171" s="1077">
        <v>180</v>
      </c>
      <c r="B171" s="419" t="s">
        <v>5889</v>
      </c>
      <c r="C171" s="419" t="s">
        <v>2862</v>
      </c>
      <c r="D171" s="1224" t="s">
        <v>2862</v>
      </c>
      <c r="E171" s="1225" t="s">
        <v>2862</v>
      </c>
    </row>
    <row r="172" spans="1:5">
      <c r="A172" s="1077">
        <v>166</v>
      </c>
      <c r="B172" s="419" t="s">
        <v>5890</v>
      </c>
      <c r="C172" s="419" t="s">
        <v>5890</v>
      </c>
      <c r="D172" s="1224">
        <v>14.57</v>
      </c>
      <c r="E172" s="1225">
        <v>725.82</v>
      </c>
    </row>
    <row r="173" spans="1:5">
      <c r="A173" s="1077">
        <v>168</v>
      </c>
      <c r="B173" s="419" t="s">
        <v>5891</v>
      </c>
      <c r="C173" s="419" t="s">
        <v>5891</v>
      </c>
      <c r="D173" s="1224">
        <v>19.260000000000002</v>
      </c>
      <c r="E173" s="1225">
        <v>7572.97</v>
      </c>
    </row>
    <row r="174" spans="1:5">
      <c r="A174" s="1077">
        <v>169</v>
      </c>
      <c r="B174" s="419" t="s">
        <v>5892</v>
      </c>
      <c r="C174" s="419" t="s">
        <v>5892</v>
      </c>
      <c r="D174" s="1224">
        <v>12.25</v>
      </c>
      <c r="E174" s="1225">
        <v>16372.41</v>
      </c>
    </row>
    <row r="175" spans="1:5">
      <c r="A175" s="1077">
        <v>170</v>
      </c>
      <c r="B175" s="419" t="s">
        <v>5893</v>
      </c>
      <c r="C175" s="419" t="s">
        <v>5893</v>
      </c>
      <c r="D175" s="1224">
        <v>11.22</v>
      </c>
      <c r="E175" s="1225">
        <v>22805.46</v>
      </c>
    </row>
    <row r="176" spans="1:5">
      <c r="A176" s="1077">
        <v>171</v>
      </c>
      <c r="B176" s="419" t="s">
        <v>5894</v>
      </c>
      <c r="C176" s="419" t="s">
        <v>5894</v>
      </c>
      <c r="D176" s="1224">
        <v>13.38</v>
      </c>
      <c r="E176" s="1225">
        <v>2159.64</v>
      </c>
    </row>
    <row r="177" spans="1:5">
      <c r="A177" s="1077">
        <v>172</v>
      </c>
      <c r="B177" s="419" t="s">
        <v>5895</v>
      </c>
      <c r="C177" s="419" t="s">
        <v>2862</v>
      </c>
      <c r="D177" s="1224" t="s">
        <v>2862</v>
      </c>
      <c r="E177" s="1225" t="s">
        <v>2862</v>
      </c>
    </row>
    <row r="178" spans="1:5">
      <c r="A178" s="1077">
        <v>173</v>
      </c>
      <c r="B178" s="419" t="s">
        <v>5896</v>
      </c>
      <c r="C178" s="419" t="s">
        <v>5896</v>
      </c>
      <c r="D178" s="1224">
        <v>13.05</v>
      </c>
      <c r="E178" s="1225">
        <v>3243.61</v>
      </c>
    </row>
    <row r="179" spans="1:5">
      <c r="A179" s="1077">
        <v>174</v>
      </c>
      <c r="B179" s="419" t="s">
        <v>5897</v>
      </c>
      <c r="C179" s="419" t="s">
        <v>5897</v>
      </c>
      <c r="D179" s="1224">
        <v>11.89</v>
      </c>
      <c r="E179" s="1225">
        <v>907.53</v>
      </c>
    </row>
    <row r="180" spans="1:5">
      <c r="A180" s="1077">
        <v>177</v>
      </c>
      <c r="B180" s="419" t="s">
        <v>5898</v>
      </c>
      <c r="C180" s="419" t="s">
        <v>5898</v>
      </c>
      <c r="D180" s="1224">
        <v>0</v>
      </c>
      <c r="E180" s="1225" t="s">
        <v>2862</v>
      </c>
    </row>
    <row r="181" spans="1:5">
      <c r="A181" s="1077">
        <v>179</v>
      </c>
      <c r="B181" s="419" t="s">
        <v>5899</v>
      </c>
      <c r="C181" s="419" t="s">
        <v>5899</v>
      </c>
      <c r="D181" s="1224">
        <v>0.05</v>
      </c>
      <c r="E181" s="1225">
        <v>230.48</v>
      </c>
    </row>
    <row r="182" spans="1:5">
      <c r="A182" s="1077">
        <v>182</v>
      </c>
      <c r="B182" s="419" t="s">
        <v>6166</v>
      </c>
      <c r="C182" s="419" t="s">
        <v>2862</v>
      </c>
      <c r="D182" s="1224" t="s">
        <v>2862</v>
      </c>
      <c r="E182" s="1225" t="s">
        <v>2862</v>
      </c>
    </row>
    <row r="183" spans="1:5">
      <c r="A183" s="1077">
        <v>183</v>
      </c>
      <c r="B183" s="419" t="s">
        <v>5901</v>
      </c>
      <c r="C183" s="419" t="s">
        <v>5901</v>
      </c>
      <c r="D183" s="1224">
        <v>11.01</v>
      </c>
      <c r="E183" s="1225">
        <v>2273.1999999999998</v>
      </c>
    </row>
    <row r="184" spans="1:5">
      <c r="A184" s="1077">
        <v>185</v>
      </c>
      <c r="B184" s="419" t="s">
        <v>5902</v>
      </c>
      <c r="C184" s="419" t="s">
        <v>2862</v>
      </c>
      <c r="D184" s="1224">
        <v>7.19</v>
      </c>
      <c r="E184" s="1225" t="s">
        <v>2862</v>
      </c>
    </row>
    <row r="185" spans="1:5">
      <c r="A185" s="1077">
        <v>184</v>
      </c>
      <c r="B185" s="419" t="s">
        <v>5903</v>
      </c>
      <c r="C185" s="419" t="s">
        <v>5903</v>
      </c>
      <c r="D185" s="1224">
        <v>19.47</v>
      </c>
      <c r="E185" s="1225">
        <v>745.72</v>
      </c>
    </row>
    <row r="186" spans="1:5">
      <c r="A186" s="1077">
        <v>187</v>
      </c>
      <c r="B186" s="419" t="s">
        <v>5904</v>
      </c>
      <c r="C186" s="419" t="s">
        <v>2862</v>
      </c>
      <c r="D186" s="1224" t="s">
        <v>2862</v>
      </c>
      <c r="E186" s="1225" t="s">
        <v>2862</v>
      </c>
    </row>
    <row r="187" spans="1:5">
      <c r="A187" s="1077">
        <v>188</v>
      </c>
      <c r="B187" s="419" t="s">
        <v>5905</v>
      </c>
      <c r="C187" s="419" t="s">
        <v>2862</v>
      </c>
      <c r="D187" s="1224" t="s">
        <v>2862</v>
      </c>
      <c r="E187" s="1225" t="s">
        <v>2862</v>
      </c>
    </row>
    <row r="188" spans="1:5">
      <c r="A188" s="1077">
        <v>189</v>
      </c>
      <c r="B188" s="419" t="s">
        <v>5906</v>
      </c>
      <c r="C188" s="419" t="s">
        <v>2862</v>
      </c>
      <c r="D188" s="1224" t="s">
        <v>2862</v>
      </c>
      <c r="E188" s="1225" t="s">
        <v>2862</v>
      </c>
    </row>
    <row r="189" spans="1:5">
      <c r="A189" s="1077">
        <v>190</v>
      </c>
      <c r="B189" s="419" t="s">
        <v>5907</v>
      </c>
      <c r="C189" s="419" t="s">
        <v>2862</v>
      </c>
      <c r="D189" s="1224" t="s">
        <v>2862</v>
      </c>
      <c r="E189" s="1225" t="s">
        <v>2862</v>
      </c>
    </row>
    <row r="190" spans="1:5">
      <c r="A190" s="1077">
        <v>191</v>
      </c>
      <c r="B190" s="419" t="s">
        <v>5908</v>
      </c>
      <c r="C190" s="419" t="s">
        <v>2862</v>
      </c>
      <c r="D190" s="1224" t="s">
        <v>2862</v>
      </c>
      <c r="E190" s="1225" t="s">
        <v>2862</v>
      </c>
    </row>
    <row r="191" spans="1:5">
      <c r="A191" s="1077">
        <v>244</v>
      </c>
      <c r="B191" s="419" t="s">
        <v>5909</v>
      </c>
      <c r="C191" s="419" t="s">
        <v>2862</v>
      </c>
      <c r="D191" s="1224" t="s">
        <v>2862</v>
      </c>
      <c r="E191" s="1225" t="s">
        <v>2862</v>
      </c>
    </row>
    <row r="192" spans="1:5">
      <c r="A192" s="1077">
        <v>192</v>
      </c>
      <c r="B192" s="419" t="s">
        <v>5910</v>
      </c>
      <c r="C192" s="419" t="s">
        <v>5910</v>
      </c>
      <c r="D192" s="1224">
        <v>0</v>
      </c>
      <c r="E192" s="1225" t="s">
        <v>2862</v>
      </c>
    </row>
    <row r="193" spans="1:5">
      <c r="A193" s="1077">
        <v>193</v>
      </c>
      <c r="B193" s="419" t="s">
        <v>5911</v>
      </c>
      <c r="C193" s="419" t="s">
        <v>2862</v>
      </c>
      <c r="D193" s="1224" t="s">
        <v>2862</v>
      </c>
      <c r="E193" s="1225" t="s">
        <v>2862</v>
      </c>
    </row>
    <row r="194" spans="1:5">
      <c r="A194" s="1077">
        <v>194</v>
      </c>
      <c r="B194" s="419" t="s">
        <v>5912</v>
      </c>
      <c r="C194" s="419" t="s">
        <v>5912</v>
      </c>
      <c r="D194" s="1224">
        <v>0.27</v>
      </c>
      <c r="E194" s="1225">
        <v>44468.22</v>
      </c>
    </row>
    <row r="195" spans="1:5">
      <c r="A195" s="1077">
        <v>195</v>
      </c>
      <c r="B195" s="419" t="s">
        <v>5913</v>
      </c>
      <c r="C195" s="419" t="s">
        <v>5913</v>
      </c>
      <c r="D195" s="1224">
        <v>5.86</v>
      </c>
      <c r="E195" s="1225">
        <v>7445.03</v>
      </c>
    </row>
    <row r="196" spans="1:5">
      <c r="A196" s="1077">
        <v>272</v>
      </c>
      <c r="B196" s="419" t="s">
        <v>5914</v>
      </c>
      <c r="C196" s="419" t="s">
        <v>2862</v>
      </c>
      <c r="D196" s="1224" t="s">
        <v>2862</v>
      </c>
      <c r="E196" s="1225" t="s">
        <v>2862</v>
      </c>
    </row>
    <row r="197" spans="1:5">
      <c r="A197" s="1077">
        <v>186</v>
      </c>
      <c r="B197" s="419" t="s">
        <v>5915</v>
      </c>
      <c r="C197" s="419" t="s">
        <v>2862</v>
      </c>
      <c r="D197" s="1224" t="s">
        <v>2862</v>
      </c>
      <c r="E197" s="1225" t="s">
        <v>2862</v>
      </c>
    </row>
    <row r="198" spans="1:5">
      <c r="A198" s="1077">
        <v>196</v>
      </c>
      <c r="B198" s="419" t="s">
        <v>5916</v>
      </c>
      <c r="C198" s="419" t="s">
        <v>2862</v>
      </c>
      <c r="D198" s="1224" t="s">
        <v>2862</v>
      </c>
      <c r="E198" s="1225" t="s">
        <v>2862</v>
      </c>
    </row>
    <row r="199" spans="1:5">
      <c r="A199" s="1077">
        <v>197</v>
      </c>
      <c r="B199" s="419" t="s">
        <v>5917</v>
      </c>
      <c r="C199" s="419" t="s">
        <v>5917</v>
      </c>
      <c r="D199" s="1224">
        <v>13.13</v>
      </c>
      <c r="E199" s="1225">
        <v>1957.02</v>
      </c>
    </row>
    <row r="200" spans="1:5">
      <c r="A200" s="1077">
        <v>200</v>
      </c>
      <c r="B200" s="419" t="s">
        <v>5918</v>
      </c>
      <c r="C200" s="419" t="s">
        <v>5918</v>
      </c>
      <c r="D200" s="1224">
        <v>20.32</v>
      </c>
      <c r="E200" s="1225">
        <v>0.09</v>
      </c>
    </row>
    <row r="201" spans="1:5">
      <c r="A201" s="1077">
        <v>199</v>
      </c>
      <c r="B201" s="419" t="s">
        <v>5919</v>
      </c>
      <c r="C201" s="419" t="s">
        <v>5919</v>
      </c>
      <c r="D201" s="1224">
        <v>12.83</v>
      </c>
      <c r="E201" s="1225">
        <v>270.97000000000003</v>
      </c>
    </row>
    <row r="202" spans="1:5">
      <c r="A202" s="1077">
        <v>198</v>
      </c>
      <c r="B202" s="419" t="s">
        <v>5920</v>
      </c>
      <c r="C202" s="419" t="s">
        <v>5920</v>
      </c>
      <c r="D202" s="1224">
        <v>11.71</v>
      </c>
      <c r="E202" s="1225">
        <v>94.51</v>
      </c>
    </row>
    <row r="203" spans="1:5">
      <c r="A203" s="1077">
        <v>25</v>
      </c>
      <c r="B203" s="419" t="s">
        <v>5921</v>
      </c>
      <c r="C203" s="419" t="s">
        <v>2862</v>
      </c>
      <c r="D203" s="1224" t="s">
        <v>2862</v>
      </c>
      <c r="E203" s="1225" t="s">
        <v>2862</v>
      </c>
    </row>
    <row r="204" spans="1:5">
      <c r="A204" s="1077">
        <v>201</v>
      </c>
      <c r="B204" s="419" t="s">
        <v>5922</v>
      </c>
      <c r="C204" s="419" t="s">
        <v>5922</v>
      </c>
      <c r="D204" s="1224">
        <v>1.83</v>
      </c>
      <c r="E204" s="1225">
        <v>39035.43</v>
      </c>
    </row>
    <row r="205" spans="1:5">
      <c r="A205" s="1077">
        <v>202</v>
      </c>
      <c r="B205" s="419" t="s">
        <v>5923</v>
      </c>
      <c r="C205" s="419" t="s">
        <v>5923</v>
      </c>
      <c r="D205" s="1224">
        <v>4.91</v>
      </c>
      <c r="E205" s="1225">
        <v>66056.639999999999</v>
      </c>
    </row>
    <row r="206" spans="1:5">
      <c r="A206" s="1077">
        <v>203</v>
      </c>
      <c r="B206" s="419" t="s">
        <v>5924</v>
      </c>
      <c r="C206" s="419" t="s">
        <v>5924</v>
      </c>
      <c r="D206" s="1224">
        <v>7.51</v>
      </c>
      <c r="E206" s="1225">
        <v>8029.92</v>
      </c>
    </row>
    <row r="207" spans="1:5">
      <c r="A207" s="1077">
        <v>38</v>
      </c>
      <c r="B207" s="419" t="s">
        <v>5925</v>
      </c>
      <c r="C207" s="419" t="s">
        <v>5925</v>
      </c>
      <c r="D207" s="1224">
        <v>12.85</v>
      </c>
      <c r="E207" s="1225">
        <v>980.61</v>
      </c>
    </row>
    <row r="208" spans="1:5">
      <c r="A208" s="1077">
        <v>206</v>
      </c>
      <c r="B208" s="419" t="s">
        <v>5926</v>
      </c>
      <c r="C208" s="419" t="s">
        <v>5926</v>
      </c>
      <c r="D208" s="1224">
        <v>3.87</v>
      </c>
      <c r="E208" s="1225">
        <v>64456.14</v>
      </c>
    </row>
    <row r="209" spans="1:5">
      <c r="A209" s="1077">
        <v>207</v>
      </c>
      <c r="B209" s="419" t="s">
        <v>5927</v>
      </c>
      <c r="C209" s="419" t="s">
        <v>5927</v>
      </c>
      <c r="D209" s="1224">
        <v>12.2</v>
      </c>
      <c r="E209" s="1225">
        <v>226.55</v>
      </c>
    </row>
    <row r="210" spans="1:5">
      <c r="A210" s="1077">
        <v>209</v>
      </c>
      <c r="B210" s="419" t="s">
        <v>5928</v>
      </c>
      <c r="C210" s="419" t="s">
        <v>5928</v>
      </c>
      <c r="D210" s="1224">
        <v>8.33</v>
      </c>
      <c r="E210" s="1225">
        <v>640.63</v>
      </c>
    </row>
    <row r="211" spans="1:5">
      <c r="A211" s="1077">
        <v>210</v>
      </c>
      <c r="B211" s="419" t="s">
        <v>5929</v>
      </c>
      <c r="C211" s="419" t="s">
        <v>5929</v>
      </c>
      <c r="D211" s="1224">
        <v>10.02</v>
      </c>
      <c r="E211" s="1225">
        <v>343.66</v>
      </c>
    </row>
    <row r="212" spans="1:5">
      <c r="A212" s="1077">
        <v>211</v>
      </c>
      <c r="B212" s="419" t="s">
        <v>5930</v>
      </c>
      <c r="C212" s="419" t="s">
        <v>5930</v>
      </c>
      <c r="D212" s="1224">
        <v>13.69</v>
      </c>
      <c r="E212" s="1225">
        <v>762.08</v>
      </c>
    </row>
    <row r="213" spans="1:5">
      <c r="A213" s="1077">
        <v>212</v>
      </c>
      <c r="B213" s="419" t="s">
        <v>5931</v>
      </c>
      <c r="C213" s="419" t="s">
        <v>2862</v>
      </c>
      <c r="D213" s="1224">
        <v>3.61</v>
      </c>
      <c r="E213" s="1225" t="s">
        <v>2862</v>
      </c>
    </row>
    <row r="214" spans="1:5">
      <c r="A214" s="1077">
        <v>208</v>
      </c>
      <c r="B214" s="419" t="s">
        <v>5933</v>
      </c>
      <c r="C214" s="419" t="s">
        <v>5933</v>
      </c>
      <c r="D214" s="1224">
        <v>3.91</v>
      </c>
      <c r="E214" s="1225">
        <v>6607.95</v>
      </c>
    </row>
    <row r="215" spans="1:5">
      <c r="A215" s="1077">
        <v>215</v>
      </c>
      <c r="B215" s="419" t="s">
        <v>5934</v>
      </c>
      <c r="C215" s="419" t="s">
        <v>2862</v>
      </c>
      <c r="D215" s="1224">
        <v>9.15</v>
      </c>
      <c r="E215" s="1225" t="s">
        <v>2862</v>
      </c>
    </row>
    <row r="216" spans="1:5">
      <c r="A216" s="1077">
        <v>216</v>
      </c>
      <c r="B216" s="419" t="s">
        <v>5935</v>
      </c>
      <c r="C216" s="419" t="s">
        <v>5935</v>
      </c>
      <c r="D216" s="1224">
        <v>12.16</v>
      </c>
      <c r="E216" s="1225">
        <v>2877.26</v>
      </c>
    </row>
    <row r="217" spans="1:5">
      <c r="A217" s="1077">
        <v>176</v>
      </c>
      <c r="B217" s="419" t="s">
        <v>5936</v>
      </c>
      <c r="C217" s="419" t="s">
        <v>2862</v>
      </c>
      <c r="D217" s="1224" t="s">
        <v>2862</v>
      </c>
      <c r="E217" s="1225" t="s">
        <v>2862</v>
      </c>
    </row>
    <row r="218" spans="1:5">
      <c r="A218" s="1077">
        <v>217</v>
      </c>
      <c r="B218" s="419" t="s">
        <v>5937</v>
      </c>
      <c r="C218" s="419" t="s">
        <v>5937</v>
      </c>
      <c r="D218" s="1224">
        <v>10.81</v>
      </c>
      <c r="E218" s="1225">
        <v>3715.43</v>
      </c>
    </row>
    <row r="219" spans="1:5">
      <c r="A219" s="1077">
        <v>218</v>
      </c>
      <c r="B219" s="419" t="s">
        <v>5938</v>
      </c>
      <c r="C219" s="419" t="s">
        <v>2862</v>
      </c>
      <c r="D219" s="1224" t="s">
        <v>2862</v>
      </c>
      <c r="E219" s="1225" t="s">
        <v>2862</v>
      </c>
    </row>
    <row r="220" spans="1:5">
      <c r="A220" s="1077">
        <v>219</v>
      </c>
      <c r="B220" s="419" t="s">
        <v>5939</v>
      </c>
      <c r="C220" s="419" t="s">
        <v>2862</v>
      </c>
      <c r="D220" s="1224" t="s">
        <v>2862</v>
      </c>
      <c r="E220" s="1225" t="s">
        <v>2862</v>
      </c>
    </row>
    <row r="221" spans="1:5">
      <c r="A221" s="1077">
        <v>220</v>
      </c>
      <c r="B221" s="419" t="s">
        <v>5940</v>
      </c>
      <c r="C221" s="419" t="s">
        <v>5940</v>
      </c>
      <c r="D221" s="1224">
        <v>15.96</v>
      </c>
      <c r="E221" s="1225">
        <v>16.28</v>
      </c>
    </row>
    <row r="222" spans="1:5">
      <c r="A222" s="1077">
        <v>222</v>
      </c>
      <c r="B222" s="419" t="s">
        <v>5941</v>
      </c>
      <c r="C222" s="419" t="s">
        <v>5941</v>
      </c>
      <c r="D222" s="1224">
        <v>2.4900000000000002</v>
      </c>
      <c r="E222" s="1225">
        <v>2650.87</v>
      </c>
    </row>
    <row r="223" spans="1:5">
      <c r="A223" s="1077">
        <v>223</v>
      </c>
      <c r="B223" s="419" t="s">
        <v>5942</v>
      </c>
      <c r="C223" s="419" t="s">
        <v>5942</v>
      </c>
      <c r="D223" s="1224">
        <v>8.1999999999999993</v>
      </c>
      <c r="E223" s="1225">
        <v>26594.06</v>
      </c>
    </row>
    <row r="224" spans="1:5">
      <c r="A224" s="1077">
        <v>213</v>
      </c>
      <c r="B224" s="419" t="s">
        <v>5943</v>
      </c>
      <c r="C224" s="419" t="s">
        <v>5943</v>
      </c>
      <c r="D224" s="1224">
        <v>4.3499999999999996</v>
      </c>
      <c r="E224" s="1225">
        <v>26059.25</v>
      </c>
    </row>
    <row r="225" spans="1:5">
      <c r="A225" s="1077">
        <v>224</v>
      </c>
      <c r="B225" s="419" t="s">
        <v>5944</v>
      </c>
      <c r="C225" s="419" t="s">
        <v>2862</v>
      </c>
      <c r="D225" s="1224" t="s">
        <v>2862</v>
      </c>
      <c r="E225" s="1225" t="s">
        <v>2862</v>
      </c>
    </row>
    <row r="226" spans="1:5">
      <c r="A226" s="1077">
        <v>227</v>
      </c>
      <c r="B226" s="419" t="s">
        <v>5945</v>
      </c>
      <c r="C226" s="419" t="s">
        <v>2862</v>
      </c>
      <c r="D226" s="1224" t="s">
        <v>2862</v>
      </c>
      <c r="E226" s="1225" t="s">
        <v>2862</v>
      </c>
    </row>
    <row r="227" spans="1:5">
      <c r="A227" s="1077">
        <v>226</v>
      </c>
      <c r="B227" s="419" t="s">
        <v>5946</v>
      </c>
      <c r="C227" s="419" t="s">
        <v>5946</v>
      </c>
      <c r="D227" s="1224">
        <v>14.05</v>
      </c>
      <c r="E227" s="1225">
        <v>4884.59</v>
      </c>
    </row>
    <row r="228" spans="1:5">
      <c r="A228" s="1077">
        <v>230</v>
      </c>
      <c r="B228" s="419" t="s">
        <v>5947</v>
      </c>
      <c r="C228" s="419" t="s">
        <v>5947</v>
      </c>
      <c r="D228" s="1224">
        <v>9.85</v>
      </c>
      <c r="E228" s="1225">
        <v>8992.59</v>
      </c>
    </row>
    <row r="229" spans="1:5">
      <c r="A229" s="1077">
        <v>225</v>
      </c>
      <c r="B229" s="419" t="s">
        <v>5948</v>
      </c>
      <c r="C229" s="419" t="s">
        <v>5948</v>
      </c>
      <c r="D229" s="1224">
        <v>0.5</v>
      </c>
      <c r="E229" s="1225">
        <v>452.18</v>
      </c>
    </row>
    <row r="230" spans="1:5">
      <c r="A230" s="1077">
        <v>229</v>
      </c>
      <c r="B230" s="419" t="s">
        <v>5949</v>
      </c>
      <c r="C230" s="419" t="s">
        <v>5949</v>
      </c>
      <c r="D230" s="1224">
        <v>9.3000000000000007</v>
      </c>
      <c r="E230" s="1225">
        <v>2264.59</v>
      </c>
    </row>
    <row r="231" spans="1:5">
      <c r="A231" s="1077">
        <v>231</v>
      </c>
      <c r="B231" s="419" t="s">
        <v>5950</v>
      </c>
      <c r="C231" s="419" t="s">
        <v>6167</v>
      </c>
      <c r="D231" s="1224">
        <v>4.4800000000000004</v>
      </c>
      <c r="E231" s="1225">
        <v>257857.88</v>
      </c>
    </row>
    <row r="232" spans="1:5">
      <c r="A232" s="1077">
        <v>234</v>
      </c>
      <c r="B232" s="419" t="s">
        <v>5951</v>
      </c>
      <c r="C232" s="419" t="s">
        <v>5951</v>
      </c>
      <c r="D232" s="1224">
        <v>17.95</v>
      </c>
      <c r="E232" s="1225">
        <v>9505.17</v>
      </c>
    </row>
    <row r="233" spans="1:5">
      <c r="A233" s="1077">
        <v>240</v>
      </c>
      <c r="B233" s="419" t="s">
        <v>6153</v>
      </c>
      <c r="C233" s="419" t="s">
        <v>2862</v>
      </c>
      <c r="D233" s="1224" t="s">
        <v>2862</v>
      </c>
      <c r="E233" s="1225" t="s">
        <v>2862</v>
      </c>
    </row>
    <row r="234" spans="1:5">
      <c r="A234" s="1077">
        <v>228</v>
      </c>
      <c r="B234" s="419" t="s">
        <v>5952</v>
      </c>
      <c r="C234" s="419"/>
      <c r="D234" s="1224">
        <v>3.1512872894254671</v>
      </c>
      <c r="E234" s="1225">
        <f>E252</f>
        <v>213553.84000000003</v>
      </c>
    </row>
    <row r="235" spans="1:5">
      <c r="A235" s="1077">
        <v>235</v>
      </c>
      <c r="B235" s="419" t="s">
        <v>5953</v>
      </c>
      <c r="C235" s="419" t="s">
        <v>5953</v>
      </c>
      <c r="D235" s="1224">
        <v>3.46</v>
      </c>
      <c r="E235" s="1225">
        <v>19532.439999999999</v>
      </c>
    </row>
    <row r="236" spans="1:5">
      <c r="A236" s="1077">
        <v>155</v>
      </c>
      <c r="B236" s="419" t="s">
        <v>5954</v>
      </c>
      <c r="C236" s="419" t="s">
        <v>2862</v>
      </c>
      <c r="D236" s="1224" t="s">
        <v>2862</v>
      </c>
      <c r="E236" s="1225" t="s">
        <v>2862</v>
      </c>
    </row>
    <row r="237" spans="1:5">
      <c r="A237" s="1077">
        <v>236</v>
      </c>
      <c r="B237" s="419" t="s">
        <v>5955</v>
      </c>
      <c r="C237" s="419" t="s">
        <v>2862</v>
      </c>
      <c r="D237" s="1224">
        <v>12.85</v>
      </c>
      <c r="E237" s="1225" t="s">
        <v>2862</v>
      </c>
    </row>
    <row r="238" spans="1:5">
      <c r="A238" s="1077">
        <v>237</v>
      </c>
      <c r="B238" s="419" t="s">
        <v>5956</v>
      </c>
      <c r="C238" s="419" t="s">
        <v>2862</v>
      </c>
      <c r="D238" s="1224">
        <v>16.899999999999999</v>
      </c>
      <c r="E238" s="1225" t="s">
        <v>2862</v>
      </c>
    </row>
    <row r="239" spans="1:5">
      <c r="A239" s="1077">
        <v>242</v>
      </c>
      <c r="B239" s="419" t="s">
        <v>5957</v>
      </c>
      <c r="C239" s="419" t="s">
        <v>2862</v>
      </c>
      <c r="D239" s="1224" t="s">
        <v>2862</v>
      </c>
      <c r="E239" s="1225" t="s">
        <v>2862</v>
      </c>
    </row>
    <row r="240" spans="1:5">
      <c r="A240" s="1077">
        <v>243</v>
      </c>
      <c r="B240" s="419" t="s">
        <v>5958</v>
      </c>
      <c r="C240" s="419" t="s">
        <v>2862</v>
      </c>
      <c r="D240" s="1224" t="s">
        <v>2862</v>
      </c>
      <c r="E240" s="1225" t="s">
        <v>2862</v>
      </c>
    </row>
    <row r="241" spans="1:5">
      <c r="A241" s="1077">
        <v>205</v>
      </c>
      <c r="B241" s="419" t="s">
        <v>5959</v>
      </c>
      <c r="C241" s="419" t="s">
        <v>2862</v>
      </c>
      <c r="D241" s="1224" t="s">
        <v>2862</v>
      </c>
      <c r="E241" s="1225" t="s">
        <v>2862</v>
      </c>
    </row>
    <row r="242" spans="1:5">
      <c r="A242" s="1077">
        <v>249</v>
      </c>
      <c r="B242" s="419" t="s">
        <v>5960</v>
      </c>
      <c r="C242" s="419" t="s">
        <v>5960</v>
      </c>
      <c r="D242" s="1224">
        <v>1.79</v>
      </c>
      <c r="E242" s="1225">
        <v>18171.580000000002</v>
      </c>
    </row>
    <row r="243" spans="1:5">
      <c r="A243" s="1077">
        <v>248</v>
      </c>
      <c r="B243" s="419" t="s">
        <v>5961</v>
      </c>
      <c r="C243" s="419" t="s">
        <v>2862</v>
      </c>
      <c r="D243" s="1224">
        <v>12.144741987377801</v>
      </c>
      <c r="E243" s="1225">
        <f>E266</f>
        <v>484.86</v>
      </c>
    </row>
    <row r="244" spans="1:5">
      <c r="A244" s="1077">
        <v>251</v>
      </c>
      <c r="B244" s="419" t="s">
        <v>5962</v>
      </c>
      <c r="C244" s="419" t="s">
        <v>5962</v>
      </c>
      <c r="D244" s="1224">
        <v>9.01</v>
      </c>
      <c r="E244" s="1225">
        <v>32402.92</v>
      </c>
    </row>
    <row r="245" spans="1:5">
      <c r="A245" s="1077">
        <v>351</v>
      </c>
      <c r="B245" s="747" t="s">
        <v>5769</v>
      </c>
      <c r="C245" s="419"/>
      <c r="D245" s="1224"/>
      <c r="E245" s="1225"/>
    </row>
    <row r="246" spans="1:5">
      <c r="A246" s="1077">
        <v>181</v>
      </c>
      <c r="B246" s="419" t="s">
        <v>5963</v>
      </c>
      <c r="C246" s="419" t="s">
        <v>5963</v>
      </c>
      <c r="D246" s="1224">
        <v>4.92</v>
      </c>
      <c r="E246" s="1225">
        <v>19209.95</v>
      </c>
    </row>
    <row r="247" spans="1:5">
      <c r="A247" s="1077"/>
      <c r="B247" s="419"/>
      <c r="C247" s="419"/>
      <c r="D247" s="1224"/>
      <c r="E247" s="1225"/>
    </row>
    <row r="248" spans="1:5">
      <c r="A248" s="1077">
        <v>5001</v>
      </c>
      <c r="B248" s="419" t="s">
        <v>3094</v>
      </c>
      <c r="C248" s="419" t="s">
        <v>3985</v>
      </c>
      <c r="D248" s="1224">
        <v>6.19</v>
      </c>
      <c r="E248" s="1225">
        <v>3220509.3</v>
      </c>
    </row>
    <row r="249" spans="1:5">
      <c r="A249" s="1077"/>
      <c r="B249" s="419"/>
      <c r="C249" s="419"/>
      <c r="D249" s="809"/>
      <c r="E249" s="1067"/>
    </row>
    <row r="250" spans="1:5">
      <c r="A250" s="1077"/>
      <c r="B250" s="419"/>
      <c r="C250" s="419"/>
      <c r="D250" s="809"/>
      <c r="E250" s="1067"/>
    </row>
    <row r="251" spans="1:5">
      <c r="A251" s="1077"/>
      <c r="B251" s="419"/>
      <c r="C251" s="419"/>
      <c r="D251" s="809"/>
      <c r="E251" s="1067"/>
    </row>
    <row r="252" spans="1:5">
      <c r="A252" s="1078">
        <v>228</v>
      </c>
      <c r="B252" s="554" t="s">
        <v>5952</v>
      </c>
      <c r="C252" s="1079"/>
      <c r="D252" s="1079">
        <f>SUMPRODUCT(D253:D264,E253:E264)/E252</f>
        <v>3.1512872894254671</v>
      </c>
      <c r="E252" s="1080">
        <f>SUM(E253:E264)</f>
        <v>213553.84000000003</v>
      </c>
    </row>
    <row r="253" spans="1:5">
      <c r="A253" s="1077">
        <v>1</v>
      </c>
      <c r="B253" s="419" t="s">
        <v>5736</v>
      </c>
      <c r="C253" s="419"/>
      <c r="D253" s="809">
        <f t="shared" ref="D253:D260" si="0">VLOOKUP(A253,A6:E248,4,FALSE)</f>
        <v>9.06</v>
      </c>
      <c r="E253" s="1067">
        <f t="shared" ref="E253:E260" si="1">VLOOKUP(B253,B6:E248,4,FALSE)</f>
        <v>532.41</v>
      </c>
    </row>
    <row r="254" spans="1:5">
      <c r="A254" s="1077">
        <v>52</v>
      </c>
      <c r="B254" s="419" t="s">
        <v>5740</v>
      </c>
      <c r="C254" s="419"/>
      <c r="D254" s="809">
        <f t="shared" si="0"/>
        <v>9.6999999999999993</v>
      </c>
      <c r="E254" s="1067">
        <f t="shared" si="1"/>
        <v>1971.66</v>
      </c>
    </row>
    <row r="255" spans="1:5">
      <c r="A255" s="1077">
        <v>57</v>
      </c>
      <c r="B255" s="419" t="s">
        <v>5745</v>
      </c>
      <c r="C255" s="419"/>
      <c r="D255" s="809">
        <f t="shared" si="0"/>
        <v>12.27</v>
      </c>
      <c r="E255" s="1067">
        <f t="shared" si="1"/>
        <v>4250.1899999999996</v>
      </c>
    </row>
    <row r="256" spans="1:5">
      <c r="A256" s="1077">
        <v>63</v>
      </c>
      <c r="B256" s="419" t="s">
        <v>5793</v>
      </c>
      <c r="C256" s="419"/>
      <c r="D256" s="809">
        <f t="shared" si="0"/>
        <v>5.31</v>
      </c>
      <c r="E256" s="1067">
        <f t="shared" si="1"/>
        <v>771.98</v>
      </c>
    </row>
    <row r="257" spans="1:5">
      <c r="A257" s="1077">
        <v>73</v>
      </c>
      <c r="B257" s="419" t="s">
        <v>5805</v>
      </c>
      <c r="C257" s="419"/>
      <c r="D257" s="809">
        <f t="shared" si="0"/>
        <v>11.11</v>
      </c>
      <c r="E257" s="1067">
        <f t="shared" si="1"/>
        <v>1022.61</v>
      </c>
    </row>
    <row r="258" spans="1:5">
      <c r="A258" s="1077">
        <v>108</v>
      </c>
      <c r="B258" s="419" t="s">
        <v>5834</v>
      </c>
      <c r="C258" s="419"/>
      <c r="D258" s="809">
        <f t="shared" si="0"/>
        <v>2.29</v>
      </c>
      <c r="E258" s="1067">
        <f t="shared" si="1"/>
        <v>174091.51</v>
      </c>
    </row>
    <row r="259" spans="1:5">
      <c r="A259" s="1077">
        <v>119</v>
      </c>
      <c r="B259" s="419" t="s">
        <v>5842</v>
      </c>
      <c r="C259" s="419"/>
      <c r="D259" s="809">
        <f t="shared" si="0"/>
        <v>9.86</v>
      </c>
      <c r="E259" s="1067">
        <f t="shared" si="1"/>
        <v>1098.4100000000001</v>
      </c>
    </row>
    <row r="260" spans="1:5">
      <c r="A260" s="1077">
        <v>126</v>
      </c>
      <c r="B260" s="419" t="s">
        <v>5848</v>
      </c>
      <c r="C260" s="419"/>
      <c r="D260" s="809">
        <f t="shared" si="0"/>
        <v>12.21</v>
      </c>
      <c r="E260" s="1067">
        <f t="shared" si="1"/>
        <v>1290.04</v>
      </c>
    </row>
    <row r="261" spans="1:5">
      <c r="A261" s="1077">
        <v>146</v>
      </c>
      <c r="B261" s="419" t="s">
        <v>5864</v>
      </c>
      <c r="C261" s="419"/>
      <c r="D261" s="809"/>
      <c r="E261" s="1067"/>
    </row>
    <row r="262" spans="1:5">
      <c r="A262" s="1077">
        <v>185</v>
      </c>
      <c r="B262" s="419" t="s">
        <v>5902</v>
      </c>
      <c r="C262" s="419"/>
      <c r="D262" s="809"/>
      <c r="E262" s="1067"/>
    </row>
    <row r="263" spans="1:5">
      <c r="A263" s="1077">
        <v>230</v>
      </c>
      <c r="B263" s="419" t="s">
        <v>5947</v>
      </c>
      <c r="C263" s="419"/>
      <c r="D263" s="809">
        <f>VLOOKUP(A263,A16:E258,4,FALSE)</f>
        <v>9.85</v>
      </c>
      <c r="E263" s="1067">
        <f>VLOOKUP(B263,B16:E258,4,FALSE)</f>
        <v>8992.59</v>
      </c>
    </row>
    <row r="264" spans="1:5">
      <c r="A264" s="1077">
        <v>235</v>
      </c>
      <c r="B264" s="419" t="s">
        <v>5953</v>
      </c>
      <c r="C264" s="419"/>
      <c r="D264" s="809">
        <f>VLOOKUP(A264,A17:E259,4,FALSE)</f>
        <v>3.46</v>
      </c>
      <c r="E264" s="1067">
        <f>VLOOKUP(B264,B17:E259,4,FALSE)</f>
        <v>19532.439999999999</v>
      </c>
    </row>
    <row r="265" spans="1:5">
      <c r="A265" s="1077"/>
      <c r="B265" s="419"/>
      <c r="C265" s="419"/>
      <c r="D265" s="809"/>
      <c r="E265" s="1067"/>
    </row>
    <row r="266" spans="1:5">
      <c r="A266" s="1081">
        <v>248</v>
      </c>
      <c r="B266" s="555" t="s">
        <v>5961</v>
      </c>
      <c r="C266" s="1082"/>
      <c r="D266" s="1082">
        <f>SUMPRODUCT(D267:D272*E267:E272)/E266</f>
        <v>12.144741987377801</v>
      </c>
      <c r="E266" s="1083">
        <f>SUM(E267:E272)</f>
        <v>484.86</v>
      </c>
    </row>
    <row r="267" spans="1:5">
      <c r="A267" s="1077">
        <v>80</v>
      </c>
      <c r="B267" s="419" t="s">
        <v>5752</v>
      </c>
      <c r="C267" s="419"/>
      <c r="D267" s="809"/>
      <c r="E267" s="1067"/>
    </row>
    <row r="268" spans="1:5">
      <c r="A268" s="1077">
        <v>98</v>
      </c>
      <c r="B268" s="419" t="s">
        <v>5779</v>
      </c>
      <c r="C268" s="419"/>
      <c r="D268" s="809">
        <f>VLOOKUP(A268,A21:E263,4,FALSE)</f>
        <v>12.25</v>
      </c>
      <c r="E268" s="1067">
        <f>VLOOKUP(B268,B21:E263,4,FALSE)</f>
        <v>390.35</v>
      </c>
    </row>
    <row r="269" spans="1:5">
      <c r="A269" s="1077">
        <v>154</v>
      </c>
      <c r="B269" s="419" t="s">
        <v>5850</v>
      </c>
      <c r="C269" s="419"/>
      <c r="D269" s="809"/>
      <c r="E269" s="1067"/>
    </row>
    <row r="270" spans="1:5">
      <c r="A270" s="1077">
        <v>273</v>
      </c>
      <c r="B270" s="419" t="s">
        <v>5866</v>
      </c>
      <c r="C270" s="419"/>
      <c r="D270" s="809"/>
      <c r="E270" s="1067"/>
    </row>
    <row r="271" spans="1:5">
      <c r="A271" s="1077">
        <v>272</v>
      </c>
      <c r="B271" s="419" t="s">
        <v>5914</v>
      </c>
      <c r="C271" s="419"/>
      <c r="D271" s="809"/>
      <c r="E271" s="1067"/>
    </row>
    <row r="272" spans="1:5">
      <c r="A272" s="1077">
        <v>198</v>
      </c>
      <c r="B272" s="419" t="s">
        <v>5920</v>
      </c>
      <c r="C272" s="419"/>
      <c r="D272" s="809">
        <f>VLOOKUP(A272,A25:E267,4,FALSE)</f>
        <v>11.71</v>
      </c>
      <c r="E272" s="1067">
        <f>VLOOKUP(B272,B25:E267,4,FALSE)</f>
        <v>94.51</v>
      </c>
    </row>
    <row r="273" spans="1:5">
      <c r="A273" s="1077"/>
      <c r="B273" s="419"/>
      <c r="C273" s="419"/>
      <c r="D273" s="809"/>
      <c r="E273" s="1067"/>
    </row>
    <row r="274" spans="1:5">
      <c r="A274" s="1084">
        <v>62</v>
      </c>
      <c r="B274" s="556" t="s">
        <v>5795</v>
      </c>
      <c r="C274" s="1085"/>
      <c r="D274" s="1085">
        <f>SUMPRODUCT(D275:D276*E275:E276)/E274</f>
        <v>6.4550823323271729</v>
      </c>
      <c r="E274" s="1086">
        <f>SUM(E275:E276)</f>
        <v>51409.94</v>
      </c>
    </row>
    <row r="275" spans="1:5">
      <c r="A275" s="1077">
        <v>178</v>
      </c>
      <c r="B275" s="419" t="s">
        <v>5792</v>
      </c>
      <c r="C275" s="419"/>
      <c r="D275" s="809">
        <f>VLOOKUP(A275,A28:E270,4,FALSE)</f>
        <v>2.2400000000000002</v>
      </c>
      <c r="E275" s="1067">
        <f>VLOOKUP(B275,B28:E270,4,FALSE)</f>
        <v>4908.41</v>
      </c>
    </row>
    <row r="276" spans="1:5">
      <c r="A276" s="1087">
        <v>238</v>
      </c>
      <c r="B276" s="148" t="s">
        <v>5794</v>
      </c>
      <c r="C276" s="148"/>
      <c r="D276" s="810">
        <f>VLOOKUP(A276,A29:E271,4,FALSE)</f>
        <v>6.9</v>
      </c>
      <c r="E276" s="1069">
        <f>VLOOKUP(B276,B29:E271,4,FALSE)</f>
        <v>46501.53</v>
      </c>
    </row>
    <row r="281" spans="1:5">
      <c r="A281" s="1070" t="s">
        <v>6154</v>
      </c>
    </row>
    <row r="282" spans="1:5">
      <c r="A282" s="924" t="s">
        <v>6155</v>
      </c>
    </row>
  </sheetData>
  <hyperlinks>
    <hyperlink ref="D3" location="yf" display="yf"/>
    <hyperlink ref="E3" location="feed_intensity_w" display="feed_intensity_w"/>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8" enableFormatConditionsCalculation="0">
    <tabColor rgb="FFFF9900"/>
  </sheetPr>
  <dimension ref="A1:F252"/>
  <sheetViews>
    <sheetView workbookViewId="0">
      <selection activeCell="A65536" sqref="A65536"/>
    </sheetView>
  </sheetViews>
  <sheetFormatPr baseColWidth="10" defaultColWidth="9.1640625" defaultRowHeight="12" x14ac:dyDescent="0"/>
  <cols>
    <col min="1" max="1" width="24.83203125" style="1119" customWidth="1"/>
    <col min="2" max="2" width="10.1640625" style="1119" customWidth="1"/>
    <col min="3" max="3" width="12.5" style="1119" customWidth="1"/>
    <col min="4" max="4" width="16.5" style="1119" customWidth="1"/>
    <col min="5" max="16384" width="9.1640625" style="1119"/>
  </cols>
  <sheetData>
    <row r="1" spans="1:6">
      <c r="A1" s="1070"/>
      <c r="D1" s="921"/>
    </row>
    <row r="2" spans="1:6">
      <c r="A2" s="1070"/>
    </row>
    <row r="3" spans="1:6" ht="28.5" customHeight="1">
      <c r="A3" s="1070"/>
      <c r="D3" s="1120" t="s">
        <v>1006</v>
      </c>
      <c r="E3" s="1121" t="s">
        <v>5</v>
      </c>
      <c r="F3" s="1122"/>
    </row>
    <row r="4" spans="1:6">
      <c r="A4" s="984" t="s">
        <v>7800</v>
      </c>
      <c r="B4" s="984" t="s">
        <v>2019</v>
      </c>
      <c r="C4" s="987" t="s">
        <v>6150</v>
      </c>
      <c r="E4" s="921"/>
      <c r="F4" s="921"/>
    </row>
    <row r="5" spans="1:6">
      <c r="A5" s="659" t="s">
        <v>548</v>
      </c>
      <c r="B5" s="659" t="s">
        <v>548</v>
      </c>
      <c r="C5" s="660" t="s">
        <v>548</v>
      </c>
      <c r="E5" s="921"/>
      <c r="F5" s="921"/>
    </row>
    <row r="6" spans="1:6">
      <c r="A6" s="1113" t="s">
        <v>5727</v>
      </c>
      <c r="B6" s="418">
        <v>2</v>
      </c>
      <c r="C6" s="1193" t="s">
        <v>6098</v>
      </c>
      <c r="E6" s="921"/>
      <c r="F6" s="921"/>
    </row>
    <row r="7" spans="1:6">
      <c r="A7" s="1077" t="s">
        <v>5728</v>
      </c>
      <c r="B7" s="419">
        <v>3</v>
      </c>
      <c r="C7" s="1205" t="s">
        <v>6099</v>
      </c>
      <c r="E7" s="921"/>
      <c r="F7" s="921"/>
    </row>
    <row r="8" spans="1:6">
      <c r="A8" s="1077" t="s">
        <v>5729</v>
      </c>
      <c r="B8" s="419">
        <v>4</v>
      </c>
      <c r="C8" s="1205" t="s">
        <v>6100</v>
      </c>
      <c r="E8" s="921"/>
      <c r="F8" s="921"/>
    </row>
    <row r="9" spans="1:6">
      <c r="A9" s="1077" t="s">
        <v>5730</v>
      </c>
      <c r="B9" s="419">
        <v>5</v>
      </c>
      <c r="C9" s="1205" t="s">
        <v>6104</v>
      </c>
      <c r="E9" s="921"/>
      <c r="F9" s="921"/>
    </row>
    <row r="10" spans="1:6">
      <c r="A10" s="1077" t="s">
        <v>5731</v>
      </c>
      <c r="B10" s="419">
        <v>6</v>
      </c>
      <c r="C10" s="1205" t="s">
        <v>6102</v>
      </c>
      <c r="E10" s="921"/>
      <c r="F10" s="921"/>
    </row>
    <row r="11" spans="1:6">
      <c r="A11" s="1077" t="s">
        <v>5732</v>
      </c>
      <c r="B11" s="419">
        <v>7</v>
      </c>
      <c r="C11" s="1205" t="s">
        <v>6103</v>
      </c>
      <c r="E11" s="921"/>
      <c r="F11" s="921"/>
    </row>
    <row r="12" spans="1:6">
      <c r="A12" s="1077" t="s">
        <v>5734</v>
      </c>
      <c r="B12" s="419">
        <v>258</v>
      </c>
      <c r="C12" s="1205" t="s">
        <v>6104</v>
      </c>
    </row>
    <row r="13" spans="1:6">
      <c r="A13" s="1077" t="s">
        <v>5733</v>
      </c>
      <c r="B13" s="419">
        <v>8</v>
      </c>
      <c r="C13" s="1205" t="s">
        <v>6104</v>
      </c>
    </row>
    <row r="14" spans="1:6">
      <c r="A14" s="1077" t="s">
        <v>5735</v>
      </c>
      <c r="B14" s="419">
        <v>9</v>
      </c>
      <c r="C14" s="1205" t="s">
        <v>6104</v>
      </c>
    </row>
    <row r="15" spans="1:6">
      <c r="A15" s="1077" t="s">
        <v>5736</v>
      </c>
      <c r="B15" s="419">
        <v>1</v>
      </c>
      <c r="C15" s="1205" t="s">
        <v>6100</v>
      </c>
    </row>
    <row r="16" spans="1:6">
      <c r="A16" s="1077" t="s">
        <v>5737</v>
      </c>
      <c r="B16" s="419">
        <v>22</v>
      </c>
      <c r="C16" s="1205" t="s">
        <v>6104</v>
      </c>
    </row>
    <row r="17" spans="1:3">
      <c r="A17" s="1077" t="s">
        <v>5738</v>
      </c>
      <c r="B17" s="419">
        <v>10</v>
      </c>
      <c r="C17" s="1205" t="s">
        <v>6101</v>
      </c>
    </row>
    <row r="18" spans="1:3">
      <c r="A18" s="1077" t="s">
        <v>5739</v>
      </c>
      <c r="B18" s="419">
        <v>11</v>
      </c>
      <c r="C18" s="1205" t="s">
        <v>6102</v>
      </c>
    </row>
    <row r="19" spans="1:3">
      <c r="A19" s="1077" t="s">
        <v>5740</v>
      </c>
      <c r="B19" s="419">
        <v>52</v>
      </c>
      <c r="C19" s="1205" t="s">
        <v>6100</v>
      </c>
    </row>
    <row r="20" spans="1:3">
      <c r="A20" s="1077" t="s">
        <v>5741</v>
      </c>
      <c r="B20" s="419">
        <v>12</v>
      </c>
      <c r="C20" s="1205" t="s">
        <v>6104</v>
      </c>
    </row>
    <row r="21" spans="1:3">
      <c r="A21" s="1077" t="s">
        <v>5742</v>
      </c>
      <c r="B21" s="419">
        <v>13</v>
      </c>
      <c r="C21" s="1205" t="s">
        <v>6100</v>
      </c>
    </row>
    <row r="22" spans="1:3">
      <c r="A22" s="1077" t="s">
        <v>5743</v>
      </c>
      <c r="B22" s="419">
        <v>16</v>
      </c>
      <c r="C22" s="1205" t="s">
        <v>6098</v>
      </c>
    </row>
    <row r="23" spans="1:3">
      <c r="A23" s="1077" t="s">
        <v>5744</v>
      </c>
      <c r="B23" s="419">
        <v>14</v>
      </c>
      <c r="C23" s="1205" t="s">
        <v>6104</v>
      </c>
    </row>
    <row r="24" spans="1:3">
      <c r="A24" s="1077" t="s">
        <v>5745</v>
      </c>
      <c r="B24" s="419">
        <v>57</v>
      </c>
      <c r="C24" s="1205" t="s">
        <v>6099</v>
      </c>
    </row>
    <row r="25" spans="1:3">
      <c r="A25" s="1077" t="s">
        <v>5719</v>
      </c>
      <c r="B25" s="419">
        <v>255</v>
      </c>
      <c r="C25" s="1205" t="s">
        <v>6102</v>
      </c>
    </row>
    <row r="26" spans="1:3">
      <c r="A26" s="1077" t="s">
        <v>5746</v>
      </c>
      <c r="B26" s="419">
        <v>15</v>
      </c>
      <c r="C26" s="1205" t="s">
        <v>6102</v>
      </c>
    </row>
    <row r="27" spans="1:3">
      <c r="A27" s="1077" t="s">
        <v>5747</v>
      </c>
      <c r="B27" s="419">
        <v>23</v>
      </c>
      <c r="C27" s="1205" t="s">
        <v>6104</v>
      </c>
    </row>
    <row r="28" spans="1:3">
      <c r="A28" s="1077" t="s">
        <v>5748</v>
      </c>
      <c r="B28" s="419">
        <v>53</v>
      </c>
      <c r="C28" s="1205" t="s">
        <v>6103</v>
      </c>
    </row>
    <row r="29" spans="1:3">
      <c r="A29" s="1077" t="s">
        <v>5749</v>
      </c>
      <c r="B29" s="419">
        <v>17</v>
      </c>
      <c r="C29" s="1205" t="s">
        <v>6104</v>
      </c>
    </row>
    <row r="30" spans="1:3">
      <c r="A30" s="1077" t="s">
        <v>5750</v>
      </c>
      <c r="B30" s="419">
        <v>18</v>
      </c>
      <c r="C30" s="1205" t="s">
        <v>6098</v>
      </c>
    </row>
    <row r="31" spans="1:3">
      <c r="A31" s="1077" t="s">
        <v>5751</v>
      </c>
      <c r="B31" s="419">
        <v>19</v>
      </c>
      <c r="C31" s="1205" t="s">
        <v>6104</v>
      </c>
    </row>
    <row r="32" spans="1:3">
      <c r="A32" s="1077" t="s">
        <v>5752</v>
      </c>
      <c r="B32" s="419">
        <v>80</v>
      </c>
      <c r="C32" s="1205" t="s">
        <v>6099</v>
      </c>
    </row>
    <row r="33" spans="1:3">
      <c r="A33" s="1077" t="s">
        <v>5753</v>
      </c>
      <c r="B33" s="419">
        <v>20</v>
      </c>
      <c r="C33" s="1205" t="s">
        <v>6103</v>
      </c>
    </row>
    <row r="34" spans="1:3">
      <c r="A34" s="1077" t="s">
        <v>5754</v>
      </c>
      <c r="B34" s="419">
        <v>21</v>
      </c>
      <c r="C34" s="1205" t="s">
        <v>6104</v>
      </c>
    </row>
    <row r="35" spans="1:3">
      <c r="A35" s="1077" t="s">
        <v>5755</v>
      </c>
      <c r="B35" s="419">
        <v>24</v>
      </c>
      <c r="C35" s="1205" t="s">
        <v>6104</v>
      </c>
    </row>
    <row r="36" spans="1:3">
      <c r="A36" s="1077" t="s">
        <v>5756</v>
      </c>
      <c r="B36" s="419">
        <v>239</v>
      </c>
      <c r="C36" s="1205" t="s">
        <v>6104</v>
      </c>
    </row>
    <row r="37" spans="1:3">
      <c r="A37" s="1077" t="s">
        <v>5757</v>
      </c>
      <c r="B37" s="419">
        <v>26</v>
      </c>
      <c r="C37" s="1205" t="s">
        <v>6098</v>
      </c>
    </row>
    <row r="38" spans="1:3">
      <c r="A38" s="1077" t="s">
        <v>5758</v>
      </c>
      <c r="B38" s="419">
        <v>27</v>
      </c>
      <c r="C38" s="1205" t="s">
        <v>6099</v>
      </c>
    </row>
    <row r="39" spans="1:3">
      <c r="A39" s="1077" t="s">
        <v>5759</v>
      </c>
      <c r="B39" s="419">
        <v>233</v>
      </c>
      <c r="C39" s="1205" t="s">
        <v>6103</v>
      </c>
    </row>
    <row r="40" spans="1:3">
      <c r="A40" s="1077" t="s">
        <v>5760</v>
      </c>
      <c r="B40" s="419">
        <v>29</v>
      </c>
      <c r="C40" s="1205" t="s">
        <v>6103</v>
      </c>
    </row>
    <row r="41" spans="1:3">
      <c r="A41" s="1077" t="s">
        <v>5761</v>
      </c>
      <c r="B41" s="419">
        <v>115</v>
      </c>
      <c r="C41" s="1205" t="s">
        <v>6098</v>
      </c>
    </row>
    <row r="42" spans="1:3">
      <c r="A42" s="1077" t="s">
        <v>5762</v>
      </c>
      <c r="B42" s="419">
        <v>32</v>
      </c>
      <c r="C42" s="1205" t="s">
        <v>6103</v>
      </c>
    </row>
    <row r="43" spans="1:3">
      <c r="A43" s="1077" t="s">
        <v>5763</v>
      </c>
      <c r="B43" s="419">
        <v>33</v>
      </c>
      <c r="C43" s="1205" t="s">
        <v>6101</v>
      </c>
    </row>
    <row r="44" spans="1:3">
      <c r="A44" s="472" t="s">
        <v>7780</v>
      </c>
      <c r="B44" s="419">
        <v>35</v>
      </c>
      <c r="C44" s="1205" t="s">
        <v>6103</v>
      </c>
    </row>
    <row r="45" spans="1:3">
      <c r="A45" s="1077" t="s">
        <v>5764</v>
      </c>
      <c r="B45" s="419">
        <v>36</v>
      </c>
      <c r="C45" s="1205" t="s">
        <v>6104</v>
      </c>
    </row>
    <row r="46" spans="1:3">
      <c r="A46" s="1077" t="s">
        <v>5765</v>
      </c>
      <c r="B46" s="419">
        <v>37</v>
      </c>
      <c r="C46" s="1205" t="s">
        <v>6103</v>
      </c>
    </row>
    <row r="47" spans="1:3">
      <c r="A47" s="1077" t="s">
        <v>5766</v>
      </c>
      <c r="B47" s="419">
        <v>39</v>
      </c>
      <c r="C47" s="1205" t="s">
        <v>6103</v>
      </c>
    </row>
    <row r="48" spans="1:3">
      <c r="A48" s="1077" t="s">
        <v>5767</v>
      </c>
      <c r="B48" s="419">
        <v>259</v>
      </c>
      <c r="C48" s="1205" t="s">
        <v>6102</v>
      </c>
    </row>
    <row r="49" spans="1:3">
      <c r="A49" s="1077" t="s">
        <v>5768</v>
      </c>
      <c r="B49" s="419">
        <v>40</v>
      </c>
      <c r="C49" s="1205" t="s">
        <v>6104</v>
      </c>
    </row>
    <row r="50" spans="1:3">
      <c r="A50" s="472" t="s">
        <v>7779</v>
      </c>
      <c r="B50" s="419">
        <v>41</v>
      </c>
      <c r="C50" s="1205" t="s">
        <v>6105</v>
      </c>
    </row>
    <row r="51" spans="1:3">
      <c r="A51" s="1077" t="s">
        <v>5770</v>
      </c>
      <c r="B51" s="419">
        <v>42</v>
      </c>
      <c r="C51" s="1205" t="s">
        <v>6104</v>
      </c>
    </row>
    <row r="52" spans="1:3">
      <c r="A52" s="1077" t="s">
        <v>5771</v>
      </c>
      <c r="B52" s="419">
        <v>43</v>
      </c>
      <c r="C52" s="1205" t="s">
        <v>6104</v>
      </c>
    </row>
    <row r="53" spans="1:3">
      <c r="A53" s="1077" t="s">
        <v>5772</v>
      </c>
      <c r="B53" s="419">
        <v>44</v>
      </c>
      <c r="C53" s="1205" t="s">
        <v>6104</v>
      </c>
    </row>
    <row r="54" spans="1:3">
      <c r="A54" s="1077" t="s">
        <v>5773</v>
      </c>
      <c r="B54" s="419">
        <v>45</v>
      </c>
      <c r="C54" s="1205" t="s">
        <v>6104</v>
      </c>
    </row>
    <row r="55" spans="1:3">
      <c r="A55" s="1077" t="s">
        <v>5774</v>
      </c>
      <c r="B55" s="419">
        <v>46</v>
      </c>
      <c r="C55" s="1205" t="s">
        <v>6103</v>
      </c>
    </row>
    <row r="56" spans="1:3">
      <c r="A56" s="1077" t="s">
        <v>5775</v>
      </c>
      <c r="B56" s="419">
        <v>250</v>
      </c>
      <c r="C56" s="1205" t="s">
        <v>6103</v>
      </c>
    </row>
    <row r="57" spans="1:3">
      <c r="A57" s="1077" t="s">
        <v>5776</v>
      </c>
      <c r="B57" s="419">
        <v>47</v>
      </c>
      <c r="C57" s="1205" t="s">
        <v>6101</v>
      </c>
    </row>
    <row r="58" spans="1:3">
      <c r="A58" s="1077" t="s">
        <v>5777</v>
      </c>
      <c r="B58" s="419">
        <v>48</v>
      </c>
      <c r="C58" s="1205" t="s">
        <v>6104</v>
      </c>
    </row>
    <row r="59" spans="1:3">
      <c r="A59" s="1077" t="s">
        <v>5778</v>
      </c>
      <c r="B59" s="419">
        <v>107</v>
      </c>
      <c r="C59" s="1205" t="s">
        <v>6103</v>
      </c>
    </row>
    <row r="60" spans="1:3">
      <c r="A60" s="1077" t="s">
        <v>5779</v>
      </c>
      <c r="B60" s="419">
        <v>98</v>
      </c>
      <c r="C60" s="1205" t="s">
        <v>6099</v>
      </c>
    </row>
    <row r="61" spans="1:3">
      <c r="A61" s="1077" t="s">
        <v>5780</v>
      </c>
      <c r="B61" s="419">
        <v>49</v>
      </c>
      <c r="C61" s="1205" t="s">
        <v>6104</v>
      </c>
    </row>
    <row r="62" spans="1:3">
      <c r="A62" s="1077" t="s">
        <v>5781</v>
      </c>
      <c r="B62" s="419">
        <v>50</v>
      </c>
      <c r="C62" s="1205" t="s">
        <v>6102</v>
      </c>
    </row>
    <row r="63" spans="1:3">
      <c r="A63" s="1077" t="s">
        <v>5782</v>
      </c>
      <c r="B63" s="419">
        <v>167</v>
      </c>
      <c r="C63" s="1205" t="s">
        <v>6099</v>
      </c>
    </row>
    <row r="64" spans="1:3">
      <c r="A64" s="1077" t="s">
        <v>5783</v>
      </c>
      <c r="B64" s="419">
        <v>51</v>
      </c>
      <c r="C64" s="1205" t="s">
        <v>6099</v>
      </c>
    </row>
    <row r="65" spans="1:3">
      <c r="A65" s="1077" t="s">
        <v>5784</v>
      </c>
      <c r="B65" s="419">
        <v>54</v>
      </c>
      <c r="C65" s="1205" t="s">
        <v>6102</v>
      </c>
    </row>
    <row r="66" spans="1:3">
      <c r="A66" s="1077" t="s">
        <v>5785</v>
      </c>
      <c r="B66" s="419">
        <v>72</v>
      </c>
      <c r="C66" s="1205" t="s">
        <v>6103</v>
      </c>
    </row>
    <row r="67" spans="1:3">
      <c r="A67" s="1077" t="s">
        <v>5786</v>
      </c>
      <c r="B67" s="419">
        <v>55</v>
      </c>
      <c r="C67" s="1205" t="s">
        <v>6104</v>
      </c>
    </row>
    <row r="68" spans="1:3">
      <c r="A68" s="1077" t="s">
        <v>5787</v>
      </c>
      <c r="B68" s="419">
        <v>56</v>
      </c>
      <c r="C68" s="1205" t="s">
        <v>6104</v>
      </c>
    </row>
    <row r="69" spans="1:3">
      <c r="A69" s="1077" t="s">
        <v>5788</v>
      </c>
      <c r="B69" s="419">
        <v>58</v>
      </c>
      <c r="C69" s="1205" t="s">
        <v>6104</v>
      </c>
    </row>
    <row r="70" spans="1:3">
      <c r="A70" s="1077" t="s">
        <v>5789</v>
      </c>
      <c r="B70" s="419">
        <v>59</v>
      </c>
      <c r="C70" s="1205" t="s">
        <v>6100</v>
      </c>
    </row>
    <row r="71" spans="1:3">
      <c r="A71" s="1077" t="s">
        <v>5790</v>
      </c>
      <c r="B71" s="419">
        <v>60</v>
      </c>
      <c r="C71" s="1205" t="s">
        <v>6104</v>
      </c>
    </row>
    <row r="72" spans="1:3">
      <c r="A72" s="1077" t="s">
        <v>5791</v>
      </c>
      <c r="B72" s="419">
        <v>61</v>
      </c>
      <c r="C72" s="1205" t="s">
        <v>6103</v>
      </c>
    </row>
    <row r="73" spans="1:3">
      <c r="A73" s="1077" t="s">
        <v>5792</v>
      </c>
      <c r="B73" s="419">
        <v>178</v>
      </c>
      <c r="C73" s="1205" t="s">
        <v>6103</v>
      </c>
    </row>
    <row r="74" spans="1:3">
      <c r="A74" s="1077" t="s">
        <v>5793</v>
      </c>
      <c r="B74" s="419">
        <v>63</v>
      </c>
      <c r="C74" s="1205" t="s">
        <v>6099</v>
      </c>
    </row>
    <row r="75" spans="1:3">
      <c r="A75" s="1077" t="s">
        <v>5794</v>
      </c>
      <c r="B75" s="419">
        <v>238</v>
      </c>
      <c r="C75" s="1205" t="s">
        <v>6103</v>
      </c>
    </row>
    <row r="76" spans="1:3">
      <c r="A76" s="1077" t="s">
        <v>5795</v>
      </c>
      <c r="B76" s="419">
        <v>62</v>
      </c>
      <c r="C76" s="1205" t="s">
        <v>6103</v>
      </c>
    </row>
    <row r="77" spans="1:3">
      <c r="A77" s="1077" t="s">
        <v>5796</v>
      </c>
      <c r="B77" s="419">
        <v>65</v>
      </c>
      <c r="C77" s="1205" t="s">
        <v>6104</v>
      </c>
    </row>
    <row r="78" spans="1:3">
      <c r="A78" s="1077" t="s">
        <v>5797</v>
      </c>
      <c r="B78" s="419">
        <v>64</v>
      </c>
      <c r="C78" s="1205" t="s">
        <v>6102</v>
      </c>
    </row>
    <row r="79" spans="1:3">
      <c r="A79" s="1077" t="s">
        <v>5798</v>
      </c>
      <c r="B79" s="419">
        <v>66</v>
      </c>
      <c r="C79" s="1205" t="s">
        <v>6101</v>
      </c>
    </row>
    <row r="80" spans="1:3">
      <c r="A80" s="1077" t="s">
        <v>5799</v>
      </c>
      <c r="B80" s="419">
        <v>67</v>
      </c>
      <c r="C80" s="1205" t="s">
        <v>6102</v>
      </c>
    </row>
    <row r="81" spans="1:3">
      <c r="A81" s="1077" t="s">
        <v>5800</v>
      </c>
      <c r="B81" s="419">
        <v>68</v>
      </c>
      <c r="C81" s="1205" t="s">
        <v>6102</v>
      </c>
    </row>
    <row r="82" spans="1:3">
      <c r="A82" s="1077" t="s">
        <v>5801</v>
      </c>
      <c r="B82" s="419">
        <v>69</v>
      </c>
      <c r="C82" s="1205" t="s">
        <v>6104</v>
      </c>
    </row>
    <row r="83" spans="1:3">
      <c r="A83" s="1077" t="s">
        <v>5802</v>
      </c>
      <c r="B83" s="419">
        <v>70</v>
      </c>
      <c r="C83" s="1205" t="s">
        <v>6104</v>
      </c>
    </row>
    <row r="84" spans="1:3">
      <c r="A84" s="1077" t="s">
        <v>5803</v>
      </c>
      <c r="B84" s="419">
        <v>74</v>
      </c>
      <c r="C84" s="1205" t="s">
        <v>6103</v>
      </c>
    </row>
    <row r="85" spans="1:3">
      <c r="A85" s="1077" t="s">
        <v>5804</v>
      </c>
      <c r="B85" s="419">
        <v>75</v>
      </c>
      <c r="C85" s="1205" t="s">
        <v>6103</v>
      </c>
    </row>
    <row r="86" spans="1:3">
      <c r="A86" s="1077" t="s">
        <v>5805</v>
      </c>
      <c r="B86" s="419">
        <v>73</v>
      </c>
      <c r="C86" s="1205" t="s">
        <v>6100</v>
      </c>
    </row>
    <row r="87" spans="1:3">
      <c r="A87" s="1077" t="s">
        <v>5806</v>
      </c>
      <c r="B87" s="419">
        <v>79</v>
      </c>
      <c r="C87" s="1205" t="s">
        <v>6102</v>
      </c>
    </row>
    <row r="88" spans="1:3">
      <c r="A88" s="1077" t="s">
        <v>5807</v>
      </c>
      <c r="B88" s="419">
        <v>81</v>
      </c>
      <c r="C88" s="1205" t="s">
        <v>6103</v>
      </c>
    </row>
    <row r="89" spans="1:3">
      <c r="A89" s="1077" t="s">
        <v>5808</v>
      </c>
      <c r="B89" s="419">
        <v>82</v>
      </c>
      <c r="C89" s="1205" t="s">
        <v>6102</v>
      </c>
    </row>
    <row r="90" spans="1:3">
      <c r="A90" s="1077" t="s">
        <v>5809</v>
      </c>
      <c r="B90" s="419">
        <v>84</v>
      </c>
      <c r="C90" s="1205" t="s">
        <v>6102</v>
      </c>
    </row>
    <row r="91" spans="1:3">
      <c r="A91" s="1077" t="s">
        <v>5810</v>
      </c>
      <c r="B91" s="419">
        <v>85</v>
      </c>
      <c r="C91" s="1205" t="s">
        <v>6101</v>
      </c>
    </row>
    <row r="92" spans="1:3">
      <c r="A92" s="1077" t="s">
        <v>5811</v>
      </c>
      <c r="B92" s="419">
        <v>86</v>
      </c>
      <c r="C92" s="1205" t="s">
        <v>6104</v>
      </c>
    </row>
    <row r="93" spans="1:3">
      <c r="A93" s="1077" t="s">
        <v>5812</v>
      </c>
      <c r="B93" s="419">
        <v>87</v>
      </c>
      <c r="C93" s="1205" t="s">
        <v>6104</v>
      </c>
    </row>
    <row r="94" spans="1:3">
      <c r="A94" s="1077" t="s">
        <v>5813</v>
      </c>
      <c r="B94" s="419">
        <v>88</v>
      </c>
      <c r="C94" s="1205" t="s">
        <v>6104</v>
      </c>
    </row>
    <row r="95" spans="1:3">
      <c r="A95" s="1077" t="s">
        <v>5814</v>
      </c>
      <c r="B95" s="419">
        <v>89</v>
      </c>
      <c r="C95" s="1205" t="s">
        <v>6104</v>
      </c>
    </row>
    <row r="96" spans="1:3">
      <c r="A96" s="1077" t="s">
        <v>5815</v>
      </c>
      <c r="B96" s="419">
        <v>90</v>
      </c>
      <c r="C96" s="1205" t="s">
        <v>6103</v>
      </c>
    </row>
    <row r="97" spans="1:3">
      <c r="A97" s="1077" t="s">
        <v>5816</v>
      </c>
      <c r="B97" s="419">
        <v>175</v>
      </c>
      <c r="C97" s="1205" t="s">
        <v>6103</v>
      </c>
    </row>
    <row r="98" spans="1:3">
      <c r="A98" s="1077" t="s">
        <v>5817</v>
      </c>
      <c r="B98" s="419">
        <v>91</v>
      </c>
      <c r="C98" s="1205" t="s">
        <v>6104</v>
      </c>
    </row>
    <row r="99" spans="1:3">
      <c r="A99" s="1077" t="s">
        <v>5818</v>
      </c>
      <c r="B99" s="419">
        <v>93</v>
      </c>
      <c r="C99" s="1205" t="s">
        <v>6104</v>
      </c>
    </row>
    <row r="100" spans="1:3">
      <c r="A100" s="1077" t="s">
        <v>5819</v>
      </c>
      <c r="B100" s="419">
        <v>94</v>
      </c>
      <c r="C100" s="1205" t="s">
        <v>6102</v>
      </c>
    </row>
    <row r="101" spans="1:3">
      <c r="A101" s="1077" t="s">
        <v>5820</v>
      </c>
      <c r="B101" s="419">
        <v>95</v>
      </c>
      <c r="C101" s="1205" t="s">
        <v>6104</v>
      </c>
    </row>
    <row r="102" spans="1:3">
      <c r="A102" s="1026" t="s">
        <v>7781</v>
      </c>
      <c r="B102" s="419">
        <v>96</v>
      </c>
      <c r="C102" s="1205" t="s">
        <v>6105</v>
      </c>
    </row>
    <row r="103" spans="1:3">
      <c r="A103" s="1077" t="s">
        <v>5821</v>
      </c>
      <c r="B103" s="419">
        <v>97</v>
      </c>
      <c r="C103" s="1205" t="s">
        <v>6099</v>
      </c>
    </row>
    <row r="104" spans="1:3">
      <c r="A104" s="1077" t="s">
        <v>5822</v>
      </c>
      <c r="B104" s="419">
        <v>99</v>
      </c>
      <c r="C104" s="1205" t="s">
        <v>6102</v>
      </c>
    </row>
    <row r="105" spans="1:3">
      <c r="A105" s="1077" t="s">
        <v>5823</v>
      </c>
      <c r="B105" s="419">
        <v>100</v>
      </c>
      <c r="C105" s="1205" t="s">
        <v>6098</v>
      </c>
    </row>
    <row r="106" spans="1:3">
      <c r="A106" s="1077" t="s">
        <v>5824</v>
      </c>
      <c r="B106" s="419">
        <v>101</v>
      </c>
      <c r="C106" s="1205" t="s">
        <v>6098</v>
      </c>
    </row>
    <row r="107" spans="1:3">
      <c r="A107" s="1077" t="s">
        <v>5825</v>
      </c>
      <c r="B107" s="419">
        <v>102</v>
      </c>
      <c r="C107" s="1205" t="s">
        <v>6098</v>
      </c>
    </row>
    <row r="108" spans="1:3">
      <c r="A108" s="1077" t="s">
        <v>5826</v>
      </c>
      <c r="B108" s="419">
        <v>103</v>
      </c>
      <c r="C108" s="1205" t="s">
        <v>6100</v>
      </c>
    </row>
    <row r="109" spans="1:3">
      <c r="A109" s="1077" t="s">
        <v>5827</v>
      </c>
      <c r="B109" s="419">
        <v>104</v>
      </c>
      <c r="C109" s="1205" t="s">
        <v>6102</v>
      </c>
    </row>
    <row r="110" spans="1:3">
      <c r="A110" s="1077" t="s">
        <v>5828</v>
      </c>
      <c r="B110" s="419">
        <v>264</v>
      </c>
      <c r="C110" s="1205" t="s">
        <v>6102</v>
      </c>
    </row>
    <row r="111" spans="1:3">
      <c r="A111" s="1077" t="s">
        <v>5829</v>
      </c>
      <c r="B111" s="419">
        <v>105</v>
      </c>
      <c r="C111" s="1205" t="s">
        <v>6100</v>
      </c>
    </row>
    <row r="112" spans="1:3">
      <c r="A112" s="1077" t="s">
        <v>5830</v>
      </c>
      <c r="B112" s="419">
        <v>106</v>
      </c>
      <c r="C112" s="1205" t="s">
        <v>6102</v>
      </c>
    </row>
    <row r="113" spans="1:3">
      <c r="A113" s="1077" t="s">
        <v>5831</v>
      </c>
      <c r="B113" s="419">
        <v>109</v>
      </c>
      <c r="C113" s="1205" t="s">
        <v>6104</v>
      </c>
    </row>
    <row r="114" spans="1:3">
      <c r="A114" s="1077" t="s">
        <v>5832</v>
      </c>
      <c r="B114" s="419">
        <v>110</v>
      </c>
      <c r="C114" s="1205" t="s">
        <v>6105</v>
      </c>
    </row>
    <row r="115" spans="1:3">
      <c r="A115" s="1077" t="s">
        <v>5833</v>
      </c>
      <c r="B115" s="419">
        <v>112</v>
      </c>
      <c r="C115" s="1205" t="s">
        <v>6100</v>
      </c>
    </row>
    <row r="116" spans="1:3">
      <c r="A116" s="1077" t="s">
        <v>5834</v>
      </c>
      <c r="B116" s="419">
        <v>108</v>
      </c>
      <c r="C116" s="1205" t="s">
        <v>6098</v>
      </c>
    </row>
    <row r="117" spans="1:3">
      <c r="A117" s="1077" t="s">
        <v>5836</v>
      </c>
      <c r="B117" s="419">
        <v>114</v>
      </c>
      <c r="C117" s="1205" t="s">
        <v>6101</v>
      </c>
    </row>
    <row r="118" spans="1:3">
      <c r="A118" s="1077" t="s">
        <v>5835</v>
      </c>
      <c r="B118" s="419">
        <v>83</v>
      </c>
      <c r="C118" s="1205" t="s">
        <v>6103</v>
      </c>
    </row>
    <row r="119" spans="1:3">
      <c r="A119" s="1077" t="s">
        <v>5837</v>
      </c>
      <c r="B119" s="419">
        <v>116</v>
      </c>
      <c r="C119" s="1205" t="s">
        <v>6105</v>
      </c>
    </row>
    <row r="120" spans="1:3">
      <c r="A120" s="1077" t="s">
        <v>5838</v>
      </c>
      <c r="B120" s="419">
        <v>117</v>
      </c>
      <c r="C120" s="1205" t="s">
        <v>6105</v>
      </c>
    </row>
    <row r="121" spans="1:3">
      <c r="A121" s="1077" t="s">
        <v>5839</v>
      </c>
      <c r="B121" s="419">
        <v>118</v>
      </c>
      <c r="C121" s="1205" t="s">
        <v>6100</v>
      </c>
    </row>
    <row r="122" spans="1:3">
      <c r="A122" s="1077" t="s">
        <v>5840</v>
      </c>
      <c r="B122" s="419">
        <v>113</v>
      </c>
      <c r="C122" s="1205" t="s">
        <v>6098</v>
      </c>
    </row>
    <row r="123" spans="1:3">
      <c r="A123" s="1077" t="s">
        <v>5841</v>
      </c>
      <c r="B123" s="419">
        <v>120</v>
      </c>
      <c r="C123" s="1205" t="s">
        <v>6098</v>
      </c>
    </row>
    <row r="124" spans="1:3">
      <c r="A124" s="1077" t="s">
        <v>5842</v>
      </c>
      <c r="B124" s="419">
        <v>119</v>
      </c>
      <c r="C124" s="1205" t="s">
        <v>6099</v>
      </c>
    </row>
    <row r="125" spans="1:3">
      <c r="A125" s="1077" t="s">
        <v>5843</v>
      </c>
      <c r="B125" s="419">
        <v>121</v>
      </c>
      <c r="C125" s="1205" t="s">
        <v>6100</v>
      </c>
    </row>
    <row r="126" spans="1:3">
      <c r="A126" s="1077" t="s">
        <v>5844</v>
      </c>
      <c r="B126" s="419">
        <v>122</v>
      </c>
      <c r="C126" s="1205" t="s">
        <v>6103</v>
      </c>
    </row>
    <row r="127" spans="1:3">
      <c r="A127" s="1077" t="s">
        <v>5845</v>
      </c>
      <c r="B127" s="419">
        <v>123</v>
      </c>
      <c r="C127" s="1205" t="s">
        <v>6103</v>
      </c>
    </row>
    <row r="128" spans="1:3">
      <c r="A128" s="1077" t="s">
        <v>5846</v>
      </c>
      <c r="B128" s="419">
        <v>124</v>
      </c>
      <c r="C128" s="1205" t="s">
        <v>6100</v>
      </c>
    </row>
    <row r="129" spans="1:3">
      <c r="A129" s="1077" t="s">
        <v>5847</v>
      </c>
      <c r="B129" s="419">
        <v>125</v>
      </c>
      <c r="C129" s="1205" t="s">
        <v>6102</v>
      </c>
    </row>
    <row r="130" spans="1:3">
      <c r="A130" s="1077" t="s">
        <v>5848</v>
      </c>
      <c r="B130" s="419">
        <v>126</v>
      </c>
      <c r="C130" s="1205" t="s">
        <v>6099</v>
      </c>
    </row>
    <row r="131" spans="1:3">
      <c r="A131" s="1077" t="s">
        <v>5849</v>
      </c>
      <c r="B131" s="419">
        <v>256</v>
      </c>
      <c r="C131" s="1205" t="s">
        <v>6102</v>
      </c>
    </row>
    <row r="132" spans="1:3">
      <c r="A132" s="1026" t="s">
        <v>7782</v>
      </c>
      <c r="B132" s="1027">
        <v>128</v>
      </c>
      <c r="C132" s="1205" t="s">
        <v>6105</v>
      </c>
    </row>
    <row r="133" spans="1:3">
      <c r="A133" s="1077" t="s">
        <v>5850</v>
      </c>
      <c r="B133" s="419">
        <v>154</v>
      </c>
      <c r="C133" s="1205" t="s">
        <v>6099</v>
      </c>
    </row>
    <row r="134" spans="1:3">
      <c r="A134" s="1077" t="s">
        <v>5851</v>
      </c>
      <c r="B134" s="419">
        <v>129</v>
      </c>
      <c r="C134" s="1205" t="s">
        <v>6103</v>
      </c>
    </row>
    <row r="135" spans="1:3">
      <c r="A135" s="1077" t="s">
        <v>5852</v>
      </c>
      <c r="B135" s="419">
        <v>130</v>
      </c>
      <c r="C135" s="1205" t="s">
        <v>6103</v>
      </c>
    </row>
    <row r="136" spans="1:3">
      <c r="A136" s="1077" t="s">
        <v>5853</v>
      </c>
      <c r="B136" s="419">
        <v>131</v>
      </c>
      <c r="C136" s="1205" t="s">
        <v>6098</v>
      </c>
    </row>
    <row r="137" spans="1:3">
      <c r="A137" s="1077" t="s">
        <v>5854</v>
      </c>
      <c r="B137" s="419">
        <v>132</v>
      </c>
      <c r="C137" s="1205" t="s">
        <v>6098</v>
      </c>
    </row>
    <row r="138" spans="1:3">
      <c r="A138" s="1077" t="s">
        <v>5855</v>
      </c>
      <c r="B138" s="419">
        <v>133</v>
      </c>
      <c r="C138" s="1205" t="s">
        <v>6103</v>
      </c>
    </row>
    <row r="139" spans="1:3">
      <c r="A139" s="1077" t="s">
        <v>5856</v>
      </c>
      <c r="B139" s="419">
        <v>134</v>
      </c>
      <c r="C139" s="1205" t="s">
        <v>6102</v>
      </c>
    </row>
    <row r="140" spans="1:3">
      <c r="A140" s="1077" t="s">
        <v>5857</v>
      </c>
      <c r="B140" s="419">
        <v>127</v>
      </c>
      <c r="C140" s="1205" t="s">
        <v>6101</v>
      </c>
    </row>
    <row r="141" spans="1:3">
      <c r="A141" s="1077" t="s">
        <v>5858</v>
      </c>
      <c r="B141" s="419">
        <v>135</v>
      </c>
      <c r="C141" s="1205" t="s">
        <v>6104</v>
      </c>
    </row>
    <row r="142" spans="1:3">
      <c r="A142" s="1077" t="s">
        <v>5859</v>
      </c>
      <c r="B142" s="419">
        <v>136</v>
      </c>
      <c r="C142" s="1205" t="s">
        <v>6103</v>
      </c>
    </row>
    <row r="143" spans="1:3">
      <c r="A143" s="1077" t="s">
        <v>5860</v>
      </c>
      <c r="B143" s="419">
        <v>137</v>
      </c>
      <c r="C143" s="1205" t="s">
        <v>6098</v>
      </c>
    </row>
    <row r="144" spans="1:3">
      <c r="A144" s="1077" t="s">
        <v>5861</v>
      </c>
      <c r="B144" s="419">
        <v>270</v>
      </c>
      <c r="C144" s="1205" t="s">
        <v>6104</v>
      </c>
    </row>
    <row r="145" spans="1:3">
      <c r="A145" s="1077" t="s">
        <v>5862</v>
      </c>
      <c r="B145" s="419">
        <v>138</v>
      </c>
      <c r="C145" s="1205" t="s">
        <v>6104</v>
      </c>
    </row>
    <row r="146" spans="1:3">
      <c r="A146" s="1077" t="s">
        <v>5863</v>
      </c>
      <c r="B146" s="419">
        <v>145</v>
      </c>
      <c r="C146" s="1205" t="s">
        <v>6101</v>
      </c>
    </row>
    <row r="147" spans="1:3">
      <c r="A147" s="1077" t="s">
        <v>5864</v>
      </c>
      <c r="B147" s="419">
        <v>146</v>
      </c>
      <c r="C147" s="1205" t="s">
        <v>6099</v>
      </c>
    </row>
    <row r="148" spans="1:3">
      <c r="A148" s="1077" t="s">
        <v>6151</v>
      </c>
      <c r="B148" s="419">
        <v>140</v>
      </c>
      <c r="C148" s="1205" t="s">
        <v>6102</v>
      </c>
    </row>
    <row r="149" spans="1:3">
      <c r="A149" s="1077" t="s">
        <v>5865</v>
      </c>
      <c r="B149" s="419">
        <v>141</v>
      </c>
      <c r="C149" s="1205" t="s">
        <v>6105</v>
      </c>
    </row>
    <row r="150" spans="1:3">
      <c r="A150" s="1077" t="s">
        <v>5866</v>
      </c>
      <c r="B150" s="419">
        <v>273</v>
      </c>
      <c r="C150" s="1205" t="s">
        <v>6099</v>
      </c>
    </row>
    <row r="151" spans="1:3">
      <c r="A151" s="1077" t="s">
        <v>5867</v>
      </c>
      <c r="B151" s="419">
        <v>142</v>
      </c>
      <c r="C151" s="1205" t="s">
        <v>6104</v>
      </c>
    </row>
    <row r="152" spans="1:3">
      <c r="A152" s="1077" t="s">
        <v>5868</v>
      </c>
      <c r="B152" s="419">
        <v>143</v>
      </c>
      <c r="C152" s="1205" t="s">
        <v>6100</v>
      </c>
    </row>
    <row r="153" spans="1:3">
      <c r="A153" s="1077" t="s">
        <v>5869</v>
      </c>
      <c r="B153" s="419">
        <v>144</v>
      </c>
      <c r="C153" s="1205" t="s">
        <v>6103</v>
      </c>
    </row>
    <row r="154" spans="1:3">
      <c r="A154" s="1077" t="s">
        <v>5870</v>
      </c>
      <c r="B154" s="419">
        <v>28</v>
      </c>
      <c r="C154" s="1205" t="s">
        <v>6098</v>
      </c>
    </row>
    <row r="155" spans="1:3">
      <c r="A155" s="1077" t="s">
        <v>5871</v>
      </c>
      <c r="B155" s="419">
        <v>147</v>
      </c>
      <c r="C155" s="1205" t="s">
        <v>6103</v>
      </c>
    </row>
    <row r="156" spans="1:3">
      <c r="A156" s="1077" t="s">
        <v>5872</v>
      </c>
      <c r="B156" s="419">
        <v>148</v>
      </c>
      <c r="C156" s="1205" t="s">
        <v>6101</v>
      </c>
    </row>
    <row r="157" spans="1:3">
      <c r="A157" s="1077" t="s">
        <v>5873</v>
      </c>
      <c r="B157" s="419">
        <v>149</v>
      </c>
      <c r="C157" s="1205" t="s">
        <v>6098</v>
      </c>
    </row>
    <row r="158" spans="1:3">
      <c r="A158" s="1077" t="s">
        <v>5874</v>
      </c>
      <c r="B158" s="419">
        <v>150</v>
      </c>
      <c r="C158" s="1205" t="s">
        <v>6102</v>
      </c>
    </row>
    <row r="159" spans="1:3">
      <c r="A159" s="1077" t="s">
        <v>5875</v>
      </c>
      <c r="B159" s="419">
        <v>151</v>
      </c>
      <c r="C159" s="1205" t="s">
        <v>6101</v>
      </c>
    </row>
    <row r="160" spans="1:3">
      <c r="A160" s="1077" t="s">
        <v>5876</v>
      </c>
      <c r="B160" s="419">
        <v>153</v>
      </c>
      <c r="C160" s="1205" t="s">
        <v>6104</v>
      </c>
    </row>
    <row r="161" spans="1:3">
      <c r="A161" s="1077" t="s">
        <v>5877</v>
      </c>
      <c r="B161" s="419">
        <v>156</v>
      </c>
      <c r="C161" s="1205" t="s">
        <v>6101</v>
      </c>
    </row>
    <row r="162" spans="1:3">
      <c r="A162" s="1077" t="s">
        <v>5878</v>
      </c>
      <c r="B162" s="419">
        <v>157</v>
      </c>
      <c r="C162" s="1205" t="s">
        <v>6104</v>
      </c>
    </row>
    <row r="163" spans="1:3">
      <c r="A163" s="1077" t="s">
        <v>5879</v>
      </c>
      <c r="B163" s="419">
        <v>158</v>
      </c>
      <c r="C163" s="1205" t="s">
        <v>6103</v>
      </c>
    </row>
    <row r="164" spans="1:3">
      <c r="A164" s="1077" t="s">
        <v>5880</v>
      </c>
      <c r="B164" s="419">
        <v>159</v>
      </c>
      <c r="C164" s="1205" t="s">
        <v>6103</v>
      </c>
    </row>
    <row r="165" spans="1:3">
      <c r="A165" s="1077" t="s">
        <v>5881</v>
      </c>
      <c r="B165" s="419">
        <v>160</v>
      </c>
      <c r="C165" s="1205" t="s">
        <v>6101</v>
      </c>
    </row>
    <row r="166" spans="1:3">
      <c r="A166" s="1077" t="s">
        <v>5882</v>
      </c>
      <c r="B166" s="419">
        <v>161</v>
      </c>
      <c r="C166" s="1205" t="s">
        <v>6104</v>
      </c>
    </row>
    <row r="167" spans="1:3">
      <c r="A167" s="1077" t="s">
        <v>5883</v>
      </c>
      <c r="B167" s="419">
        <v>163</v>
      </c>
      <c r="C167" s="1205" t="s">
        <v>6104</v>
      </c>
    </row>
    <row r="168" spans="1:3">
      <c r="A168" s="1077" t="s">
        <v>5884</v>
      </c>
      <c r="B168" s="419">
        <v>162</v>
      </c>
      <c r="C168" s="1205" t="s">
        <v>6102</v>
      </c>
    </row>
    <row r="169" spans="1:3">
      <c r="A169" s="1077" t="s">
        <v>5885</v>
      </c>
      <c r="B169" s="419">
        <v>299</v>
      </c>
      <c r="C169" s="1205" t="s">
        <v>6100</v>
      </c>
    </row>
    <row r="170" spans="1:3">
      <c r="A170" s="1077" t="s">
        <v>5886</v>
      </c>
      <c r="B170" s="419">
        <v>221</v>
      </c>
      <c r="C170" s="1205" t="s">
        <v>6100</v>
      </c>
    </row>
    <row r="171" spans="1:3">
      <c r="A171" s="1077" t="s">
        <v>6152</v>
      </c>
      <c r="B171" s="419">
        <v>164</v>
      </c>
      <c r="C171" s="1205" t="s">
        <v>6101</v>
      </c>
    </row>
    <row r="172" spans="1:3">
      <c r="A172" s="1077" t="s">
        <v>5888</v>
      </c>
      <c r="B172" s="419">
        <v>165</v>
      </c>
      <c r="C172" s="1205" t="s">
        <v>6098</v>
      </c>
    </row>
    <row r="173" spans="1:3">
      <c r="A173" s="1077" t="s">
        <v>5889</v>
      </c>
      <c r="B173" s="419">
        <v>180</v>
      </c>
      <c r="C173" s="1205" t="s">
        <v>6101</v>
      </c>
    </row>
    <row r="174" spans="1:3">
      <c r="A174" s="1077" t="s">
        <v>5890</v>
      </c>
      <c r="B174" s="419">
        <v>166</v>
      </c>
      <c r="C174" s="1205" t="s">
        <v>6104</v>
      </c>
    </row>
    <row r="175" spans="1:3">
      <c r="A175" s="1077" t="s">
        <v>5891</v>
      </c>
      <c r="B175" s="419">
        <v>168</v>
      </c>
      <c r="C175" s="1205" t="s">
        <v>6098</v>
      </c>
    </row>
    <row r="176" spans="1:3">
      <c r="A176" s="1077" t="s">
        <v>5892</v>
      </c>
      <c r="B176" s="419">
        <v>169</v>
      </c>
      <c r="C176" s="1205" t="s">
        <v>6104</v>
      </c>
    </row>
    <row r="177" spans="1:3">
      <c r="A177" s="1077" t="s">
        <v>5893</v>
      </c>
      <c r="B177" s="419">
        <v>170</v>
      </c>
      <c r="C177" s="1205" t="s">
        <v>6104</v>
      </c>
    </row>
    <row r="178" spans="1:3">
      <c r="A178" s="1077" t="s">
        <v>5894</v>
      </c>
      <c r="B178" s="419">
        <v>171</v>
      </c>
      <c r="C178" s="1205" t="s">
        <v>6098</v>
      </c>
    </row>
    <row r="179" spans="1:3">
      <c r="A179" s="1077" t="s">
        <v>5895</v>
      </c>
      <c r="B179" s="419">
        <v>172</v>
      </c>
      <c r="C179" s="1205" t="s">
        <v>6104</v>
      </c>
    </row>
    <row r="180" spans="1:3">
      <c r="A180" s="1077" t="s">
        <v>5896</v>
      </c>
      <c r="B180" s="419">
        <v>173</v>
      </c>
      <c r="C180" s="1205" t="s">
        <v>6099</v>
      </c>
    </row>
    <row r="181" spans="1:3">
      <c r="A181" s="1077" t="s">
        <v>5897</v>
      </c>
      <c r="B181" s="419">
        <v>174</v>
      </c>
      <c r="C181" s="1205" t="s">
        <v>6102</v>
      </c>
    </row>
    <row r="182" spans="1:3">
      <c r="A182" s="1077" t="s">
        <v>5898</v>
      </c>
      <c r="B182" s="419">
        <v>177</v>
      </c>
      <c r="C182" s="1205" t="s">
        <v>6104</v>
      </c>
    </row>
    <row r="183" spans="1:3">
      <c r="A183" s="1077" t="s">
        <v>5899</v>
      </c>
      <c r="B183" s="419">
        <v>179</v>
      </c>
      <c r="C183" s="1205" t="s">
        <v>6100</v>
      </c>
    </row>
    <row r="184" spans="1:3">
      <c r="A184" s="1077" t="s">
        <v>5900</v>
      </c>
      <c r="B184" s="419">
        <v>182</v>
      </c>
      <c r="C184" s="1205" t="s">
        <v>6104</v>
      </c>
    </row>
    <row r="185" spans="1:3">
      <c r="A185" s="1077" t="s">
        <v>5901</v>
      </c>
      <c r="B185" s="419">
        <v>183</v>
      </c>
      <c r="C185" s="1205" t="s">
        <v>6099</v>
      </c>
    </row>
    <row r="186" spans="1:3">
      <c r="A186" s="1077" t="s">
        <v>5902</v>
      </c>
      <c r="B186" s="419">
        <v>185</v>
      </c>
      <c r="C186" s="1205" t="s">
        <v>6098</v>
      </c>
    </row>
    <row r="187" spans="1:3">
      <c r="A187" s="1077" t="s">
        <v>5903</v>
      </c>
      <c r="B187" s="419">
        <v>184</v>
      </c>
      <c r="C187" s="1205" t="s">
        <v>6103</v>
      </c>
    </row>
    <row r="188" spans="1:3">
      <c r="A188" s="1077" t="s">
        <v>5909</v>
      </c>
      <c r="B188" s="419">
        <v>244</v>
      </c>
      <c r="C188" s="1205" t="s">
        <v>6101</v>
      </c>
    </row>
    <row r="189" spans="1:3">
      <c r="A189" s="1077" t="s">
        <v>5910</v>
      </c>
      <c r="B189" s="419">
        <v>192</v>
      </c>
      <c r="C189" s="1205" t="s">
        <v>6102</v>
      </c>
    </row>
    <row r="190" spans="1:3">
      <c r="A190" s="1077" t="s">
        <v>5911</v>
      </c>
      <c r="B190" s="419">
        <v>193</v>
      </c>
      <c r="C190" s="1205" t="s">
        <v>6103</v>
      </c>
    </row>
    <row r="191" spans="1:3">
      <c r="A191" s="1077" t="s">
        <v>5912</v>
      </c>
      <c r="B191" s="419">
        <v>194</v>
      </c>
      <c r="C191" s="1205" t="s">
        <v>6100</v>
      </c>
    </row>
    <row r="192" spans="1:3">
      <c r="A192" s="1077" t="s">
        <v>5913</v>
      </c>
      <c r="B192" s="419">
        <v>195</v>
      </c>
      <c r="C192" s="1205" t="s">
        <v>6103</v>
      </c>
    </row>
    <row r="193" spans="1:3">
      <c r="A193" s="1077" t="s">
        <v>5914</v>
      </c>
      <c r="B193" s="419">
        <v>272</v>
      </c>
      <c r="C193" s="1205" t="s">
        <v>6099</v>
      </c>
    </row>
    <row r="194" spans="1:3">
      <c r="A194" s="1077" t="s">
        <v>5915</v>
      </c>
      <c r="B194" s="419">
        <v>186</v>
      </c>
      <c r="C194" s="1205" t="s">
        <v>6099</v>
      </c>
    </row>
    <row r="195" spans="1:3">
      <c r="A195" s="1077" t="s">
        <v>5916</v>
      </c>
      <c r="B195" s="419">
        <v>196</v>
      </c>
      <c r="C195" s="1205" t="s">
        <v>6103</v>
      </c>
    </row>
    <row r="196" spans="1:3">
      <c r="A196" s="1077" t="s">
        <v>5917</v>
      </c>
      <c r="B196" s="419">
        <v>197</v>
      </c>
      <c r="C196" s="1205" t="s">
        <v>6103</v>
      </c>
    </row>
    <row r="197" spans="1:3">
      <c r="A197" s="1077" t="s">
        <v>5918</v>
      </c>
      <c r="B197" s="419">
        <v>200</v>
      </c>
      <c r="C197" s="1205" t="s">
        <v>6098</v>
      </c>
    </row>
    <row r="198" spans="1:3">
      <c r="A198" s="1077" t="s">
        <v>5919</v>
      </c>
      <c r="B198" s="419">
        <v>199</v>
      </c>
      <c r="C198" s="1205" t="s">
        <v>6099</v>
      </c>
    </row>
    <row r="199" spans="1:3">
      <c r="A199" s="1077" t="s">
        <v>5920</v>
      </c>
      <c r="B199" s="419">
        <v>198</v>
      </c>
      <c r="C199" s="1205" t="s">
        <v>6099</v>
      </c>
    </row>
    <row r="200" spans="1:3">
      <c r="A200" s="1077" t="s">
        <v>5921</v>
      </c>
      <c r="B200" s="419">
        <v>25</v>
      </c>
      <c r="C200" s="1205" t="s">
        <v>6101</v>
      </c>
    </row>
    <row r="201" spans="1:3">
      <c r="A201" s="1077" t="s">
        <v>5922</v>
      </c>
      <c r="B201" s="419">
        <v>201</v>
      </c>
      <c r="C201" s="1205" t="s">
        <v>6103</v>
      </c>
    </row>
    <row r="202" spans="1:3">
      <c r="A202" s="1077" t="s">
        <v>5923</v>
      </c>
      <c r="B202" s="419">
        <v>202</v>
      </c>
      <c r="C202" s="1205" t="s">
        <v>6103</v>
      </c>
    </row>
    <row r="203" spans="1:3">
      <c r="A203" s="1077" t="s">
        <v>5924</v>
      </c>
      <c r="B203" s="419">
        <v>203</v>
      </c>
      <c r="C203" s="1205" t="s">
        <v>6102</v>
      </c>
    </row>
    <row r="204" spans="1:3">
      <c r="A204" s="1077" t="s">
        <v>5925</v>
      </c>
      <c r="B204" s="419">
        <v>38</v>
      </c>
      <c r="C204" s="1205" t="s">
        <v>6098</v>
      </c>
    </row>
    <row r="205" spans="1:3">
      <c r="A205" s="1077" t="s">
        <v>5904</v>
      </c>
      <c r="B205" s="419">
        <v>187</v>
      </c>
      <c r="C205" s="1205" t="s">
        <v>2862</v>
      </c>
    </row>
    <row r="206" spans="1:3">
      <c r="A206" s="1077" t="s">
        <v>5905</v>
      </c>
      <c r="B206" s="419">
        <v>188</v>
      </c>
      <c r="C206" s="1205" t="s">
        <v>6104</v>
      </c>
    </row>
    <row r="207" spans="1:3">
      <c r="A207" s="1077" t="s">
        <v>5906</v>
      </c>
      <c r="B207" s="419">
        <v>189</v>
      </c>
      <c r="C207" s="1205" t="s">
        <v>6104</v>
      </c>
    </row>
    <row r="208" spans="1:3">
      <c r="A208" s="1077" t="s">
        <v>5907</v>
      </c>
      <c r="B208" s="419">
        <v>190</v>
      </c>
      <c r="C208" s="1205" t="s">
        <v>2862</v>
      </c>
    </row>
    <row r="209" spans="1:3">
      <c r="A209" s="1077" t="s">
        <v>5908</v>
      </c>
      <c r="B209" s="419">
        <v>191</v>
      </c>
      <c r="C209" s="1205" t="s">
        <v>6104</v>
      </c>
    </row>
    <row r="210" spans="1:3">
      <c r="A210" s="1117" t="s">
        <v>6397</v>
      </c>
      <c r="B210" s="1118">
        <v>277</v>
      </c>
      <c r="C210" s="1205" t="s">
        <v>6103</v>
      </c>
    </row>
    <row r="211" spans="1:3">
      <c r="A211" s="1117" t="s">
        <v>5926</v>
      </c>
      <c r="B211" s="1118">
        <v>276</v>
      </c>
      <c r="C211" s="1205" t="s">
        <v>6103</v>
      </c>
    </row>
    <row r="212" spans="1:3">
      <c r="A212" s="1117" t="s">
        <v>6396</v>
      </c>
      <c r="B212" s="419">
        <v>206</v>
      </c>
      <c r="C212" s="1205" t="s">
        <v>6103</v>
      </c>
    </row>
    <row r="213" spans="1:3">
      <c r="A213" s="1077" t="s">
        <v>5927</v>
      </c>
      <c r="B213" s="419">
        <v>207</v>
      </c>
      <c r="C213" s="1205" t="s">
        <v>6104</v>
      </c>
    </row>
    <row r="214" spans="1:3">
      <c r="A214" s="1077" t="s">
        <v>5928</v>
      </c>
      <c r="B214" s="419">
        <v>209</v>
      </c>
      <c r="C214" s="1205" t="s">
        <v>6103</v>
      </c>
    </row>
    <row r="215" spans="1:3">
      <c r="A215" s="1077" t="s">
        <v>5929</v>
      </c>
      <c r="B215" s="419">
        <v>210</v>
      </c>
      <c r="C215" s="1205" t="s">
        <v>6102</v>
      </c>
    </row>
    <row r="216" spans="1:3">
      <c r="A216" s="1077" t="s">
        <v>5930</v>
      </c>
      <c r="B216" s="419">
        <v>211</v>
      </c>
      <c r="C216" s="1205" t="s">
        <v>6102</v>
      </c>
    </row>
    <row r="217" spans="1:3">
      <c r="A217" s="1077" t="s">
        <v>5931</v>
      </c>
      <c r="B217" s="419">
        <v>212</v>
      </c>
      <c r="C217" s="1205" t="s">
        <v>6100</v>
      </c>
    </row>
    <row r="218" spans="1:3">
      <c r="A218" s="472" t="s">
        <v>5932</v>
      </c>
      <c r="B218" s="419">
        <v>214</v>
      </c>
      <c r="C218" s="1226" t="s">
        <v>6105</v>
      </c>
    </row>
    <row r="219" spans="1:3">
      <c r="A219" s="1077" t="s">
        <v>5933</v>
      </c>
      <c r="B219" s="419">
        <v>208</v>
      </c>
      <c r="C219" s="1205" t="s">
        <v>6098</v>
      </c>
    </row>
    <row r="220" spans="1:3">
      <c r="A220" s="1077" t="s">
        <v>5934</v>
      </c>
      <c r="B220" s="419">
        <v>215</v>
      </c>
      <c r="C220" s="1205" t="s">
        <v>6103</v>
      </c>
    </row>
    <row r="221" spans="1:3">
      <c r="A221" s="1077" t="s">
        <v>5935</v>
      </c>
      <c r="B221" s="419">
        <v>216</v>
      </c>
      <c r="C221" s="1205" t="s">
        <v>6098</v>
      </c>
    </row>
    <row r="222" spans="1:3">
      <c r="A222" s="1077" t="s">
        <v>5936</v>
      </c>
      <c r="B222" s="419">
        <v>176</v>
      </c>
      <c r="C222" s="1205" t="s">
        <v>6098</v>
      </c>
    </row>
    <row r="223" spans="1:3">
      <c r="A223" s="1077" t="s">
        <v>5937</v>
      </c>
      <c r="B223" s="419">
        <v>217</v>
      </c>
      <c r="C223" s="1205" t="s">
        <v>6103</v>
      </c>
    </row>
    <row r="224" spans="1:3">
      <c r="A224" s="1077" t="s">
        <v>5938</v>
      </c>
      <c r="B224" s="419">
        <v>218</v>
      </c>
      <c r="C224" s="1205" t="s">
        <v>6104</v>
      </c>
    </row>
    <row r="225" spans="1:3">
      <c r="A225" s="1077" t="s">
        <v>5939</v>
      </c>
      <c r="B225" s="419">
        <v>219</v>
      </c>
      <c r="C225" s="1205" t="s">
        <v>6101</v>
      </c>
    </row>
    <row r="226" spans="1:3">
      <c r="A226" s="1077" t="s">
        <v>5940</v>
      </c>
      <c r="B226" s="419">
        <v>220</v>
      </c>
      <c r="C226" s="1205" t="s">
        <v>6104</v>
      </c>
    </row>
    <row r="227" spans="1:3">
      <c r="A227" s="1077" t="s">
        <v>5941</v>
      </c>
      <c r="B227" s="419">
        <v>222</v>
      </c>
      <c r="C227" s="1205" t="s">
        <v>6100</v>
      </c>
    </row>
    <row r="228" spans="1:3">
      <c r="A228" s="1077" t="s">
        <v>5942</v>
      </c>
      <c r="B228" s="419">
        <v>223</v>
      </c>
      <c r="C228" s="1205" t="s">
        <v>6100</v>
      </c>
    </row>
    <row r="229" spans="1:3">
      <c r="A229" s="1077" t="s">
        <v>5943</v>
      </c>
      <c r="B229" s="419">
        <v>213</v>
      </c>
      <c r="C229" s="1205" t="s">
        <v>6098</v>
      </c>
    </row>
    <row r="230" spans="1:3">
      <c r="A230" s="1077" t="s">
        <v>5944</v>
      </c>
      <c r="B230" s="419">
        <v>224</v>
      </c>
      <c r="C230" s="1205" t="s">
        <v>6104</v>
      </c>
    </row>
    <row r="231" spans="1:3">
      <c r="A231" s="1077" t="s">
        <v>5945</v>
      </c>
      <c r="B231" s="419">
        <v>227</v>
      </c>
      <c r="C231" s="1205" t="s">
        <v>6101</v>
      </c>
    </row>
    <row r="232" spans="1:3">
      <c r="A232" s="1077" t="s">
        <v>5946</v>
      </c>
      <c r="B232" s="419">
        <v>226</v>
      </c>
      <c r="C232" s="1205" t="s">
        <v>6103</v>
      </c>
    </row>
    <row r="233" spans="1:3">
      <c r="A233" s="1077" t="s">
        <v>5947</v>
      </c>
      <c r="B233" s="419">
        <v>230</v>
      </c>
      <c r="C233" s="1205" t="s">
        <v>6099</v>
      </c>
    </row>
    <row r="234" spans="1:3">
      <c r="A234" s="1077" t="s">
        <v>5948</v>
      </c>
      <c r="B234" s="419">
        <v>225</v>
      </c>
      <c r="C234" s="1205" t="s">
        <v>6100</v>
      </c>
    </row>
    <row r="235" spans="1:3">
      <c r="A235" s="1077" t="s">
        <v>5949</v>
      </c>
      <c r="B235" s="419">
        <v>229</v>
      </c>
      <c r="C235" s="1205" t="s">
        <v>6102</v>
      </c>
    </row>
    <row r="236" spans="1:3">
      <c r="A236" s="1077" t="s">
        <v>5950</v>
      </c>
      <c r="B236" s="419">
        <v>231</v>
      </c>
      <c r="C236" s="1205" t="s">
        <v>6101</v>
      </c>
    </row>
    <row r="237" spans="1:3">
      <c r="A237" s="1077" t="s">
        <v>5951</v>
      </c>
      <c r="B237" s="419">
        <v>234</v>
      </c>
      <c r="C237" s="1205" t="s">
        <v>6104</v>
      </c>
    </row>
    <row r="238" spans="1:3">
      <c r="A238" s="1077" t="s">
        <v>6153</v>
      </c>
      <c r="B238" s="419">
        <v>240</v>
      </c>
      <c r="C238" s="1205" t="s">
        <v>6101</v>
      </c>
    </row>
    <row r="239" spans="1:3">
      <c r="A239" s="1077" t="s">
        <v>5952</v>
      </c>
      <c r="B239" s="419">
        <v>228</v>
      </c>
      <c r="C239" s="1205" t="s">
        <v>6098</v>
      </c>
    </row>
    <row r="240" spans="1:3">
      <c r="A240" s="1077" t="s">
        <v>5953</v>
      </c>
      <c r="B240" s="419">
        <v>235</v>
      </c>
      <c r="C240" s="1205" t="s">
        <v>6098</v>
      </c>
    </row>
    <row r="241" spans="1:3">
      <c r="A241" s="1077" t="s">
        <v>5954</v>
      </c>
      <c r="B241" s="419">
        <v>155</v>
      </c>
      <c r="C241" s="1205" t="s">
        <v>6101</v>
      </c>
    </row>
    <row r="242" spans="1:3">
      <c r="A242" s="1077" t="s">
        <v>5955</v>
      </c>
      <c r="B242" s="419">
        <v>236</v>
      </c>
      <c r="C242" s="1205" t="s">
        <v>6104</v>
      </c>
    </row>
    <row r="243" spans="1:3">
      <c r="A243" s="1077" t="s">
        <v>5956</v>
      </c>
      <c r="B243" s="419">
        <v>237</v>
      </c>
      <c r="C243" s="1205" t="s">
        <v>6098</v>
      </c>
    </row>
    <row r="244" spans="1:3">
      <c r="A244" s="1077" t="s">
        <v>5957</v>
      </c>
      <c r="B244" s="419">
        <v>242</v>
      </c>
      <c r="C244" s="1205" t="s">
        <v>6104</v>
      </c>
    </row>
    <row r="245" spans="1:3">
      <c r="A245" s="1077" t="s">
        <v>5958</v>
      </c>
      <c r="B245" s="419">
        <v>243</v>
      </c>
      <c r="C245" s="1205" t="s">
        <v>6104</v>
      </c>
    </row>
    <row r="246" spans="1:3">
      <c r="A246" s="1077" t="s">
        <v>5959</v>
      </c>
      <c r="B246" s="419">
        <v>205</v>
      </c>
      <c r="C246" s="1205" t="s">
        <v>6100</v>
      </c>
    </row>
    <row r="247" spans="1:3">
      <c r="A247" s="1077" t="s">
        <v>5960</v>
      </c>
      <c r="B247" s="419">
        <v>249</v>
      </c>
      <c r="C247" s="1205" t="s">
        <v>6100</v>
      </c>
    </row>
    <row r="248" spans="1:3">
      <c r="A248" s="1077" t="s">
        <v>5961</v>
      </c>
      <c r="B248" s="419">
        <v>248</v>
      </c>
      <c r="C248" s="1205" t="s">
        <v>6099</v>
      </c>
    </row>
    <row r="249" spans="1:3">
      <c r="A249" s="1077" t="s">
        <v>5962</v>
      </c>
      <c r="B249" s="419">
        <v>251</v>
      </c>
      <c r="C249" s="1205" t="s">
        <v>6103</v>
      </c>
    </row>
    <row r="250" spans="1:3">
      <c r="A250" s="472" t="s">
        <v>5769</v>
      </c>
      <c r="B250" s="419">
        <v>351</v>
      </c>
      <c r="C250" s="1226" t="s">
        <v>6105</v>
      </c>
    </row>
    <row r="251" spans="1:3">
      <c r="A251" s="1077" t="s">
        <v>5963</v>
      </c>
      <c r="B251" s="419">
        <v>181</v>
      </c>
      <c r="C251" s="1205" t="s">
        <v>6103</v>
      </c>
    </row>
    <row r="252" spans="1:3">
      <c r="A252" s="1087" t="s">
        <v>3094</v>
      </c>
      <c r="B252" s="148">
        <v>5001</v>
      </c>
      <c r="C252" s="1207" t="s">
        <v>6106</v>
      </c>
    </row>
  </sheetData>
  <hyperlinks>
    <hyperlink ref="E3" location="residue_supply_n!A1" display="residue_supply_n"/>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9" enableFormatConditionsCalculation="0">
    <tabColor rgb="FFFF9900"/>
  </sheetPr>
  <dimension ref="A1:AC60"/>
  <sheetViews>
    <sheetView workbookViewId="0">
      <selection activeCell="A65536" sqref="A65536"/>
    </sheetView>
  </sheetViews>
  <sheetFormatPr baseColWidth="10" defaultColWidth="9.1640625" defaultRowHeight="12" x14ac:dyDescent="0"/>
  <cols>
    <col min="1" max="1" width="45.5" style="619" customWidth="1"/>
    <col min="2" max="2" width="21.5" style="619" customWidth="1"/>
    <col min="3" max="3" width="14.83203125" style="619" customWidth="1"/>
    <col min="4" max="4" width="12.6640625" style="619" customWidth="1"/>
    <col min="5" max="5" width="16.33203125" style="619" customWidth="1"/>
    <col min="6" max="6" width="19.5" style="619" customWidth="1"/>
    <col min="7" max="7" width="23" style="619" customWidth="1"/>
    <col min="8" max="8" width="17.1640625" style="619" customWidth="1"/>
    <col min="9" max="9" width="24.83203125" style="619" customWidth="1"/>
    <col min="10" max="10" width="12.33203125" style="619" customWidth="1"/>
    <col min="11" max="11" width="9.6640625" style="619" customWidth="1"/>
    <col min="12" max="13" width="9.1640625" style="619" customWidth="1"/>
    <col min="14" max="14" width="17.1640625" style="619" customWidth="1"/>
    <col min="15" max="15" width="2.83203125" style="634" customWidth="1"/>
    <col min="16" max="16" width="4.6640625" style="619" customWidth="1"/>
    <col min="17" max="17" width="3.5" style="619" customWidth="1"/>
    <col min="18" max="18" width="5.6640625" style="619" customWidth="1"/>
    <col min="19" max="19" width="3.33203125" style="619" customWidth="1"/>
    <col min="20" max="20" width="4.6640625" style="619" customWidth="1"/>
    <col min="21" max="21" width="3.33203125" style="619" customWidth="1"/>
    <col min="22" max="22" width="4.5" style="619" customWidth="1"/>
    <col min="23" max="23" width="3.33203125" style="619" customWidth="1"/>
    <col min="24" max="24" width="4.6640625" style="619" customWidth="1"/>
    <col min="25" max="25" width="3.5" style="619" customWidth="1"/>
    <col min="26" max="26" width="4.5" style="619" customWidth="1"/>
    <col min="27" max="27" width="3.1640625" style="619" customWidth="1"/>
    <col min="28" max="28" width="4.1640625" style="619" customWidth="1"/>
    <col min="29" max="29" width="3.1640625" style="619" customWidth="1"/>
    <col min="30" max="16384" width="9.1640625" style="619"/>
  </cols>
  <sheetData>
    <row r="1" spans="1:29">
      <c r="C1" s="625"/>
      <c r="D1" s="625"/>
      <c r="E1" s="625"/>
      <c r="F1" s="625"/>
      <c r="G1" s="625"/>
      <c r="H1" s="625"/>
      <c r="I1" s="625"/>
      <c r="J1" s="625"/>
      <c r="K1" s="625"/>
      <c r="L1" s="625"/>
      <c r="M1" s="625"/>
      <c r="N1" s="625"/>
      <c r="O1" s="625"/>
      <c r="P1" s="625"/>
      <c r="Q1" s="625"/>
      <c r="R1" s="625"/>
      <c r="S1" s="625"/>
      <c r="T1" s="625"/>
      <c r="U1" s="625"/>
      <c r="V1" s="625"/>
      <c r="W1" s="625"/>
      <c r="X1" s="625"/>
      <c r="Y1" s="625"/>
      <c r="Z1" s="625"/>
      <c r="AA1" s="625"/>
      <c r="AB1" s="625"/>
      <c r="AC1" s="625"/>
    </row>
    <row r="2" spans="1:29">
      <c r="B2" s="620" t="s">
        <v>1005</v>
      </c>
      <c r="E2" s="625"/>
      <c r="I2" s="625"/>
      <c r="J2" s="625"/>
      <c r="K2" s="625"/>
      <c r="L2" s="625"/>
      <c r="M2" s="625"/>
      <c r="N2" s="625"/>
      <c r="O2" s="625"/>
      <c r="P2" s="625"/>
      <c r="Q2" s="625"/>
      <c r="R2" s="625"/>
      <c r="S2" s="625"/>
      <c r="T2" s="625"/>
      <c r="U2" s="625"/>
      <c r="V2" s="625"/>
      <c r="W2" s="625"/>
      <c r="X2" s="625"/>
      <c r="Y2" s="625"/>
      <c r="Z2" s="625"/>
      <c r="AA2" s="625"/>
      <c r="AB2" s="625"/>
      <c r="AC2" s="625"/>
    </row>
    <row r="3" spans="1:29" ht="25.5" customHeight="1">
      <c r="B3" s="624" t="s">
        <v>1006</v>
      </c>
      <c r="C3" s="1123" t="s">
        <v>5</v>
      </c>
      <c r="D3" s="625"/>
      <c r="E3" s="625"/>
      <c r="F3" s="625"/>
      <c r="G3" s="625"/>
      <c r="H3" s="625"/>
      <c r="I3" s="625"/>
      <c r="J3" s="625"/>
      <c r="K3" s="625"/>
      <c r="L3" s="625"/>
      <c r="M3" s="625"/>
      <c r="N3" s="625" t="s">
        <v>6115</v>
      </c>
      <c r="O3" s="626" t="s">
        <v>6116</v>
      </c>
      <c r="P3" s="625"/>
      <c r="Q3" s="625"/>
      <c r="R3" s="625" t="s">
        <v>6117</v>
      </c>
      <c r="S3" s="625"/>
      <c r="T3" s="625"/>
      <c r="U3" s="625"/>
      <c r="V3" s="625"/>
      <c r="W3" s="625"/>
      <c r="X3" s="625"/>
      <c r="Y3" s="625"/>
      <c r="Z3" s="625"/>
      <c r="AA3" s="625"/>
      <c r="AB3" s="625"/>
      <c r="AC3" s="625"/>
    </row>
    <row r="4" spans="1:29" s="628" customFormat="1" ht="42" customHeight="1">
      <c r="A4" s="622"/>
      <c r="B4" s="548" t="s">
        <v>6118</v>
      </c>
      <c r="C4" s="548" t="s">
        <v>6097</v>
      </c>
      <c r="D4" s="548" t="s">
        <v>6091</v>
      </c>
      <c r="E4" s="548" t="s">
        <v>6119</v>
      </c>
      <c r="F4" s="548" t="s">
        <v>6120</v>
      </c>
      <c r="G4" s="548" t="s">
        <v>6121</v>
      </c>
      <c r="H4" s="548" t="s">
        <v>6090</v>
      </c>
      <c r="I4" s="548" t="s">
        <v>6122</v>
      </c>
      <c r="J4" s="548" t="s">
        <v>6094</v>
      </c>
      <c r="K4" s="649"/>
      <c r="L4" s="627"/>
      <c r="M4" s="627"/>
      <c r="N4" s="627"/>
      <c r="O4" s="626"/>
      <c r="P4" s="627"/>
      <c r="Q4" s="627"/>
      <c r="R4" s="627"/>
      <c r="S4" s="627"/>
      <c r="T4" s="627"/>
      <c r="U4" s="627"/>
      <c r="V4" s="627"/>
      <c r="W4" s="627"/>
      <c r="X4" s="627"/>
      <c r="Y4" s="627"/>
      <c r="Z4" s="627"/>
      <c r="AA4" s="627"/>
      <c r="AB4" s="627"/>
      <c r="AC4" s="627"/>
    </row>
    <row r="5" spans="1:29" s="628" customFormat="1" ht="15" customHeight="1">
      <c r="A5" s="650"/>
      <c r="B5" s="549"/>
      <c r="C5" s="549" t="s">
        <v>6105</v>
      </c>
      <c r="D5" s="549" t="s">
        <v>6099</v>
      </c>
      <c r="E5" s="549" t="s">
        <v>6104</v>
      </c>
      <c r="F5" s="549" t="s">
        <v>6100</v>
      </c>
      <c r="G5" s="549" t="s">
        <v>6101</v>
      </c>
      <c r="H5" s="549" t="s">
        <v>6098</v>
      </c>
      <c r="I5" s="549" t="s">
        <v>6103</v>
      </c>
      <c r="J5" s="549" t="s">
        <v>6102</v>
      </c>
      <c r="K5" s="651" t="s">
        <v>6106</v>
      </c>
      <c r="L5" s="629">
        <v>1</v>
      </c>
      <c r="M5" s="627"/>
      <c r="N5" s="630" t="s">
        <v>6123</v>
      </c>
      <c r="O5" s="631" t="s">
        <v>6124</v>
      </c>
      <c r="P5" s="627"/>
      <c r="Q5" s="627" t="s">
        <v>6125</v>
      </c>
      <c r="R5" s="627"/>
      <c r="S5" s="627" t="s">
        <v>6126</v>
      </c>
      <c r="T5" s="627"/>
      <c r="U5" s="627" t="s">
        <v>6127</v>
      </c>
      <c r="V5" s="627"/>
      <c r="W5" s="627" t="s">
        <v>6128</v>
      </c>
      <c r="X5" s="627"/>
      <c r="Y5" s="627" t="s">
        <v>6129</v>
      </c>
      <c r="Z5" s="627"/>
      <c r="AA5" s="627" t="s">
        <v>6130</v>
      </c>
      <c r="AB5" s="627"/>
      <c r="AC5" s="627" t="s">
        <v>6131</v>
      </c>
    </row>
    <row r="6" spans="1:29" ht="12.75" customHeight="1">
      <c r="A6" s="27" t="s">
        <v>6132</v>
      </c>
      <c r="B6" s="3"/>
      <c r="C6" s="3"/>
      <c r="D6" s="3"/>
      <c r="E6" s="3"/>
      <c r="F6" s="3"/>
      <c r="G6" s="3"/>
      <c r="H6" s="3"/>
      <c r="I6" s="3"/>
      <c r="J6" s="3"/>
      <c r="K6" s="640"/>
      <c r="L6" s="629">
        <v>2</v>
      </c>
      <c r="M6" s="625"/>
      <c r="N6" s="625"/>
      <c r="O6" s="625"/>
      <c r="P6" s="625"/>
      <c r="Q6" s="625"/>
      <c r="R6" s="625"/>
      <c r="S6" s="625"/>
      <c r="T6" s="625"/>
      <c r="U6" s="625"/>
      <c r="V6" s="625"/>
      <c r="W6" s="625"/>
      <c r="X6" s="625"/>
      <c r="Y6" s="625"/>
      <c r="Z6" s="625"/>
      <c r="AA6" s="625"/>
      <c r="AB6" s="625"/>
      <c r="AC6" s="625"/>
    </row>
    <row r="7" spans="1:29">
      <c r="A7" s="27"/>
      <c r="B7" s="3" t="s">
        <v>2285</v>
      </c>
      <c r="C7" s="117">
        <v>1.5</v>
      </c>
      <c r="D7" s="117">
        <v>1.5</v>
      </c>
      <c r="E7" s="117">
        <v>1.5</v>
      </c>
      <c r="F7" s="117">
        <v>1.5</v>
      </c>
      <c r="G7" s="117">
        <v>1.2</v>
      </c>
      <c r="H7" s="117">
        <v>1.7</v>
      </c>
      <c r="I7" s="117">
        <v>2.2999999999999998</v>
      </c>
      <c r="J7" s="117">
        <v>1</v>
      </c>
      <c r="K7" s="250"/>
      <c r="L7" s="629">
        <v>3</v>
      </c>
      <c r="M7" s="625"/>
      <c r="N7" s="625">
        <v>1.5</v>
      </c>
      <c r="O7" s="626" t="s">
        <v>6219</v>
      </c>
      <c r="P7" s="625">
        <v>1.5</v>
      </c>
      <c r="Q7" s="626" t="s">
        <v>6219</v>
      </c>
      <c r="R7" s="625">
        <v>1.5</v>
      </c>
      <c r="S7" s="626" t="s">
        <v>6219</v>
      </c>
      <c r="T7" s="625">
        <v>1.5</v>
      </c>
      <c r="U7" s="626" t="s">
        <v>6219</v>
      </c>
      <c r="V7" s="625">
        <v>1.2</v>
      </c>
      <c r="W7" s="626" t="s">
        <v>6219</v>
      </c>
      <c r="X7" s="625">
        <v>1.7</v>
      </c>
      <c r="Y7" s="626" t="s">
        <v>6219</v>
      </c>
      <c r="Z7" s="625">
        <v>2.2999999999999998</v>
      </c>
      <c r="AA7" s="626" t="s">
        <v>6219</v>
      </c>
      <c r="AB7" s="625">
        <v>1</v>
      </c>
      <c r="AC7" s="626" t="s">
        <v>6219</v>
      </c>
    </row>
    <row r="8" spans="1:29">
      <c r="A8" s="27"/>
      <c r="B8" s="3" t="s">
        <v>2286</v>
      </c>
      <c r="C8" s="117">
        <v>1</v>
      </c>
      <c r="D8" s="117">
        <v>1.2</v>
      </c>
      <c r="E8" s="117">
        <v>1.2</v>
      </c>
      <c r="F8" s="117">
        <v>1.2</v>
      </c>
      <c r="G8" s="117">
        <v>1.2</v>
      </c>
      <c r="H8" s="117">
        <v>1.5</v>
      </c>
      <c r="I8" s="117">
        <v>1.5</v>
      </c>
      <c r="J8" s="117">
        <v>1.2</v>
      </c>
      <c r="K8" s="250"/>
      <c r="L8" s="629">
        <v>4</v>
      </c>
      <c r="M8" s="625"/>
      <c r="N8" s="625">
        <v>1</v>
      </c>
      <c r="O8" s="626" t="s">
        <v>6219</v>
      </c>
      <c r="P8" s="625">
        <v>1.2</v>
      </c>
      <c r="Q8" s="626" t="s">
        <v>6219</v>
      </c>
      <c r="R8" s="625">
        <v>1.2</v>
      </c>
      <c r="S8" s="626" t="s">
        <v>6219</v>
      </c>
      <c r="T8" s="625">
        <v>1.2</v>
      </c>
      <c r="U8" s="626" t="s">
        <v>6219</v>
      </c>
      <c r="V8" s="625">
        <v>1.2</v>
      </c>
      <c r="W8" s="626" t="s">
        <v>6219</v>
      </c>
      <c r="X8" s="625">
        <v>1.5</v>
      </c>
      <c r="Y8" s="626" t="s">
        <v>6219</v>
      </c>
      <c r="Z8" s="625">
        <v>1.5</v>
      </c>
      <c r="AA8" s="626" t="s">
        <v>6219</v>
      </c>
      <c r="AB8" s="625">
        <v>1.2</v>
      </c>
      <c r="AC8" s="626" t="s">
        <v>6219</v>
      </c>
    </row>
    <row r="9" spans="1:29">
      <c r="A9" s="27"/>
      <c r="B9" s="3" t="s">
        <v>2175</v>
      </c>
      <c r="C9" s="117">
        <v>3</v>
      </c>
      <c r="D9" s="117">
        <v>1.9</v>
      </c>
      <c r="E9" s="117">
        <v>3</v>
      </c>
      <c r="F9" s="117">
        <v>3</v>
      </c>
      <c r="G9" s="117">
        <v>1.2</v>
      </c>
      <c r="H9" s="117">
        <v>3.5</v>
      </c>
      <c r="I9" s="117">
        <v>3.5</v>
      </c>
      <c r="J9" s="117">
        <v>1.2</v>
      </c>
      <c r="K9" s="250"/>
      <c r="L9" s="629">
        <v>5</v>
      </c>
      <c r="M9" s="625"/>
      <c r="N9" s="625">
        <v>3</v>
      </c>
      <c r="O9" s="626" t="s">
        <v>6219</v>
      </c>
      <c r="P9" s="625">
        <v>1.9</v>
      </c>
      <c r="Q9" s="626" t="s">
        <v>6219</v>
      </c>
      <c r="R9" s="625">
        <v>3</v>
      </c>
      <c r="S9" s="626" t="s">
        <v>6219</v>
      </c>
      <c r="T9" s="625">
        <v>3</v>
      </c>
      <c r="U9" s="626" t="s">
        <v>6219</v>
      </c>
      <c r="V9" s="625">
        <v>1.2</v>
      </c>
      <c r="W9" s="626" t="s">
        <v>6219</v>
      </c>
      <c r="X9" s="625">
        <v>3.5</v>
      </c>
      <c r="Y9" s="626" t="s">
        <v>6219</v>
      </c>
      <c r="Z9" s="625">
        <v>3.5</v>
      </c>
      <c r="AA9" s="626" t="s">
        <v>6219</v>
      </c>
      <c r="AB9" s="625">
        <v>1.2</v>
      </c>
      <c r="AC9" s="626" t="s">
        <v>6219</v>
      </c>
    </row>
    <row r="10" spans="1:29">
      <c r="A10" s="27"/>
      <c r="B10" s="3" t="s">
        <v>2899</v>
      </c>
      <c r="C10" s="117">
        <v>3</v>
      </c>
      <c r="D10" s="117">
        <v>1.9</v>
      </c>
      <c r="E10" s="117">
        <v>3</v>
      </c>
      <c r="F10" s="117">
        <v>3</v>
      </c>
      <c r="G10" s="117">
        <v>1.2</v>
      </c>
      <c r="H10" s="117">
        <v>3.5</v>
      </c>
      <c r="I10" s="117">
        <v>3.5</v>
      </c>
      <c r="J10" s="117">
        <v>1.2</v>
      </c>
      <c r="K10" s="250"/>
      <c r="L10" s="629">
        <v>6</v>
      </c>
      <c r="M10" s="625"/>
      <c r="N10" s="625">
        <v>3</v>
      </c>
      <c r="O10" s="626" t="s">
        <v>6219</v>
      </c>
      <c r="P10" s="625">
        <v>1.9</v>
      </c>
      <c r="Q10" s="626" t="s">
        <v>6219</v>
      </c>
      <c r="R10" s="625">
        <v>3</v>
      </c>
      <c r="S10" s="626" t="s">
        <v>6219</v>
      </c>
      <c r="T10" s="625">
        <v>3</v>
      </c>
      <c r="U10" s="626" t="s">
        <v>6219</v>
      </c>
      <c r="V10" s="625">
        <v>1.2</v>
      </c>
      <c r="W10" s="626" t="s">
        <v>6219</v>
      </c>
      <c r="X10" s="625">
        <v>3.5</v>
      </c>
      <c r="Y10" s="626" t="s">
        <v>6219</v>
      </c>
      <c r="Z10" s="625">
        <v>3.5</v>
      </c>
      <c r="AA10" s="626" t="s">
        <v>6219</v>
      </c>
      <c r="AB10" s="625">
        <v>1.2</v>
      </c>
      <c r="AC10" s="626" t="s">
        <v>6219</v>
      </c>
    </row>
    <row r="11" spans="1:29">
      <c r="A11" s="27"/>
      <c r="B11" s="3" t="s">
        <v>2805</v>
      </c>
      <c r="C11" s="117">
        <v>3</v>
      </c>
      <c r="D11" s="117">
        <v>1.9</v>
      </c>
      <c r="E11" s="117">
        <v>3</v>
      </c>
      <c r="F11" s="117">
        <v>3</v>
      </c>
      <c r="G11" s="117">
        <v>1.2</v>
      </c>
      <c r="H11" s="117">
        <v>3.5</v>
      </c>
      <c r="I11" s="117">
        <v>3.5</v>
      </c>
      <c r="J11" s="117">
        <v>1.2</v>
      </c>
      <c r="K11" s="250"/>
      <c r="L11" s="629">
        <v>7</v>
      </c>
      <c r="M11" s="625"/>
      <c r="N11" s="625">
        <v>3</v>
      </c>
      <c r="O11" s="626" t="s">
        <v>6219</v>
      </c>
      <c r="P11" s="625">
        <v>1.9</v>
      </c>
      <c r="Q11" s="626" t="s">
        <v>6219</v>
      </c>
      <c r="R11" s="625">
        <v>3</v>
      </c>
      <c r="S11" s="626" t="s">
        <v>6219</v>
      </c>
      <c r="T11" s="625">
        <v>3</v>
      </c>
      <c r="U11" s="626" t="s">
        <v>6219</v>
      </c>
      <c r="V11" s="625">
        <v>1.2</v>
      </c>
      <c r="W11" s="626" t="s">
        <v>6219</v>
      </c>
      <c r="X11" s="625">
        <v>3.5</v>
      </c>
      <c r="Y11" s="626" t="s">
        <v>6219</v>
      </c>
      <c r="Z11" s="625">
        <v>3.5</v>
      </c>
      <c r="AA11" s="626" t="s">
        <v>6219</v>
      </c>
      <c r="AB11" s="625">
        <v>1.2</v>
      </c>
      <c r="AC11" s="626" t="s">
        <v>6219</v>
      </c>
    </row>
    <row r="12" spans="1:29">
      <c r="A12" s="27"/>
      <c r="B12" s="3" t="s">
        <v>2501</v>
      </c>
      <c r="C12" s="117">
        <v>1</v>
      </c>
      <c r="D12" s="117">
        <v>1</v>
      </c>
      <c r="E12" s="117">
        <v>1</v>
      </c>
      <c r="F12" s="117">
        <v>1</v>
      </c>
      <c r="G12" s="117">
        <v>1</v>
      </c>
      <c r="H12" s="117">
        <v>1</v>
      </c>
      <c r="I12" s="117">
        <v>1</v>
      </c>
      <c r="J12" s="117">
        <v>1</v>
      </c>
      <c r="K12" s="250"/>
      <c r="L12" s="629">
        <v>8</v>
      </c>
      <c r="M12" s="625"/>
      <c r="N12" s="625">
        <v>1</v>
      </c>
      <c r="O12" s="626" t="s">
        <v>6219</v>
      </c>
      <c r="P12" s="625">
        <v>1</v>
      </c>
      <c r="Q12" s="626" t="s">
        <v>6219</v>
      </c>
      <c r="R12" s="625">
        <v>1</v>
      </c>
      <c r="S12" s="626" t="s">
        <v>6219</v>
      </c>
      <c r="T12" s="625">
        <v>1</v>
      </c>
      <c r="U12" s="626" t="s">
        <v>6219</v>
      </c>
      <c r="V12" s="625">
        <v>1</v>
      </c>
      <c r="W12" s="626" t="s">
        <v>6219</v>
      </c>
      <c r="X12" s="625">
        <v>1</v>
      </c>
      <c r="Y12" s="626" t="s">
        <v>6219</v>
      </c>
      <c r="Z12" s="625">
        <v>1</v>
      </c>
      <c r="AA12" s="626" t="s">
        <v>6219</v>
      </c>
      <c r="AB12" s="625">
        <v>1</v>
      </c>
      <c r="AC12" s="626" t="s">
        <v>6219</v>
      </c>
    </row>
    <row r="13" spans="1:29">
      <c r="A13" s="27"/>
      <c r="B13" s="3" t="s">
        <v>4664</v>
      </c>
      <c r="C13" s="117">
        <v>0.8</v>
      </c>
      <c r="D13" s="117">
        <v>0.8</v>
      </c>
      <c r="E13" s="117">
        <v>0.8</v>
      </c>
      <c r="F13" s="117">
        <v>0.8</v>
      </c>
      <c r="G13" s="117">
        <v>0.8</v>
      </c>
      <c r="H13" s="117">
        <v>0.8</v>
      </c>
      <c r="I13" s="117">
        <v>0.8</v>
      </c>
      <c r="J13" s="117">
        <v>0.8</v>
      </c>
      <c r="K13" s="250"/>
      <c r="L13" s="629">
        <v>9</v>
      </c>
      <c r="M13" s="625"/>
      <c r="N13" s="625">
        <v>0.8</v>
      </c>
      <c r="O13" s="626" t="s">
        <v>6219</v>
      </c>
      <c r="P13" s="625">
        <v>0.8</v>
      </c>
      <c r="Q13" s="626" t="s">
        <v>6219</v>
      </c>
      <c r="R13" s="625">
        <v>0.8</v>
      </c>
      <c r="S13" s="626" t="s">
        <v>6219</v>
      </c>
      <c r="T13" s="625">
        <v>0.8</v>
      </c>
      <c r="U13" s="626" t="s">
        <v>6219</v>
      </c>
      <c r="V13" s="625">
        <v>0.8</v>
      </c>
      <c r="W13" s="626" t="s">
        <v>6219</v>
      </c>
      <c r="X13" s="625">
        <v>0.8</v>
      </c>
      <c r="Y13" s="626" t="s">
        <v>6219</v>
      </c>
      <c r="Z13" s="625">
        <v>0.8</v>
      </c>
      <c r="AA13" s="626" t="s">
        <v>6219</v>
      </c>
      <c r="AB13" s="625">
        <v>0.8</v>
      </c>
      <c r="AC13" s="626" t="s">
        <v>6219</v>
      </c>
    </row>
    <row r="14" spans="1:29">
      <c r="A14" s="27"/>
      <c r="B14" s="3" t="s">
        <v>1060</v>
      </c>
      <c r="C14" s="117">
        <v>0.7</v>
      </c>
      <c r="D14" s="117">
        <v>0.7</v>
      </c>
      <c r="E14" s="117">
        <v>0.7</v>
      </c>
      <c r="F14" s="117">
        <v>0.7</v>
      </c>
      <c r="G14" s="117">
        <v>0.7</v>
      </c>
      <c r="H14" s="117">
        <v>0.7</v>
      </c>
      <c r="I14" s="117">
        <v>0.7</v>
      </c>
      <c r="J14" s="117">
        <v>0.7</v>
      </c>
      <c r="K14" s="250"/>
      <c r="L14" s="629">
        <v>10</v>
      </c>
      <c r="M14" s="625"/>
      <c r="N14" s="625">
        <v>0.7</v>
      </c>
      <c r="O14" s="626" t="s">
        <v>6219</v>
      </c>
      <c r="P14" s="625">
        <v>0.7</v>
      </c>
      <c r="Q14" s="626" t="s">
        <v>6219</v>
      </c>
      <c r="R14" s="625">
        <v>0.7</v>
      </c>
      <c r="S14" s="626" t="s">
        <v>6219</v>
      </c>
      <c r="T14" s="625">
        <v>0.7</v>
      </c>
      <c r="U14" s="626" t="s">
        <v>6219</v>
      </c>
      <c r="V14" s="625">
        <v>0.7</v>
      </c>
      <c r="W14" s="626" t="s">
        <v>6219</v>
      </c>
      <c r="X14" s="625">
        <v>0.7</v>
      </c>
      <c r="Y14" s="626" t="s">
        <v>6219</v>
      </c>
      <c r="Z14" s="625">
        <v>0.7</v>
      </c>
      <c r="AA14" s="626" t="s">
        <v>6219</v>
      </c>
      <c r="AB14" s="625">
        <v>0.7</v>
      </c>
      <c r="AC14" s="626" t="s">
        <v>6219</v>
      </c>
    </row>
    <row r="15" spans="1:29">
      <c r="A15" s="27"/>
      <c r="B15" s="3" t="s">
        <v>2502</v>
      </c>
      <c r="C15" s="117">
        <v>0.7</v>
      </c>
      <c r="D15" s="117">
        <v>0.5</v>
      </c>
      <c r="E15" s="117">
        <v>0.7</v>
      </c>
      <c r="F15" s="117">
        <v>0.7</v>
      </c>
      <c r="G15" s="117">
        <v>0.5</v>
      </c>
      <c r="H15" s="117">
        <v>0.7</v>
      </c>
      <c r="I15" s="117">
        <v>0.7</v>
      </c>
      <c r="J15" s="117">
        <v>0.5</v>
      </c>
      <c r="K15" s="250"/>
      <c r="L15" s="629">
        <v>11</v>
      </c>
      <c r="M15" s="625"/>
      <c r="N15" s="625">
        <v>0.7</v>
      </c>
      <c r="O15" s="626" t="s">
        <v>6219</v>
      </c>
      <c r="P15" s="625">
        <v>0.5</v>
      </c>
      <c r="Q15" s="626" t="s">
        <v>6219</v>
      </c>
      <c r="R15" s="625">
        <v>0.7</v>
      </c>
      <c r="S15" s="626" t="s">
        <v>6219</v>
      </c>
      <c r="T15" s="625">
        <v>0.7</v>
      </c>
      <c r="U15" s="626" t="s">
        <v>6219</v>
      </c>
      <c r="V15" s="625">
        <v>0.5</v>
      </c>
      <c r="W15" s="626" t="s">
        <v>6219</v>
      </c>
      <c r="X15" s="625">
        <v>0.7</v>
      </c>
      <c r="Y15" s="626" t="s">
        <v>6219</v>
      </c>
      <c r="Z15" s="625">
        <v>0.7</v>
      </c>
      <c r="AA15" s="626" t="s">
        <v>6219</v>
      </c>
      <c r="AB15" s="625">
        <v>0.5</v>
      </c>
      <c r="AC15" s="626" t="s">
        <v>6219</v>
      </c>
    </row>
    <row r="16" spans="1:29">
      <c r="A16" s="27"/>
      <c r="B16" s="3" t="s">
        <v>5073</v>
      </c>
      <c r="C16" s="117">
        <v>0.4</v>
      </c>
      <c r="D16" s="117">
        <v>1</v>
      </c>
      <c r="E16" s="117">
        <v>0.4</v>
      </c>
      <c r="F16" s="117">
        <v>0.4</v>
      </c>
      <c r="G16" s="117">
        <v>1</v>
      </c>
      <c r="H16" s="117">
        <v>0.4</v>
      </c>
      <c r="I16" s="117">
        <v>0.4</v>
      </c>
      <c r="J16" s="117">
        <v>1</v>
      </c>
      <c r="K16" s="250"/>
      <c r="L16" s="629">
        <v>12</v>
      </c>
      <c r="M16" s="625"/>
      <c r="N16" s="625">
        <v>0.4</v>
      </c>
      <c r="O16" s="626" t="s">
        <v>6219</v>
      </c>
      <c r="P16" s="625">
        <v>1</v>
      </c>
      <c r="Q16" s="626" t="s">
        <v>6219</v>
      </c>
      <c r="R16" s="625">
        <v>0.4</v>
      </c>
      <c r="S16" s="626" t="s">
        <v>6219</v>
      </c>
      <c r="T16" s="625">
        <v>0.4</v>
      </c>
      <c r="U16" s="626" t="s">
        <v>6219</v>
      </c>
      <c r="V16" s="625">
        <v>1</v>
      </c>
      <c r="W16" s="626" t="s">
        <v>6219</v>
      </c>
      <c r="X16" s="625">
        <v>0.4</v>
      </c>
      <c r="Y16" s="626" t="s">
        <v>6219</v>
      </c>
      <c r="Z16" s="625">
        <v>0.4</v>
      </c>
      <c r="AA16" s="626" t="s">
        <v>6219</v>
      </c>
      <c r="AB16" s="625">
        <v>1</v>
      </c>
      <c r="AC16" s="626" t="s">
        <v>6219</v>
      </c>
    </row>
    <row r="17" spans="1:29">
      <c r="A17" s="27"/>
      <c r="B17" s="3" t="s">
        <v>4047</v>
      </c>
      <c r="C17" s="117">
        <v>1.2</v>
      </c>
      <c r="D17" s="117">
        <v>1.5</v>
      </c>
      <c r="E17" s="117">
        <v>1.5</v>
      </c>
      <c r="F17" s="117">
        <v>1.5</v>
      </c>
      <c r="G17" s="117">
        <v>1.2</v>
      </c>
      <c r="H17" s="117">
        <v>1.5</v>
      </c>
      <c r="I17" s="117">
        <v>1.5</v>
      </c>
      <c r="J17" s="117">
        <v>1.2</v>
      </c>
      <c r="K17" s="250"/>
      <c r="L17" s="629">
        <v>13</v>
      </c>
      <c r="M17" s="625"/>
      <c r="N17" s="625">
        <v>1.2</v>
      </c>
      <c r="O17" s="626" t="s">
        <v>6219</v>
      </c>
      <c r="P17" s="625">
        <v>1.5</v>
      </c>
      <c r="Q17" s="626" t="s">
        <v>6219</v>
      </c>
      <c r="R17" s="625">
        <v>1.5</v>
      </c>
      <c r="S17" s="626" t="s">
        <v>6219</v>
      </c>
      <c r="T17" s="625">
        <v>1.5</v>
      </c>
      <c r="U17" s="626" t="s">
        <v>6219</v>
      </c>
      <c r="V17" s="625">
        <v>1.2</v>
      </c>
      <c r="W17" s="626" t="s">
        <v>6219</v>
      </c>
      <c r="X17" s="625">
        <v>1.5</v>
      </c>
      <c r="Y17" s="626" t="s">
        <v>6219</v>
      </c>
      <c r="Z17" s="625">
        <v>1.5</v>
      </c>
      <c r="AA17" s="626" t="s">
        <v>6219</v>
      </c>
      <c r="AB17" s="625">
        <v>1.2</v>
      </c>
      <c r="AC17" s="626" t="s">
        <v>6219</v>
      </c>
    </row>
    <row r="18" spans="1:29">
      <c r="A18" s="27"/>
      <c r="B18" s="3" t="s">
        <v>355</v>
      </c>
      <c r="C18" s="117">
        <v>1.2</v>
      </c>
      <c r="D18" s="117">
        <v>1.2</v>
      </c>
      <c r="E18" s="117">
        <v>1.5</v>
      </c>
      <c r="F18" s="117">
        <v>1.5</v>
      </c>
      <c r="G18" s="117">
        <v>1.2</v>
      </c>
      <c r="H18" s="117">
        <v>1.5</v>
      </c>
      <c r="I18" s="117">
        <v>1.5</v>
      </c>
      <c r="J18" s="117">
        <v>1.2</v>
      </c>
      <c r="K18" s="250"/>
      <c r="L18" s="629">
        <v>14</v>
      </c>
      <c r="M18" s="625"/>
      <c r="N18" s="625">
        <v>1.2</v>
      </c>
      <c r="O18" s="626" t="s">
        <v>6219</v>
      </c>
      <c r="P18" s="625">
        <v>1.2</v>
      </c>
      <c r="Q18" s="626" t="s">
        <v>6219</v>
      </c>
      <c r="R18" s="625">
        <v>1.5</v>
      </c>
      <c r="S18" s="626" t="s">
        <v>6219</v>
      </c>
      <c r="T18" s="625">
        <v>1.5</v>
      </c>
      <c r="U18" s="626" t="s">
        <v>6219</v>
      </c>
      <c r="V18" s="625">
        <v>1.2</v>
      </c>
      <c r="W18" s="626" t="s">
        <v>6219</v>
      </c>
      <c r="X18" s="625">
        <v>1.5</v>
      </c>
      <c r="Y18" s="626" t="s">
        <v>6219</v>
      </c>
      <c r="Z18" s="625">
        <v>1.5</v>
      </c>
      <c r="AA18" s="626" t="s">
        <v>6219</v>
      </c>
      <c r="AB18" s="625">
        <v>1.2</v>
      </c>
      <c r="AC18" s="626" t="s">
        <v>6219</v>
      </c>
    </row>
    <row r="19" spans="1:29">
      <c r="A19" s="27"/>
      <c r="B19" s="3" t="s">
        <v>805</v>
      </c>
      <c r="C19" s="117">
        <v>1.5</v>
      </c>
      <c r="D19" s="117">
        <v>1.9</v>
      </c>
      <c r="E19" s="117">
        <v>1.9</v>
      </c>
      <c r="F19" s="117">
        <v>1.9</v>
      </c>
      <c r="G19" s="117">
        <v>1.9</v>
      </c>
      <c r="H19" s="117">
        <v>1.9</v>
      </c>
      <c r="I19" s="117">
        <v>1.9</v>
      </c>
      <c r="J19" s="117">
        <v>1.9</v>
      </c>
      <c r="K19" s="250"/>
      <c r="L19" s="629">
        <v>15</v>
      </c>
      <c r="M19" s="625"/>
      <c r="N19" s="625">
        <v>1.5</v>
      </c>
      <c r="O19" s="626" t="s">
        <v>6219</v>
      </c>
      <c r="P19" s="625">
        <v>1.9</v>
      </c>
      <c r="Q19" s="626" t="s">
        <v>6219</v>
      </c>
      <c r="R19" s="625">
        <v>1.9</v>
      </c>
      <c r="S19" s="626" t="s">
        <v>6219</v>
      </c>
      <c r="T19" s="625">
        <v>1.9</v>
      </c>
      <c r="U19" s="626" t="s">
        <v>6219</v>
      </c>
      <c r="V19" s="625">
        <v>1.9</v>
      </c>
      <c r="W19" s="626" t="s">
        <v>6219</v>
      </c>
      <c r="X19" s="625">
        <v>1.9</v>
      </c>
      <c r="Y19" s="626" t="s">
        <v>6219</v>
      </c>
      <c r="Z19" s="625">
        <v>1.9</v>
      </c>
      <c r="AA19" s="626" t="s">
        <v>6219</v>
      </c>
      <c r="AB19" s="625">
        <v>1.9</v>
      </c>
      <c r="AC19" s="626" t="s">
        <v>6219</v>
      </c>
    </row>
    <row r="20" spans="1:29">
      <c r="A20" s="27"/>
      <c r="B20" s="3" t="s">
        <v>6133</v>
      </c>
      <c r="C20" s="117">
        <v>0.4</v>
      </c>
      <c r="D20" s="117">
        <v>1</v>
      </c>
      <c r="E20" s="117">
        <v>0.4</v>
      </c>
      <c r="F20" s="117">
        <v>0.4</v>
      </c>
      <c r="G20" s="117">
        <v>1</v>
      </c>
      <c r="H20" s="117">
        <v>0.4</v>
      </c>
      <c r="I20" s="117">
        <v>0.4</v>
      </c>
      <c r="J20" s="117">
        <v>1</v>
      </c>
      <c r="K20" s="250"/>
      <c r="L20" s="629">
        <v>16</v>
      </c>
      <c r="M20" s="625"/>
      <c r="N20" s="625">
        <v>0.4</v>
      </c>
      <c r="O20" s="626" t="s">
        <v>6219</v>
      </c>
      <c r="P20" s="625">
        <v>1</v>
      </c>
      <c r="Q20" s="626" t="s">
        <v>6219</v>
      </c>
      <c r="R20" s="625">
        <v>0.4</v>
      </c>
      <c r="S20" s="626" t="s">
        <v>6219</v>
      </c>
      <c r="T20" s="625">
        <v>0.4</v>
      </c>
      <c r="U20" s="626" t="s">
        <v>6219</v>
      </c>
      <c r="V20" s="625">
        <v>1</v>
      </c>
      <c r="W20" s="626" t="s">
        <v>6219</v>
      </c>
      <c r="X20" s="625">
        <v>0.4</v>
      </c>
      <c r="Y20" s="626" t="s">
        <v>6219</v>
      </c>
      <c r="Z20" s="625">
        <v>0.4</v>
      </c>
      <c r="AA20" s="626" t="s">
        <v>6219</v>
      </c>
      <c r="AB20" s="625">
        <v>1</v>
      </c>
      <c r="AC20" s="626" t="s">
        <v>6219</v>
      </c>
    </row>
    <row r="21" spans="1:29">
      <c r="A21" s="27"/>
      <c r="B21" s="3" t="s">
        <v>2614</v>
      </c>
      <c r="C21" s="117">
        <v>2.2999999999999998</v>
      </c>
      <c r="D21" s="117">
        <v>1.9</v>
      </c>
      <c r="E21" s="117">
        <v>2.2999999999999998</v>
      </c>
      <c r="F21" s="117">
        <v>2.2999999999999998</v>
      </c>
      <c r="G21" s="117">
        <v>1.9</v>
      </c>
      <c r="H21" s="117">
        <v>2.2999999999999998</v>
      </c>
      <c r="I21" s="117">
        <v>2.2999999999999998</v>
      </c>
      <c r="J21" s="117">
        <v>1.9</v>
      </c>
      <c r="K21" s="250"/>
      <c r="L21" s="629">
        <v>17</v>
      </c>
      <c r="M21" s="625"/>
      <c r="N21" s="625">
        <v>2.2999999999999998</v>
      </c>
      <c r="O21" s="626" t="s">
        <v>6219</v>
      </c>
      <c r="P21" s="625">
        <v>1.9</v>
      </c>
      <c r="Q21" s="626" t="s">
        <v>6219</v>
      </c>
      <c r="R21" s="625">
        <v>2.2999999999999998</v>
      </c>
      <c r="S21" s="626" t="s">
        <v>6219</v>
      </c>
      <c r="T21" s="625">
        <v>2.2999999999999998</v>
      </c>
      <c r="U21" s="626" t="s">
        <v>6219</v>
      </c>
      <c r="V21" s="625">
        <v>1.9</v>
      </c>
      <c r="W21" s="626" t="s">
        <v>6219</v>
      </c>
      <c r="X21" s="625">
        <v>2.2999999999999998</v>
      </c>
      <c r="Y21" s="626" t="s">
        <v>6219</v>
      </c>
      <c r="Z21" s="625">
        <v>2.2999999999999998</v>
      </c>
      <c r="AA21" s="626" t="s">
        <v>6219</v>
      </c>
      <c r="AB21" s="625">
        <v>1.9</v>
      </c>
      <c r="AC21" s="626" t="s">
        <v>6219</v>
      </c>
    </row>
    <row r="22" spans="1:29">
      <c r="A22" s="638"/>
      <c r="B22" s="636" t="s">
        <v>6134</v>
      </c>
      <c r="C22" s="637">
        <v>1.3</v>
      </c>
      <c r="D22" s="637">
        <v>1.3</v>
      </c>
      <c r="E22" s="637">
        <v>1.3</v>
      </c>
      <c r="F22" s="637">
        <v>1.3</v>
      </c>
      <c r="G22" s="637">
        <v>1.3</v>
      </c>
      <c r="H22" s="637">
        <v>1.3</v>
      </c>
      <c r="I22" s="637">
        <v>1.3</v>
      </c>
      <c r="J22" s="637">
        <v>1.3</v>
      </c>
      <c r="K22" s="639"/>
      <c r="L22" s="629">
        <v>18</v>
      </c>
      <c r="M22" s="625"/>
      <c r="N22" s="625">
        <v>1.3</v>
      </c>
      <c r="O22" s="626" t="s">
        <v>6219</v>
      </c>
      <c r="P22" s="625">
        <v>1.3</v>
      </c>
      <c r="Q22" s="626" t="s">
        <v>6219</v>
      </c>
      <c r="R22" s="625">
        <v>1.3</v>
      </c>
      <c r="S22" s="626" t="s">
        <v>6219</v>
      </c>
      <c r="T22" s="625">
        <v>1.3</v>
      </c>
      <c r="U22" s="626" t="s">
        <v>6219</v>
      </c>
      <c r="V22" s="625">
        <v>1.3</v>
      </c>
      <c r="W22" s="626" t="s">
        <v>6219</v>
      </c>
      <c r="X22" s="625">
        <v>1.3</v>
      </c>
      <c r="Y22" s="626" t="s">
        <v>6219</v>
      </c>
      <c r="Z22" s="625">
        <v>1.3</v>
      </c>
      <c r="AA22" s="626" t="s">
        <v>6219</v>
      </c>
      <c r="AB22" s="625">
        <v>1.3</v>
      </c>
      <c r="AC22" s="626" t="s">
        <v>6219</v>
      </c>
    </row>
    <row r="23" spans="1:29">
      <c r="A23" s="638"/>
      <c r="B23" s="636" t="s">
        <v>6135</v>
      </c>
      <c r="C23" s="637">
        <v>2.5</v>
      </c>
      <c r="D23" s="637">
        <v>2.5</v>
      </c>
      <c r="E23" s="637">
        <v>2.5</v>
      </c>
      <c r="F23" s="637">
        <v>2.5</v>
      </c>
      <c r="G23" s="637">
        <v>2.5</v>
      </c>
      <c r="H23" s="637">
        <v>2.5</v>
      </c>
      <c r="I23" s="637">
        <v>2.5</v>
      </c>
      <c r="J23" s="637">
        <v>2.5</v>
      </c>
      <c r="K23" s="639"/>
      <c r="L23" s="629">
        <v>19</v>
      </c>
      <c r="M23" s="625"/>
      <c r="N23" s="625">
        <v>2.5</v>
      </c>
      <c r="O23" s="626" t="s">
        <v>6219</v>
      </c>
      <c r="P23" s="625">
        <v>2.5</v>
      </c>
      <c r="Q23" s="626" t="s">
        <v>6219</v>
      </c>
      <c r="R23" s="625">
        <v>2.5</v>
      </c>
      <c r="S23" s="626" t="s">
        <v>6219</v>
      </c>
      <c r="T23" s="625">
        <v>2.5</v>
      </c>
      <c r="U23" s="626" t="s">
        <v>6219</v>
      </c>
      <c r="V23" s="625">
        <v>2.5</v>
      </c>
      <c r="W23" s="626" t="s">
        <v>6219</v>
      </c>
      <c r="X23" s="625">
        <v>2.5</v>
      </c>
      <c r="Y23" s="626" t="s">
        <v>6219</v>
      </c>
      <c r="Z23" s="625">
        <v>2.5</v>
      </c>
      <c r="AA23" s="626" t="s">
        <v>6219</v>
      </c>
      <c r="AB23" s="625">
        <v>2.5</v>
      </c>
      <c r="AC23" s="626" t="s">
        <v>6219</v>
      </c>
    </row>
    <row r="24" spans="1:29" ht="12.75" customHeight="1">
      <c r="A24" s="27" t="s">
        <v>6220</v>
      </c>
      <c r="B24" s="3"/>
      <c r="C24" s="3"/>
      <c r="D24" s="3"/>
      <c r="E24" s="3"/>
      <c r="F24" s="3"/>
      <c r="G24" s="3"/>
      <c r="H24" s="3"/>
      <c r="I24" s="3"/>
      <c r="J24" s="3"/>
      <c r="K24" s="640"/>
      <c r="L24" s="629">
        <v>20</v>
      </c>
      <c r="M24" s="625"/>
      <c r="N24" s="625"/>
      <c r="O24" s="625"/>
      <c r="P24" s="625"/>
      <c r="Q24" s="626"/>
      <c r="R24" s="625"/>
      <c r="S24" s="626"/>
      <c r="T24" s="625"/>
      <c r="U24" s="626"/>
      <c r="V24" s="625"/>
      <c r="W24" s="626"/>
      <c r="X24" s="625"/>
      <c r="Y24" s="626"/>
      <c r="Z24" s="625"/>
      <c r="AA24" s="626"/>
      <c r="AB24" s="625"/>
      <c r="AC24" s="626"/>
    </row>
    <row r="25" spans="1:29">
      <c r="A25" s="27"/>
      <c r="B25" s="3" t="s">
        <v>6136</v>
      </c>
      <c r="C25" s="117">
        <v>0.8</v>
      </c>
      <c r="D25" s="117">
        <v>0.75</v>
      </c>
      <c r="E25" s="117">
        <v>0.8</v>
      </c>
      <c r="F25" s="117">
        <v>0.8</v>
      </c>
      <c r="G25" s="117">
        <v>0.7</v>
      </c>
      <c r="H25" s="117">
        <v>0.9</v>
      </c>
      <c r="I25" s="117">
        <v>0.9</v>
      </c>
      <c r="J25" s="117">
        <v>0.7</v>
      </c>
      <c r="K25" s="250"/>
      <c r="L25" s="629">
        <v>21</v>
      </c>
      <c r="M25" s="625"/>
      <c r="N25" s="625">
        <v>0.8</v>
      </c>
      <c r="O25" s="626" t="s">
        <v>6219</v>
      </c>
      <c r="P25" s="625">
        <v>0.75</v>
      </c>
      <c r="Q25" s="626" t="s">
        <v>6219</v>
      </c>
      <c r="R25" s="625">
        <v>0.8</v>
      </c>
      <c r="S25" s="626" t="s">
        <v>6219</v>
      </c>
      <c r="T25" s="625">
        <v>0.8</v>
      </c>
      <c r="U25" s="626" t="s">
        <v>6219</v>
      </c>
      <c r="V25" s="625">
        <v>0.7</v>
      </c>
      <c r="W25" s="626" t="s">
        <v>6219</v>
      </c>
      <c r="X25" s="625">
        <v>0.9</v>
      </c>
      <c r="Y25" s="626" t="s">
        <v>6219</v>
      </c>
      <c r="Z25" s="625">
        <v>0.9</v>
      </c>
      <c r="AA25" s="626" t="s">
        <v>6219</v>
      </c>
      <c r="AB25" s="625">
        <v>0.7</v>
      </c>
      <c r="AC25" s="626" t="s">
        <v>6219</v>
      </c>
    </row>
    <row r="26" spans="1:29">
      <c r="A26" s="27"/>
      <c r="B26" s="3" t="s">
        <v>2501</v>
      </c>
      <c r="C26" s="117">
        <v>0.75</v>
      </c>
      <c r="D26" s="117">
        <v>0.25</v>
      </c>
      <c r="E26" s="117">
        <v>0.75</v>
      </c>
      <c r="F26" s="117">
        <v>0.75</v>
      </c>
      <c r="G26" s="117">
        <v>0</v>
      </c>
      <c r="H26" s="117">
        <v>0.75</v>
      </c>
      <c r="I26" s="117">
        <v>0.75</v>
      </c>
      <c r="J26" s="117">
        <v>0</v>
      </c>
      <c r="K26" s="250"/>
      <c r="L26" s="629">
        <v>22</v>
      </c>
      <c r="M26" s="625"/>
      <c r="N26" s="625">
        <v>0.75</v>
      </c>
      <c r="O26" s="626" t="s">
        <v>6219</v>
      </c>
      <c r="P26" s="625">
        <v>0.25</v>
      </c>
      <c r="Q26" s="626" t="s">
        <v>6219</v>
      </c>
      <c r="R26" s="625">
        <v>0.75</v>
      </c>
      <c r="S26" s="626" t="s">
        <v>6219</v>
      </c>
      <c r="T26" s="625">
        <v>0.75</v>
      </c>
      <c r="U26" s="626" t="s">
        <v>6219</v>
      </c>
      <c r="V26" s="625">
        <v>0</v>
      </c>
      <c r="W26" s="626" t="s">
        <v>6219</v>
      </c>
      <c r="X26" s="625">
        <v>0.75</v>
      </c>
      <c r="Y26" s="626" t="s">
        <v>6219</v>
      </c>
      <c r="Z26" s="625">
        <v>0.75</v>
      </c>
      <c r="AA26" s="626" t="s">
        <v>6219</v>
      </c>
      <c r="AB26" s="625">
        <v>0</v>
      </c>
      <c r="AC26" s="626" t="s">
        <v>6219</v>
      </c>
    </row>
    <row r="27" spans="1:29">
      <c r="A27" s="27"/>
      <c r="B27" s="3" t="s">
        <v>1060</v>
      </c>
      <c r="C27" s="117">
        <v>0.9</v>
      </c>
      <c r="D27" s="117">
        <v>0.9</v>
      </c>
      <c r="E27" s="117">
        <v>0.9</v>
      </c>
      <c r="F27" s="117">
        <v>0.9</v>
      </c>
      <c r="G27" s="117">
        <v>0.9</v>
      </c>
      <c r="H27" s="117">
        <v>0.9</v>
      </c>
      <c r="I27" s="117">
        <v>0.9</v>
      </c>
      <c r="J27" s="117">
        <v>0.9</v>
      </c>
      <c r="K27" s="250"/>
      <c r="L27" s="629">
        <v>23</v>
      </c>
      <c r="M27" s="625"/>
      <c r="N27" s="625">
        <v>0.9</v>
      </c>
      <c r="O27" s="626" t="s">
        <v>6219</v>
      </c>
      <c r="P27" s="625">
        <v>0.9</v>
      </c>
      <c r="Q27" s="626" t="s">
        <v>6219</v>
      </c>
      <c r="R27" s="625">
        <v>0.9</v>
      </c>
      <c r="S27" s="626" t="s">
        <v>6219</v>
      </c>
      <c r="T27" s="625">
        <v>0.9</v>
      </c>
      <c r="U27" s="626" t="s">
        <v>6219</v>
      </c>
      <c r="V27" s="625">
        <v>0.9</v>
      </c>
      <c r="W27" s="626" t="s">
        <v>6219</v>
      </c>
      <c r="X27" s="625">
        <v>0.9</v>
      </c>
      <c r="Y27" s="626" t="s">
        <v>6219</v>
      </c>
      <c r="Z27" s="625">
        <v>0.9</v>
      </c>
      <c r="AA27" s="626" t="s">
        <v>6219</v>
      </c>
      <c r="AB27" s="625">
        <v>0.9</v>
      </c>
      <c r="AC27" s="626" t="s">
        <v>6219</v>
      </c>
    </row>
    <row r="28" spans="1:29">
      <c r="A28" s="27"/>
      <c r="B28" s="3" t="s">
        <v>2502</v>
      </c>
      <c r="C28" s="117">
        <v>0.75</v>
      </c>
      <c r="D28" s="117">
        <v>0.25</v>
      </c>
      <c r="E28" s="117">
        <v>0.75</v>
      </c>
      <c r="F28" s="117">
        <v>0.75</v>
      </c>
      <c r="G28" s="117">
        <v>0</v>
      </c>
      <c r="H28" s="117">
        <v>0.75</v>
      </c>
      <c r="I28" s="117">
        <v>0.75</v>
      </c>
      <c r="J28" s="117">
        <v>0</v>
      </c>
      <c r="K28" s="250"/>
      <c r="L28" s="629">
        <v>24</v>
      </c>
      <c r="M28" s="625"/>
      <c r="N28" s="625">
        <v>0.75</v>
      </c>
      <c r="O28" s="626" t="s">
        <v>6219</v>
      </c>
      <c r="P28" s="625">
        <v>0.25</v>
      </c>
      <c r="Q28" s="626" t="s">
        <v>6219</v>
      </c>
      <c r="R28" s="625">
        <v>0.75</v>
      </c>
      <c r="S28" s="626" t="s">
        <v>6219</v>
      </c>
      <c r="T28" s="625">
        <v>0.75</v>
      </c>
      <c r="U28" s="626" t="s">
        <v>6219</v>
      </c>
      <c r="V28" s="625">
        <v>0</v>
      </c>
      <c r="W28" s="626" t="s">
        <v>6219</v>
      </c>
      <c r="X28" s="625">
        <v>0.75</v>
      </c>
      <c r="Y28" s="626" t="s">
        <v>6219</v>
      </c>
      <c r="Z28" s="625">
        <v>0.75</v>
      </c>
      <c r="AA28" s="626" t="s">
        <v>6219</v>
      </c>
      <c r="AB28" s="625">
        <v>0</v>
      </c>
      <c r="AC28" s="626" t="s">
        <v>6219</v>
      </c>
    </row>
    <row r="29" spans="1:29">
      <c r="A29" s="27"/>
      <c r="B29" s="3" t="s">
        <v>6137</v>
      </c>
      <c r="C29" s="117">
        <v>0.8</v>
      </c>
      <c r="D29" s="117">
        <v>0.3</v>
      </c>
      <c r="E29" s="117">
        <v>0.8</v>
      </c>
      <c r="F29" s="117">
        <v>0.8</v>
      </c>
      <c r="G29" s="117">
        <v>0</v>
      </c>
      <c r="H29" s="117">
        <v>0.8</v>
      </c>
      <c r="I29" s="117">
        <v>0.8</v>
      </c>
      <c r="J29" s="117">
        <v>0</v>
      </c>
      <c r="K29" s="250"/>
      <c r="L29" s="629">
        <v>25</v>
      </c>
      <c r="M29" s="625"/>
      <c r="N29" s="625">
        <v>0.8</v>
      </c>
      <c r="O29" s="626" t="s">
        <v>6219</v>
      </c>
      <c r="P29" s="625">
        <v>0.3</v>
      </c>
      <c r="Q29" s="626" t="s">
        <v>6219</v>
      </c>
      <c r="R29" s="625">
        <v>0.8</v>
      </c>
      <c r="S29" s="626" t="s">
        <v>6219</v>
      </c>
      <c r="T29" s="625">
        <v>0.8</v>
      </c>
      <c r="U29" s="626" t="s">
        <v>6219</v>
      </c>
      <c r="V29" s="625">
        <v>0</v>
      </c>
      <c r="W29" s="626" t="s">
        <v>6219</v>
      </c>
      <c r="X29" s="625">
        <v>0.8</v>
      </c>
      <c r="Y29" s="626" t="s">
        <v>6219</v>
      </c>
      <c r="Z29" s="625">
        <v>0.8</v>
      </c>
      <c r="AA29" s="626" t="s">
        <v>6219</v>
      </c>
      <c r="AB29" s="625">
        <v>0</v>
      </c>
      <c r="AC29" s="626" t="s">
        <v>6219</v>
      </c>
    </row>
    <row r="30" spans="1:29">
      <c r="A30" s="27"/>
      <c r="B30" s="3" t="s">
        <v>2030</v>
      </c>
      <c r="C30" s="117">
        <v>0.5</v>
      </c>
      <c r="D30" s="117">
        <v>0.5</v>
      </c>
      <c r="E30" s="117">
        <v>0.5</v>
      </c>
      <c r="F30" s="117">
        <v>0.5</v>
      </c>
      <c r="G30" s="117">
        <v>0</v>
      </c>
      <c r="H30" s="117">
        <v>0.5</v>
      </c>
      <c r="I30" s="117">
        <v>0.5</v>
      </c>
      <c r="J30" s="117">
        <v>0</v>
      </c>
      <c r="K30" s="250"/>
      <c r="L30" s="629">
        <v>26</v>
      </c>
      <c r="M30" s="625"/>
      <c r="N30" s="625">
        <v>0.5</v>
      </c>
      <c r="O30" s="626" t="s">
        <v>6219</v>
      </c>
      <c r="P30" s="625">
        <v>0.5</v>
      </c>
      <c r="Q30" s="626" t="s">
        <v>6219</v>
      </c>
      <c r="R30" s="625">
        <v>0.5</v>
      </c>
      <c r="S30" s="626" t="s">
        <v>6219</v>
      </c>
      <c r="T30" s="625">
        <v>0.5</v>
      </c>
      <c r="U30" s="626" t="s">
        <v>6219</v>
      </c>
      <c r="V30" s="625">
        <v>0</v>
      </c>
      <c r="W30" s="626" t="s">
        <v>6219</v>
      </c>
      <c r="X30" s="625">
        <v>0.5</v>
      </c>
      <c r="Y30" s="626" t="s">
        <v>6219</v>
      </c>
      <c r="Z30" s="625">
        <v>0.5</v>
      </c>
      <c r="AA30" s="626" t="s">
        <v>6219</v>
      </c>
      <c r="AB30" s="625">
        <v>0</v>
      </c>
      <c r="AC30" s="626" t="s">
        <v>6219</v>
      </c>
    </row>
    <row r="31" spans="1:29">
      <c r="A31" s="27"/>
      <c r="B31" s="3" t="s">
        <v>6138</v>
      </c>
      <c r="C31" s="117">
        <v>0.8</v>
      </c>
      <c r="D31" s="117">
        <v>0.75</v>
      </c>
      <c r="E31" s="117">
        <v>0.8</v>
      </c>
      <c r="F31" s="117">
        <v>0.8</v>
      </c>
      <c r="G31" s="117">
        <v>0.7</v>
      </c>
      <c r="H31" s="117">
        <v>0.9</v>
      </c>
      <c r="I31" s="117">
        <v>0.9</v>
      </c>
      <c r="J31" s="117">
        <v>0.7</v>
      </c>
      <c r="K31" s="250"/>
      <c r="L31" s="629">
        <v>27</v>
      </c>
      <c r="M31" s="625"/>
      <c r="N31" s="625">
        <v>0.8</v>
      </c>
      <c r="O31" s="626" t="s">
        <v>6219</v>
      </c>
      <c r="P31" s="625">
        <v>0.75</v>
      </c>
      <c r="Q31" s="626" t="s">
        <v>6219</v>
      </c>
      <c r="R31" s="625">
        <v>0.8</v>
      </c>
      <c r="S31" s="626" t="s">
        <v>6219</v>
      </c>
      <c r="T31" s="625">
        <v>0.8</v>
      </c>
      <c r="U31" s="626" t="s">
        <v>6219</v>
      </c>
      <c r="V31" s="625">
        <v>0.7</v>
      </c>
      <c r="W31" s="626" t="s">
        <v>6219</v>
      </c>
      <c r="X31" s="625">
        <v>0.9</v>
      </c>
      <c r="Y31" s="626" t="s">
        <v>6219</v>
      </c>
      <c r="Z31" s="625">
        <v>0.9</v>
      </c>
      <c r="AA31" s="626" t="s">
        <v>6219</v>
      </c>
      <c r="AB31" s="625">
        <v>0.7</v>
      </c>
      <c r="AC31" s="626" t="s">
        <v>6219</v>
      </c>
    </row>
    <row r="32" spans="1:29">
      <c r="A32" s="27"/>
      <c r="B32" s="3" t="s">
        <v>6139</v>
      </c>
      <c r="C32" s="117">
        <v>0.8</v>
      </c>
      <c r="D32" s="117">
        <v>0.75</v>
      </c>
      <c r="E32" s="117">
        <v>0.8</v>
      </c>
      <c r="F32" s="117">
        <v>0.8</v>
      </c>
      <c r="G32" s="117">
        <v>0.7</v>
      </c>
      <c r="H32" s="117">
        <v>0.9</v>
      </c>
      <c r="I32" s="117">
        <v>0.9</v>
      </c>
      <c r="J32" s="117">
        <v>0.7</v>
      </c>
      <c r="K32" s="250"/>
      <c r="L32" s="629">
        <v>28</v>
      </c>
      <c r="M32" s="625"/>
      <c r="N32" s="625">
        <v>0.8</v>
      </c>
      <c r="O32" s="626" t="s">
        <v>6219</v>
      </c>
      <c r="P32" s="625">
        <v>0.75</v>
      </c>
      <c r="Q32" s="626" t="s">
        <v>6219</v>
      </c>
      <c r="R32" s="625">
        <v>0.8</v>
      </c>
      <c r="S32" s="626" t="s">
        <v>6219</v>
      </c>
      <c r="T32" s="625">
        <v>0.8</v>
      </c>
      <c r="U32" s="626" t="s">
        <v>6219</v>
      </c>
      <c r="V32" s="625">
        <v>0.7</v>
      </c>
      <c r="W32" s="626" t="s">
        <v>6219</v>
      </c>
      <c r="X32" s="625">
        <v>0.9</v>
      </c>
      <c r="Y32" s="626" t="s">
        <v>6219</v>
      </c>
      <c r="Z32" s="625">
        <v>0.9</v>
      </c>
      <c r="AA32" s="626" t="s">
        <v>6219</v>
      </c>
      <c r="AB32" s="625">
        <v>0.7</v>
      </c>
      <c r="AC32" s="626" t="s">
        <v>6219</v>
      </c>
    </row>
    <row r="33" spans="1:29">
      <c r="A33" s="27"/>
      <c r="B33" s="3" t="s">
        <v>805</v>
      </c>
      <c r="C33" s="117">
        <v>0.9</v>
      </c>
      <c r="D33" s="117">
        <v>0.9</v>
      </c>
      <c r="E33" s="117">
        <v>0.9</v>
      </c>
      <c r="F33" s="117">
        <v>0.9</v>
      </c>
      <c r="G33" s="117">
        <v>0.9</v>
      </c>
      <c r="H33" s="117">
        <v>0.9</v>
      </c>
      <c r="I33" s="117">
        <v>0.9</v>
      </c>
      <c r="J33" s="117">
        <v>0.9</v>
      </c>
      <c r="K33" s="250"/>
      <c r="L33" s="629">
        <v>29</v>
      </c>
      <c r="M33" s="625"/>
      <c r="N33" s="625">
        <v>0.9</v>
      </c>
      <c r="O33" s="626" t="s">
        <v>6219</v>
      </c>
      <c r="P33" s="625">
        <v>0.9</v>
      </c>
      <c r="Q33" s="626" t="s">
        <v>6219</v>
      </c>
      <c r="R33" s="625">
        <v>0.9</v>
      </c>
      <c r="S33" s="626" t="s">
        <v>6219</v>
      </c>
      <c r="T33" s="625">
        <v>0.9</v>
      </c>
      <c r="U33" s="626" t="s">
        <v>6219</v>
      </c>
      <c r="V33" s="625">
        <v>0.9</v>
      </c>
      <c r="W33" s="626" t="s">
        <v>6219</v>
      </c>
      <c r="X33" s="625">
        <v>0.9</v>
      </c>
      <c r="Y33" s="626" t="s">
        <v>6219</v>
      </c>
      <c r="Z33" s="625">
        <v>0.9</v>
      </c>
      <c r="AA33" s="626" t="s">
        <v>6219</v>
      </c>
      <c r="AB33" s="625">
        <v>0.9</v>
      </c>
      <c r="AC33" s="626" t="s">
        <v>6219</v>
      </c>
    </row>
    <row r="34" spans="1:29">
      <c r="A34" s="27"/>
      <c r="B34" s="3" t="s">
        <v>3916</v>
      </c>
      <c r="C34" s="117">
        <v>0.5</v>
      </c>
      <c r="D34" s="117">
        <v>0.5</v>
      </c>
      <c r="E34" s="117">
        <v>0.5</v>
      </c>
      <c r="F34" s="117">
        <v>0.5</v>
      </c>
      <c r="G34" s="117">
        <v>0.5</v>
      </c>
      <c r="H34" s="117">
        <v>0.5</v>
      </c>
      <c r="I34" s="117">
        <v>0.5</v>
      </c>
      <c r="J34" s="117">
        <v>0.5</v>
      </c>
      <c r="K34" s="250"/>
      <c r="L34" s="629">
        <v>30</v>
      </c>
      <c r="M34" s="625"/>
      <c r="N34" s="625">
        <v>0.5</v>
      </c>
      <c r="O34" s="626" t="s">
        <v>6219</v>
      </c>
      <c r="P34" s="625">
        <v>0.5</v>
      </c>
      <c r="Q34" s="626" t="s">
        <v>6219</v>
      </c>
      <c r="R34" s="625">
        <v>0.5</v>
      </c>
      <c r="S34" s="626" t="s">
        <v>6219</v>
      </c>
      <c r="T34" s="625">
        <v>0.5</v>
      </c>
      <c r="U34" s="626" t="s">
        <v>6219</v>
      </c>
      <c r="V34" s="625">
        <v>0.5</v>
      </c>
      <c r="W34" s="626" t="s">
        <v>6219</v>
      </c>
      <c r="X34" s="625">
        <v>0.5</v>
      </c>
      <c r="Y34" s="626" t="s">
        <v>6219</v>
      </c>
      <c r="Z34" s="625">
        <v>0.5</v>
      </c>
      <c r="AA34" s="626" t="s">
        <v>6219</v>
      </c>
      <c r="AB34" s="625">
        <v>0.5</v>
      </c>
      <c r="AC34" s="626" t="s">
        <v>6219</v>
      </c>
    </row>
    <row r="35" spans="1:29">
      <c r="A35" s="27"/>
      <c r="B35" s="3" t="s">
        <v>6140</v>
      </c>
      <c r="C35" s="117">
        <v>0.7</v>
      </c>
      <c r="D35" s="117">
        <v>0.7</v>
      </c>
      <c r="E35" s="117">
        <v>0.7</v>
      </c>
      <c r="F35" s="117">
        <v>0.7</v>
      </c>
      <c r="G35" s="117">
        <v>0.7</v>
      </c>
      <c r="H35" s="117">
        <v>0.7</v>
      </c>
      <c r="I35" s="117">
        <v>0.7</v>
      </c>
      <c r="J35" s="117">
        <v>0.7</v>
      </c>
      <c r="K35" s="250"/>
      <c r="L35" s="629">
        <v>31</v>
      </c>
      <c r="M35" s="625"/>
      <c r="N35" s="625">
        <v>0.7</v>
      </c>
      <c r="O35" s="626" t="s">
        <v>6219</v>
      </c>
      <c r="P35" s="625">
        <v>0.7</v>
      </c>
      <c r="Q35" s="626" t="s">
        <v>6219</v>
      </c>
      <c r="R35" s="625">
        <v>0.7</v>
      </c>
      <c r="S35" s="626" t="s">
        <v>6219</v>
      </c>
      <c r="T35" s="625">
        <v>0.7</v>
      </c>
      <c r="U35" s="626" t="s">
        <v>6219</v>
      </c>
      <c r="V35" s="625">
        <v>0.7</v>
      </c>
      <c r="W35" s="626" t="s">
        <v>6219</v>
      </c>
      <c r="X35" s="625">
        <v>0.7</v>
      </c>
      <c r="Y35" s="626" t="s">
        <v>6219</v>
      </c>
      <c r="Z35" s="625">
        <v>0.7</v>
      </c>
      <c r="AA35" s="626" t="s">
        <v>6219</v>
      </c>
      <c r="AB35" s="625">
        <v>0.7</v>
      </c>
      <c r="AC35" s="626" t="s">
        <v>6219</v>
      </c>
    </row>
    <row r="36" spans="1:29" ht="12.75" customHeight="1">
      <c r="A36" s="27" t="s">
        <v>6141</v>
      </c>
      <c r="B36" s="3"/>
      <c r="C36" s="3"/>
      <c r="D36" s="3"/>
      <c r="E36" s="3"/>
      <c r="F36" s="3"/>
      <c r="G36" s="3"/>
      <c r="H36" s="3"/>
      <c r="I36" s="3"/>
      <c r="J36" s="3"/>
      <c r="K36" s="640"/>
      <c r="L36" s="629">
        <v>32</v>
      </c>
      <c r="M36" s="625"/>
      <c r="N36" s="1710" t="s">
        <v>6142</v>
      </c>
      <c r="O36" s="1710"/>
      <c r="P36" s="1710"/>
      <c r="Q36" s="1710"/>
      <c r="R36" s="1710"/>
      <c r="S36" s="1710"/>
      <c r="T36" s="1710"/>
      <c r="U36" s="1710"/>
      <c r="V36" s="1710"/>
      <c r="W36" s="625"/>
      <c r="X36" s="625"/>
      <c r="Y36" s="625"/>
      <c r="Z36" s="625"/>
      <c r="AA36" s="625"/>
      <c r="AB36" s="625"/>
      <c r="AC36" s="625"/>
    </row>
    <row r="37" spans="1:29" ht="12.75" customHeight="1">
      <c r="A37" s="27"/>
      <c r="B37" s="3"/>
      <c r="C37" s="117">
        <v>0.24</v>
      </c>
      <c r="D37" s="117">
        <v>0.06</v>
      </c>
      <c r="E37" s="117">
        <v>0.5</v>
      </c>
      <c r="F37" s="117">
        <v>0.38</v>
      </c>
      <c r="G37" s="117">
        <v>0.05</v>
      </c>
      <c r="H37" s="117">
        <v>0.83</v>
      </c>
      <c r="I37" s="117">
        <v>0.41</v>
      </c>
      <c r="J37" s="117">
        <v>0.1</v>
      </c>
      <c r="K37" s="250"/>
      <c r="L37" s="629">
        <v>33</v>
      </c>
      <c r="M37" s="625"/>
      <c r="N37" s="633"/>
      <c r="O37" s="1710" t="s">
        <v>6143</v>
      </c>
      <c r="P37" s="1710"/>
      <c r="Q37" s="1710" t="s">
        <v>6144</v>
      </c>
      <c r="R37" s="1710"/>
      <c r="S37" s="1710" t="s">
        <v>6145</v>
      </c>
      <c r="T37" s="1710"/>
      <c r="U37" s="1710" t="s">
        <v>6146</v>
      </c>
      <c r="V37" s="1710"/>
      <c r="W37" s="625"/>
      <c r="X37" s="625"/>
      <c r="Y37" s="625"/>
      <c r="Z37" s="625"/>
      <c r="AA37" s="625"/>
      <c r="AB37" s="625"/>
      <c r="AC37" s="625"/>
    </row>
    <row r="38" spans="1:29" ht="30">
      <c r="A38" s="27" t="s">
        <v>6147</v>
      </c>
      <c r="B38" s="3"/>
      <c r="C38" s="3"/>
      <c r="D38" s="3"/>
      <c r="E38" s="3"/>
      <c r="F38" s="3"/>
      <c r="G38" s="3"/>
      <c r="H38" s="3"/>
      <c r="I38" s="3"/>
      <c r="J38" s="3"/>
      <c r="K38" s="640"/>
      <c r="L38" s="629">
        <v>34</v>
      </c>
      <c r="M38" s="625"/>
      <c r="N38" s="633" t="s">
        <v>6148</v>
      </c>
      <c r="O38" s="1710">
        <v>1.36</v>
      </c>
      <c r="P38" s="1710"/>
      <c r="Q38" s="1710">
        <v>1.23</v>
      </c>
      <c r="R38" s="1710"/>
      <c r="S38" s="1710">
        <v>1.18</v>
      </c>
      <c r="T38" s="1710"/>
      <c r="U38" s="1710">
        <v>1.1399999999999999</v>
      </c>
      <c r="V38" s="1710"/>
      <c r="W38" s="625"/>
      <c r="X38" s="625"/>
      <c r="Y38" s="625"/>
      <c r="Z38" s="625"/>
      <c r="AA38" s="625"/>
      <c r="AB38" s="625"/>
      <c r="AC38" s="625"/>
    </row>
    <row r="39" spans="1:29" ht="30">
      <c r="A39" s="27"/>
      <c r="B39" s="3" t="s">
        <v>2285</v>
      </c>
      <c r="C39" s="117">
        <v>0.28800000000000003</v>
      </c>
      <c r="D39" s="117">
        <v>6.7500000000000004E-2</v>
      </c>
      <c r="E39" s="117">
        <v>0.60000000000000009</v>
      </c>
      <c r="F39" s="117">
        <v>0.45600000000000007</v>
      </c>
      <c r="G39" s="117">
        <v>4.2000000000000003E-2</v>
      </c>
      <c r="H39" s="117">
        <v>1.2699</v>
      </c>
      <c r="I39" s="117">
        <v>0.8486999999999999</v>
      </c>
      <c r="J39" s="117">
        <v>6.9999999999999993E-2</v>
      </c>
      <c r="K39" s="250">
        <v>0.46</v>
      </c>
      <c r="L39" s="629">
        <v>35</v>
      </c>
      <c r="M39" s="625"/>
      <c r="N39" s="633" t="s">
        <v>6149</v>
      </c>
      <c r="O39" s="1710">
        <v>0.15</v>
      </c>
      <c r="P39" s="1710"/>
      <c r="Q39" s="1710">
        <v>0.15</v>
      </c>
      <c r="R39" s="1710"/>
      <c r="S39" s="1710">
        <v>0.15</v>
      </c>
      <c r="T39" s="1710"/>
      <c r="U39" s="1710">
        <v>0.15</v>
      </c>
      <c r="V39" s="1710"/>
      <c r="W39" s="625"/>
      <c r="X39" s="625"/>
      <c r="Y39" s="625"/>
      <c r="Z39" s="625"/>
      <c r="AA39" s="625"/>
      <c r="AB39" s="625"/>
      <c r="AC39" s="625"/>
    </row>
    <row r="40" spans="1:29">
      <c r="A40" s="27"/>
      <c r="B40" s="3" t="s">
        <v>2286</v>
      </c>
      <c r="C40" s="117">
        <v>0.192</v>
      </c>
      <c r="D40" s="117">
        <v>5.3999999999999992E-2</v>
      </c>
      <c r="E40" s="117">
        <v>0.48</v>
      </c>
      <c r="F40" s="117">
        <v>0.36480000000000001</v>
      </c>
      <c r="G40" s="117">
        <v>4.2000000000000003E-2</v>
      </c>
      <c r="H40" s="117">
        <v>1.1205000000000001</v>
      </c>
      <c r="I40" s="117">
        <v>0.55349999999999999</v>
      </c>
      <c r="J40" s="117">
        <v>8.4000000000000005E-2</v>
      </c>
      <c r="K40" s="250">
        <v>0.36</v>
      </c>
      <c r="L40" s="629">
        <v>36</v>
      </c>
      <c r="M40" s="625"/>
      <c r="N40" s="625"/>
      <c r="O40" s="625"/>
      <c r="P40" s="625"/>
      <c r="Q40" s="625"/>
      <c r="R40" s="625"/>
      <c r="S40" s="625"/>
      <c r="T40" s="625"/>
      <c r="U40" s="625"/>
      <c r="V40" s="625"/>
      <c r="W40" s="625"/>
      <c r="X40" s="625"/>
      <c r="Y40" s="625"/>
      <c r="Z40" s="625"/>
      <c r="AA40" s="625"/>
      <c r="AB40" s="625"/>
      <c r="AC40" s="625"/>
    </row>
    <row r="41" spans="1:29">
      <c r="A41" s="27"/>
      <c r="B41" s="3" t="s">
        <v>2175</v>
      </c>
      <c r="C41" s="117">
        <v>0.57600000000000007</v>
      </c>
      <c r="D41" s="117">
        <v>8.5499999999999993E-2</v>
      </c>
      <c r="E41" s="117">
        <v>1.2000000000000002</v>
      </c>
      <c r="F41" s="117">
        <v>0.91200000000000014</v>
      </c>
      <c r="G41" s="117">
        <v>4.2000000000000003E-2</v>
      </c>
      <c r="H41" s="117">
        <v>2.6144999999999996</v>
      </c>
      <c r="I41" s="117">
        <v>1.2914999999999999</v>
      </c>
      <c r="J41" s="117">
        <v>8.4000000000000005E-2</v>
      </c>
      <c r="K41" s="250">
        <v>0.85</v>
      </c>
      <c r="L41" s="629">
        <v>37</v>
      </c>
      <c r="M41" s="625"/>
      <c r="N41" s="625"/>
      <c r="O41" s="625"/>
      <c r="P41" s="625"/>
      <c r="Q41" s="625"/>
      <c r="R41" s="625"/>
      <c r="S41" s="625"/>
      <c r="T41" s="625"/>
      <c r="U41" s="625"/>
      <c r="V41" s="625"/>
      <c r="W41" s="625"/>
      <c r="X41" s="625"/>
      <c r="Y41" s="625"/>
      <c r="Z41" s="625"/>
      <c r="AA41" s="625"/>
      <c r="AB41" s="625"/>
      <c r="AC41" s="625"/>
    </row>
    <row r="42" spans="1:29">
      <c r="A42" s="27"/>
      <c r="B42" s="3" t="s">
        <v>2899</v>
      </c>
      <c r="C42" s="117">
        <v>0.57600000000000007</v>
      </c>
      <c r="D42" s="117">
        <v>8.5499999999999993E-2</v>
      </c>
      <c r="E42" s="117">
        <v>1.2000000000000002</v>
      </c>
      <c r="F42" s="117">
        <v>0.91200000000000014</v>
      </c>
      <c r="G42" s="117">
        <v>4.2000000000000003E-2</v>
      </c>
      <c r="H42" s="117">
        <v>2.6144999999999996</v>
      </c>
      <c r="I42" s="117">
        <v>1.2914999999999999</v>
      </c>
      <c r="J42" s="117">
        <v>8.4000000000000005E-2</v>
      </c>
      <c r="K42" s="250">
        <v>0.85</v>
      </c>
      <c r="L42" s="629">
        <v>38</v>
      </c>
      <c r="M42" s="625"/>
      <c r="N42" s="625"/>
      <c r="O42" s="625"/>
      <c r="P42" s="625"/>
      <c r="Q42" s="625"/>
      <c r="R42" s="625"/>
      <c r="S42" s="625"/>
      <c r="T42" s="625"/>
      <c r="U42" s="625"/>
      <c r="V42" s="625"/>
      <c r="W42" s="625"/>
      <c r="X42" s="625"/>
      <c r="Y42" s="625"/>
      <c r="Z42" s="625"/>
      <c r="AA42" s="625"/>
      <c r="AB42" s="625"/>
      <c r="AC42" s="625"/>
    </row>
    <row r="43" spans="1:29">
      <c r="A43" s="27"/>
      <c r="B43" s="3" t="s">
        <v>2805</v>
      </c>
      <c r="C43" s="117">
        <v>0.57600000000000007</v>
      </c>
      <c r="D43" s="117">
        <v>8.5499999999999993E-2</v>
      </c>
      <c r="E43" s="117">
        <v>1.2000000000000002</v>
      </c>
      <c r="F43" s="117">
        <v>0.91200000000000014</v>
      </c>
      <c r="G43" s="117">
        <v>4.2000000000000003E-2</v>
      </c>
      <c r="H43" s="117">
        <v>2.6144999999999996</v>
      </c>
      <c r="I43" s="117">
        <v>1.2914999999999999</v>
      </c>
      <c r="J43" s="117">
        <v>8.4000000000000005E-2</v>
      </c>
      <c r="K43" s="250">
        <v>0.85</v>
      </c>
      <c r="L43" s="629">
        <v>39</v>
      </c>
      <c r="M43" s="625"/>
      <c r="N43" s="625"/>
      <c r="O43" s="625"/>
      <c r="P43" s="625"/>
      <c r="Q43" s="625"/>
      <c r="R43" s="625"/>
      <c r="S43" s="625"/>
      <c r="T43" s="625"/>
      <c r="U43" s="625"/>
      <c r="V43" s="625"/>
      <c r="W43" s="625"/>
      <c r="X43" s="625"/>
      <c r="Y43" s="625"/>
      <c r="Z43" s="625"/>
      <c r="AA43" s="625"/>
      <c r="AB43" s="625"/>
      <c r="AC43" s="625"/>
    </row>
    <row r="44" spans="1:29">
      <c r="A44" s="27"/>
      <c r="B44" s="3" t="s">
        <v>2501</v>
      </c>
      <c r="C44" s="117">
        <v>0.18</v>
      </c>
      <c r="D44" s="117">
        <v>1.4999999999999999E-2</v>
      </c>
      <c r="E44" s="117">
        <v>0.375</v>
      </c>
      <c r="F44" s="117">
        <v>0.28500000000000003</v>
      </c>
      <c r="G44" s="117">
        <v>0</v>
      </c>
      <c r="H44" s="117">
        <v>0.62249999999999994</v>
      </c>
      <c r="I44" s="117">
        <v>0.3075</v>
      </c>
      <c r="J44" s="117">
        <v>0</v>
      </c>
      <c r="K44" s="250">
        <v>0.22</v>
      </c>
      <c r="L44" s="629">
        <v>40</v>
      </c>
      <c r="M44" s="625"/>
      <c r="N44" s="625"/>
      <c r="O44" s="625"/>
      <c r="P44" s="625"/>
      <c r="Q44" s="625"/>
      <c r="R44" s="625"/>
      <c r="S44" s="625"/>
      <c r="T44" s="625"/>
      <c r="U44" s="625"/>
      <c r="V44" s="625"/>
      <c r="W44" s="625"/>
      <c r="X44" s="625"/>
      <c r="Y44" s="625"/>
      <c r="Z44" s="625"/>
      <c r="AA44" s="625"/>
      <c r="AB44" s="625"/>
      <c r="AC44" s="625"/>
    </row>
    <row r="45" spans="1:29">
      <c r="A45" s="27"/>
      <c r="B45" s="3" t="s">
        <v>4664</v>
      </c>
      <c r="C45" s="117">
        <v>0.14400000000000002</v>
      </c>
      <c r="D45" s="117">
        <v>1.2E-2</v>
      </c>
      <c r="E45" s="117">
        <v>0.30000000000000004</v>
      </c>
      <c r="F45" s="117">
        <v>0.22800000000000004</v>
      </c>
      <c r="G45" s="117">
        <v>0</v>
      </c>
      <c r="H45" s="117">
        <v>0.49800000000000005</v>
      </c>
      <c r="I45" s="117">
        <v>0.24600000000000002</v>
      </c>
      <c r="J45" s="117">
        <v>0</v>
      </c>
      <c r="K45" s="250">
        <v>0.18</v>
      </c>
      <c r="L45" s="629">
        <v>41</v>
      </c>
      <c r="M45" s="625"/>
      <c r="N45" s="625"/>
      <c r="O45" s="625"/>
      <c r="P45" s="625"/>
      <c r="Q45" s="625"/>
      <c r="R45" s="625"/>
      <c r="S45" s="625"/>
      <c r="T45" s="625"/>
      <c r="U45" s="625"/>
      <c r="V45" s="625"/>
      <c r="W45" s="625"/>
      <c r="X45" s="625"/>
      <c r="Y45" s="625"/>
      <c r="Z45" s="625"/>
      <c r="AA45" s="625"/>
      <c r="AB45" s="625"/>
      <c r="AC45" s="625"/>
    </row>
    <row r="46" spans="1:29">
      <c r="A46" s="27"/>
      <c r="B46" s="3" t="s">
        <v>1060</v>
      </c>
      <c r="C46" s="117">
        <v>0.1512</v>
      </c>
      <c r="D46" s="117">
        <v>3.78E-2</v>
      </c>
      <c r="E46" s="117">
        <v>0.315</v>
      </c>
      <c r="F46" s="117">
        <v>0.2394</v>
      </c>
      <c r="G46" s="117">
        <v>3.15E-2</v>
      </c>
      <c r="H46" s="117">
        <v>0.52290000000000003</v>
      </c>
      <c r="I46" s="117">
        <v>0.25829999999999997</v>
      </c>
      <c r="J46" s="117">
        <v>6.3E-2</v>
      </c>
      <c r="K46" s="250">
        <v>0.2</v>
      </c>
      <c r="L46" s="629">
        <v>42</v>
      </c>
      <c r="M46" s="625"/>
      <c r="N46" s="625"/>
      <c r="O46" s="625"/>
      <c r="P46" s="625"/>
      <c r="Q46" s="625"/>
      <c r="R46" s="625"/>
      <c r="S46" s="625"/>
      <c r="T46" s="625"/>
      <c r="U46" s="625"/>
      <c r="V46" s="625"/>
      <c r="W46" s="625"/>
      <c r="X46" s="625"/>
      <c r="Y46" s="625"/>
      <c r="Z46" s="625"/>
      <c r="AA46" s="625"/>
      <c r="AB46" s="625"/>
      <c r="AC46" s="625"/>
    </row>
    <row r="47" spans="1:29">
      <c r="A47" s="27"/>
      <c r="B47" s="3" t="s">
        <v>2502</v>
      </c>
      <c r="C47" s="117">
        <v>0.12599999999999997</v>
      </c>
      <c r="D47" s="117">
        <v>7.4999999999999997E-3</v>
      </c>
      <c r="E47" s="117">
        <v>0.26249999999999996</v>
      </c>
      <c r="F47" s="117">
        <v>0.19949999999999996</v>
      </c>
      <c r="G47" s="117">
        <v>0</v>
      </c>
      <c r="H47" s="117">
        <v>0.43574999999999992</v>
      </c>
      <c r="I47" s="117">
        <v>0.21524999999999994</v>
      </c>
      <c r="J47" s="117">
        <v>0</v>
      </c>
      <c r="K47" s="250">
        <v>0.16</v>
      </c>
      <c r="L47" s="629">
        <v>43</v>
      </c>
      <c r="M47" s="625"/>
      <c r="N47" s="625"/>
      <c r="O47" s="625"/>
      <c r="P47" s="625"/>
      <c r="Q47" s="625"/>
      <c r="R47" s="625"/>
      <c r="S47" s="625"/>
      <c r="T47" s="625"/>
      <c r="U47" s="625"/>
      <c r="V47" s="625"/>
      <c r="W47" s="625"/>
      <c r="X47" s="625"/>
      <c r="Y47" s="625"/>
      <c r="Z47" s="625"/>
      <c r="AA47" s="625"/>
      <c r="AB47" s="625"/>
      <c r="AC47" s="625"/>
    </row>
    <row r="48" spans="1:29">
      <c r="A48" s="27"/>
      <c r="B48" s="3" t="s">
        <v>5073</v>
      </c>
      <c r="C48" s="117">
        <v>7.6800000000000007E-2</v>
      </c>
      <c r="D48" s="117">
        <v>4.4999999999999998E-2</v>
      </c>
      <c r="E48" s="117">
        <v>0.16000000000000003</v>
      </c>
      <c r="F48" s="117">
        <v>0.12160000000000003</v>
      </c>
      <c r="G48" s="117">
        <v>3.4999999999999996E-2</v>
      </c>
      <c r="H48" s="117">
        <v>0.29880000000000001</v>
      </c>
      <c r="I48" s="117">
        <v>0.14760000000000001</v>
      </c>
      <c r="J48" s="117">
        <v>6.9999999999999993E-2</v>
      </c>
      <c r="K48" s="250">
        <v>0.12</v>
      </c>
      <c r="L48" s="629">
        <v>44</v>
      </c>
      <c r="M48" s="625"/>
      <c r="N48" s="625"/>
      <c r="O48" s="625"/>
      <c r="P48" s="625"/>
      <c r="Q48" s="625"/>
      <c r="R48" s="625"/>
      <c r="S48" s="625"/>
      <c r="T48" s="625"/>
      <c r="U48" s="625"/>
      <c r="V48" s="625"/>
      <c r="W48" s="625"/>
      <c r="X48" s="625"/>
      <c r="Y48" s="625"/>
      <c r="Z48" s="625"/>
      <c r="AA48" s="625"/>
      <c r="AB48" s="625"/>
      <c r="AC48" s="625"/>
    </row>
    <row r="49" spans="1:12">
      <c r="A49" s="27"/>
      <c r="B49" s="3" t="s">
        <v>4047</v>
      </c>
      <c r="C49" s="117">
        <v>0.14399999999999999</v>
      </c>
      <c r="D49" s="117">
        <v>4.4999999999999998E-2</v>
      </c>
      <c r="E49" s="117">
        <v>0.375</v>
      </c>
      <c r="F49" s="117">
        <v>0.28500000000000003</v>
      </c>
      <c r="G49" s="117">
        <v>0</v>
      </c>
      <c r="H49" s="117">
        <v>0.62249999999999994</v>
      </c>
      <c r="I49" s="117">
        <v>0.3075</v>
      </c>
      <c r="J49" s="117">
        <v>0</v>
      </c>
      <c r="K49" s="250">
        <v>0.22</v>
      </c>
      <c r="L49" s="629">
        <v>45</v>
      </c>
    </row>
    <row r="50" spans="1:12">
      <c r="A50" s="27"/>
      <c r="B50" s="3" t="s">
        <v>355</v>
      </c>
      <c r="C50" s="117">
        <v>0.23039999999999999</v>
      </c>
      <c r="D50" s="117">
        <v>5.3999999999999992E-2</v>
      </c>
      <c r="E50" s="117">
        <v>0.60000000000000009</v>
      </c>
      <c r="F50" s="117">
        <v>0.45600000000000007</v>
      </c>
      <c r="G50" s="117">
        <v>4.2000000000000003E-2</v>
      </c>
      <c r="H50" s="117">
        <v>1.1205000000000001</v>
      </c>
      <c r="I50" s="117">
        <v>0.55349999999999999</v>
      </c>
      <c r="J50" s="117">
        <v>8.4000000000000005E-2</v>
      </c>
      <c r="K50" s="250">
        <v>0.39</v>
      </c>
      <c r="L50" s="629">
        <v>46</v>
      </c>
    </row>
    <row r="51" spans="1:12">
      <c r="A51" s="27"/>
      <c r="B51" s="3" t="s">
        <v>805</v>
      </c>
      <c r="C51" s="117">
        <v>0.32400000000000001</v>
      </c>
      <c r="D51" s="117">
        <v>0.1026</v>
      </c>
      <c r="E51" s="117">
        <v>0.85499999999999998</v>
      </c>
      <c r="F51" s="117">
        <v>0.64980000000000004</v>
      </c>
      <c r="G51" s="117">
        <v>8.5500000000000007E-2</v>
      </c>
      <c r="H51" s="117">
        <v>1.4193</v>
      </c>
      <c r="I51" s="117">
        <v>0.70109999999999995</v>
      </c>
      <c r="J51" s="117">
        <v>0.17100000000000001</v>
      </c>
      <c r="K51" s="250">
        <v>0.54</v>
      </c>
      <c r="L51" s="629">
        <v>47</v>
      </c>
    </row>
    <row r="52" spans="1:12">
      <c r="A52" s="27"/>
      <c r="B52" s="3" t="s">
        <v>6133</v>
      </c>
      <c r="C52" s="117">
        <v>7.6800000000000007E-2</v>
      </c>
      <c r="D52" s="117">
        <v>4.4999999999999998E-2</v>
      </c>
      <c r="E52" s="117">
        <v>0.16000000000000003</v>
      </c>
      <c r="F52" s="117">
        <v>0.12160000000000003</v>
      </c>
      <c r="G52" s="117">
        <v>3.4999999999999996E-2</v>
      </c>
      <c r="H52" s="117">
        <v>0.29880000000000001</v>
      </c>
      <c r="I52" s="117">
        <v>0.14760000000000001</v>
      </c>
      <c r="J52" s="117">
        <v>6.9999999999999993E-2</v>
      </c>
      <c r="K52" s="250">
        <v>0.12</v>
      </c>
      <c r="L52" s="629">
        <v>48</v>
      </c>
    </row>
    <row r="53" spans="1:12">
      <c r="A53" s="27"/>
      <c r="B53" s="3" t="s">
        <v>2614</v>
      </c>
      <c r="C53" s="117">
        <v>0.38639999999999997</v>
      </c>
      <c r="D53" s="117">
        <v>7.9799999999999982E-2</v>
      </c>
      <c r="E53" s="117">
        <v>0.80499999999999994</v>
      </c>
      <c r="F53" s="117">
        <v>0.61180000000000001</v>
      </c>
      <c r="G53" s="117">
        <v>6.649999999999999E-2</v>
      </c>
      <c r="H53" s="117">
        <v>1.3362999999999998</v>
      </c>
      <c r="I53" s="117">
        <v>0.66009999999999991</v>
      </c>
      <c r="J53" s="117">
        <v>0.13299999999999998</v>
      </c>
      <c r="K53" s="250">
        <v>0.51</v>
      </c>
      <c r="L53" s="629">
        <v>49</v>
      </c>
    </row>
    <row r="54" spans="1:12">
      <c r="A54" s="638"/>
      <c r="B54" s="636" t="s">
        <v>6134</v>
      </c>
      <c r="C54" s="637"/>
      <c r="D54" s="637"/>
      <c r="E54" s="637"/>
      <c r="F54" s="637"/>
      <c r="G54" s="637"/>
      <c r="H54" s="637"/>
      <c r="I54" s="637"/>
      <c r="J54" s="637"/>
      <c r="K54" s="641"/>
      <c r="L54" s="629">
        <v>50</v>
      </c>
    </row>
    <row r="55" spans="1:12">
      <c r="A55" s="642"/>
      <c r="B55" s="643" t="s">
        <v>6135</v>
      </c>
      <c r="C55" s="644"/>
      <c r="D55" s="644"/>
      <c r="E55" s="644"/>
      <c r="F55" s="644"/>
      <c r="G55" s="644"/>
      <c r="H55" s="644"/>
      <c r="I55" s="644"/>
      <c r="J55" s="644"/>
      <c r="K55" s="645"/>
      <c r="L55" s="629">
        <v>51</v>
      </c>
    </row>
    <row r="56" spans="1:12">
      <c r="F56" s="632"/>
      <c r="G56" s="632"/>
      <c r="H56" s="632"/>
      <c r="I56" s="632"/>
      <c r="J56" s="632"/>
      <c r="K56" s="632"/>
      <c r="L56" s="632"/>
    </row>
    <row r="57" spans="1:12">
      <c r="F57" s="632"/>
      <c r="G57" s="632"/>
      <c r="H57" s="632"/>
      <c r="I57" s="632"/>
      <c r="J57" s="632"/>
      <c r="K57" s="632"/>
      <c r="L57" s="632"/>
    </row>
    <row r="58" spans="1:12">
      <c r="A58" s="625" t="s">
        <v>6112</v>
      </c>
      <c r="B58" s="625"/>
      <c r="C58" s="632"/>
      <c r="D58" s="632"/>
      <c r="E58" s="632"/>
      <c r="F58" s="632"/>
      <c r="G58" s="632"/>
      <c r="H58" s="632"/>
      <c r="I58" s="632"/>
      <c r="J58" s="632"/>
      <c r="K58" s="632"/>
      <c r="L58" s="632"/>
    </row>
    <row r="59" spans="1:12">
      <c r="A59" s="625" t="s">
        <v>6113</v>
      </c>
      <c r="B59" s="635" t="s">
        <v>6114</v>
      </c>
      <c r="C59" s="632"/>
      <c r="D59" s="632"/>
      <c r="E59" s="632"/>
      <c r="F59" s="632"/>
      <c r="G59" s="632"/>
      <c r="H59" s="632"/>
      <c r="I59" s="632"/>
      <c r="J59" s="632"/>
      <c r="K59" s="632"/>
      <c r="L59" s="632"/>
    </row>
    <row r="60" spans="1:12">
      <c r="B60" s="625"/>
      <c r="C60" s="632"/>
      <c r="D60" s="632"/>
      <c r="E60" s="632"/>
      <c r="F60" s="632"/>
      <c r="G60" s="632"/>
      <c r="H60" s="632"/>
      <c r="I60" s="632"/>
      <c r="J60" s="632"/>
      <c r="K60" s="632"/>
      <c r="L60" s="632"/>
    </row>
  </sheetData>
  <mergeCells count="13">
    <mergeCell ref="O39:P39"/>
    <mergeCell ref="Q39:R39"/>
    <mergeCell ref="S39:T39"/>
    <mergeCell ref="U39:V39"/>
    <mergeCell ref="N36:V36"/>
    <mergeCell ref="O37:P37"/>
    <mergeCell ref="Q37:R37"/>
    <mergeCell ref="S37:T37"/>
    <mergeCell ref="U37:V37"/>
    <mergeCell ref="O38:P38"/>
    <mergeCell ref="Q38:R38"/>
    <mergeCell ref="S38:T38"/>
    <mergeCell ref="U38:V38"/>
  </mergeCells>
  <hyperlinks>
    <hyperlink ref="B59" r:id="rId1"/>
    <hyperlink ref="C3" location="residue_supply_n!A1" display="residue_supply_n"/>
  </hyperlinks>
  <pageMargins left="0.75" right="0.75" top="1" bottom="1" header="0.5" footer="0.5"/>
  <pageSetup orientation="portrait"/>
  <headerFooter alignWithMargins="0"/>
  <drawing r:id="rId2"/>
  <legacyDrawing r:id="rId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enableFormatConditionsCalculation="0">
    <tabColor rgb="FFFF9900"/>
  </sheetPr>
  <dimension ref="A2:K50"/>
  <sheetViews>
    <sheetView workbookViewId="0">
      <selection activeCell="A65536" sqref="A65536"/>
    </sheetView>
  </sheetViews>
  <sheetFormatPr baseColWidth="10" defaultColWidth="9.1640625" defaultRowHeight="12" x14ac:dyDescent="0"/>
  <cols>
    <col min="1" max="1" width="42.83203125" style="619" customWidth="1"/>
    <col min="2" max="2" width="14.83203125" style="619" customWidth="1"/>
    <col min="3" max="3" width="14.1640625" style="619" customWidth="1"/>
    <col min="4" max="4" width="9.6640625" style="619" customWidth="1"/>
    <col min="5" max="5" width="20.5" style="619" customWidth="1"/>
    <col min="6" max="6" width="23.5" style="619" customWidth="1"/>
    <col min="7" max="7" width="10.5" style="619" customWidth="1"/>
    <col min="8" max="8" width="19" style="619" customWidth="1"/>
    <col min="9" max="9" width="31.83203125" style="619" customWidth="1"/>
    <col min="10" max="10" width="10.33203125" style="619" customWidth="1"/>
    <col min="11" max="11" width="8" style="619" customWidth="1"/>
    <col min="12" max="16384" width="9.1640625" style="619"/>
  </cols>
  <sheetData>
    <row r="2" spans="1:11">
      <c r="B2" s="620" t="s">
        <v>1005</v>
      </c>
    </row>
    <row r="3" spans="1:11" ht="26.25" customHeight="1">
      <c r="B3" s="624" t="s">
        <v>1006</v>
      </c>
      <c r="C3" s="1123" t="s">
        <v>1814</v>
      </c>
      <c r="D3" s="1064"/>
      <c r="E3" s="1064"/>
    </row>
    <row r="4" spans="1:11">
      <c r="A4" s="622"/>
      <c r="B4" s="980" t="s">
        <v>2019</v>
      </c>
      <c r="C4" s="548" t="s">
        <v>6090</v>
      </c>
      <c r="D4" s="548" t="s">
        <v>6091</v>
      </c>
      <c r="E4" s="548" t="s">
        <v>6092</v>
      </c>
      <c r="F4" s="548" t="s">
        <v>6093</v>
      </c>
      <c r="G4" s="548" t="s">
        <v>6094</v>
      </c>
      <c r="H4" s="548" t="s">
        <v>6095</v>
      </c>
      <c r="I4" s="548" t="s">
        <v>6096</v>
      </c>
      <c r="J4" s="548" t="s">
        <v>6097</v>
      </c>
      <c r="K4" s="649"/>
    </row>
    <row r="5" spans="1:11">
      <c r="A5" s="623"/>
      <c r="B5" s="981"/>
      <c r="C5" s="648" t="s">
        <v>6098</v>
      </c>
      <c r="D5" s="648" t="s">
        <v>6099</v>
      </c>
      <c r="E5" s="648" t="s">
        <v>6100</v>
      </c>
      <c r="F5" s="648" t="s">
        <v>6101</v>
      </c>
      <c r="G5" s="648" t="s">
        <v>6102</v>
      </c>
      <c r="H5" s="648" t="s">
        <v>6103</v>
      </c>
      <c r="I5" s="648" t="s">
        <v>6104</v>
      </c>
      <c r="J5" s="648" t="s">
        <v>6105</v>
      </c>
      <c r="K5" s="652" t="s">
        <v>6106</v>
      </c>
    </row>
    <row r="6" spans="1:11">
      <c r="A6" s="653" t="s">
        <v>6107</v>
      </c>
      <c r="B6" s="983"/>
      <c r="C6" s="549"/>
      <c r="D6" s="549"/>
      <c r="E6" s="549"/>
      <c r="F6" s="549"/>
      <c r="G6" s="549"/>
      <c r="H6" s="549"/>
      <c r="I6" s="549"/>
      <c r="J6" s="549"/>
      <c r="K6" s="651"/>
    </row>
    <row r="7" spans="1:11">
      <c r="A7" s="27" t="s">
        <v>4916</v>
      </c>
      <c r="B7" s="982">
        <v>866</v>
      </c>
      <c r="C7" s="1208">
        <v>6.4</v>
      </c>
      <c r="D7" s="1208">
        <v>9.1999999999999993</v>
      </c>
      <c r="E7" s="1208">
        <v>6.8</v>
      </c>
      <c r="F7" s="1208">
        <v>14.3</v>
      </c>
      <c r="G7" s="1208">
        <v>13.9</v>
      </c>
      <c r="H7" s="1208">
        <v>6.7</v>
      </c>
      <c r="I7" s="1208">
        <v>9.5</v>
      </c>
      <c r="J7" s="1208">
        <v>7.9</v>
      </c>
      <c r="K7" s="1193">
        <v>9.3375000000000004</v>
      </c>
    </row>
    <row r="8" spans="1:11">
      <c r="A8" s="27" t="s">
        <v>4917</v>
      </c>
      <c r="B8" s="982">
        <v>976</v>
      </c>
      <c r="C8" s="1211">
        <v>1</v>
      </c>
      <c r="D8" s="1211">
        <v>1.5</v>
      </c>
      <c r="E8" s="1211">
        <v>1</v>
      </c>
      <c r="F8" s="1211">
        <v>1.5</v>
      </c>
      <c r="G8" s="1211">
        <v>1.5</v>
      </c>
      <c r="H8" s="1211">
        <v>1.1000000000000001</v>
      </c>
      <c r="I8" s="1211">
        <v>1</v>
      </c>
      <c r="J8" s="1211">
        <v>1</v>
      </c>
      <c r="K8" s="1205">
        <v>1.2</v>
      </c>
    </row>
    <row r="9" spans="1:11">
      <c r="A9" s="27" t="s">
        <v>1750</v>
      </c>
      <c r="B9" s="982">
        <v>1034</v>
      </c>
      <c r="C9" s="1211">
        <v>0.9</v>
      </c>
      <c r="D9" s="1211">
        <v>1.3</v>
      </c>
      <c r="E9" s="1211">
        <v>1.6</v>
      </c>
      <c r="F9" s="1211">
        <v>1.5</v>
      </c>
      <c r="G9" s="1211">
        <v>1.6</v>
      </c>
      <c r="H9" s="1211">
        <v>0.8</v>
      </c>
      <c r="I9" s="1211">
        <v>1.4</v>
      </c>
      <c r="J9" s="1211">
        <v>1.3</v>
      </c>
      <c r="K9" s="1205">
        <v>1.3</v>
      </c>
    </row>
    <row r="10" spans="1:11">
      <c r="A10" s="27" t="s">
        <v>1317</v>
      </c>
      <c r="B10" s="982">
        <v>1057</v>
      </c>
      <c r="C10" s="1211">
        <v>0.05</v>
      </c>
      <c r="D10" s="1211">
        <v>0.08</v>
      </c>
      <c r="E10" s="1211">
        <v>0.06</v>
      </c>
      <c r="F10" s="1211">
        <v>0.09</v>
      </c>
      <c r="G10" s="1211">
        <v>0.1</v>
      </c>
      <c r="H10" s="1211">
        <v>0.05</v>
      </c>
      <c r="I10" s="1211">
        <v>7.0000000000000007E-2</v>
      </c>
      <c r="J10" s="1211">
        <v>7.0000000000000007E-2</v>
      </c>
      <c r="K10" s="1205">
        <v>7.1249999999999994E-2</v>
      </c>
    </row>
    <row r="11" spans="1:11">
      <c r="A11" s="27" t="s">
        <v>2783</v>
      </c>
      <c r="B11" s="982">
        <v>1096</v>
      </c>
      <c r="C11" s="1211">
        <v>10</v>
      </c>
      <c r="D11" s="1211">
        <v>10</v>
      </c>
      <c r="E11" s="1211">
        <v>10</v>
      </c>
      <c r="F11" s="1211">
        <v>10</v>
      </c>
      <c r="G11" s="1211">
        <v>10</v>
      </c>
      <c r="H11" s="1211">
        <v>10</v>
      </c>
      <c r="I11" s="1211">
        <v>10</v>
      </c>
      <c r="J11" s="1211">
        <v>10</v>
      </c>
      <c r="K11" s="1205">
        <v>10</v>
      </c>
    </row>
    <row r="12" spans="1:11">
      <c r="A12" s="27" t="s">
        <v>3389</v>
      </c>
      <c r="B12" s="982">
        <v>1107</v>
      </c>
      <c r="C12" s="1211">
        <v>6</v>
      </c>
      <c r="D12" s="1211">
        <v>6</v>
      </c>
      <c r="E12" s="1211">
        <v>6</v>
      </c>
      <c r="F12" s="1211">
        <v>6</v>
      </c>
      <c r="G12" s="1211">
        <v>6</v>
      </c>
      <c r="H12" s="1211">
        <v>6</v>
      </c>
      <c r="I12" s="1211">
        <v>6</v>
      </c>
      <c r="J12" s="1211">
        <v>6</v>
      </c>
      <c r="K12" s="1205">
        <v>6</v>
      </c>
    </row>
    <row r="13" spans="1:11">
      <c r="A13" s="27" t="s">
        <v>5166</v>
      </c>
      <c r="B13" s="982">
        <v>1110</v>
      </c>
      <c r="C13" s="1211">
        <v>6</v>
      </c>
      <c r="D13" s="1211">
        <v>6</v>
      </c>
      <c r="E13" s="1211">
        <v>6</v>
      </c>
      <c r="F13" s="1211">
        <v>6</v>
      </c>
      <c r="G13" s="1211">
        <v>6</v>
      </c>
      <c r="H13" s="1211">
        <v>6</v>
      </c>
      <c r="I13" s="1211">
        <v>6</v>
      </c>
      <c r="J13" s="1211">
        <v>6</v>
      </c>
      <c r="K13" s="1205">
        <v>6</v>
      </c>
    </row>
    <row r="14" spans="1:11">
      <c r="A14" s="27" t="s">
        <v>5071</v>
      </c>
      <c r="B14" s="982">
        <v>1126</v>
      </c>
      <c r="C14" s="1211">
        <v>10</v>
      </c>
      <c r="D14" s="1211">
        <v>10</v>
      </c>
      <c r="E14" s="1211">
        <v>10</v>
      </c>
      <c r="F14" s="1211">
        <v>10</v>
      </c>
      <c r="G14" s="1211">
        <v>10</v>
      </c>
      <c r="H14" s="1211">
        <v>10</v>
      </c>
      <c r="I14" s="1211">
        <v>10</v>
      </c>
      <c r="J14" s="1211">
        <v>10</v>
      </c>
      <c r="K14" s="1205">
        <v>10</v>
      </c>
    </row>
    <row r="15" spans="1:11">
      <c r="A15" s="27" t="s">
        <v>6108</v>
      </c>
      <c r="B15" s="982">
        <v>1140</v>
      </c>
      <c r="C15" s="1211">
        <v>0.1</v>
      </c>
      <c r="D15" s="1211">
        <v>0.1</v>
      </c>
      <c r="E15" s="1211">
        <v>0.1</v>
      </c>
      <c r="F15" s="1211">
        <v>0.1</v>
      </c>
      <c r="G15" s="1211">
        <v>0.1</v>
      </c>
      <c r="H15" s="1211">
        <v>0.1</v>
      </c>
      <c r="I15" s="1211">
        <v>0.1</v>
      </c>
      <c r="J15" s="1211">
        <v>0.1</v>
      </c>
      <c r="K15" s="1205">
        <v>0.1</v>
      </c>
    </row>
    <row r="16" spans="1:11">
      <c r="A16" s="27" t="s">
        <v>6109</v>
      </c>
      <c r="B16" s="982">
        <v>1150</v>
      </c>
      <c r="C16" s="1211">
        <v>0.1</v>
      </c>
      <c r="D16" s="1211">
        <v>0.1</v>
      </c>
      <c r="E16" s="1211">
        <v>0.1</v>
      </c>
      <c r="F16" s="1211">
        <v>0.1</v>
      </c>
      <c r="G16" s="1211">
        <v>0.1</v>
      </c>
      <c r="H16" s="1211">
        <v>0.1</v>
      </c>
      <c r="I16" s="1211">
        <v>0.1</v>
      </c>
      <c r="J16" s="1211">
        <v>0.1</v>
      </c>
      <c r="K16" s="1205">
        <v>0.1</v>
      </c>
    </row>
    <row r="17" spans="1:11">
      <c r="A17" s="27" t="s">
        <v>6110</v>
      </c>
      <c r="B17" s="982">
        <v>1157</v>
      </c>
      <c r="C17" s="1211">
        <v>10</v>
      </c>
      <c r="D17" s="1211">
        <v>10</v>
      </c>
      <c r="E17" s="1211">
        <v>10</v>
      </c>
      <c r="F17" s="1211">
        <v>10</v>
      </c>
      <c r="G17" s="1211">
        <v>10</v>
      </c>
      <c r="H17" s="1211">
        <v>10</v>
      </c>
      <c r="I17" s="1211">
        <v>10</v>
      </c>
      <c r="J17" s="1211">
        <v>10</v>
      </c>
      <c r="K17" s="1205">
        <v>10</v>
      </c>
    </row>
    <row r="18" spans="1:11">
      <c r="A18" s="119" t="s">
        <v>6111</v>
      </c>
      <c r="B18" s="979"/>
      <c r="C18" s="1214">
        <v>5</v>
      </c>
      <c r="D18" s="1214">
        <v>5</v>
      </c>
      <c r="E18" s="1214">
        <v>5</v>
      </c>
      <c r="F18" s="1214">
        <v>5</v>
      </c>
      <c r="G18" s="1214">
        <v>5</v>
      </c>
      <c r="H18" s="1214">
        <v>5</v>
      </c>
      <c r="I18" s="1214">
        <v>5</v>
      </c>
      <c r="J18" s="1214">
        <v>5</v>
      </c>
      <c r="K18" s="1207">
        <v>5</v>
      </c>
    </row>
    <row r="20" spans="1:11">
      <c r="A20" s="619" t="s">
        <v>6088</v>
      </c>
    </row>
    <row r="21" spans="1:11">
      <c r="A21" s="619" t="s">
        <v>6089</v>
      </c>
    </row>
    <row r="23" spans="1:11">
      <c r="A23" s="984"/>
      <c r="B23" s="984" t="s">
        <v>2019</v>
      </c>
      <c r="C23" s="984" t="s">
        <v>6090</v>
      </c>
      <c r="D23" s="984" t="s">
        <v>6091</v>
      </c>
      <c r="E23" s="984" t="s">
        <v>6092</v>
      </c>
      <c r="F23" s="984" t="s">
        <v>6093</v>
      </c>
      <c r="G23" s="984" t="s">
        <v>6094</v>
      </c>
      <c r="H23" s="984" t="s">
        <v>6095</v>
      </c>
      <c r="I23" s="984" t="s">
        <v>6096</v>
      </c>
      <c r="J23" s="984" t="s">
        <v>6097</v>
      </c>
      <c r="K23" s="987"/>
    </row>
    <row r="24" spans="1:11">
      <c r="A24" s="986"/>
      <c r="B24" s="986"/>
      <c r="C24" s="986" t="s">
        <v>6098</v>
      </c>
      <c r="D24" s="986" t="s">
        <v>6099</v>
      </c>
      <c r="E24" s="986" t="s">
        <v>6100</v>
      </c>
      <c r="F24" s="986" t="s">
        <v>6101</v>
      </c>
      <c r="G24" s="986" t="s">
        <v>6102</v>
      </c>
      <c r="H24" s="986" t="s">
        <v>6103</v>
      </c>
      <c r="I24" s="986" t="s">
        <v>6104</v>
      </c>
      <c r="J24" s="986" t="s">
        <v>6105</v>
      </c>
      <c r="K24" s="989" t="s">
        <v>6106</v>
      </c>
    </row>
    <row r="25" spans="1:11">
      <c r="A25" s="991" t="s">
        <v>7785</v>
      </c>
      <c r="B25" s="991"/>
      <c r="C25" s="985"/>
      <c r="D25" s="985"/>
      <c r="E25" s="985"/>
      <c r="F25" s="985"/>
      <c r="G25" s="985"/>
      <c r="H25" s="985"/>
      <c r="I25" s="985"/>
      <c r="J25" s="985"/>
      <c r="K25" s="988"/>
    </row>
    <row r="26" spans="1:11">
      <c r="A26" s="990" t="s">
        <v>4828</v>
      </c>
      <c r="B26" s="990">
        <v>866</v>
      </c>
      <c r="C26" s="1227">
        <v>41.89948234430063</v>
      </c>
      <c r="D26" s="1227">
        <v>14.874133030167446</v>
      </c>
      <c r="E26" s="1227">
        <v>17.699906146285521</v>
      </c>
      <c r="F26" s="1227">
        <v>25.987511009685317</v>
      </c>
      <c r="G26" s="1227">
        <v>20.42577900423754</v>
      </c>
      <c r="H26" s="1227">
        <v>71.964113393968788</v>
      </c>
      <c r="I26" s="1227">
        <v>42.237391855511838</v>
      </c>
      <c r="J26" s="1227">
        <v>39.525987673386282</v>
      </c>
      <c r="K26" s="1228">
        <v>37.101932493773369</v>
      </c>
    </row>
    <row r="27" spans="1:11">
      <c r="A27" s="990" t="s">
        <v>1961</v>
      </c>
      <c r="B27" s="990">
        <v>976</v>
      </c>
      <c r="C27" s="1229">
        <v>8.8063796050000001</v>
      </c>
      <c r="D27" s="1229">
        <v>14.09585223</v>
      </c>
      <c r="E27" s="1229">
        <v>7.7684671590000001</v>
      </c>
      <c r="F27" s="1229">
        <v>10.96470772</v>
      </c>
      <c r="G27" s="1229">
        <v>14.055665449999999</v>
      </c>
      <c r="H27" s="1229">
        <v>11.98146049</v>
      </c>
      <c r="I27" s="1229">
        <v>10.30601321</v>
      </c>
      <c r="J27" s="1229">
        <v>9.1951368149999997</v>
      </c>
      <c r="K27" s="1230">
        <v>10.308350880000001</v>
      </c>
    </row>
    <row r="28" spans="1:11">
      <c r="A28" s="990" t="s">
        <v>4710</v>
      </c>
      <c r="B28" s="990">
        <v>1057</v>
      </c>
      <c r="C28" s="1229">
        <v>4.3781811537022177</v>
      </c>
      <c r="D28" s="1229">
        <v>2.598786750517994</v>
      </c>
      <c r="E28" s="1229">
        <v>4.0302083669632225</v>
      </c>
      <c r="F28" s="1229">
        <v>2.8779473855037678</v>
      </c>
      <c r="G28" s="1229">
        <v>2.7155348373522696</v>
      </c>
      <c r="H28" s="1229">
        <v>5.3809657675262859</v>
      </c>
      <c r="I28" s="1229">
        <v>3.1424697818867218</v>
      </c>
      <c r="J28" s="1229">
        <v>5.003141384319556</v>
      </c>
      <c r="K28" s="1230">
        <v>3.8188949630106408</v>
      </c>
    </row>
    <row r="29" spans="1:11">
      <c r="A29" s="990" t="s">
        <v>408</v>
      </c>
      <c r="B29" s="990">
        <v>1016</v>
      </c>
      <c r="C29" s="1229">
        <v>43.309331753295154</v>
      </c>
      <c r="D29" s="1229">
        <v>32.011783677034444</v>
      </c>
      <c r="E29" s="1229">
        <v>31.776444059625717</v>
      </c>
      <c r="F29" s="1229">
        <v>53.489177717677755</v>
      </c>
      <c r="G29" s="1229">
        <v>37.650302890902793</v>
      </c>
      <c r="H29" s="1229">
        <v>56.010584964459824</v>
      </c>
      <c r="I29" s="1229">
        <v>57.177057402943419</v>
      </c>
      <c r="J29" s="1229">
        <v>26.941138095917189</v>
      </c>
      <c r="K29" s="1230">
        <v>41.757245708311125</v>
      </c>
    </row>
    <row r="30" spans="1:11">
      <c r="A30" s="990" t="s">
        <v>2276</v>
      </c>
      <c r="B30" s="990">
        <v>946</v>
      </c>
      <c r="C30" s="1229">
        <v>68.828635647572938</v>
      </c>
      <c r="D30" s="1229">
        <v>27.785970751473084</v>
      </c>
      <c r="E30" s="1229">
        <v>19.39162495816678</v>
      </c>
      <c r="F30" s="1229">
        <v>76.898621634833887</v>
      </c>
      <c r="G30" s="1229">
        <v>240.08736495505892</v>
      </c>
      <c r="H30" s="1229">
        <v>76.898621634833887</v>
      </c>
      <c r="I30" s="1229">
        <v>58.654490238282143</v>
      </c>
      <c r="J30" s="1229">
        <v>116.56483639912126</v>
      </c>
      <c r="K30" s="1230">
        <v>76.898621634833887</v>
      </c>
    </row>
    <row r="31" spans="1:11">
      <c r="A31" s="990" t="s">
        <v>1750</v>
      </c>
      <c r="B31" s="990">
        <v>1034</v>
      </c>
      <c r="C31" s="1229">
        <v>3.0638273374395397</v>
      </c>
      <c r="D31" s="1229">
        <v>3.7942502257503383</v>
      </c>
      <c r="E31" s="1229">
        <v>4.8707244784268946</v>
      </c>
      <c r="F31" s="1229">
        <v>3.0126159627880931</v>
      </c>
      <c r="G31" s="1229">
        <v>3.3460015782367556</v>
      </c>
      <c r="H31" s="1229">
        <v>6.881004658268294</v>
      </c>
      <c r="I31" s="1229">
        <v>6.698180077693495</v>
      </c>
      <c r="J31" s="1229">
        <v>4.4230987119994225</v>
      </c>
      <c r="K31" s="1230">
        <v>3.9587771364368303</v>
      </c>
    </row>
    <row r="32" spans="1:11">
      <c r="A32" s="990" t="s">
        <v>3200</v>
      </c>
      <c r="B32" s="990">
        <v>1068</v>
      </c>
      <c r="C32" s="1229">
        <v>8.9488515107940625</v>
      </c>
      <c r="D32" s="1229">
        <v>3.8713193460805706</v>
      </c>
      <c r="E32" s="1229">
        <v>4.3931078393614813</v>
      </c>
      <c r="F32" s="1229">
        <v>3.1911129280115875</v>
      </c>
      <c r="G32" s="1229">
        <v>2.8093575606617587</v>
      </c>
      <c r="H32" s="1229">
        <v>7.741607981999028</v>
      </c>
      <c r="I32" s="1229">
        <v>8.8853217329254601</v>
      </c>
      <c r="J32" s="1229">
        <v>7.333398872384981</v>
      </c>
      <c r="K32" s="1230">
        <v>7.2091176853858947</v>
      </c>
    </row>
    <row r="33" spans="1:11">
      <c r="A33" s="993" t="s">
        <v>3759</v>
      </c>
      <c r="B33" s="990">
        <v>1072</v>
      </c>
      <c r="C33" s="1229">
        <v>5.1038273262865523</v>
      </c>
      <c r="D33" s="1229">
        <v>2.0969696010260437</v>
      </c>
      <c r="E33" s="1229">
        <v>4.9096162143793372</v>
      </c>
      <c r="F33" s="1229">
        <v>9.1050983478790783</v>
      </c>
      <c r="G33" s="1229">
        <v>3.2978801662735964</v>
      </c>
      <c r="H33" s="1229">
        <v>3.2580082104260919</v>
      </c>
      <c r="I33" s="1229">
        <v>8.0016918478114842</v>
      </c>
      <c r="J33" s="1229">
        <v>2.9355927728041258</v>
      </c>
      <c r="K33" s="1230">
        <v>2.9626956221559522</v>
      </c>
    </row>
    <row r="34" spans="1:11">
      <c r="A34" s="990" t="s">
        <v>4812</v>
      </c>
      <c r="B34" s="990">
        <v>1079</v>
      </c>
      <c r="C34" s="1229">
        <v>2.119661491366871</v>
      </c>
      <c r="D34" s="1229">
        <v>1.5024653676988955</v>
      </c>
      <c r="E34" s="1229">
        <v>2.3252429512214849</v>
      </c>
      <c r="F34" s="1229">
        <v>2.8893552741438469</v>
      </c>
      <c r="G34" s="1229">
        <v>1.6450999120284739</v>
      </c>
      <c r="H34" s="1229">
        <v>3.3028914787332377</v>
      </c>
      <c r="I34" s="1229">
        <v>3.1273322757272899</v>
      </c>
      <c r="J34" s="1229">
        <v>1.4426451098104054</v>
      </c>
      <c r="K34" s="1230">
        <v>2.3848280582867658</v>
      </c>
    </row>
    <row r="35" spans="1:11">
      <c r="A35" s="990" t="s">
        <v>2783</v>
      </c>
      <c r="B35" s="990">
        <v>1096</v>
      </c>
      <c r="C35" s="1229">
        <v>53.420971544562697</v>
      </c>
      <c r="D35" s="1229">
        <v>114.27447881530712</v>
      </c>
      <c r="E35" s="1229">
        <v>211.40122311544374</v>
      </c>
      <c r="F35" s="1229">
        <v>123.9788537163454</v>
      </c>
      <c r="G35" s="1229">
        <v>48.422046219071902</v>
      </c>
      <c r="H35" s="1229">
        <v>195.05498418041191</v>
      </c>
      <c r="I35" s="1229">
        <v>237.3276816054113</v>
      </c>
      <c r="J35" s="1229">
        <v>140.14645062794702</v>
      </c>
      <c r="K35" s="1230">
        <v>138.8575539671647</v>
      </c>
    </row>
    <row r="36" spans="1:11">
      <c r="A36" s="990" t="s">
        <v>3389</v>
      </c>
      <c r="B36" s="990">
        <v>1107</v>
      </c>
      <c r="C36" s="1229">
        <v>103.19460287223529</v>
      </c>
      <c r="D36" s="1229">
        <v>103.19460287223529</v>
      </c>
      <c r="E36" s="1229">
        <v>103.19460287223529</v>
      </c>
      <c r="F36" s="1229">
        <v>103.19460287223529</v>
      </c>
      <c r="G36" s="1229">
        <v>288.88106194976802</v>
      </c>
      <c r="H36" s="1229">
        <v>287.09311620096383</v>
      </c>
      <c r="I36" s="1229">
        <v>103.19460287223529</v>
      </c>
      <c r="J36" s="1229">
        <v>91.755330291963318</v>
      </c>
      <c r="K36" s="1230">
        <v>103.19460287223529</v>
      </c>
    </row>
    <row r="37" spans="1:11">
      <c r="A37" s="990" t="s">
        <v>5166</v>
      </c>
      <c r="B37" s="990">
        <v>1110</v>
      </c>
      <c r="C37" s="1229">
        <v>117.50354520578824</v>
      </c>
      <c r="D37" s="1229">
        <v>117.50354520578824</v>
      </c>
      <c r="E37" s="1229">
        <v>117.50354520578824</v>
      </c>
      <c r="F37" s="1229">
        <v>117.50354520578824</v>
      </c>
      <c r="G37" s="1229">
        <v>112.40235631626336</v>
      </c>
      <c r="H37" s="1229">
        <v>117.50354520578824</v>
      </c>
      <c r="I37" s="1229">
        <v>117.50354520578824</v>
      </c>
      <c r="J37" s="1229">
        <v>117.54469738993819</v>
      </c>
      <c r="K37" s="1230">
        <v>117.50354520578824</v>
      </c>
    </row>
    <row r="38" spans="1:11">
      <c r="A38" s="990" t="s">
        <v>5071</v>
      </c>
      <c r="B38" s="990">
        <v>1126</v>
      </c>
      <c r="C38" s="1229">
        <v>98.17517466515605</v>
      </c>
      <c r="D38" s="1229">
        <v>111.51952599434503</v>
      </c>
      <c r="E38" s="1229">
        <v>37.3859393702825</v>
      </c>
      <c r="F38" s="1229">
        <v>111.51952599434503</v>
      </c>
      <c r="G38" s="1229">
        <v>111.51952599434503</v>
      </c>
      <c r="H38" s="1229">
        <v>161.52762733765331</v>
      </c>
      <c r="I38" s="1229">
        <v>111.51952599434503</v>
      </c>
      <c r="J38" s="1229">
        <v>52.4701864702538</v>
      </c>
      <c r="K38" s="1230">
        <v>111.51952599434503</v>
      </c>
    </row>
    <row r="39" spans="1:11">
      <c r="A39" s="990" t="s">
        <v>3734</v>
      </c>
      <c r="B39" s="990">
        <v>1140</v>
      </c>
      <c r="C39" s="1229">
        <v>9.3515018838613511</v>
      </c>
      <c r="D39" s="1229">
        <v>4.3037680782453833</v>
      </c>
      <c r="E39" s="1229">
        <v>4.8774472185290083</v>
      </c>
      <c r="F39" s="1229">
        <v>10.418392721620096</v>
      </c>
      <c r="G39" s="1229">
        <v>7.1689349815863395</v>
      </c>
      <c r="H39" s="1229">
        <v>4.8939863808678723</v>
      </c>
      <c r="I39" s="1229">
        <v>10.412604742983429</v>
      </c>
      <c r="J39" s="1229">
        <v>13.446098408670235</v>
      </c>
      <c r="K39" s="1230">
        <v>10.418392721620096</v>
      </c>
    </row>
    <row r="40" spans="1:11">
      <c r="A40" s="990" t="s">
        <v>6109</v>
      </c>
      <c r="B40" s="990">
        <v>1150</v>
      </c>
      <c r="C40" s="1229">
        <v>30.515022953937244</v>
      </c>
      <c r="D40" s="1229">
        <v>30.515022953937244</v>
      </c>
      <c r="E40" s="1229">
        <v>30.515022953937244</v>
      </c>
      <c r="F40" s="1229">
        <v>30.515022953937244</v>
      </c>
      <c r="G40" s="1229">
        <v>30.515022953937244</v>
      </c>
      <c r="H40" s="1229">
        <v>30.515022953937244</v>
      </c>
      <c r="I40" s="1229">
        <v>37.928272134629175</v>
      </c>
      <c r="J40" s="1229">
        <v>30.515022953937244</v>
      </c>
      <c r="K40" s="1230">
        <v>30.515022953937244</v>
      </c>
    </row>
    <row r="41" spans="1:11">
      <c r="A41" s="990" t="s">
        <v>6110</v>
      </c>
      <c r="B41" s="990">
        <v>1157</v>
      </c>
      <c r="C41" s="1233">
        <v>710.3944224696836</v>
      </c>
      <c r="D41" s="1233">
        <v>710.3944224696836</v>
      </c>
      <c r="E41" s="1233">
        <v>710.3944224696836</v>
      </c>
      <c r="F41" s="1233">
        <v>710.3944224696836</v>
      </c>
      <c r="G41" s="1233">
        <v>710.3944224696836</v>
      </c>
      <c r="H41" s="1233">
        <v>710.3944224696836</v>
      </c>
      <c r="I41" s="1233">
        <v>712.76949876056142</v>
      </c>
      <c r="J41" s="1233">
        <v>710.3944224696836</v>
      </c>
      <c r="K41" s="1234">
        <v>710.3944224696836</v>
      </c>
    </row>
    <row r="42" spans="1:11">
      <c r="A42" s="984"/>
      <c r="B42" s="984" t="s">
        <v>2019</v>
      </c>
      <c r="C42" s="984" t="s">
        <v>6090</v>
      </c>
      <c r="D42" s="984" t="s">
        <v>6091</v>
      </c>
      <c r="E42" s="984" t="s">
        <v>6092</v>
      </c>
      <c r="F42" s="984" t="s">
        <v>6093</v>
      </c>
      <c r="G42" s="984" t="s">
        <v>6094</v>
      </c>
      <c r="H42" s="984" t="s">
        <v>6095</v>
      </c>
      <c r="I42" s="984" t="s">
        <v>6096</v>
      </c>
      <c r="J42" s="984" t="s">
        <v>6097</v>
      </c>
      <c r="K42" s="987"/>
    </row>
    <row r="43" spans="1:11">
      <c r="A43" s="986"/>
      <c r="B43" s="986"/>
      <c r="C43" s="986" t="s">
        <v>6098</v>
      </c>
      <c r="D43" s="986" t="s">
        <v>6099</v>
      </c>
      <c r="E43" s="986" t="s">
        <v>6100</v>
      </c>
      <c r="F43" s="986" t="s">
        <v>6101</v>
      </c>
      <c r="G43" s="986" t="s">
        <v>6102</v>
      </c>
      <c r="H43" s="986" t="s">
        <v>6103</v>
      </c>
      <c r="I43" s="986" t="s">
        <v>6104</v>
      </c>
      <c r="J43" s="986" t="s">
        <v>6105</v>
      </c>
      <c r="K43" s="989" t="s">
        <v>6106</v>
      </c>
    </row>
    <row r="44" spans="1:11">
      <c r="A44" s="991" t="s">
        <v>7786</v>
      </c>
      <c r="B44" s="991"/>
      <c r="C44" s="985"/>
      <c r="D44" s="985"/>
      <c r="E44" s="985"/>
      <c r="F44" s="985"/>
      <c r="G44" s="985"/>
      <c r="H44" s="985"/>
      <c r="I44" s="985"/>
      <c r="J44" s="985"/>
      <c r="K44" s="988"/>
    </row>
    <row r="45" spans="1:11">
      <c r="A45" s="990" t="s">
        <v>5594</v>
      </c>
      <c r="B45" s="990">
        <v>882</v>
      </c>
      <c r="C45" s="1227">
        <v>1.6735798156699184</v>
      </c>
      <c r="D45" s="1227">
        <v>1.1182271207555294</v>
      </c>
      <c r="E45" s="1227">
        <v>1.6429080507346212</v>
      </c>
      <c r="F45" s="1227">
        <v>0.85817551756708677</v>
      </c>
      <c r="G45" s="1227">
        <v>0.97939335048806586</v>
      </c>
      <c r="H45" s="1227">
        <v>5.9971903769206287</v>
      </c>
      <c r="I45" s="1227">
        <v>2.3503641456448983</v>
      </c>
      <c r="J45" s="1227">
        <v>1.0866984974675642</v>
      </c>
      <c r="K45" s="1228">
        <v>1.5674255905914334</v>
      </c>
    </row>
    <row r="46" spans="1:11">
      <c r="A46" s="990" t="s">
        <v>4632</v>
      </c>
      <c r="B46" s="990">
        <v>951</v>
      </c>
      <c r="C46" s="1229">
        <v>2.749203782837327</v>
      </c>
      <c r="D46" s="1229">
        <v>2.088930225902875</v>
      </c>
      <c r="E46" s="1229">
        <v>1.7999336548620304</v>
      </c>
      <c r="F46" s="1229">
        <v>2.539393418518392</v>
      </c>
      <c r="G46" s="1229">
        <v>11.511921710521003</v>
      </c>
      <c r="H46" s="1229">
        <v>6.4084118030075912</v>
      </c>
      <c r="I46" s="1229">
        <v>3.2639186460360681</v>
      </c>
      <c r="J46" s="1229">
        <v>3.204748066492157</v>
      </c>
      <c r="K46" s="1230">
        <v>3.2486951306882763</v>
      </c>
    </row>
    <row r="47" spans="1:11">
      <c r="A47" s="990" t="s">
        <v>1956</v>
      </c>
      <c r="B47" s="990">
        <v>982</v>
      </c>
      <c r="C47" s="1229">
        <v>11.090700596009993</v>
      </c>
      <c r="D47" s="1229">
        <v>10.459584822692841</v>
      </c>
      <c r="E47" s="1229">
        <v>7.8243722902786468</v>
      </c>
      <c r="F47" s="1229">
        <v>10.224594922011988</v>
      </c>
      <c r="G47" s="1229">
        <v>4.9545629253724561</v>
      </c>
      <c r="H47" s="1229">
        <v>12.189068827316099</v>
      </c>
      <c r="I47" s="1229">
        <v>13.757393559974453</v>
      </c>
      <c r="J47" s="1229">
        <v>13.296181983861818</v>
      </c>
      <c r="K47" s="1230">
        <v>10.224594922011988</v>
      </c>
    </row>
    <row r="48" spans="1:11">
      <c r="A48" s="990" t="s">
        <v>1960</v>
      </c>
      <c r="B48" s="990">
        <v>987</v>
      </c>
      <c r="C48" s="1229">
        <v>272.1480270653297</v>
      </c>
      <c r="D48" s="1229">
        <v>308.80653840267843</v>
      </c>
      <c r="E48" s="1229">
        <v>235.63082644799121</v>
      </c>
      <c r="F48" s="1229">
        <v>113.18465788685307</v>
      </c>
      <c r="G48" s="1229">
        <v>285.79000496946463</v>
      </c>
      <c r="H48" s="1229">
        <v>271.68008428599393</v>
      </c>
      <c r="I48" s="1229">
        <v>133.93379543985637</v>
      </c>
      <c r="J48" s="1229">
        <v>247.65294102839164</v>
      </c>
      <c r="K48" s="1230">
        <v>193.150621915171</v>
      </c>
    </row>
    <row r="49" spans="1:11">
      <c r="A49" s="990" t="s">
        <v>1748</v>
      </c>
      <c r="B49" s="990">
        <v>1062</v>
      </c>
      <c r="C49" s="1229">
        <v>2.2185045434715609</v>
      </c>
      <c r="D49" s="1229">
        <v>3.024046247097913</v>
      </c>
      <c r="E49" s="1229">
        <v>2.6555604048332295</v>
      </c>
      <c r="F49" s="1229">
        <v>2.2027761384143378</v>
      </c>
      <c r="G49" s="1229">
        <v>2.4813739549871765</v>
      </c>
      <c r="H49" s="1229">
        <v>4.0104290400095772</v>
      </c>
      <c r="I49" s="1229">
        <v>2.7507549654749903</v>
      </c>
      <c r="J49" s="1229">
        <v>2.6698456821459811</v>
      </c>
      <c r="K49" s="1230">
        <v>2.6758408644881384</v>
      </c>
    </row>
    <row r="50" spans="1:11">
      <c r="A50" s="992" t="s">
        <v>3963</v>
      </c>
      <c r="B50" s="992">
        <v>1091</v>
      </c>
      <c r="C50" s="1231">
        <v>2.2185045434715609</v>
      </c>
      <c r="D50" s="1231">
        <v>3.024046247097913</v>
      </c>
      <c r="E50" s="1231">
        <v>2.6555604048332295</v>
      </c>
      <c r="F50" s="1231">
        <v>2.2027761384143378</v>
      </c>
      <c r="G50" s="1231">
        <v>2.4813739549871765</v>
      </c>
      <c r="H50" s="1231">
        <v>4.0104290400095772</v>
      </c>
      <c r="I50" s="1231">
        <v>2.7507549654749903</v>
      </c>
      <c r="J50" s="1231">
        <v>2.6698456821459811</v>
      </c>
      <c r="K50" s="1232">
        <v>2.6758408644881384</v>
      </c>
    </row>
  </sheetData>
  <hyperlinks>
    <hyperlink ref="C3" location="feed_demand_n!A1" display="feed_demand_n"/>
  </hyperlinks>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enableFormatConditionsCalculation="0">
    <tabColor rgb="FF0000FF"/>
    <pageSetUpPr autoPageBreaks="0"/>
  </sheetPr>
  <dimension ref="A1:AE1947"/>
  <sheetViews>
    <sheetView workbookViewId="0">
      <pane xSplit="3" ySplit="6" topLeftCell="D7" activePane="bottomRight" state="frozen"/>
      <selection pane="topRight" activeCell="D1" sqref="D1"/>
      <selection pane="bottomLeft" activeCell="A7" sqref="A7"/>
      <selection pane="bottomRight" activeCell="A65536" sqref="A65536"/>
    </sheetView>
  </sheetViews>
  <sheetFormatPr baseColWidth="10" defaultColWidth="9.1640625" defaultRowHeight="12.75" customHeight="1" x14ac:dyDescent="0"/>
  <cols>
    <col min="1" max="1" width="30.83203125" style="53" customWidth="1"/>
    <col min="2" max="2" width="30.5" style="53" customWidth="1"/>
    <col min="3" max="3" width="15.1640625" style="53" customWidth="1"/>
    <col min="4" max="4" width="19.6640625" style="814" customWidth="1"/>
    <col min="5" max="5" width="19.6640625" style="889" customWidth="1"/>
    <col min="6" max="10" width="16.6640625" style="814" customWidth="1"/>
    <col min="11" max="11" width="18.83203125" style="814" customWidth="1"/>
    <col min="12" max="12" width="19.6640625" style="814" customWidth="1"/>
    <col min="13" max="13" width="19.6640625" style="53" customWidth="1"/>
    <col min="14" max="14" width="16.6640625" style="814" customWidth="1"/>
    <col min="15" max="20" width="16.6640625" style="53" customWidth="1"/>
    <col min="21" max="16384" width="9.1640625" style="53"/>
  </cols>
  <sheetData>
    <row r="1" spans="1:31" ht="12.75" customHeight="1">
      <c r="B1" s="185"/>
      <c r="C1" s="185"/>
      <c r="D1" s="185"/>
      <c r="E1" s="185"/>
      <c r="F1" s="185"/>
      <c r="G1" s="185"/>
      <c r="H1" s="185"/>
      <c r="I1" s="185"/>
      <c r="J1" s="185"/>
      <c r="K1" s="185"/>
      <c r="L1" s="185"/>
      <c r="M1" s="185"/>
      <c r="N1" s="185"/>
      <c r="S1" s="185"/>
      <c r="T1" s="185"/>
    </row>
    <row r="2" spans="1:31" ht="12.75" customHeight="1">
      <c r="C2" s="54" t="s">
        <v>1005</v>
      </c>
      <c r="D2" s="1064" t="s">
        <v>1843</v>
      </c>
      <c r="E2" s="1064" t="s">
        <v>5415</v>
      </c>
      <c r="F2" s="1064" t="s">
        <v>2117</v>
      </c>
      <c r="G2" s="1064" t="s">
        <v>6348</v>
      </c>
      <c r="H2" s="1064" t="s">
        <v>6364</v>
      </c>
      <c r="J2" s="1064"/>
      <c r="K2" s="1064"/>
      <c r="N2" s="816"/>
    </row>
    <row r="3" spans="1:31" ht="12.75" customHeight="1">
      <c r="C3" s="54" t="s">
        <v>1006</v>
      </c>
      <c r="D3" s="1064" t="s">
        <v>1839</v>
      </c>
      <c r="E3" s="1064"/>
      <c r="F3" s="1064"/>
      <c r="G3" s="1064"/>
      <c r="H3" s="1064"/>
      <c r="I3" s="1064"/>
      <c r="J3" s="1064"/>
      <c r="K3" s="1064"/>
      <c r="M3" s="185"/>
      <c r="N3" s="185"/>
    </row>
    <row r="4" spans="1:31" ht="12.75" customHeight="1">
      <c r="C4" s="706"/>
      <c r="S4" s="122"/>
    </row>
    <row r="5" spans="1:31" ht="12">
      <c r="A5" s="726" t="s">
        <v>6398</v>
      </c>
      <c r="B5" s="725" t="s">
        <v>5504</v>
      </c>
      <c r="C5" s="725" t="s">
        <v>6951</v>
      </c>
      <c r="D5" s="840" t="s">
        <v>7141</v>
      </c>
      <c r="E5" s="840" t="s">
        <v>7143</v>
      </c>
      <c r="F5" s="500" t="s">
        <v>2039</v>
      </c>
      <c r="G5" s="513" t="s">
        <v>6223</v>
      </c>
      <c r="H5" s="304" t="s">
        <v>1855</v>
      </c>
      <c r="I5" s="840" t="s">
        <v>7145</v>
      </c>
      <c r="J5" s="841" t="s">
        <v>7146</v>
      </c>
      <c r="L5" s="1457" t="s">
        <v>7142</v>
      </c>
      <c r="M5" s="840" t="s">
        <v>7144</v>
      </c>
      <c r="N5" s="727" t="s">
        <v>103</v>
      </c>
      <c r="O5" s="727" t="s">
        <v>5641</v>
      </c>
      <c r="P5" s="727" t="s">
        <v>7823</v>
      </c>
      <c r="Q5" s="727" t="s">
        <v>7824</v>
      </c>
      <c r="R5" s="500" t="s">
        <v>2361</v>
      </c>
      <c r="S5" s="500" t="s">
        <v>2362</v>
      </c>
      <c r="T5" s="841" t="s">
        <v>7147</v>
      </c>
    </row>
    <row r="6" spans="1:31" ht="12">
      <c r="A6" s="1641" t="s">
        <v>548</v>
      </c>
      <c r="B6" s="723" t="s">
        <v>548</v>
      </c>
      <c r="C6" s="723" t="s">
        <v>548</v>
      </c>
      <c r="D6" s="842" t="s">
        <v>4458</v>
      </c>
      <c r="E6" s="842" t="s">
        <v>4458</v>
      </c>
      <c r="F6" s="691" t="s">
        <v>1834</v>
      </c>
      <c r="G6" s="714" t="s">
        <v>548</v>
      </c>
      <c r="H6" s="714" t="s">
        <v>4969</v>
      </c>
      <c r="I6" s="842" t="s">
        <v>732</v>
      </c>
      <c r="J6" s="309" t="s">
        <v>732</v>
      </c>
      <c r="L6" s="1458" t="s">
        <v>4458</v>
      </c>
      <c r="M6" s="842" t="s">
        <v>4458</v>
      </c>
      <c r="N6" s="714" t="s">
        <v>548</v>
      </c>
      <c r="O6" s="714" t="s">
        <v>548</v>
      </c>
      <c r="P6" s="842" t="s">
        <v>4458</v>
      </c>
      <c r="Q6" s="842" t="s">
        <v>4458</v>
      </c>
      <c r="R6" s="714" t="s">
        <v>548</v>
      </c>
      <c r="S6" s="714" t="s">
        <v>3363</v>
      </c>
      <c r="T6" s="309" t="s">
        <v>732</v>
      </c>
    </row>
    <row r="7" spans="1:31" ht="14">
      <c r="A7" s="1382" t="s">
        <v>5608</v>
      </c>
      <c r="B7" s="739" t="s">
        <v>2402</v>
      </c>
      <c r="C7" s="1383">
        <v>10118</v>
      </c>
      <c r="D7" s="1235"/>
      <c r="E7" s="1235"/>
      <c r="F7" s="720">
        <f>(1/S7)*cnst_fish!$C$6</f>
        <v>9.5299549485983424E-3</v>
      </c>
      <c r="G7" s="720">
        <f>VLOOKUP("Marine Fishing Grounds",iyf,2,FALSE)</f>
        <v>1</v>
      </c>
      <c r="H7" s="720">
        <f>VLOOKUP("Marine Fishing Grounds",eqf,2,FALSE)</f>
        <v>0.367192066876738</v>
      </c>
      <c r="I7" s="720">
        <f t="shared" ref="I7:I70" si="0">IF($F7=0,0,D7/$F7*$H7*$G7)</f>
        <v>0</v>
      </c>
      <c r="J7" s="159">
        <f t="shared" ref="J7:J70" si="1">IF($F7=0,0,E7/$F7*$H7*$G7)</f>
        <v>0</v>
      </c>
      <c r="L7" s="1459">
        <v>27</v>
      </c>
      <c r="M7" s="1235"/>
      <c r="N7" s="1238" t="s">
        <v>1806</v>
      </c>
      <c r="O7" s="1239" t="s">
        <v>4859</v>
      </c>
      <c r="P7" s="546">
        <f t="shared" ref="P7:P70" si="2">D7+E7</f>
        <v>0</v>
      </c>
      <c r="Q7" s="546">
        <f t="shared" ref="Q7:Q70" si="3">L7+M7</f>
        <v>27</v>
      </c>
      <c r="R7" s="720">
        <f t="shared" ref="R7:R70" si="4">VLOOKUP(B7,constant_fish_trophic,3,FALSE)</f>
        <v>4.5</v>
      </c>
      <c r="S7" s="720">
        <f>(1/9)*cnst_fish!$C$7*(1/cnst_fish!$C$8)^(R7-1)</f>
        <v>445.96223412630997</v>
      </c>
      <c r="T7" s="1361">
        <f t="shared" ref="T7:T70" si="5">IF(F7=0,0,Q7/F7*H7*G7)</f>
        <v>1040.318223868424</v>
      </c>
      <c r="W7" s="1612"/>
      <c r="X7" s="1612"/>
      <c r="Y7" s="1613"/>
      <c r="Z7" s="1614"/>
      <c r="AA7" s="1614"/>
      <c r="AB7" s="1615"/>
      <c r="AC7" s="1615"/>
      <c r="AD7" s="583"/>
      <c r="AE7" s="583"/>
    </row>
    <row r="8" spans="1:31" ht="14">
      <c r="A8" s="1384" t="s">
        <v>3064</v>
      </c>
      <c r="B8" s="1385" t="s">
        <v>2354</v>
      </c>
      <c r="C8" s="1383">
        <v>2153</v>
      </c>
      <c r="D8" s="1236"/>
      <c r="E8" s="1236"/>
      <c r="F8" s="1344">
        <f>(1/S8)*cnst_fish!$C$6</f>
        <v>0.34601175047837884</v>
      </c>
      <c r="G8" s="1344">
        <f t="shared" ref="G8:H27" si="6">G$7</f>
        <v>1</v>
      </c>
      <c r="H8" s="1344">
        <f t="shared" si="6"/>
        <v>0.367192066876738</v>
      </c>
      <c r="I8" s="1344">
        <f t="shared" si="0"/>
        <v>0</v>
      </c>
      <c r="J8" s="902">
        <f t="shared" si="1"/>
        <v>0</v>
      </c>
      <c r="L8" s="1460">
        <v>1901</v>
      </c>
      <c r="M8" s="1236">
        <v>39959</v>
      </c>
      <c r="N8" s="1240" t="s">
        <v>1806</v>
      </c>
      <c r="O8" s="1241" t="s">
        <v>4845</v>
      </c>
      <c r="P8" s="910">
        <f t="shared" si="2"/>
        <v>0</v>
      </c>
      <c r="Q8" s="910">
        <f t="shared" si="3"/>
        <v>41860</v>
      </c>
      <c r="R8" s="1344">
        <f t="shared" si="4"/>
        <v>2.94</v>
      </c>
      <c r="S8" s="1344">
        <f>(1/9)*cnst_fish!$C$7*(1/cnst_fish!$C$8)^(R8-1)</f>
        <v>12.282819858354982</v>
      </c>
      <c r="T8" s="1362">
        <f t="shared" si="5"/>
        <v>44422.363975239372</v>
      </c>
      <c r="W8" s="1612"/>
      <c r="X8" s="1612"/>
      <c r="Y8" s="1613"/>
      <c r="Z8" s="1614"/>
      <c r="AA8" s="1614"/>
      <c r="AB8" s="1615"/>
      <c r="AC8" s="1615"/>
      <c r="AD8" s="583"/>
      <c r="AE8" s="583"/>
    </row>
    <row r="9" spans="1:31" ht="14">
      <c r="A9" s="1384" t="s">
        <v>4960</v>
      </c>
      <c r="B9" s="1385" t="s">
        <v>2355</v>
      </c>
      <c r="C9" s="1383">
        <v>2956</v>
      </c>
      <c r="D9" s="1236"/>
      <c r="E9" s="1236"/>
      <c r="F9" s="1344">
        <f>(1/S9)*cnst_fish!$C$6</f>
        <v>0.34601175047837884</v>
      </c>
      <c r="G9" s="1344">
        <f t="shared" si="6"/>
        <v>1</v>
      </c>
      <c r="H9" s="1344">
        <f t="shared" si="6"/>
        <v>0.367192066876738</v>
      </c>
      <c r="I9" s="1344">
        <f t="shared" si="0"/>
        <v>0</v>
      </c>
      <c r="J9" s="902">
        <f t="shared" si="1"/>
        <v>0</v>
      </c>
      <c r="L9" s="1460">
        <v>1821</v>
      </c>
      <c r="M9" s="1236">
        <v>3260</v>
      </c>
      <c r="N9" s="1240" t="s">
        <v>1806</v>
      </c>
      <c r="O9" s="1241" t="s">
        <v>4845</v>
      </c>
      <c r="P9" s="910">
        <f t="shared" si="2"/>
        <v>0</v>
      </c>
      <c r="Q9" s="910">
        <f t="shared" si="3"/>
        <v>5081</v>
      </c>
      <c r="R9" s="1344">
        <f t="shared" si="4"/>
        <v>2.94</v>
      </c>
      <c r="S9" s="1344">
        <f>(1/9)*cnst_fish!$C$7*(1/cnst_fish!$C$8)^(R9-1)</f>
        <v>12.282819858354982</v>
      </c>
      <c r="T9" s="1362">
        <f t="shared" si="5"/>
        <v>5392.0217715764757</v>
      </c>
      <c r="W9" s="1612"/>
      <c r="X9" s="1612"/>
      <c r="Y9" s="1613"/>
      <c r="Z9" s="1614"/>
      <c r="AA9" s="1614"/>
      <c r="AB9" s="1615"/>
      <c r="AC9" s="1615"/>
      <c r="AD9" s="583"/>
      <c r="AE9" s="583"/>
    </row>
    <row r="10" spans="1:31" ht="14">
      <c r="A10" s="1384" t="s">
        <v>3668</v>
      </c>
      <c r="B10" s="1385" t="s">
        <v>4338</v>
      </c>
      <c r="C10" s="1383">
        <v>3081</v>
      </c>
      <c r="D10" s="1236"/>
      <c r="E10" s="1236"/>
      <c r="F10" s="1344">
        <f>(1/S10)*cnst_fish!$C$6</f>
        <v>2.945037624971374E-2</v>
      </c>
      <c r="G10" s="1344">
        <f t="shared" si="6"/>
        <v>1</v>
      </c>
      <c r="H10" s="1344">
        <f t="shared" si="6"/>
        <v>0.367192066876738</v>
      </c>
      <c r="I10" s="1344">
        <f t="shared" si="0"/>
        <v>0</v>
      </c>
      <c r="J10" s="902">
        <f t="shared" si="1"/>
        <v>0</v>
      </c>
      <c r="L10" s="1460">
        <v>2479</v>
      </c>
      <c r="M10" s="1236"/>
      <c r="N10" s="1240" t="s">
        <v>2438</v>
      </c>
      <c r="O10" s="1241" t="s">
        <v>4841</v>
      </c>
      <c r="P10" s="910">
        <f t="shared" si="2"/>
        <v>0</v>
      </c>
      <c r="Q10" s="910">
        <f t="shared" si="3"/>
        <v>2479</v>
      </c>
      <c r="R10" s="1344">
        <f t="shared" si="4"/>
        <v>4.01</v>
      </c>
      <c r="S10" s="1344">
        <f>(1/9)*cnst_fish!$C$7*(1/cnst_fish!$C$8)^(R10-1)</f>
        <v>144.31055019343972</v>
      </c>
      <c r="T10" s="1362">
        <f t="shared" si="5"/>
        <v>30908.574004934191</v>
      </c>
      <c r="W10" s="1612"/>
      <c r="X10" s="1612"/>
      <c r="Y10" s="1613"/>
      <c r="Z10" s="1614"/>
      <c r="AA10" s="1614"/>
      <c r="AB10" s="1615"/>
      <c r="AC10" s="1615"/>
      <c r="AD10" s="583"/>
      <c r="AE10" s="583"/>
    </row>
    <row r="11" spans="1:31" ht="14">
      <c r="A11" s="1384" t="s">
        <v>3822</v>
      </c>
      <c r="B11" s="1385" t="s">
        <v>2356</v>
      </c>
      <c r="C11" s="1383">
        <v>10125</v>
      </c>
      <c r="D11" s="1236"/>
      <c r="E11" s="1236"/>
      <c r="F11" s="1344">
        <f>(1/S11)*cnst_fish!$C$6</f>
        <v>0.30136363636363639</v>
      </c>
      <c r="G11" s="1344">
        <f t="shared" si="6"/>
        <v>1</v>
      </c>
      <c r="H11" s="1344">
        <f t="shared" si="6"/>
        <v>0.367192066876738</v>
      </c>
      <c r="I11" s="1344">
        <f t="shared" si="0"/>
        <v>0</v>
      </c>
      <c r="J11" s="902">
        <f t="shared" si="1"/>
        <v>0</v>
      </c>
      <c r="L11" s="1460"/>
      <c r="M11" s="1236">
        <v>38</v>
      </c>
      <c r="N11" s="1240" t="s">
        <v>1806</v>
      </c>
      <c r="O11" s="1241" t="s">
        <v>4845</v>
      </c>
      <c r="P11" s="910">
        <f t="shared" si="2"/>
        <v>0</v>
      </c>
      <c r="Q11" s="910">
        <f t="shared" si="3"/>
        <v>38</v>
      </c>
      <c r="R11" s="1344">
        <f t="shared" si="4"/>
        <v>3</v>
      </c>
      <c r="S11" s="1344">
        <f>(1/9)*cnst_fish!$C$7*(1/cnst_fish!$C$8)^(R11-1)</f>
        <v>14.1025641025641</v>
      </c>
      <c r="T11" s="1362">
        <f t="shared" si="5"/>
        <v>46.300538146146749</v>
      </c>
      <c r="W11" s="1612"/>
      <c r="X11" s="1612"/>
      <c r="Y11" s="1613"/>
      <c r="Z11" s="1614"/>
      <c r="AA11" s="1614"/>
      <c r="AB11" s="1615"/>
      <c r="AC11" s="1615"/>
      <c r="AD11" s="583"/>
      <c r="AE11" s="583"/>
    </row>
    <row r="12" spans="1:31" ht="14">
      <c r="A12" s="1384" t="s">
        <v>3926</v>
      </c>
      <c r="B12" s="1385" t="s">
        <v>4258</v>
      </c>
      <c r="C12" s="1383">
        <v>3279</v>
      </c>
      <c r="D12" s="1236">
        <v>407</v>
      </c>
      <c r="E12" s="1236"/>
      <c r="F12" s="1344">
        <f>(1/S12)*cnst_fish!$C$6</f>
        <v>1.1997502458044018E-2</v>
      </c>
      <c r="G12" s="1344">
        <f t="shared" si="6"/>
        <v>1</v>
      </c>
      <c r="H12" s="1344">
        <f t="shared" si="6"/>
        <v>0.367192066876738</v>
      </c>
      <c r="I12" s="1344">
        <f t="shared" si="0"/>
        <v>12456.523492406694</v>
      </c>
      <c r="J12" s="902">
        <f t="shared" si="1"/>
        <v>0</v>
      </c>
      <c r="L12" s="1460">
        <v>6058</v>
      </c>
      <c r="M12" s="1236"/>
      <c r="N12" s="1240" t="s">
        <v>1806</v>
      </c>
      <c r="O12" s="1240" t="s">
        <v>4859</v>
      </c>
      <c r="P12" s="910">
        <f t="shared" si="2"/>
        <v>407</v>
      </c>
      <c r="Q12" s="910">
        <f t="shared" si="3"/>
        <v>6058</v>
      </c>
      <c r="R12" s="1344">
        <f t="shared" si="4"/>
        <v>4.4000000000000004</v>
      </c>
      <c r="S12" s="1344">
        <f>(1/9)*cnst_fish!$C$7*(1/cnst_fish!$C$8)^(R12-1)</f>
        <v>354.24039418724885</v>
      </c>
      <c r="T12" s="1362">
        <f t="shared" si="5"/>
        <v>185409.38407125245</v>
      </c>
      <c r="W12" s="1612"/>
      <c r="X12" s="1612"/>
      <c r="Y12" s="1613"/>
      <c r="Z12" s="1614"/>
      <c r="AA12" s="1614"/>
      <c r="AB12" s="1615"/>
      <c r="AC12" s="1615"/>
      <c r="AD12" s="583"/>
      <c r="AE12" s="583"/>
    </row>
    <row r="13" spans="1:31" ht="14">
      <c r="A13" s="1384" t="s">
        <v>5429</v>
      </c>
      <c r="B13" s="19" t="s">
        <v>3758</v>
      </c>
      <c r="C13" s="1383">
        <v>2398</v>
      </c>
      <c r="D13" s="1236"/>
      <c r="E13" s="1236"/>
      <c r="F13" s="1344">
        <f>(1/S13)*cnst_fish!$C$6</f>
        <v>9.9790878883162681E-2</v>
      </c>
      <c r="G13" s="1344">
        <f t="shared" si="6"/>
        <v>1</v>
      </c>
      <c r="H13" s="1344">
        <f t="shared" si="6"/>
        <v>0.367192066876738</v>
      </c>
      <c r="I13" s="1344">
        <f t="shared" si="0"/>
        <v>0</v>
      </c>
      <c r="J13" s="902">
        <f t="shared" si="1"/>
        <v>0</v>
      </c>
      <c r="L13" s="1460">
        <v>74</v>
      </c>
      <c r="M13" s="1236"/>
      <c r="N13" s="1240" t="s">
        <v>1806</v>
      </c>
      <c r="O13" s="1241" t="s">
        <v>4841</v>
      </c>
      <c r="P13" s="910">
        <f t="shared" si="2"/>
        <v>0</v>
      </c>
      <c r="Q13" s="910">
        <f t="shared" si="3"/>
        <v>74</v>
      </c>
      <c r="R13" s="1344">
        <f t="shared" si="4"/>
        <v>3.48</v>
      </c>
      <c r="S13" s="1344">
        <f>(1/9)*cnst_fish!$C$7*(1/cnst_fish!$C$8)^(R13-1)</f>
        <v>42.589062723618177</v>
      </c>
      <c r="T13" s="1362">
        <f t="shared" si="5"/>
        <v>272.29154861630616</v>
      </c>
      <c r="W13" s="1612"/>
      <c r="X13" s="1612"/>
      <c r="Y13" s="1613"/>
      <c r="Z13" s="1614"/>
      <c r="AA13" s="1614"/>
      <c r="AB13" s="1615"/>
      <c r="AC13" s="1615"/>
      <c r="AD13" s="583"/>
      <c r="AE13" s="583"/>
    </row>
    <row r="14" spans="1:31" ht="14">
      <c r="A14" s="1384" t="s">
        <v>4780</v>
      </c>
      <c r="B14" s="19" t="s">
        <v>3577</v>
      </c>
      <c r="C14" s="1383">
        <v>18786</v>
      </c>
      <c r="D14" s="1236"/>
      <c r="E14" s="1236"/>
      <c r="F14" s="1344">
        <f>(1/S14)*cnst_fish!$C$6</f>
        <v>0.12276960190187568</v>
      </c>
      <c r="G14" s="1344">
        <f t="shared" si="6"/>
        <v>1</v>
      </c>
      <c r="H14" s="1344">
        <f t="shared" si="6"/>
        <v>0.367192066876738</v>
      </c>
      <c r="I14" s="1344">
        <f t="shared" si="0"/>
        <v>0</v>
      </c>
      <c r="J14" s="902">
        <f t="shared" si="1"/>
        <v>0</v>
      </c>
      <c r="L14" s="1460">
        <v>5622</v>
      </c>
      <c r="M14" s="1236"/>
      <c r="N14" s="1240" t="s">
        <v>1806</v>
      </c>
      <c r="O14" s="1241" t="s">
        <v>4841</v>
      </c>
      <c r="P14" s="910">
        <f t="shared" si="2"/>
        <v>0</v>
      </c>
      <c r="Q14" s="910">
        <f t="shared" si="3"/>
        <v>5622</v>
      </c>
      <c r="R14" s="1344">
        <f t="shared" si="4"/>
        <v>3.39</v>
      </c>
      <c r="S14" s="1344">
        <f>(1/9)*cnst_fish!$C$7*(1/cnst_fish!$C$8)^(R14-1)</f>
        <v>34.617689836583793</v>
      </c>
      <c r="T14" s="1362">
        <f t="shared" si="5"/>
        <v>16814.861073109678</v>
      </c>
      <c r="W14" s="1612"/>
      <c r="X14" s="1612"/>
      <c r="Y14" s="1613"/>
      <c r="Z14" s="1614"/>
      <c r="AA14" s="1614"/>
      <c r="AB14" s="1615"/>
      <c r="AC14" s="1615"/>
      <c r="AD14" s="583"/>
      <c r="AE14" s="583"/>
    </row>
    <row r="15" spans="1:31" ht="14">
      <c r="A15" s="1384" t="s">
        <v>5239</v>
      </c>
      <c r="B15" s="19" t="s">
        <v>3578</v>
      </c>
      <c r="C15" s="1383">
        <v>3203</v>
      </c>
      <c r="D15" s="1236"/>
      <c r="E15" s="1236"/>
      <c r="F15" s="1344">
        <f>(1/S15)*cnst_fish!$C$6</f>
        <v>0.2133491159303107</v>
      </c>
      <c r="G15" s="1344">
        <f t="shared" si="6"/>
        <v>1</v>
      </c>
      <c r="H15" s="1344">
        <f t="shared" si="6"/>
        <v>0.367192066876738</v>
      </c>
      <c r="I15" s="1344">
        <f t="shared" si="0"/>
        <v>0</v>
      </c>
      <c r="J15" s="902">
        <f t="shared" si="1"/>
        <v>0</v>
      </c>
      <c r="L15" s="1460">
        <v>654</v>
      </c>
      <c r="M15" s="1236"/>
      <c r="N15" s="1240" t="s">
        <v>1806</v>
      </c>
      <c r="O15" s="1241" t="s">
        <v>4841</v>
      </c>
      <c r="P15" s="910">
        <f t="shared" si="2"/>
        <v>0</v>
      </c>
      <c r="Q15" s="910">
        <f t="shared" si="3"/>
        <v>654</v>
      </c>
      <c r="R15" s="1344">
        <f t="shared" si="4"/>
        <v>3.15</v>
      </c>
      <c r="S15" s="1344">
        <f>(1/9)*cnst_fish!$C$7*(1/cnst_fish!$C$8)^(R15-1)</f>
        <v>19.920401270320887</v>
      </c>
      <c r="T15" s="1362">
        <f t="shared" si="5"/>
        <v>1125.5899078383256</v>
      </c>
      <c r="W15" s="1612"/>
      <c r="X15" s="1612"/>
      <c r="Y15" s="1613"/>
      <c r="Z15" s="1614"/>
      <c r="AA15" s="1614"/>
      <c r="AB15" s="1615"/>
      <c r="AC15" s="1615"/>
      <c r="AD15" s="583"/>
      <c r="AE15" s="583"/>
    </row>
    <row r="16" spans="1:31" ht="14">
      <c r="A16" s="1384" t="s">
        <v>4470</v>
      </c>
      <c r="B16" s="19" t="s">
        <v>3579</v>
      </c>
      <c r="C16" s="1383">
        <v>3202</v>
      </c>
      <c r="D16" s="1236"/>
      <c r="E16" s="1236"/>
      <c r="F16" s="1344">
        <f>(1/S16)*cnst_fish!$C$6</f>
        <v>0.17341667202478855</v>
      </c>
      <c r="G16" s="1344">
        <f t="shared" si="6"/>
        <v>1</v>
      </c>
      <c r="H16" s="1344">
        <f t="shared" si="6"/>
        <v>0.367192066876738</v>
      </c>
      <c r="I16" s="1344">
        <f t="shared" si="0"/>
        <v>0</v>
      </c>
      <c r="J16" s="902">
        <f t="shared" si="1"/>
        <v>0</v>
      </c>
      <c r="L16" s="1460">
        <v>386</v>
      </c>
      <c r="M16" s="1236"/>
      <c r="N16" s="1240" t="s">
        <v>1806</v>
      </c>
      <c r="O16" s="1241" t="s">
        <v>4841</v>
      </c>
      <c r="P16" s="910">
        <f t="shared" si="2"/>
        <v>0</v>
      </c>
      <c r="Q16" s="910">
        <f t="shared" si="3"/>
        <v>386</v>
      </c>
      <c r="R16" s="1344">
        <f t="shared" si="4"/>
        <v>3.24</v>
      </c>
      <c r="S16" s="1344">
        <f>(1/9)*cnst_fish!$C$7*(1/cnst_fish!$C$8)^(R16-1)</f>
        <v>24.507447584927103</v>
      </c>
      <c r="T16" s="1362">
        <f t="shared" si="5"/>
        <v>817.31552197104099</v>
      </c>
      <c r="W16" s="1612"/>
      <c r="X16" s="1612"/>
      <c r="Y16" s="1613"/>
      <c r="Z16" s="1614"/>
      <c r="AA16" s="1614"/>
      <c r="AB16" s="1615"/>
      <c r="AC16" s="1615"/>
      <c r="AD16" s="583"/>
      <c r="AE16" s="583"/>
    </row>
    <row r="17" spans="1:31" ht="14">
      <c r="A17" s="1384" t="s">
        <v>174</v>
      </c>
      <c r="B17" s="19" t="s">
        <v>3580</v>
      </c>
      <c r="C17" s="1383">
        <v>3264</v>
      </c>
      <c r="D17" s="1236">
        <v>58</v>
      </c>
      <c r="E17" s="1236"/>
      <c r="F17" s="1344">
        <f>(1/S17)*cnst_fish!$C$6</f>
        <v>1.774560652276161</v>
      </c>
      <c r="G17" s="1344">
        <f t="shared" si="6"/>
        <v>1</v>
      </c>
      <c r="H17" s="1344">
        <f t="shared" si="6"/>
        <v>0.367192066876738</v>
      </c>
      <c r="I17" s="1344">
        <f t="shared" si="0"/>
        <v>12.001359238712848</v>
      </c>
      <c r="J17" s="902">
        <f t="shared" si="1"/>
        <v>0</v>
      </c>
      <c r="L17" s="1460">
        <v>9387</v>
      </c>
      <c r="M17" s="1236"/>
      <c r="N17" s="1240" t="s">
        <v>1806</v>
      </c>
      <c r="O17" s="1241" t="s">
        <v>4841</v>
      </c>
      <c r="P17" s="910">
        <f t="shared" si="2"/>
        <v>58</v>
      </c>
      <c r="Q17" s="910">
        <f t="shared" si="3"/>
        <v>9387</v>
      </c>
      <c r="R17" s="1344">
        <f t="shared" si="4"/>
        <v>2.23</v>
      </c>
      <c r="S17" s="1344">
        <f>(1/9)*cnst_fish!$C$7*(1/cnst_fish!$C$8)^(R17-1)</f>
        <v>2.3949589970614347</v>
      </c>
      <c r="T17" s="1362">
        <f t="shared" si="5"/>
        <v>1942.3579167896123</v>
      </c>
      <c r="W17" s="1612"/>
      <c r="X17" s="1612"/>
      <c r="Y17" s="1613"/>
      <c r="Z17" s="1614"/>
      <c r="AA17" s="1614"/>
      <c r="AB17" s="1615"/>
      <c r="AC17" s="1615"/>
      <c r="AD17" s="583"/>
      <c r="AE17" s="583"/>
    </row>
    <row r="18" spans="1:31" ht="14">
      <c r="A18" s="1384" t="s">
        <v>706</v>
      </c>
      <c r="B18" s="19" t="s">
        <v>3581</v>
      </c>
      <c r="C18" s="1383">
        <v>18959</v>
      </c>
      <c r="D18" s="1236"/>
      <c r="E18" s="1236"/>
      <c r="F18" s="1344">
        <f>(1/S18)*cnst_fish!$C$6</f>
        <v>3.0136363636363641</v>
      </c>
      <c r="G18" s="1344">
        <f t="shared" si="6"/>
        <v>1</v>
      </c>
      <c r="H18" s="1344">
        <f t="shared" si="6"/>
        <v>0.367192066876738</v>
      </c>
      <c r="I18" s="1344">
        <f t="shared" si="0"/>
        <v>0</v>
      </c>
      <c r="J18" s="902">
        <f t="shared" si="1"/>
        <v>0</v>
      </c>
      <c r="L18" s="1460">
        <v>46</v>
      </c>
      <c r="M18" s="1236"/>
      <c r="N18" s="1240" t="s">
        <v>1806</v>
      </c>
      <c r="O18" s="1241" t="s">
        <v>4841</v>
      </c>
      <c r="P18" s="910">
        <f t="shared" si="2"/>
        <v>0</v>
      </c>
      <c r="Q18" s="910">
        <f t="shared" si="3"/>
        <v>46</v>
      </c>
      <c r="R18" s="1344">
        <f t="shared" si="4"/>
        <v>2</v>
      </c>
      <c r="S18" s="1344">
        <f>(1/9)*cnst_fish!$C$7*(1/cnst_fish!$C$8)^(R18-1)</f>
        <v>1.4102564102564099</v>
      </c>
      <c r="T18" s="1362">
        <f t="shared" si="5"/>
        <v>5.6048019861125002</v>
      </c>
      <c r="W18" s="1612"/>
      <c r="X18" s="1612"/>
      <c r="Y18" s="1613"/>
      <c r="Z18" s="1614"/>
      <c r="AA18" s="1614"/>
      <c r="AB18" s="1615"/>
      <c r="AC18" s="1615"/>
      <c r="AD18" s="583"/>
      <c r="AE18" s="583"/>
    </row>
    <row r="19" spans="1:31" ht="14">
      <c r="A19" s="1384" t="s">
        <v>556</v>
      </c>
      <c r="B19" s="19" t="s">
        <v>557</v>
      </c>
      <c r="C19" s="1383">
        <v>16643</v>
      </c>
      <c r="D19" s="1236"/>
      <c r="E19" s="1236"/>
      <c r="F19" s="1344">
        <f>(1/S19)*cnst_fish!$C$6</f>
        <v>0.14481532779905856</v>
      </c>
      <c r="G19" s="1344">
        <f t="shared" si="6"/>
        <v>1</v>
      </c>
      <c r="H19" s="1344">
        <f t="shared" si="6"/>
        <v>0.367192066876738</v>
      </c>
      <c r="I19" s="1344">
        <f t="shared" si="0"/>
        <v>0</v>
      </c>
      <c r="J19" s="902">
        <f t="shared" si="1"/>
        <v>0</v>
      </c>
      <c r="L19" s="1460">
        <v>2241</v>
      </c>
      <c r="M19" s="1236"/>
      <c r="N19" s="1240" t="s">
        <v>2441</v>
      </c>
      <c r="O19" s="1241" t="s">
        <v>4840</v>
      </c>
      <c r="P19" s="910">
        <f t="shared" si="2"/>
        <v>0</v>
      </c>
      <c r="Q19" s="910">
        <f t="shared" si="3"/>
        <v>2241</v>
      </c>
      <c r="R19" s="1344">
        <f t="shared" si="4"/>
        <v>3.3182763159269002</v>
      </c>
      <c r="S19" s="1344">
        <f>(1/9)*cnst_fish!$C$7*(1/cnst_fish!$C$8)^(R19-1)</f>
        <v>29.347722127157517</v>
      </c>
      <c r="T19" s="1362">
        <f t="shared" si="5"/>
        <v>5682.2536286529703</v>
      </c>
      <c r="W19" s="1612"/>
      <c r="X19" s="1612"/>
      <c r="Y19" s="1613"/>
      <c r="Z19" s="1614"/>
      <c r="AA19" s="1614"/>
      <c r="AB19" s="1615"/>
      <c r="AC19" s="1615"/>
      <c r="AD19" s="583"/>
      <c r="AE19" s="583"/>
    </row>
    <row r="20" spans="1:31" ht="14">
      <c r="A20" s="1384" t="s">
        <v>1553</v>
      </c>
      <c r="B20" s="19" t="s">
        <v>3961</v>
      </c>
      <c r="C20" s="1383">
        <v>3428</v>
      </c>
      <c r="D20" s="1236"/>
      <c r="E20" s="1236"/>
      <c r="F20" s="1344">
        <f>(1/S20)*cnst_fish!$C$6</f>
        <v>0.60129950673834842</v>
      </c>
      <c r="G20" s="1344">
        <f t="shared" si="6"/>
        <v>1</v>
      </c>
      <c r="H20" s="1344">
        <f t="shared" si="6"/>
        <v>0.367192066876738</v>
      </c>
      <c r="I20" s="1344">
        <f t="shared" si="0"/>
        <v>0</v>
      </c>
      <c r="J20" s="902">
        <f t="shared" si="1"/>
        <v>0</v>
      </c>
      <c r="L20" s="1460">
        <v>585433</v>
      </c>
      <c r="M20" s="1236"/>
      <c r="N20" s="1240" t="s">
        <v>2441</v>
      </c>
      <c r="O20" s="1241" t="s">
        <v>4840</v>
      </c>
      <c r="P20" s="910">
        <f t="shared" si="2"/>
        <v>0</v>
      </c>
      <c r="Q20" s="910">
        <f t="shared" si="3"/>
        <v>585433</v>
      </c>
      <c r="R20" s="1344">
        <f t="shared" si="4"/>
        <v>2.7</v>
      </c>
      <c r="S20" s="1344">
        <f>(1/9)*cnst_fish!$C$7*(1/cnst_fish!$C$8)^(R20-1)</f>
        <v>7.0680250896153813</v>
      </c>
      <c r="T20" s="1362">
        <f t="shared" si="5"/>
        <v>357502.95963803376</v>
      </c>
      <c r="W20" s="1612"/>
      <c r="X20" s="1612"/>
      <c r="Y20" s="1613"/>
      <c r="Z20" s="1614"/>
      <c r="AA20" s="1614"/>
      <c r="AB20" s="1615"/>
      <c r="AC20" s="1615"/>
      <c r="AD20" s="583"/>
      <c r="AE20" s="583"/>
    </row>
    <row r="21" spans="1:31" ht="14">
      <c r="A21" s="1384" t="s">
        <v>4587</v>
      </c>
      <c r="B21" s="19" t="s">
        <v>4550</v>
      </c>
      <c r="C21" s="1383">
        <v>2877</v>
      </c>
      <c r="D21" s="1236"/>
      <c r="E21" s="1236"/>
      <c r="F21" s="1344">
        <f>(1/S21)*cnst_fish!$C$6</f>
        <v>0.23393265378401026</v>
      </c>
      <c r="G21" s="1344">
        <f t="shared" si="6"/>
        <v>1</v>
      </c>
      <c r="H21" s="1344">
        <f t="shared" si="6"/>
        <v>0.367192066876738</v>
      </c>
      <c r="I21" s="1344">
        <f t="shared" si="0"/>
        <v>0</v>
      </c>
      <c r="J21" s="902">
        <f t="shared" si="1"/>
        <v>0</v>
      </c>
      <c r="L21" s="1460">
        <v>0</v>
      </c>
      <c r="M21" s="1236">
        <v>58</v>
      </c>
      <c r="N21" s="1240" t="s">
        <v>1806</v>
      </c>
      <c r="O21" s="1241" t="s">
        <v>4845</v>
      </c>
      <c r="P21" s="910">
        <f t="shared" si="2"/>
        <v>0</v>
      </c>
      <c r="Q21" s="910">
        <f t="shared" si="3"/>
        <v>58</v>
      </c>
      <c r="R21" s="1344">
        <f t="shared" si="4"/>
        <v>3.11</v>
      </c>
      <c r="S21" s="1344">
        <f>(1/9)*cnst_fish!$C$7*(1/cnst_fish!$C$8)^(R21-1)</f>
        <v>18.16762188285189</v>
      </c>
      <c r="T21" s="1362">
        <f t="shared" si="5"/>
        <v>91.039619883568832</v>
      </c>
      <c r="W21" s="1612"/>
      <c r="X21" s="1612"/>
      <c r="Y21" s="1613"/>
      <c r="Z21" s="1614"/>
      <c r="AA21" s="1614"/>
      <c r="AB21" s="1615"/>
      <c r="AC21" s="1615"/>
      <c r="AD21" s="583"/>
      <c r="AE21" s="583"/>
    </row>
    <row r="22" spans="1:31" ht="14">
      <c r="A22" s="1384" t="s">
        <v>1415</v>
      </c>
      <c r="B22" s="19" t="s">
        <v>4551</v>
      </c>
      <c r="C22" s="1383">
        <v>10180</v>
      </c>
      <c r="D22" s="1236">
        <v>0</v>
      </c>
      <c r="E22" s="1236"/>
      <c r="F22" s="1344">
        <f>(1/S22)*cnst_fish!$C$6</f>
        <v>0.16946922663690964</v>
      </c>
      <c r="G22" s="1344">
        <f t="shared" si="6"/>
        <v>1</v>
      </c>
      <c r="H22" s="1344">
        <f t="shared" si="6"/>
        <v>0.367192066876738</v>
      </c>
      <c r="I22" s="1344">
        <f t="shared" si="0"/>
        <v>0</v>
      </c>
      <c r="J22" s="902">
        <f t="shared" si="1"/>
        <v>0</v>
      </c>
      <c r="L22" s="1460">
        <v>0</v>
      </c>
      <c r="M22" s="1236"/>
      <c r="N22" s="1240" t="s">
        <v>1806</v>
      </c>
      <c r="O22" s="1241" t="s">
        <v>4845</v>
      </c>
      <c r="P22" s="910">
        <f t="shared" si="2"/>
        <v>0</v>
      </c>
      <c r="Q22" s="910">
        <f t="shared" si="3"/>
        <v>0</v>
      </c>
      <c r="R22" s="1344">
        <f t="shared" si="4"/>
        <v>3.25</v>
      </c>
      <c r="S22" s="1344">
        <f>(1/9)*cnst_fish!$C$7*(1/cnst_fish!$C$8)^(R22-1)</f>
        <v>25.078299372343796</v>
      </c>
      <c r="T22" s="1362">
        <f t="shared" si="5"/>
        <v>0</v>
      </c>
      <c r="W22" s="1612"/>
      <c r="X22" s="1612"/>
      <c r="Y22" s="1613"/>
      <c r="Z22" s="1614"/>
      <c r="AA22" s="1614"/>
      <c r="AB22" s="1615"/>
      <c r="AC22" s="1615"/>
      <c r="AD22" s="583"/>
      <c r="AE22" s="583"/>
    </row>
    <row r="23" spans="1:31" ht="14">
      <c r="A23" s="1384" t="s">
        <v>1971</v>
      </c>
      <c r="B23" s="19" t="s">
        <v>1972</v>
      </c>
      <c r="C23" s="1383">
        <v>10184</v>
      </c>
      <c r="D23" s="1236"/>
      <c r="E23" s="1236"/>
      <c r="F23" s="1344">
        <f>(1/S23)*cnst_fish!$C$6</f>
        <v>0.1409583630333692</v>
      </c>
      <c r="G23" s="1344">
        <f t="shared" si="6"/>
        <v>1</v>
      </c>
      <c r="H23" s="1344">
        <f t="shared" si="6"/>
        <v>0.367192066876738</v>
      </c>
      <c r="I23" s="1344">
        <f t="shared" si="0"/>
        <v>0</v>
      </c>
      <c r="J23" s="902">
        <f t="shared" si="1"/>
        <v>0</v>
      </c>
      <c r="L23" s="1460"/>
      <c r="M23" s="1236">
        <v>0</v>
      </c>
      <c r="N23" s="1240" t="s">
        <v>1806</v>
      </c>
      <c r="O23" s="1241" t="s">
        <v>4845</v>
      </c>
      <c r="P23" s="910">
        <f t="shared" si="2"/>
        <v>0</v>
      </c>
      <c r="Q23" s="910">
        <f t="shared" si="3"/>
        <v>0</v>
      </c>
      <c r="R23" s="1344">
        <f t="shared" si="4"/>
        <v>3.33</v>
      </c>
      <c r="S23" s="1344">
        <f>(1/9)*cnst_fish!$C$7*(1/cnst_fish!$C$8)^(R23-1)</f>
        <v>30.15074741605714</v>
      </c>
      <c r="T23" s="1362">
        <f t="shared" si="5"/>
        <v>0</v>
      </c>
      <c r="W23" s="1612"/>
      <c r="X23" s="1612"/>
      <c r="Y23" s="1613"/>
      <c r="Z23" s="1614"/>
      <c r="AA23" s="1614"/>
      <c r="AB23" s="1615"/>
      <c r="AC23" s="1615"/>
      <c r="AD23" s="583"/>
      <c r="AE23" s="583"/>
    </row>
    <row r="24" spans="1:31" ht="14">
      <c r="A24" s="1384" t="s">
        <v>3448</v>
      </c>
      <c r="B24" s="19" t="s">
        <v>4552</v>
      </c>
      <c r="C24" s="1383">
        <v>2070</v>
      </c>
      <c r="D24" s="1236"/>
      <c r="E24" s="1236"/>
      <c r="F24" s="1344">
        <f>(1/S24)*cnst_fish!$C$6</f>
        <v>7.5699122913220479E-2</v>
      </c>
      <c r="G24" s="1344">
        <f t="shared" si="6"/>
        <v>1</v>
      </c>
      <c r="H24" s="1344">
        <f t="shared" si="6"/>
        <v>0.367192066876738</v>
      </c>
      <c r="I24" s="1344">
        <f t="shared" si="0"/>
        <v>0</v>
      </c>
      <c r="J24" s="902">
        <f t="shared" si="1"/>
        <v>0</v>
      </c>
      <c r="L24" s="1460">
        <v>0</v>
      </c>
      <c r="M24" s="1236">
        <v>40</v>
      </c>
      <c r="N24" s="1240" t="s">
        <v>1806</v>
      </c>
      <c r="O24" s="1241" t="s">
        <v>4845</v>
      </c>
      <c r="P24" s="910">
        <f t="shared" si="2"/>
        <v>0</v>
      </c>
      <c r="Q24" s="910">
        <f t="shared" si="3"/>
        <v>40</v>
      </c>
      <c r="R24" s="1344">
        <f t="shared" si="4"/>
        <v>3.6</v>
      </c>
      <c r="S24" s="1344">
        <f>(1/9)*cnst_fish!$C$7*(1/cnst_fish!$C$8)^(R24-1)</f>
        <v>56.143318924211187</v>
      </c>
      <c r="T24" s="1362">
        <f t="shared" si="5"/>
        <v>194.0271182785975</v>
      </c>
      <c r="W24" s="1612"/>
      <c r="X24" s="1612"/>
      <c r="Y24" s="1613"/>
      <c r="Z24" s="1614"/>
      <c r="AA24" s="1614"/>
      <c r="AB24" s="1615"/>
      <c r="AC24" s="1615"/>
      <c r="AD24" s="583"/>
      <c r="AE24" s="583"/>
    </row>
    <row r="25" spans="1:31" ht="14">
      <c r="A25" s="1384" t="s">
        <v>1067</v>
      </c>
      <c r="B25" s="19" t="s">
        <v>933</v>
      </c>
      <c r="C25" s="1383">
        <v>2071</v>
      </c>
      <c r="D25" s="1236"/>
      <c r="E25" s="1236"/>
      <c r="F25" s="1344">
        <f>(1/S25)*cnst_fish!$C$6</f>
        <v>0.23938164528281752</v>
      </c>
      <c r="G25" s="1344">
        <f t="shared" si="6"/>
        <v>1</v>
      </c>
      <c r="H25" s="1344">
        <f t="shared" si="6"/>
        <v>0.367192066876738</v>
      </c>
      <c r="I25" s="1344">
        <f t="shared" si="0"/>
        <v>0</v>
      </c>
      <c r="J25" s="902">
        <f t="shared" si="1"/>
        <v>0</v>
      </c>
      <c r="L25" s="1460">
        <v>0</v>
      </c>
      <c r="M25" s="1236">
        <v>3</v>
      </c>
      <c r="N25" s="1240" t="s">
        <v>1806</v>
      </c>
      <c r="O25" s="1241" t="s">
        <v>4845</v>
      </c>
      <c r="P25" s="910">
        <f t="shared" si="2"/>
        <v>0</v>
      </c>
      <c r="Q25" s="910">
        <f t="shared" si="3"/>
        <v>3</v>
      </c>
      <c r="R25" s="1344">
        <f t="shared" si="4"/>
        <v>3.1</v>
      </c>
      <c r="S25" s="1344">
        <f>(1/9)*cnst_fish!$C$7*(1/cnst_fish!$C$8)^(R25-1)</f>
        <v>17.754076320174157</v>
      </c>
      <c r="T25" s="1362">
        <f t="shared" si="5"/>
        <v>4.6017571619944224</v>
      </c>
      <c r="W25" s="1612"/>
      <c r="X25" s="1612"/>
      <c r="Y25" s="1613"/>
      <c r="Z25" s="1614"/>
      <c r="AA25" s="1614"/>
      <c r="AB25" s="1615"/>
      <c r="AC25" s="1615"/>
      <c r="AD25" s="583"/>
      <c r="AE25" s="583"/>
    </row>
    <row r="26" spans="1:31" ht="14">
      <c r="A26" s="1384" t="s">
        <v>2757</v>
      </c>
      <c r="B26" s="19" t="s">
        <v>1127</v>
      </c>
      <c r="C26" s="1383">
        <v>2878</v>
      </c>
      <c r="D26" s="1236">
        <v>64</v>
      </c>
      <c r="E26" s="1236"/>
      <c r="F26" s="1344">
        <f>(1/S26)*cnst_fish!$C$6</f>
        <v>0.18158954798513588</v>
      </c>
      <c r="G26" s="1344">
        <f t="shared" si="6"/>
        <v>1</v>
      </c>
      <c r="H26" s="1344">
        <f t="shared" si="6"/>
        <v>0.367192066876738</v>
      </c>
      <c r="I26" s="1344">
        <f t="shared" si="0"/>
        <v>129.41434427731966</v>
      </c>
      <c r="J26" s="902">
        <f t="shared" si="1"/>
        <v>0</v>
      </c>
      <c r="L26" s="1460">
        <v>64</v>
      </c>
      <c r="M26" s="1236"/>
      <c r="N26" s="1240" t="s">
        <v>1806</v>
      </c>
      <c r="O26" s="1241" t="s">
        <v>4845</v>
      </c>
      <c r="P26" s="910">
        <f t="shared" si="2"/>
        <v>64</v>
      </c>
      <c r="Q26" s="910">
        <f t="shared" si="3"/>
        <v>64</v>
      </c>
      <c r="R26" s="1344">
        <f t="shared" si="4"/>
        <v>3.22</v>
      </c>
      <c r="S26" s="1344">
        <f>(1/9)*cnst_fish!$C$7*(1/cnst_fish!$C$8)^(R26-1)</f>
        <v>23.404430745914333</v>
      </c>
      <c r="T26" s="1362">
        <f t="shared" si="5"/>
        <v>129.41434427731966</v>
      </c>
      <c r="W26" s="1612"/>
      <c r="X26" s="1612"/>
      <c r="Y26" s="1613"/>
      <c r="Z26" s="1614"/>
      <c r="AA26" s="1614"/>
      <c r="AB26" s="1615"/>
      <c r="AC26" s="1615"/>
      <c r="AD26" s="583"/>
      <c r="AE26" s="583"/>
    </row>
    <row r="27" spans="1:31" ht="14">
      <c r="A27" s="1384" t="s">
        <v>3355</v>
      </c>
      <c r="B27" s="19" t="s">
        <v>1128</v>
      </c>
      <c r="C27" s="1383">
        <v>2069</v>
      </c>
      <c r="D27" s="1236">
        <v>0</v>
      </c>
      <c r="E27" s="1236">
        <v>0</v>
      </c>
      <c r="F27" s="1344">
        <f>(1/S27)*cnst_fish!$C$6</f>
        <v>0.11724405960509449</v>
      </c>
      <c r="G27" s="1344">
        <f t="shared" si="6"/>
        <v>1</v>
      </c>
      <c r="H27" s="1344">
        <f t="shared" si="6"/>
        <v>0.367192066876738</v>
      </c>
      <c r="I27" s="1344">
        <f t="shared" si="0"/>
        <v>0</v>
      </c>
      <c r="J27" s="902">
        <f t="shared" si="1"/>
        <v>0</v>
      </c>
      <c r="L27" s="1460">
        <v>52</v>
      </c>
      <c r="M27" s="1236">
        <v>179</v>
      </c>
      <c r="N27" s="1240" t="s">
        <v>1806</v>
      </c>
      <c r="O27" s="1241" t="s">
        <v>4845</v>
      </c>
      <c r="P27" s="910">
        <f t="shared" si="2"/>
        <v>0</v>
      </c>
      <c r="Q27" s="910">
        <f t="shared" si="3"/>
        <v>231</v>
      </c>
      <c r="R27" s="1344">
        <f t="shared" si="4"/>
        <v>3.41</v>
      </c>
      <c r="S27" s="1344">
        <f>(1/9)*cnst_fish!$C$7*(1/cnst_fish!$C$8)^(R27-1)</f>
        <v>36.24917129545836</v>
      </c>
      <c r="T27" s="1362">
        <f t="shared" si="5"/>
        <v>723.45983015450634</v>
      </c>
      <c r="W27" s="1612"/>
      <c r="X27" s="1612"/>
      <c r="Y27" s="1613"/>
      <c r="Z27" s="1614"/>
      <c r="AA27" s="1614"/>
      <c r="AB27" s="1615"/>
      <c r="AC27" s="1615"/>
      <c r="AD27" s="583"/>
      <c r="AE27" s="583"/>
    </row>
    <row r="28" spans="1:31" ht="14">
      <c r="A28" s="1384" t="s">
        <v>1767</v>
      </c>
      <c r="B28" s="19" t="s">
        <v>3236</v>
      </c>
      <c r="C28" s="1383">
        <v>18775</v>
      </c>
      <c r="D28" s="1236"/>
      <c r="E28" s="1236"/>
      <c r="F28" s="1344">
        <f>(1/S28)*cnst_fish!$C$6</f>
        <v>1.5107419935611153</v>
      </c>
      <c r="G28" s="1344">
        <f t="shared" ref="G28:H47" si="7">G$7</f>
        <v>1</v>
      </c>
      <c r="H28" s="1344">
        <f t="shared" si="7"/>
        <v>0.367192066876738</v>
      </c>
      <c r="I28" s="1344">
        <f t="shared" si="0"/>
        <v>0</v>
      </c>
      <c r="J28" s="902">
        <f t="shared" si="1"/>
        <v>0</v>
      </c>
      <c r="L28" s="1460">
        <v>5.86</v>
      </c>
      <c r="M28" s="1236"/>
      <c r="N28" s="1240" t="s">
        <v>1806</v>
      </c>
      <c r="O28" s="1241"/>
      <c r="P28" s="910">
        <f t="shared" si="2"/>
        <v>0</v>
      </c>
      <c r="Q28" s="910">
        <f t="shared" si="3"/>
        <v>5.86</v>
      </c>
      <c r="R28" s="1344">
        <f t="shared" si="4"/>
        <v>2.299900546274809</v>
      </c>
      <c r="S28" s="1344">
        <f>(1/9)*cnst_fish!$C$7*(1/cnst_fish!$C$8)^(R28-1)</f>
        <v>2.8131871743247938</v>
      </c>
      <c r="T28" s="1362">
        <f t="shared" si="5"/>
        <v>1.4242971474074129</v>
      </c>
      <c r="W28" s="1612"/>
      <c r="X28" s="1612"/>
      <c r="Y28" s="1613"/>
      <c r="Z28" s="1614"/>
      <c r="AA28" s="1614"/>
      <c r="AB28" s="1615"/>
      <c r="AC28" s="1615"/>
      <c r="AD28" s="583"/>
      <c r="AE28" s="583"/>
    </row>
    <row r="29" spans="1:31" ht="14">
      <c r="A29" s="1384" t="s">
        <v>4355</v>
      </c>
      <c r="B29" s="19" t="s">
        <v>6619</v>
      </c>
      <c r="C29" s="1383">
        <v>2422</v>
      </c>
      <c r="D29" s="1236"/>
      <c r="E29" s="1236"/>
      <c r="F29" s="1344">
        <f>(1/S29)*cnst_fish!$C$6</f>
        <v>3.0136363636363641</v>
      </c>
      <c r="G29" s="1344">
        <f t="shared" si="7"/>
        <v>1</v>
      </c>
      <c r="H29" s="1344">
        <f t="shared" si="7"/>
        <v>0.367192066876738</v>
      </c>
      <c r="I29" s="1344">
        <f t="shared" si="0"/>
        <v>0</v>
      </c>
      <c r="J29" s="902">
        <f t="shared" si="1"/>
        <v>0</v>
      </c>
      <c r="L29" s="1460"/>
      <c r="M29" s="1236">
        <v>38</v>
      </c>
      <c r="N29" s="1240" t="s">
        <v>1806</v>
      </c>
      <c r="O29" s="1241" t="s">
        <v>4845</v>
      </c>
      <c r="P29" s="910">
        <f t="shared" si="2"/>
        <v>0</v>
      </c>
      <c r="Q29" s="910">
        <f t="shared" si="3"/>
        <v>38</v>
      </c>
      <c r="R29" s="1344">
        <f t="shared" si="4"/>
        <v>2</v>
      </c>
      <c r="S29" s="1344">
        <f>(1/9)*cnst_fish!$C$7*(1/cnst_fish!$C$8)^(R29-1)</f>
        <v>1.4102564102564099</v>
      </c>
      <c r="T29" s="1362">
        <f t="shared" si="5"/>
        <v>4.6300538146146746</v>
      </c>
      <c r="W29" s="1612"/>
      <c r="X29" s="1612"/>
      <c r="Y29" s="1613"/>
      <c r="Z29" s="1614"/>
      <c r="AA29" s="1614"/>
      <c r="AB29" s="1615"/>
      <c r="AC29" s="1615"/>
      <c r="AD29" s="583"/>
      <c r="AE29" s="583"/>
    </row>
    <row r="30" spans="1:31" ht="14">
      <c r="A30" s="1384" t="s">
        <v>4930</v>
      </c>
      <c r="B30" s="19" t="s">
        <v>292</v>
      </c>
      <c r="C30" s="1383">
        <v>3523</v>
      </c>
      <c r="D30" s="1236"/>
      <c r="E30" s="1236"/>
      <c r="F30" s="1344">
        <f>(1/S30)*cnst_fish!$C$6</f>
        <v>2.3938164528281742</v>
      </c>
      <c r="G30" s="1344">
        <f t="shared" si="7"/>
        <v>1</v>
      </c>
      <c r="H30" s="1344">
        <f t="shared" si="7"/>
        <v>0.367192066876738</v>
      </c>
      <c r="I30" s="1344">
        <f t="shared" si="0"/>
        <v>0</v>
      </c>
      <c r="J30" s="902">
        <f t="shared" si="1"/>
        <v>0</v>
      </c>
      <c r="L30" s="1460">
        <v>30264</v>
      </c>
      <c r="M30" s="1236"/>
      <c r="N30" s="1240" t="s">
        <v>2437</v>
      </c>
      <c r="O30" s="1241" t="s">
        <v>4851</v>
      </c>
      <c r="P30" s="910">
        <f t="shared" si="2"/>
        <v>0</v>
      </c>
      <c r="Q30" s="910">
        <f t="shared" si="3"/>
        <v>30264</v>
      </c>
      <c r="R30" s="1344">
        <f t="shared" si="4"/>
        <v>2.1</v>
      </c>
      <c r="S30" s="1344">
        <f>(1/9)*cnst_fish!$C$7*(1/cnst_fish!$C$8)^(R30-1)</f>
        <v>1.7754076320174161</v>
      </c>
      <c r="T30" s="1362">
        <f t="shared" si="5"/>
        <v>4642.2526250199762</v>
      </c>
      <c r="W30" s="1612"/>
      <c r="X30" s="1612"/>
      <c r="Y30" s="1613"/>
      <c r="Z30" s="1614"/>
      <c r="AA30" s="1614"/>
      <c r="AB30" s="1615"/>
      <c r="AC30" s="1615"/>
      <c r="AD30" s="583"/>
      <c r="AE30" s="583"/>
    </row>
    <row r="31" spans="1:31" ht="14">
      <c r="A31" s="1384" t="s">
        <v>2665</v>
      </c>
      <c r="B31" s="19" t="s">
        <v>661</v>
      </c>
      <c r="C31" s="1383">
        <v>10211</v>
      </c>
      <c r="D31" s="1236"/>
      <c r="E31" s="1236"/>
      <c r="F31" s="1344">
        <f>(1/S31)*cnst_fish!$C$6</f>
        <v>1.9014759972289439E-2</v>
      </c>
      <c r="G31" s="1344">
        <f t="shared" si="7"/>
        <v>1</v>
      </c>
      <c r="H31" s="1344">
        <f t="shared" si="7"/>
        <v>0.367192066876738</v>
      </c>
      <c r="I31" s="1344">
        <f t="shared" si="0"/>
        <v>0</v>
      </c>
      <c r="J31" s="902">
        <f t="shared" si="1"/>
        <v>0</v>
      </c>
      <c r="L31" s="1460">
        <v>42</v>
      </c>
      <c r="M31" s="1236"/>
      <c r="N31" s="1240" t="s">
        <v>1806</v>
      </c>
      <c r="O31" s="1241" t="s">
        <v>4841</v>
      </c>
      <c r="P31" s="910">
        <f t="shared" si="2"/>
        <v>0</v>
      </c>
      <c r="Q31" s="910">
        <f t="shared" si="3"/>
        <v>42</v>
      </c>
      <c r="R31" s="1344">
        <f t="shared" si="4"/>
        <v>4.2</v>
      </c>
      <c r="S31" s="1344">
        <f>(1/9)*cnst_fish!$C$7*(1/cnst_fish!$C$8)^(R31-1)</f>
        <v>223.51057842400343</v>
      </c>
      <c r="T31" s="1362">
        <f t="shared" si="5"/>
        <v>811.05766421968292</v>
      </c>
      <c r="W31" s="1612"/>
      <c r="X31" s="1612"/>
      <c r="Y31" s="1613"/>
      <c r="Z31" s="1614"/>
      <c r="AA31" s="1614"/>
      <c r="AB31" s="1615"/>
      <c r="AC31" s="1615"/>
      <c r="AD31" s="583"/>
      <c r="AE31" s="583"/>
    </row>
    <row r="32" spans="1:31" ht="14.25" customHeight="1">
      <c r="A32" s="1384" t="s">
        <v>6405</v>
      </c>
      <c r="B32" s="19" t="s">
        <v>6404</v>
      </c>
      <c r="C32" s="1383">
        <v>19631</v>
      </c>
      <c r="D32" s="1236"/>
      <c r="E32" s="1236"/>
      <c r="F32" s="1344">
        <f>(1/S32)*cnst_fish!$C$6</f>
        <v>6.0129950673834844E-2</v>
      </c>
      <c r="G32" s="1344">
        <f t="shared" si="7"/>
        <v>1</v>
      </c>
      <c r="H32" s="1344">
        <f t="shared" si="7"/>
        <v>0.367192066876738</v>
      </c>
      <c r="I32" s="1344">
        <f t="shared" si="0"/>
        <v>0</v>
      </c>
      <c r="J32" s="902">
        <f t="shared" si="1"/>
        <v>0</v>
      </c>
      <c r="L32" s="1460"/>
      <c r="M32" s="1236">
        <v>5</v>
      </c>
      <c r="N32" s="1240" t="s">
        <v>1806</v>
      </c>
      <c r="O32" s="1241" t="s">
        <v>4845</v>
      </c>
      <c r="P32" s="910">
        <f t="shared" si="2"/>
        <v>0</v>
      </c>
      <c r="Q32" s="910">
        <f t="shared" si="3"/>
        <v>5</v>
      </c>
      <c r="R32" s="1344">
        <f t="shared" si="4"/>
        <v>3.7</v>
      </c>
      <c r="S32" s="1344">
        <f>(1/9)*cnst_fish!$C$7*(1/cnst_fish!$C$8)^(R32-1)</f>
        <v>70.680250896153822</v>
      </c>
      <c r="T32" s="1362">
        <f t="shared" si="5"/>
        <v>30.533208722264863</v>
      </c>
      <c r="W32" s="1612"/>
      <c r="X32" s="1612"/>
      <c r="Y32" s="1613"/>
      <c r="Z32" s="1614"/>
      <c r="AA32" s="1614"/>
      <c r="AB32" s="1615"/>
      <c r="AC32" s="1615"/>
      <c r="AD32" s="583"/>
      <c r="AE32" s="583"/>
    </row>
    <row r="33" spans="1:31" ht="14">
      <c r="A33" s="1585" t="s">
        <v>8476</v>
      </c>
      <c r="B33" s="1586" t="s">
        <v>8477</v>
      </c>
      <c r="C33" s="1383">
        <v>6812</v>
      </c>
      <c r="D33" s="1236"/>
      <c r="E33" s="1236"/>
      <c r="F33" s="1344">
        <f>(1/S33)*cnst_fish!$C$6</f>
        <v>3.0136363636363642E-2</v>
      </c>
      <c r="G33" s="1344">
        <f t="shared" si="7"/>
        <v>1</v>
      </c>
      <c r="H33" s="1344">
        <f t="shared" si="7"/>
        <v>0.367192066876738</v>
      </c>
      <c r="I33" s="1344">
        <f t="shared" si="0"/>
        <v>0</v>
      </c>
      <c r="J33" s="902">
        <f t="shared" si="1"/>
        <v>0</v>
      </c>
      <c r="L33" s="1460"/>
      <c r="M33" s="1236">
        <v>2150</v>
      </c>
      <c r="N33" s="1240" t="s">
        <v>1806</v>
      </c>
      <c r="O33" s="1241" t="s">
        <v>4845</v>
      </c>
      <c r="P33" s="910">
        <f t="shared" si="2"/>
        <v>0</v>
      </c>
      <c r="Q33" s="910">
        <f t="shared" si="3"/>
        <v>2150</v>
      </c>
      <c r="R33" s="1344">
        <f t="shared" si="4"/>
        <v>4</v>
      </c>
      <c r="S33" s="1344">
        <f>(1/9)*cnst_fish!$C$7*(1/cnst_fish!$C$8)^(R33-1)</f>
        <v>141.02564102564099</v>
      </c>
      <c r="T33" s="1362">
        <f t="shared" si="5"/>
        <v>26196.357109004079</v>
      </c>
      <c r="W33" s="1616"/>
      <c r="X33" s="1616"/>
      <c r="Y33" s="1613"/>
      <c r="Z33" s="1614"/>
      <c r="AA33" s="1614"/>
      <c r="AB33" s="1615"/>
      <c r="AC33" s="1615"/>
      <c r="AD33" s="583"/>
      <c r="AE33" s="583"/>
    </row>
    <row r="34" spans="1:31" ht="14">
      <c r="A34" s="1384" t="s">
        <v>890</v>
      </c>
      <c r="B34" s="19" t="s">
        <v>662</v>
      </c>
      <c r="C34" s="1383">
        <v>18787</v>
      </c>
      <c r="D34" s="1236"/>
      <c r="E34" s="1236"/>
      <c r="F34" s="1344">
        <f>(1/S34)*cnst_fish!$C$6</f>
        <v>0.10941852286935322</v>
      </c>
      <c r="G34" s="1344">
        <f t="shared" si="7"/>
        <v>1</v>
      </c>
      <c r="H34" s="1344">
        <f t="shared" si="7"/>
        <v>0.367192066876738</v>
      </c>
      <c r="I34" s="1344">
        <f t="shared" si="0"/>
        <v>0</v>
      </c>
      <c r="J34" s="902">
        <f t="shared" si="1"/>
        <v>0</v>
      </c>
      <c r="L34" s="1460"/>
      <c r="M34" s="1236">
        <v>58</v>
      </c>
      <c r="N34" s="1240" t="s">
        <v>1806</v>
      </c>
      <c r="O34" s="1241" t="s">
        <v>4841</v>
      </c>
      <c r="P34" s="910">
        <f t="shared" si="2"/>
        <v>0</v>
      </c>
      <c r="Q34" s="910">
        <f t="shared" si="3"/>
        <v>58</v>
      </c>
      <c r="R34" s="1344">
        <f t="shared" si="4"/>
        <v>3.44</v>
      </c>
      <c r="S34" s="1344">
        <f>(1/9)*cnst_fish!$C$7*(1/cnst_fish!$C$8)^(R34-1)</f>
        <v>38.841686841948523</v>
      </c>
      <c r="T34" s="1362">
        <f t="shared" si="5"/>
        <v>194.63925595376384</v>
      </c>
      <c r="W34" s="1612"/>
      <c r="X34" s="1612"/>
      <c r="Y34" s="1613"/>
      <c r="Z34" s="1614"/>
      <c r="AA34" s="1614"/>
      <c r="AB34" s="1615"/>
      <c r="AC34" s="1615"/>
      <c r="AD34" s="583"/>
      <c r="AE34" s="583"/>
    </row>
    <row r="35" spans="1:31" ht="14">
      <c r="A35" s="1384" t="s">
        <v>125</v>
      </c>
      <c r="B35" s="19" t="s">
        <v>663</v>
      </c>
      <c r="C35" s="1383">
        <v>2076</v>
      </c>
      <c r="D35" s="1236"/>
      <c r="E35" s="1236"/>
      <c r="F35" s="1344">
        <f>(1/S35)*cnst_fish!$C$6</f>
        <v>6.4430402969999093E-2</v>
      </c>
      <c r="G35" s="1344">
        <f t="shared" si="7"/>
        <v>1</v>
      </c>
      <c r="H35" s="1344">
        <f t="shared" si="7"/>
        <v>0.367192066876738</v>
      </c>
      <c r="I35" s="1344">
        <f t="shared" si="0"/>
        <v>0</v>
      </c>
      <c r="J35" s="902">
        <f t="shared" si="1"/>
        <v>0</v>
      </c>
      <c r="L35" s="1460">
        <v>568</v>
      </c>
      <c r="M35" s="1236"/>
      <c r="N35" s="1240" t="s">
        <v>1806</v>
      </c>
      <c r="O35" s="1241" t="s">
        <v>4841</v>
      </c>
      <c r="P35" s="910">
        <f t="shared" si="2"/>
        <v>0</v>
      </c>
      <c r="Q35" s="910">
        <f t="shared" si="3"/>
        <v>568</v>
      </c>
      <c r="R35" s="1344">
        <f t="shared" si="4"/>
        <v>3.67</v>
      </c>
      <c r="S35" s="1344">
        <f>(1/9)*cnst_fish!$C$7*(1/cnst_fish!$C$8)^(R35-1)</f>
        <v>65.962648130245896</v>
      </c>
      <c r="T35" s="1362">
        <f t="shared" si="5"/>
        <v>3237.0602133763146</v>
      </c>
      <c r="W35" s="1612"/>
      <c r="X35" s="1612"/>
      <c r="Y35" s="1613"/>
      <c r="Z35" s="1614"/>
      <c r="AA35" s="1614"/>
      <c r="AB35" s="1615"/>
      <c r="AC35" s="1615"/>
      <c r="AD35" s="583"/>
      <c r="AE35" s="583"/>
    </row>
    <row r="36" spans="1:31" ht="14">
      <c r="A36" s="1384" t="s">
        <v>4305</v>
      </c>
      <c r="B36" s="19" t="s">
        <v>2357</v>
      </c>
      <c r="C36" s="1383">
        <v>2155</v>
      </c>
      <c r="D36" s="1236"/>
      <c r="E36" s="1236"/>
      <c r="F36" s="1344">
        <f>(1/S36)*cnst_fish!$C$6</f>
        <v>0.29450376249713744</v>
      </c>
      <c r="G36" s="1344">
        <f t="shared" si="7"/>
        <v>1</v>
      </c>
      <c r="H36" s="1344">
        <f t="shared" si="7"/>
        <v>0.367192066876738</v>
      </c>
      <c r="I36" s="1344">
        <f t="shared" si="0"/>
        <v>0</v>
      </c>
      <c r="J36" s="902">
        <f t="shared" si="1"/>
        <v>0</v>
      </c>
      <c r="L36" s="1460"/>
      <c r="M36" s="1236">
        <v>234</v>
      </c>
      <c r="N36" s="1240" t="s">
        <v>1806</v>
      </c>
      <c r="O36" s="1241" t="s">
        <v>4845</v>
      </c>
      <c r="P36" s="910">
        <f t="shared" si="2"/>
        <v>0</v>
      </c>
      <c r="Q36" s="910">
        <f t="shared" si="3"/>
        <v>234</v>
      </c>
      <c r="R36" s="1344">
        <f t="shared" si="4"/>
        <v>3.01</v>
      </c>
      <c r="S36" s="1344">
        <f>(1/9)*cnst_fish!$C$7*(1/cnst_fish!$C$8)^(R36-1)</f>
        <v>14.431055019343969</v>
      </c>
      <c r="T36" s="1362">
        <f t="shared" si="5"/>
        <v>291.75499464116984</v>
      </c>
      <c r="W36" s="1612"/>
      <c r="X36" s="1612"/>
      <c r="Y36" s="1613"/>
      <c r="Z36" s="1614"/>
      <c r="AA36" s="1614"/>
      <c r="AB36" s="1615"/>
      <c r="AC36" s="1615"/>
      <c r="AD36" s="583"/>
      <c r="AE36" s="583"/>
    </row>
    <row r="37" spans="1:31" ht="14">
      <c r="A37" s="1384" t="s">
        <v>2848</v>
      </c>
      <c r="B37" s="19" t="s">
        <v>2846</v>
      </c>
      <c r="C37" s="1383">
        <v>3121</v>
      </c>
      <c r="D37" s="1236"/>
      <c r="E37" s="1236"/>
      <c r="F37" s="1344">
        <f>(1/S37)*cnst_fish!$C$6</f>
        <v>7.5699122913220479E-2</v>
      </c>
      <c r="G37" s="1344">
        <f t="shared" si="7"/>
        <v>1</v>
      </c>
      <c r="H37" s="1344">
        <f t="shared" si="7"/>
        <v>0.367192066876738</v>
      </c>
      <c r="I37" s="1344">
        <f t="shared" si="0"/>
        <v>0</v>
      </c>
      <c r="J37" s="902">
        <f t="shared" si="1"/>
        <v>0</v>
      </c>
      <c r="L37" s="1460">
        <v>495</v>
      </c>
      <c r="M37" s="1236"/>
      <c r="N37" s="1240" t="s">
        <v>1806</v>
      </c>
      <c r="O37" s="1241" t="s">
        <v>4859</v>
      </c>
      <c r="P37" s="910">
        <f t="shared" si="2"/>
        <v>0</v>
      </c>
      <c r="Q37" s="910">
        <f t="shared" si="3"/>
        <v>495</v>
      </c>
      <c r="R37" s="1344">
        <f t="shared" si="4"/>
        <v>3.6</v>
      </c>
      <c r="S37" s="1344">
        <f>(1/9)*cnst_fish!$C$7*(1/cnst_fish!$C$8)^(R37-1)</f>
        <v>56.143318924211187</v>
      </c>
      <c r="T37" s="1362">
        <f t="shared" si="5"/>
        <v>2401.0855886976442</v>
      </c>
      <c r="W37" s="1612"/>
      <c r="X37" s="1612"/>
      <c r="Y37" s="1613"/>
      <c r="Z37" s="1614"/>
      <c r="AA37" s="1614"/>
      <c r="AB37" s="1615"/>
      <c r="AC37" s="1615"/>
      <c r="AD37" s="583"/>
      <c r="AE37" s="583"/>
    </row>
    <row r="38" spans="1:31" ht="14">
      <c r="A38" s="1585" t="s">
        <v>8478</v>
      </c>
      <c r="B38" s="1586" t="s">
        <v>8479</v>
      </c>
      <c r="C38" s="1383">
        <v>10264</v>
      </c>
      <c r="D38" s="1236">
        <v>5</v>
      </c>
      <c r="E38" s="1236"/>
      <c r="F38" s="1344">
        <f>(1/S38)*cnst_fish!$C$6</f>
        <v>3.0136363636363642E-2</v>
      </c>
      <c r="G38" s="1344">
        <f t="shared" si="7"/>
        <v>1</v>
      </c>
      <c r="H38" s="1344">
        <f t="shared" si="7"/>
        <v>0.367192066876738</v>
      </c>
      <c r="I38" s="1344">
        <f t="shared" si="0"/>
        <v>60.921760718614138</v>
      </c>
      <c r="J38" s="902">
        <f t="shared" si="1"/>
        <v>0</v>
      </c>
      <c r="L38" s="1460">
        <v>5</v>
      </c>
      <c r="M38" s="1236"/>
      <c r="N38" s="1240" t="s">
        <v>1806</v>
      </c>
      <c r="O38" s="1241" t="s">
        <v>4859</v>
      </c>
      <c r="P38" s="910">
        <f t="shared" si="2"/>
        <v>5</v>
      </c>
      <c r="Q38" s="910">
        <f t="shared" si="3"/>
        <v>5</v>
      </c>
      <c r="R38" s="1344">
        <f t="shared" si="4"/>
        <v>4</v>
      </c>
      <c r="S38" s="1344">
        <f>(1/9)*cnst_fish!$C$7*(1/cnst_fish!$C$8)^(R38-1)</f>
        <v>141.02564102564099</v>
      </c>
      <c r="T38" s="1362">
        <f t="shared" si="5"/>
        <v>60.921760718614138</v>
      </c>
      <c r="W38" s="1616"/>
      <c r="X38" s="1616"/>
      <c r="Y38" s="1613"/>
      <c r="Z38" s="1614"/>
      <c r="AA38" s="1614"/>
      <c r="AB38" s="1615"/>
      <c r="AC38" s="1615"/>
      <c r="AD38" s="583"/>
      <c r="AE38" s="583"/>
    </row>
    <row r="39" spans="1:31" ht="14">
      <c r="A39" s="1384" t="s">
        <v>3866</v>
      </c>
      <c r="B39" s="19" t="s">
        <v>2847</v>
      </c>
      <c r="C39" s="1383">
        <v>10268</v>
      </c>
      <c r="D39" s="1236"/>
      <c r="E39" s="1236"/>
      <c r="F39" s="1344">
        <f>(1/S39)*cnst_fish!$C$6</f>
        <v>0.14424170509541331</v>
      </c>
      <c r="G39" s="1344">
        <f t="shared" si="7"/>
        <v>1</v>
      </c>
      <c r="H39" s="1344">
        <f t="shared" si="7"/>
        <v>0.367192066876738</v>
      </c>
      <c r="I39" s="1344">
        <f t="shared" si="0"/>
        <v>0</v>
      </c>
      <c r="J39" s="902">
        <f t="shared" si="1"/>
        <v>0</v>
      </c>
      <c r="L39" s="1460">
        <v>294</v>
      </c>
      <c r="M39" s="1236"/>
      <c r="N39" s="1240" t="s">
        <v>1806</v>
      </c>
      <c r="O39" s="1241" t="s">
        <v>4859</v>
      </c>
      <c r="P39" s="910">
        <f t="shared" si="2"/>
        <v>0</v>
      </c>
      <c r="Q39" s="910">
        <f t="shared" si="3"/>
        <v>294</v>
      </c>
      <c r="R39" s="1344">
        <f t="shared" si="4"/>
        <v>3.32</v>
      </c>
      <c r="S39" s="1344">
        <f>(1/9)*cnst_fish!$C$7*(1/cnst_fish!$C$8)^(R39-1)</f>
        <v>29.464432614608246</v>
      </c>
      <c r="T39" s="1362">
        <f t="shared" si="5"/>
        <v>748.42756185079077</v>
      </c>
      <c r="W39" s="1612"/>
      <c r="X39" s="1612"/>
      <c r="Y39" s="1613"/>
      <c r="Z39" s="1614"/>
      <c r="AA39" s="1614"/>
      <c r="AB39" s="1615"/>
      <c r="AC39" s="1615"/>
      <c r="AD39" s="583"/>
      <c r="AE39" s="583"/>
    </row>
    <row r="40" spans="1:31" ht="14">
      <c r="A40" s="1384" t="s">
        <v>6680</v>
      </c>
      <c r="B40" s="19" t="s">
        <v>6679</v>
      </c>
      <c r="C40" s="1383">
        <v>10272</v>
      </c>
      <c r="D40" s="1236"/>
      <c r="E40" s="1236"/>
      <c r="F40" s="1344">
        <f>(1/S40)*cnst_fish!$C$6</f>
        <v>2.3938164528281767E-2</v>
      </c>
      <c r="G40" s="1344">
        <f t="shared" si="7"/>
        <v>1</v>
      </c>
      <c r="H40" s="1344">
        <f t="shared" si="7"/>
        <v>0.367192066876738</v>
      </c>
      <c r="I40" s="1344">
        <f t="shared" si="0"/>
        <v>0</v>
      </c>
      <c r="J40" s="902">
        <f t="shared" si="1"/>
        <v>0</v>
      </c>
      <c r="L40" s="1460">
        <v>0</v>
      </c>
      <c r="M40" s="1236"/>
      <c r="N40" s="1240" t="s">
        <v>1806</v>
      </c>
      <c r="O40" s="1241" t="s">
        <v>4859</v>
      </c>
      <c r="P40" s="910">
        <f t="shared" si="2"/>
        <v>0</v>
      </c>
      <c r="Q40" s="910">
        <f t="shared" si="3"/>
        <v>0</v>
      </c>
      <c r="R40" s="1344">
        <f t="shared" si="4"/>
        <v>4.0999999999999996</v>
      </c>
      <c r="S40" s="1344">
        <f>(1/9)*cnst_fish!$C$7*(1/cnst_fish!$C$8)^(R40-1)</f>
        <v>177.54076320174144</v>
      </c>
      <c r="T40" s="1362">
        <f t="shared" si="5"/>
        <v>0</v>
      </c>
      <c r="W40" s="1612"/>
      <c r="X40" s="1612"/>
      <c r="Y40" s="1613"/>
      <c r="Z40" s="1614"/>
      <c r="AA40" s="1614"/>
      <c r="AB40" s="1615"/>
      <c r="AC40" s="1615"/>
      <c r="AD40" s="583"/>
      <c r="AE40" s="583"/>
    </row>
    <row r="41" spans="1:31" ht="14">
      <c r="A41" s="1384" t="s">
        <v>4128</v>
      </c>
      <c r="B41" s="19" t="s">
        <v>2304</v>
      </c>
      <c r="C41" s="1383">
        <v>2923</v>
      </c>
      <c r="D41" s="1236"/>
      <c r="E41" s="1236"/>
      <c r="F41" s="1344">
        <f>(1/S41)*cnst_fish!$C$6</f>
        <v>6.1530557150722649E-2</v>
      </c>
      <c r="G41" s="1344">
        <f t="shared" si="7"/>
        <v>1</v>
      </c>
      <c r="H41" s="1344">
        <f t="shared" si="7"/>
        <v>0.367192066876738</v>
      </c>
      <c r="I41" s="1344">
        <f t="shared" si="0"/>
        <v>0</v>
      </c>
      <c r="J41" s="902">
        <f t="shared" si="1"/>
        <v>0</v>
      </c>
      <c r="L41" s="1460">
        <v>678</v>
      </c>
      <c r="M41" s="1236"/>
      <c r="N41" s="1240" t="s">
        <v>1806</v>
      </c>
      <c r="O41" s="1241" t="s">
        <v>4841</v>
      </c>
      <c r="P41" s="910">
        <f t="shared" si="2"/>
        <v>0</v>
      </c>
      <c r="Q41" s="910">
        <f t="shared" si="3"/>
        <v>678</v>
      </c>
      <c r="R41" s="1344">
        <f t="shared" si="4"/>
        <v>3.69</v>
      </c>
      <c r="S41" s="1344">
        <f>(1/9)*cnst_fish!$C$7*(1/cnst_fish!$C$8)^(R41-1)</f>
        <v>69.071371962216759</v>
      </c>
      <c r="T41" s="1362">
        <f t="shared" si="5"/>
        <v>4046.0582980354902</v>
      </c>
      <c r="W41" s="1612"/>
      <c r="X41" s="1612"/>
      <c r="Y41" s="1613"/>
      <c r="Z41" s="1614"/>
      <c r="AA41" s="1614"/>
      <c r="AB41" s="1615"/>
      <c r="AC41" s="1615"/>
      <c r="AD41" s="583"/>
      <c r="AE41" s="583"/>
    </row>
    <row r="42" spans="1:31" ht="14">
      <c r="A42" s="1384" t="s">
        <v>5688</v>
      </c>
      <c r="B42" s="19" t="s">
        <v>5689</v>
      </c>
      <c r="C42" s="1383">
        <v>2111</v>
      </c>
      <c r="D42" s="1236"/>
      <c r="E42" s="1236"/>
      <c r="F42" s="1344">
        <f>(1/S42)*cnst_fish!$C$6</f>
        <v>0.10692785320993656</v>
      </c>
      <c r="G42" s="1344">
        <f t="shared" si="7"/>
        <v>1</v>
      </c>
      <c r="H42" s="1344">
        <f t="shared" si="7"/>
        <v>0.367192066876738</v>
      </c>
      <c r="I42" s="1344">
        <f t="shared" si="0"/>
        <v>0</v>
      </c>
      <c r="J42" s="902">
        <f t="shared" si="1"/>
        <v>0</v>
      </c>
      <c r="L42" s="1460">
        <v>8</v>
      </c>
      <c r="M42" s="1236"/>
      <c r="N42" s="1240" t="s">
        <v>1806</v>
      </c>
      <c r="O42" s="1241" t="s">
        <v>4841</v>
      </c>
      <c r="P42" s="910">
        <f t="shared" si="2"/>
        <v>0</v>
      </c>
      <c r="Q42" s="910">
        <f t="shared" si="3"/>
        <v>8</v>
      </c>
      <c r="R42" s="1344">
        <f t="shared" si="4"/>
        <v>3.45</v>
      </c>
      <c r="S42" s="1344">
        <f>(1/9)*cnst_fish!$C$7*(1/cnst_fish!$C$8)^(R42-1)</f>
        <v>39.746425953729492</v>
      </c>
      <c r="T42" s="1362">
        <f t="shared" si="5"/>
        <v>27.472136088307114</v>
      </c>
      <c r="W42" s="1612"/>
      <c r="X42" s="1612"/>
      <c r="Y42" s="1613"/>
      <c r="Z42" s="1614"/>
      <c r="AA42" s="1614"/>
      <c r="AB42" s="1615"/>
      <c r="AC42" s="1615"/>
      <c r="AD42" s="583"/>
      <c r="AE42" s="583"/>
    </row>
    <row r="43" spans="1:31" ht="14">
      <c r="A43" s="1384" t="s">
        <v>6414</v>
      </c>
      <c r="B43" s="19" t="s">
        <v>6413</v>
      </c>
      <c r="C43" s="1383">
        <v>10276</v>
      </c>
      <c r="D43" s="1236"/>
      <c r="E43" s="1236"/>
      <c r="F43" s="1344">
        <f>(1/S43)*cnst_fish!$C$6</f>
        <v>3.0136363636363641</v>
      </c>
      <c r="G43" s="1344">
        <f t="shared" si="7"/>
        <v>1</v>
      </c>
      <c r="H43" s="1344">
        <f t="shared" si="7"/>
        <v>0.367192066876738</v>
      </c>
      <c r="I43" s="1344">
        <f t="shared" si="0"/>
        <v>0</v>
      </c>
      <c r="J43" s="902">
        <f t="shared" si="1"/>
        <v>0</v>
      </c>
      <c r="L43" s="1460"/>
      <c r="M43" s="1236">
        <v>1262</v>
      </c>
      <c r="N43" s="1240" t="s">
        <v>1806</v>
      </c>
      <c r="O43" s="1241" t="s">
        <v>4845</v>
      </c>
      <c r="P43" s="910">
        <f t="shared" si="2"/>
        <v>0</v>
      </c>
      <c r="Q43" s="910">
        <f t="shared" si="3"/>
        <v>1262</v>
      </c>
      <c r="R43" s="1344">
        <f t="shared" si="4"/>
        <v>2</v>
      </c>
      <c r="S43" s="1344">
        <f>(1/9)*cnst_fish!$C$7*(1/cnst_fish!$C$8)^(R43-1)</f>
        <v>1.4102564102564099</v>
      </c>
      <c r="T43" s="1362">
        <f t="shared" si="5"/>
        <v>153.76652405378209</v>
      </c>
      <c r="W43" s="1612"/>
      <c r="X43" s="1612"/>
      <c r="Y43" s="1613"/>
      <c r="Z43" s="1614"/>
      <c r="AA43" s="1614"/>
      <c r="AB43" s="1615"/>
      <c r="AC43" s="1615"/>
      <c r="AD43" s="583"/>
      <c r="AE43" s="583"/>
    </row>
    <row r="44" spans="1:31" ht="14">
      <c r="A44" s="1585" t="s">
        <v>8480</v>
      </c>
      <c r="B44" s="1586" t="s">
        <v>8481</v>
      </c>
      <c r="C44" s="1383">
        <v>20410</v>
      </c>
      <c r="D44" s="1236"/>
      <c r="E44" s="1236"/>
      <c r="F44" s="1344">
        <f>(1/S44)*cnst_fish!$C$6</f>
        <v>0.44574948243432794</v>
      </c>
      <c r="G44" s="1344">
        <f t="shared" si="7"/>
        <v>1</v>
      </c>
      <c r="H44" s="1344">
        <f t="shared" si="7"/>
        <v>0.367192066876738</v>
      </c>
      <c r="I44" s="1344">
        <f t="shared" si="0"/>
        <v>0</v>
      </c>
      <c r="J44" s="902">
        <f t="shared" si="1"/>
        <v>0</v>
      </c>
      <c r="L44" s="1460"/>
      <c r="M44" s="1236">
        <v>431</v>
      </c>
      <c r="N44" s="1240" t="s">
        <v>1806</v>
      </c>
      <c r="O44" s="1241" t="s">
        <v>4845</v>
      </c>
      <c r="P44" s="910">
        <f t="shared" si="2"/>
        <v>0</v>
      </c>
      <c r="Q44" s="910">
        <f t="shared" si="3"/>
        <v>431</v>
      </c>
      <c r="R44" s="1344">
        <f t="shared" si="4"/>
        <v>2.83</v>
      </c>
      <c r="S44" s="1344">
        <f>(1/9)*cnst_fish!$C$7*(1/cnst_fish!$C$8)^(R44-1)</f>
        <v>9.534503499117692</v>
      </c>
      <c r="T44" s="1362">
        <f t="shared" si="5"/>
        <v>355.04198447878269</v>
      </c>
      <c r="W44" s="1616"/>
      <c r="X44" s="1616"/>
      <c r="Y44" s="1613"/>
      <c r="Z44" s="1614"/>
      <c r="AA44" s="1614"/>
      <c r="AB44" s="1615"/>
      <c r="AC44" s="1615"/>
      <c r="AD44" s="583"/>
      <c r="AE44" s="583"/>
    </row>
    <row r="45" spans="1:31" ht="14">
      <c r="A45" s="1384" t="s">
        <v>4015</v>
      </c>
      <c r="B45" s="19" t="s">
        <v>4016</v>
      </c>
      <c r="C45" s="1383">
        <v>3643</v>
      </c>
      <c r="D45" s="1236"/>
      <c r="E45" s="1236"/>
      <c r="F45" s="1344">
        <f>(1/S45)*cnst_fish!$C$6</f>
        <v>30.136363636363644</v>
      </c>
      <c r="G45" s="1344">
        <f t="shared" si="7"/>
        <v>1</v>
      </c>
      <c r="H45" s="1344">
        <f t="shared" si="7"/>
        <v>0.367192066876738</v>
      </c>
      <c r="I45" s="1344">
        <f t="shared" si="0"/>
        <v>0</v>
      </c>
      <c r="J45" s="902">
        <f t="shared" si="1"/>
        <v>0</v>
      </c>
      <c r="L45" s="1460">
        <v>1366</v>
      </c>
      <c r="M45" s="1236"/>
      <c r="N45" s="1240" t="s">
        <v>1808</v>
      </c>
      <c r="O45" s="1241" t="s">
        <v>4831</v>
      </c>
      <c r="P45" s="910">
        <f t="shared" si="2"/>
        <v>0</v>
      </c>
      <c r="Q45" s="910">
        <f t="shared" si="3"/>
        <v>1366</v>
      </c>
      <c r="R45" s="1344">
        <f t="shared" si="4"/>
        <v>1</v>
      </c>
      <c r="S45" s="1344">
        <f>(1/9)*cnst_fish!$C$7*(1/cnst_fish!$C$8)^(R45-1)</f>
        <v>0.141025641025641</v>
      </c>
      <c r="T45" s="1362">
        <f t="shared" si="5"/>
        <v>16.643825028325381</v>
      </c>
      <c r="W45" s="1612"/>
      <c r="X45" s="1612"/>
      <c r="Y45" s="1613"/>
      <c r="Z45" s="1614"/>
      <c r="AA45" s="1614"/>
      <c r="AB45" s="1615"/>
      <c r="AC45" s="1615"/>
      <c r="AD45" s="583"/>
      <c r="AE45" s="583"/>
    </row>
    <row r="46" spans="1:31" ht="14">
      <c r="A46" s="1384" t="s">
        <v>5002</v>
      </c>
      <c r="B46" s="19" t="s">
        <v>2305</v>
      </c>
      <c r="C46" s="1383">
        <v>2253</v>
      </c>
      <c r="D46" s="1236"/>
      <c r="E46" s="1236"/>
      <c r="F46" s="1344">
        <f>(1/S46)*cnst_fish!$C$6</f>
        <v>0.12562927329128742</v>
      </c>
      <c r="G46" s="1344">
        <f t="shared" si="7"/>
        <v>1</v>
      </c>
      <c r="H46" s="1344">
        <f t="shared" si="7"/>
        <v>0.367192066876738</v>
      </c>
      <c r="I46" s="1344">
        <f t="shared" si="0"/>
        <v>0</v>
      </c>
      <c r="J46" s="902">
        <f t="shared" si="1"/>
        <v>0</v>
      </c>
      <c r="L46" s="1460">
        <v>20</v>
      </c>
      <c r="M46" s="1236"/>
      <c r="N46" s="1240" t="s">
        <v>1806</v>
      </c>
      <c r="O46" s="1241" t="s">
        <v>4841</v>
      </c>
      <c r="P46" s="910">
        <f t="shared" si="2"/>
        <v>0</v>
      </c>
      <c r="Q46" s="910">
        <f t="shared" si="3"/>
        <v>20</v>
      </c>
      <c r="R46" s="1344">
        <f t="shared" si="4"/>
        <v>3.38</v>
      </c>
      <c r="S46" s="1344">
        <f>(1/9)*cnst_fish!$C$7*(1/cnst_fish!$C$8)^(R46-1)</f>
        <v>33.829695011813328</v>
      </c>
      <c r="T46" s="1362">
        <f t="shared" si="5"/>
        <v>58.456450038576051</v>
      </c>
      <c r="W46" s="1612"/>
      <c r="X46" s="1612"/>
      <c r="Y46" s="1613"/>
      <c r="Z46" s="1614"/>
      <c r="AA46" s="1614"/>
      <c r="AB46" s="1615"/>
      <c r="AC46" s="1615"/>
      <c r="AD46" s="583"/>
      <c r="AE46" s="583"/>
    </row>
    <row r="47" spans="1:31" ht="14">
      <c r="A47" s="1384" t="s">
        <v>6936</v>
      </c>
      <c r="B47" s="19" t="s">
        <v>6935</v>
      </c>
      <c r="C47" s="1383">
        <v>2254</v>
      </c>
      <c r="D47" s="1236"/>
      <c r="E47" s="1236"/>
      <c r="F47" s="1344">
        <f>(1/S47)*cnst_fish!$C$6</f>
        <v>3.0136363636363641</v>
      </c>
      <c r="G47" s="1344">
        <f t="shared" si="7"/>
        <v>1</v>
      </c>
      <c r="H47" s="1344">
        <f t="shared" si="7"/>
        <v>0.367192066876738</v>
      </c>
      <c r="I47" s="1344">
        <f t="shared" si="0"/>
        <v>0</v>
      </c>
      <c r="J47" s="902">
        <f t="shared" si="1"/>
        <v>0</v>
      </c>
      <c r="L47" s="1460">
        <v>285</v>
      </c>
      <c r="M47" s="1236"/>
      <c r="N47" s="1240" t="s">
        <v>1806</v>
      </c>
      <c r="O47" s="1241" t="s">
        <v>4859</v>
      </c>
      <c r="P47" s="910">
        <f t="shared" si="2"/>
        <v>0</v>
      </c>
      <c r="Q47" s="910">
        <f t="shared" si="3"/>
        <v>285</v>
      </c>
      <c r="R47" s="1344">
        <f t="shared" si="4"/>
        <v>2</v>
      </c>
      <c r="S47" s="1344">
        <f>(1/9)*cnst_fish!$C$7*(1/cnst_fish!$C$8)^(R47-1)</f>
        <v>1.4102564102564099</v>
      </c>
      <c r="T47" s="1362">
        <f t="shared" si="5"/>
        <v>34.725403609610062</v>
      </c>
      <c r="W47" s="1612"/>
      <c r="X47" s="1612"/>
      <c r="Y47" s="1613"/>
      <c r="Z47" s="1614"/>
      <c r="AA47" s="1614"/>
      <c r="AB47" s="1615"/>
      <c r="AC47" s="1615"/>
      <c r="AD47" s="583"/>
      <c r="AE47" s="583"/>
    </row>
    <row r="48" spans="1:31" ht="14">
      <c r="A48" s="1384" t="s">
        <v>4027</v>
      </c>
      <c r="B48" s="19" t="s">
        <v>4028</v>
      </c>
      <c r="C48" s="1383">
        <v>3299</v>
      </c>
      <c r="D48" s="1236"/>
      <c r="E48" s="1236"/>
      <c r="F48" s="1344">
        <f>(1/S48)*cnst_fish!$C$6</f>
        <v>5.4839166784473523E-2</v>
      </c>
      <c r="G48" s="1344">
        <f t="shared" ref="G48:H67" si="8">G$7</f>
        <v>1</v>
      </c>
      <c r="H48" s="1344">
        <f t="shared" si="8"/>
        <v>0.367192066876738</v>
      </c>
      <c r="I48" s="1344">
        <f t="shared" si="0"/>
        <v>0</v>
      </c>
      <c r="J48" s="902">
        <f t="shared" si="1"/>
        <v>0</v>
      </c>
      <c r="L48" s="1460">
        <v>272</v>
      </c>
      <c r="M48" s="1236"/>
      <c r="N48" s="1240" t="s">
        <v>2969</v>
      </c>
      <c r="O48" s="1241" t="s">
        <v>4859</v>
      </c>
      <c r="P48" s="910">
        <f t="shared" si="2"/>
        <v>0</v>
      </c>
      <c r="Q48" s="910">
        <f t="shared" si="3"/>
        <v>272</v>
      </c>
      <c r="R48" s="1344">
        <f t="shared" si="4"/>
        <v>3.74</v>
      </c>
      <c r="S48" s="1344">
        <f>(1/9)*cnst_fish!$C$7*(1/cnst_fish!$C$8)^(R48-1)</f>
        <v>77.499354005562537</v>
      </c>
      <c r="T48" s="1362">
        <f t="shared" si="5"/>
        <v>1821.2574706505288</v>
      </c>
      <c r="W48" s="1612"/>
      <c r="X48" s="1612"/>
      <c r="Y48" s="1613"/>
      <c r="Z48" s="1614"/>
      <c r="AA48" s="1614"/>
      <c r="AB48" s="1615"/>
      <c r="AC48" s="1615"/>
      <c r="AD48" s="583"/>
      <c r="AE48" s="583"/>
    </row>
    <row r="49" spans="1:31" ht="14">
      <c r="A49" s="1384" t="s">
        <v>1657</v>
      </c>
      <c r="B49" s="19" t="s">
        <v>1658</v>
      </c>
      <c r="C49" s="1383">
        <v>2009</v>
      </c>
      <c r="D49" s="1236"/>
      <c r="E49" s="1236"/>
      <c r="F49" s="1344">
        <f>(1/S49)*cnst_fish!$C$6</f>
        <v>9.5299549485983424E-3</v>
      </c>
      <c r="G49" s="1344">
        <f t="shared" si="8"/>
        <v>1</v>
      </c>
      <c r="H49" s="1344">
        <f t="shared" si="8"/>
        <v>0.367192066876738</v>
      </c>
      <c r="I49" s="1344">
        <f t="shared" si="0"/>
        <v>0</v>
      </c>
      <c r="J49" s="902">
        <f t="shared" si="1"/>
        <v>0</v>
      </c>
      <c r="L49" s="1460">
        <v>6680</v>
      </c>
      <c r="M49" s="1236"/>
      <c r="N49" s="1240" t="s">
        <v>1806</v>
      </c>
      <c r="O49" s="1241" t="s">
        <v>4841</v>
      </c>
      <c r="P49" s="910">
        <f t="shared" si="2"/>
        <v>0</v>
      </c>
      <c r="Q49" s="910">
        <f t="shared" si="3"/>
        <v>6680</v>
      </c>
      <c r="R49" s="1344">
        <f t="shared" si="4"/>
        <v>4.5</v>
      </c>
      <c r="S49" s="1344">
        <f>(1/9)*cnst_fish!$C$7*(1/cnst_fish!$C$8)^(R49-1)</f>
        <v>445.96223412630997</v>
      </c>
      <c r="T49" s="1362">
        <f t="shared" si="5"/>
        <v>257382.43464596564</v>
      </c>
      <c r="W49" s="1612"/>
      <c r="X49" s="1612"/>
      <c r="Y49" s="1613"/>
      <c r="Z49" s="1614"/>
      <c r="AA49" s="1614"/>
      <c r="AB49" s="1615"/>
      <c r="AC49" s="1615"/>
      <c r="AD49" s="583"/>
      <c r="AE49" s="583"/>
    </row>
    <row r="50" spans="1:31" ht="14">
      <c r="A50" s="1384" t="s">
        <v>988</v>
      </c>
      <c r="B50" s="19" t="s">
        <v>4205</v>
      </c>
      <c r="C50" s="1383">
        <v>2007</v>
      </c>
      <c r="D50" s="1236">
        <v>5</v>
      </c>
      <c r="E50" s="1236"/>
      <c r="F50" s="1344">
        <f>(1/S50)*cnst_fish!$C$6</f>
        <v>9.5299549485983424E-3</v>
      </c>
      <c r="G50" s="1344">
        <f t="shared" si="8"/>
        <v>1</v>
      </c>
      <c r="H50" s="1344">
        <f t="shared" si="8"/>
        <v>0.367192066876738</v>
      </c>
      <c r="I50" s="1344">
        <f t="shared" si="0"/>
        <v>192.65152293859703</v>
      </c>
      <c r="J50" s="902">
        <f t="shared" si="1"/>
        <v>0</v>
      </c>
      <c r="L50" s="1460">
        <v>13904</v>
      </c>
      <c r="M50" s="1236"/>
      <c r="N50" s="1240" t="s">
        <v>3927</v>
      </c>
      <c r="O50" s="1241" t="s">
        <v>4841</v>
      </c>
      <c r="P50" s="910">
        <f t="shared" si="2"/>
        <v>5</v>
      </c>
      <c r="Q50" s="910">
        <f t="shared" si="3"/>
        <v>13904</v>
      </c>
      <c r="R50" s="1344">
        <f t="shared" si="4"/>
        <v>4.5</v>
      </c>
      <c r="S50" s="1344">
        <f>(1/9)*cnst_fish!$C$7*(1/cnst_fish!$C$8)^(R50-1)</f>
        <v>445.96223412630997</v>
      </c>
      <c r="T50" s="1362">
        <f t="shared" si="5"/>
        <v>535725.35498765064</v>
      </c>
      <c r="W50" s="1612"/>
      <c r="X50" s="1612"/>
      <c r="Y50" s="1613"/>
      <c r="Z50" s="1614"/>
      <c r="AA50" s="1614"/>
      <c r="AB50" s="1615"/>
      <c r="AC50" s="1615"/>
      <c r="AD50" s="583"/>
      <c r="AE50" s="583"/>
    </row>
    <row r="51" spans="1:31" ht="14">
      <c r="A51" s="1384" t="s">
        <v>2697</v>
      </c>
      <c r="B51" s="19" t="s">
        <v>4206</v>
      </c>
      <c r="C51" s="1383">
        <v>2795</v>
      </c>
      <c r="D51" s="1236">
        <v>1</v>
      </c>
      <c r="E51" s="1236"/>
      <c r="F51" s="1344">
        <f>(1/S51)*cnst_fish!$C$6</f>
        <v>9.5299549485983424E-3</v>
      </c>
      <c r="G51" s="1344">
        <f t="shared" si="8"/>
        <v>1</v>
      </c>
      <c r="H51" s="1344">
        <f t="shared" si="8"/>
        <v>0.367192066876738</v>
      </c>
      <c r="I51" s="1344">
        <f t="shared" si="0"/>
        <v>38.530304587719407</v>
      </c>
      <c r="J51" s="902">
        <f t="shared" si="1"/>
        <v>0</v>
      </c>
      <c r="L51" s="1460">
        <v>440</v>
      </c>
      <c r="M51" s="1236"/>
      <c r="N51" s="1240" t="s">
        <v>1806</v>
      </c>
      <c r="O51" s="1241" t="s">
        <v>4841</v>
      </c>
      <c r="P51" s="910">
        <f t="shared" si="2"/>
        <v>1</v>
      </c>
      <c r="Q51" s="910">
        <f t="shared" si="3"/>
        <v>440</v>
      </c>
      <c r="R51" s="1344">
        <f t="shared" si="4"/>
        <v>4.5</v>
      </c>
      <c r="S51" s="1344">
        <f>(1/9)*cnst_fish!$C$7*(1/cnst_fish!$C$8)^(R51-1)</f>
        <v>445.96223412630997</v>
      </c>
      <c r="T51" s="1362">
        <f t="shared" si="5"/>
        <v>16953.334018596543</v>
      </c>
      <c r="W51" s="1612"/>
      <c r="X51" s="1612"/>
      <c r="Y51" s="1613"/>
      <c r="Z51" s="1614"/>
      <c r="AA51" s="1614"/>
      <c r="AB51" s="1615"/>
      <c r="AC51" s="1615"/>
      <c r="AD51" s="583"/>
      <c r="AE51" s="583"/>
    </row>
    <row r="52" spans="1:31" ht="14">
      <c r="A52" s="1384" t="s">
        <v>3073</v>
      </c>
      <c r="B52" s="19" t="s">
        <v>4207</v>
      </c>
      <c r="C52" s="1383">
        <v>2008</v>
      </c>
      <c r="D52" s="1236">
        <v>112</v>
      </c>
      <c r="E52" s="1236"/>
      <c r="F52" s="1344">
        <f>(1/S52)*cnst_fish!$C$6</f>
        <v>9.5299549485983424E-3</v>
      </c>
      <c r="G52" s="1344">
        <f t="shared" si="8"/>
        <v>1</v>
      </c>
      <c r="H52" s="1344">
        <f t="shared" si="8"/>
        <v>0.367192066876738</v>
      </c>
      <c r="I52" s="1344">
        <f t="shared" si="0"/>
        <v>4315.3941138245737</v>
      </c>
      <c r="J52" s="902">
        <f t="shared" si="1"/>
        <v>0</v>
      </c>
      <c r="L52" s="1460">
        <v>197</v>
      </c>
      <c r="M52" s="1236"/>
      <c r="N52" s="1240" t="s">
        <v>1806</v>
      </c>
      <c r="O52" s="1241" t="s">
        <v>4841</v>
      </c>
      <c r="P52" s="910">
        <f t="shared" si="2"/>
        <v>112</v>
      </c>
      <c r="Q52" s="910">
        <f t="shared" si="3"/>
        <v>197</v>
      </c>
      <c r="R52" s="1344">
        <f t="shared" si="4"/>
        <v>4.5</v>
      </c>
      <c r="S52" s="1344">
        <f>(1/9)*cnst_fish!$C$7*(1/cnst_fish!$C$8)^(R52-1)</f>
        <v>445.96223412630997</v>
      </c>
      <c r="T52" s="1362">
        <f t="shared" si="5"/>
        <v>7590.4700037807233</v>
      </c>
      <c r="W52" s="1612"/>
      <c r="X52" s="1612"/>
      <c r="Y52" s="1613"/>
      <c r="Z52" s="1614"/>
      <c r="AA52" s="1614"/>
      <c r="AB52" s="1615"/>
      <c r="AC52" s="1615"/>
      <c r="AD52" s="583"/>
      <c r="AE52" s="583"/>
    </row>
    <row r="53" spans="1:31" ht="14">
      <c r="A53" s="1384" t="s">
        <v>309</v>
      </c>
      <c r="B53" s="19" t="s">
        <v>79</v>
      </c>
      <c r="C53" s="1383">
        <v>2082</v>
      </c>
      <c r="D53" s="1236">
        <v>0</v>
      </c>
      <c r="E53" s="1236">
        <v>2</v>
      </c>
      <c r="F53" s="1344">
        <f>(1/S53)*cnst_fish!$C$6</f>
        <v>7.5699122913220479E-2</v>
      </c>
      <c r="G53" s="1344">
        <f t="shared" si="8"/>
        <v>1</v>
      </c>
      <c r="H53" s="1344">
        <f t="shared" si="8"/>
        <v>0.367192066876738</v>
      </c>
      <c r="I53" s="1344">
        <f t="shared" si="0"/>
        <v>0</v>
      </c>
      <c r="J53" s="902">
        <f t="shared" si="1"/>
        <v>9.7013559139298753</v>
      </c>
      <c r="L53" s="1460">
        <v>0</v>
      </c>
      <c r="M53" s="1236">
        <v>2</v>
      </c>
      <c r="N53" s="1240" t="s">
        <v>1806</v>
      </c>
      <c r="O53" s="1241" t="s">
        <v>4845</v>
      </c>
      <c r="P53" s="910">
        <f t="shared" si="2"/>
        <v>2</v>
      </c>
      <c r="Q53" s="910">
        <f t="shared" si="3"/>
        <v>2</v>
      </c>
      <c r="R53" s="1344">
        <f t="shared" si="4"/>
        <v>3.6</v>
      </c>
      <c r="S53" s="1344">
        <f>(1/9)*cnst_fish!$C$7*(1/cnst_fish!$C$8)^(R53-1)</f>
        <v>56.143318924211187</v>
      </c>
      <c r="T53" s="1362">
        <f t="shared" si="5"/>
        <v>9.7013559139298753</v>
      </c>
      <c r="W53" s="1612"/>
      <c r="X53" s="1612"/>
      <c r="Y53" s="1613"/>
      <c r="Z53" s="1614"/>
      <c r="AA53" s="1614"/>
      <c r="AB53" s="1615"/>
      <c r="AC53" s="1615"/>
      <c r="AD53" s="583"/>
      <c r="AE53" s="583"/>
    </row>
    <row r="54" spans="1:31" ht="14">
      <c r="A54" s="1384" t="s">
        <v>2179</v>
      </c>
      <c r="B54" s="19" t="s">
        <v>80</v>
      </c>
      <c r="C54" s="1383">
        <v>2890</v>
      </c>
      <c r="D54" s="1236"/>
      <c r="E54" s="1236"/>
      <c r="F54" s="1344">
        <f>(1/S54)*cnst_fish!$C$6</f>
        <v>7.2292101150450983E-2</v>
      </c>
      <c r="G54" s="1344">
        <f t="shared" si="8"/>
        <v>1</v>
      </c>
      <c r="H54" s="1344">
        <f t="shared" si="8"/>
        <v>0.367192066876738</v>
      </c>
      <c r="I54" s="1344">
        <f t="shared" si="0"/>
        <v>0</v>
      </c>
      <c r="J54" s="902">
        <f t="shared" si="1"/>
        <v>0</v>
      </c>
      <c r="L54" s="1460">
        <v>82</v>
      </c>
      <c r="M54" s="1236">
        <v>16</v>
      </c>
      <c r="N54" s="1240" t="s">
        <v>1806</v>
      </c>
      <c r="O54" s="1241" t="s">
        <v>4845</v>
      </c>
      <c r="P54" s="910">
        <f t="shared" si="2"/>
        <v>0</v>
      </c>
      <c r="Q54" s="910">
        <f t="shared" si="3"/>
        <v>98</v>
      </c>
      <c r="R54" s="1344">
        <f t="shared" si="4"/>
        <v>3.62</v>
      </c>
      <c r="S54" s="1344">
        <f>(1/9)*cnst_fish!$C$7*(1/cnst_fish!$C$8)^(R54-1)</f>
        <v>58.789272027867845</v>
      </c>
      <c r="T54" s="1362">
        <f t="shared" si="5"/>
        <v>497.76976988164137</v>
      </c>
      <c r="W54" s="1612"/>
      <c r="X54" s="1612"/>
      <c r="Y54" s="1613"/>
      <c r="Z54" s="1614"/>
      <c r="AA54" s="1614"/>
      <c r="AB54" s="1615"/>
      <c r="AC54" s="1615"/>
      <c r="AD54" s="583"/>
      <c r="AE54" s="583"/>
    </row>
    <row r="55" spans="1:31" ht="14">
      <c r="A55" s="1384" t="s">
        <v>3075</v>
      </c>
      <c r="B55" s="19" t="s">
        <v>81</v>
      </c>
      <c r="C55" s="1383">
        <v>2080</v>
      </c>
      <c r="D55" s="1236"/>
      <c r="E55" s="1236"/>
      <c r="F55" s="1344">
        <f>(1/S55)*cnst_fish!$C$6</f>
        <v>7.7462381998898044E-2</v>
      </c>
      <c r="G55" s="1344">
        <f t="shared" si="8"/>
        <v>1</v>
      </c>
      <c r="H55" s="1344">
        <f t="shared" si="8"/>
        <v>0.367192066876738</v>
      </c>
      <c r="I55" s="1344">
        <f t="shared" si="0"/>
        <v>0</v>
      </c>
      <c r="J55" s="902">
        <f t="shared" si="1"/>
        <v>0</v>
      </c>
      <c r="L55" s="1460">
        <v>9</v>
      </c>
      <c r="M55" s="1236">
        <v>1</v>
      </c>
      <c r="N55" s="1240" t="s">
        <v>1806</v>
      </c>
      <c r="O55" s="1241" t="s">
        <v>4845</v>
      </c>
      <c r="P55" s="910">
        <f t="shared" si="2"/>
        <v>0</v>
      </c>
      <c r="Q55" s="910">
        <f t="shared" si="3"/>
        <v>10</v>
      </c>
      <c r="R55" s="1344">
        <f t="shared" si="4"/>
        <v>3.59</v>
      </c>
      <c r="S55" s="1344">
        <f>(1/9)*cnst_fish!$C$7*(1/cnst_fish!$C$8)^(R55-1)</f>
        <v>54.865340960731871</v>
      </c>
      <c r="T55" s="1362">
        <f t="shared" si="5"/>
        <v>47.402630464160211</v>
      </c>
      <c r="W55" s="1612"/>
      <c r="X55" s="1612"/>
      <c r="Y55" s="1613"/>
      <c r="Z55" s="1614"/>
      <c r="AA55" s="1614"/>
      <c r="AB55" s="1615"/>
      <c r="AC55" s="1615"/>
      <c r="AD55" s="583"/>
      <c r="AE55" s="583"/>
    </row>
    <row r="56" spans="1:31" ht="14">
      <c r="A56" s="1384" t="s">
        <v>2364</v>
      </c>
      <c r="B56" s="19" t="s">
        <v>82</v>
      </c>
      <c r="C56" s="1383">
        <v>2083</v>
      </c>
      <c r="D56" s="1236">
        <v>0</v>
      </c>
      <c r="E56" s="1236">
        <v>40</v>
      </c>
      <c r="F56" s="1344">
        <f>(1/S56)*cnst_fish!$C$6</f>
        <v>1.8581931192461935E-2</v>
      </c>
      <c r="G56" s="1344">
        <f t="shared" si="8"/>
        <v>1</v>
      </c>
      <c r="H56" s="1344">
        <f t="shared" si="8"/>
        <v>0.367192066876738</v>
      </c>
      <c r="I56" s="1344">
        <f t="shared" si="0"/>
        <v>0</v>
      </c>
      <c r="J56" s="902">
        <f t="shared" si="1"/>
        <v>790.42821345866469</v>
      </c>
      <c r="L56" s="1460">
        <v>0</v>
      </c>
      <c r="M56" s="1236">
        <v>40</v>
      </c>
      <c r="N56" s="1240" t="s">
        <v>1806</v>
      </c>
      <c r="O56" s="1241" t="s">
        <v>4845</v>
      </c>
      <c r="P56" s="910">
        <f t="shared" si="2"/>
        <v>40</v>
      </c>
      <c r="Q56" s="910">
        <f t="shared" si="3"/>
        <v>40</v>
      </c>
      <c r="R56" s="1344">
        <f t="shared" si="4"/>
        <v>4.21</v>
      </c>
      <c r="S56" s="1344">
        <f>(1/9)*cnst_fish!$C$7*(1/cnst_fish!$C$8)^(R56-1)</f>
        <v>228.71680860190045</v>
      </c>
      <c r="T56" s="1362">
        <f t="shared" si="5"/>
        <v>790.42821345866469</v>
      </c>
      <c r="W56" s="1612"/>
      <c r="X56" s="1612"/>
      <c r="Y56" s="1613"/>
      <c r="Z56" s="1614"/>
      <c r="AA56" s="1614"/>
      <c r="AB56" s="1615"/>
      <c r="AC56" s="1615"/>
      <c r="AD56" s="583"/>
      <c r="AE56" s="583"/>
    </row>
    <row r="57" spans="1:31" ht="14">
      <c r="A57" s="1384" t="s">
        <v>3458</v>
      </c>
      <c r="B57" s="19" t="s">
        <v>5373</v>
      </c>
      <c r="C57" s="1383">
        <v>2079</v>
      </c>
      <c r="D57" s="1236"/>
      <c r="E57" s="1236"/>
      <c r="F57" s="1344">
        <f>(1/S57)*cnst_fish!$C$6</f>
        <v>3.5407139951132149E-2</v>
      </c>
      <c r="G57" s="1344">
        <f t="shared" si="8"/>
        <v>1</v>
      </c>
      <c r="H57" s="1344">
        <f t="shared" si="8"/>
        <v>0.367192066876738</v>
      </c>
      <c r="I57" s="1344">
        <f t="shared" si="0"/>
        <v>0</v>
      </c>
      <c r="J57" s="902">
        <f t="shared" si="1"/>
        <v>0</v>
      </c>
      <c r="L57" s="1460">
        <v>111</v>
      </c>
      <c r="M57" s="1236">
        <v>776</v>
      </c>
      <c r="N57" s="1240" t="s">
        <v>1806</v>
      </c>
      <c r="O57" s="1241" t="s">
        <v>4845</v>
      </c>
      <c r="P57" s="910">
        <f t="shared" si="2"/>
        <v>0</v>
      </c>
      <c r="Q57" s="910">
        <f t="shared" si="3"/>
        <v>887</v>
      </c>
      <c r="R57" s="1344">
        <f t="shared" si="4"/>
        <v>3.93</v>
      </c>
      <c r="S57" s="1344">
        <f>(1/9)*cnst_fish!$C$7*(1/cnst_fish!$C$8)^(R57-1)</f>
        <v>120.03228743879681</v>
      </c>
      <c r="T57" s="1362">
        <f t="shared" si="5"/>
        <v>9198.6916697927845</v>
      </c>
      <c r="W57" s="1612"/>
      <c r="X57" s="1612"/>
      <c r="Y57" s="1613"/>
      <c r="Z57" s="1614"/>
      <c r="AA57" s="1614"/>
      <c r="AB57" s="1615"/>
      <c r="AC57" s="1615"/>
      <c r="AD57" s="583"/>
      <c r="AE57" s="583"/>
    </row>
    <row r="58" spans="1:31" ht="14">
      <c r="A58" s="1384" t="s">
        <v>4572</v>
      </c>
      <c r="B58" s="19" t="s">
        <v>5374</v>
      </c>
      <c r="C58" s="1383">
        <v>2081</v>
      </c>
      <c r="D58" s="1236">
        <v>657</v>
      </c>
      <c r="E58" s="1236">
        <v>19</v>
      </c>
      <c r="F58" s="1344">
        <f>(1/S58)*cnst_fish!$C$6</f>
        <v>9.3130266898023228E-2</v>
      </c>
      <c r="G58" s="1344">
        <f t="shared" si="8"/>
        <v>1</v>
      </c>
      <c r="H58" s="1344">
        <f t="shared" si="8"/>
        <v>0.367192066876738</v>
      </c>
      <c r="I58" s="1344">
        <f t="shared" si="0"/>
        <v>2590.4058473511959</v>
      </c>
      <c r="J58" s="902">
        <f t="shared" si="1"/>
        <v>74.912802282606876</v>
      </c>
      <c r="L58" s="1460">
        <v>1974</v>
      </c>
      <c r="M58" s="1236">
        <v>826</v>
      </c>
      <c r="N58" s="1240" t="s">
        <v>1806</v>
      </c>
      <c r="O58" s="1241" t="s">
        <v>4845</v>
      </c>
      <c r="P58" s="910">
        <f t="shared" si="2"/>
        <v>676</v>
      </c>
      <c r="Q58" s="910">
        <f t="shared" si="3"/>
        <v>2800</v>
      </c>
      <c r="R58" s="1344">
        <f t="shared" si="4"/>
        <v>3.51</v>
      </c>
      <c r="S58" s="1344">
        <f>(1/9)*cnst_fish!$C$7*(1/cnst_fish!$C$8)^(R58-1)</f>
        <v>45.635002900332182</v>
      </c>
      <c r="T58" s="1362">
        <f t="shared" si="5"/>
        <v>11039.78138901575</v>
      </c>
      <c r="W58" s="1612"/>
      <c r="X58" s="1612"/>
      <c r="Y58" s="1613"/>
      <c r="Z58" s="1614"/>
      <c r="AA58" s="1614"/>
      <c r="AB58" s="1615"/>
      <c r="AC58" s="1615"/>
      <c r="AD58" s="583"/>
      <c r="AE58" s="583"/>
    </row>
    <row r="59" spans="1:31" ht="14">
      <c r="A59" s="1384" t="s">
        <v>4573</v>
      </c>
      <c r="B59" s="19" t="s">
        <v>5375</v>
      </c>
      <c r="C59" s="1383">
        <v>2889</v>
      </c>
      <c r="D59" s="1236">
        <v>265</v>
      </c>
      <c r="E59" s="1236">
        <v>23</v>
      </c>
      <c r="F59" s="1344">
        <f>(1/S59)*cnst_fish!$C$6</f>
        <v>0.10449387811364928</v>
      </c>
      <c r="G59" s="1344">
        <f t="shared" si="8"/>
        <v>1</v>
      </c>
      <c r="H59" s="1344">
        <f t="shared" si="8"/>
        <v>0.367192066876738</v>
      </c>
      <c r="I59" s="1344">
        <f t="shared" si="0"/>
        <v>931.21146883364827</v>
      </c>
      <c r="J59" s="902">
        <f t="shared" si="1"/>
        <v>80.822127483675146</v>
      </c>
      <c r="L59" s="1460">
        <v>284</v>
      </c>
      <c r="M59" s="1236">
        <v>38</v>
      </c>
      <c r="N59" s="1240" t="s">
        <v>1806</v>
      </c>
      <c r="O59" s="1241" t="s">
        <v>4845</v>
      </c>
      <c r="P59" s="910">
        <f t="shared" si="2"/>
        <v>288</v>
      </c>
      <c r="Q59" s="910">
        <f t="shared" si="3"/>
        <v>322</v>
      </c>
      <c r="R59" s="1344">
        <f t="shared" si="4"/>
        <v>3.46</v>
      </c>
      <c r="S59" s="1344">
        <f>(1/9)*cnst_fish!$C$7*(1/cnst_fish!$C$8)^(R59-1)</f>
        <v>40.672239146657276</v>
      </c>
      <c r="T59" s="1362">
        <f t="shared" si="5"/>
        <v>1131.5097847714519</v>
      </c>
      <c r="W59" s="1612"/>
      <c r="X59" s="1612"/>
      <c r="Y59" s="1613"/>
      <c r="Z59" s="1614"/>
      <c r="AA59" s="1614"/>
      <c r="AB59" s="1615"/>
      <c r="AC59" s="1615"/>
      <c r="AD59" s="583"/>
      <c r="AE59" s="583"/>
    </row>
    <row r="60" spans="1:31" ht="14">
      <c r="A60" s="1384" t="s">
        <v>3836</v>
      </c>
      <c r="B60" s="19" t="s">
        <v>5376</v>
      </c>
      <c r="C60" s="1383">
        <v>2887</v>
      </c>
      <c r="D60" s="1236"/>
      <c r="E60" s="1236"/>
      <c r="F60" s="1344">
        <f>(1/S60)*cnst_fish!$C$6</f>
        <v>5.7423657091346926E-2</v>
      </c>
      <c r="G60" s="1344">
        <f t="shared" si="8"/>
        <v>1</v>
      </c>
      <c r="H60" s="1344">
        <f t="shared" si="8"/>
        <v>0.367192066876738</v>
      </c>
      <c r="I60" s="1344">
        <f t="shared" si="0"/>
        <v>0</v>
      </c>
      <c r="J60" s="902">
        <f t="shared" si="1"/>
        <v>0</v>
      </c>
      <c r="L60" s="1460">
        <v>3157</v>
      </c>
      <c r="M60" s="1236">
        <v>57</v>
      </c>
      <c r="N60" s="1240" t="s">
        <v>1806</v>
      </c>
      <c r="O60" s="1241" t="s">
        <v>4845</v>
      </c>
      <c r="P60" s="910">
        <f t="shared" si="2"/>
        <v>0</v>
      </c>
      <c r="Q60" s="910">
        <f t="shared" si="3"/>
        <v>3214</v>
      </c>
      <c r="R60" s="1344">
        <f t="shared" si="4"/>
        <v>3.72</v>
      </c>
      <c r="S60" s="1344">
        <f>(1/9)*cnst_fish!$C$7*(1/cnst_fish!$C$8)^(R60-1)</f>
        <v>74.011308496762837</v>
      </c>
      <c r="T60" s="1362">
        <f t="shared" si="5"/>
        <v>20551.726635322073</v>
      </c>
      <c r="W60" s="1612"/>
      <c r="X60" s="1612"/>
      <c r="Y60" s="1613"/>
      <c r="Z60" s="1614"/>
      <c r="AA60" s="1614"/>
      <c r="AB60" s="1615"/>
      <c r="AC60" s="1615"/>
      <c r="AD60" s="583"/>
      <c r="AE60" s="583"/>
    </row>
    <row r="61" spans="1:31" ht="14">
      <c r="A61" s="1384" t="s">
        <v>2101</v>
      </c>
      <c r="B61" s="19" t="s">
        <v>664</v>
      </c>
      <c r="C61" s="1383">
        <v>18636</v>
      </c>
      <c r="D61" s="1236"/>
      <c r="E61" s="1236"/>
      <c r="F61" s="1344">
        <f>(1/S61)*cnst_fish!$C$6</f>
        <v>8.4935812883106004E-2</v>
      </c>
      <c r="G61" s="1344">
        <f t="shared" si="8"/>
        <v>1</v>
      </c>
      <c r="H61" s="1344">
        <f t="shared" si="8"/>
        <v>0.367192066876738</v>
      </c>
      <c r="I61" s="1344">
        <f t="shared" si="0"/>
        <v>0</v>
      </c>
      <c r="J61" s="902">
        <f t="shared" si="1"/>
        <v>0</v>
      </c>
      <c r="L61" s="1460">
        <v>1751</v>
      </c>
      <c r="M61" s="1236"/>
      <c r="N61" s="1240" t="s">
        <v>1806</v>
      </c>
      <c r="O61" s="1241" t="s">
        <v>4845</v>
      </c>
      <c r="P61" s="910">
        <f t="shared" si="2"/>
        <v>0</v>
      </c>
      <c r="Q61" s="910">
        <f t="shared" si="3"/>
        <v>1751</v>
      </c>
      <c r="R61" s="1344">
        <f t="shared" si="4"/>
        <v>3.55</v>
      </c>
      <c r="S61" s="1344">
        <f>(1/9)*cnst_fish!$C$7*(1/cnst_fish!$C$8)^(R61-1)</f>
        <v>50.037785661145278</v>
      </c>
      <c r="T61" s="1362">
        <f t="shared" si="5"/>
        <v>7569.8729108066691</v>
      </c>
      <c r="W61" s="1612"/>
      <c r="X61" s="1612"/>
      <c r="Y61" s="1613"/>
      <c r="Z61" s="1614"/>
      <c r="AA61" s="1614"/>
      <c r="AB61" s="1615"/>
      <c r="AC61" s="1615"/>
      <c r="AD61" s="583"/>
      <c r="AE61" s="583"/>
    </row>
    <row r="62" spans="1:31" ht="14">
      <c r="A62" s="1384" t="s">
        <v>5396</v>
      </c>
      <c r="B62" s="19" t="s">
        <v>856</v>
      </c>
      <c r="C62" s="1383">
        <v>10324</v>
      </c>
      <c r="D62" s="1236"/>
      <c r="E62" s="1236"/>
      <c r="F62" s="1344">
        <f>(1/S62)*cnst_fish!$C$6</f>
        <v>0.15103960722494611</v>
      </c>
      <c r="G62" s="1344">
        <f t="shared" si="8"/>
        <v>1</v>
      </c>
      <c r="H62" s="1344">
        <f t="shared" si="8"/>
        <v>0.367192066876738</v>
      </c>
      <c r="I62" s="1344">
        <f t="shared" si="0"/>
        <v>0</v>
      </c>
      <c r="J62" s="902">
        <f t="shared" si="1"/>
        <v>0</v>
      </c>
      <c r="L62" s="1460">
        <v>45851</v>
      </c>
      <c r="M62" s="1236"/>
      <c r="N62" s="1240" t="s">
        <v>2440</v>
      </c>
      <c r="O62" s="1241" t="s">
        <v>4859</v>
      </c>
      <c r="P62" s="910">
        <f t="shared" si="2"/>
        <v>0</v>
      </c>
      <c r="Q62" s="910">
        <f t="shared" si="3"/>
        <v>45851</v>
      </c>
      <c r="R62" s="1344">
        <f t="shared" si="4"/>
        <v>3.3</v>
      </c>
      <c r="S62" s="1344">
        <f>(1/9)*cnst_fish!$C$7*(1/cnst_fish!$C$8)^(R62-1)</f>
        <v>28.138314698279075</v>
      </c>
      <c r="T62" s="1362">
        <f t="shared" si="5"/>
        <v>111468.26827542632</v>
      </c>
      <c r="W62" s="1612"/>
      <c r="X62" s="1612"/>
      <c r="Y62" s="1613"/>
      <c r="Z62" s="1614"/>
      <c r="AA62" s="1614"/>
      <c r="AB62" s="1615"/>
      <c r="AC62" s="1615"/>
      <c r="AD62" s="583"/>
      <c r="AE62" s="583"/>
    </row>
    <row r="63" spans="1:31" ht="14">
      <c r="A63" s="1384" t="s">
        <v>3172</v>
      </c>
      <c r="B63" s="19" t="s">
        <v>528</v>
      </c>
      <c r="C63" s="1383">
        <v>2191</v>
      </c>
      <c r="D63" s="1236"/>
      <c r="E63" s="1236">
        <v>22</v>
      </c>
      <c r="F63" s="1344">
        <f>(1/S63)*cnst_fish!$C$6</f>
        <v>0.11457525898206007</v>
      </c>
      <c r="G63" s="1344">
        <f t="shared" si="8"/>
        <v>1</v>
      </c>
      <c r="H63" s="1344">
        <f t="shared" si="8"/>
        <v>0.367192066876738</v>
      </c>
      <c r="I63" s="1344">
        <f t="shared" si="0"/>
        <v>0</v>
      </c>
      <c r="J63" s="902">
        <f t="shared" si="1"/>
        <v>70.505845180355266</v>
      </c>
      <c r="L63" s="1460"/>
      <c r="M63" s="1236">
        <v>36</v>
      </c>
      <c r="N63" s="1240" t="s">
        <v>1806</v>
      </c>
      <c r="O63" s="1241" t="s">
        <v>4845</v>
      </c>
      <c r="P63" s="910">
        <f t="shared" si="2"/>
        <v>22</v>
      </c>
      <c r="Q63" s="910">
        <f t="shared" si="3"/>
        <v>36</v>
      </c>
      <c r="R63" s="1344">
        <f t="shared" si="4"/>
        <v>3.42</v>
      </c>
      <c r="S63" s="1344">
        <f>(1/9)*cnst_fish!$C$7*(1/cnst_fish!$C$8)^(R63-1)</f>
        <v>37.093522962627169</v>
      </c>
      <c r="T63" s="1362">
        <f t="shared" si="5"/>
        <v>115.37320120421769</v>
      </c>
      <c r="W63" s="1612"/>
      <c r="X63" s="1612"/>
      <c r="Y63" s="1613"/>
      <c r="Z63" s="1614"/>
      <c r="AA63" s="1614"/>
      <c r="AB63" s="1615"/>
      <c r="AC63" s="1615"/>
      <c r="AD63" s="583"/>
      <c r="AE63" s="583"/>
    </row>
    <row r="64" spans="1:31" ht="14">
      <c r="A64" s="1384" t="s">
        <v>6485</v>
      </c>
      <c r="B64" s="19" t="s">
        <v>6484</v>
      </c>
      <c r="C64" s="1383">
        <v>10338</v>
      </c>
      <c r="D64" s="1236"/>
      <c r="E64" s="1236">
        <v>130</v>
      </c>
      <c r="F64" s="1344">
        <f>(1/S64)*cnst_fish!$C$6</f>
        <v>3.0136363636363641</v>
      </c>
      <c r="G64" s="1344">
        <f t="shared" si="8"/>
        <v>1</v>
      </c>
      <c r="H64" s="1344">
        <f t="shared" si="8"/>
        <v>0.367192066876738</v>
      </c>
      <c r="I64" s="1344">
        <f t="shared" si="0"/>
        <v>0</v>
      </c>
      <c r="J64" s="902">
        <f t="shared" si="1"/>
        <v>15.839657786839677</v>
      </c>
      <c r="L64" s="1460"/>
      <c r="M64" s="1236">
        <v>130</v>
      </c>
      <c r="N64" s="1240" t="s">
        <v>1806</v>
      </c>
      <c r="O64" s="1241" t="s">
        <v>4845</v>
      </c>
      <c r="P64" s="910">
        <f t="shared" si="2"/>
        <v>130</v>
      </c>
      <c r="Q64" s="910">
        <f t="shared" si="3"/>
        <v>130</v>
      </c>
      <c r="R64" s="1344">
        <f t="shared" si="4"/>
        <v>2</v>
      </c>
      <c r="S64" s="1344">
        <f>(1/9)*cnst_fish!$C$7*(1/cnst_fish!$C$8)^(R64-1)</f>
        <v>1.4102564102564099</v>
      </c>
      <c r="T64" s="1362">
        <f t="shared" si="5"/>
        <v>15.839657786839677</v>
      </c>
      <c r="W64" s="1612"/>
      <c r="X64" s="1612"/>
      <c r="Y64" s="1613"/>
      <c r="Z64" s="1614"/>
      <c r="AA64" s="1614"/>
      <c r="AB64" s="1615"/>
      <c r="AC64" s="1615"/>
      <c r="AD64" s="583"/>
      <c r="AE64" s="583"/>
    </row>
    <row r="65" spans="1:31" ht="14">
      <c r="A65" s="1384" t="s">
        <v>511</v>
      </c>
      <c r="B65" s="19" t="s">
        <v>665</v>
      </c>
      <c r="C65" s="1383">
        <v>3261</v>
      </c>
      <c r="D65" s="1236"/>
      <c r="E65" s="1236"/>
      <c r="F65" s="1344">
        <f>(1/S65)*cnst_fish!$C$6</f>
        <v>0.23938164528281752</v>
      </c>
      <c r="G65" s="1344">
        <f t="shared" si="8"/>
        <v>1</v>
      </c>
      <c r="H65" s="1344">
        <f t="shared" si="8"/>
        <v>0.367192066876738</v>
      </c>
      <c r="I65" s="1344">
        <f t="shared" si="0"/>
        <v>0</v>
      </c>
      <c r="J65" s="902">
        <f t="shared" si="1"/>
        <v>0</v>
      </c>
      <c r="L65" s="1460">
        <v>161949</v>
      </c>
      <c r="M65" s="1236"/>
      <c r="N65" s="1240" t="s">
        <v>1806</v>
      </c>
      <c r="O65" s="1241" t="s">
        <v>4841</v>
      </c>
      <c r="P65" s="910">
        <f t="shared" si="2"/>
        <v>0</v>
      </c>
      <c r="Q65" s="910">
        <f t="shared" si="3"/>
        <v>161949</v>
      </c>
      <c r="R65" s="1344">
        <f t="shared" si="4"/>
        <v>3.1</v>
      </c>
      <c r="S65" s="1344">
        <f>(1/9)*cnst_fish!$C$7*(1/cnst_fish!$C$8)^(R65-1)</f>
        <v>17.754076320174157</v>
      </c>
      <c r="T65" s="1362">
        <f t="shared" si="5"/>
        <v>248416.65687594493</v>
      </c>
      <c r="W65" s="1612"/>
      <c r="X65" s="1612"/>
      <c r="Y65" s="1613"/>
      <c r="Z65" s="1614"/>
      <c r="AA65" s="1614"/>
      <c r="AB65" s="1615"/>
      <c r="AC65" s="1615"/>
      <c r="AD65" s="583"/>
      <c r="AE65" s="583"/>
    </row>
    <row r="66" spans="1:31" ht="14">
      <c r="A66" s="1384" t="s">
        <v>829</v>
      </c>
      <c r="B66" s="19" t="s">
        <v>666</v>
      </c>
      <c r="C66" s="1383">
        <v>3260</v>
      </c>
      <c r="D66" s="1236">
        <v>1</v>
      </c>
      <c r="E66" s="1236"/>
      <c r="F66" s="1344">
        <f>(1/S66)*cnst_fish!$C$6</f>
        <v>0.23938164528281752</v>
      </c>
      <c r="G66" s="1344">
        <f t="shared" si="8"/>
        <v>1</v>
      </c>
      <c r="H66" s="1344">
        <f t="shared" si="8"/>
        <v>0.367192066876738</v>
      </c>
      <c r="I66" s="1344">
        <f t="shared" si="0"/>
        <v>1.5339190539981409</v>
      </c>
      <c r="J66" s="902">
        <f t="shared" si="1"/>
        <v>0</v>
      </c>
      <c r="L66" s="1460">
        <v>284138</v>
      </c>
      <c r="M66" s="1236"/>
      <c r="N66" s="1240" t="s">
        <v>1806</v>
      </c>
      <c r="O66" s="1241" t="s">
        <v>4841</v>
      </c>
      <c r="P66" s="910">
        <f t="shared" si="2"/>
        <v>1</v>
      </c>
      <c r="Q66" s="910">
        <f t="shared" si="3"/>
        <v>284138</v>
      </c>
      <c r="R66" s="1344">
        <f t="shared" si="4"/>
        <v>3.1</v>
      </c>
      <c r="S66" s="1344">
        <f>(1/9)*cnst_fish!$C$7*(1/cnst_fish!$C$8)^(R66-1)</f>
        <v>17.754076320174157</v>
      </c>
      <c r="T66" s="1362">
        <f t="shared" si="5"/>
        <v>435844.69216492376</v>
      </c>
      <c r="W66" s="1612"/>
      <c r="X66" s="1612"/>
      <c r="Y66" s="1613"/>
      <c r="Z66" s="1614"/>
      <c r="AA66" s="1614"/>
      <c r="AB66" s="1615"/>
      <c r="AC66" s="1615"/>
      <c r="AD66" s="583"/>
      <c r="AE66" s="583"/>
    </row>
    <row r="67" spans="1:31" ht="14">
      <c r="A67" s="1384" t="s">
        <v>6481</v>
      </c>
      <c r="B67" s="19" t="s">
        <v>6480</v>
      </c>
      <c r="C67" s="1383">
        <v>10348</v>
      </c>
      <c r="D67" s="1236"/>
      <c r="E67" s="1236"/>
      <c r="F67" s="1344">
        <f>(1/S67)*cnst_fish!$C$6</f>
        <v>3.0136363636363641</v>
      </c>
      <c r="G67" s="1344">
        <f t="shared" si="8"/>
        <v>1</v>
      </c>
      <c r="H67" s="1344">
        <f t="shared" si="8"/>
        <v>0.367192066876738</v>
      </c>
      <c r="I67" s="1344">
        <f t="shared" si="0"/>
        <v>0</v>
      </c>
      <c r="J67" s="902">
        <f t="shared" si="1"/>
        <v>0</v>
      </c>
      <c r="L67" s="1460">
        <v>284</v>
      </c>
      <c r="M67" s="1236"/>
      <c r="N67" s="1240" t="s">
        <v>1806</v>
      </c>
      <c r="O67" s="1241" t="s">
        <v>4841</v>
      </c>
      <c r="P67" s="910">
        <f t="shared" si="2"/>
        <v>0</v>
      </c>
      <c r="Q67" s="910">
        <f t="shared" si="3"/>
        <v>284</v>
      </c>
      <c r="R67" s="1344">
        <f t="shared" si="4"/>
        <v>2</v>
      </c>
      <c r="S67" s="1344">
        <f>(1/9)*cnst_fish!$C$7*(1/cnst_fish!$C$8)^(R67-1)</f>
        <v>1.4102564102564099</v>
      </c>
      <c r="T67" s="1362">
        <f t="shared" si="5"/>
        <v>34.603560088172834</v>
      </c>
      <c r="W67" s="1612"/>
      <c r="X67" s="1612"/>
      <c r="Y67" s="1613"/>
      <c r="Z67" s="1614"/>
      <c r="AA67" s="1614"/>
      <c r="AB67" s="1615"/>
      <c r="AC67" s="1615"/>
      <c r="AD67" s="583"/>
      <c r="AE67" s="583"/>
    </row>
    <row r="68" spans="1:31" ht="14">
      <c r="A68" s="1384" t="s">
        <v>3905</v>
      </c>
      <c r="B68" s="19" t="s">
        <v>529</v>
      </c>
      <c r="C68" s="1383">
        <v>3315</v>
      </c>
      <c r="D68" s="1236"/>
      <c r="E68" s="1236"/>
      <c r="F68" s="1344">
        <f>(1/S68)*cnst_fish!$C$6</f>
        <v>0.56116535073067308</v>
      </c>
      <c r="G68" s="1344">
        <f t="shared" ref="G68:H87" si="9">G$7</f>
        <v>1</v>
      </c>
      <c r="H68" s="1344">
        <f t="shared" si="9"/>
        <v>0.367192066876738</v>
      </c>
      <c r="I68" s="1344">
        <f t="shared" si="0"/>
        <v>0</v>
      </c>
      <c r="J68" s="902">
        <f t="shared" si="1"/>
        <v>0</v>
      </c>
      <c r="L68" s="1460"/>
      <c r="M68" s="1236">
        <v>33492</v>
      </c>
      <c r="N68" s="1240" t="s">
        <v>1806</v>
      </c>
      <c r="O68" s="1241" t="s">
        <v>4845</v>
      </c>
      <c r="P68" s="910">
        <f t="shared" si="2"/>
        <v>0</v>
      </c>
      <c r="Q68" s="910">
        <f t="shared" si="3"/>
        <v>33492</v>
      </c>
      <c r="R68" s="1344">
        <f t="shared" si="4"/>
        <v>2.73</v>
      </c>
      <c r="S68" s="1344">
        <f>(1/9)*cnst_fish!$C$7*(1/cnst_fish!$C$8)^(R68-1)</f>
        <v>7.5735253334266428</v>
      </c>
      <c r="T68" s="1362">
        <f t="shared" si="5"/>
        <v>21915.103432211083</v>
      </c>
      <c r="W68" s="1612"/>
      <c r="X68" s="1612"/>
      <c r="Y68" s="1613"/>
      <c r="Z68" s="1614"/>
      <c r="AA68" s="1614"/>
      <c r="AB68" s="1615"/>
      <c r="AC68" s="1615"/>
      <c r="AD68" s="583"/>
      <c r="AE68" s="583"/>
    </row>
    <row r="69" spans="1:31" ht="14">
      <c r="A69" s="1384" t="s">
        <v>5018</v>
      </c>
      <c r="B69" s="19" t="s">
        <v>2758</v>
      </c>
      <c r="C69" s="1383">
        <v>3503</v>
      </c>
      <c r="D69" s="1236"/>
      <c r="E69" s="1236"/>
      <c r="F69" s="1344">
        <f>(1/S69)*cnst_fish!$C$6</f>
        <v>2.3938164528281742</v>
      </c>
      <c r="G69" s="1344">
        <f t="shared" si="9"/>
        <v>1</v>
      </c>
      <c r="H69" s="1344">
        <f t="shared" si="9"/>
        <v>0.367192066876738</v>
      </c>
      <c r="I69" s="1344">
        <f t="shared" si="0"/>
        <v>0</v>
      </c>
      <c r="J69" s="902">
        <f t="shared" si="1"/>
        <v>0</v>
      </c>
      <c r="L69" s="1460">
        <v>47944</v>
      </c>
      <c r="M69" s="1236"/>
      <c r="N69" s="1240" t="s">
        <v>1804</v>
      </c>
      <c r="O69" s="1241" t="s">
        <v>4851</v>
      </c>
      <c r="P69" s="910">
        <f t="shared" si="2"/>
        <v>0</v>
      </c>
      <c r="Q69" s="910">
        <f t="shared" si="3"/>
        <v>47944</v>
      </c>
      <c r="R69" s="1344">
        <f t="shared" si="4"/>
        <v>2.1</v>
      </c>
      <c r="S69" s="1344">
        <f>(1/9)*cnst_fish!$C$7*(1/cnst_fish!$C$8)^(R69-1)</f>
        <v>1.7754076320174161</v>
      </c>
      <c r="T69" s="1362">
        <f t="shared" si="5"/>
        <v>7354.2215124886898</v>
      </c>
      <c r="W69" s="1612"/>
      <c r="X69" s="1612"/>
      <c r="Y69" s="1613"/>
      <c r="Z69" s="1614"/>
      <c r="AA69" s="1614"/>
      <c r="AB69" s="1615"/>
      <c r="AC69" s="1615"/>
      <c r="AD69" s="583"/>
      <c r="AE69" s="583"/>
    </row>
    <row r="70" spans="1:31" ht="14">
      <c r="A70" s="1384" t="s">
        <v>3664</v>
      </c>
      <c r="B70" s="19" t="s">
        <v>2759</v>
      </c>
      <c r="C70" s="1383">
        <v>18998</v>
      </c>
      <c r="D70" s="1236">
        <v>261</v>
      </c>
      <c r="E70" s="1236"/>
      <c r="F70" s="1344">
        <f>(1/S70)*cnst_fish!$C$6</f>
        <v>2.6141530827766903</v>
      </c>
      <c r="G70" s="1344">
        <f t="shared" si="9"/>
        <v>1</v>
      </c>
      <c r="H70" s="1344">
        <f t="shared" si="9"/>
        <v>0.367192066876738</v>
      </c>
      <c r="I70" s="1344">
        <f t="shared" si="0"/>
        <v>36.660871196201228</v>
      </c>
      <c r="J70" s="902">
        <f t="shared" si="1"/>
        <v>0</v>
      </c>
      <c r="L70" s="1460">
        <v>261</v>
      </c>
      <c r="M70" s="1236"/>
      <c r="N70" s="1240" t="s">
        <v>1804</v>
      </c>
      <c r="O70" s="1241" t="s">
        <v>4851</v>
      </c>
      <c r="P70" s="910">
        <f t="shared" si="2"/>
        <v>261</v>
      </c>
      <c r="Q70" s="910">
        <f t="shared" si="3"/>
        <v>261</v>
      </c>
      <c r="R70" s="1344">
        <f t="shared" si="4"/>
        <v>2.0617598316454031</v>
      </c>
      <c r="S70" s="1344">
        <f>(1/9)*cnst_fish!$C$7*(1/cnst_fish!$C$8)^(R70-1)</f>
        <v>1.6257655406644176</v>
      </c>
      <c r="T70" s="1362">
        <f t="shared" si="5"/>
        <v>36.660871196201228</v>
      </c>
      <c r="W70" s="1612"/>
      <c r="X70" s="1612"/>
      <c r="Y70" s="1613"/>
      <c r="Z70" s="1614"/>
      <c r="AA70" s="1614"/>
      <c r="AB70" s="1615"/>
      <c r="AC70" s="1615"/>
      <c r="AD70" s="583"/>
      <c r="AE70" s="583"/>
    </row>
    <row r="71" spans="1:31" ht="14">
      <c r="A71" s="1384" t="s">
        <v>3288</v>
      </c>
      <c r="B71" s="19" t="s">
        <v>4700</v>
      </c>
      <c r="C71" s="1383">
        <v>2663</v>
      </c>
      <c r="D71" s="1236"/>
      <c r="E71" s="1236"/>
      <c r="F71" s="1344">
        <f>(1/S71)*cnst_fish!$C$6</f>
        <v>2.3938164528281742</v>
      </c>
      <c r="G71" s="1344">
        <f t="shared" si="9"/>
        <v>1</v>
      </c>
      <c r="H71" s="1344">
        <f t="shared" si="9"/>
        <v>0.367192066876738</v>
      </c>
      <c r="I71" s="1344">
        <f t="shared" ref="I71:I134" si="10">IF($F71=0,0,D71/$F71*$H71*$G71)</f>
        <v>0</v>
      </c>
      <c r="J71" s="902">
        <f t="shared" ref="J71:J134" si="11">IF($F71=0,0,E71/$F71*$H71*$G71)</f>
        <v>0</v>
      </c>
      <c r="L71" s="1460">
        <v>664</v>
      </c>
      <c r="M71" s="1236"/>
      <c r="N71" s="1240" t="s">
        <v>1804</v>
      </c>
      <c r="O71" s="1241" t="s">
        <v>4851</v>
      </c>
      <c r="P71" s="910">
        <f t="shared" ref="P71:P134" si="12">D71+E71</f>
        <v>0</v>
      </c>
      <c r="Q71" s="910">
        <f t="shared" ref="Q71:Q134" si="13">L71+M71</f>
        <v>664</v>
      </c>
      <c r="R71" s="1344">
        <f t="shared" ref="R71:R134" si="14">VLOOKUP(B71,constant_fish_trophic,3,FALSE)</f>
        <v>2.1</v>
      </c>
      <c r="S71" s="1344">
        <f>(1/9)*cnst_fish!$C$7*(1/cnst_fish!$C$8)^(R71-1)</f>
        <v>1.7754076320174161</v>
      </c>
      <c r="T71" s="1362">
        <f t="shared" ref="T71:T134" si="15">IF(F71=0,0,Q71/F71*H71*G71)</f>
        <v>101.85222518547661</v>
      </c>
      <c r="W71" s="1612"/>
      <c r="X71" s="1612"/>
      <c r="Y71" s="1613"/>
      <c r="Z71" s="1614"/>
      <c r="AA71" s="1614"/>
      <c r="AB71" s="1615"/>
      <c r="AC71" s="1615"/>
      <c r="AD71" s="583"/>
      <c r="AE71" s="583"/>
    </row>
    <row r="72" spans="1:31" ht="14">
      <c r="A72" s="1384" t="s">
        <v>2063</v>
      </c>
      <c r="B72" s="19" t="s">
        <v>2064</v>
      </c>
      <c r="C72" s="1383">
        <v>3253</v>
      </c>
      <c r="D72" s="1236"/>
      <c r="E72" s="1236"/>
      <c r="F72" s="1344">
        <f>(1/S72)*cnst_fish!$C$6</f>
        <v>5.3590874947991168E-2</v>
      </c>
      <c r="G72" s="1344">
        <f t="shared" si="9"/>
        <v>1</v>
      </c>
      <c r="H72" s="1344">
        <f t="shared" si="9"/>
        <v>0.367192066876738</v>
      </c>
      <c r="I72" s="1344">
        <f t="shared" si="10"/>
        <v>0</v>
      </c>
      <c r="J72" s="902">
        <f t="shared" si="11"/>
        <v>0</v>
      </c>
      <c r="L72" s="1460">
        <v>9891</v>
      </c>
      <c r="M72" s="1236"/>
      <c r="N72" s="1240" t="s">
        <v>1806</v>
      </c>
      <c r="O72" s="1241" t="s">
        <v>4841</v>
      </c>
      <c r="P72" s="910">
        <f t="shared" si="12"/>
        <v>0</v>
      </c>
      <c r="Q72" s="910">
        <f t="shared" si="13"/>
        <v>9891</v>
      </c>
      <c r="R72" s="1344">
        <f t="shared" si="14"/>
        <v>3.75</v>
      </c>
      <c r="S72" s="1344">
        <f>(1/9)*cnst_fish!$C$7*(1/cnst_fish!$C$8)^(R72-1)</f>
        <v>79.304545860177441</v>
      </c>
      <c r="T72" s="1362">
        <f t="shared" si="15"/>
        <v>67770.804955181186</v>
      </c>
      <c r="W72" s="1612"/>
      <c r="X72" s="1612"/>
      <c r="Y72" s="1613"/>
      <c r="Z72" s="1614"/>
      <c r="AA72" s="1614"/>
      <c r="AB72" s="1615"/>
      <c r="AC72" s="1615"/>
      <c r="AD72" s="583"/>
      <c r="AE72" s="583"/>
    </row>
    <row r="73" spans="1:31" ht="14">
      <c r="A73" s="1384" t="s">
        <v>1549</v>
      </c>
      <c r="B73" s="19" t="s">
        <v>2306</v>
      </c>
      <c r="C73" s="1383">
        <v>2456</v>
      </c>
      <c r="D73" s="1236"/>
      <c r="E73" s="1236"/>
      <c r="F73" s="1344">
        <f>(1/S73)*cnst_fish!$C$6</f>
        <v>0.17341667202478855</v>
      </c>
      <c r="G73" s="1344">
        <f t="shared" si="9"/>
        <v>1</v>
      </c>
      <c r="H73" s="1344">
        <f t="shared" si="9"/>
        <v>0.367192066876738</v>
      </c>
      <c r="I73" s="1344">
        <f t="shared" si="10"/>
        <v>0</v>
      </c>
      <c r="J73" s="902">
        <f t="shared" si="11"/>
        <v>0</v>
      </c>
      <c r="L73" s="1460">
        <v>11130</v>
      </c>
      <c r="M73" s="1236"/>
      <c r="N73" s="1240" t="s">
        <v>1806</v>
      </c>
      <c r="O73" s="1241" t="s">
        <v>4841</v>
      </c>
      <c r="P73" s="910">
        <f t="shared" si="12"/>
        <v>0</v>
      </c>
      <c r="Q73" s="910">
        <f t="shared" si="13"/>
        <v>11130</v>
      </c>
      <c r="R73" s="1344">
        <f t="shared" si="14"/>
        <v>3.24</v>
      </c>
      <c r="S73" s="1344">
        <f>(1/9)*cnst_fish!$C$7*(1/cnst_fish!$C$8)^(R73-1)</f>
        <v>24.507447584927103</v>
      </c>
      <c r="T73" s="1362">
        <f t="shared" si="15"/>
        <v>23566.636682740118</v>
      </c>
      <c r="W73" s="1612"/>
      <c r="X73" s="1612"/>
      <c r="Y73" s="1613"/>
      <c r="Z73" s="1614"/>
      <c r="AA73" s="1614"/>
      <c r="AB73" s="1615"/>
      <c r="AC73" s="1615"/>
      <c r="AD73" s="583"/>
      <c r="AE73" s="583"/>
    </row>
    <row r="74" spans="1:31" ht="14">
      <c r="A74" s="1384" t="s">
        <v>1551</v>
      </c>
      <c r="B74" s="19" t="s">
        <v>2307</v>
      </c>
      <c r="C74" s="1383">
        <v>2457</v>
      </c>
      <c r="D74" s="1236"/>
      <c r="E74" s="1236"/>
      <c r="F74" s="1344">
        <f>(1/S74)*cnst_fish!$C$6</f>
        <v>0.10692785320993656</v>
      </c>
      <c r="G74" s="1344">
        <f t="shared" si="9"/>
        <v>1</v>
      </c>
      <c r="H74" s="1344">
        <f t="shared" si="9"/>
        <v>0.367192066876738</v>
      </c>
      <c r="I74" s="1344">
        <f t="shared" si="10"/>
        <v>0</v>
      </c>
      <c r="J74" s="902">
        <f t="shared" si="11"/>
        <v>0</v>
      </c>
      <c r="L74" s="1460">
        <v>14448</v>
      </c>
      <c r="M74" s="1236"/>
      <c r="N74" s="1240" t="s">
        <v>1806</v>
      </c>
      <c r="O74" s="1241" t="s">
        <v>4841</v>
      </c>
      <c r="P74" s="910">
        <f t="shared" si="12"/>
        <v>0</v>
      </c>
      <c r="Q74" s="910">
        <f t="shared" si="13"/>
        <v>14448</v>
      </c>
      <c r="R74" s="1344">
        <f t="shared" si="14"/>
        <v>3.45</v>
      </c>
      <c r="S74" s="1344">
        <f>(1/9)*cnst_fish!$C$7*(1/cnst_fish!$C$8)^(R74-1)</f>
        <v>39.746425953729492</v>
      </c>
      <c r="T74" s="1362">
        <f t="shared" si="15"/>
        <v>49614.677775482647</v>
      </c>
      <c r="W74" s="1612"/>
      <c r="X74" s="1612"/>
      <c r="Y74" s="1613"/>
      <c r="Z74" s="1614"/>
      <c r="AA74" s="1614"/>
      <c r="AB74" s="1615"/>
      <c r="AC74" s="1615"/>
      <c r="AD74" s="583"/>
      <c r="AE74" s="583"/>
    </row>
    <row r="75" spans="1:31" ht="14">
      <c r="A75" s="1384" t="s">
        <v>2751</v>
      </c>
      <c r="B75" s="19" t="s">
        <v>2308</v>
      </c>
      <c r="C75" s="1383">
        <v>3252</v>
      </c>
      <c r="D75" s="1236">
        <v>0</v>
      </c>
      <c r="E75" s="1236"/>
      <c r="F75" s="1344">
        <f>(1/S75)*cnst_fish!$C$6</f>
        <v>9.9790878883162681E-2</v>
      </c>
      <c r="G75" s="1344">
        <f t="shared" si="9"/>
        <v>1</v>
      </c>
      <c r="H75" s="1344">
        <f t="shared" si="9"/>
        <v>0.367192066876738</v>
      </c>
      <c r="I75" s="1344">
        <f t="shared" si="10"/>
        <v>0</v>
      </c>
      <c r="J75" s="902">
        <f t="shared" si="11"/>
        <v>0</v>
      </c>
      <c r="L75" s="1460">
        <v>1709</v>
      </c>
      <c r="M75" s="1236"/>
      <c r="N75" s="1240" t="s">
        <v>1806</v>
      </c>
      <c r="O75" s="1241" t="s">
        <v>4841</v>
      </c>
      <c r="P75" s="910">
        <f t="shared" si="12"/>
        <v>0</v>
      </c>
      <c r="Q75" s="910">
        <f t="shared" si="13"/>
        <v>1709</v>
      </c>
      <c r="R75" s="1344">
        <f t="shared" si="14"/>
        <v>3.48</v>
      </c>
      <c r="S75" s="1344">
        <f>(1/9)*cnst_fish!$C$7*(1/cnst_fish!$C$8)^(R75-1)</f>
        <v>42.589062723618177</v>
      </c>
      <c r="T75" s="1362">
        <f t="shared" si="15"/>
        <v>6288.462926827935</v>
      </c>
      <c r="W75" s="1612"/>
      <c r="X75" s="1612"/>
      <c r="Y75" s="1613"/>
      <c r="Z75" s="1614"/>
      <c r="AA75" s="1614"/>
      <c r="AB75" s="1615"/>
      <c r="AC75" s="1615"/>
      <c r="AD75" s="583"/>
      <c r="AE75" s="583"/>
    </row>
    <row r="76" spans="1:31" ht="14">
      <c r="A76" s="1384" t="s">
        <v>5434</v>
      </c>
      <c r="B76" s="19" t="s">
        <v>3924</v>
      </c>
      <c r="C76" s="1383">
        <v>2918</v>
      </c>
      <c r="D76" s="1236"/>
      <c r="E76" s="1236"/>
      <c r="F76" s="1344">
        <f>(1/S76)*cnst_fish!$C$6</f>
        <v>0.1409583630333692</v>
      </c>
      <c r="G76" s="1344">
        <f t="shared" si="9"/>
        <v>1</v>
      </c>
      <c r="H76" s="1344">
        <f t="shared" si="9"/>
        <v>0.367192066876738</v>
      </c>
      <c r="I76" s="1344">
        <f t="shared" si="10"/>
        <v>0</v>
      </c>
      <c r="J76" s="902">
        <f t="shared" si="11"/>
        <v>0</v>
      </c>
      <c r="L76" s="1460">
        <v>0</v>
      </c>
      <c r="M76" s="1236"/>
      <c r="N76" s="1240" t="s">
        <v>104</v>
      </c>
      <c r="O76" s="1241" t="s">
        <v>4859</v>
      </c>
      <c r="P76" s="910">
        <f t="shared" si="12"/>
        <v>0</v>
      </c>
      <c r="Q76" s="910">
        <f t="shared" si="13"/>
        <v>0</v>
      </c>
      <c r="R76" s="1344">
        <f t="shared" si="14"/>
        <v>3.33</v>
      </c>
      <c r="S76" s="1344">
        <f>(1/9)*cnst_fish!$C$7*(1/cnst_fish!$C$8)^(R76-1)</f>
        <v>30.15074741605714</v>
      </c>
      <c r="T76" s="1362">
        <f t="shared" si="15"/>
        <v>0</v>
      </c>
      <c r="W76" s="1612"/>
      <c r="X76" s="1612"/>
      <c r="Y76" s="1613"/>
      <c r="Z76" s="1614"/>
      <c r="AA76" s="1614"/>
      <c r="AB76" s="1615"/>
      <c r="AC76" s="1615"/>
      <c r="AD76" s="583"/>
      <c r="AE76" s="583"/>
    </row>
    <row r="77" spans="1:31" ht="14">
      <c r="A77" s="1384" t="s">
        <v>6704</v>
      </c>
      <c r="B77" s="19" t="s">
        <v>6703</v>
      </c>
      <c r="C77" s="1383">
        <v>10382</v>
      </c>
      <c r="D77" s="1236"/>
      <c r="E77" s="1236"/>
      <c r="F77" s="1344">
        <f>(1/S77)*cnst_fish!$C$6</f>
        <v>3.0136363636363641</v>
      </c>
      <c r="G77" s="1344">
        <f t="shared" si="9"/>
        <v>1</v>
      </c>
      <c r="H77" s="1344">
        <f t="shared" si="9"/>
        <v>0.367192066876738</v>
      </c>
      <c r="I77" s="1344">
        <f t="shared" si="10"/>
        <v>0</v>
      </c>
      <c r="J77" s="902">
        <f t="shared" si="11"/>
        <v>0</v>
      </c>
      <c r="L77" s="1460"/>
      <c r="M77" s="1236"/>
      <c r="N77" s="1240" t="s">
        <v>104</v>
      </c>
      <c r="O77" s="1241" t="s">
        <v>4859</v>
      </c>
      <c r="P77" s="910">
        <f t="shared" si="12"/>
        <v>0</v>
      </c>
      <c r="Q77" s="910">
        <f t="shared" si="13"/>
        <v>0</v>
      </c>
      <c r="R77" s="1344">
        <f t="shared" si="14"/>
        <v>2</v>
      </c>
      <c r="S77" s="1344">
        <f>(1/9)*cnst_fish!$C$7*(1/cnst_fish!$C$8)^(R77-1)</f>
        <v>1.4102564102564099</v>
      </c>
      <c r="T77" s="1362">
        <f t="shared" si="15"/>
        <v>0</v>
      </c>
      <c r="W77" s="1612"/>
      <c r="X77" s="1612"/>
      <c r="Y77" s="1613"/>
      <c r="Z77" s="1614"/>
      <c r="AA77" s="1614"/>
      <c r="AB77" s="1615"/>
      <c r="AC77" s="1615"/>
      <c r="AD77" s="583"/>
      <c r="AE77" s="583"/>
    </row>
    <row r="78" spans="1:31" ht="14">
      <c r="A78" s="1384" t="s">
        <v>2375</v>
      </c>
      <c r="B78" s="19" t="s">
        <v>2376</v>
      </c>
      <c r="C78" s="1383">
        <v>10383</v>
      </c>
      <c r="D78" s="1236"/>
      <c r="E78" s="1236"/>
      <c r="F78" s="1344">
        <f>(1/S78)*cnst_fish!$C$6</f>
        <v>0.11997502458044032</v>
      </c>
      <c r="G78" s="1344">
        <f t="shared" si="9"/>
        <v>1</v>
      </c>
      <c r="H78" s="1344">
        <f t="shared" si="9"/>
        <v>0.367192066876738</v>
      </c>
      <c r="I78" s="1344">
        <f t="shared" si="10"/>
        <v>0</v>
      </c>
      <c r="J78" s="902">
        <f t="shared" si="11"/>
        <v>0</v>
      </c>
      <c r="L78" s="1460">
        <v>190</v>
      </c>
      <c r="M78" s="1236"/>
      <c r="N78" s="1240" t="s">
        <v>104</v>
      </c>
      <c r="O78" s="1241" t="s">
        <v>4859</v>
      </c>
      <c r="P78" s="910">
        <f t="shared" si="12"/>
        <v>0</v>
      </c>
      <c r="Q78" s="910">
        <f t="shared" si="13"/>
        <v>190</v>
      </c>
      <c r="R78" s="1344">
        <f t="shared" si="14"/>
        <v>3.4</v>
      </c>
      <c r="S78" s="1344">
        <f>(1/9)*cnst_fish!$C$7*(1/cnst_fish!$C$8)^(R78-1)</f>
        <v>35.424039418724846</v>
      </c>
      <c r="T78" s="1362">
        <f t="shared" si="15"/>
        <v>581.50846770448879</v>
      </c>
      <c r="W78" s="1612"/>
      <c r="X78" s="1612"/>
      <c r="Y78" s="1613"/>
      <c r="Z78" s="1614"/>
      <c r="AA78" s="1614"/>
      <c r="AB78" s="1615"/>
      <c r="AC78" s="1615"/>
      <c r="AD78" s="583"/>
      <c r="AE78" s="583"/>
    </row>
    <row r="79" spans="1:31" ht="14">
      <c r="A79" s="1384" t="s">
        <v>2675</v>
      </c>
      <c r="B79" s="19" t="s">
        <v>1131</v>
      </c>
      <c r="C79" s="1383">
        <v>2203</v>
      </c>
      <c r="D79" s="1236"/>
      <c r="E79" s="1236"/>
      <c r="F79" s="1344">
        <f>(1/S79)*cnst_fish!$C$6</f>
        <v>8.8938714421809756E-2</v>
      </c>
      <c r="G79" s="1344">
        <f t="shared" si="9"/>
        <v>1</v>
      </c>
      <c r="H79" s="1344">
        <f t="shared" si="9"/>
        <v>0.367192066876738</v>
      </c>
      <c r="I79" s="1344">
        <f t="shared" si="10"/>
        <v>0</v>
      </c>
      <c r="J79" s="902">
        <f t="shared" si="11"/>
        <v>0</v>
      </c>
      <c r="L79" s="1460">
        <v>1281</v>
      </c>
      <c r="M79" s="1236">
        <v>2504</v>
      </c>
      <c r="N79" s="1240" t="s">
        <v>3928</v>
      </c>
      <c r="O79" s="1241" t="s">
        <v>4845</v>
      </c>
      <c r="P79" s="910">
        <f t="shared" si="12"/>
        <v>0</v>
      </c>
      <c r="Q79" s="910">
        <f t="shared" si="13"/>
        <v>3785</v>
      </c>
      <c r="R79" s="1344">
        <f t="shared" si="14"/>
        <v>3.53</v>
      </c>
      <c r="S79" s="1344">
        <f>(1/9)*cnst_fish!$C$7*(1/cnst_fish!$C$8)^(R79-1)</f>
        <v>47.785714327323419</v>
      </c>
      <c r="T79" s="1362">
        <f t="shared" si="15"/>
        <v>15626.737829118407</v>
      </c>
      <c r="W79" s="1612"/>
      <c r="X79" s="1612"/>
      <c r="Y79" s="1613"/>
      <c r="Z79" s="1614"/>
      <c r="AA79" s="1614"/>
      <c r="AB79" s="1615"/>
      <c r="AC79" s="1615"/>
      <c r="AD79" s="583"/>
      <c r="AE79" s="583"/>
    </row>
    <row r="80" spans="1:31" ht="14">
      <c r="A80" s="1384" t="s">
        <v>724</v>
      </c>
      <c r="B80" s="19" t="s">
        <v>4553</v>
      </c>
      <c r="C80" s="1383">
        <v>2204</v>
      </c>
      <c r="D80" s="1236"/>
      <c r="E80" s="1236"/>
      <c r="F80" s="1344">
        <f>(1/S80)*cnst_fish!$C$6</f>
        <v>2.5650205424007942E-2</v>
      </c>
      <c r="G80" s="1344">
        <f t="shared" si="9"/>
        <v>1</v>
      </c>
      <c r="H80" s="1344">
        <f t="shared" si="9"/>
        <v>0.367192066876738</v>
      </c>
      <c r="I80" s="1344">
        <f t="shared" si="10"/>
        <v>0</v>
      </c>
      <c r="J80" s="902">
        <f t="shared" si="11"/>
        <v>0</v>
      </c>
      <c r="L80" s="1460">
        <v>86</v>
      </c>
      <c r="M80" s="1236"/>
      <c r="N80" s="1240" t="s">
        <v>3928</v>
      </c>
      <c r="O80" s="1241" t="s">
        <v>4845</v>
      </c>
      <c r="P80" s="910">
        <f t="shared" si="12"/>
        <v>0</v>
      </c>
      <c r="Q80" s="910">
        <f t="shared" si="13"/>
        <v>86</v>
      </c>
      <c r="R80" s="1344">
        <f t="shared" si="14"/>
        <v>4.07</v>
      </c>
      <c r="S80" s="1344">
        <f>(1/9)*cnst_fish!$C$7*(1/cnst_fish!$C$8)^(R80-1)</f>
        <v>165.6906808248057</v>
      </c>
      <c r="T80" s="1362">
        <f t="shared" si="15"/>
        <v>1231.1214366276683</v>
      </c>
      <c r="W80" s="1612"/>
      <c r="X80" s="1612"/>
      <c r="Y80" s="1613"/>
      <c r="Z80" s="1614"/>
      <c r="AA80" s="1614"/>
      <c r="AB80" s="1615"/>
      <c r="AC80" s="1615"/>
      <c r="AD80" s="583"/>
      <c r="AE80" s="583"/>
    </row>
    <row r="81" spans="1:31" ht="14">
      <c r="A81" s="1384" t="s">
        <v>919</v>
      </c>
      <c r="B81" s="19" t="s">
        <v>4554</v>
      </c>
      <c r="C81" s="1383">
        <v>2988</v>
      </c>
      <c r="D81" s="1236"/>
      <c r="E81" s="1236"/>
      <c r="F81" s="1344">
        <f>(1/S81)*cnst_fish!$C$6</f>
        <v>8.4935812883106004E-2</v>
      </c>
      <c r="G81" s="1344">
        <f t="shared" si="9"/>
        <v>1</v>
      </c>
      <c r="H81" s="1344">
        <f t="shared" si="9"/>
        <v>0.367192066876738</v>
      </c>
      <c r="I81" s="1344">
        <f t="shared" si="10"/>
        <v>0</v>
      </c>
      <c r="J81" s="902">
        <f t="shared" si="11"/>
        <v>0</v>
      </c>
      <c r="L81" s="1460"/>
      <c r="M81" s="1236">
        <v>218</v>
      </c>
      <c r="N81" s="1240" t="s">
        <v>3928</v>
      </c>
      <c r="O81" s="1241" t="s">
        <v>4845</v>
      </c>
      <c r="P81" s="910">
        <f t="shared" si="12"/>
        <v>0</v>
      </c>
      <c r="Q81" s="910">
        <f t="shared" si="13"/>
        <v>218</v>
      </c>
      <c r="R81" s="1344">
        <f t="shared" si="14"/>
        <v>3.55</v>
      </c>
      <c r="S81" s="1344">
        <f>(1/9)*cnst_fish!$C$7*(1/cnst_fish!$C$8)^(R81-1)</f>
        <v>50.037785661145278</v>
      </c>
      <c r="T81" s="1362">
        <f t="shared" si="15"/>
        <v>942.45133898107019</v>
      </c>
      <c r="W81" s="1612"/>
      <c r="X81" s="1612"/>
      <c r="Y81" s="1613"/>
      <c r="Z81" s="1614"/>
      <c r="AA81" s="1614"/>
      <c r="AB81" s="1615"/>
      <c r="AC81" s="1615"/>
      <c r="AD81" s="583"/>
      <c r="AE81" s="583"/>
    </row>
    <row r="82" spans="1:31" ht="14">
      <c r="A82" s="1384" t="s">
        <v>3838</v>
      </c>
      <c r="B82" s="19" t="s">
        <v>4555</v>
      </c>
      <c r="C82" s="1383">
        <v>2989</v>
      </c>
      <c r="D82" s="1236">
        <v>423</v>
      </c>
      <c r="E82" s="1236">
        <v>0</v>
      </c>
      <c r="F82" s="1344">
        <f>(1/S82)*cnst_fish!$C$6</f>
        <v>6.4430402969999093E-2</v>
      </c>
      <c r="G82" s="1344">
        <f t="shared" si="9"/>
        <v>1</v>
      </c>
      <c r="H82" s="1344">
        <f t="shared" si="9"/>
        <v>0.367192066876738</v>
      </c>
      <c r="I82" s="1344">
        <f t="shared" si="10"/>
        <v>2410.6980110179243</v>
      </c>
      <c r="J82" s="902">
        <f t="shared" si="11"/>
        <v>0</v>
      </c>
      <c r="L82" s="1460">
        <v>775</v>
      </c>
      <c r="M82" s="1236">
        <v>114</v>
      </c>
      <c r="N82" s="1240" t="s">
        <v>3928</v>
      </c>
      <c r="O82" s="1241" t="s">
        <v>4845</v>
      </c>
      <c r="P82" s="910">
        <f t="shared" si="12"/>
        <v>423</v>
      </c>
      <c r="Q82" s="910">
        <f t="shared" si="13"/>
        <v>889</v>
      </c>
      <c r="R82" s="1344">
        <f t="shared" si="14"/>
        <v>3.67</v>
      </c>
      <c r="S82" s="1344">
        <f>(1/9)*cnst_fish!$C$7*(1/cnst_fish!$C$8)^(R82-1)</f>
        <v>65.962648130245896</v>
      </c>
      <c r="T82" s="1362">
        <f t="shared" si="15"/>
        <v>5066.4551579076469</v>
      </c>
      <c r="W82" s="1612"/>
      <c r="X82" s="1612"/>
      <c r="Y82" s="1613"/>
      <c r="Z82" s="1614"/>
      <c r="AA82" s="1614"/>
      <c r="AB82" s="1615"/>
      <c r="AC82" s="1615"/>
      <c r="AD82" s="583"/>
      <c r="AE82" s="583"/>
    </row>
    <row r="83" spans="1:31" ht="14">
      <c r="A83" s="1384" t="s">
        <v>4303</v>
      </c>
      <c r="B83" s="19" t="s">
        <v>3966</v>
      </c>
      <c r="C83" s="1383">
        <v>2987</v>
      </c>
      <c r="D83" s="1236"/>
      <c r="E83" s="1236"/>
      <c r="F83" s="1344">
        <f>(1/S83)*cnst_fish!$C$6</f>
        <v>5.7423657091346926E-2</v>
      </c>
      <c r="G83" s="1344">
        <f t="shared" si="9"/>
        <v>1</v>
      </c>
      <c r="H83" s="1344">
        <f t="shared" si="9"/>
        <v>0.367192066876738</v>
      </c>
      <c r="I83" s="1344">
        <f t="shared" si="10"/>
        <v>0</v>
      </c>
      <c r="J83" s="902">
        <f t="shared" si="11"/>
        <v>0</v>
      </c>
      <c r="L83" s="1460">
        <v>0</v>
      </c>
      <c r="M83" s="1236">
        <v>6459</v>
      </c>
      <c r="N83" s="1240" t="s">
        <v>3928</v>
      </c>
      <c r="O83" s="1241" t="s">
        <v>4845</v>
      </c>
      <c r="P83" s="910">
        <f t="shared" si="12"/>
        <v>0</v>
      </c>
      <c r="Q83" s="910">
        <f t="shared" si="13"/>
        <v>6459</v>
      </c>
      <c r="R83" s="1344">
        <f t="shared" si="14"/>
        <v>3.72</v>
      </c>
      <c r="S83" s="1344">
        <f>(1/9)*cnst_fish!$C$7*(1/cnst_fish!$C$8)^(R83-1)</f>
        <v>74.011308496762837</v>
      </c>
      <c r="T83" s="1362">
        <f t="shared" si="15"/>
        <v>41301.680876647566</v>
      </c>
      <c r="W83" s="1612"/>
      <c r="X83" s="1612"/>
      <c r="Y83" s="1613"/>
      <c r="Z83" s="1614"/>
      <c r="AA83" s="1614"/>
      <c r="AB83" s="1615"/>
      <c r="AC83" s="1615"/>
      <c r="AD83" s="583"/>
      <c r="AE83" s="583"/>
    </row>
    <row r="84" spans="1:31" ht="14">
      <c r="A84" s="1384" t="s">
        <v>5122</v>
      </c>
      <c r="B84" s="19" t="s">
        <v>5377</v>
      </c>
      <c r="C84" s="1383">
        <v>2897</v>
      </c>
      <c r="D84" s="1236"/>
      <c r="E84" s="1236"/>
      <c r="F84" s="1344">
        <f>(1/S84)*cnst_fish!$C$6</f>
        <v>0.43560298545661363</v>
      </c>
      <c r="G84" s="1344">
        <f t="shared" si="9"/>
        <v>1</v>
      </c>
      <c r="H84" s="1344">
        <f t="shared" si="9"/>
        <v>0.367192066876738</v>
      </c>
      <c r="I84" s="1344">
        <f t="shared" si="10"/>
        <v>0</v>
      </c>
      <c r="J84" s="902">
        <f t="shared" si="11"/>
        <v>0</v>
      </c>
      <c r="L84" s="1460">
        <v>22129</v>
      </c>
      <c r="M84" s="1236"/>
      <c r="N84" s="1240" t="s">
        <v>1806</v>
      </c>
      <c r="O84" s="1241" t="s">
        <v>4845</v>
      </c>
      <c r="P84" s="910">
        <f t="shared" si="12"/>
        <v>0</v>
      </c>
      <c r="Q84" s="910">
        <f t="shared" si="13"/>
        <v>22129</v>
      </c>
      <c r="R84" s="1344">
        <f t="shared" si="14"/>
        <v>2.84</v>
      </c>
      <c r="S84" s="1344">
        <f>(1/9)*cnst_fish!$C$7*(1/cnst_fish!$C$8)^(R84-1)</f>
        <v>9.7565906155234625</v>
      </c>
      <c r="T84" s="1362">
        <f t="shared" si="15"/>
        <v>18653.667488981548</v>
      </c>
      <c r="W84" s="1612"/>
      <c r="X84" s="1612"/>
      <c r="Y84" s="1613"/>
      <c r="Z84" s="1614"/>
      <c r="AA84" s="1614"/>
      <c r="AB84" s="1615"/>
      <c r="AC84" s="1615"/>
      <c r="AD84" s="583"/>
      <c r="AE84" s="583"/>
    </row>
    <row r="85" spans="1:31" ht="14">
      <c r="A85" s="1384" t="s">
        <v>489</v>
      </c>
      <c r="B85" s="19" t="s">
        <v>2309</v>
      </c>
      <c r="C85" s="1383">
        <v>3341</v>
      </c>
      <c r="D85" s="1236">
        <v>17827</v>
      </c>
      <c r="E85" s="1236"/>
      <c r="F85" s="1344">
        <f>(1/S85)*cnst_fish!$C$6</f>
        <v>4.4574948243432784E-2</v>
      </c>
      <c r="G85" s="1344">
        <f t="shared" si="9"/>
        <v>1</v>
      </c>
      <c r="H85" s="1344">
        <f t="shared" si="9"/>
        <v>0.367192066876738</v>
      </c>
      <c r="I85" s="1344">
        <f t="shared" si="10"/>
        <v>146852.28439218702</v>
      </c>
      <c r="J85" s="902">
        <f t="shared" si="11"/>
        <v>0</v>
      </c>
      <c r="L85" s="1460">
        <v>19789</v>
      </c>
      <c r="M85" s="1236"/>
      <c r="N85" s="1240" t="s">
        <v>1806</v>
      </c>
      <c r="O85" s="1241" t="s">
        <v>4841</v>
      </c>
      <c r="P85" s="910">
        <f t="shared" si="12"/>
        <v>17827</v>
      </c>
      <c r="Q85" s="910">
        <f t="shared" si="13"/>
        <v>19789</v>
      </c>
      <c r="R85" s="1344">
        <f t="shared" si="14"/>
        <v>3.83</v>
      </c>
      <c r="S85" s="1344">
        <f>(1/9)*cnst_fish!$C$7*(1/cnst_fish!$C$8)^(R85-1)</f>
        <v>95.345034991176945</v>
      </c>
      <c r="T85" s="1362">
        <f t="shared" si="15"/>
        <v>163014.52043736965</v>
      </c>
      <c r="W85" s="1612"/>
      <c r="X85" s="1612"/>
      <c r="Y85" s="1613"/>
      <c r="Z85" s="1614"/>
      <c r="AA85" s="1614"/>
      <c r="AB85" s="1615"/>
      <c r="AC85" s="1615"/>
      <c r="AD85" s="583"/>
      <c r="AE85" s="583"/>
    </row>
    <row r="86" spans="1:31" ht="14">
      <c r="A86" s="1384" t="s">
        <v>1932</v>
      </c>
      <c r="B86" s="19" t="s">
        <v>5146</v>
      </c>
      <c r="C86" s="1383">
        <v>2216</v>
      </c>
      <c r="D86" s="1236"/>
      <c r="E86" s="1236"/>
      <c r="F86" s="1344">
        <f>(1/S86)*cnst_fish!$C$6</f>
        <v>7.9266712664847111E-2</v>
      </c>
      <c r="G86" s="1344">
        <f t="shared" si="9"/>
        <v>1</v>
      </c>
      <c r="H86" s="1344">
        <f t="shared" si="9"/>
        <v>0.367192066876738</v>
      </c>
      <c r="I86" s="1344">
        <f t="shared" si="10"/>
        <v>0</v>
      </c>
      <c r="J86" s="902">
        <f t="shared" si="11"/>
        <v>0</v>
      </c>
      <c r="L86" s="1460">
        <v>123</v>
      </c>
      <c r="M86" s="1236"/>
      <c r="N86" s="1240" t="s">
        <v>1806</v>
      </c>
      <c r="O86" s="1241" t="s">
        <v>4841</v>
      </c>
      <c r="P86" s="910">
        <f t="shared" si="12"/>
        <v>0</v>
      </c>
      <c r="Q86" s="910">
        <f t="shared" si="13"/>
        <v>123</v>
      </c>
      <c r="R86" s="1344">
        <f t="shared" si="14"/>
        <v>3.58</v>
      </c>
      <c r="S86" s="1344">
        <f>(1/9)*cnst_fish!$C$7*(1/cnst_fish!$C$8)^(R86-1)</f>
        <v>53.616453327258682</v>
      </c>
      <c r="T86" s="1362">
        <f t="shared" si="15"/>
        <v>569.78046278773218</v>
      </c>
      <c r="W86" s="1612"/>
      <c r="X86" s="1612"/>
      <c r="Y86" s="1613"/>
      <c r="Z86" s="1614"/>
      <c r="AA86" s="1614"/>
      <c r="AB86" s="1615"/>
      <c r="AC86" s="1615"/>
      <c r="AD86" s="583"/>
      <c r="AE86" s="583"/>
    </row>
    <row r="87" spans="1:31" ht="14">
      <c r="A87" s="1384" t="s">
        <v>6465</v>
      </c>
      <c r="B87" s="19" t="s">
        <v>6464</v>
      </c>
      <c r="C87" s="1383">
        <v>18772</v>
      </c>
      <c r="D87" s="1236"/>
      <c r="E87" s="1236"/>
      <c r="F87" s="1344">
        <f>(1/S87)*cnst_fish!$C$6</f>
        <v>3.0136363636363641</v>
      </c>
      <c r="G87" s="1344">
        <f t="shared" si="9"/>
        <v>1</v>
      </c>
      <c r="H87" s="1344">
        <f t="shared" si="9"/>
        <v>0.367192066876738</v>
      </c>
      <c r="I87" s="1344">
        <f t="shared" si="10"/>
        <v>0</v>
      </c>
      <c r="J87" s="902">
        <f t="shared" si="11"/>
        <v>0</v>
      </c>
      <c r="L87" s="1460">
        <v>0</v>
      </c>
      <c r="M87" s="1236"/>
      <c r="N87" s="1240" t="s">
        <v>5367</v>
      </c>
      <c r="O87" s="1241"/>
      <c r="P87" s="910">
        <f t="shared" si="12"/>
        <v>0</v>
      </c>
      <c r="Q87" s="910">
        <f t="shared" si="13"/>
        <v>0</v>
      </c>
      <c r="R87" s="1344">
        <f t="shared" si="14"/>
        <v>2</v>
      </c>
      <c r="S87" s="1344">
        <f>(1/9)*cnst_fish!$C$7*(1/cnst_fish!$C$8)^(R87-1)</f>
        <v>1.4102564102564099</v>
      </c>
      <c r="T87" s="1362">
        <f t="shared" si="15"/>
        <v>0</v>
      </c>
      <c r="W87" s="1612"/>
      <c r="X87" s="1612"/>
      <c r="Y87" s="1613"/>
      <c r="Z87" s="1614"/>
      <c r="AA87" s="1614"/>
      <c r="AB87" s="1615"/>
      <c r="AC87" s="1615"/>
      <c r="AD87" s="583"/>
      <c r="AE87" s="583"/>
    </row>
    <row r="88" spans="1:31" ht="14">
      <c r="A88" s="1384" t="s">
        <v>4129</v>
      </c>
      <c r="B88" s="19" t="s">
        <v>5202</v>
      </c>
      <c r="C88" s="1383">
        <v>2469</v>
      </c>
      <c r="D88" s="1236"/>
      <c r="E88" s="1236"/>
      <c r="F88" s="1344">
        <f>(1/S88)*cnst_fish!$C$6</f>
        <v>9.979087888316248E-3</v>
      </c>
      <c r="G88" s="1344">
        <f t="shared" ref="G88:H107" si="16">G$7</f>
        <v>1</v>
      </c>
      <c r="H88" s="1344">
        <f t="shared" si="16"/>
        <v>0.367192066876738</v>
      </c>
      <c r="I88" s="1344">
        <f t="shared" si="10"/>
        <v>0</v>
      </c>
      <c r="J88" s="902">
        <f t="shared" si="11"/>
        <v>0</v>
      </c>
      <c r="L88" s="1460">
        <v>7206</v>
      </c>
      <c r="M88" s="1236"/>
      <c r="N88" s="1240" t="s">
        <v>1806</v>
      </c>
      <c r="O88" s="1241" t="s">
        <v>4841</v>
      </c>
      <c r="P88" s="910">
        <f t="shared" si="12"/>
        <v>0</v>
      </c>
      <c r="Q88" s="910">
        <f t="shared" si="13"/>
        <v>7206</v>
      </c>
      <c r="R88" s="1344">
        <f t="shared" si="14"/>
        <v>4.4800000000000004</v>
      </c>
      <c r="S88" s="1344">
        <f>(1/9)*cnst_fish!$C$7*(1/cnst_fish!$C$8)^(R88-1)</f>
        <v>425.89062723618264</v>
      </c>
      <c r="T88" s="1362">
        <f t="shared" si="15"/>
        <v>265153.09450393327</v>
      </c>
      <c r="W88" s="1612"/>
      <c r="X88" s="1612"/>
      <c r="Y88" s="1613"/>
      <c r="Z88" s="1614"/>
      <c r="AA88" s="1614"/>
      <c r="AB88" s="1615"/>
      <c r="AC88" s="1615"/>
      <c r="AD88" s="583"/>
      <c r="AE88" s="583"/>
    </row>
    <row r="89" spans="1:31" ht="14">
      <c r="A89" s="1384" t="s">
        <v>6642</v>
      </c>
      <c r="B89" s="19" t="s">
        <v>6641</v>
      </c>
      <c r="C89" s="1383">
        <v>10448</v>
      </c>
      <c r="D89" s="1236"/>
      <c r="E89" s="1236"/>
      <c r="F89" s="1344">
        <f>(1/S89)*cnst_fish!$C$6</f>
        <v>3.0136363636363641</v>
      </c>
      <c r="G89" s="1344">
        <f t="shared" si="16"/>
        <v>1</v>
      </c>
      <c r="H89" s="1344">
        <f t="shared" si="16"/>
        <v>0.367192066876738</v>
      </c>
      <c r="I89" s="1344">
        <f t="shared" si="10"/>
        <v>0</v>
      </c>
      <c r="J89" s="902">
        <f t="shared" si="11"/>
        <v>0</v>
      </c>
      <c r="L89" s="1460">
        <v>16</v>
      </c>
      <c r="M89" s="1236"/>
      <c r="N89" s="1240" t="s">
        <v>1806</v>
      </c>
      <c r="O89" s="1241" t="s">
        <v>4841</v>
      </c>
      <c r="P89" s="910">
        <f t="shared" si="12"/>
        <v>0</v>
      </c>
      <c r="Q89" s="910">
        <f t="shared" si="13"/>
        <v>16</v>
      </c>
      <c r="R89" s="1344">
        <f t="shared" si="14"/>
        <v>2</v>
      </c>
      <c r="S89" s="1344">
        <f>(1/9)*cnst_fish!$C$7*(1/cnst_fish!$C$8)^(R89-1)</f>
        <v>1.4102564102564099</v>
      </c>
      <c r="T89" s="1362">
        <f t="shared" si="15"/>
        <v>1.9494963429956522</v>
      </c>
      <c r="W89" s="1612"/>
      <c r="X89" s="1612"/>
      <c r="Y89" s="1613"/>
      <c r="Z89" s="1614"/>
      <c r="AA89" s="1614"/>
      <c r="AB89" s="1615"/>
      <c r="AC89" s="1615"/>
      <c r="AD89" s="583"/>
      <c r="AE89" s="583"/>
    </row>
    <row r="90" spans="1:31" ht="14">
      <c r="A90" s="1384" t="s">
        <v>3471</v>
      </c>
      <c r="B90" s="19" t="s">
        <v>667</v>
      </c>
      <c r="C90" s="1383">
        <v>10450</v>
      </c>
      <c r="D90" s="1236"/>
      <c r="E90" s="1236"/>
      <c r="F90" s="1344">
        <f>(1/S90)*cnst_fish!$C$6</f>
        <v>2.3393265378400998E-2</v>
      </c>
      <c r="G90" s="1344">
        <f t="shared" si="16"/>
        <v>1</v>
      </c>
      <c r="H90" s="1344">
        <f t="shared" si="16"/>
        <v>0.367192066876738</v>
      </c>
      <c r="I90" s="1344">
        <f t="shared" si="10"/>
        <v>0</v>
      </c>
      <c r="J90" s="902">
        <f t="shared" si="11"/>
        <v>0</v>
      </c>
      <c r="L90" s="1460">
        <v>225</v>
      </c>
      <c r="M90" s="1236"/>
      <c r="N90" s="1240" t="s">
        <v>1806</v>
      </c>
      <c r="O90" s="1241" t="s">
        <v>4841</v>
      </c>
      <c r="P90" s="910">
        <f t="shared" si="12"/>
        <v>0</v>
      </c>
      <c r="Q90" s="910">
        <f t="shared" si="13"/>
        <v>225</v>
      </c>
      <c r="R90" s="1344">
        <f t="shared" si="14"/>
        <v>4.1100000000000003</v>
      </c>
      <c r="S90" s="1344">
        <f>(1/9)*cnst_fish!$C$7*(1/cnst_fish!$C$8)^(R90-1)</f>
        <v>181.67621882851913</v>
      </c>
      <c r="T90" s="1362">
        <f t="shared" si="15"/>
        <v>3531.7093920350021</v>
      </c>
      <c r="W90" s="1612"/>
      <c r="X90" s="1612"/>
      <c r="Y90" s="1613"/>
      <c r="Z90" s="1614"/>
      <c r="AA90" s="1614"/>
      <c r="AB90" s="1615"/>
      <c r="AC90" s="1615"/>
      <c r="AD90" s="583"/>
      <c r="AE90" s="583"/>
    </row>
    <row r="91" spans="1:31" ht="14">
      <c r="A91" s="1384" t="s">
        <v>554</v>
      </c>
      <c r="B91" s="19" t="s">
        <v>555</v>
      </c>
      <c r="C91" s="1383">
        <v>10451</v>
      </c>
      <c r="D91" s="1236"/>
      <c r="E91" s="1236"/>
      <c r="F91" s="1344">
        <f>(1/S91)*cnst_fish!$C$6</f>
        <v>0.23938164528281752</v>
      </c>
      <c r="G91" s="1344">
        <f t="shared" si="16"/>
        <v>1</v>
      </c>
      <c r="H91" s="1344">
        <f t="shared" si="16"/>
        <v>0.367192066876738</v>
      </c>
      <c r="I91" s="1344">
        <f t="shared" si="10"/>
        <v>0</v>
      </c>
      <c r="J91" s="902">
        <f t="shared" si="11"/>
        <v>0</v>
      </c>
      <c r="L91" s="1460">
        <v>81</v>
      </c>
      <c r="M91" s="1236"/>
      <c r="N91" s="1240" t="s">
        <v>1806</v>
      </c>
      <c r="O91" s="1241" t="s">
        <v>4841</v>
      </c>
      <c r="P91" s="910">
        <f t="shared" si="12"/>
        <v>0</v>
      </c>
      <c r="Q91" s="910">
        <f t="shared" si="13"/>
        <v>81</v>
      </c>
      <c r="R91" s="1344">
        <f t="shared" si="14"/>
        <v>3.1</v>
      </c>
      <c r="S91" s="1344">
        <f>(1/9)*cnst_fish!$C$7*(1/cnst_fish!$C$8)^(R91-1)</f>
        <v>17.754076320174157</v>
      </c>
      <c r="T91" s="1362">
        <f t="shared" si="15"/>
        <v>124.24744337384941</v>
      </c>
      <c r="W91" s="1612"/>
      <c r="X91" s="1612"/>
      <c r="Y91" s="1613"/>
      <c r="Z91" s="1614"/>
      <c r="AA91" s="1614"/>
      <c r="AB91" s="1615"/>
      <c r="AC91" s="1615"/>
      <c r="AD91" s="583"/>
      <c r="AE91" s="583"/>
    </row>
    <row r="92" spans="1:31" ht="14">
      <c r="A92" s="1384" t="s">
        <v>6418</v>
      </c>
      <c r="B92" s="19" t="s">
        <v>6417</v>
      </c>
      <c r="C92" s="1383">
        <v>19408</v>
      </c>
      <c r="D92" s="1236"/>
      <c r="E92" s="1236"/>
      <c r="F92" s="1344">
        <f>(1/S92)*cnst_fish!$C$6</f>
        <v>3.0136363636363641</v>
      </c>
      <c r="G92" s="1344">
        <f t="shared" si="16"/>
        <v>1</v>
      </c>
      <c r="H92" s="1344">
        <f t="shared" si="16"/>
        <v>0.367192066876738</v>
      </c>
      <c r="I92" s="1344">
        <f t="shared" si="10"/>
        <v>0</v>
      </c>
      <c r="J92" s="902">
        <f t="shared" si="11"/>
        <v>0</v>
      </c>
      <c r="L92" s="1460">
        <v>13</v>
      </c>
      <c r="M92" s="1236"/>
      <c r="N92" s="1240" t="s">
        <v>1806</v>
      </c>
      <c r="O92" s="1241" t="s">
        <v>4841</v>
      </c>
      <c r="P92" s="910">
        <f t="shared" si="12"/>
        <v>0</v>
      </c>
      <c r="Q92" s="910">
        <f t="shared" si="13"/>
        <v>13</v>
      </c>
      <c r="R92" s="1344">
        <f t="shared" si="14"/>
        <v>2</v>
      </c>
      <c r="S92" s="1344">
        <f>(1/9)*cnst_fish!$C$7*(1/cnst_fish!$C$8)^(R92-1)</f>
        <v>1.4102564102564099</v>
      </c>
      <c r="T92" s="1362">
        <f t="shared" si="15"/>
        <v>1.5839657786839674</v>
      </c>
      <c r="W92" s="1612"/>
      <c r="X92" s="1612"/>
      <c r="Y92" s="1613"/>
      <c r="Z92" s="1614"/>
      <c r="AA92" s="1614"/>
      <c r="AB92" s="1615"/>
      <c r="AC92" s="1615"/>
      <c r="AD92" s="583"/>
      <c r="AE92" s="583"/>
    </row>
    <row r="93" spans="1:31" ht="14">
      <c r="A93" s="1384" t="s">
        <v>2507</v>
      </c>
      <c r="B93" s="19" t="s">
        <v>4243</v>
      </c>
      <c r="C93" s="1383">
        <v>2344</v>
      </c>
      <c r="D93" s="1236"/>
      <c r="E93" s="1236">
        <v>536</v>
      </c>
      <c r="F93" s="1344">
        <f>(1/S93)*cnst_fish!$C$6</f>
        <v>0.13154999853419541</v>
      </c>
      <c r="G93" s="1344">
        <f t="shared" si="16"/>
        <v>1</v>
      </c>
      <c r="H93" s="1344">
        <f t="shared" si="16"/>
        <v>0.367192066876738</v>
      </c>
      <c r="I93" s="1344">
        <f t="shared" si="10"/>
        <v>0</v>
      </c>
      <c r="J93" s="902">
        <f t="shared" si="11"/>
        <v>1496.1227673048663</v>
      </c>
      <c r="L93" s="1460"/>
      <c r="M93" s="1236">
        <v>610</v>
      </c>
      <c r="N93" s="1240" t="s">
        <v>1806</v>
      </c>
      <c r="O93" s="1241" t="s">
        <v>4845</v>
      </c>
      <c r="P93" s="910">
        <f t="shared" si="12"/>
        <v>536</v>
      </c>
      <c r="Q93" s="910">
        <f t="shared" si="13"/>
        <v>610</v>
      </c>
      <c r="R93" s="1344">
        <f t="shared" si="14"/>
        <v>3.36</v>
      </c>
      <c r="S93" s="1344">
        <f>(1/9)*cnst_fish!$C$7*(1/cnst_fish!$C$8)^(R93-1)</f>
        <v>32.307107923648097</v>
      </c>
      <c r="T93" s="1362">
        <f t="shared" si="15"/>
        <v>1702.6770299551652</v>
      </c>
      <c r="W93" s="1612"/>
      <c r="X93" s="1612"/>
      <c r="Y93" s="1613"/>
      <c r="Z93" s="1614"/>
      <c r="AA93" s="1614"/>
      <c r="AB93" s="1615"/>
      <c r="AC93" s="1615"/>
      <c r="AD93" s="583"/>
      <c r="AE93" s="583"/>
    </row>
    <row r="94" spans="1:31" ht="14">
      <c r="A94" s="1384" t="s">
        <v>3142</v>
      </c>
      <c r="B94" s="19" t="s">
        <v>668</v>
      </c>
      <c r="C94" s="1383">
        <v>2296</v>
      </c>
      <c r="D94" s="1236"/>
      <c r="E94" s="1236"/>
      <c r="F94" s="1344">
        <f>(1/S94)*cnst_fish!$C$6</f>
        <v>0.10449387811364928</v>
      </c>
      <c r="G94" s="1344">
        <f t="shared" si="16"/>
        <v>1</v>
      </c>
      <c r="H94" s="1344">
        <f t="shared" si="16"/>
        <v>0.367192066876738</v>
      </c>
      <c r="I94" s="1344">
        <f t="shared" si="10"/>
        <v>0</v>
      </c>
      <c r="J94" s="902">
        <f t="shared" si="11"/>
        <v>0</v>
      </c>
      <c r="L94" s="1460">
        <v>365</v>
      </c>
      <c r="M94" s="1236"/>
      <c r="N94" s="1240" t="s">
        <v>1806</v>
      </c>
      <c r="O94" s="1241" t="s">
        <v>4841</v>
      </c>
      <c r="P94" s="910">
        <f t="shared" si="12"/>
        <v>0</v>
      </c>
      <c r="Q94" s="910">
        <f t="shared" si="13"/>
        <v>365</v>
      </c>
      <c r="R94" s="1344">
        <f t="shared" si="14"/>
        <v>3.46</v>
      </c>
      <c r="S94" s="1344">
        <f>(1/9)*cnst_fish!$C$7*(1/cnst_fish!$C$8)^(R94-1)</f>
        <v>40.672239146657276</v>
      </c>
      <c r="T94" s="1362">
        <f t="shared" si="15"/>
        <v>1282.6120231104967</v>
      </c>
      <c r="W94" s="1612"/>
      <c r="X94" s="1612"/>
      <c r="Y94" s="1613"/>
      <c r="Z94" s="1614"/>
      <c r="AA94" s="1614"/>
      <c r="AB94" s="1615"/>
      <c r="AC94" s="1615"/>
      <c r="AD94" s="583"/>
      <c r="AE94" s="583"/>
    </row>
    <row r="95" spans="1:31" ht="14">
      <c r="A95" s="1384" t="s">
        <v>1387</v>
      </c>
      <c r="B95" s="19" t="s">
        <v>1388</v>
      </c>
      <c r="C95" s="1383">
        <v>10484</v>
      </c>
      <c r="D95" s="1236">
        <v>47</v>
      </c>
      <c r="E95" s="1236"/>
      <c r="F95" s="1344">
        <f>(1/S95)*cnst_fish!$C$6</f>
        <v>3.3813556145554591E-2</v>
      </c>
      <c r="G95" s="1344">
        <f t="shared" si="16"/>
        <v>1</v>
      </c>
      <c r="H95" s="1344">
        <f t="shared" si="16"/>
        <v>0.367192066876738</v>
      </c>
      <c r="I95" s="1344">
        <f t="shared" si="10"/>
        <v>510.38781809631013</v>
      </c>
      <c r="J95" s="902">
        <f t="shared" si="11"/>
        <v>0</v>
      </c>
      <c r="L95" s="1460">
        <v>47</v>
      </c>
      <c r="M95" s="1236"/>
      <c r="N95" s="1240" t="s">
        <v>1806</v>
      </c>
      <c r="O95" s="1241" t="s">
        <v>4841</v>
      </c>
      <c r="P95" s="910">
        <f t="shared" si="12"/>
        <v>47</v>
      </c>
      <c r="Q95" s="910">
        <f t="shared" si="13"/>
        <v>47</v>
      </c>
      <c r="R95" s="1344">
        <f t="shared" si="14"/>
        <v>3.95</v>
      </c>
      <c r="S95" s="1344">
        <f>(1/9)*cnst_fish!$C$7*(1/cnst_fish!$C$8)^(R95-1)</f>
        <v>125.68923486501552</v>
      </c>
      <c r="T95" s="1362">
        <f t="shared" si="15"/>
        <v>510.38781809631013</v>
      </c>
      <c r="W95" s="1612"/>
      <c r="X95" s="1612"/>
      <c r="Y95" s="1613"/>
      <c r="Z95" s="1614"/>
      <c r="AA95" s="1614"/>
      <c r="AB95" s="1615"/>
      <c r="AC95" s="1615"/>
      <c r="AD95" s="583"/>
      <c r="AE95" s="583"/>
    </row>
    <row r="96" spans="1:31" ht="14">
      <c r="A96" s="1585" t="s">
        <v>8482</v>
      </c>
      <c r="B96" s="1586" t="s">
        <v>8483</v>
      </c>
      <c r="C96" s="1383">
        <v>10515</v>
      </c>
      <c r="D96" s="1236"/>
      <c r="E96" s="1236"/>
      <c r="F96" s="1344">
        <f>(1/S96)*cnst_fish!$C$6</f>
        <v>2.3938164528281767E-2</v>
      </c>
      <c r="G96" s="1344">
        <f t="shared" si="16"/>
        <v>1</v>
      </c>
      <c r="H96" s="1344">
        <f t="shared" si="16"/>
        <v>0.367192066876738</v>
      </c>
      <c r="I96" s="1344">
        <f t="shared" si="10"/>
        <v>0</v>
      </c>
      <c r="J96" s="902">
        <f t="shared" si="11"/>
        <v>0</v>
      </c>
      <c r="L96" s="1460">
        <v>3</v>
      </c>
      <c r="M96" s="1236"/>
      <c r="N96" s="1240" t="s">
        <v>1806</v>
      </c>
      <c r="O96" s="1241" t="s">
        <v>4841</v>
      </c>
      <c r="P96" s="910">
        <f t="shared" si="12"/>
        <v>0</v>
      </c>
      <c r="Q96" s="910">
        <f t="shared" si="13"/>
        <v>3</v>
      </c>
      <c r="R96" s="1344">
        <f t="shared" si="14"/>
        <v>4.0999999999999996</v>
      </c>
      <c r="S96" s="1344">
        <f>(1/9)*cnst_fish!$C$7*(1/cnst_fish!$C$8)^(R96-1)</f>
        <v>177.54076320174144</v>
      </c>
      <c r="T96" s="1362">
        <f t="shared" si="15"/>
        <v>46.017571619944199</v>
      </c>
      <c r="W96" s="1616"/>
      <c r="X96" s="1616"/>
      <c r="Y96" s="1613"/>
      <c r="Z96" s="1614"/>
      <c r="AA96" s="1614"/>
      <c r="AB96" s="1615"/>
      <c r="AC96" s="1615"/>
      <c r="AD96" s="583"/>
      <c r="AE96" s="583"/>
    </row>
    <row r="97" spans="1:31" ht="14">
      <c r="A97" s="1384" t="s">
        <v>2972</v>
      </c>
      <c r="B97" s="19" t="s">
        <v>4999</v>
      </c>
      <c r="C97" s="1383">
        <v>10516</v>
      </c>
      <c r="D97" s="1236"/>
      <c r="E97" s="1236"/>
      <c r="F97" s="1344">
        <f>(1/S97)*cnst_fish!$C$6</f>
        <v>3.0838329721915438E-2</v>
      </c>
      <c r="G97" s="1344">
        <f t="shared" si="16"/>
        <v>1</v>
      </c>
      <c r="H97" s="1344">
        <f t="shared" si="16"/>
        <v>0.367192066876738</v>
      </c>
      <c r="I97" s="1344">
        <f t="shared" si="10"/>
        <v>0</v>
      </c>
      <c r="J97" s="902">
        <f t="shared" si="11"/>
        <v>0</v>
      </c>
      <c r="L97" s="1460">
        <v>1</v>
      </c>
      <c r="M97" s="1236"/>
      <c r="N97" s="1240" t="s">
        <v>1806</v>
      </c>
      <c r="O97" s="1241" t="s">
        <v>4841</v>
      </c>
      <c r="P97" s="910">
        <f t="shared" si="12"/>
        <v>0</v>
      </c>
      <c r="Q97" s="910">
        <f t="shared" si="13"/>
        <v>1</v>
      </c>
      <c r="R97" s="1344">
        <f t="shared" si="14"/>
        <v>3.99</v>
      </c>
      <c r="S97" s="1344">
        <f>(1/9)*cnst_fish!$C$7*(1/cnst_fish!$C$8)^(R97-1)</f>
        <v>137.81550551940927</v>
      </c>
      <c r="T97" s="1362">
        <f t="shared" si="15"/>
        <v>11.907002428078677</v>
      </c>
      <c r="W97" s="1612"/>
      <c r="X97" s="1612"/>
      <c r="Y97" s="1613"/>
      <c r="Z97" s="1614"/>
      <c r="AA97" s="1614"/>
      <c r="AB97" s="1615"/>
      <c r="AC97" s="1615"/>
      <c r="AD97" s="583"/>
      <c r="AE97" s="583"/>
    </row>
    <row r="98" spans="1:31" ht="14">
      <c r="A98" s="1384" t="s">
        <v>495</v>
      </c>
      <c r="B98" s="19" t="s">
        <v>4244</v>
      </c>
      <c r="C98" s="1383">
        <v>2945</v>
      </c>
      <c r="D98" s="1236"/>
      <c r="E98" s="1236"/>
      <c r="F98" s="1344">
        <f>(1/S98)*cnst_fish!$C$6</f>
        <v>9.5299549485983424E-3</v>
      </c>
      <c r="G98" s="1344">
        <f t="shared" si="16"/>
        <v>1</v>
      </c>
      <c r="H98" s="1344">
        <f t="shared" si="16"/>
        <v>0.367192066876738</v>
      </c>
      <c r="I98" s="1344">
        <f t="shared" si="10"/>
        <v>0</v>
      </c>
      <c r="J98" s="902">
        <f t="shared" si="11"/>
        <v>0</v>
      </c>
      <c r="L98" s="1460"/>
      <c r="M98" s="1236">
        <v>1504</v>
      </c>
      <c r="N98" s="1240" t="s">
        <v>1806</v>
      </c>
      <c r="O98" s="1241" t="s">
        <v>4845</v>
      </c>
      <c r="P98" s="910">
        <f t="shared" si="12"/>
        <v>0</v>
      </c>
      <c r="Q98" s="910">
        <f t="shared" si="13"/>
        <v>1504</v>
      </c>
      <c r="R98" s="1344">
        <f t="shared" si="14"/>
        <v>4.5</v>
      </c>
      <c r="S98" s="1344">
        <f>(1/9)*cnst_fish!$C$7*(1/cnst_fish!$C$8)^(R98-1)</f>
        <v>445.96223412630997</v>
      </c>
      <c r="T98" s="1362">
        <f t="shared" si="15"/>
        <v>57949.57809992999</v>
      </c>
      <c r="W98" s="1612"/>
      <c r="X98" s="1612"/>
      <c r="Y98" s="1613"/>
      <c r="Z98" s="1614"/>
      <c r="AA98" s="1614"/>
      <c r="AB98" s="1615"/>
      <c r="AC98" s="1615"/>
      <c r="AD98" s="583"/>
      <c r="AE98" s="583"/>
    </row>
    <row r="99" spans="1:31" ht="14">
      <c r="A99" s="1384" t="s">
        <v>6739</v>
      </c>
      <c r="B99" s="19" t="s">
        <v>6738</v>
      </c>
      <c r="C99" s="1383">
        <v>17123</v>
      </c>
      <c r="D99" s="1236"/>
      <c r="E99" s="1236"/>
      <c r="F99" s="1344">
        <f>(1/S99)*cnst_fish!$C$6</f>
        <v>3.0136363636363641</v>
      </c>
      <c r="G99" s="1344">
        <f t="shared" si="16"/>
        <v>1</v>
      </c>
      <c r="H99" s="1344">
        <f t="shared" si="16"/>
        <v>0.367192066876738</v>
      </c>
      <c r="I99" s="1344">
        <f t="shared" si="10"/>
        <v>0</v>
      </c>
      <c r="J99" s="902">
        <f t="shared" si="11"/>
        <v>0</v>
      </c>
      <c r="L99" s="1460">
        <v>20</v>
      </c>
      <c r="M99" s="1236"/>
      <c r="N99" s="1240" t="s">
        <v>1804</v>
      </c>
      <c r="O99" s="1241" t="s">
        <v>4851</v>
      </c>
      <c r="P99" s="910">
        <f t="shared" si="12"/>
        <v>0</v>
      </c>
      <c r="Q99" s="910">
        <f t="shared" si="13"/>
        <v>20</v>
      </c>
      <c r="R99" s="1344">
        <f t="shared" si="14"/>
        <v>2</v>
      </c>
      <c r="S99" s="1344">
        <f>(1/9)*cnst_fish!$C$7*(1/cnst_fish!$C$8)^(R99-1)</f>
        <v>1.4102564102564099</v>
      </c>
      <c r="T99" s="1362">
        <f t="shared" si="15"/>
        <v>2.4368704287445655</v>
      </c>
      <c r="W99" s="1612"/>
      <c r="X99" s="1612"/>
      <c r="Y99" s="1613"/>
      <c r="Z99" s="1614"/>
      <c r="AA99" s="1614"/>
      <c r="AB99" s="1615"/>
      <c r="AC99" s="1615"/>
      <c r="AD99" s="583"/>
      <c r="AE99" s="583"/>
    </row>
    <row r="100" spans="1:31" ht="14">
      <c r="A100" s="1384" t="s">
        <v>479</v>
      </c>
      <c r="B100" s="19" t="s">
        <v>4701</v>
      </c>
      <c r="C100" s="1383">
        <v>3501</v>
      </c>
      <c r="D100" s="1236"/>
      <c r="E100" s="1236"/>
      <c r="F100" s="1344">
        <f>(1/S100)*cnst_fish!$C$6</f>
        <v>2.3938164528281742</v>
      </c>
      <c r="G100" s="1344">
        <f t="shared" si="16"/>
        <v>1</v>
      </c>
      <c r="H100" s="1344">
        <f t="shared" si="16"/>
        <v>0.367192066876738</v>
      </c>
      <c r="I100" s="1344">
        <f t="shared" si="10"/>
        <v>0</v>
      </c>
      <c r="J100" s="902">
        <f t="shared" si="11"/>
        <v>0</v>
      </c>
      <c r="L100" s="1460">
        <v>16082</v>
      </c>
      <c r="M100" s="1236"/>
      <c r="N100" s="1240" t="s">
        <v>1804</v>
      </c>
      <c r="O100" s="1241" t="s">
        <v>4851</v>
      </c>
      <c r="P100" s="910">
        <f t="shared" si="12"/>
        <v>0</v>
      </c>
      <c r="Q100" s="910">
        <f t="shared" si="13"/>
        <v>16082</v>
      </c>
      <c r="R100" s="1344">
        <f t="shared" si="14"/>
        <v>2.1</v>
      </c>
      <c r="S100" s="1344">
        <f>(1/9)*cnst_fish!$C$7*(1/cnst_fish!$C$8)^(R100-1)</f>
        <v>1.7754076320174161</v>
      </c>
      <c r="T100" s="1362">
        <f t="shared" si="15"/>
        <v>2466.8486226398113</v>
      </c>
      <c r="W100" s="1612"/>
      <c r="X100" s="1612"/>
      <c r="Y100" s="1613"/>
      <c r="Z100" s="1614"/>
      <c r="AA100" s="1614"/>
      <c r="AB100" s="1615"/>
      <c r="AC100" s="1615"/>
      <c r="AD100" s="583"/>
      <c r="AE100" s="583"/>
    </row>
    <row r="101" spans="1:31" ht="14">
      <c r="A101" s="1384" t="s">
        <v>6927</v>
      </c>
      <c r="B101" s="19" t="s">
        <v>6926</v>
      </c>
      <c r="C101" s="1383">
        <v>17126</v>
      </c>
      <c r="D101" s="1236"/>
      <c r="E101" s="1236"/>
      <c r="F101" s="1344">
        <f>(1/S101)*cnst_fish!$C$6</f>
        <v>3.0136363636363641</v>
      </c>
      <c r="G101" s="1344">
        <f t="shared" si="16"/>
        <v>1</v>
      </c>
      <c r="H101" s="1344">
        <f t="shared" si="16"/>
        <v>0.367192066876738</v>
      </c>
      <c r="I101" s="1344">
        <f t="shared" si="10"/>
        <v>0</v>
      </c>
      <c r="J101" s="902">
        <f t="shared" si="11"/>
        <v>0</v>
      </c>
      <c r="L101" s="1460">
        <v>0</v>
      </c>
      <c r="M101" s="1236"/>
      <c r="N101" s="1240" t="s">
        <v>1804</v>
      </c>
      <c r="O101" s="1241" t="s">
        <v>4851</v>
      </c>
      <c r="P101" s="910">
        <f t="shared" si="12"/>
        <v>0</v>
      </c>
      <c r="Q101" s="910">
        <f t="shared" si="13"/>
        <v>0</v>
      </c>
      <c r="R101" s="1344">
        <f t="shared" si="14"/>
        <v>2</v>
      </c>
      <c r="S101" s="1344">
        <f>(1/9)*cnst_fish!$C$7*(1/cnst_fish!$C$8)^(R101-1)</f>
        <v>1.4102564102564099</v>
      </c>
      <c r="T101" s="1362">
        <f t="shared" si="15"/>
        <v>0</v>
      </c>
      <c r="W101" s="1612"/>
      <c r="X101" s="1612"/>
      <c r="Y101" s="1613"/>
      <c r="Z101" s="1614"/>
      <c r="AA101" s="1614"/>
      <c r="AB101" s="1615"/>
      <c r="AC101" s="1615"/>
      <c r="AD101" s="583"/>
      <c r="AE101" s="583"/>
    </row>
    <row r="102" spans="1:31" ht="14">
      <c r="A102" s="1384" t="s">
        <v>2090</v>
      </c>
      <c r="B102" s="19" t="s">
        <v>3187</v>
      </c>
      <c r="C102" s="1383">
        <v>3186</v>
      </c>
      <c r="D102" s="1236">
        <v>922</v>
      </c>
      <c r="E102" s="1236"/>
      <c r="F102" s="1344">
        <f>(1/S102)*cnst_fish!$C$6</f>
        <v>8.8938714421809756E-2</v>
      </c>
      <c r="G102" s="1344">
        <f t="shared" si="16"/>
        <v>1</v>
      </c>
      <c r="H102" s="1344">
        <f t="shared" si="16"/>
        <v>0.367192066876738</v>
      </c>
      <c r="I102" s="1344">
        <f t="shared" si="10"/>
        <v>3806.5659916637178</v>
      </c>
      <c r="J102" s="902">
        <f t="shared" si="11"/>
        <v>0</v>
      </c>
      <c r="L102" s="1460">
        <v>922</v>
      </c>
      <c r="M102" s="1236"/>
      <c r="N102" s="1240" t="s">
        <v>1806</v>
      </c>
      <c r="O102" s="1241" t="s">
        <v>4841</v>
      </c>
      <c r="P102" s="910">
        <f t="shared" si="12"/>
        <v>922</v>
      </c>
      <c r="Q102" s="910">
        <f t="shared" si="13"/>
        <v>922</v>
      </c>
      <c r="R102" s="1344">
        <f t="shared" si="14"/>
        <v>3.53</v>
      </c>
      <c r="S102" s="1344">
        <f>(1/9)*cnst_fish!$C$7*(1/cnst_fish!$C$8)^(R102-1)</f>
        <v>47.785714327323419</v>
      </c>
      <c r="T102" s="1362">
        <f t="shared" si="15"/>
        <v>3806.5659916637178</v>
      </c>
      <c r="W102" s="1612"/>
      <c r="X102" s="1612"/>
      <c r="Y102" s="1613"/>
      <c r="Z102" s="1614"/>
      <c r="AA102" s="1614"/>
      <c r="AB102" s="1615"/>
      <c r="AC102" s="1615"/>
      <c r="AD102" s="583"/>
      <c r="AE102" s="583"/>
    </row>
    <row r="103" spans="1:31" ht="14">
      <c r="A103" s="1384" t="s">
        <v>1490</v>
      </c>
      <c r="B103" s="19" t="s">
        <v>3786</v>
      </c>
      <c r="C103" s="1383">
        <v>18788</v>
      </c>
      <c r="D103" s="1236"/>
      <c r="E103" s="1236"/>
      <c r="F103" s="1344">
        <f>(1/S103)*cnst_fish!$C$6</f>
        <v>1.8158954798513589</v>
      </c>
      <c r="G103" s="1344">
        <f t="shared" si="16"/>
        <v>1</v>
      </c>
      <c r="H103" s="1344">
        <f t="shared" si="16"/>
        <v>0.367192066876738</v>
      </c>
      <c r="I103" s="1344">
        <f t="shared" si="10"/>
        <v>0</v>
      </c>
      <c r="J103" s="902">
        <f t="shared" si="11"/>
        <v>0</v>
      </c>
      <c r="L103" s="1460">
        <v>15</v>
      </c>
      <c r="M103" s="1236"/>
      <c r="N103" s="1240" t="s">
        <v>1806</v>
      </c>
      <c r="O103" s="1241" t="s">
        <v>4841</v>
      </c>
      <c r="P103" s="910">
        <f t="shared" si="12"/>
        <v>0</v>
      </c>
      <c r="Q103" s="910">
        <f t="shared" si="13"/>
        <v>15</v>
      </c>
      <c r="R103" s="1344">
        <f t="shared" si="14"/>
        <v>2.2200000000000002</v>
      </c>
      <c r="S103" s="1344">
        <f>(1/9)*cnst_fish!$C$7*(1/cnst_fish!$C$8)^(R103-1)</f>
        <v>2.3404430745914331</v>
      </c>
      <c r="T103" s="1362">
        <f t="shared" si="15"/>
        <v>3.0331486939996792</v>
      </c>
      <c r="W103" s="1612"/>
      <c r="X103" s="1612"/>
      <c r="Y103" s="1613"/>
      <c r="Z103" s="1614"/>
      <c r="AA103" s="1614"/>
      <c r="AB103" s="1615"/>
      <c r="AC103" s="1615"/>
      <c r="AD103" s="583"/>
      <c r="AE103" s="583"/>
    </row>
    <row r="104" spans="1:31" ht="14">
      <c r="A104" s="1384" t="s">
        <v>1686</v>
      </c>
      <c r="B104" s="19" t="s">
        <v>4702</v>
      </c>
      <c r="C104" s="1383">
        <v>3534</v>
      </c>
      <c r="D104" s="1236">
        <v>120749</v>
      </c>
      <c r="E104" s="1236"/>
      <c r="F104" s="1344">
        <f>(1/S104)*cnst_fish!$C$6</f>
        <v>2.3938164528281742</v>
      </c>
      <c r="G104" s="1344">
        <f t="shared" si="16"/>
        <v>1</v>
      </c>
      <c r="H104" s="1344">
        <f t="shared" si="16"/>
        <v>0.367192066876738</v>
      </c>
      <c r="I104" s="1344">
        <f t="shared" si="10"/>
        <v>18521.919185122159</v>
      </c>
      <c r="J104" s="902">
        <f t="shared" si="11"/>
        <v>0</v>
      </c>
      <c r="L104" s="1460">
        <v>120769</v>
      </c>
      <c r="M104" s="1236"/>
      <c r="N104" s="1240" t="s">
        <v>1804</v>
      </c>
      <c r="O104" s="1241" t="s">
        <v>4851</v>
      </c>
      <c r="P104" s="910">
        <f t="shared" si="12"/>
        <v>120749</v>
      </c>
      <c r="Q104" s="910">
        <f t="shared" si="13"/>
        <v>120769</v>
      </c>
      <c r="R104" s="1344">
        <f t="shared" si="14"/>
        <v>2.1</v>
      </c>
      <c r="S104" s="1344">
        <f>(1/9)*cnst_fish!$C$7*(1/cnst_fish!$C$8)^(R104-1)</f>
        <v>1.7754076320174161</v>
      </c>
      <c r="T104" s="1362">
        <f t="shared" si="15"/>
        <v>18524.987023230155</v>
      </c>
      <c r="W104" s="1612"/>
      <c r="X104" s="1612"/>
      <c r="Y104" s="1613"/>
      <c r="Z104" s="1614"/>
      <c r="AA104" s="1614"/>
      <c r="AB104" s="1615"/>
      <c r="AC104" s="1615"/>
      <c r="AD104" s="583"/>
      <c r="AE104" s="583"/>
    </row>
    <row r="105" spans="1:31" ht="14">
      <c r="A105" s="1384" t="s">
        <v>4605</v>
      </c>
      <c r="B105" s="19" t="s">
        <v>2688</v>
      </c>
      <c r="C105" s="1383">
        <v>3230</v>
      </c>
      <c r="D105" s="1236"/>
      <c r="E105" s="1236"/>
      <c r="F105" s="1344">
        <f>(1/S105)*cnst_fish!$C$6</f>
        <v>9.3130266898023228E-2</v>
      </c>
      <c r="G105" s="1344">
        <f t="shared" si="16"/>
        <v>1</v>
      </c>
      <c r="H105" s="1344">
        <f t="shared" si="16"/>
        <v>0.367192066876738</v>
      </c>
      <c r="I105" s="1344">
        <f t="shared" si="10"/>
        <v>0</v>
      </c>
      <c r="J105" s="902">
        <f t="shared" si="11"/>
        <v>0</v>
      </c>
      <c r="L105" s="1460">
        <v>13115</v>
      </c>
      <c r="M105" s="1236"/>
      <c r="N105" s="1240" t="s">
        <v>1806</v>
      </c>
      <c r="O105" s="1241" t="s">
        <v>4841</v>
      </c>
      <c r="P105" s="910">
        <f t="shared" si="12"/>
        <v>0</v>
      </c>
      <c r="Q105" s="910">
        <f t="shared" si="13"/>
        <v>13115</v>
      </c>
      <c r="R105" s="1344">
        <f t="shared" si="14"/>
        <v>3.51</v>
      </c>
      <c r="S105" s="1344">
        <f>(1/9)*cnst_fish!$C$7*(1/cnst_fish!$C$8)^(R105-1)</f>
        <v>45.635002900332182</v>
      </c>
      <c r="T105" s="1362">
        <f t="shared" si="15"/>
        <v>51709.547470336271</v>
      </c>
      <c r="W105" s="1612"/>
      <c r="X105" s="1612"/>
      <c r="Y105" s="1613"/>
      <c r="Z105" s="1614"/>
      <c r="AA105" s="1614"/>
      <c r="AB105" s="1615"/>
      <c r="AC105" s="1615"/>
      <c r="AD105" s="583"/>
      <c r="AE105" s="583"/>
    </row>
    <row r="106" spans="1:31" ht="14">
      <c r="A106" s="1384" t="s">
        <v>4039</v>
      </c>
      <c r="B106" s="19" t="s">
        <v>417</v>
      </c>
      <c r="C106" s="1383">
        <v>10536</v>
      </c>
      <c r="D106" s="1236"/>
      <c r="E106" s="1236"/>
      <c r="F106" s="1344">
        <f>(1/S106)*cnst_fish!$C$6</f>
        <v>0.14760152601876345</v>
      </c>
      <c r="G106" s="1344">
        <f t="shared" si="16"/>
        <v>1</v>
      </c>
      <c r="H106" s="1344">
        <f t="shared" si="16"/>
        <v>0.367192066876738</v>
      </c>
      <c r="I106" s="1344">
        <f t="shared" si="10"/>
        <v>0</v>
      </c>
      <c r="J106" s="902">
        <f t="shared" si="11"/>
        <v>0</v>
      </c>
      <c r="L106" s="1460">
        <v>2105</v>
      </c>
      <c r="M106" s="1236"/>
      <c r="N106" s="1240" t="s">
        <v>1806</v>
      </c>
      <c r="O106" s="1241" t="s">
        <v>4841</v>
      </c>
      <c r="P106" s="910">
        <f t="shared" si="12"/>
        <v>0</v>
      </c>
      <c r="Q106" s="910">
        <f t="shared" si="13"/>
        <v>2105</v>
      </c>
      <c r="R106" s="1344">
        <f t="shared" si="14"/>
        <v>3.31</v>
      </c>
      <c r="S106" s="1344">
        <f>(1/9)*cnst_fish!$C$7*(1/cnst_fish!$C$8)^(R106-1)</f>
        <v>28.793740245339542</v>
      </c>
      <c r="T106" s="1362">
        <f t="shared" si="15"/>
        <v>5236.6619886929602</v>
      </c>
      <c r="W106" s="1612"/>
      <c r="X106" s="1612"/>
      <c r="Y106" s="1613"/>
      <c r="Z106" s="1614"/>
      <c r="AA106" s="1614"/>
      <c r="AB106" s="1615"/>
      <c r="AC106" s="1615"/>
      <c r="AD106" s="583"/>
      <c r="AE106" s="583"/>
    </row>
    <row r="107" spans="1:31" ht="14">
      <c r="A107" s="1384" t="s">
        <v>1286</v>
      </c>
      <c r="B107" s="19" t="s">
        <v>1287</v>
      </c>
      <c r="C107" s="1383">
        <v>10537</v>
      </c>
      <c r="D107" s="1236"/>
      <c r="E107" s="1236"/>
      <c r="F107" s="1344">
        <f>(1/S107)*cnst_fish!$C$6</f>
        <v>7.2125833931671435E-2</v>
      </c>
      <c r="G107" s="1344">
        <f t="shared" si="16"/>
        <v>1</v>
      </c>
      <c r="H107" s="1344">
        <f t="shared" si="16"/>
        <v>0.367192066876738</v>
      </c>
      <c r="I107" s="1344">
        <f t="shared" si="10"/>
        <v>0</v>
      </c>
      <c r="J107" s="902">
        <f t="shared" si="11"/>
        <v>0</v>
      </c>
      <c r="L107" s="1460">
        <v>1305</v>
      </c>
      <c r="M107" s="1236"/>
      <c r="N107" s="1240" t="s">
        <v>1806</v>
      </c>
      <c r="O107" s="1241" t="s">
        <v>4841</v>
      </c>
      <c r="P107" s="910">
        <f t="shared" si="12"/>
        <v>0</v>
      </c>
      <c r="Q107" s="910">
        <f t="shared" si="13"/>
        <v>1305</v>
      </c>
      <c r="R107" s="1344">
        <f t="shared" si="14"/>
        <v>3.621</v>
      </c>
      <c r="S107" s="1344">
        <f>(1/9)*cnst_fish!$C$7*(1/cnst_fish!$C$8)^(R107-1)</f>
        <v>58.924795296318472</v>
      </c>
      <c r="T107" s="1362">
        <f t="shared" si="15"/>
        <v>6643.7449822500585</v>
      </c>
      <c r="W107" s="1612"/>
      <c r="X107" s="1612"/>
      <c r="Y107" s="1613"/>
      <c r="Z107" s="1614"/>
      <c r="AA107" s="1614"/>
      <c r="AB107" s="1615"/>
      <c r="AC107" s="1615"/>
      <c r="AD107" s="583"/>
      <c r="AE107" s="583"/>
    </row>
    <row r="108" spans="1:31" ht="14">
      <c r="A108" s="1384" t="s">
        <v>4649</v>
      </c>
      <c r="B108" s="19" t="s">
        <v>2689</v>
      </c>
      <c r="C108" s="1383">
        <v>2131</v>
      </c>
      <c r="D108" s="1236"/>
      <c r="E108" s="1236"/>
      <c r="F108" s="1344">
        <f>(1/S108)*cnst_fish!$C$6</f>
        <v>0.11196720767792057</v>
      </c>
      <c r="G108" s="1344">
        <f t="shared" ref="G108:H127" si="17">G$7</f>
        <v>1</v>
      </c>
      <c r="H108" s="1344">
        <f t="shared" si="17"/>
        <v>0.367192066876738</v>
      </c>
      <c r="I108" s="1344">
        <f t="shared" si="10"/>
        <v>0</v>
      </c>
      <c r="J108" s="902">
        <f t="shared" si="11"/>
        <v>0</v>
      </c>
      <c r="L108" s="1460">
        <v>34327</v>
      </c>
      <c r="M108" s="1236"/>
      <c r="N108" s="1240" t="s">
        <v>1806</v>
      </c>
      <c r="O108" s="1241" t="s">
        <v>4841</v>
      </c>
      <c r="P108" s="910">
        <f t="shared" si="12"/>
        <v>0</v>
      </c>
      <c r="Q108" s="910">
        <f t="shared" si="13"/>
        <v>34327</v>
      </c>
      <c r="R108" s="1344">
        <f t="shared" si="14"/>
        <v>3.43</v>
      </c>
      <c r="S108" s="1344">
        <f>(1/9)*cnst_fish!$C$7*(1/cnst_fish!$C$8)^(R108-1)</f>
        <v>37.957542106661656</v>
      </c>
      <c r="T108" s="1362">
        <f t="shared" si="15"/>
        <v>112574.05039460814</v>
      </c>
      <c r="W108" s="1612"/>
      <c r="X108" s="1612"/>
      <c r="Y108" s="1613"/>
      <c r="Z108" s="1614"/>
      <c r="AA108" s="1614"/>
      <c r="AB108" s="1615"/>
      <c r="AC108" s="1615"/>
      <c r="AD108" s="583"/>
      <c r="AE108" s="583"/>
    </row>
    <row r="109" spans="1:31" ht="14">
      <c r="A109" s="1384" t="s">
        <v>54</v>
      </c>
      <c r="B109" s="19" t="s">
        <v>293</v>
      </c>
      <c r="C109" s="1383">
        <v>2682</v>
      </c>
      <c r="D109" s="1236"/>
      <c r="E109" s="1236"/>
      <c r="F109" s="1344">
        <f>(1/S109)*cnst_fish!$C$6</f>
        <v>2.3938164528281742</v>
      </c>
      <c r="G109" s="1344">
        <f t="shared" si="17"/>
        <v>1</v>
      </c>
      <c r="H109" s="1344">
        <f t="shared" si="17"/>
        <v>0.367192066876738</v>
      </c>
      <c r="I109" s="1344">
        <f t="shared" si="10"/>
        <v>0</v>
      </c>
      <c r="J109" s="902">
        <f t="shared" si="11"/>
        <v>0</v>
      </c>
      <c r="L109" s="1460"/>
      <c r="M109" s="1236"/>
      <c r="N109" s="1240" t="s">
        <v>2437</v>
      </c>
      <c r="O109" s="1241" t="s">
        <v>4851</v>
      </c>
      <c r="P109" s="910">
        <f t="shared" si="12"/>
        <v>0</v>
      </c>
      <c r="Q109" s="910">
        <f t="shared" si="13"/>
        <v>0</v>
      </c>
      <c r="R109" s="1344">
        <f t="shared" si="14"/>
        <v>2.1</v>
      </c>
      <c r="S109" s="1344">
        <f>(1/9)*cnst_fish!$C$7*(1/cnst_fish!$C$8)^(R109-1)</f>
        <v>1.7754076320174161</v>
      </c>
      <c r="T109" s="1362">
        <f t="shared" si="15"/>
        <v>0</v>
      </c>
      <c r="W109" s="1612"/>
      <c r="X109" s="1612"/>
      <c r="Y109" s="1613"/>
      <c r="Z109" s="1614"/>
      <c r="AA109" s="1614"/>
      <c r="AB109" s="1615"/>
      <c r="AC109" s="1615"/>
      <c r="AD109" s="583"/>
      <c r="AE109" s="583"/>
    </row>
    <row r="110" spans="1:31" ht="14">
      <c r="A110" s="1384" t="s">
        <v>2520</v>
      </c>
      <c r="B110" s="19" t="s">
        <v>294</v>
      </c>
      <c r="C110" s="1383">
        <v>3520</v>
      </c>
      <c r="D110" s="1236">
        <v>828</v>
      </c>
      <c r="E110" s="1236"/>
      <c r="F110" s="1344">
        <f>(1/S110)*cnst_fish!$C$6</f>
        <v>2.3938164528281742</v>
      </c>
      <c r="G110" s="1344">
        <f t="shared" si="17"/>
        <v>1</v>
      </c>
      <c r="H110" s="1344">
        <f t="shared" si="17"/>
        <v>0.367192066876738</v>
      </c>
      <c r="I110" s="1344">
        <f t="shared" si="10"/>
        <v>127.00849767104611</v>
      </c>
      <c r="J110" s="902">
        <f t="shared" si="11"/>
        <v>0</v>
      </c>
      <c r="L110" s="1460">
        <v>828</v>
      </c>
      <c r="M110" s="1236"/>
      <c r="N110" s="1240" t="s">
        <v>2437</v>
      </c>
      <c r="O110" s="1241" t="s">
        <v>4851</v>
      </c>
      <c r="P110" s="910">
        <f t="shared" si="12"/>
        <v>828</v>
      </c>
      <c r="Q110" s="910">
        <f t="shared" si="13"/>
        <v>828</v>
      </c>
      <c r="R110" s="1344">
        <f t="shared" si="14"/>
        <v>2.1</v>
      </c>
      <c r="S110" s="1344">
        <f>(1/9)*cnst_fish!$C$7*(1/cnst_fish!$C$8)^(R110-1)</f>
        <v>1.7754076320174161</v>
      </c>
      <c r="T110" s="1362">
        <f t="shared" si="15"/>
        <v>127.00849767104611</v>
      </c>
      <c r="W110" s="1612"/>
      <c r="X110" s="1612"/>
      <c r="Y110" s="1613"/>
      <c r="Z110" s="1614"/>
      <c r="AA110" s="1614"/>
      <c r="AB110" s="1615"/>
      <c r="AC110" s="1615"/>
      <c r="AD110" s="583"/>
      <c r="AE110" s="583"/>
    </row>
    <row r="111" spans="1:31" ht="14">
      <c r="A111" s="1384" t="s">
        <v>334</v>
      </c>
      <c r="B111" s="19" t="s">
        <v>1562</v>
      </c>
      <c r="C111" s="1383">
        <v>3521</v>
      </c>
      <c r="D111" s="1236"/>
      <c r="E111" s="1236"/>
      <c r="F111" s="1344">
        <f>(1/S111)*cnst_fish!$C$6</f>
        <v>2.3938164528281742</v>
      </c>
      <c r="G111" s="1344">
        <f t="shared" si="17"/>
        <v>1</v>
      </c>
      <c r="H111" s="1344">
        <f t="shared" si="17"/>
        <v>0.367192066876738</v>
      </c>
      <c r="I111" s="1344">
        <f t="shared" si="10"/>
        <v>0</v>
      </c>
      <c r="J111" s="902">
        <f t="shared" si="11"/>
        <v>0</v>
      </c>
      <c r="L111" s="1460">
        <v>22178</v>
      </c>
      <c r="M111" s="1236"/>
      <c r="N111" s="1240" t="s">
        <v>2437</v>
      </c>
      <c r="O111" s="1241" t="s">
        <v>4851</v>
      </c>
      <c r="P111" s="910">
        <f t="shared" si="12"/>
        <v>0</v>
      </c>
      <c r="Q111" s="910">
        <f t="shared" si="13"/>
        <v>22178</v>
      </c>
      <c r="R111" s="1344">
        <f t="shared" si="14"/>
        <v>2.1</v>
      </c>
      <c r="S111" s="1344">
        <f>(1/9)*cnst_fish!$C$7*(1/cnst_fish!$C$8)^(R111-1)</f>
        <v>1.7754076320174161</v>
      </c>
      <c r="T111" s="1362">
        <f t="shared" si="15"/>
        <v>3401.9256779570787</v>
      </c>
      <c r="W111" s="1612"/>
      <c r="X111" s="1612"/>
      <c r="Y111" s="1613"/>
      <c r="Z111" s="1614"/>
      <c r="AA111" s="1614"/>
      <c r="AB111" s="1615"/>
      <c r="AC111" s="1615"/>
      <c r="AD111" s="583"/>
      <c r="AE111" s="583"/>
    </row>
    <row r="112" spans="1:31" ht="14">
      <c r="A112" s="1384" t="s">
        <v>4768</v>
      </c>
      <c r="B112" s="19" t="s">
        <v>1563</v>
      </c>
      <c r="C112" s="1383">
        <v>2683</v>
      </c>
      <c r="D112" s="1236"/>
      <c r="E112" s="1236"/>
      <c r="F112" s="1344">
        <f>(1/S112)*cnst_fish!$C$6</f>
        <v>2.3938164528281742</v>
      </c>
      <c r="G112" s="1344">
        <f t="shared" si="17"/>
        <v>1</v>
      </c>
      <c r="H112" s="1344">
        <f t="shared" si="17"/>
        <v>0.367192066876738</v>
      </c>
      <c r="I112" s="1344">
        <f t="shared" si="10"/>
        <v>0</v>
      </c>
      <c r="J112" s="902">
        <f t="shared" si="11"/>
        <v>0</v>
      </c>
      <c r="L112" s="1460">
        <v>2126</v>
      </c>
      <c r="M112" s="1236"/>
      <c r="N112" s="1240" t="s">
        <v>2437</v>
      </c>
      <c r="O112" s="1241" t="s">
        <v>4851</v>
      </c>
      <c r="P112" s="910">
        <f t="shared" si="12"/>
        <v>0</v>
      </c>
      <c r="Q112" s="910">
        <f t="shared" si="13"/>
        <v>2126</v>
      </c>
      <c r="R112" s="1344">
        <f t="shared" si="14"/>
        <v>2.1</v>
      </c>
      <c r="S112" s="1344">
        <f>(1/9)*cnst_fish!$C$7*(1/cnst_fish!$C$8)^(R112-1)</f>
        <v>1.7754076320174161</v>
      </c>
      <c r="T112" s="1362">
        <f t="shared" si="15"/>
        <v>326.11119088000487</v>
      </c>
      <c r="W112" s="1612"/>
      <c r="X112" s="1612"/>
      <c r="Y112" s="1613"/>
      <c r="Z112" s="1614"/>
      <c r="AA112" s="1614"/>
      <c r="AB112" s="1615"/>
      <c r="AC112" s="1615"/>
      <c r="AD112" s="583"/>
      <c r="AE112" s="583"/>
    </row>
    <row r="113" spans="1:31" ht="14">
      <c r="A113" s="1384" t="s">
        <v>5609</v>
      </c>
      <c r="B113" s="19" t="s">
        <v>1258</v>
      </c>
      <c r="C113" s="1383">
        <v>2378</v>
      </c>
      <c r="D113" s="1236"/>
      <c r="E113" s="1236"/>
      <c r="F113" s="1344">
        <f>(1/S113)*cnst_fish!$C$6</f>
        <v>1.0211530705467781E-2</v>
      </c>
      <c r="G113" s="1344">
        <f t="shared" si="17"/>
        <v>1</v>
      </c>
      <c r="H113" s="1344">
        <f t="shared" si="17"/>
        <v>0.367192066876738</v>
      </c>
      <c r="I113" s="1344">
        <f t="shared" si="10"/>
        <v>0</v>
      </c>
      <c r="J113" s="902">
        <f t="shared" si="11"/>
        <v>0</v>
      </c>
      <c r="L113" s="1460">
        <v>6447</v>
      </c>
      <c r="M113" s="1236"/>
      <c r="N113" s="1240" t="s">
        <v>1806</v>
      </c>
      <c r="O113" s="1241" t="s">
        <v>4841</v>
      </c>
      <c r="P113" s="910">
        <f t="shared" si="12"/>
        <v>0</v>
      </c>
      <c r="Q113" s="910">
        <f t="shared" si="13"/>
        <v>6447</v>
      </c>
      <c r="R113" s="1344">
        <f t="shared" si="14"/>
        <v>4.47</v>
      </c>
      <c r="S113" s="1344">
        <f>(1/9)*cnst_fish!$C$7*(1/cnst_fish!$C$8)^(R113-1)</f>
        <v>416.19617299141356</v>
      </c>
      <c r="T113" s="1362">
        <f t="shared" si="15"/>
        <v>231824.91669801885</v>
      </c>
      <c r="W113" s="1612"/>
      <c r="X113" s="1612"/>
      <c r="Y113" s="1613"/>
      <c r="Z113" s="1614"/>
      <c r="AA113" s="1614"/>
      <c r="AB113" s="1615"/>
      <c r="AC113" s="1615"/>
      <c r="AD113" s="583"/>
      <c r="AE113" s="583"/>
    </row>
    <row r="114" spans="1:31" ht="14">
      <c r="A114" s="1384" t="s">
        <v>2243</v>
      </c>
      <c r="B114" s="19" t="s">
        <v>1919</v>
      </c>
      <c r="C114" s="1383">
        <v>3157</v>
      </c>
      <c r="D114" s="1236"/>
      <c r="E114" s="1236"/>
      <c r="F114" s="1344">
        <f>(1/S114)*cnst_fish!$C$6</f>
        <v>4.5613232168782068E-2</v>
      </c>
      <c r="G114" s="1344">
        <f t="shared" si="17"/>
        <v>1</v>
      </c>
      <c r="H114" s="1344">
        <f t="shared" si="17"/>
        <v>0.367192066876738</v>
      </c>
      <c r="I114" s="1344">
        <f t="shared" si="10"/>
        <v>0</v>
      </c>
      <c r="J114" s="902">
        <f t="shared" si="11"/>
        <v>0</v>
      </c>
      <c r="L114" s="1460">
        <v>14665</v>
      </c>
      <c r="M114" s="1236"/>
      <c r="N114" s="1240" t="s">
        <v>1806</v>
      </c>
      <c r="O114" s="1241" t="s">
        <v>4841</v>
      </c>
      <c r="P114" s="910">
        <f t="shared" si="12"/>
        <v>0</v>
      </c>
      <c r="Q114" s="910">
        <f t="shared" si="13"/>
        <v>14665</v>
      </c>
      <c r="R114" s="1344">
        <f t="shared" si="14"/>
        <v>3.82</v>
      </c>
      <c r="S114" s="1344">
        <f>(1/9)*cnst_fish!$C$7*(1/cnst_fish!$C$8)^(R114-1)</f>
        <v>93.174717026712301</v>
      </c>
      <c r="T114" s="1362">
        <f t="shared" si="15"/>
        <v>118055.03369771714</v>
      </c>
      <c r="W114" s="1612"/>
      <c r="X114" s="1612"/>
      <c r="Y114" s="1613"/>
      <c r="Z114" s="1614"/>
      <c r="AA114" s="1614"/>
      <c r="AB114" s="1615"/>
      <c r="AC114" s="1615"/>
      <c r="AD114" s="583"/>
      <c r="AE114" s="583"/>
    </row>
    <row r="115" spans="1:31" ht="14">
      <c r="A115" s="1384" t="s">
        <v>3290</v>
      </c>
      <c r="B115" s="19" t="s">
        <v>1920</v>
      </c>
      <c r="C115" s="1383">
        <v>2357</v>
      </c>
      <c r="D115" s="1236"/>
      <c r="E115" s="1236"/>
      <c r="F115" s="1344">
        <f>(1/S115)*cnst_fish!$C$6</f>
        <v>1.5455777163012491E-2</v>
      </c>
      <c r="G115" s="1344">
        <f t="shared" si="17"/>
        <v>1</v>
      </c>
      <c r="H115" s="1344">
        <f t="shared" si="17"/>
        <v>0.367192066876738</v>
      </c>
      <c r="I115" s="1344">
        <f t="shared" si="10"/>
        <v>0</v>
      </c>
      <c r="J115" s="902">
        <f t="shared" si="11"/>
        <v>0</v>
      </c>
      <c r="L115" s="1460">
        <v>6933</v>
      </c>
      <c r="M115" s="1236">
        <v>94</v>
      </c>
      <c r="N115" s="1240" t="s">
        <v>1806</v>
      </c>
      <c r="O115" s="1241" t="s">
        <v>4841</v>
      </c>
      <c r="P115" s="910">
        <f t="shared" si="12"/>
        <v>0</v>
      </c>
      <c r="Q115" s="910">
        <f t="shared" si="13"/>
        <v>7027</v>
      </c>
      <c r="R115" s="1344">
        <f t="shared" si="14"/>
        <v>4.29</v>
      </c>
      <c r="S115" s="1344">
        <f>(1/9)*cnst_fish!$C$7*(1/cnst_fish!$C$8)^(R115-1)</f>
        <v>274.97808458126286</v>
      </c>
      <c r="T115" s="1362">
        <f t="shared" si="15"/>
        <v>166944.60762010099</v>
      </c>
      <c r="W115" s="1612"/>
      <c r="X115" s="1612"/>
      <c r="Y115" s="1613"/>
      <c r="Z115" s="1614"/>
      <c r="AA115" s="1614"/>
      <c r="AB115" s="1615"/>
      <c r="AC115" s="1615"/>
      <c r="AD115" s="583"/>
      <c r="AE115" s="583"/>
    </row>
    <row r="116" spans="1:31" ht="14">
      <c r="A116" s="1384" t="s">
        <v>1288</v>
      </c>
      <c r="B116" s="19" t="s">
        <v>1921</v>
      </c>
      <c r="C116" s="1383">
        <v>3187</v>
      </c>
      <c r="D116" s="1236"/>
      <c r="E116" s="1236"/>
      <c r="F116" s="1344">
        <f>(1/S116)*cnst_fish!$C$6</f>
        <v>0.10449387811364928</v>
      </c>
      <c r="G116" s="1344">
        <f t="shared" si="17"/>
        <v>1</v>
      </c>
      <c r="H116" s="1344">
        <f t="shared" si="17"/>
        <v>0.367192066876738</v>
      </c>
      <c r="I116" s="1344">
        <f t="shared" si="10"/>
        <v>0</v>
      </c>
      <c r="J116" s="902">
        <f t="shared" si="11"/>
        <v>0</v>
      </c>
      <c r="L116" s="1460">
        <v>584</v>
      </c>
      <c r="M116" s="1236"/>
      <c r="N116" s="1240" t="s">
        <v>1806</v>
      </c>
      <c r="O116" s="1241" t="s">
        <v>4841</v>
      </c>
      <c r="P116" s="910">
        <f t="shared" si="12"/>
        <v>0</v>
      </c>
      <c r="Q116" s="910">
        <f t="shared" si="13"/>
        <v>584</v>
      </c>
      <c r="R116" s="1344">
        <f t="shared" si="14"/>
        <v>3.46</v>
      </c>
      <c r="S116" s="1344">
        <f>(1/9)*cnst_fish!$C$7*(1/cnst_fish!$C$8)^(R116-1)</f>
        <v>40.672239146657276</v>
      </c>
      <c r="T116" s="1362">
        <f t="shared" si="15"/>
        <v>2052.179236976795</v>
      </c>
      <c r="W116" s="1612"/>
      <c r="X116" s="1612"/>
      <c r="Y116" s="1613"/>
      <c r="Z116" s="1614"/>
      <c r="AA116" s="1614"/>
      <c r="AB116" s="1615"/>
      <c r="AC116" s="1615"/>
      <c r="AD116" s="583"/>
      <c r="AE116" s="583"/>
    </row>
    <row r="117" spans="1:31" ht="14">
      <c r="A117" s="1384" t="s">
        <v>3176</v>
      </c>
      <c r="B117" s="19" t="s">
        <v>1922</v>
      </c>
      <c r="C117" s="1383">
        <v>2181</v>
      </c>
      <c r="D117" s="1236">
        <v>5</v>
      </c>
      <c r="E117" s="1236"/>
      <c r="F117" s="1344">
        <f>(1/S117)*cnst_fish!$C$6</f>
        <v>6.2963787943464855E-2</v>
      </c>
      <c r="G117" s="1344">
        <f t="shared" si="17"/>
        <v>1</v>
      </c>
      <c r="H117" s="1344">
        <f t="shared" si="17"/>
        <v>0.367192066876738</v>
      </c>
      <c r="I117" s="1344">
        <f t="shared" si="10"/>
        <v>29.158987957208002</v>
      </c>
      <c r="J117" s="902">
        <f t="shared" si="11"/>
        <v>0</v>
      </c>
      <c r="L117" s="1460">
        <v>381988</v>
      </c>
      <c r="M117" s="1236">
        <v>3759</v>
      </c>
      <c r="N117" s="1240" t="s">
        <v>1806</v>
      </c>
      <c r="O117" s="1241" t="s">
        <v>4841</v>
      </c>
      <c r="P117" s="910">
        <f t="shared" si="12"/>
        <v>5</v>
      </c>
      <c r="Q117" s="910">
        <f t="shared" si="13"/>
        <v>385747</v>
      </c>
      <c r="R117" s="1344">
        <f t="shared" si="14"/>
        <v>3.68</v>
      </c>
      <c r="S117" s="1344">
        <f>(1/9)*cnst_fish!$C$7*(1/cnst_fish!$C$8)^(R117-1)</f>
        <v>67.499115583961881</v>
      </c>
      <c r="T117" s="1362">
        <f t="shared" si="15"/>
        <v>2249598.425505823</v>
      </c>
      <c r="W117" s="1612"/>
      <c r="X117" s="1612"/>
      <c r="Y117" s="1613"/>
      <c r="Z117" s="1614"/>
      <c r="AA117" s="1614"/>
      <c r="AB117" s="1615"/>
      <c r="AC117" s="1615"/>
      <c r="AD117" s="583"/>
      <c r="AE117" s="583"/>
    </row>
    <row r="118" spans="1:31" ht="14">
      <c r="A118" s="1384" t="s">
        <v>4085</v>
      </c>
      <c r="B118" s="19" t="s">
        <v>2690</v>
      </c>
      <c r="C118" s="1383">
        <v>2507</v>
      </c>
      <c r="D118" s="1236"/>
      <c r="E118" s="1236"/>
      <c r="F118" s="1344">
        <f>(1/S118)*cnst_fish!$C$6</f>
        <v>7.0646532025323075E-2</v>
      </c>
      <c r="G118" s="1344">
        <f t="shared" si="17"/>
        <v>1</v>
      </c>
      <c r="H118" s="1344">
        <f t="shared" si="17"/>
        <v>0.367192066876738</v>
      </c>
      <c r="I118" s="1344">
        <f t="shared" si="10"/>
        <v>0</v>
      </c>
      <c r="J118" s="902">
        <f t="shared" si="11"/>
        <v>0</v>
      </c>
      <c r="L118" s="1460">
        <v>262</v>
      </c>
      <c r="M118" s="1236"/>
      <c r="N118" s="1240" t="s">
        <v>1806</v>
      </c>
      <c r="O118" s="1241" t="s">
        <v>4841</v>
      </c>
      <c r="P118" s="910">
        <f t="shared" si="12"/>
        <v>0</v>
      </c>
      <c r="Q118" s="910">
        <f t="shared" si="13"/>
        <v>262</v>
      </c>
      <c r="R118" s="1344">
        <f t="shared" si="14"/>
        <v>3.63</v>
      </c>
      <c r="S118" s="1344">
        <f>(1/9)*cnst_fish!$C$7*(1/cnst_fish!$C$8)^(R118-1)</f>
        <v>60.158650087404119</v>
      </c>
      <c r="T118" s="1362">
        <f t="shared" si="15"/>
        <v>1361.7699094871516</v>
      </c>
      <c r="W118" s="1612"/>
      <c r="X118" s="1612"/>
      <c r="Y118" s="1613"/>
      <c r="Z118" s="1614"/>
      <c r="AA118" s="1614"/>
      <c r="AB118" s="1615"/>
      <c r="AC118" s="1615"/>
      <c r="AD118" s="583"/>
      <c r="AE118" s="583"/>
    </row>
    <row r="119" spans="1:31" ht="14">
      <c r="A119" s="1384" t="s">
        <v>214</v>
      </c>
      <c r="B119" s="19" t="s">
        <v>215</v>
      </c>
      <c r="C119" s="1383">
        <v>2602</v>
      </c>
      <c r="D119" s="1236"/>
      <c r="E119" s="1236"/>
      <c r="F119" s="1344">
        <f>(1/S119)*cnst_fish!$C$6</f>
        <v>0.14481532779905856</v>
      </c>
      <c r="G119" s="1344">
        <f t="shared" si="17"/>
        <v>1</v>
      </c>
      <c r="H119" s="1344">
        <f t="shared" si="17"/>
        <v>0.367192066876738</v>
      </c>
      <c r="I119" s="1344">
        <f t="shared" si="10"/>
        <v>0</v>
      </c>
      <c r="J119" s="902">
        <f t="shared" si="11"/>
        <v>0</v>
      </c>
      <c r="L119" s="1460">
        <v>63</v>
      </c>
      <c r="M119" s="1236"/>
      <c r="N119" s="1240" t="s">
        <v>2441</v>
      </c>
      <c r="O119" s="1241" t="s">
        <v>4840</v>
      </c>
      <c r="P119" s="910">
        <f t="shared" si="12"/>
        <v>0</v>
      </c>
      <c r="Q119" s="910">
        <f t="shared" si="13"/>
        <v>63</v>
      </c>
      <c r="R119" s="1344">
        <f t="shared" si="14"/>
        <v>3.3182763159269002</v>
      </c>
      <c r="S119" s="1344">
        <f>(1/9)*cnst_fish!$C$7*(1/cnst_fish!$C$8)^(R119-1)</f>
        <v>29.347722127157517</v>
      </c>
      <c r="T119" s="1362">
        <f t="shared" si="15"/>
        <v>159.74206988181041</v>
      </c>
      <c r="W119" s="1612"/>
      <c r="X119" s="1612"/>
      <c r="Y119" s="1613"/>
      <c r="Z119" s="1614"/>
      <c r="AA119" s="1614"/>
      <c r="AB119" s="1615"/>
      <c r="AC119" s="1615"/>
      <c r="AD119" s="583"/>
      <c r="AE119" s="583"/>
    </row>
    <row r="120" spans="1:31" ht="14">
      <c r="A120" s="1384" t="s">
        <v>1554</v>
      </c>
      <c r="B120" s="19" t="s">
        <v>3962</v>
      </c>
      <c r="C120" s="1383">
        <v>3420</v>
      </c>
      <c r="D120" s="1236"/>
      <c r="E120" s="1236"/>
      <c r="F120" s="1344">
        <f>(1/S120)*cnst_fish!$C$6</f>
        <v>1.5103960722494616</v>
      </c>
      <c r="G120" s="1344">
        <f t="shared" si="17"/>
        <v>1</v>
      </c>
      <c r="H120" s="1344">
        <f t="shared" si="17"/>
        <v>0.367192066876738</v>
      </c>
      <c r="I120" s="1344">
        <f t="shared" si="10"/>
        <v>0</v>
      </c>
      <c r="J120" s="902">
        <f t="shared" si="11"/>
        <v>0</v>
      </c>
      <c r="L120" s="1460">
        <v>3406</v>
      </c>
      <c r="M120" s="1236"/>
      <c r="N120" s="1240" t="s">
        <v>2441</v>
      </c>
      <c r="O120" s="1241" t="s">
        <v>4840</v>
      </c>
      <c r="P120" s="910">
        <f t="shared" si="12"/>
        <v>0</v>
      </c>
      <c r="Q120" s="910">
        <f t="shared" si="13"/>
        <v>3406</v>
      </c>
      <c r="R120" s="1344">
        <f t="shared" si="14"/>
        <v>2.2999999999999998</v>
      </c>
      <c r="S120" s="1344">
        <f>(1/9)*cnst_fish!$C$7*(1/cnst_fish!$C$8)^(R120-1)</f>
        <v>2.8138314698279068</v>
      </c>
      <c r="T120" s="1362">
        <f t="shared" si="15"/>
        <v>828.03193331901582</v>
      </c>
      <c r="W120" s="1612"/>
      <c r="X120" s="1612"/>
      <c r="Y120" s="1613"/>
      <c r="Z120" s="1614"/>
      <c r="AA120" s="1614"/>
      <c r="AB120" s="1615"/>
      <c r="AC120" s="1615"/>
      <c r="AD120" s="583"/>
      <c r="AE120" s="583"/>
    </row>
    <row r="121" spans="1:31" ht="14">
      <c r="A121" s="1384" t="s">
        <v>962</v>
      </c>
      <c r="B121" s="19" t="s">
        <v>2709</v>
      </c>
      <c r="C121" s="1383">
        <v>3422</v>
      </c>
      <c r="D121" s="1236"/>
      <c r="E121" s="1236"/>
      <c r="F121" s="1344">
        <f>(1/S121)*cnst_fish!$C$6</f>
        <v>1.5103960722494616</v>
      </c>
      <c r="G121" s="1344">
        <f t="shared" si="17"/>
        <v>1</v>
      </c>
      <c r="H121" s="1344">
        <f t="shared" si="17"/>
        <v>0.367192066876738</v>
      </c>
      <c r="I121" s="1344">
        <f t="shared" si="10"/>
        <v>0</v>
      </c>
      <c r="J121" s="902">
        <f t="shared" si="11"/>
        <v>0</v>
      </c>
      <c r="L121" s="1460">
        <v>1851</v>
      </c>
      <c r="M121" s="1236"/>
      <c r="N121" s="1240" t="s">
        <v>2441</v>
      </c>
      <c r="O121" s="1241" t="s">
        <v>4840</v>
      </c>
      <c r="P121" s="910">
        <f t="shared" si="12"/>
        <v>0</v>
      </c>
      <c r="Q121" s="910">
        <f t="shared" si="13"/>
        <v>1851</v>
      </c>
      <c r="R121" s="1344">
        <f t="shared" si="14"/>
        <v>2.2999999999999998</v>
      </c>
      <c r="S121" s="1344">
        <f>(1/9)*cnst_fish!$C$7*(1/cnst_fish!$C$8)^(R121-1)</f>
        <v>2.8138314698279068</v>
      </c>
      <c r="T121" s="1362">
        <f t="shared" si="15"/>
        <v>449.99621508323497</v>
      </c>
      <c r="W121" s="1612"/>
      <c r="X121" s="1612"/>
      <c r="Y121" s="1613"/>
      <c r="Z121" s="1614"/>
      <c r="AA121" s="1614"/>
      <c r="AB121" s="1615"/>
      <c r="AC121" s="1615"/>
      <c r="AD121" s="583"/>
      <c r="AE121" s="583"/>
    </row>
    <row r="122" spans="1:31" ht="14">
      <c r="A122" s="1384" t="s">
        <v>6423</v>
      </c>
      <c r="B122" s="19" t="s">
        <v>6422</v>
      </c>
      <c r="C122" s="1383">
        <v>19329</v>
      </c>
      <c r="D122" s="1236"/>
      <c r="E122" s="1236"/>
      <c r="F122" s="1344">
        <f>(1/S122)*cnst_fish!$C$6</f>
        <v>3.0136363636363641</v>
      </c>
      <c r="G122" s="1344">
        <f t="shared" si="17"/>
        <v>1</v>
      </c>
      <c r="H122" s="1344">
        <f t="shared" si="17"/>
        <v>0.367192066876738</v>
      </c>
      <c r="I122" s="1344">
        <f t="shared" si="10"/>
        <v>0</v>
      </c>
      <c r="J122" s="902">
        <f t="shared" si="11"/>
        <v>0</v>
      </c>
      <c r="L122" s="1460">
        <v>2362</v>
      </c>
      <c r="M122" s="1236"/>
      <c r="N122" s="1240" t="s">
        <v>2441</v>
      </c>
      <c r="O122" s="1241" t="s">
        <v>4840</v>
      </c>
      <c r="P122" s="910">
        <f t="shared" si="12"/>
        <v>0</v>
      </c>
      <c r="Q122" s="910">
        <f t="shared" si="13"/>
        <v>2362</v>
      </c>
      <c r="R122" s="1344">
        <f t="shared" si="14"/>
        <v>2</v>
      </c>
      <c r="S122" s="1344">
        <f>(1/9)*cnst_fish!$C$7*(1/cnst_fish!$C$8)^(R122-1)</f>
        <v>1.4102564102564099</v>
      </c>
      <c r="T122" s="1362">
        <f t="shared" si="15"/>
        <v>287.79439763473317</v>
      </c>
      <c r="W122" s="1612"/>
      <c r="X122" s="1612"/>
      <c r="Y122" s="1613"/>
      <c r="Z122" s="1614"/>
      <c r="AA122" s="1614"/>
      <c r="AB122" s="1615"/>
      <c r="AC122" s="1615"/>
      <c r="AD122" s="583"/>
      <c r="AE122" s="583"/>
    </row>
    <row r="123" spans="1:31" ht="14">
      <c r="A123" s="1384" t="s">
        <v>2244</v>
      </c>
      <c r="B123" s="19" t="s">
        <v>2892</v>
      </c>
      <c r="C123" s="1383">
        <v>2603</v>
      </c>
      <c r="D123" s="1236"/>
      <c r="E123" s="1236"/>
      <c r="F123" s="1344">
        <f>(1/S123)*cnst_fish!$C$6</f>
        <v>1.5103960722494616</v>
      </c>
      <c r="G123" s="1344">
        <f t="shared" si="17"/>
        <v>1</v>
      </c>
      <c r="H123" s="1344">
        <f t="shared" si="17"/>
        <v>0.367192066876738</v>
      </c>
      <c r="I123" s="1344">
        <f t="shared" si="10"/>
        <v>0</v>
      </c>
      <c r="J123" s="902">
        <f t="shared" si="11"/>
        <v>0</v>
      </c>
      <c r="L123" s="1460">
        <v>2275</v>
      </c>
      <c r="M123" s="1236"/>
      <c r="N123" s="1240" t="s">
        <v>2441</v>
      </c>
      <c r="O123" s="1241" t="s">
        <v>4840</v>
      </c>
      <c r="P123" s="910">
        <f t="shared" si="12"/>
        <v>0</v>
      </c>
      <c r="Q123" s="910">
        <f t="shared" si="13"/>
        <v>2275</v>
      </c>
      <c r="R123" s="1344">
        <f t="shared" si="14"/>
        <v>2.2999999999999998</v>
      </c>
      <c r="S123" s="1344">
        <f>(1/9)*cnst_fish!$C$7*(1/cnst_fish!$C$8)^(R123-1)</f>
        <v>2.8138314698279068</v>
      </c>
      <c r="T123" s="1362">
        <f t="shared" si="15"/>
        <v>553.07476462148009</v>
      </c>
      <c r="W123" s="1612"/>
      <c r="X123" s="1612"/>
      <c r="Y123" s="1613"/>
      <c r="Z123" s="1614"/>
      <c r="AA123" s="1614"/>
      <c r="AB123" s="1615"/>
      <c r="AC123" s="1615"/>
      <c r="AD123" s="583"/>
      <c r="AE123" s="583"/>
    </row>
    <row r="124" spans="1:31" ht="14">
      <c r="A124" s="1384" t="s">
        <v>6425</v>
      </c>
      <c r="B124" s="19" t="s">
        <v>6424</v>
      </c>
      <c r="C124" s="1383">
        <v>19184</v>
      </c>
      <c r="D124" s="1236"/>
      <c r="E124" s="1236"/>
      <c r="F124" s="1344">
        <f>(1/S124)*cnst_fish!$C$6</f>
        <v>3.0136363636363641</v>
      </c>
      <c r="G124" s="1344">
        <f t="shared" si="17"/>
        <v>1</v>
      </c>
      <c r="H124" s="1344">
        <f t="shared" si="17"/>
        <v>0.367192066876738</v>
      </c>
      <c r="I124" s="1344">
        <f t="shared" si="10"/>
        <v>0</v>
      </c>
      <c r="J124" s="902">
        <f t="shared" si="11"/>
        <v>0</v>
      </c>
      <c r="L124" s="1460"/>
      <c r="M124" s="1236">
        <v>50</v>
      </c>
      <c r="N124" s="1240" t="s">
        <v>1806</v>
      </c>
      <c r="O124" s="1241" t="s">
        <v>4841</v>
      </c>
      <c r="P124" s="910">
        <f t="shared" si="12"/>
        <v>0</v>
      </c>
      <c r="Q124" s="910">
        <f t="shared" si="13"/>
        <v>50</v>
      </c>
      <c r="R124" s="1344">
        <f t="shared" si="14"/>
        <v>2</v>
      </c>
      <c r="S124" s="1344">
        <f>(1/9)*cnst_fish!$C$7*(1/cnst_fish!$C$8)^(R124-1)</f>
        <v>1.4102564102564099</v>
      </c>
      <c r="T124" s="1362">
        <f t="shared" si="15"/>
        <v>6.092176071861414</v>
      </c>
      <c r="W124" s="1612"/>
      <c r="X124" s="1612"/>
      <c r="Y124" s="1613"/>
      <c r="Z124" s="1614"/>
      <c r="AA124" s="1614"/>
      <c r="AB124" s="1615"/>
      <c r="AC124" s="1615"/>
      <c r="AD124" s="583"/>
      <c r="AE124" s="583"/>
    </row>
    <row r="125" spans="1:31" ht="14">
      <c r="A125" s="1384" t="s">
        <v>4098</v>
      </c>
      <c r="B125" s="19" t="s">
        <v>5031</v>
      </c>
      <c r="C125" s="1383">
        <v>10566</v>
      </c>
      <c r="D125" s="1236"/>
      <c r="E125" s="1236"/>
      <c r="F125" s="1344">
        <f>(1/S125)*cnst_fish!$C$6</f>
        <v>0.23938164528281752</v>
      </c>
      <c r="G125" s="1344">
        <f t="shared" si="17"/>
        <v>1</v>
      </c>
      <c r="H125" s="1344">
        <f t="shared" si="17"/>
        <v>0.367192066876738</v>
      </c>
      <c r="I125" s="1344">
        <f t="shared" si="10"/>
        <v>0</v>
      </c>
      <c r="J125" s="902">
        <f t="shared" si="11"/>
        <v>0</v>
      </c>
      <c r="L125" s="1460">
        <v>1182</v>
      </c>
      <c r="M125" s="1236"/>
      <c r="N125" s="1240" t="s">
        <v>1806</v>
      </c>
      <c r="O125" s="1241" t="s">
        <v>4841</v>
      </c>
      <c r="P125" s="910">
        <f t="shared" si="12"/>
        <v>0</v>
      </c>
      <c r="Q125" s="910">
        <f t="shared" si="13"/>
        <v>1182</v>
      </c>
      <c r="R125" s="1344">
        <f t="shared" si="14"/>
        <v>3.1</v>
      </c>
      <c r="S125" s="1344">
        <f>(1/9)*cnst_fish!$C$7*(1/cnst_fish!$C$8)^(R125-1)</f>
        <v>17.754076320174157</v>
      </c>
      <c r="T125" s="1362">
        <f t="shared" si="15"/>
        <v>1813.0923218258026</v>
      </c>
      <c r="W125" s="1612"/>
      <c r="X125" s="1612"/>
      <c r="Y125" s="1613"/>
      <c r="Z125" s="1614"/>
      <c r="AA125" s="1614"/>
      <c r="AB125" s="1615"/>
      <c r="AC125" s="1615"/>
      <c r="AD125" s="583"/>
      <c r="AE125" s="583"/>
    </row>
    <row r="126" spans="1:31" ht="14">
      <c r="A126" s="1384" t="s">
        <v>1765</v>
      </c>
      <c r="B126" s="19" t="s">
        <v>5032</v>
      </c>
      <c r="C126" s="1383">
        <v>2330</v>
      </c>
      <c r="D126" s="1236"/>
      <c r="E126" s="1236"/>
      <c r="F126" s="1344">
        <f>(1/S126)*cnst_fish!$C$6</f>
        <v>1.4760152601876367E-2</v>
      </c>
      <c r="G126" s="1344">
        <f t="shared" si="17"/>
        <v>1</v>
      </c>
      <c r="H126" s="1344">
        <f t="shared" si="17"/>
        <v>0.367192066876738</v>
      </c>
      <c r="I126" s="1344">
        <f t="shared" si="10"/>
        <v>0</v>
      </c>
      <c r="J126" s="902">
        <f t="shared" si="11"/>
        <v>0</v>
      </c>
      <c r="L126" s="1460">
        <v>425</v>
      </c>
      <c r="M126" s="1236"/>
      <c r="N126" s="1240" t="s">
        <v>1806</v>
      </c>
      <c r="O126" s="1241" t="s">
        <v>4841</v>
      </c>
      <c r="P126" s="910">
        <f t="shared" si="12"/>
        <v>0</v>
      </c>
      <c r="Q126" s="910">
        <f t="shared" si="13"/>
        <v>425</v>
      </c>
      <c r="R126" s="1344">
        <f t="shared" si="14"/>
        <v>4.3099999999999996</v>
      </c>
      <c r="S126" s="1344">
        <f>(1/9)*cnst_fish!$C$7*(1/cnst_fish!$C$8)^(R126-1)</f>
        <v>287.93740245339495</v>
      </c>
      <c r="T126" s="1362">
        <f t="shared" si="15"/>
        <v>10572.832993798122</v>
      </c>
      <c r="W126" s="1612"/>
      <c r="X126" s="1612"/>
      <c r="Y126" s="1613"/>
      <c r="Z126" s="1614"/>
      <c r="AA126" s="1614"/>
      <c r="AB126" s="1615"/>
      <c r="AC126" s="1615"/>
      <c r="AD126" s="583"/>
      <c r="AE126" s="583"/>
    </row>
    <row r="127" spans="1:31" ht="14">
      <c r="A127" s="1384" t="s">
        <v>3087</v>
      </c>
      <c r="B127" s="19" t="s">
        <v>5033</v>
      </c>
      <c r="C127" s="1383">
        <v>3131</v>
      </c>
      <c r="D127" s="1236"/>
      <c r="E127" s="1236"/>
      <c r="F127" s="1344">
        <f>(1/S127)*cnst_fish!$C$6</f>
        <v>2.5650205424007942E-2</v>
      </c>
      <c r="G127" s="1344">
        <f t="shared" si="17"/>
        <v>1</v>
      </c>
      <c r="H127" s="1344">
        <f t="shared" si="17"/>
        <v>0.367192066876738</v>
      </c>
      <c r="I127" s="1344">
        <f t="shared" si="10"/>
        <v>0</v>
      </c>
      <c r="J127" s="902">
        <f t="shared" si="11"/>
        <v>0</v>
      </c>
      <c r="L127" s="1460">
        <v>4548</v>
      </c>
      <c r="M127" s="1236"/>
      <c r="N127" s="1240" t="s">
        <v>3933</v>
      </c>
      <c r="O127" s="1241" t="s">
        <v>4841</v>
      </c>
      <c r="P127" s="910">
        <f t="shared" si="12"/>
        <v>0</v>
      </c>
      <c r="Q127" s="910">
        <f t="shared" si="13"/>
        <v>4548</v>
      </c>
      <c r="R127" s="1344">
        <f t="shared" si="14"/>
        <v>4.07</v>
      </c>
      <c r="S127" s="1344">
        <f>(1/9)*cnst_fish!$C$7*(1/cnst_fish!$C$8)^(R127-1)</f>
        <v>165.6906808248057</v>
      </c>
      <c r="T127" s="1362">
        <f t="shared" si="15"/>
        <v>65106.282485844597</v>
      </c>
      <c r="W127" s="1612"/>
      <c r="X127" s="1612"/>
      <c r="Y127" s="1613"/>
      <c r="Z127" s="1614"/>
      <c r="AA127" s="1614"/>
      <c r="AB127" s="1615"/>
      <c r="AC127" s="1615"/>
      <c r="AD127" s="583"/>
      <c r="AE127" s="583"/>
    </row>
    <row r="128" spans="1:31" ht="14">
      <c r="A128" s="1384" t="s">
        <v>3670</v>
      </c>
      <c r="B128" s="19" t="s">
        <v>5424</v>
      </c>
      <c r="C128" s="1383">
        <v>2601</v>
      </c>
      <c r="D128" s="1236"/>
      <c r="E128" s="1236"/>
      <c r="F128" s="1344">
        <f>(1/S128)*cnst_fish!$C$6</f>
        <v>0.60129950673834842</v>
      </c>
      <c r="G128" s="1344">
        <f t="shared" ref="G128:H147" si="18">G$7</f>
        <v>1</v>
      </c>
      <c r="H128" s="1344">
        <f t="shared" si="18"/>
        <v>0.367192066876738</v>
      </c>
      <c r="I128" s="1344">
        <f t="shared" si="10"/>
        <v>0</v>
      </c>
      <c r="J128" s="902">
        <f t="shared" si="11"/>
        <v>0</v>
      </c>
      <c r="L128" s="1460">
        <v>3131</v>
      </c>
      <c r="M128" s="1236"/>
      <c r="N128" s="1240" t="s">
        <v>2441</v>
      </c>
      <c r="O128" s="1241" t="s">
        <v>4840</v>
      </c>
      <c r="P128" s="910">
        <f t="shared" si="12"/>
        <v>0</v>
      </c>
      <c r="Q128" s="910">
        <f t="shared" si="13"/>
        <v>3131</v>
      </c>
      <c r="R128" s="1344">
        <f t="shared" si="14"/>
        <v>2.7</v>
      </c>
      <c r="S128" s="1344">
        <f>(1/9)*cnst_fish!$C$7*(1/cnst_fish!$C$8)^(R128-1)</f>
        <v>7.0680250896153813</v>
      </c>
      <c r="T128" s="1362">
        <f t="shared" si="15"/>
        <v>1911.9895301882257</v>
      </c>
      <c r="W128" s="1612"/>
      <c r="X128" s="1612"/>
      <c r="Y128" s="1613"/>
      <c r="Z128" s="1614"/>
      <c r="AA128" s="1614"/>
      <c r="AB128" s="1615"/>
      <c r="AC128" s="1615"/>
      <c r="AD128" s="583"/>
      <c r="AE128" s="583"/>
    </row>
    <row r="129" spans="1:31" ht="14">
      <c r="A129" s="1384" t="s">
        <v>5056</v>
      </c>
      <c r="B129" s="19" t="s">
        <v>2418</v>
      </c>
      <c r="C129" s="1383">
        <v>2576</v>
      </c>
      <c r="D129" s="1236">
        <v>216</v>
      </c>
      <c r="E129" s="1236">
        <v>0</v>
      </c>
      <c r="F129" s="1344">
        <f>(1/S129)*cnst_fish!$C$6</f>
        <v>0.75699122913220485</v>
      </c>
      <c r="G129" s="1344">
        <f t="shared" si="18"/>
        <v>1</v>
      </c>
      <c r="H129" s="1344">
        <f t="shared" si="18"/>
        <v>0.367192066876738</v>
      </c>
      <c r="I129" s="1344">
        <f t="shared" si="10"/>
        <v>104.77464387044263</v>
      </c>
      <c r="J129" s="902">
        <f t="shared" si="11"/>
        <v>0</v>
      </c>
      <c r="L129" s="1460">
        <v>216</v>
      </c>
      <c r="M129" s="1236">
        <v>0</v>
      </c>
      <c r="N129" s="1240" t="s">
        <v>2441</v>
      </c>
      <c r="O129" s="1241" t="s">
        <v>4840</v>
      </c>
      <c r="P129" s="910">
        <f t="shared" si="12"/>
        <v>216</v>
      </c>
      <c r="Q129" s="910">
        <f t="shared" si="13"/>
        <v>216</v>
      </c>
      <c r="R129" s="1344">
        <f t="shared" si="14"/>
        <v>2.6</v>
      </c>
      <c r="S129" s="1344">
        <f>(1/9)*cnst_fish!$C$7*(1/cnst_fish!$C$8)^(R129-1)</f>
        <v>5.6143318924211183</v>
      </c>
      <c r="T129" s="1362">
        <f t="shared" si="15"/>
        <v>104.77464387044263</v>
      </c>
      <c r="W129" s="1612"/>
      <c r="X129" s="1612"/>
      <c r="Y129" s="1613"/>
      <c r="Z129" s="1614"/>
      <c r="AA129" s="1614"/>
      <c r="AB129" s="1615"/>
      <c r="AC129" s="1615"/>
      <c r="AD129" s="583"/>
      <c r="AE129" s="583"/>
    </row>
    <row r="130" spans="1:31" ht="14">
      <c r="A130" s="1384" t="s">
        <v>1075</v>
      </c>
      <c r="B130" s="19" t="s">
        <v>5487</v>
      </c>
      <c r="C130" s="1383">
        <v>3623</v>
      </c>
      <c r="D130" s="1236"/>
      <c r="E130" s="1236"/>
      <c r="F130" s="1344">
        <f>(1/S130)*cnst_fish!$C$6</f>
        <v>0.30136363636363639</v>
      </c>
      <c r="G130" s="1344">
        <f t="shared" si="18"/>
        <v>1</v>
      </c>
      <c r="H130" s="1344">
        <f t="shared" si="18"/>
        <v>0.367192066876738</v>
      </c>
      <c r="I130" s="1344">
        <f t="shared" si="10"/>
        <v>0</v>
      </c>
      <c r="J130" s="902">
        <f t="shared" si="11"/>
        <v>0</v>
      </c>
      <c r="L130" s="1460">
        <v>1607</v>
      </c>
      <c r="M130" s="1236"/>
      <c r="N130" s="1240" t="s">
        <v>1806</v>
      </c>
      <c r="O130" s="1241"/>
      <c r="P130" s="910">
        <f t="shared" si="12"/>
        <v>0</v>
      </c>
      <c r="Q130" s="910">
        <f t="shared" si="13"/>
        <v>1607</v>
      </c>
      <c r="R130" s="1344">
        <f t="shared" si="14"/>
        <v>3</v>
      </c>
      <c r="S130" s="1344">
        <f>(1/9)*cnst_fish!$C$7*(1/cnst_fish!$C$8)^(R130-1)</f>
        <v>14.1025641025641</v>
      </c>
      <c r="T130" s="1362">
        <f t="shared" si="15"/>
        <v>1958.0253894962584</v>
      </c>
      <c r="W130" s="1612"/>
      <c r="X130" s="1612"/>
      <c r="Y130" s="1613"/>
      <c r="Z130" s="1614"/>
      <c r="AA130" s="1614"/>
      <c r="AB130" s="1615"/>
      <c r="AC130" s="1615"/>
      <c r="AD130" s="583"/>
      <c r="AE130" s="583"/>
    </row>
    <row r="131" spans="1:31" ht="14">
      <c r="A131" s="1384" t="s">
        <v>1685</v>
      </c>
      <c r="B131" s="19" t="s">
        <v>3867</v>
      </c>
      <c r="C131" s="1383">
        <v>3632</v>
      </c>
      <c r="D131" s="1236">
        <v>7993</v>
      </c>
      <c r="E131" s="1236"/>
      <c r="F131" s="1344">
        <f>(1/S131)*cnst_fish!$C$6</f>
        <v>30.136363636363644</v>
      </c>
      <c r="G131" s="1344">
        <f t="shared" si="18"/>
        <v>1</v>
      </c>
      <c r="H131" s="1344">
        <f t="shared" si="18"/>
        <v>0.367192066876738</v>
      </c>
      <c r="I131" s="1344">
        <f t="shared" si="10"/>
        <v>97.389526684776555</v>
      </c>
      <c r="J131" s="902">
        <f t="shared" si="11"/>
        <v>0</v>
      </c>
      <c r="L131" s="1460">
        <v>51371</v>
      </c>
      <c r="M131" s="1236"/>
      <c r="N131" s="1240" t="s">
        <v>1808</v>
      </c>
      <c r="O131" s="1241" t="s">
        <v>4831</v>
      </c>
      <c r="P131" s="910">
        <f t="shared" si="12"/>
        <v>7993</v>
      </c>
      <c r="Q131" s="910">
        <f t="shared" si="13"/>
        <v>51371</v>
      </c>
      <c r="R131" s="1344">
        <f t="shared" si="14"/>
        <v>1</v>
      </c>
      <c r="S131" s="1344">
        <f>(1/9)*cnst_fish!$C$7*(1/cnst_fish!$C$8)^(R131-1)</f>
        <v>0.141025641025641</v>
      </c>
      <c r="T131" s="1362">
        <f t="shared" si="15"/>
        <v>625.92235397518527</v>
      </c>
      <c r="W131" s="1612"/>
      <c r="X131" s="1612"/>
      <c r="Y131" s="1613"/>
      <c r="Z131" s="1614"/>
      <c r="AA131" s="1614"/>
      <c r="AB131" s="1615"/>
      <c r="AC131" s="1615"/>
      <c r="AD131" s="583"/>
      <c r="AE131" s="583"/>
    </row>
    <row r="132" spans="1:31" ht="14">
      <c r="A132" s="1384" t="s">
        <v>201</v>
      </c>
      <c r="B132" s="19" t="s">
        <v>2691</v>
      </c>
      <c r="C132" s="1383">
        <v>2533</v>
      </c>
      <c r="D132" s="1236"/>
      <c r="E132" s="1236"/>
      <c r="F132" s="1344">
        <f>(1/S132)*cnst_fish!$C$6</f>
        <v>4.2568745094767511E-2</v>
      </c>
      <c r="G132" s="1344">
        <f t="shared" si="18"/>
        <v>1</v>
      </c>
      <c r="H132" s="1344">
        <f t="shared" si="18"/>
        <v>0.367192066876738</v>
      </c>
      <c r="I132" s="1344">
        <f t="shared" si="10"/>
        <v>0</v>
      </c>
      <c r="J132" s="902">
        <f t="shared" si="11"/>
        <v>0</v>
      </c>
      <c r="L132" s="1460">
        <v>5059</v>
      </c>
      <c r="M132" s="1236"/>
      <c r="N132" s="1240" t="s">
        <v>1806</v>
      </c>
      <c r="O132" s="1241" t="s">
        <v>4841</v>
      </c>
      <c r="P132" s="910">
        <f t="shared" si="12"/>
        <v>0</v>
      </c>
      <c r="Q132" s="910">
        <f t="shared" si="13"/>
        <v>5059</v>
      </c>
      <c r="R132" s="1344">
        <f t="shared" si="14"/>
        <v>3.85</v>
      </c>
      <c r="S132" s="1344">
        <f>(1/9)*cnst_fish!$C$7*(1/cnst_fish!$C$8)^(R132-1)</f>
        <v>99.838508054173388</v>
      </c>
      <c r="T132" s="1362">
        <f t="shared" si="15"/>
        <v>43638.229461402516</v>
      </c>
      <c r="W132" s="1612"/>
      <c r="X132" s="1612"/>
      <c r="Y132" s="1613"/>
      <c r="Z132" s="1614"/>
      <c r="AA132" s="1614"/>
      <c r="AB132" s="1615"/>
      <c r="AC132" s="1615"/>
      <c r="AD132" s="583"/>
      <c r="AE132" s="583"/>
    </row>
    <row r="133" spans="1:31" ht="14">
      <c r="A133" s="1384" t="s">
        <v>3063</v>
      </c>
      <c r="B133" s="19" t="s">
        <v>3768</v>
      </c>
      <c r="C133" s="1383">
        <v>2171</v>
      </c>
      <c r="D133" s="1236"/>
      <c r="E133" s="1236"/>
      <c r="F133" s="1344">
        <f>(1/S133)*cnst_fish!$C$6</f>
        <v>1.0211530705467781E-2</v>
      </c>
      <c r="G133" s="1344">
        <f t="shared" si="18"/>
        <v>1</v>
      </c>
      <c r="H133" s="1344">
        <f t="shared" si="18"/>
        <v>0.367192066876738</v>
      </c>
      <c r="I133" s="1344">
        <f t="shared" si="10"/>
        <v>0</v>
      </c>
      <c r="J133" s="902">
        <f t="shared" si="11"/>
        <v>0</v>
      </c>
      <c r="L133" s="1460">
        <v>4</v>
      </c>
      <c r="M133" s="1236">
        <v>1850</v>
      </c>
      <c r="N133" s="1240" t="s">
        <v>1806</v>
      </c>
      <c r="O133" s="1241" t="s">
        <v>4845</v>
      </c>
      <c r="P133" s="910">
        <f t="shared" si="12"/>
        <v>0</v>
      </c>
      <c r="Q133" s="910">
        <f t="shared" si="13"/>
        <v>1854</v>
      </c>
      <c r="R133" s="1344">
        <f t="shared" si="14"/>
        <v>4.47</v>
      </c>
      <c r="S133" s="1344">
        <f>(1/9)*cnst_fish!$C$7*(1/cnst_fish!$C$8)^(R133-1)</f>
        <v>416.19617299141356</v>
      </c>
      <c r="T133" s="1362">
        <f t="shared" si="15"/>
        <v>66667.193354758318</v>
      </c>
      <c r="W133" s="1612"/>
      <c r="X133" s="1612"/>
      <c r="Y133" s="1613"/>
      <c r="Z133" s="1614"/>
      <c r="AA133" s="1614"/>
      <c r="AB133" s="1615"/>
      <c r="AC133" s="1615"/>
      <c r="AD133" s="583"/>
      <c r="AE133" s="583"/>
    </row>
    <row r="134" spans="1:31" ht="14">
      <c r="A134" s="1384" t="s">
        <v>5406</v>
      </c>
      <c r="B134" s="19" t="s">
        <v>5461</v>
      </c>
      <c r="C134" s="1383">
        <v>3441</v>
      </c>
      <c r="D134" s="1236"/>
      <c r="E134" s="1236">
        <v>9068</v>
      </c>
      <c r="F134" s="1344">
        <f>(1/S134)*cnst_fish!$C$6</f>
        <v>1.9014759972289452</v>
      </c>
      <c r="G134" s="1344">
        <f t="shared" si="18"/>
        <v>1</v>
      </c>
      <c r="H134" s="1344">
        <f t="shared" si="18"/>
        <v>0.367192066876738</v>
      </c>
      <c r="I134" s="1344">
        <f t="shared" si="10"/>
        <v>0</v>
      </c>
      <c r="J134" s="902">
        <f t="shared" si="11"/>
        <v>1751.1121188438285</v>
      </c>
      <c r="L134" s="1460"/>
      <c r="M134" s="1236">
        <v>10416</v>
      </c>
      <c r="N134" s="1240" t="s">
        <v>1805</v>
      </c>
      <c r="O134" s="1241" t="s">
        <v>4840</v>
      </c>
      <c r="P134" s="910">
        <f t="shared" si="12"/>
        <v>9068</v>
      </c>
      <c r="Q134" s="910">
        <f t="shared" si="13"/>
        <v>10416</v>
      </c>
      <c r="R134" s="1344">
        <f t="shared" si="14"/>
        <v>2.2000000000000002</v>
      </c>
      <c r="S134" s="1344">
        <f>(1/9)*cnst_fish!$C$7*(1/cnst_fish!$C$8)^(R134-1)</f>
        <v>2.2351057842400328</v>
      </c>
      <c r="T134" s="1362">
        <f t="shared" si="15"/>
        <v>2011.4230072648124</v>
      </c>
      <c r="W134" s="1612"/>
      <c r="X134" s="1612"/>
      <c r="Y134" s="1613"/>
      <c r="Z134" s="1614"/>
      <c r="AA134" s="1614"/>
      <c r="AB134" s="1615"/>
      <c r="AC134" s="1615"/>
      <c r="AD134" s="583"/>
      <c r="AE134" s="583"/>
    </row>
    <row r="135" spans="1:31" ht="14">
      <c r="A135" s="1384" t="s">
        <v>1066</v>
      </c>
      <c r="B135" s="19" t="s">
        <v>5462</v>
      </c>
      <c r="C135" s="1383">
        <v>2621</v>
      </c>
      <c r="D135" s="1236"/>
      <c r="E135" s="1236"/>
      <c r="F135" s="1344">
        <f>(1/S135)*cnst_fish!$C$6</f>
        <v>1.9014759972289452</v>
      </c>
      <c r="G135" s="1344">
        <f t="shared" si="18"/>
        <v>1</v>
      </c>
      <c r="H135" s="1344">
        <f t="shared" si="18"/>
        <v>0.367192066876738</v>
      </c>
      <c r="I135" s="1344">
        <f t="shared" ref="I135:I198" si="19">IF($F135=0,0,D135/$F135*$H135*$G135)</f>
        <v>0</v>
      </c>
      <c r="J135" s="902">
        <f t="shared" ref="J135:J198" si="20">IF($F135=0,0,E135/$F135*$H135*$G135)</f>
        <v>0</v>
      </c>
      <c r="L135" s="1460"/>
      <c r="M135" s="1236">
        <v>24</v>
      </c>
      <c r="N135" s="1240" t="s">
        <v>1805</v>
      </c>
      <c r="O135" s="1241" t="s">
        <v>4840</v>
      </c>
      <c r="P135" s="910">
        <f t="shared" ref="P135:P198" si="21">D135+E135</f>
        <v>0</v>
      </c>
      <c r="Q135" s="910">
        <f t="shared" ref="Q135:Q198" si="22">L135+M135</f>
        <v>24</v>
      </c>
      <c r="R135" s="1344">
        <f t="shared" ref="R135:R198" si="23">VLOOKUP(B135,constant_fish_trophic,3,FALSE)</f>
        <v>2.2000000000000002</v>
      </c>
      <c r="S135" s="1344">
        <f>(1/9)*cnst_fish!$C$7*(1/cnst_fish!$C$8)^(R135-1)</f>
        <v>2.2351057842400328</v>
      </c>
      <c r="T135" s="1362">
        <f t="shared" ref="T135:T198" si="24">IF(F135=0,0,Q135/F135*H135*G135)</f>
        <v>4.634615224112471</v>
      </c>
      <c r="W135" s="1612"/>
      <c r="X135" s="1612"/>
      <c r="Y135" s="1613"/>
      <c r="Z135" s="1614"/>
      <c r="AA135" s="1614"/>
      <c r="AB135" s="1615"/>
      <c r="AC135" s="1615"/>
      <c r="AD135" s="583"/>
      <c r="AE135" s="583"/>
    </row>
    <row r="136" spans="1:31" ht="14">
      <c r="A136" s="1384" t="s">
        <v>438</v>
      </c>
      <c r="B136" s="19" t="s">
        <v>6562</v>
      </c>
      <c r="C136" s="1383">
        <v>3455</v>
      </c>
      <c r="D136" s="1236"/>
      <c r="E136" s="1236"/>
      <c r="F136" s="1344">
        <f>(1/S136)*cnst_fish!$C$6</f>
        <v>3.0136363636363641</v>
      </c>
      <c r="G136" s="1344">
        <f t="shared" si="18"/>
        <v>1</v>
      </c>
      <c r="H136" s="1344">
        <f t="shared" si="18"/>
        <v>0.367192066876738</v>
      </c>
      <c r="I136" s="1344">
        <f t="shared" si="19"/>
        <v>0</v>
      </c>
      <c r="J136" s="902">
        <f t="shared" si="20"/>
        <v>0</v>
      </c>
      <c r="L136" s="1460"/>
      <c r="M136" s="1236">
        <v>3550</v>
      </c>
      <c r="N136" s="1240" t="s">
        <v>1805</v>
      </c>
      <c r="O136" s="1241" t="s">
        <v>4840</v>
      </c>
      <c r="P136" s="910">
        <f t="shared" si="21"/>
        <v>0</v>
      </c>
      <c r="Q136" s="910">
        <f t="shared" si="22"/>
        <v>3550</v>
      </c>
      <c r="R136" s="1344">
        <f t="shared" si="23"/>
        <v>2</v>
      </c>
      <c r="S136" s="1344">
        <f>(1/9)*cnst_fish!$C$7*(1/cnst_fish!$C$8)^(R136-1)</f>
        <v>1.4102564102564099</v>
      </c>
      <c r="T136" s="1362">
        <f t="shared" si="24"/>
        <v>432.54450110216038</v>
      </c>
      <c r="W136" s="1612"/>
      <c r="X136" s="1612"/>
      <c r="Y136" s="1613"/>
      <c r="Z136" s="1614"/>
      <c r="AA136" s="1614"/>
      <c r="AB136" s="1615"/>
      <c r="AC136" s="1615"/>
      <c r="AD136" s="583"/>
      <c r="AE136" s="583"/>
    </row>
    <row r="137" spans="1:31" ht="14">
      <c r="A137" s="1384" t="s">
        <v>5715</v>
      </c>
      <c r="B137" s="19" t="s">
        <v>5493</v>
      </c>
      <c r="C137" s="1383">
        <v>3618</v>
      </c>
      <c r="D137" s="1236"/>
      <c r="E137" s="1236"/>
      <c r="F137" s="1344">
        <f>(1/S137)*cnst_fish!$C$6</f>
        <v>1.5103960722494616</v>
      </c>
      <c r="G137" s="1344">
        <f t="shared" si="18"/>
        <v>1</v>
      </c>
      <c r="H137" s="1344">
        <f t="shared" si="18"/>
        <v>0.367192066876738</v>
      </c>
      <c r="I137" s="1344">
        <f t="shared" si="19"/>
        <v>0</v>
      </c>
      <c r="J137" s="902">
        <f t="shared" si="20"/>
        <v>0</v>
      </c>
      <c r="L137" s="1460">
        <v>0</v>
      </c>
      <c r="M137" s="1236"/>
      <c r="N137" s="1240" t="s">
        <v>1806</v>
      </c>
      <c r="O137" s="1241"/>
      <c r="P137" s="910">
        <f t="shared" si="21"/>
        <v>0</v>
      </c>
      <c r="Q137" s="910">
        <f t="shared" si="22"/>
        <v>0</v>
      </c>
      <c r="R137" s="1344">
        <f t="shared" si="23"/>
        <v>2.2999999999999998</v>
      </c>
      <c r="S137" s="1344">
        <f>(1/9)*cnst_fish!$C$7*(1/cnst_fish!$C$8)^(R137-1)</f>
        <v>2.8138314698279068</v>
      </c>
      <c r="T137" s="1362">
        <f t="shared" si="24"/>
        <v>0</v>
      </c>
      <c r="W137" s="1612"/>
      <c r="X137" s="1612"/>
      <c r="Y137" s="1613"/>
      <c r="Z137" s="1614"/>
      <c r="AA137" s="1614"/>
      <c r="AB137" s="1615"/>
      <c r="AC137" s="1615"/>
      <c r="AD137" s="583"/>
      <c r="AE137" s="583"/>
    </row>
    <row r="138" spans="1:31" ht="14">
      <c r="A138" s="1384" t="s">
        <v>4875</v>
      </c>
      <c r="B138" s="19" t="s">
        <v>5494</v>
      </c>
      <c r="C138" s="1383">
        <v>3617</v>
      </c>
      <c r="D138" s="1236">
        <v>0</v>
      </c>
      <c r="E138" s="1236"/>
      <c r="F138" s="1344">
        <f>(1/S138)*cnst_fish!$C$6</f>
        <v>1.5103960722494616</v>
      </c>
      <c r="G138" s="1344">
        <f t="shared" si="18"/>
        <v>1</v>
      </c>
      <c r="H138" s="1344">
        <f t="shared" si="18"/>
        <v>0.367192066876738</v>
      </c>
      <c r="I138" s="1344">
        <f t="shared" si="19"/>
        <v>0</v>
      </c>
      <c r="J138" s="902">
        <f t="shared" si="20"/>
        <v>0</v>
      </c>
      <c r="L138" s="1460">
        <v>1440</v>
      </c>
      <c r="M138" s="1236"/>
      <c r="N138" s="1240" t="s">
        <v>1806</v>
      </c>
      <c r="O138" s="1241"/>
      <c r="P138" s="910">
        <f t="shared" si="21"/>
        <v>0</v>
      </c>
      <c r="Q138" s="910">
        <f t="shared" si="22"/>
        <v>1440</v>
      </c>
      <c r="R138" s="1344">
        <f t="shared" si="23"/>
        <v>2.2999999999999998</v>
      </c>
      <c r="S138" s="1344">
        <f>(1/9)*cnst_fish!$C$7*(1/cnst_fish!$C$8)^(R138-1)</f>
        <v>2.8138314698279068</v>
      </c>
      <c r="T138" s="1362">
        <f t="shared" si="24"/>
        <v>350.07809277139836</v>
      </c>
      <c r="W138" s="1612"/>
      <c r="X138" s="1612"/>
      <c r="Y138" s="1613"/>
      <c r="Z138" s="1614"/>
      <c r="AA138" s="1614"/>
      <c r="AB138" s="1615"/>
      <c r="AC138" s="1615"/>
      <c r="AD138" s="583"/>
      <c r="AE138" s="583"/>
    </row>
    <row r="139" spans="1:31" ht="14">
      <c r="A139" s="1384" t="s">
        <v>6761</v>
      </c>
      <c r="B139" s="19" t="s">
        <v>6760</v>
      </c>
      <c r="C139" s="1383">
        <v>10623</v>
      </c>
      <c r="D139" s="1236"/>
      <c r="E139" s="1236"/>
      <c r="F139" s="1344">
        <f>(1/S139)*cnst_fish!$C$6</f>
        <v>0.47762917572805397</v>
      </c>
      <c r="G139" s="1344">
        <f t="shared" si="18"/>
        <v>1</v>
      </c>
      <c r="H139" s="1344">
        <f t="shared" si="18"/>
        <v>0.367192066876738</v>
      </c>
      <c r="I139" s="1344">
        <f t="shared" si="19"/>
        <v>0</v>
      </c>
      <c r="J139" s="902">
        <f t="shared" si="20"/>
        <v>0</v>
      </c>
      <c r="L139" s="1460"/>
      <c r="M139" s="1236">
        <v>1862</v>
      </c>
      <c r="N139" s="1240" t="s">
        <v>1806</v>
      </c>
      <c r="O139" s="1241" t="s">
        <v>4845</v>
      </c>
      <c r="P139" s="910">
        <f t="shared" si="21"/>
        <v>0</v>
      </c>
      <c r="Q139" s="910">
        <f t="shared" si="22"/>
        <v>1862</v>
      </c>
      <c r="R139" s="1344">
        <f t="shared" si="23"/>
        <v>2.8</v>
      </c>
      <c r="S139" s="1344">
        <f>(1/9)*cnst_fish!$C$7*(1/cnst_fish!$C$8)^(R139-1)</f>
        <v>8.8981163965155421</v>
      </c>
      <c r="T139" s="1362">
        <f t="shared" si="24"/>
        <v>1431.4695652381349</v>
      </c>
      <c r="W139" s="1612"/>
      <c r="X139" s="1612"/>
      <c r="Y139" s="1613"/>
      <c r="Z139" s="1614"/>
      <c r="AA139" s="1614"/>
      <c r="AB139" s="1615"/>
      <c r="AC139" s="1615"/>
      <c r="AD139" s="583"/>
      <c r="AE139" s="583"/>
    </row>
    <row r="140" spans="1:31" ht="14">
      <c r="A140" s="1384" t="s">
        <v>496</v>
      </c>
      <c r="B140" s="19" t="s">
        <v>51</v>
      </c>
      <c r="C140" s="1383">
        <v>2421</v>
      </c>
      <c r="D140" s="1236"/>
      <c r="E140" s="1236"/>
      <c r="F140" s="1344">
        <f>(1/S140)*cnst_fish!$C$6</f>
        <v>0.44574948243432794</v>
      </c>
      <c r="G140" s="1344">
        <f t="shared" si="18"/>
        <v>1</v>
      </c>
      <c r="H140" s="1344">
        <f t="shared" si="18"/>
        <v>0.367192066876738</v>
      </c>
      <c r="I140" s="1344">
        <f t="shared" si="19"/>
        <v>0</v>
      </c>
      <c r="J140" s="902">
        <f t="shared" si="20"/>
        <v>0</v>
      </c>
      <c r="L140" s="1460"/>
      <c r="M140" s="1236">
        <v>385</v>
      </c>
      <c r="N140" s="1240" t="s">
        <v>1806</v>
      </c>
      <c r="O140" s="1241" t="s">
        <v>4845</v>
      </c>
      <c r="P140" s="910">
        <f t="shared" si="21"/>
        <v>0</v>
      </c>
      <c r="Q140" s="910">
        <f t="shared" si="22"/>
        <v>385</v>
      </c>
      <c r="R140" s="1344">
        <f t="shared" si="23"/>
        <v>2.83</v>
      </c>
      <c r="S140" s="1344">
        <f>(1/9)*cnst_fish!$C$7*(1/cnst_fish!$C$8)^(R140-1)</f>
        <v>9.534503499117692</v>
      </c>
      <c r="T140" s="1362">
        <f t="shared" si="24"/>
        <v>317.14887244624441</v>
      </c>
      <c r="W140" s="1612"/>
      <c r="X140" s="1612"/>
      <c r="Y140" s="1613"/>
      <c r="Z140" s="1614"/>
      <c r="AA140" s="1614"/>
      <c r="AB140" s="1615"/>
      <c r="AC140" s="1615"/>
      <c r="AD140" s="583"/>
      <c r="AE140" s="583"/>
    </row>
    <row r="141" spans="1:31" ht="14">
      <c r="A141" s="1384" t="s">
        <v>6440</v>
      </c>
      <c r="B141" s="19" t="s">
        <v>6439</v>
      </c>
      <c r="C141" s="1383">
        <v>10625</v>
      </c>
      <c r="D141" s="1236"/>
      <c r="E141" s="1236"/>
      <c r="F141" s="1344">
        <f>(1/S141)*cnst_fish!$C$6</f>
        <v>3.0136363636363641</v>
      </c>
      <c r="G141" s="1344">
        <f t="shared" si="18"/>
        <v>1</v>
      </c>
      <c r="H141" s="1344">
        <f t="shared" si="18"/>
        <v>0.367192066876738</v>
      </c>
      <c r="I141" s="1344">
        <f t="shared" si="19"/>
        <v>0</v>
      </c>
      <c r="J141" s="902">
        <f t="shared" si="20"/>
        <v>0</v>
      </c>
      <c r="L141" s="1460"/>
      <c r="M141" s="1236">
        <v>1052</v>
      </c>
      <c r="N141" s="1240" t="s">
        <v>1806</v>
      </c>
      <c r="O141" s="1241" t="s">
        <v>4845</v>
      </c>
      <c r="P141" s="910">
        <f t="shared" si="21"/>
        <v>0</v>
      </c>
      <c r="Q141" s="910">
        <f t="shared" si="22"/>
        <v>1052</v>
      </c>
      <c r="R141" s="1344">
        <f t="shared" si="23"/>
        <v>2</v>
      </c>
      <c r="S141" s="1344">
        <f>(1/9)*cnst_fish!$C$7*(1/cnst_fish!$C$8)^(R141-1)</f>
        <v>1.4102564102564099</v>
      </c>
      <c r="T141" s="1362">
        <f t="shared" si="24"/>
        <v>128.17938455196415</v>
      </c>
      <c r="W141" s="1612"/>
      <c r="X141" s="1612"/>
      <c r="Y141" s="1613"/>
      <c r="Z141" s="1614"/>
      <c r="AA141" s="1614"/>
      <c r="AB141" s="1615"/>
      <c r="AC141" s="1615"/>
      <c r="AD141" s="583"/>
      <c r="AE141" s="583"/>
    </row>
    <row r="142" spans="1:31" ht="14">
      <c r="A142" s="1384" t="s">
        <v>4608</v>
      </c>
      <c r="B142" s="19" t="s">
        <v>1705</v>
      </c>
      <c r="C142" s="1383">
        <v>3357</v>
      </c>
      <c r="D142" s="1236"/>
      <c r="E142" s="1236"/>
      <c r="F142" s="1344">
        <f>(1/S142)*cnst_fish!$C$6</f>
        <v>1.0692785320993655E-2</v>
      </c>
      <c r="G142" s="1344">
        <f t="shared" si="18"/>
        <v>1</v>
      </c>
      <c r="H142" s="1344">
        <f t="shared" si="18"/>
        <v>0.367192066876738</v>
      </c>
      <c r="I142" s="1344">
        <f t="shared" si="19"/>
        <v>0</v>
      </c>
      <c r="J142" s="902">
        <f t="shared" si="20"/>
        <v>0</v>
      </c>
      <c r="L142" s="1460">
        <v>394</v>
      </c>
      <c r="M142" s="1236"/>
      <c r="N142" s="1240" t="s">
        <v>1807</v>
      </c>
      <c r="O142" s="1241" t="s">
        <v>4841</v>
      </c>
      <c r="P142" s="910">
        <f t="shared" si="21"/>
        <v>0</v>
      </c>
      <c r="Q142" s="910">
        <f t="shared" si="22"/>
        <v>394</v>
      </c>
      <c r="R142" s="1344">
        <f t="shared" si="23"/>
        <v>4.45</v>
      </c>
      <c r="S142" s="1344">
        <f>(1/9)*cnst_fish!$C$7*(1/cnst_fish!$C$8)^(R142-1)</f>
        <v>397.46425953729499</v>
      </c>
      <c r="T142" s="1362">
        <f t="shared" si="24"/>
        <v>13530.027023491255</v>
      </c>
      <c r="W142" s="1612"/>
      <c r="X142" s="1612"/>
      <c r="Y142" s="1613"/>
      <c r="Z142" s="1614"/>
      <c r="AA142" s="1614"/>
      <c r="AB142" s="1615"/>
      <c r="AC142" s="1615"/>
      <c r="AD142" s="583"/>
      <c r="AE142" s="583"/>
    </row>
    <row r="143" spans="1:31" ht="14">
      <c r="A143" s="1384" t="s">
        <v>4650</v>
      </c>
      <c r="B143" s="19" t="s">
        <v>1706</v>
      </c>
      <c r="C143" s="1383">
        <v>3356</v>
      </c>
      <c r="D143" s="1236">
        <v>34956</v>
      </c>
      <c r="E143" s="1236"/>
      <c r="F143" s="1344">
        <f>(1/S143)*cnst_fish!$C$6</f>
        <v>1.6561163607618418E-2</v>
      </c>
      <c r="G143" s="1344">
        <f t="shared" si="18"/>
        <v>1</v>
      </c>
      <c r="H143" s="1344">
        <f t="shared" si="18"/>
        <v>0.367192066876738</v>
      </c>
      <c r="I143" s="1344">
        <f t="shared" si="19"/>
        <v>775040.09946732689</v>
      </c>
      <c r="J143" s="902">
        <f t="shared" si="20"/>
        <v>0</v>
      </c>
      <c r="L143" s="1460">
        <v>34959</v>
      </c>
      <c r="M143" s="1236"/>
      <c r="N143" s="1240" t="s">
        <v>1807</v>
      </c>
      <c r="O143" s="1241" t="s">
        <v>4841</v>
      </c>
      <c r="P143" s="910">
        <f t="shared" si="21"/>
        <v>34956</v>
      </c>
      <c r="Q143" s="910">
        <f t="shared" si="22"/>
        <v>34959</v>
      </c>
      <c r="R143" s="1344">
        <f t="shared" si="23"/>
        <v>4.26</v>
      </c>
      <c r="S143" s="1344">
        <f>(1/9)*cnst_fish!$C$7*(1/cnst_fish!$C$8)^(R143-1)</f>
        <v>256.62448006038221</v>
      </c>
      <c r="T143" s="1362">
        <f t="shared" si="24"/>
        <v>775106.61509549955</v>
      </c>
      <c r="W143" s="1612"/>
      <c r="X143" s="1612"/>
      <c r="Y143" s="1613"/>
      <c r="Z143" s="1614"/>
      <c r="AA143" s="1614"/>
      <c r="AB143" s="1615"/>
      <c r="AC143" s="1615"/>
      <c r="AD143" s="583"/>
      <c r="AE143" s="583"/>
    </row>
    <row r="144" spans="1:31" ht="14">
      <c r="A144" s="1384" t="s">
        <v>895</v>
      </c>
      <c r="B144" s="19" t="s">
        <v>5154</v>
      </c>
      <c r="C144" s="1383">
        <v>2263</v>
      </c>
      <c r="D144" s="1236"/>
      <c r="E144" s="1236"/>
      <c r="F144" s="1344">
        <f>(1/S144)*cnst_fish!$C$6</f>
        <v>1.4424170509541332</v>
      </c>
      <c r="G144" s="1344">
        <f t="shared" si="18"/>
        <v>1</v>
      </c>
      <c r="H144" s="1344">
        <f t="shared" si="18"/>
        <v>0.367192066876738</v>
      </c>
      <c r="I144" s="1344">
        <f t="shared" si="19"/>
        <v>0</v>
      </c>
      <c r="J144" s="902">
        <f t="shared" si="20"/>
        <v>0</v>
      </c>
      <c r="L144" s="1460">
        <v>4060</v>
      </c>
      <c r="M144" s="1236">
        <v>136</v>
      </c>
      <c r="N144" s="1240" t="s">
        <v>1806</v>
      </c>
      <c r="O144" s="1241" t="s">
        <v>4859</v>
      </c>
      <c r="P144" s="910">
        <f t="shared" si="21"/>
        <v>0</v>
      </c>
      <c r="Q144" s="910">
        <f t="shared" si="22"/>
        <v>4196</v>
      </c>
      <c r="R144" s="1344">
        <f t="shared" si="23"/>
        <v>2.3199999999999998</v>
      </c>
      <c r="S144" s="1344">
        <f>(1/9)*cnst_fish!$C$7*(1/cnst_fish!$C$8)^(R144-1)</f>
        <v>2.946443261460824</v>
      </c>
      <c r="T144" s="1362">
        <f t="shared" si="24"/>
        <v>1068.1639624237816</v>
      </c>
      <c r="W144" s="1612"/>
      <c r="X144" s="1612"/>
      <c r="Y144" s="1613"/>
      <c r="Z144" s="1614"/>
      <c r="AA144" s="1614"/>
      <c r="AB144" s="1615"/>
      <c r="AC144" s="1615"/>
      <c r="AD144" s="583"/>
      <c r="AE144" s="583"/>
    </row>
    <row r="145" spans="1:31" ht="14">
      <c r="A145" s="1384" t="s">
        <v>6714</v>
      </c>
      <c r="B145" s="19" t="s">
        <v>6713</v>
      </c>
      <c r="C145" s="1383">
        <v>10634</v>
      </c>
      <c r="D145" s="1236"/>
      <c r="E145" s="1236"/>
      <c r="F145" s="1344">
        <f>(1/S145)*cnst_fish!$C$6</f>
        <v>3.0136363636363641</v>
      </c>
      <c r="G145" s="1344">
        <f t="shared" si="18"/>
        <v>1</v>
      </c>
      <c r="H145" s="1344">
        <f t="shared" si="18"/>
        <v>0.367192066876738</v>
      </c>
      <c r="I145" s="1344">
        <f t="shared" si="19"/>
        <v>0</v>
      </c>
      <c r="J145" s="902">
        <f t="shared" si="20"/>
        <v>0</v>
      </c>
      <c r="L145" s="1460">
        <v>9</v>
      </c>
      <c r="M145" s="1236"/>
      <c r="N145" s="1240" t="s">
        <v>1806</v>
      </c>
      <c r="O145" s="1241" t="s">
        <v>4859</v>
      </c>
      <c r="P145" s="910">
        <f t="shared" si="21"/>
        <v>0</v>
      </c>
      <c r="Q145" s="910">
        <f t="shared" si="22"/>
        <v>9</v>
      </c>
      <c r="R145" s="1344">
        <f t="shared" si="23"/>
        <v>2</v>
      </c>
      <c r="S145" s="1344">
        <f>(1/9)*cnst_fish!$C$7*(1/cnst_fish!$C$8)^(R145-1)</f>
        <v>1.4102564102564099</v>
      </c>
      <c r="T145" s="1362">
        <f t="shared" si="24"/>
        <v>1.0965916929350545</v>
      </c>
      <c r="W145" s="1612"/>
      <c r="X145" s="1612"/>
      <c r="Y145" s="1613"/>
      <c r="Z145" s="1614"/>
      <c r="AA145" s="1614"/>
      <c r="AB145" s="1615"/>
      <c r="AC145" s="1615"/>
      <c r="AD145" s="583"/>
      <c r="AE145" s="583"/>
    </row>
    <row r="146" spans="1:31" ht="14">
      <c r="A146" s="1384" t="s">
        <v>1465</v>
      </c>
      <c r="B146" s="19" t="s">
        <v>5155</v>
      </c>
      <c r="C146" s="1383">
        <v>3058</v>
      </c>
      <c r="D146" s="1236">
        <v>7</v>
      </c>
      <c r="E146" s="1236"/>
      <c r="F146" s="1344">
        <f>(1/S146)*cnst_fish!$C$6</f>
        <v>0.22340394999204924</v>
      </c>
      <c r="G146" s="1344">
        <f t="shared" si="18"/>
        <v>1</v>
      </c>
      <c r="H146" s="1344">
        <f t="shared" si="18"/>
        <v>0.367192066876738</v>
      </c>
      <c r="I146" s="1344">
        <f t="shared" si="19"/>
        <v>11.505367153215699</v>
      </c>
      <c r="J146" s="902">
        <f t="shared" si="20"/>
        <v>0</v>
      </c>
      <c r="L146" s="1460">
        <v>11016</v>
      </c>
      <c r="M146" s="1236">
        <v>6547</v>
      </c>
      <c r="N146" s="1240" t="s">
        <v>1806</v>
      </c>
      <c r="O146" s="1241" t="s">
        <v>4859</v>
      </c>
      <c r="P146" s="910">
        <f t="shared" si="21"/>
        <v>7</v>
      </c>
      <c r="Q146" s="910">
        <f t="shared" si="22"/>
        <v>17563</v>
      </c>
      <c r="R146" s="1344">
        <f t="shared" si="23"/>
        <v>3.13</v>
      </c>
      <c r="S146" s="1344">
        <f>(1/9)*cnst_fish!$C$7*(1/cnst_fish!$C$8)^(R146-1)</f>
        <v>19.023835523728447</v>
      </c>
      <c r="T146" s="1362">
        <f t="shared" si="24"/>
        <v>28866.966187418191</v>
      </c>
      <c r="W146" s="1612"/>
      <c r="X146" s="1612"/>
      <c r="Y146" s="1613"/>
      <c r="Z146" s="1614"/>
      <c r="AA146" s="1614"/>
      <c r="AB146" s="1615"/>
      <c r="AC146" s="1615"/>
      <c r="AD146" s="583"/>
      <c r="AE146" s="583"/>
    </row>
    <row r="147" spans="1:31" ht="14">
      <c r="A147" s="1384" t="s">
        <v>5538</v>
      </c>
      <c r="B147" s="19" t="s">
        <v>5034</v>
      </c>
      <c r="C147" s="1383">
        <v>3158</v>
      </c>
      <c r="D147" s="1236"/>
      <c r="E147" s="1236"/>
      <c r="F147" s="1344">
        <f>(1/S147)*cnst_fish!$C$6</f>
        <v>3.8823156944206696E-2</v>
      </c>
      <c r="G147" s="1344">
        <f t="shared" si="18"/>
        <v>1</v>
      </c>
      <c r="H147" s="1344">
        <f t="shared" si="18"/>
        <v>0.367192066876738</v>
      </c>
      <c r="I147" s="1344">
        <f t="shared" si="19"/>
        <v>0</v>
      </c>
      <c r="J147" s="902">
        <f t="shared" si="20"/>
        <v>0</v>
      </c>
      <c r="L147" s="1460">
        <v>270</v>
      </c>
      <c r="M147" s="1236"/>
      <c r="N147" s="1240" t="s">
        <v>1806</v>
      </c>
      <c r="O147" s="1241" t="s">
        <v>4841</v>
      </c>
      <c r="P147" s="910">
        <f t="shared" si="21"/>
        <v>0</v>
      </c>
      <c r="Q147" s="910">
        <f t="shared" si="22"/>
        <v>270</v>
      </c>
      <c r="R147" s="1344">
        <f t="shared" si="23"/>
        <v>3.89</v>
      </c>
      <c r="S147" s="1344">
        <f>(1/9)*cnst_fish!$C$7*(1/cnst_fish!$C$8)^(R147-1)</f>
        <v>109.47074721686684</v>
      </c>
      <c r="T147" s="1362">
        <f t="shared" si="24"/>
        <v>2553.6784192794371</v>
      </c>
      <c r="W147" s="1612"/>
      <c r="X147" s="1612"/>
      <c r="Y147" s="1613"/>
      <c r="Z147" s="1614"/>
      <c r="AA147" s="1614"/>
      <c r="AB147" s="1615"/>
      <c r="AC147" s="1615"/>
      <c r="AD147" s="583"/>
      <c r="AE147" s="583"/>
    </row>
    <row r="148" spans="1:31" ht="14">
      <c r="A148" s="1384" t="s">
        <v>1036</v>
      </c>
      <c r="B148" s="19" t="s">
        <v>5035</v>
      </c>
      <c r="C148" s="1383">
        <v>2358</v>
      </c>
      <c r="D148" s="1236">
        <v>121</v>
      </c>
      <c r="E148" s="1236"/>
      <c r="F148" s="1344">
        <f>(1/S148)*cnst_fish!$C$6</f>
        <v>0.18581931192461937</v>
      </c>
      <c r="G148" s="1344">
        <f t="shared" ref="G148:H167" si="25">G$7</f>
        <v>1</v>
      </c>
      <c r="H148" s="1344">
        <f t="shared" si="25"/>
        <v>0.367192066876738</v>
      </c>
      <c r="I148" s="1344">
        <f t="shared" si="19"/>
        <v>239.10453457124601</v>
      </c>
      <c r="J148" s="902">
        <f t="shared" si="20"/>
        <v>0</v>
      </c>
      <c r="L148" s="1460">
        <v>121</v>
      </c>
      <c r="M148" s="1236"/>
      <c r="N148" s="1240" t="s">
        <v>1806</v>
      </c>
      <c r="O148" s="1241" t="s">
        <v>4841</v>
      </c>
      <c r="P148" s="910">
        <f t="shared" si="21"/>
        <v>121</v>
      </c>
      <c r="Q148" s="910">
        <f t="shared" si="22"/>
        <v>121</v>
      </c>
      <c r="R148" s="1344">
        <f t="shared" si="23"/>
        <v>3.21</v>
      </c>
      <c r="S148" s="1344">
        <f>(1/9)*cnst_fish!$C$7*(1/cnst_fish!$C$8)^(R148-1)</f>
        <v>22.87168086019004</v>
      </c>
      <c r="T148" s="1362">
        <f t="shared" si="24"/>
        <v>239.10453457124601</v>
      </c>
      <c r="W148" s="1612"/>
      <c r="X148" s="1612"/>
      <c r="Y148" s="1613"/>
      <c r="Z148" s="1614"/>
      <c r="AA148" s="1614"/>
      <c r="AB148" s="1615"/>
      <c r="AC148" s="1615"/>
      <c r="AD148" s="583"/>
      <c r="AE148" s="583"/>
    </row>
    <row r="149" spans="1:31" ht="14">
      <c r="A149" s="1384" t="s">
        <v>6435</v>
      </c>
      <c r="B149" s="19" t="s">
        <v>421</v>
      </c>
      <c r="C149" s="1383">
        <v>19094</v>
      </c>
      <c r="D149" s="1236"/>
      <c r="E149" s="1236"/>
      <c r="F149" s="1344">
        <f>(1/S149)*cnst_fish!$C$6</f>
        <v>1.6561163607618418E-2</v>
      </c>
      <c r="G149" s="1344">
        <f t="shared" si="25"/>
        <v>1</v>
      </c>
      <c r="H149" s="1344">
        <f t="shared" si="25"/>
        <v>0.367192066876738</v>
      </c>
      <c r="I149" s="1344">
        <f t="shared" si="19"/>
        <v>0</v>
      </c>
      <c r="J149" s="902">
        <f t="shared" si="20"/>
        <v>0</v>
      </c>
      <c r="L149" s="1460"/>
      <c r="M149" s="1236">
        <v>437</v>
      </c>
      <c r="N149" s="1240" t="s">
        <v>1806</v>
      </c>
      <c r="O149" s="1241" t="s">
        <v>4845</v>
      </c>
      <c r="P149" s="910">
        <f t="shared" si="21"/>
        <v>0</v>
      </c>
      <c r="Q149" s="910">
        <f t="shared" si="22"/>
        <v>437</v>
      </c>
      <c r="R149" s="1344">
        <f t="shared" si="23"/>
        <v>4.26</v>
      </c>
      <c r="S149" s="1344">
        <f>(1/9)*cnst_fish!$C$7*(1/cnst_fish!$C$8)^(R149-1)</f>
        <v>256.62448006038221</v>
      </c>
      <c r="T149" s="1362">
        <f t="shared" si="24"/>
        <v>9689.1098371444641</v>
      </c>
      <c r="W149" s="1612"/>
      <c r="X149" s="1612"/>
      <c r="Y149" s="1613"/>
      <c r="Z149" s="1614"/>
      <c r="AA149" s="1614"/>
      <c r="AB149" s="1615"/>
      <c r="AC149" s="1615"/>
      <c r="AD149" s="583"/>
      <c r="AE149" s="583"/>
    </row>
    <row r="150" spans="1:31" ht="14">
      <c r="A150" s="1384" t="s">
        <v>3522</v>
      </c>
      <c r="B150" s="19" t="s">
        <v>4986</v>
      </c>
      <c r="C150" s="1383">
        <v>19068</v>
      </c>
      <c r="D150" s="1236"/>
      <c r="E150" s="1236"/>
      <c r="F150" s="1344">
        <f>(1/S150)*cnst_fish!$C$6</f>
        <v>1.7745606522761578E-2</v>
      </c>
      <c r="G150" s="1344">
        <f t="shared" si="25"/>
        <v>1</v>
      </c>
      <c r="H150" s="1344">
        <f t="shared" si="25"/>
        <v>0.367192066876738</v>
      </c>
      <c r="I150" s="1344">
        <f t="shared" si="19"/>
        <v>0</v>
      </c>
      <c r="J150" s="902">
        <f t="shared" si="20"/>
        <v>0</v>
      </c>
      <c r="L150" s="1460"/>
      <c r="M150" s="1236">
        <v>30</v>
      </c>
      <c r="N150" s="1240" t="s">
        <v>1806</v>
      </c>
      <c r="O150" s="1241" t="s">
        <v>4845</v>
      </c>
      <c r="P150" s="910">
        <f t="shared" si="21"/>
        <v>0</v>
      </c>
      <c r="Q150" s="910">
        <f t="shared" si="22"/>
        <v>30</v>
      </c>
      <c r="R150" s="1344">
        <f t="shared" si="23"/>
        <v>4.2300000000000004</v>
      </c>
      <c r="S150" s="1344">
        <f>(1/9)*cnst_fish!$C$7*(1/cnst_fish!$C$8)^(R150-1)</f>
        <v>239.49589970614389</v>
      </c>
      <c r="T150" s="1362">
        <f t="shared" si="24"/>
        <v>620.75996062307945</v>
      </c>
      <c r="W150" s="1612"/>
      <c r="X150" s="1612"/>
      <c r="Y150" s="1613"/>
      <c r="Z150" s="1614"/>
      <c r="AA150" s="1614"/>
      <c r="AB150" s="1615"/>
      <c r="AC150" s="1615"/>
      <c r="AD150" s="583"/>
      <c r="AE150" s="583"/>
    </row>
    <row r="151" spans="1:31" ht="14">
      <c r="A151" s="1384" t="s">
        <v>4525</v>
      </c>
      <c r="B151" s="19" t="s">
        <v>5036</v>
      </c>
      <c r="C151" s="1383">
        <v>3168</v>
      </c>
      <c r="D151" s="1236"/>
      <c r="E151" s="1236"/>
      <c r="F151" s="1344">
        <f>(1/S151)*cnst_fish!$C$6</f>
        <v>6.9038420626592392E-2</v>
      </c>
      <c r="G151" s="1344">
        <f t="shared" si="25"/>
        <v>1</v>
      </c>
      <c r="H151" s="1344">
        <f t="shared" si="25"/>
        <v>0.367192066876738</v>
      </c>
      <c r="I151" s="1344">
        <f t="shared" si="19"/>
        <v>0</v>
      </c>
      <c r="J151" s="902">
        <f t="shared" si="20"/>
        <v>0</v>
      </c>
      <c r="L151" s="1460">
        <v>412</v>
      </c>
      <c r="M151" s="1236"/>
      <c r="N151" s="1240" t="s">
        <v>1806</v>
      </c>
      <c r="O151" s="1241" t="s">
        <v>4841</v>
      </c>
      <c r="P151" s="910">
        <f t="shared" si="21"/>
        <v>0</v>
      </c>
      <c r="Q151" s="910">
        <f t="shared" si="22"/>
        <v>412</v>
      </c>
      <c r="R151" s="1344">
        <f t="shared" si="23"/>
        <v>3.64</v>
      </c>
      <c r="S151" s="1344">
        <f>(1/9)*cnst_fish!$C$7*(1/cnst_fish!$C$8)^(R151-1)</f>
        <v>61.559925059510611</v>
      </c>
      <c r="T151" s="1362">
        <f t="shared" si="24"/>
        <v>2191.2889979256629</v>
      </c>
      <c r="W151" s="1612"/>
      <c r="X151" s="1612"/>
      <c r="Y151" s="1613"/>
      <c r="Z151" s="1614"/>
      <c r="AA151" s="1614"/>
      <c r="AB151" s="1615"/>
      <c r="AC151" s="1615"/>
      <c r="AD151" s="583"/>
      <c r="AE151" s="583"/>
    </row>
    <row r="152" spans="1:31" ht="14">
      <c r="A152" s="1384" t="s">
        <v>2944</v>
      </c>
      <c r="B152" s="19" t="s">
        <v>5531</v>
      </c>
      <c r="C152" s="1383">
        <v>10648</v>
      </c>
      <c r="D152" s="1236"/>
      <c r="E152" s="1236"/>
      <c r="F152" s="1344">
        <f>(1/S152)*cnst_fish!$C$6</f>
        <v>1.0692785320993655E-2</v>
      </c>
      <c r="G152" s="1344">
        <f t="shared" si="25"/>
        <v>1</v>
      </c>
      <c r="H152" s="1344">
        <f t="shared" si="25"/>
        <v>0.367192066876738</v>
      </c>
      <c r="I152" s="1344">
        <f t="shared" si="19"/>
        <v>0</v>
      </c>
      <c r="J152" s="902">
        <f t="shared" si="20"/>
        <v>0</v>
      </c>
      <c r="L152" s="1460">
        <v>1340</v>
      </c>
      <c r="M152" s="1236"/>
      <c r="N152" s="1240" t="s">
        <v>1806</v>
      </c>
      <c r="O152" s="1241" t="s">
        <v>4859</v>
      </c>
      <c r="P152" s="910">
        <f t="shared" si="21"/>
        <v>0</v>
      </c>
      <c r="Q152" s="910">
        <f t="shared" si="22"/>
        <v>1340</v>
      </c>
      <c r="R152" s="1344">
        <f t="shared" si="23"/>
        <v>4.45</v>
      </c>
      <c r="S152" s="1344">
        <f>(1/9)*cnst_fish!$C$7*(1/cnst_fish!$C$8)^(R152-1)</f>
        <v>397.46425953729499</v>
      </c>
      <c r="T152" s="1362">
        <f t="shared" si="24"/>
        <v>46015.827947914426</v>
      </c>
      <c r="W152" s="1612"/>
      <c r="X152" s="1612"/>
      <c r="Y152" s="1613"/>
      <c r="Z152" s="1614"/>
      <c r="AA152" s="1614"/>
      <c r="AB152" s="1615"/>
      <c r="AC152" s="1615"/>
      <c r="AD152" s="583"/>
      <c r="AE152" s="583"/>
    </row>
    <row r="153" spans="1:31" ht="14">
      <c r="A153" s="1585" t="s">
        <v>8484</v>
      </c>
      <c r="B153" s="1586" t="s">
        <v>8485</v>
      </c>
      <c r="C153" s="1383">
        <v>10654</v>
      </c>
      <c r="D153" s="1236"/>
      <c r="E153" s="1236"/>
      <c r="F153" s="1344">
        <f>(1/S153)*cnst_fish!$C$6</f>
        <v>0.23938164528281752</v>
      </c>
      <c r="G153" s="1344">
        <f t="shared" si="25"/>
        <v>1</v>
      </c>
      <c r="H153" s="1344">
        <f t="shared" si="25"/>
        <v>0.367192066876738</v>
      </c>
      <c r="I153" s="1344">
        <f t="shared" si="19"/>
        <v>0</v>
      </c>
      <c r="J153" s="902">
        <f t="shared" si="20"/>
        <v>0</v>
      </c>
      <c r="L153" s="1460"/>
      <c r="M153" s="1236">
        <v>96</v>
      </c>
      <c r="N153" s="1240" t="s">
        <v>1806</v>
      </c>
      <c r="O153" s="1241" t="s">
        <v>4845</v>
      </c>
      <c r="P153" s="910">
        <f t="shared" si="21"/>
        <v>0</v>
      </c>
      <c r="Q153" s="910">
        <f t="shared" si="22"/>
        <v>96</v>
      </c>
      <c r="R153" s="1344">
        <f t="shared" si="23"/>
        <v>3.1</v>
      </c>
      <c r="S153" s="1344">
        <f>(1/9)*cnst_fish!$C$7*(1/cnst_fish!$C$8)^(R153-1)</f>
        <v>17.754076320174157</v>
      </c>
      <c r="T153" s="1362">
        <f t="shared" si="24"/>
        <v>147.25622918382152</v>
      </c>
      <c r="W153" s="1616"/>
      <c r="X153" s="1616"/>
      <c r="Y153" s="1613"/>
      <c r="Z153" s="1614"/>
      <c r="AA153" s="1614"/>
      <c r="AB153" s="1615"/>
      <c r="AC153" s="1615"/>
      <c r="AD153" s="583"/>
      <c r="AE153" s="583"/>
    </row>
    <row r="154" spans="1:31" ht="14">
      <c r="A154" s="1384" t="s">
        <v>6501</v>
      </c>
      <c r="B154" s="19" t="s">
        <v>6500</v>
      </c>
      <c r="C154" s="1383">
        <v>10655</v>
      </c>
      <c r="D154" s="1236"/>
      <c r="E154" s="1236"/>
      <c r="F154" s="1344">
        <f>(1/S154)*cnst_fish!$C$6</f>
        <v>0.37939434000887845</v>
      </c>
      <c r="G154" s="1344">
        <f t="shared" si="25"/>
        <v>1</v>
      </c>
      <c r="H154" s="1344">
        <f t="shared" si="25"/>
        <v>0.367192066876738</v>
      </c>
      <c r="I154" s="1344">
        <f t="shared" si="19"/>
        <v>0</v>
      </c>
      <c r="J154" s="902">
        <f t="shared" si="20"/>
        <v>0</v>
      </c>
      <c r="L154" s="1460"/>
      <c r="M154" s="1236">
        <v>4</v>
      </c>
      <c r="N154" s="1240" t="s">
        <v>1806</v>
      </c>
      <c r="O154" s="1241" t="s">
        <v>4845</v>
      </c>
      <c r="P154" s="910">
        <f t="shared" si="21"/>
        <v>0</v>
      </c>
      <c r="Q154" s="910">
        <f t="shared" si="22"/>
        <v>4</v>
      </c>
      <c r="R154" s="1344">
        <f t="shared" si="23"/>
        <v>2.9</v>
      </c>
      <c r="S154" s="1344">
        <f>(1/9)*cnst_fish!$C$7*(1/cnst_fish!$C$8)^(R154-1)</f>
        <v>11.20206484867577</v>
      </c>
      <c r="T154" s="1362">
        <f t="shared" si="24"/>
        <v>3.8713499718329496</v>
      </c>
      <c r="W154" s="1612"/>
      <c r="X154" s="1612"/>
      <c r="Y154" s="1613"/>
      <c r="Z154" s="1614"/>
      <c r="AA154" s="1614"/>
      <c r="AB154" s="1615"/>
      <c r="AC154" s="1615"/>
      <c r="AD154" s="583"/>
      <c r="AE154" s="583"/>
    </row>
    <row r="155" spans="1:31" ht="14">
      <c r="A155" s="1384" t="s">
        <v>4775</v>
      </c>
      <c r="B155" s="19" t="s">
        <v>863</v>
      </c>
      <c r="C155" s="1383">
        <v>3533</v>
      </c>
      <c r="D155" s="1236"/>
      <c r="E155" s="1236"/>
      <c r="F155" s="1344">
        <f>(1/S155)*cnst_fish!$C$6</f>
        <v>2.3938164528281742</v>
      </c>
      <c r="G155" s="1344">
        <f t="shared" si="25"/>
        <v>1</v>
      </c>
      <c r="H155" s="1344">
        <f t="shared" si="25"/>
        <v>0.367192066876738</v>
      </c>
      <c r="I155" s="1344">
        <f t="shared" si="19"/>
        <v>0</v>
      </c>
      <c r="J155" s="902">
        <f t="shared" si="20"/>
        <v>0</v>
      </c>
      <c r="L155" s="1460">
        <v>11733</v>
      </c>
      <c r="M155" s="1236"/>
      <c r="N155" s="1240" t="s">
        <v>2433</v>
      </c>
      <c r="O155" s="1241" t="s">
        <v>4851</v>
      </c>
      <c r="P155" s="910">
        <f t="shared" si="21"/>
        <v>0</v>
      </c>
      <c r="Q155" s="910">
        <f t="shared" si="22"/>
        <v>11733</v>
      </c>
      <c r="R155" s="1344">
        <f t="shared" si="23"/>
        <v>2.1</v>
      </c>
      <c r="S155" s="1344">
        <f>(1/9)*cnst_fish!$C$7*(1/cnst_fish!$C$8)^(R155-1)</f>
        <v>1.7754076320174161</v>
      </c>
      <c r="T155" s="1362">
        <f t="shared" si="24"/>
        <v>1799.7472260560196</v>
      </c>
      <c r="W155" s="1612"/>
      <c r="X155" s="1612"/>
      <c r="Y155" s="1613"/>
      <c r="Z155" s="1614"/>
      <c r="AA155" s="1614"/>
      <c r="AB155" s="1615"/>
      <c r="AC155" s="1615"/>
      <c r="AD155" s="583"/>
      <c r="AE155" s="583"/>
    </row>
    <row r="156" spans="1:31" ht="14">
      <c r="A156" s="1384" t="s">
        <v>838</v>
      </c>
      <c r="B156" s="19" t="s">
        <v>1707</v>
      </c>
      <c r="C156" s="1383">
        <v>2554</v>
      </c>
      <c r="D156" s="1236"/>
      <c r="E156" s="1236"/>
      <c r="F156" s="1344">
        <f>(1/S156)*cnst_fish!$C$6</f>
        <v>9.9790878883162681E-2</v>
      </c>
      <c r="G156" s="1344">
        <f t="shared" si="25"/>
        <v>1</v>
      </c>
      <c r="H156" s="1344">
        <f t="shared" si="25"/>
        <v>0.367192066876738</v>
      </c>
      <c r="I156" s="1344">
        <f t="shared" si="19"/>
        <v>0</v>
      </c>
      <c r="J156" s="902">
        <f t="shared" si="20"/>
        <v>0</v>
      </c>
      <c r="L156" s="1460">
        <v>343</v>
      </c>
      <c r="M156" s="1236"/>
      <c r="N156" s="1240" t="s">
        <v>1809</v>
      </c>
      <c r="O156" s="1241" t="s">
        <v>4841</v>
      </c>
      <c r="P156" s="910">
        <f t="shared" si="21"/>
        <v>0</v>
      </c>
      <c r="Q156" s="910">
        <f t="shared" si="22"/>
        <v>343</v>
      </c>
      <c r="R156" s="1344">
        <f t="shared" si="23"/>
        <v>3.48</v>
      </c>
      <c r="S156" s="1344">
        <f>(1/9)*cnst_fish!$C$7*(1/cnst_fish!$C$8)^(R156-1)</f>
        <v>42.589062723618177</v>
      </c>
      <c r="T156" s="1362">
        <f t="shared" si="24"/>
        <v>1262.1081239917976</v>
      </c>
      <c r="W156" s="1612"/>
      <c r="X156" s="1612"/>
      <c r="Y156" s="1613"/>
      <c r="Z156" s="1614"/>
      <c r="AA156" s="1614"/>
      <c r="AB156" s="1615"/>
      <c r="AC156" s="1615"/>
      <c r="AD156" s="583"/>
      <c r="AE156" s="583"/>
    </row>
    <row r="157" spans="1:31" ht="14">
      <c r="A157" s="1384" t="s">
        <v>332</v>
      </c>
      <c r="B157" s="19" t="s">
        <v>1492</v>
      </c>
      <c r="C157" s="1383">
        <v>2555</v>
      </c>
      <c r="D157" s="1236"/>
      <c r="E157" s="1236"/>
      <c r="F157" s="1344">
        <f>(1/S157)*cnst_fish!$C$6</f>
        <v>2.8124890974018386E-2</v>
      </c>
      <c r="G157" s="1344">
        <f t="shared" si="25"/>
        <v>1</v>
      </c>
      <c r="H157" s="1344">
        <f t="shared" si="25"/>
        <v>0.367192066876738</v>
      </c>
      <c r="I157" s="1344">
        <f t="shared" si="19"/>
        <v>0</v>
      </c>
      <c r="J157" s="902">
        <f t="shared" si="20"/>
        <v>0</v>
      </c>
      <c r="L157" s="1460">
        <v>128</v>
      </c>
      <c r="M157" s="1236"/>
      <c r="N157" s="1240" t="s">
        <v>1809</v>
      </c>
      <c r="O157" s="1241" t="s">
        <v>4841</v>
      </c>
      <c r="P157" s="910">
        <f t="shared" si="21"/>
        <v>0</v>
      </c>
      <c r="Q157" s="910">
        <f t="shared" si="22"/>
        <v>128</v>
      </c>
      <c r="R157" s="1344">
        <f t="shared" si="23"/>
        <v>4.03</v>
      </c>
      <c r="S157" s="1344">
        <f>(1/9)*cnst_fish!$C$7*(1/cnst_fish!$C$8)^(R157-1)</f>
        <v>151.11169689248311</v>
      </c>
      <c r="T157" s="1362">
        <f t="shared" si="24"/>
        <v>1671.1383736079665</v>
      </c>
      <c r="W157" s="1612"/>
      <c r="X157" s="1612"/>
      <c r="Y157" s="1613"/>
      <c r="Z157" s="1614"/>
      <c r="AA157" s="1614"/>
      <c r="AB157" s="1615"/>
      <c r="AC157" s="1615"/>
      <c r="AD157" s="583"/>
      <c r="AE157" s="583"/>
    </row>
    <row r="158" spans="1:31" ht="14">
      <c r="A158" s="1384" t="s">
        <v>2335</v>
      </c>
      <c r="B158" s="19" t="s">
        <v>1493</v>
      </c>
      <c r="C158" s="1383">
        <v>3369</v>
      </c>
      <c r="D158" s="1236"/>
      <c r="E158" s="1236"/>
      <c r="F158" s="1344">
        <f>(1/S158)*cnst_fish!$C$6</f>
        <v>5.2370997702765265E-2</v>
      </c>
      <c r="G158" s="1344">
        <f t="shared" si="25"/>
        <v>1</v>
      </c>
      <c r="H158" s="1344">
        <f t="shared" si="25"/>
        <v>0.367192066876738</v>
      </c>
      <c r="I158" s="1344">
        <f t="shared" si="19"/>
        <v>0</v>
      </c>
      <c r="J158" s="902">
        <f t="shared" si="20"/>
        <v>0</v>
      </c>
      <c r="L158" s="1460">
        <v>238</v>
      </c>
      <c r="M158" s="1236"/>
      <c r="N158" s="1240" t="s">
        <v>1809</v>
      </c>
      <c r="O158" s="1241" t="s">
        <v>4841</v>
      </c>
      <c r="P158" s="910">
        <f t="shared" si="21"/>
        <v>0</v>
      </c>
      <c r="Q158" s="910">
        <f t="shared" si="22"/>
        <v>238</v>
      </c>
      <c r="R158" s="1344">
        <f t="shared" si="23"/>
        <v>3.76</v>
      </c>
      <c r="S158" s="1344">
        <f>(1/9)*cnst_fish!$C$7*(1/cnst_fish!$C$8)^(R158-1)</f>
        <v>81.151786034727266</v>
      </c>
      <c r="T158" s="1362">
        <f t="shared" si="24"/>
        <v>1668.7043545104973</v>
      </c>
      <c r="W158" s="1612"/>
      <c r="X158" s="1612"/>
      <c r="Y158" s="1613"/>
      <c r="Z158" s="1614"/>
      <c r="AA158" s="1614"/>
      <c r="AB158" s="1615"/>
      <c r="AC158" s="1615"/>
      <c r="AD158" s="583"/>
      <c r="AE158" s="583"/>
    </row>
    <row r="159" spans="1:31" ht="14">
      <c r="A159" s="1384" t="s">
        <v>2406</v>
      </c>
      <c r="B159" s="19" t="s">
        <v>6601</v>
      </c>
      <c r="C159" s="1383">
        <v>18572</v>
      </c>
      <c r="D159" s="1236"/>
      <c r="E159" s="1236"/>
      <c r="F159" s="1344">
        <f>(1/S159)*cnst_fish!$C$6</f>
        <v>3.0136363636363641</v>
      </c>
      <c r="G159" s="1344">
        <f t="shared" si="25"/>
        <v>1</v>
      </c>
      <c r="H159" s="1344">
        <f t="shared" si="25"/>
        <v>0.367192066876738</v>
      </c>
      <c r="I159" s="1344">
        <f t="shared" si="19"/>
        <v>0</v>
      </c>
      <c r="J159" s="902">
        <f t="shared" si="20"/>
        <v>0</v>
      </c>
      <c r="L159" s="1460">
        <v>111</v>
      </c>
      <c r="M159" s="1236"/>
      <c r="N159" s="1240" t="s">
        <v>1805</v>
      </c>
      <c r="O159" s="1241" t="s">
        <v>4840</v>
      </c>
      <c r="P159" s="910">
        <f t="shared" si="21"/>
        <v>0</v>
      </c>
      <c r="Q159" s="910">
        <f t="shared" si="22"/>
        <v>111</v>
      </c>
      <c r="R159" s="1344">
        <f t="shared" si="23"/>
        <v>2</v>
      </c>
      <c r="S159" s="1344">
        <f>(1/9)*cnst_fish!$C$7*(1/cnst_fish!$C$8)^(R159-1)</f>
        <v>1.4102564102564099</v>
      </c>
      <c r="T159" s="1362">
        <f t="shared" si="24"/>
        <v>13.52463087953234</v>
      </c>
      <c r="W159" s="1612"/>
      <c r="X159" s="1612"/>
      <c r="Y159" s="1613"/>
      <c r="Z159" s="1614"/>
      <c r="AA159" s="1614"/>
      <c r="AB159" s="1615"/>
      <c r="AC159" s="1615"/>
      <c r="AD159" s="583"/>
      <c r="AE159" s="583"/>
    </row>
    <row r="160" spans="1:31" ht="14">
      <c r="A160" s="1384" t="s">
        <v>265</v>
      </c>
      <c r="B160" s="19" t="s">
        <v>5463</v>
      </c>
      <c r="C160" s="1383">
        <v>3457</v>
      </c>
      <c r="D160" s="1236"/>
      <c r="E160" s="1236"/>
      <c r="F160" s="1344">
        <f>(1/S160)*cnst_fish!$C$6</f>
        <v>1.9014759972289452</v>
      </c>
      <c r="G160" s="1344">
        <f t="shared" si="25"/>
        <v>1</v>
      </c>
      <c r="H160" s="1344">
        <f t="shared" si="25"/>
        <v>0.367192066876738</v>
      </c>
      <c r="I160" s="1344">
        <f t="shared" si="19"/>
        <v>0</v>
      </c>
      <c r="J160" s="902">
        <f t="shared" si="20"/>
        <v>0</v>
      </c>
      <c r="L160" s="1460"/>
      <c r="M160" s="1236">
        <v>0</v>
      </c>
      <c r="N160" s="1240" t="s">
        <v>1805</v>
      </c>
      <c r="O160" s="1241" t="s">
        <v>4840</v>
      </c>
      <c r="P160" s="910">
        <f t="shared" si="21"/>
        <v>0</v>
      </c>
      <c r="Q160" s="910">
        <f t="shared" si="22"/>
        <v>0</v>
      </c>
      <c r="R160" s="1344">
        <f t="shared" si="23"/>
        <v>2.2000000000000002</v>
      </c>
      <c r="S160" s="1344">
        <f>(1/9)*cnst_fish!$C$7*(1/cnst_fish!$C$8)^(R160-1)</f>
        <v>2.2351057842400328</v>
      </c>
      <c r="T160" s="1362">
        <f t="shared" si="24"/>
        <v>0</v>
      </c>
      <c r="W160" s="1612"/>
      <c r="X160" s="1612"/>
      <c r="Y160" s="1613"/>
      <c r="Z160" s="1614"/>
      <c r="AA160" s="1614"/>
      <c r="AB160" s="1615"/>
      <c r="AC160" s="1615"/>
      <c r="AD160" s="583"/>
      <c r="AE160" s="583"/>
    </row>
    <row r="161" spans="1:31" ht="14">
      <c r="A161" s="1384" t="s">
        <v>5120</v>
      </c>
      <c r="B161" s="19" t="s">
        <v>5121</v>
      </c>
      <c r="C161" s="1383">
        <v>2492</v>
      </c>
      <c r="D161" s="1236"/>
      <c r="E161" s="1236"/>
      <c r="F161" s="1344">
        <f>(1/S161)*cnst_fish!$C$6</f>
        <v>2.234039499920492E-2</v>
      </c>
      <c r="G161" s="1344">
        <f t="shared" si="25"/>
        <v>1</v>
      </c>
      <c r="H161" s="1344">
        <f t="shared" si="25"/>
        <v>0.367192066876738</v>
      </c>
      <c r="I161" s="1344">
        <f t="shared" si="19"/>
        <v>0</v>
      </c>
      <c r="J161" s="902">
        <f t="shared" si="20"/>
        <v>0</v>
      </c>
      <c r="L161" s="1460">
        <v>9105</v>
      </c>
      <c r="M161" s="1236"/>
      <c r="N161" s="1240" t="s">
        <v>2969</v>
      </c>
      <c r="O161" s="1241" t="s">
        <v>4859</v>
      </c>
      <c r="P161" s="910">
        <f t="shared" si="21"/>
        <v>0</v>
      </c>
      <c r="Q161" s="910">
        <f t="shared" si="22"/>
        <v>9105</v>
      </c>
      <c r="R161" s="1344">
        <f t="shared" si="23"/>
        <v>4.13</v>
      </c>
      <c r="S161" s="1344">
        <f>(1/9)*cnst_fish!$C$7*(1/cnst_fish!$C$8)^(R161-1)</f>
        <v>190.23835523728451</v>
      </c>
      <c r="T161" s="1362">
        <f t="shared" si="24"/>
        <v>149651.95418575566</v>
      </c>
      <c r="W161" s="1612"/>
      <c r="X161" s="1612"/>
      <c r="Y161" s="1613"/>
      <c r="Z161" s="1614"/>
      <c r="AA161" s="1614"/>
      <c r="AB161" s="1615"/>
      <c r="AC161" s="1615"/>
      <c r="AD161" s="583"/>
      <c r="AE161" s="583"/>
    </row>
    <row r="162" spans="1:31" ht="14">
      <c r="A162" s="1384" t="s">
        <v>5125</v>
      </c>
      <c r="B162" s="19" t="s">
        <v>4259</v>
      </c>
      <c r="C162" s="1383">
        <v>2491</v>
      </c>
      <c r="D162" s="1236"/>
      <c r="E162" s="1236"/>
      <c r="F162" s="1344">
        <f>(1/S162)*cnst_fish!$C$6</f>
        <v>1.3774975896121007E-2</v>
      </c>
      <c r="G162" s="1344">
        <f t="shared" si="25"/>
        <v>1</v>
      </c>
      <c r="H162" s="1344">
        <f t="shared" si="25"/>
        <v>0.367192066876738</v>
      </c>
      <c r="I162" s="1344">
        <f t="shared" si="19"/>
        <v>0</v>
      </c>
      <c r="J162" s="902">
        <f t="shared" si="20"/>
        <v>0</v>
      </c>
      <c r="L162" s="1460">
        <v>122677</v>
      </c>
      <c r="M162" s="1236"/>
      <c r="N162" s="1240" t="s">
        <v>2969</v>
      </c>
      <c r="O162" s="1241" t="s">
        <v>4859</v>
      </c>
      <c r="P162" s="910">
        <f t="shared" si="21"/>
        <v>0</v>
      </c>
      <c r="Q162" s="910">
        <f t="shared" si="22"/>
        <v>122677</v>
      </c>
      <c r="R162" s="1344">
        <f t="shared" si="23"/>
        <v>4.34</v>
      </c>
      <c r="S162" s="1344">
        <f>(1/9)*cnst_fish!$C$7*(1/cnst_fish!$C$8)^(R162-1)</f>
        <v>308.53048542878304</v>
      </c>
      <c r="T162" s="1362">
        <f t="shared" si="24"/>
        <v>3270134.3020805148</v>
      </c>
      <c r="W162" s="1612"/>
      <c r="X162" s="1612"/>
      <c r="Y162" s="1613"/>
      <c r="Z162" s="1614"/>
      <c r="AA162" s="1614"/>
      <c r="AB162" s="1615"/>
      <c r="AC162" s="1615"/>
      <c r="AD162" s="583"/>
      <c r="AE162" s="583"/>
    </row>
    <row r="163" spans="1:31" ht="14">
      <c r="A163" s="1384" t="s">
        <v>3252</v>
      </c>
      <c r="B163" s="19" t="s">
        <v>213</v>
      </c>
      <c r="C163" s="1383">
        <v>3292</v>
      </c>
      <c r="D163" s="1236">
        <v>0</v>
      </c>
      <c r="E163" s="1236"/>
      <c r="F163" s="1344">
        <f>(1/S163)*cnst_fish!$C$6</f>
        <v>1.7745606522761578E-2</v>
      </c>
      <c r="G163" s="1344">
        <f t="shared" si="25"/>
        <v>1</v>
      </c>
      <c r="H163" s="1344">
        <f t="shared" si="25"/>
        <v>0.367192066876738</v>
      </c>
      <c r="I163" s="1344">
        <f t="shared" si="19"/>
        <v>0</v>
      </c>
      <c r="J163" s="902">
        <f t="shared" si="20"/>
        <v>0</v>
      </c>
      <c r="L163" s="1460">
        <v>296025</v>
      </c>
      <c r="M163" s="1236"/>
      <c r="N163" s="1240" t="s">
        <v>2969</v>
      </c>
      <c r="O163" s="1241" t="s">
        <v>4859</v>
      </c>
      <c r="P163" s="910">
        <f t="shared" si="21"/>
        <v>0</v>
      </c>
      <c r="Q163" s="910">
        <f t="shared" si="22"/>
        <v>296025</v>
      </c>
      <c r="R163" s="1344">
        <f t="shared" si="23"/>
        <v>4.2300000000000004</v>
      </c>
      <c r="S163" s="1344">
        <f>(1/9)*cnst_fish!$C$7*(1/cnst_fish!$C$8)^(R163-1)</f>
        <v>239.49589970614389</v>
      </c>
      <c r="T163" s="1362">
        <f t="shared" si="24"/>
        <v>6125348.9114482366</v>
      </c>
      <c r="W163" s="1612"/>
      <c r="X163" s="1612"/>
      <c r="Y163" s="1613"/>
      <c r="Z163" s="1614"/>
      <c r="AA163" s="1614"/>
      <c r="AB163" s="1615"/>
      <c r="AC163" s="1615"/>
      <c r="AD163" s="583"/>
      <c r="AE163" s="583"/>
    </row>
    <row r="164" spans="1:31" ht="14">
      <c r="A164" s="1384" t="s">
        <v>1728</v>
      </c>
      <c r="B164" s="19" t="s">
        <v>4898</v>
      </c>
      <c r="C164" s="1383">
        <v>19063</v>
      </c>
      <c r="D164" s="1236"/>
      <c r="E164" s="1236"/>
      <c r="F164" s="1344">
        <f>(1/S164)*cnst_fish!$C$6</f>
        <v>0.14481532779905856</v>
      </c>
      <c r="G164" s="1344">
        <f t="shared" si="25"/>
        <v>1</v>
      </c>
      <c r="H164" s="1344">
        <f t="shared" si="25"/>
        <v>0.367192066876738</v>
      </c>
      <c r="I164" s="1344">
        <f t="shared" si="19"/>
        <v>0</v>
      </c>
      <c r="J164" s="902">
        <f t="shared" si="20"/>
        <v>0</v>
      </c>
      <c r="L164" s="1460">
        <v>1233</v>
      </c>
      <c r="M164" s="1236"/>
      <c r="N164" s="1240" t="s">
        <v>2433</v>
      </c>
      <c r="O164" s="1241" t="s">
        <v>4851</v>
      </c>
      <c r="P164" s="910">
        <f t="shared" si="21"/>
        <v>0</v>
      </c>
      <c r="Q164" s="910">
        <f t="shared" si="22"/>
        <v>1233</v>
      </c>
      <c r="R164" s="1344">
        <f t="shared" si="23"/>
        <v>3.3182763159269002</v>
      </c>
      <c r="S164" s="1344">
        <f>(1/9)*cnst_fish!$C$7*(1/cnst_fish!$C$8)^(R164-1)</f>
        <v>29.347722127157517</v>
      </c>
      <c r="T164" s="1362">
        <f t="shared" si="24"/>
        <v>3126.3805105440038</v>
      </c>
      <c r="W164" s="1612"/>
      <c r="X164" s="1612"/>
      <c r="Y164" s="1613"/>
      <c r="Z164" s="1614"/>
      <c r="AA164" s="1614"/>
      <c r="AB164" s="1615"/>
      <c r="AC164" s="1615"/>
      <c r="AD164" s="583"/>
      <c r="AE164" s="583"/>
    </row>
    <row r="165" spans="1:31" ht="14">
      <c r="A165" s="1384" t="s">
        <v>5135</v>
      </c>
      <c r="B165" s="19" t="s">
        <v>6455</v>
      </c>
      <c r="C165" s="1383">
        <v>10693</v>
      </c>
      <c r="D165" s="1236"/>
      <c r="E165" s="1236"/>
      <c r="F165" s="1344">
        <f>(1/S165)*cnst_fish!$C$6</f>
        <v>3.0136363636363642E-2</v>
      </c>
      <c r="G165" s="1344">
        <f t="shared" si="25"/>
        <v>1</v>
      </c>
      <c r="H165" s="1344">
        <f t="shared" si="25"/>
        <v>0.367192066876738</v>
      </c>
      <c r="I165" s="1344">
        <f t="shared" si="19"/>
        <v>0</v>
      </c>
      <c r="J165" s="902">
        <f t="shared" si="20"/>
        <v>0</v>
      </c>
      <c r="L165" s="1460"/>
      <c r="M165" s="1236">
        <v>5957</v>
      </c>
      <c r="N165" s="1240" t="s">
        <v>1806</v>
      </c>
      <c r="O165" s="1241" t="s">
        <v>4845</v>
      </c>
      <c r="P165" s="910">
        <f t="shared" si="21"/>
        <v>0</v>
      </c>
      <c r="Q165" s="910">
        <f t="shared" si="22"/>
        <v>5957</v>
      </c>
      <c r="R165" s="1344">
        <f t="shared" si="23"/>
        <v>4</v>
      </c>
      <c r="S165" s="1344">
        <f>(1/9)*cnst_fish!$C$7*(1/cnst_fish!$C$8)^(R165-1)</f>
        <v>141.02564102564099</v>
      </c>
      <c r="T165" s="1362">
        <f t="shared" si="24"/>
        <v>72582.185720156878</v>
      </c>
      <c r="W165" s="1612"/>
      <c r="X165" s="1612"/>
      <c r="Y165" s="1613"/>
      <c r="Z165" s="1614"/>
      <c r="AA165" s="1614"/>
      <c r="AB165" s="1615"/>
      <c r="AC165" s="1615"/>
      <c r="AD165" s="583"/>
      <c r="AE165" s="583"/>
    </row>
    <row r="166" spans="1:31" ht="14">
      <c r="A166" s="1384" t="s">
        <v>930</v>
      </c>
      <c r="B166" s="19" t="s">
        <v>4245</v>
      </c>
      <c r="C166" s="1383">
        <v>2975</v>
      </c>
      <c r="D166" s="1236"/>
      <c r="E166" s="1236"/>
      <c r="F166" s="1344">
        <f>(1/S166)*cnst_fish!$C$6</f>
        <v>3.0136363636363642E-2</v>
      </c>
      <c r="G166" s="1344">
        <f t="shared" si="25"/>
        <v>1</v>
      </c>
      <c r="H166" s="1344">
        <f t="shared" si="25"/>
        <v>0.367192066876738</v>
      </c>
      <c r="I166" s="1344">
        <f t="shared" si="19"/>
        <v>0</v>
      </c>
      <c r="J166" s="902">
        <f t="shared" si="20"/>
        <v>0</v>
      </c>
      <c r="L166" s="1460"/>
      <c r="M166" s="1236">
        <v>16144</v>
      </c>
      <c r="N166" s="1240" t="s">
        <v>1806</v>
      </c>
      <c r="O166" s="1241" t="s">
        <v>4845</v>
      </c>
      <c r="P166" s="910">
        <f t="shared" si="21"/>
        <v>0</v>
      </c>
      <c r="Q166" s="910">
        <f t="shared" si="22"/>
        <v>16144</v>
      </c>
      <c r="R166" s="1344">
        <f t="shared" si="23"/>
        <v>4</v>
      </c>
      <c r="S166" s="1344">
        <f>(1/9)*cnst_fish!$C$7*(1/cnst_fish!$C$8)^(R166-1)</f>
        <v>141.02564102564099</v>
      </c>
      <c r="T166" s="1362">
        <f t="shared" si="24"/>
        <v>196704.18100826134</v>
      </c>
      <c r="W166" s="1612"/>
      <c r="X166" s="1612"/>
      <c r="Y166" s="1613"/>
      <c r="Z166" s="1614"/>
      <c r="AA166" s="1614"/>
      <c r="AB166" s="1615"/>
      <c r="AC166" s="1615"/>
      <c r="AD166" s="583"/>
      <c r="AE166" s="583"/>
    </row>
    <row r="167" spans="1:31" ht="14">
      <c r="A167" s="1384" t="s">
        <v>3416</v>
      </c>
      <c r="B167" s="19" t="s">
        <v>5037</v>
      </c>
      <c r="C167" s="1383">
        <v>3373</v>
      </c>
      <c r="D167" s="1236"/>
      <c r="E167" s="1236"/>
      <c r="F167" s="1344">
        <f>(1/S167)*cnst_fish!$C$6</f>
        <v>8.4935812883106004E-2</v>
      </c>
      <c r="G167" s="1344">
        <f t="shared" si="25"/>
        <v>1</v>
      </c>
      <c r="H167" s="1344">
        <f t="shared" si="25"/>
        <v>0.367192066876738</v>
      </c>
      <c r="I167" s="1344">
        <f t="shared" si="19"/>
        <v>0</v>
      </c>
      <c r="J167" s="902">
        <f t="shared" si="20"/>
        <v>0</v>
      </c>
      <c r="L167" s="1460">
        <v>707</v>
      </c>
      <c r="M167" s="1236"/>
      <c r="N167" s="1240" t="s">
        <v>1806</v>
      </c>
      <c r="O167" s="1241" t="s">
        <v>4841</v>
      </c>
      <c r="P167" s="910">
        <f t="shared" si="21"/>
        <v>0</v>
      </c>
      <c r="Q167" s="910">
        <f t="shared" si="22"/>
        <v>707</v>
      </c>
      <c r="R167" s="1344">
        <f t="shared" si="23"/>
        <v>3.55</v>
      </c>
      <c r="S167" s="1344">
        <f>(1/9)*cnst_fish!$C$7*(1/cnst_fish!$C$8)^(R167-1)</f>
        <v>50.037785661145278</v>
      </c>
      <c r="T167" s="1362">
        <f t="shared" si="24"/>
        <v>3056.4820947688836</v>
      </c>
      <c r="W167" s="1612"/>
      <c r="X167" s="1612"/>
      <c r="Y167" s="1613"/>
      <c r="Z167" s="1614"/>
      <c r="AA167" s="1614"/>
      <c r="AB167" s="1615"/>
      <c r="AC167" s="1615"/>
      <c r="AD167" s="583"/>
      <c r="AE167" s="583"/>
    </row>
    <row r="168" spans="1:31" ht="14">
      <c r="A168" s="1384" t="s">
        <v>1948</v>
      </c>
      <c r="B168" s="19" t="s">
        <v>5038</v>
      </c>
      <c r="C168" s="1383">
        <v>2565</v>
      </c>
      <c r="D168" s="1236">
        <v>191</v>
      </c>
      <c r="E168" s="1236"/>
      <c r="F168" s="1344">
        <f>(1/S168)*cnst_fish!$C$6</f>
        <v>0.16184185499703521</v>
      </c>
      <c r="G168" s="1344">
        <f t="shared" ref="G168:H187" si="26">G$7</f>
        <v>1</v>
      </c>
      <c r="H168" s="1344">
        <f t="shared" si="26"/>
        <v>0.367192066876738</v>
      </c>
      <c r="I168" s="1344">
        <f t="shared" si="19"/>
        <v>433.34701505208119</v>
      </c>
      <c r="J168" s="902">
        <f t="shared" si="20"/>
        <v>0</v>
      </c>
      <c r="L168" s="1460">
        <v>8575</v>
      </c>
      <c r="M168" s="1236"/>
      <c r="N168" s="1240" t="s">
        <v>1806</v>
      </c>
      <c r="O168" s="1241" t="s">
        <v>4841</v>
      </c>
      <c r="P168" s="910">
        <f t="shared" si="21"/>
        <v>191</v>
      </c>
      <c r="Q168" s="910">
        <f t="shared" si="22"/>
        <v>8575</v>
      </c>
      <c r="R168" s="1344">
        <f t="shared" si="23"/>
        <v>3.27</v>
      </c>
      <c r="S168" s="1344">
        <f>(1/9)*cnst_fish!$C$7*(1/cnst_fish!$C$8)^(R168-1)</f>
        <v>26.260203209348141</v>
      </c>
      <c r="T168" s="1362">
        <f t="shared" si="24"/>
        <v>19455.239026552859</v>
      </c>
      <c r="W168" s="1612"/>
      <c r="X168" s="1612"/>
      <c r="Y168" s="1613"/>
      <c r="Z168" s="1614"/>
      <c r="AA168" s="1614"/>
      <c r="AB168" s="1615"/>
      <c r="AC168" s="1615"/>
      <c r="AD168" s="583"/>
      <c r="AE168" s="583"/>
    </row>
    <row r="169" spans="1:31" ht="14">
      <c r="A169" s="1384" t="s">
        <v>6447</v>
      </c>
      <c r="B169" s="19" t="s">
        <v>40</v>
      </c>
      <c r="C169" s="1383">
        <v>10715</v>
      </c>
      <c r="D169" s="1236"/>
      <c r="E169" s="1236"/>
      <c r="F169" s="1344">
        <f>(1/S169)*cnst_fish!$C$6</f>
        <v>2.5066335465503222</v>
      </c>
      <c r="G169" s="1344">
        <f t="shared" si="26"/>
        <v>1</v>
      </c>
      <c r="H169" s="1344">
        <f t="shared" si="26"/>
        <v>0.367192066876738</v>
      </c>
      <c r="I169" s="1344">
        <f t="shared" si="19"/>
        <v>0</v>
      </c>
      <c r="J169" s="902">
        <f t="shared" si="20"/>
        <v>0</v>
      </c>
      <c r="L169" s="1460"/>
      <c r="M169" s="1236">
        <v>307</v>
      </c>
      <c r="N169" s="1240" t="s">
        <v>1806</v>
      </c>
      <c r="O169" s="1241" t="s">
        <v>4845</v>
      </c>
      <c r="P169" s="910">
        <f t="shared" si="21"/>
        <v>0</v>
      </c>
      <c r="Q169" s="910">
        <f t="shared" si="22"/>
        <v>307</v>
      </c>
      <c r="R169" s="1344">
        <f t="shared" si="23"/>
        <v>2.08</v>
      </c>
      <c r="S169" s="1344">
        <f>(1/9)*cnst_fish!$C$7*(1/cnst_fish!$C$8)^(R169-1)</f>
        <v>1.6955011257425054</v>
      </c>
      <c r="T169" s="1362">
        <f t="shared" si="24"/>
        <v>44.971856650644838</v>
      </c>
      <c r="W169" s="1612"/>
      <c r="X169" s="1612"/>
      <c r="Y169" s="1613"/>
      <c r="Z169" s="1614"/>
      <c r="AA169" s="1614"/>
      <c r="AB169" s="1615"/>
      <c r="AC169" s="1615"/>
      <c r="AD169" s="583"/>
      <c r="AE169" s="583"/>
    </row>
    <row r="170" spans="1:31" ht="14">
      <c r="A170" s="1384" t="s">
        <v>3614</v>
      </c>
      <c r="B170" s="19" t="s">
        <v>918</v>
      </c>
      <c r="C170" s="1383">
        <v>2175</v>
      </c>
      <c r="D170" s="1236"/>
      <c r="E170" s="1236"/>
      <c r="F170" s="1344">
        <f>(1/S170)*cnst_fish!$C$6</f>
        <v>1.3154999853419551</v>
      </c>
      <c r="G170" s="1344">
        <f t="shared" si="26"/>
        <v>1</v>
      </c>
      <c r="H170" s="1344">
        <f t="shared" si="26"/>
        <v>0.367192066876738</v>
      </c>
      <c r="I170" s="1344">
        <f t="shared" si="19"/>
        <v>0</v>
      </c>
      <c r="J170" s="902">
        <f t="shared" si="20"/>
        <v>0</v>
      </c>
      <c r="L170" s="1460"/>
      <c r="M170" s="1236">
        <v>39627</v>
      </c>
      <c r="N170" s="1240" t="s">
        <v>1806</v>
      </c>
      <c r="O170" s="1241" t="s">
        <v>4845</v>
      </c>
      <c r="P170" s="910">
        <f t="shared" si="21"/>
        <v>0</v>
      </c>
      <c r="Q170" s="910">
        <f t="shared" si="22"/>
        <v>39627</v>
      </c>
      <c r="R170" s="1344">
        <f t="shared" si="23"/>
        <v>2.36</v>
      </c>
      <c r="S170" s="1344">
        <f>(1/9)*cnst_fish!$C$7*(1/cnst_fish!$C$8)^(R170-1)</f>
        <v>3.2307107923648068</v>
      </c>
      <c r="T170" s="1362">
        <f t="shared" si="24"/>
        <v>11060.980764923488</v>
      </c>
      <c r="W170" s="1612"/>
      <c r="X170" s="1612"/>
      <c r="Y170" s="1613"/>
      <c r="Z170" s="1614"/>
      <c r="AA170" s="1614"/>
      <c r="AB170" s="1615"/>
      <c r="AC170" s="1615"/>
      <c r="AD170" s="583"/>
      <c r="AE170" s="583"/>
    </row>
    <row r="171" spans="1:31" ht="14">
      <c r="A171" s="1384" t="s">
        <v>759</v>
      </c>
      <c r="B171" s="19" t="s">
        <v>760</v>
      </c>
      <c r="C171" s="1383">
        <v>19019</v>
      </c>
      <c r="D171" s="1236"/>
      <c r="E171" s="1236"/>
      <c r="F171" s="1344">
        <f>(1/S171)*cnst_fish!$C$6</f>
        <v>0.37075827047664034</v>
      </c>
      <c r="G171" s="1344">
        <f t="shared" si="26"/>
        <v>1</v>
      </c>
      <c r="H171" s="1344">
        <f t="shared" si="26"/>
        <v>0.367192066876738</v>
      </c>
      <c r="I171" s="1344">
        <f t="shared" si="19"/>
        <v>0</v>
      </c>
      <c r="J171" s="902">
        <f t="shared" si="20"/>
        <v>0</v>
      </c>
      <c r="L171" s="1460"/>
      <c r="M171" s="1236">
        <v>1104</v>
      </c>
      <c r="N171" s="1240" t="s">
        <v>1806</v>
      </c>
      <c r="O171" s="1241" t="s">
        <v>4845</v>
      </c>
      <c r="P171" s="910">
        <f t="shared" si="21"/>
        <v>0</v>
      </c>
      <c r="Q171" s="910">
        <f t="shared" si="22"/>
        <v>1104</v>
      </c>
      <c r="R171" s="1344">
        <f t="shared" si="23"/>
        <v>2.91</v>
      </c>
      <c r="S171" s="1344">
        <f>(1/9)*cnst_fish!$C$7*(1/cnst_fish!$C$8)^(R171-1)</f>
        <v>11.462994458724479</v>
      </c>
      <c r="T171" s="1362">
        <f t="shared" si="24"/>
        <v>1093.3809819286546</v>
      </c>
      <c r="W171" s="1612"/>
      <c r="X171" s="1612"/>
      <c r="Y171" s="1613"/>
      <c r="Z171" s="1614"/>
      <c r="AA171" s="1614"/>
      <c r="AB171" s="1615"/>
      <c r="AC171" s="1615"/>
      <c r="AD171" s="583"/>
      <c r="AE171" s="583"/>
    </row>
    <row r="172" spans="1:31" ht="14">
      <c r="A172" s="1384" t="s">
        <v>6932</v>
      </c>
      <c r="B172" s="19" t="s">
        <v>6931</v>
      </c>
      <c r="C172" s="1383">
        <v>10719</v>
      </c>
      <c r="D172" s="1236"/>
      <c r="E172" s="1236"/>
      <c r="F172" s="1344">
        <f>(1/S172)*cnst_fish!$C$6</f>
        <v>0.15103960722494611</v>
      </c>
      <c r="G172" s="1344">
        <f t="shared" si="26"/>
        <v>1</v>
      </c>
      <c r="H172" s="1344">
        <f t="shared" si="26"/>
        <v>0.367192066876738</v>
      </c>
      <c r="I172" s="1344">
        <f t="shared" si="19"/>
        <v>0</v>
      </c>
      <c r="J172" s="902">
        <f t="shared" si="20"/>
        <v>0</v>
      </c>
      <c r="L172" s="1460">
        <v>15</v>
      </c>
      <c r="M172" s="1236"/>
      <c r="N172" s="1240" t="s">
        <v>1806</v>
      </c>
      <c r="O172" s="1241" t="s">
        <v>4841</v>
      </c>
      <c r="P172" s="910">
        <f t="shared" si="21"/>
        <v>0</v>
      </c>
      <c r="Q172" s="910">
        <f t="shared" si="22"/>
        <v>15</v>
      </c>
      <c r="R172" s="1344">
        <f t="shared" si="23"/>
        <v>3.3</v>
      </c>
      <c r="S172" s="1344">
        <f>(1/9)*cnst_fish!$C$7*(1/cnst_fish!$C$8)^(R172-1)</f>
        <v>28.138314698279075</v>
      </c>
      <c r="T172" s="1362">
        <f t="shared" si="24"/>
        <v>36.466467997020672</v>
      </c>
      <c r="W172" s="1612"/>
      <c r="X172" s="1612"/>
      <c r="Y172" s="1613"/>
      <c r="Z172" s="1614"/>
      <c r="AA172" s="1614"/>
      <c r="AB172" s="1615"/>
      <c r="AC172" s="1615"/>
      <c r="AD172" s="583"/>
      <c r="AE172" s="583"/>
    </row>
    <row r="173" spans="1:31" ht="14">
      <c r="A173" s="1384" t="s">
        <v>2730</v>
      </c>
      <c r="B173" s="19" t="s">
        <v>3769</v>
      </c>
      <c r="C173" s="1383">
        <v>2958</v>
      </c>
      <c r="D173" s="1236"/>
      <c r="E173" s="1236"/>
      <c r="F173" s="1344">
        <f>(1/S173)*cnst_fish!$C$6</f>
        <v>0.23938164528281752</v>
      </c>
      <c r="G173" s="1344">
        <f t="shared" si="26"/>
        <v>1</v>
      </c>
      <c r="H173" s="1344">
        <f t="shared" si="26"/>
        <v>0.367192066876738</v>
      </c>
      <c r="I173" s="1344">
        <f t="shared" si="19"/>
        <v>0</v>
      </c>
      <c r="J173" s="902">
        <f t="shared" si="20"/>
        <v>0</v>
      </c>
      <c r="L173" s="1460"/>
      <c r="M173" s="1236">
        <v>211</v>
      </c>
      <c r="N173" s="1240" t="s">
        <v>1806</v>
      </c>
      <c r="O173" s="1241" t="s">
        <v>4845</v>
      </c>
      <c r="P173" s="910">
        <f t="shared" si="21"/>
        <v>0</v>
      </c>
      <c r="Q173" s="910">
        <f t="shared" si="22"/>
        <v>211</v>
      </c>
      <c r="R173" s="1344">
        <f t="shared" si="23"/>
        <v>3.1</v>
      </c>
      <c r="S173" s="1344">
        <f>(1/9)*cnst_fish!$C$7*(1/cnst_fish!$C$8)^(R173-1)</f>
        <v>17.754076320174157</v>
      </c>
      <c r="T173" s="1362">
        <f t="shared" si="24"/>
        <v>323.65692039360778</v>
      </c>
      <c r="W173" s="1612"/>
      <c r="X173" s="1612"/>
      <c r="Y173" s="1613"/>
      <c r="Z173" s="1614"/>
      <c r="AA173" s="1614"/>
      <c r="AB173" s="1615"/>
      <c r="AC173" s="1615"/>
      <c r="AD173" s="583"/>
      <c r="AE173" s="583"/>
    </row>
    <row r="174" spans="1:31" ht="14">
      <c r="A174" s="1384" t="s">
        <v>6448</v>
      </c>
      <c r="B174" s="19" t="s">
        <v>5243</v>
      </c>
      <c r="C174" s="1383">
        <v>18822</v>
      </c>
      <c r="D174" s="1236"/>
      <c r="E174" s="1236"/>
      <c r="F174" s="1344">
        <f>(1/S174)*cnst_fish!$C$6</f>
        <v>0.39727464439222648</v>
      </c>
      <c r="G174" s="1344">
        <f t="shared" si="26"/>
        <v>1</v>
      </c>
      <c r="H174" s="1344">
        <f t="shared" si="26"/>
        <v>0.367192066876738</v>
      </c>
      <c r="I174" s="1344">
        <f t="shared" si="19"/>
        <v>0</v>
      </c>
      <c r="J174" s="902">
        <f t="shared" si="20"/>
        <v>0</v>
      </c>
      <c r="L174" s="1460"/>
      <c r="M174" s="1236">
        <v>0</v>
      </c>
      <c r="N174" s="1240" t="s">
        <v>1806</v>
      </c>
      <c r="O174" s="1241" t="s">
        <v>4845</v>
      </c>
      <c r="P174" s="910">
        <f t="shared" si="21"/>
        <v>0</v>
      </c>
      <c r="Q174" s="910">
        <f t="shared" si="22"/>
        <v>0</v>
      </c>
      <c r="R174" s="1344">
        <f t="shared" si="23"/>
        <v>2.88</v>
      </c>
      <c r="S174" s="1344">
        <f>(1/9)*cnst_fish!$C$7*(1/cnst_fish!$C$8)^(R174-1)</f>
        <v>10.697888878616689</v>
      </c>
      <c r="T174" s="1362">
        <f t="shared" si="24"/>
        <v>0</v>
      </c>
      <c r="W174" s="1612"/>
      <c r="X174" s="1612"/>
      <c r="Y174" s="1613"/>
      <c r="Z174" s="1614"/>
      <c r="AA174" s="1614"/>
      <c r="AB174" s="1615"/>
      <c r="AC174" s="1615"/>
      <c r="AD174" s="583"/>
      <c r="AE174" s="583"/>
    </row>
    <row r="175" spans="1:31" ht="14">
      <c r="A175" s="1384" t="s">
        <v>3457</v>
      </c>
      <c r="B175" s="19" t="s">
        <v>5284</v>
      </c>
      <c r="C175" s="1383">
        <v>10740</v>
      </c>
      <c r="D175" s="1236"/>
      <c r="E175" s="1236"/>
      <c r="F175" s="1344">
        <f>(1/S175)*cnst_fish!$C$6</f>
        <v>0.35407139951132155</v>
      </c>
      <c r="G175" s="1344">
        <f t="shared" si="26"/>
        <v>1</v>
      </c>
      <c r="H175" s="1344">
        <f t="shared" si="26"/>
        <v>0.367192066876738</v>
      </c>
      <c r="I175" s="1344">
        <f t="shared" si="19"/>
        <v>0</v>
      </c>
      <c r="J175" s="902">
        <f t="shared" si="20"/>
        <v>0</v>
      </c>
      <c r="L175" s="1460"/>
      <c r="M175" s="1236">
        <v>0</v>
      </c>
      <c r="N175" s="1240" t="s">
        <v>1806</v>
      </c>
      <c r="O175" s="1241" t="s">
        <v>4845</v>
      </c>
      <c r="P175" s="910">
        <f t="shared" si="21"/>
        <v>0</v>
      </c>
      <c r="Q175" s="910">
        <f t="shared" si="22"/>
        <v>0</v>
      </c>
      <c r="R175" s="1344">
        <f t="shared" si="23"/>
        <v>2.93</v>
      </c>
      <c r="S175" s="1344">
        <f>(1/9)*cnst_fish!$C$7*(1/cnst_fish!$C$8)^(R175-1)</f>
        <v>12.003228743879678</v>
      </c>
      <c r="T175" s="1362">
        <f t="shared" si="24"/>
        <v>0</v>
      </c>
      <c r="W175" s="1612"/>
      <c r="X175" s="1612"/>
      <c r="Y175" s="1613"/>
      <c r="Z175" s="1614"/>
      <c r="AA175" s="1614"/>
      <c r="AB175" s="1615"/>
      <c r="AC175" s="1615"/>
      <c r="AD175" s="583"/>
      <c r="AE175" s="583"/>
    </row>
    <row r="176" spans="1:31" ht="14">
      <c r="A176" s="1384" t="s">
        <v>6452</v>
      </c>
      <c r="B176" s="19" t="s">
        <v>6451</v>
      </c>
      <c r="C176" s="1383">
        <v>19680</v>
      </c>
      <c r="D176" s="1236"/>
      <c r="E176" s="1236"/>
      <c r="F176" s="1344">
        <f>(1/S176)*cnst_fish!$C$6</f>
        <v>1.9014759972289439E-2</v>
      </c>
      <c r="G176" s="1344">
        <f t="shared" si="26"/>
        <v>1</v>
      </c>
      <c r="H176" s="1344">
        <f t="shared" si="26"/>
        <v>0.367192066876738</v>
      </c>
      <c r="I176" s="1344">
        <f t="shared" si="19"/>
        <v>0</v>
      </c>
      <c r="J176" s="902">
        <f t="shared" si="20"/>
        <v>0</v>
      </c>
      <c r="L176" s="1460"/>
      <c r="M176" s="1236">
        <v>37</v>
      </c>
      <c r="N176" s="1240" t="s">
        <v>1806</v>
      </c>
      <c r="O176" s="1241" t="s">
        <v>4845</v>
      </c>
      <c r="P176" s="910">
        <f t="shared" si="21"/>
        <v>0</v>
      </c>
      <c r="Q176" s="910">
        <f t="shared" si="22"/>
        <v>37</v>
      </c>
      <c r="R176" s="1344">
        <f t="shared" si="23"/>
        <v>4.2</v>
      </c>
      <c r="S176" s="1344">
        <f>(1/9)*cnst_fish!$C$7*(1/cnst_fish!$C$8)^(R176-1)</f>
        <v>223.51057842400343</v>
      </c>
      <c r="T176" s="1362">
        <f t="shared" si="24"/>
        <v>714.50318038400644</v>
      </c>
      <c r="W176" s="1612"/>
      <c r="X176" s="1612"/>
      <c r="Y176" s="1613"/>
      <c r="Z176" s="1614"/>
      <c r="AA176" s="1614"/>
      <c r="AB176" s="1615"/>
      <c r="AC176" s="1615"/>
      <c r="AD176" s="583"/>
      <c r="AE176" s="583"/>
    </row>
    <row r="177" spans="1:31" ht="14">
      <c r="A177" s="1384" t="s">
        <v>6491</v>
      </c>
      <c r="B177" s="19" t="s">
        <v>6490</v>
      </c>
      <c r="C177" s="1383">
        <v>19253</v>
      </c>
      <c r="D177" s="1236"/>
      <c r="E177" s="1236"/>
      <c r="F177" s="1344">
        <f>(1/S177)*cnst_fish!$C$6</f>
        <v>3.0136363636363641</v>
      </c>
      <c r="G177" s="1344">
        <f t="shared" si="26"/>
        <v>1</v>
      </c>
      <c r="H177" s="1344">
        <f t="shared" si="26"/>
        <v>0.367192066876738</v>
      </c>
      <c r="I177" s="1344">
        <f t="shared" si="19"/>
        <v>0</v>
      </c>
      <c r="J177" s="902">
        <f t="shared" si="20"/>
        <v>0</v>
      </c>
      <c r="L177" s="1460">
        <v>11</v>
      </c>
      <c r="M177" s="1236"/>
      <c r="N177" s="1240" t="s">
        <v>1806</v>
      </c>
      <c r="O177" s="1241" t="s">
        <v>4841</v>
      </c>
      <c r="P177" s="910">
        <f t="shared" si="21"/>
        <v>0</v>
      </c>
      <c r="Q177" s="910">
        <f t="shared" si="22"/>
        <v>11</v>
      </c>
      <c r="R177" s="1344">
        <f t="shared" si="23"/>
        <v>2</v>
      </c>
      <c r="S177" s="1344">
        <f>(1/9)*cnst_fish!$C$7*(1/cnst_fish!$C$8)^(R177-1)</f>
        <v>1.4102564102564099</v>
      </c>
      <c r="T177" s="1362">
        <f t="shared" si="24"/>
        <v>1.340278735809511</v>
      </c>
      <c r="W177" s="1612"/>
      <c r="X177" s="1612"/>
      <c r="Y177" s="1613"/>
      <c r="Z177" s="1614"/>
      <c r="AA177" s="1614"/>
      <c r="AB177" s="1615"/>
      <c r="AC177" s="1615"/>
      <c r="AD177" s="583"/>
      <c r="AE177" s="583"/>
    </row>
    <row r="178" spans="1:31" ht="14">
      <c r="A178" s="1384" t="s">
        <v>3548</v>
      </c>
      <c r="B178" s="19" t="s">
        <v>2771</v>
      </c>
      <c r="C178" s="1383">
        <v>2059</v>
      </c>
      <c r="D178" s="1236"/>
      <c r="E178" s="1236"/>
      <c r="F178" s="1344">
        <f>(1/S178)*cnst_fish!$C$6</f>
        <v>3.6231878188697476E-2</v>
      </c>
      <c r="G178" s="1344">
        <f t="shared" si="26"/>
        <v>1</v>
      </c>
      <c r="H178" s="1344">
        <f t="shared" si="26"/>
        <v>0.367192066876738</v>
      </c>
      <c r="I178" s="1344">
        <f t="shared" si="19"/>
        <v>0</v>
      </c>
      <c r="J178" s="902">
        <f t="shared" si="20"/>
        <v>0</v>
      </c>
      <c r="L178" s="1460">
        <v>36</v>
      </c>
      <c r="M178" s="1236"/>
      <c r="N178" s="1240" t="s">
        <v>1806</v>
      </c>
      <c r="O178" s="1241" t="s">
        <v>4841</v>
      </c>
      <c r="P178" s="910">
        <f t="shared" si="21"/>
        <v>0</v>
      </c>
      <c r="Q178" s="910">
        <f t="shared" si="22"/>
        <v>36</v>
      </c>
      <c r="R178" s="1344">
        <f t="shared" si="23"/>
        <v>3.92</v>
      </c>
      <c r="S178" s="1344">
        <f>(1/9)*cnst_fish!$C$7*(1/cnst_fish!$C$8)^(R178-1)</f>
        <v>117.30001900165877</v>
      </c>
      <c r="T178" s="1362">
        <f t="shared" si="24"/>
        <v>364.84209675020946</v>
      </c>
      <c r="W178" s="1612"/>
      <c r="X178" s="1612"/>
      <c r="Y178" s="1613"/>
      <c r="Z178" s="1614"/>
      <c r="AA178" s="1614"/>
      <c r="AB178" s="1615"/>
      <c r="AC178" s="1615"/>
      <c r="AD178" s="583"/>
      <c r="AE178" s="583"/>
    </row>
    <row r="179" spans="1:31" ht="14">
      <c r="A179" s="1384" t="s">
        <v>3255</v>
      </c>
      <c r="B179" s="19" t="s">
        <v>4221</v>
      </c>
      <c r="C179" s="1383">
        <v>10809</v>
      </c>
      <c r="D179" s="1236"/>
      <c r="E179" s="1236"/>
      <c r="F179" s="1344">
        <f>(1/S179)*cnst_fish!$C$6</f>
        <v>3.304386563831508E-2</v>
      </c>
      <c r="G179" s="1344">
        <f t="shared" si="26"/>
        <v>1</v>
      </c>
      <c r="H179" s="1344">
        <f t="shared" si="26"/>
        <v>0.367192066876738</v>
      </c>
      <c r="I179" s="1344">
        <f t="shared" si="19"/>
        <v>0</v>
      </c>
      <c r="J179" s="902">
        <f t="shared" si="20"/>
        <v>0</v>
      </c>
      <c r="L179" s="1460">
        <v>55</v>
      </c>
      <c r="M179" s="1236"/>
      <c r="N179" s="1240" t="s">
        <v>1806</v>
      </c>
      <c r="O179" s="1241" t="s">
        <v>4841</v>
      </c>
      <c r="P179" s="910">
        <f t="shared" si="21"/>
        <v>0</v>
      </c>
      <c r="Q179" s="910">
        <f t="shared" si="22"/>
        <v>55</v>
      </c>
      <c r="R179" s="1344">
        <f t="shared" si="23"/>
        <v>3.96</v>
      </c>
      <c r="S179" s="1344">
        <f>(1/9)*cnst_fish!$C$7*(1/cnst_fish!$C$8)^(R179-1)</f>
        <v>128.61691324250009</v>
      </c>
      <c r="T179" s="1362">
        <f t="shared" si="24"/>
        <v>611.17436740825497</v>
      </c>
      <c r="W179" s="1612"/>
      <c r="X179" s="1612"/>
      <c r="Y179" s="1613"/>
      <c r="Z179" s="1614"/>
      <c r="AA179" s="1614"/>
      <c r="AB179" s="1615"/>
      <c r="AC179" s="1615"/>
      <c r="AD179" s="583"/>
      <c r="AE179" s="583"/>
    </row>
    <row r="180" spans="1:31" ht="14">
      <c r="A180" s="1384" t="s">
        <v>4741</v>
      </c>
      <c r="B180" s="19" t="s">
        <v>2825</v>
      </c>
      <c r="C180" s="1383">
        <v>2862</v>
      </c>
      <c r="D180" s="1236"/>
      <c r="E180" s="1236"/>
      <c r="F180" s="1344">
        <f>(1/S180)*cnst_fish!$C$6</f>
        <v>3.304386563831508E-2</v>
      </c>
      <c r="G180" s="1344">
        <f t="shared" si="26"/>
        <v>1</v>
      </c>
      <c r="H180" s="1344">
        <f t="shared" si="26"/>
        <v>0.367192066876738</v>
      </c>
      <c r="I180" s="1344">
        <f t="shared" si="19"/>
        <v>0</v>
      </c>
      <c r="J180" s="902">
        <f t="shared" si="20"/>
        <v>0</v>
      </c>
      <c r="L180" s="1460">
        <v>0</v>
      </c>
      <c r="M180" s="1236"/>
      <c r="N180" s="1240" t="s">
        <v>1806</v>
      </c>
      <c r="O180" s="1241" t="s">
        <v>4841</v>
      </c>
      <c r="P180" s="910">
        <f t="shared" si="21"/>
        <v>0</v>
      </c>
      <c r="Q180" s="910">
        <f t="shared" si="22"/>
        <v>0</v>
      </c>
      <c r="R180" s="1344">
        <f t="shared" si="23"/>
        <v>3.96</v>
      </c>
      <c r="S180" s="1344">
        <f>(1/9)*cnst_fish!$C$7*(1/cnst_fish!$C$8)^(R180-1)</f>
        <v>128.61691324250009</v>
      </c>
      <c r="T180" s="1362">
        <f t="shared" si="24"/>
        <v>0</v>
      </c>
      <c r="W180" s="1612"/>
      <c r="X180" s="1612"/>
      <c r="Y180" s="1613"/>
      <c r="Z180" s="1614"/>
      <c r="AA180" s="1614"/>
      <c r="AB180" s="1615"/>
      <c r="AC180" s="1615"/>
      <c r="AD180" s="583"/>
      <c r="AE180" s="583"/>
    </row>
    <row r="181" spans="1:31" ht="14">
      <c r="A181" s="1384" t="s">
        <v>6775</v>
      </c>
      <c r="B181" s="19" t="s">
        <v>6774</v>
      </c>
      <c r="C181" s="1383">
        <v>19254</v>
      </c>
      <c r="D181" s="1236"/>
      <c r="E181" s="1236"/>
      <c r="F181" s="1344">
        <f>(1/S181)*cnst_fish!$C$6</f>
        <v>3.0136363636363641</v>
      </c>
      <c r="G181" s="1344">
        <f t="shared" si="26"/>
        <v>1</v>
      </c>
      <c r="H181" s="1344">
        <f t="shared" si="26"/>
        <v>0.367192066876738</v>
      </c>
      <c r="I181" s="1344">
        <f t="shared" si="19"/>
        <v>0</v>
      </c>
      <c r="J181" s="902">
        <f t="shared" si="20"/>
        <v>0</v>
      </c>
      <c r="L181" s="1460"/>
      <c r="M181" s="1236"/>
      <c r="N181" s="1240" t="s">
        <v>1806</v>
      </c>
      <c r="O181" s="1241" t="s">
        <v>4841</v>
      </c>
      <c r="P181" s="910">
        <f t="shared" si="21"/>
        <v>0</v>
      </c>
      <c r="Q181" s="910">
        <f t="shared" si="22"/>
        <v>0</v>
      </c>
      <c r="R181" s="1344">
        <f t="shared" si="23"/>
        <v>2</v>
      </c>
      <c r="S181" s="1344">
        <f>(1/9)*cnst_fish!$C$7*(1/cnst_fish!$C$8)^(R181-1)</f>
        <v>1.4102564102564099</v>
      </c>
      <c r="T181" s="1362">
        <f t="shared" si="24"/>
        <v>0</v>
      </c>
      <c r="W181" s="1612"/>
      <c r="X181" s="1612"/>
      <c r="Y181" s="1613"/>
      <c r="Z181" s="1614"/>
      <c r="AA181" s="1614"/>
      <c r="AB181" s="1615"/>
      <c r="AC181" s="1615"/>
      <c r="AD181" s="583"/>
      <c r="AE181" s="583"/>
    </row>
    <row r="182" spans="1:31" ht="14">
      <c r="A182" s="1384" t="s">
        <v>5649</v>
      </c>
      <c r="B182" s="19" t="s">
        <v>5650</v>
      </c>
      <c r="C182" s="1383">
        <v>10813</v>
      </c>
      <c r="D182" s="1236"/>
      <c r="E182" s="1236"/>
      <c r="F182" s="1344">
        <f>(1/S182)*cnst_fish!$C$6</f>
        <v>3.304386563831508E-2</v>
      </c>
      <c r="G182" s="1344">
        <f t="shared" si="26"/>
        <v>1</v>
      </c>
      <c r="H182" s="1344">
        <f t="shared" si="26"/>
        <v>0.367192066876738</v>
      </c>
      <c r="I182" s="1344">
        <f t="shared" si="19"/>
        <v>0</v>
      </c>
      <c r="J182" s="902">
        <f t="shared" si="20"/>
        <v>0</v>
      </c>
      <c r="L182" s="1460">
        <v>0</v>
      </c>
      <c r="M182" s="1236"/>
      <c r="N182" s="1240" t="s">
        <v>1806</v>
      </c>
      <c r="O182" s="1241" t="s">
        <v>4841</v>
      </c>
      <c r="P182" s="910">
        <f t="shared" si="21"/>
        <v>0</v>
      </c>
      <c r="Q182" s="910">
        <f t="shared" si="22"/>
        <v>0</v>
      </c>
      <c r="R182" s="1344">
        <f t="shared" si="23"/>
        <v>3.96</v>
      </c>
      <c r="S182" s="1344">
        <f>(1/9)*cnst_fish!$C$7*(1/cnst_fish!$C$8)^(R182-1)</f>
        <v>128.61691324250009</v>
      </c>
      <c r="T182" s="1362">
        <f t="shared" si="24"/>
        <v>0</v>
      </c>
      <c r="W182" s="1612"/>
      <c r="X182" s="1612"/>
      <c r="Y182" s="1613"/>
      <c r="Z182" s="1614"/>
      <c r="AA182" s="1614"/>
      <c r="AB182" s="1615"/>
      <c r="AC182" s="1615"/>
      <c r="AD182" s="583"/>
      <c r="AE182" s="583"/>
    </row>
    <row r="183" spans="1:31" ht="14">
      <c r="A183" s="1384" t="s">
        <v>3447</v>
      </c>
      <c r="B183" s="19" t="s">
        <v>4612</v>
      </c>
      <c r="C183" s="1383">
        <v>2863</v>
      </c>
      <c r="D183" s="1236"/>
      <c r="E183" s="1236"/>
      <c r="F183" s="1344">
        <f>(1/S183)*cnst_fish!$C$6</f>
        <v>4.7762917572805388E-2</v>
      </c>
      <c r="G183" s="1344">
        <f t="shared" si="26"/>
        <v>1</v>
      </c>
      <c r="H183" s="1344">
        <f t="shared" si="26"/>
        <v>0.367192066876738</v>
      </c>
      <c r="I183" s="1344">
        <f t="shared" si="19"/>
        <v>0</v>
      </c>
      <c r="J183" s="902">
        <f t="shared" si="20"/>
        <v>0</v>
      </c>
      <c r="L183" s="1460">
        <v>2</v>
      </c>
      <c r="M183" s="1236"/>
      <c r="N183" s="1240" t="s">
        <v>1806</v>
      </c>
      <c r="O183" s="1241" t="s">
        <v>4841</v>
      </c>
      <c r="P183" s="910">
        <f t="shared" si="21"/>
        <v>0</v>
      </c>
      <c r="Q183" s="910">
        <f t="shared" si="22"/>
        <v>2</v>
      </c>
      <c r="R183" s="1344">
        <f t="shared" si="23"/>
        <v>3.8</v>
      </c>
      <c r="S183" s="1344">
        <f>(1/9)*cnst_fish!$C$7*(1/cnst_fish!$C$8)^(R183-1)</f>
        <v>88.981163965155432</v>
      </c>
      <c r="T183" s="1362">
        <f t="shared" si="24"/>
        <v>15.375612945629808</v>
      </c>
      <c r="W183" s="1612"/>
      <c r="X183" s="1612"/>
      <c r="Y183" s="1613"/>
      <c r="Z183" s="1614"/>
      <c r="AA183" s="1614"/>
      <c r="AB183" s="1615"/>
      <c r="AC183" s="1615"/>
      <c r="AD183" s="583"/>
      <c r="AE183" s="583"/>
    </row>
    <row r="184" spans="1:31" ht="14">
      <c r="A184" s="1384" t="s">
        <v>3339</v>
      </c>
      <c r="B184" s="19" t="s">
        <v>4613</v>
      </c>
      <c r="C184" s="1383">
        <v>2861</v>
      </c>
      <c r="D184" s="1236"/>
      <c r="E184" s="1236"/>
      <c r="F184" s="1344">
        <f>(1/S184)*cnst_fish!$C$6</f>
        <v>3.460117504783787E-2</v>
      </c>
      <c r="G184" s="1344">
        <f t="shared" si="26"/>
        <v>1</v>
      </c>
      <c r="H184" s="1344">
        <f t="shared" si="26"/>
        <v>0.367192066876738</v>
      </c>
      <c r="I184" s="1344">
        <f t="shared" si="19"/>
        <v>0</v>
      </c>
      <c r="J184" s="902">
        <f t="shared" si="20"/>
        <v>0</v>
      </c>
      <c r="L184" s="1460">
        <v>0</v>
      </c>
      <c r="M184" s="1236"/>
      <c r="N184" s="1240" t="s">
        <v>1806</v>
      </c>
      <c r="O184" s="1241" t="s">
        <v>4841</v>
      </c>
      <c r="P184" s="910">
        <f t="shared" si="21"/>
        <v>0</v>
      </c>
      <c r="Q184" s="910">
        <f t="shared" si="22"/>
        <v>0</v>
      </c>
      <c r="R184" s="1344">
        <f t="shared" si="23"/>
        <v>3.94</v>
      </c>
      <c r="S184" s="1344">
        <f>(1/9)*cnst_fish!$C$7*(1/cnst_fish!$C$8)^(R184-1)</f>
        <v>122.82819858354985</v>
      </c>
      <c r="T184" s="1362">
        <f t="shared" si="24"/>
        <v>0</v>
      </c>
      <c r="W184" s="1612"/>
      <c r="X184" s="1612"/>
      <c r="Y184" s="1613"/>
      <c r="Z184" s="1614"/>
      <c r="AA184" s="1614"/>
      <c r="AB184" s="1615"/>
      <c r="AC184" s="1615"/>
      <c r="AD184" s="583"/>
      <c r="AE184" s="583"/>
    </row>
    <row r="185" spans="1:31" ht="14">
      <c r="A185" s="1384" t="s">
        <v>5606</v>
      </c>
      <c r="B185" s="19" t="s">
        <v>5039</v>
      </c>
      <c r="C185" s="1383">
        <v>18729</v>
      </c>
      <c r="D185" s="1236">
        <v>12</v>
      </c>
      <c r="E185" s="1236"/>
      <c r="F185" s="1344">
        <f>(1/S185)*cnst_fish!$C$6</f>
        <v>6.4430402969999093E-2</v>
      </c>
      <c r="G185" s="1344">
        <f t="shared" si="26"/>
        <v>1</v>
      </c>
      <c r="H185" s="1344">
        <f t="shared" si="26"/>
        <v>0.367192066876738</v>
      </c>
      <c r="I185" s="1344">
        <f t="shared" si="19"/>
        <v>68.388596057246076</v>
      </c>
      <c r="J185" s="902">
        <f t="shared" si="20"/>
        <v>0</v>
      </c>
      <c r="L185" s="1460">
        <v>54</v>
      </c>
      <c r="M185" s="1236"/>
      <c r="N185" s="1240" t="s">
        <v>1806</v>
      </c>
      <c r="O185" s="1241" t="s">
        <v>4841</v>
      </c>
      <c r="P185" s="910">
        <f t="shared" si="21"/>
        <v>12</v>
      </c>
      <c r="Q185" s="910">
        <f t="shared" si="22"/>
        <v>54</v>
      </c>
      <c r="R185" s="1344">
        <f t="shared" si="23"/>
        <v>3.67</v>
      </c>
      <c r="S185" s="1344">
        <f>(1/9)*cnst_fish!$C$7*(1/cnst_fish!$C$8)^(R185-1)</f>
        <v>65.962648130245896</v>
      </c>
      <c r="T185" s="1362">
        <f t="shared" si="24"/>
        <v>307.74868225760736</v>
      </c>
      <c r="W185" s="1612"/>
      <c r="X185" s="1612"/>
      <c r="Y185" s="1613"/>
      <c r="Z185" s="1614"/>
      <c r="AA185" s="1614"/>
      <c r="AB185" s="1615"/>
      <c r="AC185" s="1615"/>
      <c r="AD185" s="583"/>
      <c r="AE185" s="583"/>
    </row>
    <row r="186" spans="1:31" ht="14">
      <c r="A186" s="1384" t="s">
        <v>3940</v>
      </c>
      <c r="B186" s="19" t="s">
        <v>5532</v>
      </c>
      <c r="C186" s="1383">
        <v>2208</v>
      </c>
      <c r="D186" s="1236"/>
      <c r="E186" s="1236"/>
      <c r="F186" s="1344">
        <f>(1/S186)*cnst_fish!$C$6</f>
        <v>1.8581931192461935E-2</v>
      </c>
      <c r="G186" s="1344">
        <f t="shared" si="26"/>
        <v>1</v>
      </c>
      <c r="H186" s="1344">
        <f t="shared" si="26"/>
        <v>0.367192066876738</v>
      </c>
      <c r="I186" s="1344">
        <f t="shared" si="19"/>
        <v>0</v>
      </c>
      <c r="J186" s="902">
        <f t="shared" si="20"/>
        <v>0</v>
      </c>
      <c r="L186" s="1460">
        <v>1053</v>
      </c>
      <c r="M186" s="1236"/>
      <c r="N186" s="1240" t="s">
        <v>1806</v>
      </c>
      <c r="O186" s="1241" t="s">
        <v>4859</v>
      </c>
      <c r="P186" s="910">
        <f t="shared" si="21"/>
        <v>0</v>
      </c>
      <c r="Q186" s="910">
        <f t="shared" si="22"/>
        <v>1053</v>
      </c>
      <c r="R186" s="1344">
        <f t="shared" si="23"/>
        <v>4.21</v>
      </c>
      <c r="S186" s="1344">
        <f>(1/9)*cnst_fish!$C$7*(1/cnst_fish!$C$8)^(R186-1)</f>
        <v>228.71680860190045</v>
      </c>
      <c r="T186" s="1362">
        <f t="shared" si="24"/>
        <v>20808.022719299348</v>
      </c>
      <c r="W186" s="1612"/>
      <c r="X186" s="1612"/>
      <c r="Y186" s="1613"/>
      <c r="Z186" s="1614"/>
      <c r="AA186" s="1614"/>
      <c r="AB186" s="1615"/>
      <c r="AC186" s="1615"/>
      <c r="AD186" s="583"/>
      <c r="AE186" s="583"/>
    </row>
    <row r="187" spans="1:31" ht="14">
      <c r="A187" s="1384" t="s">
        <v>3629</v>
      </c>
      <c r="B187" s="19" t="s">
        <v>5533</v>
      </c>
      <c r="C187" s="1383">
        <v>2997</v>
      </c>
      <c r="D187" s="1236"/>
      <c r="E187" s="1236"/>
      <c r="F187" s="1344">
        <f>(1/S187)*cnst_fish!$C$6</f>
        <v>1.7745606522761578E-2</v>
      </c>
      <c r="G187" s="1344">
        <f t="shared" si="26"/>
        <v>1</v>
      </c>
      <c r="H187" s="1344">
        <f t="shared" si="26"/>
        <v>0.367192066876738</v>
      </c>
      <c r="I187" s="1344">
        <f t="shared" si="19"/>
        <v>0</v>
      </c>
      <c r="J187" s="902">
        <f t="shared" si="20"/>
        <v>0</v>
      </c>
      <c r="L187" s="1460">
        <v>1286</v>
      </c>
      <c r="M187" s="1236"/>
      <c r="N187" s="1240" t="s">
        <v>1806</v>
      </c>
      <c r="O187" s="1241" t="s">
        <v>4859</v>
      </c>
      <c r="P187" s="910">
        <f t="shared" si="21"/>
        <v>0</v>
      </c>
      <c r="Q187" s="910">
        <f t="shared" si="22"/>
        <v>1286</v>
      </c>
      <c r="R187" s="1344">
        <f t="shared" si="23"/>
        <v>4.2300000000000004</v>
      </c>
      <c r="S187" s="1344">
        <f>(1/9)*cnst_fish!$C$7*(1/cnst_fish!$C$8)^(R187-1)</f>
        <v>239.49589970614389</v>
      </c>
      <c r="T187" s="1362">
        <f t="shared" si="24"/>
        <v>26609.910312042673</v>
      </c>
      <c r="W187" s="1612"/>
      <c r="X187" s="1612"/>
      <c r="Y187" s="1613"/>
      <c r="Z187" s="1614"/>
      <c r="AA187" s="1614"/>
      <c r="AB187" s="1615"/>
      <c r="AC187" s="1615"/>
      <c r="AD187" s="583"/>
      <c r="AE187" s="583"/>
    </row>
    <row r="188" spans="1:31" ht="14">
      <c r="A188" s="1384" t="s">
        <v>3946</v>
      </c>
      <c r="B188" s="19" t="s">
        <v>2692</v>
      </c>
      <c r="C188" s="1383">
        <v>18626</v>
      </c>
      <c r="D188" s="1236"/>
      <c r="E188" s="1236"/>
      <c r="F188" s="1344">
        <f>(1/S188)*cnst_fish!$C$6</f>
        <v>3.1556646698079359E-2</v>
      </c>
      <c r="G188" s="1344">
        <f t="shared" ref="G188:H207" si="27">G$7</f>
        <v>1</v>
      </c>
      <c r="H188" s="1344">
        <f t="shared" si="27"/>
        <v>0.367192066876738</v>
      </c>
      <c r="I188" s="1344">
        <f t="shared" si="19"/>
        <v>0</v>
      </c>
      <c r="J188" s="902">
        <f t="shared" si="20"/>
        <v>0</v>
      </c>
      <c r="L188" s="1460">
        <v>16</v>
      </c>
      <c r="M188" s="1236"/>
      <c r="N188" s="1240" t="s">
        <v>1806</v>
      </c>
      <c r="O188" s="1241" t="s">
        <v>4841</v>
      </c>
      <c r="P188" s="910">
        <f t="shared" si="21"/>
        <v>0</v>
      </c>
      <c r="Q188" s="910">
        <f t="shared" si="22"/>
        <v>16</v>
      </c>
      <c r="R188" s="1344">
        <f t="shared" si="23"/>
        <v>3.98</v>
      </c>
      <c r="S188" s="1344">
        <f>(1/9)*cnst_fish!$C$7*(1/cnst_fish!$C$8)^(R188-1)</f>
        <v>134.67844161840773</v>
      </c>
      <c r="T188" s="1362">
        <f t="shared" si="24"/>
        <v>186.17545540367519</v>
      </c>
      <c r="W188" s="1612"/>
      <c r="X188" s="1612"/>
      <c r="Y188" s="1613"/>
      <c r="Z188" s="1614"/>
      <c r="AA188" s="1614"/>
      <c r="AB188" s="1615"/>
      <c r="AC188" s="1615"/>
      <c r="AD188" s="583"/>
      <c r="AE188" s="583"/>
    </row>
    <row r="189" spans="1:31" ht="14">
      <c r="A189" s="1384" t="s">
        <v>5250</v>
      </c>
      <c r="B189" s="19" t="s">
        <v>250</v>
      </c>
      <c r="C189" s="1383">
        <v>3656</v>
      </c>
      <c r="D189" s="1236"/>
      <c r="E189" s="1236"/>
      <c r="F189" s="1344">
        <f>(1/S189)*cnst_fish!$C$6</f>
        <v>0.21831865524078092</v>
      </c>
      <c r="G189" s="1344">
        <f t="shared" si="27"/>
        <v>1</v>
      </c>
      <c r="H189" s="1344">
        <f t="shared" si="27"/>
        <v>0.367192066876738</v>
      </c>
      <c r="I189" s="1344">
        <f t="shared" si="19"/>
        <v>0</v>
      </c>
      <c r="J189" s="902">
        <f t="shared" si="20"/>
        <v>0</v>
      </c>
      <c r="L189" s="1460">
        <v>4125</v>
      </c>
      <c r="M189" s="1236"/>
      <c r="N189" s="1240" t="s">
        <v>1806</v>
      </c>
      <c r="O189" s="1241" t="s">
        <v>4841</v>
      </c>
      <c r="P189" s="910">
        <f t="shared" si="21"/>
        <v>0</v>
      </c>
      <c r="Q189" s="910">
        <f t="shared" si="22"/>
        <v>4125</v>
      </c>
      <c r="R189" s="1344">
        <f t="shared" si="23"/>
        <v>3.14</v>
      </c>
      <c r="S189" s="1344">
        <f>(1/9)*cnst_fish!$C$7*(1/cnst_fish!$C$8)^(R189-1)</f>
        <v>19.466957577733005</v>
      </c>
      <c r="T189" s="1362">
        <f t="shared" si="24"/>
        <v>6937.8737890998664</v>
      </c>
      <c r="W189" s="1612"/>
      <c r="X189" s="1612"/>
      <c r="Y189" s="1613"/>
      <c r="Z189" s="1614"/>
      <c r="AA189" s="1614"/>
      <c r="AB189" s="1615"/>
      <c r="AC189" s="1615"/>
      <c r="AD189" s="583"/>
      <c r="AE189" s="583"/>
    </row>
    <row r="190" spans="1:31" ht="14">
      <c r="A190" s="1384" t="s">
        <v>4013</v>
      </c>
      <c r="B190" s="19" t="s">
        <v>4014</v>
      </c>
      <c r="C190" s="1383">
        <v>17001</v>
      </c>
      <c r="D190" s="1236"/>
      <c r="E190" s="1236"/>
      <c r="F190" s="1344">
        <f>(1/S190)*cnst_fish!$C$6</f>
        <v>2.6859062362848789E-2</v>
      </c>
      <c r="G190" s="1344">
        <f t="shared" si="27"/>
        <v>1</v>
      </c>
      <c r="H190" s="1344">
        <f t="shared" si="27"/>
        <v>0.367192066876738</v>
      </c>
      <c r="I190" s="1344">
        <f t="shared" si="19"/>
        <v>0</v>
      </c>
      <c r="J190" s="902">
        <f t="shared" si="20"/>
        <v>0</v>
      </c>
      <c r="L190" s="1460">
        <v>82168</v>
      </c>
      <c r="M190" s="1236"/>
      <c r="N190" s="1240" t="s">
        <v>5368</v>
      </c>
      <c r="O190" s="1241" t="s">
        <v>4835</v>
      </c>
      <c r="P190" s="910">
        <f t="shared" si="21"/>
        <v>0</v>
      </c>
      <c r="Q190" s="910">
        <f t="shared" si="22"/>
        <v>82168</v>
      </c>
      <c r="R190" s="1344">
        <f t="shared" si="23"/>
        <v>4.05</v>
      </c>
      <c r="S190" s="1344">
        <f>(1/9)*cnst_fish!$C$7*(1/cnst_fish!$C$8)^(R190-1)</f>
        <v>158.23337176053329</v>
      </c>
      <c r="T190" s="1362">
        <f t="shared" si="24"/>
        <v>1123324.3120527046</v>
      </c>
      <c r="W190" s="1612"/>
      <c r="X190" s="1612"/>
      <c r="Y190" s="1613"/>
      <c r="Z190" s="1614"/>
      <c r="AA190" s="1614"/>
      <c r="AB190" s="1615"/>
      <c r="AC190" s="1615"/>
      <c r="AD190" s="583"/>
      <c r="AE190" s="583"/>
    </row>
    <row r="191" spans="1:31" ht="14">
      <c r="A191" s="1384" t="s">
        <v>3480</v>
      </c>
      <c r="B191" s="19" t="s">
        <v>3481</v>
      </c>
      <c r="C191" s="1383">
        <v>10871</v>
      </c>
      <c r="D191" s="1236"/>
      <c r="E191" s="1236"/>
      <c r="F191" s="1344">
        <f>(1/S191)*cnst_fish!$C$6</f>
        <v>2.234039499920492E-2</v>
      </c>
      <c r="G191" s="1344">
        <f t="shared" si="27"/>
        <v>1</v>
      </c>
      <c r="H191" s="1344">
        <f t="shared" si="27"/>
        <v>0.367192066876738</v>
      </c>
      <c r="I191" s="1344">
        <f t="shared" si="19"/>
        <v>0</v>
      </c>
      <c r="J191" s="902">
        <f t="shared" si="20"/>
        <v>0</v>
      </c>
      <c r="L191" s="1460">
        <v>3662</v>
      </c>
      <c r="M191" s="1236"/>
      <c r="N191" s="1240" t="s">
        <v>1806</v>
      </c>
      <c r="O191" s="1241" t="s">
        <v>4841</v>
      </c>
      <c r="P191" s="910">
        <f t="shared" si="21"/>
        <v>0</v>
      </c>
      <c r="Q191" s="910">
        <f t="shared" si="22"/>
        <v>3662</v>
      </c>
      <c r="R191" s="1344">
        <f t="shared" si="23"/>
        <v>4.13</v>
      </c>
      <c r="S191" s="1344">
        <f>(1/9)*cnst_fish!$C$7*(1/cnst_fish!$C$8)^(R191-1)</f>
        <v>190.23835523728451</v>
      </c>
      <c r="T191" s="1362">
        <f t="shared" si="24"/>
        <v>60189.506450108434</v>
      </c>
      <c r="W191" s="1612"/>
      <c r="X191" s="1612"/>
      <c r="Y191" s="1613"/>
      <c r="Z191" s="1614"/>
      <c r="AA191" s="1614"/>
      <c r="AB191" s="1615"/>
      <c r="AC191" s="1615"/>
      <c r="AD191" s="583"/>
      <c r="AE191" s="583"/>
    </row>
    <row r="192" spans="1:31" ht="14">
      <c r="A192" s="1384" t="s">
        <v>2918</v>
      </c>
      <c r="B192" s="19" t="s">
        <v>2919</v>
      </c>
      <c r="C192" s="1383">
        <v>3040</v>
      </c>
      <c r="D192" s="1236"/>
      <c r="E192" s="1236"/>
      <c r="F192" s="1344">
        <f>(1/S192)*cnst_fish!$C$6</f>
        <v>1.256292732912874E-2</v>
      </c>
      <c r="G192" s="1344">
        <f t="shared" si="27"/>
        <v>1</v>
      </c>
      <c r="H192" s="1344">
        <f t="shared" si="27"/>
        <v>0.367192066876738</v>
      </c>
      <c r="I192" s="1344">
        <f t="shared" si="19"/>
        <v>0</v>
      </c>
      <c r="J192" s="902">
        <f t="shared" si="20"/>
        <v>0</v>
      </c>
      <c r="L192" s="1460">
        <v>171</v>
      </c>
      <c r="M192" s="1236"/>
      <c r="N192" s="1240" t="s">
        <v>1806</v>
      </c>
      <c r="O192" s="1241" t="s">
        <v>4841</v>
      </c>
      <c r="P192" s="910">
        <f t="shared" si="21"/>
        <v>0</v>
      </c>
      <c r="Q192" s="910">
        <f t="shared" si="22"/>
        <v>171</v>
      </c>
      <c r="R192" s="1344">
        <f t="shared" si="23"/>
        <v>4.38</v>
      </c>
      <c r="S192" s="1344">
        <f>(1/9)*cnst_fish!$C$7*(1/cnst_fish!$C$8)^(R192-1)</f>
        <v>338.2969501181334</v>
      </c>
      <c r="T192" s="1362">
        <f t="shared" si="24"/>
        <v>4998.0264782982531</v>
      </c>
      <c r="W192" s="1612"/>
      <c r="X192" s="1612"/>
      <c r="Y192" s="1613"/>
      <c r="Z192" s="1614"/>
      <c r="AA192" s="1614"/>
      <c r="AB192" s="1615"/>
      <c r="AC192" s="1615"/>
      <c r="AD192" s="583"/>
      <c r="AE192" s="583"/>
    </row>
    <row r="193" spans="1:31" ht="14">
      <c r="A193" s="1384" t="s">
        <v>2754</v>
      </c>
      <c r="B193" s="19" t="s">
        <v>251</v>
      </c>
      <c r="C193" s="1383">
        <v>2248</v>
      </c>
      <c r="D193" s="1236"/>
      <c r="E193" s="1236"/>
      <c r="F193" s="1344">
        <f>(1/S193)*cnst_fish!$C$6</f>
        <v>1.6561163607618418E-2</v>
      </c>
      <c r="G193" s="1344">
        <f t="shared" si="27"/>
        <v>1</v>
      </c>
      <c r="H193" s="1344">
        <f t="shared" si="27"/>
        <v>0.367192066876738</v>
      </c>
      <c r="I193" s="1344">
        <f t="shared" si="19"/>
        <v>0</v>
      </c>
      <c r="J193" s="902">
        <f t="shared" si="20"/>
        <v>0</v>
      </c>
      <c r="L193" s="1460">
        <v>5218</v>
      </c>
      <c r="M193" s="1236"/>
      <c r="N193" s="1240" t="s">
        <v>1806</v>
      </c>
      <c r="O193" s="1241" t="s">
        <v>4841</v>
      </c>
      <c r="P193" s="910">
        <f t="shared" si="21"/>
        <v>0</v>
      </c>
      <c r="Q193" s="910">
        <f t="shared" si="22"/>
        <v>5218</v>
      </c>
      <c r="R193" s="1344">
        <f t="shared" si="23"/>
        <v>4.26</v>
      </c>
      <c r="S193" s="1344">
        <f>(1/9)*cnst_fish!$C$7*(1/cnst_fish!$C$8)^(R193-1)</f>
        <v>256.62448006038221</v>
      </c>
      <c r="T193" s="1362">
        <f t="shared" si="24"/>
        <v>115692.84926823757</v>
      </c>
      <c r="W193" s="1612"/>
      <c r="X193" s="1612"/>
      <c r="Y193" s="1613"/>
      <c r="Z193" s="1614"/>
      <c r="AA193" s="1614"/>
      <c r="AB193" s="1615"/>
      <c r="AC193" s="1615"/>
      <c r="AD193" s="583"/>
      <c r="AE193" s="583"/>
    </row>
    <row r="194" spans="1:31" ht="14">
      <c r="A194" s="1384" t="s">
        <v>3837</v>
      </c>
      <c r="B194" s="19" t="s">
        <v>4703</v>
      </c>
      <c r="C194" s="1383">
        <v>2725</v>
      </c>
      <c r="D194" s="1236">
        <v>1610</v>
      </c>
      <c r="E194" s="1236"/>
      <c r="F194" s="1344">
        <f>(1/S194)*cnst_fish!$C$6</f>
        <v>2.3938164528281742</v>
      </c>
      <c r="G194" s="1344">
        <f t="shared" si="27"/>
        <v>1</v>
      </c>
      <c r="H194" s="1344">
        <f t="shared" si="27"/>
        <v>0.367192066876738</v>
      </c>
      <c r="I194" s="1344">
        <f t="shared" si="19"/>
        <v>246.96096769370078</v>
      </c>
      <c r="J194" s="902">
        <f t="shared" si="20"/>
        <v>0</v>
      </c>
      <c r="L194" s="1460">
        <v>69424</v>
      </c>
      <c r="M194" s="1236">
        <v>607</v>
      </c>
      <c r="N194" s="1240" t="s">
        <v>1804</v>
      </c>
      <c r="O194" s="1241" t="s">
        <v>4851</v>
      </c>
      <c r="P194" s="910">
        <f t="shared" si="21"/>
        <v>1610</v>
      </c>
      <c r="Q194" s="910">
        <f t="shared" si="22"/>
        <v>70031</v>
      </c>
      <c r="R194" s="1344">
        <f t="shared" si="23"/>
        <v>2.1</v>
      </c>
      <c r="S194" s="1344">
        <f>(1/9)*cnst_fish!$C$7*(1/cnst_fish!$C$8)^(R194-1)</f>
        <v>1.7754076320174161</v>
      </c>
      <c r="T194" s="1362">
        <f t="shared" si="24"/>
        <v>10742.188527054386</v>
      </c>
      <c r="W194" s="1612"/>
      <c r="X194" s="1612"/>
      <c r="Y194" s="1613"/>
      <c r="Z194" s="1614"/>
      <c r="AA194" s="1614"/>
      <c r="AB194" s="1615"/>
      <c r="AC194" s="1615"/>
      <c r="AD194" s="583"/>
      <c r="AE194" s="583"/>
    </row>
    <row r="195" spans="1:31" ht="14">
      <c r="A195" s="1585" t="s">
        <v>8486</v>
      </c>
      <c r="B195" s="1586" t="s">
        <v>8487</v>
      </c>
      <c r="C195" s="1383">
        <v>3251</v>
      </c>
      <c r="D195" s="1236"/>
      <c r="E195" s="1236"/>
      <c r="F195" s="1344">
        <f>(1/S195)*cnst_fish!$C$6</f>
        <v>1.4760152601876353</v>
      </c>
      <c r="G195" s="1344">
        <f t="shared" si="27"/>
        <v>1</v>
      </c>
      <c r="H195" s="1344">
        <f t="shared" si="27"/>
        <v>0.367192066876738</v>
      </c>
      <c r="I195" s="1344">
        <f t="shared" si="19"/>
        <v>0</v>
      </c>
      <c r="J195" s="902">
        <f t="shared" si="20"/>
        <v>0</v>
      </c>
      <c r="L195" s="1460">
        <v>0</v>
      </c>
      <c r="M195" s="1236"/>
      <c r="N195" s="1240" t="s">
        <v>1806</v>
      </c>
      <c r="O195" s="1241" t="s">
        <v>4841</v>
      </c>
      <c r="P195" s="910">
        <f t="shared" si="21"/>
        <v>0</v>
      </c>
      <c r="Q195" s="910">
        <f t="shared" si="22"/>
        <v>0</v>
      </c>
      <c r="R195" s="1344">
        <f t="shared" si="23"/>
        <v>2.31</v>
      </c>
      <c r="S195" s="1344">
        <f>(1/9)*cnst_fish!$C$7*(1/cnst_fish!$C$8)^(R195-1)</f>
        <v>2.8793740245339521</v>
      </c>
      <c r="T195" s="1362">
        <f t="shared" si="24"/>
        <v>0</v>
      </c>
      <c r="W195" s="1616"/>
      <c r="X195" s="1616"/>
      <c r="Y195" s="1613"/>
      <c r="Z195" s="1614"/>
      <c r="AA195" s="1614"/>
      <c r="AB195" s="1615"/>
      <c r="AC195" s="1615"/>
      <c r="AD195" s="583"/>
      <c r="AE195" s="583"/>
    </row>
    <row r="196" spans="1:31" ht="14">
      <c r="A196" s="1384" t="s">
        <v>951</v>
      </c>
      <c r="B196" s="19" t="s">
        <v>5285</v>
      </c>
      <c r="C196" s="1383">
        <v>10120</v>
      </c>
      <c r="D196" s="1236"/>
      <c r="E196" s="1236"/>
      <c r="F196" s="1344">
        <f>(1/S196)*cnst_fish!$C$6</f>
        <v>0.25650205424007994</v>
      </c>
      <c r="G196" s="1344">
        <f t="shared" si="27"/>
        <v>1</v>
      </c>
      <c r="H196" s="1344">
        <f t="shared" si="27"/>
        <v>0.367192066876738</v>
      </c>
      <c r="I196" s="1344">
        <f t="shared" si="19"/>
        <v>0</v>
      </c>
      <c r="J196" s="902">
        <f t="shared" si="20"/>
        <v>0</v>
      </c>
      <c r="L196" s="1460">
        <v>102</v>
      </c>
      <c r="M196" s="1236">
        <v>7879</v>
      </c>
      <c r="N196" s="1240" t="s">
        <v>1806</v>
      </c>
      <c r="O196" s="1241" t="s">
        <v>4845</v>
      </c>
      <c r="P196" s="910">
        <f t="shared" si="21"/>
        <v>0</v>
      </c>
      <c r="Q196" s="910">
        <f t="shared" si="22"/>
        <v>7981</v>
      </c>
      <c r="R196" s="1344">
        <f t="shared" si="23"/>
        <v>3.07</v>
      </c>
      <c r="S196" s="1344">
        <f>(1/9)*cnst_fish!$C$7*(1/cnst_fish!$C$8)^(R196-1)</f>
        <v>16.569068082480538</v>
      </c>
      <c r="T196" s="1362">
        <f t="shared" si="24"/>
        <v>11425.093239215583</v>
      </c>
      <c r="W196" s="1612"/>
      <c r="X196" s="1612"/>
      <c r="Y196" s="1613"/>
      <c r="Z196" s="1614"/>
      <c r="AA196" s="1614"/>
      <c r="AB196" s="1615"/>
      <c r="AC196" s="1615"/>
      <c r="AD196" s="583"/>
      <c r="AE196" s="583"/>
    </row>
    <row r="197" spans="1:31" ht="14">
      <c r="A197" s="1384" t="s">
        <v>3262</v>
      </c>
      <c r="B197" s="19" t="s">
        <v>5040</v>
      </c>
      <c r="C197" s="1383">
        <v>10898</v>
      </c>
      <c r="D197" s="1236"/>
      <c r="E197" s="1236"/>
      <c r="F197" s="1344">
        <f>(1/S197)*cnst_fish!$C$6</f>
        <v>0.64430402969999101</v>
      </c>
      <c r="G197" s="1344">
        <f t="shared" si="27"/>
        <v>1</v>
      </c>
      <c r="H197" s="1344">
        <f t="shared" si="27"/>
        <v>0.367192066876738</v>
      </c>
      <c r="I197" s="1344">
        <f t="shared" si="19"/>
        <v>0</v>
      </c>
      <c r="J197" s="902">
        <f t="shared" si="20"/>
        <v>0</v>
      </c>
      <c r="L197" s="1460">
        <v>186</v>
      </c>
      <c r="M197" s="1236"/>
      <c r="N197" s="1240" t="s">
        <v>1806</v>
      </c>
      <c r="O197" s="1241" t="s">
        <v>4841</v>
      </c>
      <c r="P197" s="910">
        <f t="shared" si="21"/>
        <v>0</v>
      </c>
      <c r="Q197" s="910">
        <f t="shared" si="22"/>
        <v>186</v>
      </c>
      <c r="R197" s="1344">
        <f t="shared" si="23"/>
        <v>2.67</v>
      </c>
      <c r="S197" s="1344">
        <f>(1/9)*cnst_fish!$C$7*(1/cnst_fish!$C$8)^(R197-1)</f>
        <v>6.5962648130245887</v>
      </c>
      <c r="T197" s="1362">
        <f t="shared" si="24"/>
        <v>106.0023238887314</v>
      </c>
      <c r="W197" s="1612"/>
      <c r="X197" s="1612"/>
      <c r="Y197" s="1613"/>
      <c r="Z197" s="1614"/>
      <c r="AA197" s="1614"/>
      <c r="AB197" s="1615"/>
      <c r="AC197" s="1615"/>
      <c r="AD197" s="583"/>
      <c r="AE197" s="583"/>
    </row>
    <row r="198" spans="1:31" ht="14">
      <c r="A198" s="1384" t="s">
        <v>964</v>
      </c>
      <c r="B198" s="19" t="s">
        <v>2813</v>
      </c>
      <c r="C198" s="1383">
        <v>2385</v>
      </c>
      <c r="D198" s="1236"/>
      <c r="E198" s="1236"/>
      <c r="F198" s="1344">
        <f>(1/S198)*cnst_fish!$C$6</f>
        <v>0.32291695426024208</v>
      </c>
      <c r="G198" s="1344">
        <f t="shared" si="27"/>
        <v>1</v>
      </c>
      <c r="H198" s="1344">
        <f t="shared" si="27"/>
        <v>0.367192066876738</v>
      </c>
      <c r="I198" s="1344">
        <f t="shared" si="19"/>
        <v>0</v>
      </c>
      <c r="J198" s="902">
        <f t="shared" si="20"/>
        <v>0</v>
      </c>
      <c r="L198" s="1460">
        <v>39407</v>
      </c>
      <c r="M198" s="1236"/>
      <c r="N198" s="1240" t="s">
        <v>1806</v>
      </c>
      <c r="O198" s="1241" t="s">
        <v>4841</v>
      </c>
      <c r="P198" s="910">
        <f t="shared" si="21"/>
        <v>0</v>
      </c>
      <c r="Q198" s="910">
        <f t="shared" si="22"/>
        <v>39407</v>
      </c>
      <c r="R198" s="1344">
        <f t="shared" si="23"/>
        <v>2.97</v>
      </c>
      <c r="S198" s="1344">
        <f>(1/9)*cnst_fish!$C$7*(1/cnst_fish!$C$8)^(R198-1)</f>
        <v>13.161278600983215</v>
      </c>
      <c r="T198" s="1362">
        <f t="shared" si="24"/>
        <v>44810.089989112625</v>
      </c>
      <c r="W198" s="1612"/>
      <c r="X198" s="1612"/>
      <c r="Y198" s="1613"/>
      <c r="Z198" s="1614"/>
      <c r="AA198" s="1614"/>
      <c r="AB198" s="1615"/>
      <c r="AC198" s="1615"/>
      <c r="AD198" s="583"/>
      <c r="AE198" s="583"/>
    </row>
    <row r="199" spans="1:31" ht="14">
      <c r="A199" s="1384" t="s">
        <v>4926</v>
      </c>
      <c r="B199" s="19" t="s">
        <v>549</v>
      </c>
      <c r="C199" s="1383">
        <v>2233</v>
      </c>
      <c r="D199" s="1236"/>
      <c r="E199" s="1236"/>
      <c r="F199" s="1344">
        <f>(1/S199)*cnst_fish!$C$6</f>
        <v>0.23883108277661491</v>
      </c>
      <c r="G199" s="1344">
        <f t="shared" si="27"/>
        <v>1</v>
      </c>
      <c r="H199" s="1344">
        <f t="shared" si="27"/>
        <v>0.367192066876738</v>
      </c>
      <c r="I199" s="1344">
        <f t="shared" ref="I199:I262" si="28">IF($F199=0,0,D199/$F199*$H199*$G199)</f>
        <v>0</v>
      </c>
      <c r="J199" s="902">
        <f t="shared" ref="J199:J262" si="29">IF($F199=0,0,E199/$F199*$H199*$G199)</f>
        <v>0</v>
      </c>
      <c r="L199" s="1460">
        <v>50</v>
      </c>
      <c r="M199" s="1236"/>
      <c r="N199" s="1240" t="s">
        <v>5366</v>
      </c>
      <c r="O199" s="1241" t="s">
        <v>4841</v>
      </c>
      <c r="P199" s="910">
        <f t="shared" ref="P199:P262" si="30">D199+E199</f>
        <v>0</v>
      </c>
      <c r="Q199" s="910">
        <f t="shared" ref="Q199:Q262" si="31">L199+M199</f>
        <v>50</v>
      </c>
      <c r="R199" s="1344">
        <f t="shared" ref="R199:R262" si="32">VLOOKUP(B199,constant_fish_trophic,3,FALSE)</f>
        <v>3.101</v>
      </c>
      <c r="S199" s="1344">
        <f>(1/9)*cnst_fish!$C$7*(1/cnst_fish!$C$8)^(R199-1)</f>
        <v>17.795003692945354</v>
      </c>
      <c r="T199" s="1362">
        <f t="shared" ref="T199:T262" si="33">IF(F199=0,0,Q199/F199*H199*G199)</f>
        <v>76.87275513049164</v>
      </c>
      <c r="W199" s="1612"/>
      <c r="X199" s="1612"/>
      <c r="Y199" s="1613"/>
      <c r="Z199" s="1614"/>
      <c r="AA199" s="1614"/>
      <c r="AB199" s="1615"/>
      <c r="AC199" s="1615"/>
      <c r="AD199" s="583"/>
      <c r="AE199" s="583"/>
    </row>
    <row r="200" spans="1:31" ht="14">
      <c r="A200" s="1384" t="s">
        <v>6867</v>
      </c>
      <c r="B200" s="19" t="s">
        <v>6866</v>
      </c>
      <c r="C200" s="1383">
        <v>10906</v>
      </c>
      <c r="D200" s="1236"/>
      <c r="E200" s="1236"/>
      <c r="F200" s="1344">
        <f>(1/S200)*cnst_fish!$C$6</f>
        <v>3.0136363636363641</v>
      </c>
      <c r="G200" s="1344">
        <f t="shared" si="27"/>
        <v>1</v>
      </c>
      <c r="H200" s="1344">
        <f t="shared" si="27"/>
        <v>0.367192066876738</v>
      </c>
      <c r="I200" s="1344">
        <f t="shared" si="28"/>
        <v>0</v>
      </c>
      <c r="J200" s="902">
        <f t="shared" si="29"/>
        <v>0</v>
      </c>
      <c r="L200" s="1460">
        <v>0</v>
      </c>
      <c r="M200" s="1236"/>
      <c r="N200" s="1240" t="s">
        <v>1806</v>
      </c>
      <c r="O200" s="1241" t="s">
        <v>4841</v>
      </c>
      <c r="P200" s="910">
        <f t="shared" si="30"/>
        <v>0</v>
      </c>
      <c r="Q200" s="910">
        <f t="shared" si="31"/>
        <v>0</v>
      </c>
      <c r="R200" s="1344">
        <f t="shared" si="32"/>
        <v>2</v>
      </c>
      <c r="S200" s="1344">
        <f>(1/9)*cnst_fish!$C$7*(1/cnst_fish!$C$8)^(R200-1)</f>
        <v>1.4102564102564099</v>
      </c>
      <c r="T200" s="1362">
        <f t="shared" si="33"/>
        <v>0</v>
      </c>
      <c r="W200" s="1612"/>
      <c r="X200" s="1612"/>
      <c r="Y200" s="1613"/>
      <c r="Z200" s="1614"/>
      <c r="AA200" s="1614"/>
      <c r="AB200" s="1615"/>
      <c r="AC200" s="1615"/>
      <c r="AD200" s="583"/>
      <c r="AE200" s="583"/>
    </row>
    <row r="201" spans="1:31" ht="14">
      <c r="A201" s="1384" t="s">
        <v>5330</v>
      </c>
      <c r="B201" s="19" t="s">
        <v>1494</v>
      </c>
      <c r="C201" s="1383">
        <v>3348</v>
      </c>
      <c r="D201" s="1236"/>
      <c r="E201" s="1236"/>
      <c r="F201" s="1344">
        <f>(1/S201)*cnst_fish!$C$6</f>
        <v>7.3976000504507963E-2</v>
      </c>
      <c r="G201" s="1344">
        <f t="shared" si="27"/>
        <v>1</v>
      </c>
      <c r="H201" s="1344">
        <f t="shared" si="27"/>
        <v>0.367192066876738</v>
      </c>
      <c r="I201" s="1344">
        <f t="shared" si="28"/>
        <v>0</v>
      </c>
      <c r="J201" s="902">
        <f t="shared" si="29"/>
        <v>0</v>
      </c>
      <c r="L201" s="1460">
        <v>357</v>
      </c>
      <c r="M201" s="1236"/>
      <c r="N201" s="1240" t="s">
        <v>1807</v>
      </c>
      <c r="O201" s="1241" t="s">
        <v>4841</v>
      </c>
      <c r="P201" s="910">
        <f t="shared" si="30"/>
        <v>0</v>
      </c>
      <c r="Q201" s="910">
        <f t="shared" si="31"/>
        <v>357</v>
      </c>
      <c r="R201" s="1344">
        <f t="shared" si="32"/>
        <v>3.61</v>
      </c>
      <c r="S201" s="1344">
        <f>(1/9)*cnst_fish!$C$7*(1/cnst_fish!$C$8)^(R201-1)</f>
        <v>57.451064818528707</v>
      </c>
      <c r="T201" s="1362">
        <f t="shared" si="33"/>
        <v>1772.0283197387407</v>
      </c>
      <c r="W201" s="1612"/>
      <c r="X201" s="1612"/>
      <c r="Y201" s="1613"/>
      <c r="Z201" s="1614"/>
      <c r="AA201" s="1614"/>
      <c r="AB201" s="1615"/>
      <c r="AC201" s="1615"/>
      <c r="AD201" s="583"/>
      <c r="AE201" s="583"/>
    </row>
    <row r="202" spans="1:31" ht="14">
      <c r="A202" s="1384" t="s">
        <v>4086</v>
      </c>
      <c r="B202" s="19" t="s">
        <v>1495</v>
      </c>
      <c r="C202" s="1383">
        <v>10919</v>
      </c>
      <c r="D202" s="1236"/>
      <c r="E202" s="1236"/>
      <c r="F202" s="1344">
        <f>(1/S202)*cnst_fish!$C$6</f>
        <v>9.5299549485983348E-2</v>
      </c>
      <c r="G202" s="1344">
        <f t="shared" si="27"/>
        <v>1</v>
      </c>
      <c r="H202" s="1344">
        <f t="shared" si="27"/>
        <v>0.367192066876738</v>
      </c>
      <c r="I202" s="1344">
        <f t="shared" si="28"/>
        <v>0</v>
      </c>
      <c r="J202" s="902">
        <f t="shared" si="29"/>
        <v>0</v>
      </c>
      <c r="L202" s="1460">
        <v>75</v>
      </c>
      <c r="M202" s="1236"/>
      <c r="N202" s="1240" t="s">
        <v>1807</v>
      </c>
      <c r="O202" s="1241" t="s">
        <v>4841</v>
      </c>
      <c r="P202" s="910">
        <f t="shared" si="30"/>
        <v>0</v>
      </c>
      <c r="Q202" s="910">
        <f t="shared" si="31"/>
        <v>75</v>
      </c>
      <c r="R202" s="1344">
        <f t="shared" si="32"/>
        <v>3.5</v>
      </c>
      <c r="S202" s="1344">
        <f>(1/9)*cnst_fish!$C$7*(1/cnst_fish!$C$8)^(R202-1)</f>
        <v>44.596223412631026</v>
      </c>
      <c r="T202" s="1362">
        <f t="shared" si="33"/>
        <v>288.97728440789581</v>
      </c>
      <c r="W202" s="1612"/>
      <c r="X202" s="1612"/>
      <c r="Y202" s="1613"/>
      <c r="Z202" s="1614"/>
      <c r="AA202" s="1614"/>
      <c r="AB202" s="1615"/>
      <c r="AC202" s="1615"/>
      <c r="AD202" s="583"/>
      <c r="AE202" s="583"/>
    </row>
    <row r="203" spans="1:31" ht="14">
      <c r="A203" s="1384" t="s">
        <v>6603</v>
      </c>
      <c r="B203" s="19" t="s">
        <v>6602</v>
      </c>
      <c r="C203" s="1383">
        <v>10924</v>
      </c>
      <c r="D203" s="1236"/>
      <c r="E203" s="1236"/>
      <c r="F203" s="1344">
        <f>(1/S203)*cnst_fish!$C$6</f>
        <v>9.5299549485983424E-3</v>
      </c>
      <c r="G203" s="1344">
        <f t="shared" si="27"/>
        <v>1</v>
      </c>
      <c r="H203" s="1344">
        <f t="shared" si="27"/>
        <v>0.367192066876738</v>
      </c>
      <c r="I203" s="1344">
        <f t="shared" si="28"/>
        <v>0</v>
      </c>
      <c r="J203" s="902">
        <f t="shared" si="29"/>
        <v>0</v>
      </c>
      <c r="L203" s="1460"/>
      <c r="M203" s="1236">
        <v>55</v>
      </c>
      <c r="N203" s="1240" t="s">
        <v>1806</v>
      </c>
      <c r="O203" s="1241" t="s">
        <v>4841</v>
      </c>
      <c r="P203" s="910">
        <f t="shared" si="30"/>
        <v>0</v>
      </c>
      <c r="Q203" s="910">
        <f t="shared" si="31"/>
        <v>55</v>
      </c>
      <c r="R203" s="1344">
        <f t="shared" si="32"/>
        <v>4.5</v>
      </c>
      <c r="S203" s="1344">
        <f>(1/9)*cnst_fish!$C$7*(1/cnst_fish!$C$8)^(R203-1)</f>
        <v>445.96223412630997</v>
      </c>
      <c r="T203" s="1362">
        <f t="shared" si="33"/>
        <v>2119.1667523245678</v>
      </c>
      <c r="W203" s="1612"/>
      <c r="X203" s="1612"/>
      <c r="Y203" s="1613"/>
      <c r="Z203" s="1614"/>
      <c r="AA203" s="1614"/>
      <c r="AB203" s="1615"/>
      <c r="AC203" s="1615"/>
      <c r="AD203" s="583"/>
      <c r="AE203" s="583"/>
    </row>
    <row r="204" spans="1:31" ht="14">
      <c r="A204" s="1384" t="s">
        <v>5508</v>
      </c>
      <c r="B204" s="19" t="s">
        <v>2352</v>
      </c>
      <c r="C204" s="1383">
        <v>3147</v>
      </c>
      <c r="D204" s="1236"/>
      <c r="E204" s="1236"/>
      <c r="F204" s="1344">
        <f>(1/S204)*cnst_fish!$C$6</f>
        <v>0.28124890974018413</v>
      </c>
      <c r="G204" s="1344">
        <f t="shared" si="27"/>
        <v>1</v>
      </c>
      <c r="H204" s="1344">
        <f t="shared" si="27"/>
        <v>0.367192066876738</v>
      </c>
      <c r="I204" s="1344">
        <f t="shared" si="28"/>
        <v>0</v>
      </c>
      <c r="J204" s="902">
        <f t="shared" si="29"/>
        <v>0</v>
      </c>
      <c r="L204" s="1460">
        <v>23262</v>
      </c>
      <c r="M204" s="1236"/>
      <c r="N204" s="1240" t="s">
        <v>1806</v>
      </c>
      <c r="O204" s="1241" t="s">
        <v>4841</v>
      </c>
      <c r="P204" s="910">
        <f t="shared" si="30"/>
        <v>0</v>
      </c>
      <c r="Q204" s="910">
        <f t="shared" si="31"/>
        <v>23262</v>
      </c>
      <c r="R204" s="1344">
        <f t="shared" si="32"/>
        <v>3.03</v>
      </c>
      <c r="S204" s="1344">
        <f>(1/9)*cnst_fish!$C$7*(1/cnst_fish!$C$8)^(R204-1)</f>
        <v>15.111169689248294</v>
      </c>
      <c r="T204" s="1362">
        <f t="shared" si="33"/>
        <v>30370.328786615999</v>
      </c>
      <c r="W204" s="1612"/>
      <c r="X204" s="1612"/>
      <c r="Y204" s="1613"/>
      <c r="Z204" s="1614"/>
      <c r="AA204" s="1614"/>
      <c r="AB204" s="1615"/>
      <c r="AC204" s="1615"/>
      <c r="AD204" s="583"/>
      <c r="AE204" s="583"/>
    </row>
    <row r="205" spans="1:31" ht="14">
      <c r="A205" s="1585" t="s">
        <v>8488</v>
      </c>
      <c r="B205" s="1586" t="s">
        <v>8489</v>
      </c>
      <c r="C205" s="1383">
        <v>10940</v>
      </c>
      <c r="D205" s="1236"/>
      <c r="E205" s="1236"/>
      <c r="F205" s="1344">
        <f>(1/S205)*cnst_fish!$C$6</f>
        <v>9.5299549485983424E-3</v>
      </c>
      <c r="G205" s="1344">
        <f t="shared" si="27"/>
        <v>1</v>
      </c>
      <c r="H205" s="1344">
        <f t="shared" si="27"/>
        <v>0.367192066876738</v>
      </c>
      <c r="I205" s="1344">
        <f t="shared" si="28"/>
        <v>0</v>
      </c>
      <c r="J205" s="902">
        <f t="shared" si="29"/>
        <v>0</v>
      </c>
      <c r="L205" s="1460"/>
      <c r="M205" s="1236">
        <v>3149</v>
      </c>
      <c r="N205" s="1240" t="s">
        <v>1806</v>
      </c>
      <c r="O205" s="1241" t="s">
        <v>4845</v>
      </c>
      <c r="P205" s="910">
        <f t="shared" si="30"/>
        <v>0</v>
      </c>
      <c r="Q205" s="910">
        <f t="shared" si="31"/>
        <v>3149</v>
      </c>
      <c r="R205" s="1344">
        <f t="shared" si="32"/>
        <v>4.5</v>
      </c>
      <c r="S205" s="1344">
        <f>(1/9)*cnst_fish!$C$7*(1/cnst_fish!$C$8)^(R205-1)</f>
        <v>445.96223412630997</v>
      </c>
      <c r="T205" s="1362">
        <f t="shared" si="33"/>
        <v>121331.92914672843</v>
      </c>
      <c r="W205" s="1616"/>
      <c r="X205" s="1616"/>
      <c r="Y205" s="1613"/>
      <c r="Z205" s="1614"/>
      <c r="AA205" s="1614"/>
      <c r="AB205" s="1615"/>
      <c r="AC205" s="1615"/>
      <c r="AD205" s="583"/>
      <c r="AE205" s="583"/>
    </row>
    <row r="206" spans="1:31" ht="14">
      <c r="A206" s="1384" t="s">
        <v>1975</v>
      </c>
      <c r="B206" s="19" t="s">
        <v>1976</v>
      </c>
      <c r="C206" s="1383">
        <v>10941</v>
      </c>
      <c r="D206" s="1236"/>
      <c r="E206" s="1236"/>
      <c r="F206" s="1344">
        <f>(1/S206)*cnst_fish!$C$6</f>
        <v>9.5299549485983424E-3</v>
      </c>
      <c r="G206" s="1344">
        <f t="shared" si="27"/>
        <v>1</v>
      </c>
      <c r="H206" s="1344">
        <f t="shared" si="27"/>
        <v>0.367192066876738</v>
      </c>
      <c r="I206" s="1344">
        <f t="shared" si="28"/>
        <v>0</v>
      </c>
      <c r="J206" s="902">
        <f t="shared" si="29"/>
        <v>0</v>
      </c>
      <c r="L206" s="1460"/>
      <c r="M206" s="1236"/>
      <c r="N206" s="1240" t="s">
        <v>1806</v>
      </c>
      <c r="O206" s="1241" t="s">
        <v>4845</v>
      </c>
      <c r="P206" s="910">
        <f t="shared" si="30"/>
        <v>0</v>
      </c>
      <c r="Q206" s="910">
        <f t="shared" si="31"/>
        <v>0</v>
      </c>
      <c r="R206" s="1344">
        <f t="shared" si="32"/>
        <v>4.5</v>
      </c>
      <c r="S206" s="1344">
        <f>(1/9)*cnst_fish!$C$7*(1/cnst_fish!$C$8)^(R206-1)</f>
        <v>445.96223412630997</v>
      </c>
      <c r="T206" s="1362">
        <f t="shared" si="33"/>
        <v>0</v>
      </c>
      <c r="W206" s="1612"/>
      <c r="X206" s="1612"/>
      <c r="Y206" s="1613"/>
      <c r="Z206" s="1614"/>
      <c r="AA206" s="1614"/>
      <c r="AB206" s="1615"/>
      <c r="AC206" s="1615"/>
      <c r="AD206" s="583"/>
      <c r="AE206" s="583"/>
    </row>
    <row r="207" spans="1:31" ht="14">
      <c r="A207" s="1585" t="s">
        <v>8490</v>
      </c>
      <c r="B207" s="1586" t="s">
        <v>8491</v>
      </c>
      <c r="C207" s="1383">
        <v>20448</v>
      </c>
      <c r="D207" s="1236"/>
      <c r="E207" s="1236"/>
      <c r="F207" s="1344">
        <f>(1/S207)*cnst_fish!$C$6</f>
        <v>7.5699122913220583E-3</v>
      </c>
      <c r="G207" s="1344">
        <f t="shared" si="27"/>
        <v>1</v>
      </c>
      <c r="H207" s="1344">
        <f t="shared" si="27"/>
        <v>0.367192066876738</v>
      </c>
      <c r="I207" s="1344">
        <f t="shared" si="28"/>
        <v>0</v>
      </c>
      <c r="J207" s="902">
        <f t="shared" si="29"/>
        <v>0</v>
      </c>
      <c r="L207" s="1460"/>
      <c r="M207" s="1236">
        <v>13781</v>
      </c>
      <c r="N207" s="1240" t="s">
        <v>1806</v>
      </c>
      <c r="O207" s="1241" t="s">
        <v>4845</v>
      </c>
      <c r="P207" s="910">
        <f t="shared" si="30"/>
        <v>0</v>
      </c>
      <c r="Q207" s="910">
        <f t="shared" si="31"/>
        <v>13781</v>
      </c>
      <c r="R207" s="1344">
        <f t="shared" si="32"/>
        <v>4.5999999999999996</v>
      </c>
      <c r="S207" s="1344">
        <f>(1/9)*cnst_fish!$C$7*(1/cnst_fish!$C$8)^(R207-1)</f>
        <v>561.4331892421111</v>
      </c>
      <c r="T207" s="1362">
        <f t="shared" si="33"/>
        <v>668471.92924933706</v>
      </c>
      <c r="W207" s="1616"/>
      <c r="X207" s="1616"/>
      <c r="Y207" s="1613"/>
      <c r="Z207" s="1614"/>
      <c r="AA207" s="1614"/>
      <c r="AB207" s="1615"/>
      <c r="AC207" s="1615"/>
      <c r="AD207" s="583"/>
      <c r="AE207" s="583"/>
    </row>
    <row r="208" spans="1:31" ht="14">
      <c r="A208" s="1384" t="s">
        <v>1978</v>
      </c>
      <c r="B208" s="19" t="s">
        <v>1979</v>
      </c>
      <c r="C208" s="1383">
        <v>10943</v>
      </c>
      <c r="D208" s="1236"/>
      <c r="E208" s="1236"/>
      <c r="F208" s="1344">
        <f>(1/S208)*cnst_fish!$C$6</f>
        <v>9.5299549485983424E-3</v>
      </c>
      <c r="G208" s="1344">
        <f t="shared" ref="G208:H227" si="34">G$7</f>
        <v>1</v>
      </c>
      <c r="H208" s="1344">
        <f t="shared" si="34"/>
        <v>0.367192066876738</v>
      </c>
      <c r="I208" s="1344">
        <f t="shared" si="28"/>
        <v>0</v>
      </c>
      <c r="J208" s="902">
        <f t="shared" si="29"/>
        <v>0</v>
      </c>
      <c r="L208" s="1460"/>
      <c r="M208" s="1236">
        <v>23584</v>
      </c>
      <c r="N208" s="1240" t="s">
        <v>1806</v>
      </c>
      <c r="O208" s="1241" t="s">
        <v>4845</v>
      </c>
      <c r="P208" s="910">
        <f t="shared" si="30"/>
        <v>0</v>
      </c>
      <c r="Q208" s="910">
        <f t="shared" si="31"/>
        <v>23584</v>
      </c>
      <c r="R208" s="1344">
        <f t="shared" si="32"/>
        <v>4.5</v>
      </c>
      <c r="S208" s="1344">
        <f>(1/9)*cnst_fish!$C$7*(1/cnst_fish!$C$8)^(R208-1)</f>
        <v>445.96223412630997</v>
      </c>
      <c r="T208" s="1362">
        <f t="shared" si="33"/>
        <v>908698.7033967746</v>
      </c>
      <c r="W208" s="1612"/>
      <c r="X208" s="1612"/>
      <c r="Y208" s="1613"/>
      <c r="Z208" s="1614"/>
      <c r="AA208" s="1614"/>
      <c r="AB208" s="1615"/>
      <c r="AC208" s="1615"/>
      <c r="AD208" s="583"/>
      <c r="AE208" s="583"/>
    </row>
    <row r="209" spans="1:31" ht="14">
      <c r="A209" s="1384" t="s">
        <v>3804</v>
      </c>
      <c r="B209" s="19" t="s">
        <v>5318</v>
      </c>
      <c r="C209" s="1383">
        <v>2650</v>
      </c>
      <c r="D209" s="1236">
        <v>115</v>
      </c>
      <c r="E209" s="1236"/>
      <c r="F209" s="1344">
        <f>(1/S209)*cnst_fish!$C$6</f>
        <v>3.1556646698079359E-2</v>
      </c>
      <c r="G209" s="1344">
        <f t="shared" si="34"/>
        <v>1</v>
      </c>
      <c r="H209" s="1344">
        <f t="shared" si="34"/>
        <v>0.367192066876738</v>
      </c>
      <c r="I209" s="1344">
        <f t="shared" si="28"/>
        <v>1338.1360857139155</v>
      </c>
      <c r="J209" s="902">
        <f t="shared" si="29"/>
        <v>0</v>
      </c>
      <c r="L209" s="1460">
        <v>311844</v>
      </c>
      <c r="M209" s="1236"/>
      <c r="N209" s="1240" t="s">
        <v>2430</v>
      </c>
      <c r="O209" s="1241" t="s">
        <v>4840</v>
      </c>
      <c r="P209" s="910">
        <f t="shared" si="30"/>
        <v>115</v>
      </c>
      <c r="Q209" s="910">
        <f t="shared" si="31"/>
        <v>311844</v>
      </c>
      <c r="R209" s="1344">
        <f t="shared" si="32"/>
        <v>3.98</v>
      </c>
      <c r="S209" s="1344">
        <f>(1/9)*cnst_fish!$C$7*(1/cnst_fish!$C$8)^(R209-1)</f>
        <v>134.67844161840773</v>
      </c>
      <c r="T209" s="1362">
        <f t="shared" si="33"/>
        <v>3628606.1696814806</v>
      </c>
      <c r="W209" s="1612"/>
      <c r="X209" s="1612"/>
      <c r="Y209" s="1613"/>
      <c r="Z209" s="1614"/>
      <c r="AA209" s="1614"/>
      <c r="AB209" s="1615"/>
      <c r="AC209" s="1615"/>
      <c r="AD209" s="583"/>
      <c r="AE209" s="583"/>
    </row>
    <row r="210" spans="1:31" ht="14">
      <c r="A210" s="1384" t="s">
        <v>6877</v>
      </c>
      <c r="B210" s="19" t="s">
        <v>6876</v>
      </c>
      <c r="C210" s="1383">
        <v>16087</v>
      </c>
      <c r="D210" s="1236"/>
      <c r="E210" s="1236"/>
      <c r="F210" s="1344">
        <f>(1/S210)*cnst_fish!$C$6</f>
        <v>3.0136363636363641</v>
      </c>
      <c r="G210" s="1344">
        <f t="shared" si="34"/>
        <v>1</v>
      </c>
      <c r="H210" s="1344">
        <f t="shared" si="34"/>
        <v>0.367192066876738</v>
      </c>
      <c r="I210" s="1344">
        <f t="shared" si="28"/>
        <v>0</v>
      </c>
      <c r="J210" s="902">
        <f t="shared" si="29"/>
        <v>0</v>
      </c>
      <c r="L210" s="1460">
        <v>12018</v>
      </c>
      <c r="M210" s="1236"/>
      <c r="N210" s="1240" t="s">
        <v>1806</v>
      </c>
      <c r="O210" s="1241" t="s">
        <v>4859</v>
      </c>
      <c r="P210" s="910">
        <f t="shared" si="30"/>
        <v>0</v>
      </c>
      <c r="Q210" s="910">
        <f t="shared" si="31"/>
        <v>12018</v>
      </c>
      <c r="R210" s="1344">
        <f t="shared" si="32"/>
        <v>2</v>
      </c>
      <c r="S210" s="1344">
        <f>(1/9)*cnst_fish!$C$7*(1/cnst_fish!$C$8)^(R210-1)</f>
        <v>1.4102564102564099</v>
      </c>
      <c r="T210" s="1362">
        <f t="shared" si="33"/>
        <v>1464.3154406326094</v>
      </c>
      <c r="W210" s="1612"/>
      <c r="X210" s="1612"/>
      <c r="Y210" s="1613"/>
      <c r="Z210" s="1614"/>
      <c r="AA210" s="1614"/>
      <c r="AB210" s="1615"/>
      <c r="AC210" s="1615"/>
      <c r="AD210" s="583"/>
      <c r="AE210" s="583"/>
    </row>
    <row r="211" spans="1:31" ht="14">
      <c r="A211" s="1384" t="s">
        <v>5627</v>
      </c>
      <c r="B211" s="19" t="s">
        <v>656</v>
      </c>
      <c r="C211" s="1383">
        <v>3129</v>
      </c>
      <c r="D211" s="1236"/>
      <c r="E211" s="1236"/>
      <c r="F211" s="1344">
        <f>(1/S211)*cnst_fish!$C$6</f>
        <v>2.5066335465503211E-2</v>
      </c>
      <c r="G211" s="1344">
        <f t="shared" si="34"/>
        <v>1</v>
      </c>
      <c r="H211" s="1344">
        <f t="shared" si="34"/>
        <v>0.367192066876738</v>
      </c>
      <c r="I211" s="1344">
        <f t="shared" si="28"/>
        <v>0</v>
      </c>
      <c r="J211" s="902">
        <f t="shared" si="29"/>
        <v>0</v>
      </c>
      <c r="L211" s="1460">
        <v>16179</v>
      </c>
      <c r="M211" s="1236"/>
      <c r="N211" s="1240" t="s">
        <v>1806</v>
      </c>
      <c r="O211" s="1241" t="s">
        <v>4859</v>
      </c>
      <c r="P211" s="910">
        <f t="shared" si="30"/>
        <v>0</v>
      </c>
      <c r="Q211" s="910">
        <f t="shared" si="31"/>
        <v>16179</v>
      </c>
      <c r="R211" s="1344">
        <f t="shared" si="32"/>
        <v>4.08</v>
      </c>
      <c r="S211" s="1344">
        <f>(1/9)*cnst_fish!$C$7*(1/cnst_fish!$C$8)^(R211-1)</f>
        <v>169.55011257425062</v>
      </c>
      <c r="T211" s="1362">
        <f t="shared" si="33"/>
        <v>237003.14943022252</v>
      </c>
      <c r="W211" s="1612"/>
      <c r="X211" s="1612"/>
      <c r="Y211" s="1613"/>
      <c r="Z211" s="1614"/>
      <c r="AA211" s="1614"/>
      <c r="AB211" s="1615"/>
      <c r="AC211" s="1615"/>
      <c r="AD211" s="583"/>
      <c r="AE211" s="583"/>
    </row>
    <row r="212" spans="1:31" ht="14">
      <c r="A212" s="1384" t="s">
        <v>172</v>
      </c>
      <c r="B212" s="19" t="s">
        <v>657</v>
      </c>
      <c r="C212" s="1383">
        <v>3128</v>
      </c>
      <c r="D212" s="1236">
        <v>519</v>
      </c>
      <c r="E212" s="1236"/>
      <c r="F212" s="1344">
        <f>(1/S212)*cnst_fish!$C$6</f>
        <v>1.4760152601876367E-2</v>
      </c>
      <c r="G212" s="1344">
        <f t="shared" si="34"/>
        <v>1</v>
      </c>
      <c r="H212" s="1344">
        <f t="shared" si="34"/>
        <v>0.367192066876738</v>
      </c>
      <c r="I212" s="1344">
        <f t="shared" si="28"/>
        <v>12911.294879485238</v>
      </c>
      <c r="J212" s="902">
        <f t="shared" si="29"/>
        <v>0</v>
      </c>
      <c r="L212" s="1460">
        <v>519</v>
      </c>
      <c r="M212" s="1236"/>
      <c r="N212" s="1240" t="s">
        <v>1806</v>
      </c>
      <c r="O212" s="1241" t="s">
        <v>4859</v>
      </c>
      <c r="P212" s="910">
        <f t="shared" si="30"/>
        <v>519</v>
      </c>
      <c r="Q212" s="910">
        <f t="shared" si="31"/>
        <v>519</v>
      </c>
      <c r="R212" s="1344">
        <f t="shared" si="32"/>
        <v>4.3099999999999996</v>
      </c>
      <c r="S212" s="1344">
        <f>(1/9)*cnst_fish!$C$7*(1/cnst_fish!$C$8)^(R212-1)</f>
        <v>287.93740245339495</v>
      </c>
      <c r="T212" s="1362">
        <f t="shared" si="33"/>
        <v>12911.294879485238</v>
      </c>
      <c r="W212" s="1612"/>
      <c r="X212" s="1612"/>
      <c r="Y212" s="1613"/>
      <c r="Z212" s="1614"/>
      <c r="AA212" s="1614"/>
      <c r="AB212" s="1615"/>
      <c r="AC212" s="1615"/>
      <c r="AD212" s="583"/>
      <c r="AE212" s="583"/>
    </row>
    <row r="213" spans="1:31" ht="14">
      <c r="A213" s="1384" t="s">
        <v>277</v>
      </c>
      <c r="B213" s="19" t="s">
        <v>252</v>
      </c>
      <c r="C213" s="1383">
        <v>3100</v>
      </c>
      <c r="D213" s="1236">
        <v>105</v>
      </c>
      <c r="E213" s="1236"/>
      <c r="F213" s="1344">
        <f>(1/S213)*cnst_fish!$C$6</f>
        <v>7.3976000504507963E-2</v>
      </c>
      <c r="G213" s="1344">
        <f t="shared" si="34"/>
        <v>1</v>
      </c>
      <c r="H213" s="1344">
        <f t="shared" si="34"/>
        <v>0.367192066876738</v>
      </c>
      <c r="I213" s="1344">
        <f t="shared" si="28"/>
        <v>521.18479992315895</v>
      </c>
      <c r="J213" s="902">
        <f t="shared" si="29"/>
        <v>0</v>
      </c>
      <c r="L213" s="1460">
        <v>51023</v>
      </c>
      <c r="M213" s="1236"/>
      <c r="N213" s="1240" t="s">
        <v>1806</v>
      </c>
      <c r="O213" s="1241" t="s">
        <v>4841</v>
      </c>
      <c r="P213" s="910">
        <f t="shared" si="30"/>
        <v>105</v>
      </c>
      <c r="Q213" s="910">
        <f t="shared" si="31"/>
        <v>51023</v>
      </c>
      <c r="R213" s="1344">
        <f t="shared" si="32"/>
        <v>3.61</v>
      </c>
      <c r="S213" s="1344">
        <f>(1/9)*cnst_fish!$C$7*(1/cnst_fish!$C$8)^(R213-1)</f>
        <v>57.451064818528707</v>
      </c>
      <c r="T213" s="1362">
        <f t="shared" si="33"/>
        <v>253261.06710932706</v>
      </c>
      <c r="W213" s="1612"/>
      <c r="X213" s="1612"/>
      <c r="Y213" s="1613"/>
      <c r="Z213" s="1614"/>
      <c r="AA213" s="1614"/>
      <c r="AB213" s="1615"/>
      <c r="AC213" s="1615"/>
      <c r="AD213" s="583"/>
      <c r="AE213" s="583"/>
    </row>
    <row r="214" spans="1:31" ht="14">
      <c r="A214" s="1384" t="s">
        <v>5117</v>
      </c>
      <c r="B214" s="19" t="s">
        <v>1713</v>
      </c>
      <c r="C214" s="1383">
        <v>3009</v>
      </c>
      <c r="D214" s="1236"/>
      <c r="E214" s="1236"/>
      <c r="F214" s="1344">
        <f>(1/S214)*cnst_fish!$C$6</f>
        <v>0.15103960722494611</v>
      </c>
      <c r="G214" s="1344">
        <f t="shared" si="34"/>
        <v>1</v>
      </c>
      <c r="H214" s="1344">
        <f t="shared" si="34"/>
        <v>0.367192066876738</v>
      </c>
      <c r="I214" s="1344">
        <f t="shared" si="28"/>
        <v>0</v>
      </c>
      <c r="J214" s="902">
        <f t="shared" si="29"/>
        <v>0</v>
      </c>
      <c r="L214" s="1460">
        <v>6897</v>
      </c>
      <c r="M214" s="1236"/>
      <c r="N214" s="1240" t="s">
        <v>1806</v>
      </c>
      <c r="O214" s="1241" t="s">
        <v>4841</v>
      </c>
      <c r="P214" s="910">
        <f t="shared" si="30"/>
        <v>0</v>
      </c>
      <c r="Q214" s="910">
        <f t="shared" si="31"/>
        <v>6897</v>
      </c>
      <c r="R214" s="1344">
        <f t="shared" si="32"/>
        <v>3.3</v>
      </c>
      <c r="S214" s="1344">
        <f>(1/9)*cnst_fish!$C$7*(1/cnst_fish!$C$8)^(R214-1)</f>
        <v>28.138314698279075</v>
      </c>
      <c r="T214" s="1362">
        <f t="shared" si="33"/>
        <v>16767.281985030106</v>
      </c>
      <c r="W214" s="1612"/>
      <c r="X214" s="1612"/>
      <c r="Y214" s="1613"/>
      <c r="Z214" s="1614"/>
      <c r="AA214" s="1614"/>
      <c r="AB214" s="1615"/>
      <c r="AC214" s="1615"/>
      <c r="AD214" s="583"/>
      <c r="AE214" s="583"/>
    </row>
    <row r="215" spans="1:31" ht="14">
      <c r="A215" s="1384" t="s">
        <v>5428</v>
      </c>
      <c r="B215" s="19" t="s">
        <v>3925</v>
      </c>
      <c r="C215" s="1383">
        <v>2093</v>
      </c>
      <c r="D215" s="1236"/>
      <c r="E215" s="1236"/>
      <c r="F215" s="1344">
        <f>(1/S215)*cnst_fish!$C$6</f>
        <v>0.53590874947991185</v>
      </c>
      <c r="G215" s="1344">
        <f t="shared" si="34"/>
        <v>1</v>
      </c>
      <c r="H215" s="1344">
        <f t="shared" si="34"/>
        <v>0.367192066876738</v>
      </c>
      <c r="I215" s="1344">
        <f t="shared" si="28"/>
        <v>0</v>
      </c>
      <c r="J215" s="902">
        <f t="shared" si="29"/>
        <v>0</v>
      </c>
      <c r="L215" s="1460">
        <v>1058</v>
      </c>
      <c r="M215" s="1236"/>
      <c r="N215" s="1240" t="s">
        <v>1806</v>
      </c>
      <c r="O215" s="1241" t="s">
        <v>4859</v>
      </c>
      <c r="P215" s="910">
        <f t="shared" si="30"/>
        <v>0</v>
      </c>
      <c r="Q215" s="910">
        <f t="shared" si="31"/>
        <v>1058</v>
      </c>
      <c r="R215" s="1344">
        <f t="shared" si="32"/>
        <v>2.75</v>
      </c>
      <c r="S215" s="1344">
        <f>(1/9)*cnst_fish!$C$7*(1/cnst_fish!$C$8)^(R215-1)</f>
        <v>7.9304545860177429</v>
      </c>
      <c r="T215" s="1362">
        <f t="shared" si="33"/>
        <v>724.91670854900087</v>
      </c>
      <c r="W215" s="1612"/>
      <c r="X215" s="1612"/>
      <c r="Y215" s="1613"/>
      <c r="Z215" s="1614"/>
      <c r="AA215" s="1614"/>
      <c r="AB215" s="1615"/>
      <c r="AC215" s="1615"/>
      <c r="AD215" s="583"/>
      <c r="AE215" s="583"/>
    </row>
    <row r="216" spans="1:31" ht="14">
      <c r="A216" s="1384" t="s">
        <v>940</v>
      </c>
      <c r="B216" s="19" t="s">
        <v>1668</v>
      </c>
      <c r="C216" s="1383">
        <v>2899</v>
      </c>
      <c r="D216" s="1236">
        <v>497824</v>
      </c>
      <c r="E216" s="1236"/>
      <c r="F216" s="1344">
        <f>(1/S216)*cnst_fish!$C$6</f>
        <v>1.945767062954439</v>
      </c>
      <c r="G216" s="1344">
        <f t="shared" si="34"/>
        <v>1</v>
      </c>
      <c r="H216" s="1344">
        <f t="shared" si="34"/>
        <v>0.367192066876738</v>
      </c>
      <c r="I216" s="1344">
        <f t="shared" si="28"/>
        <v>93945.995376901643</v>
      </c>
      <c r="J216" s="902">
        <f t="shared" si="29"/>
        <v>0</v>
      </c>
      <c r="L216" s="1460">
        <v>497824</v>
      </c>
      <c r="M216" s="1236"/>
      <c r="N216" s="1240" t="s">
        <v>1806</v>
      </c>
      <c r="O216" s="1241" t="s">
        <v>4859</v>
      </c>
      <c r="P216" s="910">
        <f t="shared" si="30"/>
        <v>497824</v>
      </c>
      <c r="Q216" s="910">
        <f t="shared" si="31"/>
        <v>497824</v>
      </c>
      <c r="R216" s="1344">
        <f t="shared" si="32"/>
        <v>2.19</v>
      </c>
      <c r="S216" s="1344">
        <f>(1/9)*cnst_fish!$C$7*(1/cnst_fish!$C$8)^(R216-1)</f>
        <v>2.1842285651329867</v>
      </c>
      <c r="T216" s="1362">
        <f t="shared" si="33"/>
        <v>93945.995376901643</v>
      </c>
      <c r="W216" s="1612"/>
      <c r="X216" s="1612"/>
      <c r="Y216" s="1613"/>
      <c r="Z216" s="1614"/>
      <c r="AA216" s="1614"/>
      <c r="AB216" s="1615"/>
      <c r="AC216" s="1615"/>
      <c r="AD216" s="583"/>
      <c r="AE216" s="583"/>
    </row>
    <row r="217" spans="1:31" ht="14">
      <c r="A217" s="1384" t="s">
        <v>4055</v>
      </c>
      <c r="B217" s="19" t="s">
        <v>1669</v>
      </c>
      <c r="C217" s="1383">
        <v>2898</v>
      </c>
      <c r="D217" s="1236"/>
      <c r="E217" s="1236"/>
      <c r="F217" s="1344">
        <f>(1/S217)*cnst_fish!$C$6</f>
        <v>0.11997502458044032</v>
      </c>
      <c r="G217" s="1344">
        <f t="shared" si="34"/>
        <v>1</v>
      </c>
      <c r="H217" s="1344">
        <f t="shared" si="34"/>
        <v>0.367192066876738</v>
      </c>
      <c r="I217" s="1344">
        <f t="shared" si="28"/>
        <v>0</v>
      </c>
      <c r="J217" s="902">
        <f t="shared" si="29"/>
        <v>0</v>
      </c>
      <c r="L217" s="1460">
        <v>857</v>
      </c>
      <c r="M217" s="1236"/>
      <c r="N217" s="1240" t="s">
        <v>1806</v>
      </c>
      <c r="O217" s="1241" t="s">
        <v>4859</v>
      </c>
      <c r="P217" s="910">
        <f t="shared" si="30"/>
        <v>0</v>
      </c>
      <c r="Q217" s="910">
        <f t="shared" si="31"/>
        <v>857</v>
      </c>
      <c r="R217" s="1344">
        <f t="shared" si="32"/>
        <v>3.4</v>
      </c>
      <c r="S217" s="1344">
        <f>(1/9)*cnst_fish!$C$7*(1/cnst_fish!$C$8)^(R217-1)</f>
        <v>35.424039418724846</v>
      </c>
      <c r="T217" s="1362">
        <f t="shared" si="33"/>
        <v>2622.9092464355094</v>
      </c>
      <c r="W217" s="1612"/>
      <c r="X217" s="1612"/>
      <c r="Y217" s="1613"/>
      <c r="Z217" s="1614"/>
      <c r="AA217" s="1614"/>
      <c r="AB217" s="1615"/>
      <c r="AC217" s="1615"/>
      <c r="AD217" s="583"/>
      <c r="AE217" s="583"/>
    </row>
    <row r="218" spans="1:31" ht="14">
      <c r="A218" s="1384" t="s">
        <v>5626</v>
      </c>
      <c r="B218" s="19" t="s">
        <v>1670</v>
      </c>
      <c r="C218" s="1383">
        <v>2094</v>
      </c>
      <c r="D218" s="1236">
        <v>167590</v>
      </c>
      <c r="E218" s="1236"/>
      <c r="F218" s="1344">
        <f>(1/S218)*cnst_fish!$C$6</f>
        <v>1.6946922663690973</v>
      </c>
      <c r="G218" s="1344">
        <f t="shared" si="34"/>
        <v>1</v>
      </c>
      <c r="H218" s="1344">
        <f t="shared" si="34"/>
        <v>0.367192066876738</v>
      </c>
      <c r="I218" s="1344">
        <f t="shared" si="28"/>
        <v>36312.031221879581</v>
      </c>
      <c r="J218" s="902">
        <f t="shared" si="29"/>
        <v>0</v>
      </c>
      <c r="L218" s="1460">
        <v>167590</v>
      </c>
      <c r="M218" s="1236"/>
      <c r="N218" s="1240" t="s">
        <v>1806</v>
      </c>
      <c r="O218" s="1241" t="s">
        <v>4859</v>
      </c>
      <c r="P218" s="910">
        <f t="shared" si="30"/>
        <v>167590</v>
      </c>
      <c r="Q218" s="910">
        <f t="shared" si="31"/>
        <v>167590</v>
      </c>
      <c r="R218" s="1344">
        <f t="shared" si="32"/>
        <v>2.25</v>
      </c>
      <c r="S218" s="1344">
        <f>(1/9)*cnst_fish!$C$7*(1/cnst_fish!$C$8)^(R218-1)</f>
        <v>2.5078299372343786</v>
      </c>
      <c r="T218" s="1362">
        <f t="shared" si="33"/>
        <v>36312.031221879581</v>
      </c>
      <c r="W218" s="1612"/>
      <c r="X218" s="1612"/>
      <c r="Y218" s="1613"/>
      <c r="Z218" s="1614"/>
      <c r="AA218" s="1614"/>
      <c r="AB218" s="1615"/>
      <c r="AC218" s="1615"/>
      <c r="AD218" s="583"/>
      <c r="AE218" s="583"/>
    </row>
    <row r="219" spans="1:31" ht="14">
      <c r="A219" s="1384" t="s">
        <v>1108</v>
      </c>
      <c r="B219" s="19" t="s">
        <v>1714</v>
      </c>
      <c r="C219" s="1383">
        <v>2217</v>
      </c>
      <c r="D219" s="1236">
        <v>40</v>
      </c>
      <c r="E219" s="1236"/>
      <c r="F219" s="1344">
        <f>(1/S219)*cnst_fish!$C$6</f>
        <v>3.0136363636363642E-2</v>
      </c>
      <c r="G219" s="1344">
        <f t="shared" si="34"/>
        <v>1</v>
      </c>
      <c r="H219" s="1344">
        <f t="shared" si="34"/>
        <v>0.367192066876738</v>
      </c>
      <c r="I219" s="1344">
        <f t="shared" si="28"/>
        <v>487.3740857489131</v>
      </c>
      <c r="J219" s="902">
        <f t="shared" si="29"/>
        <v>0</v>
      </c>
      <c r="L219" s="1460">
        <v>20071</v>
      </c>
      <c r="M219" s="1236"/>
      <c r="N219" s="1240" t="s">
        <v>1806</v>
      </c>
      <c r="O219" s="1241" t="s">
        <v>4841</v>
      </c>
      <c r="P219" s="910">
        <f t="shared" si="30"/>
        <v>40</v>
      </c>
      <c r="Q219" s="910">
        <f t="shared" si="31"/>
        <v>20071</v>
      </c>
      <c r="R219" s="1344">
        <f t="shared" si="32"/>
        <v>4</v>
      </c>
      <c r="S219" s="1344">
        <f>(1/9)*cnst_fish!$C$7*(1/cnst_fish!$C$8)^(R219-1)</f>
        <v>141.02564102564099</v>
      </c>
      <c r="T219" s="1362">
        <f t="shared" si="33"/>
        <v>244552.13187666086</v>
      </c>
      <c r="W219" s="1612"/>
      <c r="X219" s="1612"/>
      <c r="Y219" s="1613"/>
      <c r="Z219" s="1614"/>
      <c r="AA219" s="1614"/>
      <c r="AB219" s="1615"/>
      <c r="AC219" s="1615"/>
      <c r="AD219" s="583"/>
      <c r="AE219" s="583"/>
    </row>
    <row r="220" spans="1:31" ht="14">
      <c r="A220" s="1384" t="s">
        <v>187</v>
      </c>
      <c r="B220" s="19" t="s">
        <v>253</v>
      </c>
      <c r="C220" s="1383">
        <v>2461</v>
      </c>
      <c r="D220" s="1236">
        <v>1</v>
      </c>
      <c r="E220" s="1236"/>
      <c r="F220" s="1344">
        <f>(1/S220)*cnst_fish!$C$6</f>
        <v>5.001391452868649E-2</v>
      </c>
      <c r="G220" s="1344">
        <f t="shared" si="34"/>
        <v>1</v>
      </c>
      <c r="H220" s="1344">
        <f t="shared" si="34"/>
        <v>0.367192066876738</v>
      </c>
      <c r="I220" s="1344">
        <f t="shared" si="28"/>
        <v>7.3417981843058406</v>
      </c>
      <c r="J220" s="902">
        <f t="shared" si="29"/>
        <v>0</v>
      </c>
      <c r="L220" s="1460">
        <v>2563</v>
      </c>
      <c r="M220" s="1236"/>
      <c r="N220" s="1240" t="s">
        <v>1806</v>
      </c>
      <c r="O220" s="1241" t="s">
        <v>4841</v>
      </c>
      <c r="P220" s="910">
        <f t="shared" si="30"/>
        <v>1</v>
      </c>
      <c r="Q220" s="910">
        <f t="shared" si="31"/>
        <v>2563</v>
      </c>
      <c r="R220" s="1344">
        <f t="shared" si="32"/>
        <v>3.78</v>
      </c>
      <c r="S220" s="1344">
        <f>(1/9)*cnst_fish!$C$7*(1/cnst_fish!$C$8)^(R220-1)</f>
        <v>84.976351882281207</v>
      </c>
      <c r="T220" s="1362">
        <f t="shared" si="33"/>
        <v>18817.028746375869</v>
      </c>
      <c r="W220" s="1612"/>
      <c r="X220" s="1612"/>
      <c r="Y220" s="1613"/>
      <c r="Z220" s="1614"/>
      <c r="AA220" s="1614"/>
      <c r="AB220" s="1615"/>
      <c r="AC220" s="1615"/>
      <c r="AD220" s="583"/>
      <c r="AE220" s="583"/>
    </row>
    <row r="221" spans="1:31" ht="14">
      <c r="A221" s="1585" t="s">
        <v>8492</v>
      </c>
      <c r="B221" s="1586" t="s">
        <v>8493</v>
      </c>
      <c r="C221" s="1383">
        <v>10966</v>
      </c>
      <c r="D221" s="1236"/>
      <c r="E221" s="1236"/>
      <c r="F221" s="1344">
        <f>(1/S221)*cnst_fish!$C$6</f>
        <v>0.19014759972289441</v>
      </c>
      <c r="G221" s="1344">
        <f t="shared" si="34"/>
        <v>1</v>
      </c>
      <c r="H221" s="1344">
        <f t="shared" si="34"/>
        <v>0.367192066876738</v>
      </c>
      <c r="I221" s="1344">
        <f t="shared" si="28"/>
        <v>0</v>
      </c>
      <c r="J221" s="902">
        <f t="shared" si="29"/>
        <v>0</v>
      </c>
      <c r="L221" s="1460"/>
      <c r="M221" s="1236">
        <v>74</v>
      </c>
      <c r="N221" s="1240" t="s">
        <v>1806</v>
      </c>
      <c r="O221" s="1241" t="s">
        <v>4845</v>
      </c>
      <c r="P221" s="910">
        <f t="shared" si="30"/>
        <v>0</v>
      </c>
      <c r="Q221" s="910">
        <f t="shared" si="31"/>
        <v>74</v>
      </c>
      <c r="R221" s="1344">
        <f t="shared" si="32"/>
        <v>3.2</v>
      </c>
      <c r="S221" s="1344">
        <f>(1/9)*cnst_fish!$C$7*(1/cnst_fish!$C$8)^(R221-1)</f>
        <v>22.351057842400341</v>
      </c>
      <c r="T221" s="1362">
        <f t="shared" si="33"/>
        <v>142.90063607680128</v>
      </c>
      <c r="W221" s="1616"/>
      <c r="X221" s="1616"/>
      <c r="Y221" s="1613"/>
      <c r="Z221" s="1614"/>
      <c r="AA221" s="1614"/>
      <c r="AB221" s="1615"/>
      <c r="AC221" s="1615"/>
      <c r="AD221" s="583"/>
      <c r="AE221" s="583"/>
    </row>
    <row r="222" spans="1:31" ht="14">
      <c r="A222" s="1384" t="s">
        <v>6746</v>
      </c>
      <c r="B222" s="19" t="s">
        <v>6745</v>
      </c>
      <c r="C222" s="1383">
        <v>19842</v>
      </c>
      <c r="D222" s="1236"/>
      <c r="E222" s="1236"/>
      <c r="F222" s="1344">
        <f>(1/S222)*cnst_fish!$C$6</f>
        <v>1.1997502458044034</v>
      </c>
      <c r="G222" s="1344">
        <f t="shared" si="34"/>
        <v>1</v>
      </c>
      <c r="H222" s="1344">
        <f t="shared" si="34"/>
        <v>0.367192066876738</v>
      </c>
      <c r="I222" s="1344">
        <f t="shared" si="28"/>
        <v>0</v>
      </c>
      <c r="J222" s="902">
        <f t="shared" si="29"/>
        <v>0</v>
      </c>
      <c r="L222" s="1460"/>
      <c r="M222" s="1236">
        <v>71071</v>
      </c>
      <c r="N222" s="1240" t="s">
        <v>1806</v>
      </c>
      <c r="O222" s="1241" t="s">
        <v>4845</v>
      </c>
      <c r="P222" s="910">
        <f t="shared" si="30"/>
        <v>0</v>
      </c>
      <c r="Q222" s="910">
        <f t="shared" si="31"/>
        <v>71071</v>
      </c>
      <c r="R222" s="1344">
        <f t="shared" si="32"/>
        <v>2.4</v>
      </c>
      <c r="S222" s="1344">
        <f>(1/9)*cnst_fish!$C$7*(1/cnst_fish!$C$8)^(R222-1)</f>
        <v>3.5424039418724838</v>
      </c>
      <c r="T222" s="1362">
        <f t="shared" si="33"/>
        <v>21751.783320118797</v>
      </c>
      <c r="W222" s="1612"/>
      <c r="X222" s="1612"/>
      <c r="Y222" s="1613"/>
      <c r="Z222" s="1614"/>
      <c r="AA222" s="1614"/>
      <c r="AB222" s="1615"/>
      <c r="AC222" s="1615"/>
      <c r="AD222" s="583"/>
      <c r="AE222" s="583"/>
    </row>
    <row r="223" spans="1:31" ht="14">
      <c r="A223" s="1384" t="s">
        <v>6497</v>
      </c>
      <c r="B223" s="19" t="s">
        <v>6496</v>
      </c>
      <c r="C223" s="1383">
        <v>19225</v>
      </c>
      <c r="D223" s="1236"/>
      <c r="E223" s="1236"/>
      <c r="F223" s="1344">
        <f>(1/S223)*cnst_fish!$C$6</f>
        <v>3.0136363636363641</v>
      </c>
      <c r="G223" s="1344">
        <f t="shared" si="34"/>
        <v>1</v>
      </c>
      <c r="H223" s="1344">
        <f t="shared" si="34"/>
        <v>0.367192066876738</v>
      </c>
      <c r="I223" s="1344">
        <f t="shared" si="28"/>
        <v>0</v>
      </c>
      <c r="J223" s="902">
        <f t="shared" si="29"/>
        <v>0</v>
      </c>
      <c r="L223" s="1460"/>
      <c r="M223" s="1236">
        <v>20</v>
      </c>
      <c r="N223" s="1240" t="s">
        <v>1806</v>
      </c>
      <c r="O223" s="1241" t="s">
        <v>4845</v>
      </c>
      <c r="P223" s="910">
        <f t="shared" si="30"/>
        <v>0</v>
      </c>
      <c r="Q223" s="910">
        <f t="shared" si="31"/>
        <v>20</v>
      </c>
      <c r="R223" s="1344">
        <f t="shared" si="32"/>
        <v>2</v>
      </c>
      <c r="S223" s="1344">
        <f>(1/9)*cnst_fish!$C$7*(1/cnst_fish!$C$8)^(R223-1)</f>
        <v>1.4102564102564099</v>
      </c>
      <c r="T223" s="1362">
        <f t="shared" si="33"/>
        <v>2.4368704287445655</v>
      </c>
      <c r="W223" s="1612"/>
      <c r="X223" s="1612"/>
      <c r="Y223" s="1613"/>
      <c r="Z223" s="1614"/>
      <c r="AA223" s="1614"/>
      <c r="AB223" s="1615"/>
      <c r="AC223" s="1615"/>
      <c r="AD223" s="583"/>
      <c r="AE223" s="583"/>
    </row>
    <row r="224" spans="1:31" ht="14">
      <c r="A224" s="1384" t="s">
        <v>2591</v>
      </c>
      <c r="B224" s="19" t="s">
        <v>2592</v>
      </c>
      <c r="C224" s="1383">
        <v>19056</v>
      </c>
      <c r="D224" s="1236"/>
      <c r="E224" s="1236"/>
      <c r="F224" s="1344">
        <f>(1/S224)*cnst_fish!$C$6</f>
        <v>1.4424170509541332</v>
      </c>
      <c r="G224" s="1344">
        <f t="shared" si="34"/>
        <v>1</v>
      </c>
      <c r="H224" s="1344">
        <f t="shared" si="34"/>
        <v>0.367192066876738</v>
      </c>
      <c r="I224" s="1344">
        <f t="shared" si="28"/>
        <v>0</v>
      </c>
      <c r="J224" s="902">
        <f t="shared" si="29"/>
        <v>0</v>
      </c>
      <c r="L224" s="1460"/>
      <c r="M224" s="1236">
        <v>175</v>
      </c>
      <c r="N224" s="1240" t="s">
        <v>1806</v>
      </c>
      <c r="O224" s="1241" t="s">
        <v>4845</v>
      </c>
      <c r="P224" s="910">
        <f t="shared" si="30"/>
        <v>0</v>
      </c>
      <c r="Q224" s="910">
        <f t="shared" si="31"/>
        <v>175</v>
      </c>
      <c r="R224" s="1344">
        <f t="shared" si="32"/>
        <v>2.3199999999999998</v>
      </c>
      <c r="S224" s="1344">
        <f>(1/9)*cnst_fish!$C$7*(1/cnst_fish!$C$8)^(R224-1)</f>
        <v>2.946443261460824</v>
      </c>
      <c r="T224" s="1362">
        <f t="shared" si="33"/>
        <v>44.549259633975637</v>
      </c>
      <c r="W224" s="1612"/>
      <c r="X224" s="1612"/>
      <c r="Y224" s="1613"/>
      <c r="Z224" s="1614"/>
      <c r="AA224" s="1614"/>
      <c r="AB224" s="1615"/>
      <c r="AC224" s="1615"/>
      <c r="AD224" s="583"/>
      <c r="AE224" s="583"/>
    </row>
    <row r="225" spans="1:31" ht="14">
      <c r="A225" s="1384" t="s">
        <v>6499</v>
      </c>
      <c r="B225" s="19" t="s">
        <v>6498</v>
      </c>
      <c r="C225" s="1383">
        <v>10977</v>
      </c>
      <c r="D225" s="1236"/>
      <c r="E225" s="1236"/>
      <c r="F225" s="1344">
        <f>(1/S225)*cnst_fish!$C$6</f>
        <v>3.0136363636363641</v>
      </c>
      <c r="G225" s="1344">
        <f t="shared" si="34"/>
        <v>1</v>
      </c>
      <c r="H225" s="1344">
        <f t="shared" si="34"/>
        <v>0.367192066876738</v>
      </c>
      <c r="I225" s="1344">
        <f t="shared" si="28"/>
        <v>0</v>
      </c>
      <c r="J225" s="902">
        <f t="shared" si="29"/>
        <v>0</v>
      </c>
      <c r="L225" s="1460"/>
      <c r="M225" s="1236">
        <v>8</v>
      </c>
      <c r="N225" s="1240" t="s">
        <v>1806</v>
      </c>
      <c r="O225" s="1241" t="s">
        <v>4845</v>
      </c>
      <c r="P225" s="910">
        <f t="shared" si="30"/>
        <v>0</v>
      </c>
      <c r="Q225" s="910">
        <f t="shared" si="31"/>
        <v>8</v>
      </c>
      <c r="R225" s="1344">
        <f t="shared" si="32"/>
        <v>2</v>
      </c>
      <c r="S225" s="1344">
        <f>(1/9)*cnst_fish!$C$7*(1/cnst_fish!$C$8)^(R225-1)</f>
        <v>1.4102564102564099</v>
      </c>
      <c r="T225" s="1362">
        <f t="shared" si="33"/>
        <v>0.97474817149782611</v>
      </c>
      <c r="W225" s="1612"/>
      <c r="X225" s="1612"/>
      <c r="Y225" s="1613"/>
      <c r="Z225" s="1614"/>
      <c r="AA225" s="1614"/>
      <c r="AB225" s="1615"/>
      <c r="AC225" s="1615"/>
      <c r="AD225" s="583"/>
      <c r="AE225" s="583"/>
    </row>
    <row r="226" spans="1:31" ht="14">
      <c r="A226" s="1384" t="s">
        <v>3596</v>
      </c>
      <c r="B226" s="19" t="s">
        <v>3116</v>
      </c>
      <c r="C226" s="1383">
        <v>2659</v>
      </c>
      <c r="D226" s="1236"/>
      <c r="E226" s="1236"/>
      <c r="F226" s="1344">
        <f>(1/S226)*cnst_fish!$C$6</f>
        <v>2.3938164528281742</v>
      </c>
      <c r="G226" s="1344">
        <f t="shared" si="34"/>
        <v>1</v>
      </c>
      <c r="H226" s="1344">
        <f t="shared" si="34"/>
        <v>0.367192066876738</v>
      </c>
      <c r="I226" s="1344">
        <f t="shared" si="28"/>
        <v>0</v>
      </c>
      <c r="J226" s="902">
        <f t="shared" si="29"/>
        <v>0</v>
      </c>
      <c r="L226" s="1460">
        <v>35662</v>
      </c>
      <c r="M226" s="1236"/>
      <c r="N226" s="1240" t="s">
        <v>1804</v>
      </c>
      <c r="O226" s="1241" t="s">
        <v>4851</v>
      </c>
      <c r="P226" s="910">
        <f t="shared" si="30"/>
        <v>0</v>
      </c>
      <c r="Q226" s="910">
        <f t="shared" si="31"/>
        <v>35662</v>
      </c>
      <c r="R226" s="1344">
        <f t="shared" si="32"/>
        <v>2.1</v>
      </c>
      <c r="S226" s="1344">
        <f>(1/9)*cnst_fish!$C$7*(1/cnst_fish!$C$8)^(R226-1)</f>
        <v>1.7754076320174161</v>
      </c>
      <c r="T226" s="1362">
        <f t="shared" si="33"/>
        <v>5470.2621303681726</v>
      </c>
      <c r="W226" s="1612"/>
      <c r="X226" s="1612"/>
      <c r="Y226" s="1613"/>
      <c r="Z226" s="1614"/>
      <c r="AA226" s="1614"/>
      <c r="AB226" s="1615"/>
      <c r="AC226" s="1615"/>
      <c r="AD226" s="583"/>
      <c r="AE226" s="583"/>
    </row>
    <row r="227" spans="1:31" ht="14">
      <c r="A227" s="1585" t="s">
        <v>8494</v>
      </c>
      <c r="B227" s="1586" t="s">
        <v>8495</v>
      </c>
      <c r="C227" s="1383">
        <v>20387</v>
      </c>
      <c r="D227" s="1236">
        <v>1124</v>
      </c>
      <c r="E227" s="1236"/>
      <c r="F227" s="1344">
        <f>(1/S227)*cnst_fish!$C$6</f>
        <v>2.3938164528281742</v>
      </c>
      <c r="G227" s="1344">
        <f t="shared" si="34"/>
        <v>1</v>
      </c>
      <c r="H227" s="1344">
        <f t="shared" si="34"/>
        <v>0.367192066876738</v>
      </c>
      <c r="I227" s="1344">
        <f t="shared" si="28"/>
        <v>172.41250166939113</v>
      </c>
      <c r="J227" s="902">
        <f t="shared" si="29"/>
        <v>0</v>
      </c>
      <c r="L227" s="1460">
        <v>1124</v>
      </c>
      <c r="M227" s="1236"/>
      <c r="N227" s="1240" t="s">
        <v>1804</v>
      </c>
      <c r="O227" s="1241" t="s">
        <v>4851</v>
      </c>
      <c r="P227" s="910">
        <f t="shared" si="30"/>
        <v>1124</v>
      </c>
      <c r="Q227" s="910">
        <f t="shared" si="31"/>
        <v>1124</v>
      </c>
      <c r="R227" s="1344">
        <f t="shared" si="32"/>
        <v>2.1</v>
      </c>
      <c r="S227" s="1344">
        <f>(1/9)*cnst_fish!$C$7*(1/cnst_fish!$C$8)^(R227-1)</f>
        <v>1.7754076320174161</v>
      </c>
      <c r="T227" s="1362">
        <f t="shared" si="33"/>
        <v>172.41250166939113</v>
      </c>
      <c r="W227" s="1616"/>
      <c r="X227" s="1616"/>
      <c r="Y227" s="1613"/>
      <c r="Z227" s="1614"/>
      <c r="AA227" s="1614"/>
      <c r="AB227" s="1615"/>
      <c r="AC227" s="1615"/>
      <c r="AD227" s="583"/>
      <c r="AE227" s="583"/>
    </row>
    <row r="228" spans="1:31" ht="14">
      <c r="A228" s="1585" t="s">
        <v>8496</v>
      </c>
      <c r="B228" s="1586" t="s">
        <v>8497</v>
      </c>
      <c r="C228" s="1383">
        <v>20389</v>
      </c>
      <c r="D228" s="1236">
        <v>0</v>
      </c>
      <c r="E228" s="1236"/>
      <c r="F228" s="1344">
        <f>(1/S228)*cnst_fish!$C$6</f>
        <v>2.3938164528281742</v>
      </c>
      <c r="G228" s="1344">
        <f t="shared" ref="G228:H247" si="35">G$7</f>
        <v>1</v>
      </c>
      <c r="H228" s="1344">
        <f t="shared" si="35"/>
        <v>0.367192066876738</v>
      </c>
      <c r="I228" s="1344">
        <f t="shared" si="28"/>
        <v>0</v>
      </c>
      <c r="J228" s="902">
        <f t="shared" si="29"/>
        <v>0</v>
      </c>
      <c r="L228" s="1460">
        <v>0</v>
      </c>
      <c r="M228" s="1236"/>
      <c r="N228" s="1240" t="s">
        <v>1804</v>
      </c>
      <c r="O228" s="1241" t="s">
        <v>4851</v>
      </c>
      <c r="P228" s="910">
        <f t="shared" si="30"/>
        <v>0</v>
      </c>
      <c r="Q228" s="910">
        <f t="shared" si="31"/>
        <v>0</v>
      </c>
      <c r="R228" s="1344">
        <f t="shared" si="32"/>
        <v>2.1</v>
      </c>
      <c r="S228" s="1344">
        <f>(1/9)*cnst_fish!$C$7*(1/cnst_fish!$C$8)^(R228-1)</f>
        <v>1.7754076320174161</v>
      </c>
      <c r="T228" s="1362">
        <f t="shared" si="33"/>
        <v>0</v>
      </c>
      <c r="W228" s="1616"/>
      <c r="X228" s="1616"/>
      <c r="Y228" s="1613"/>
      <c r="Z228" s="1614"/>
      <c r="AA228" s="1614"/>
      <c r="AB228" s="1615"/>
      <c r="AC228" s="1615"/>
      <c r="AD228" s="583"/>
      <c r="AE228" s="583"/>
    </row>
    <row r="229" spans="1:31" ht="14">
      <c r="A229" s="1384" t="s">
        <v>1109</v>
      </c>
      <c r="B229" s="19" t="s">
        <v>4487</v>
      </c>
      <c r="C229" s="1383">
        <v>3498</v>
      </c>
      <c r="D229" s="1236">
        <v>6973</v>
      </c>
      <c r="E229" s="1236"/>
      <c r="F229" s="1344">
        <f>(1/S229)*cnst_fish!$C$6</f>
        <v>2.3938164528281742</v>
      </c>
      <c r="G229" s="1344">
        <f t="shared" si="35"/>
        <v>1</v>
      </c>
      <c r="H229" s="1344">
        <f t="shared" si="35"/>
        <v>0.367192066876738</v>
      </c>
      <c r="I229" s="1344">
        <f t="shared" si="28"/>
        <v>1069.601756352904</v>
      </c>
      <c r="J229" s="902">
        <f t="shared" si="29"/>
        <v>0</v>
      </c>
      <c r="L229" s="1460">
        <v>13275</v>
      </c>
      <c r="M229" s="1236"/>
      <c r="N229" s="1240" t="s">
        <v>1804</v>
      </c>
      <c r="O229" s="1241" t="s">
        <v>4851</v>
      </c>
      <c r="P229" s="910">
        <f t="shared" si="30"/>
        <v>6973</v>
      </c>
      <c r="Q229" s="910">
        <f t="shared" si="31"/>
        <v>13275</v>
      </c>
      <c r="R229" s="1344">
        <f t="shared" si="32"/>
        <v>2.1</v>
      </c>
      <c r="S229" s="1344">
        <f>(1/9)*cnst_fish!$C$7*(1/cnst_fish!$C$8)^(R229-1)</f>
        <v>1.7754076320174161</v>
      </c>
      <c r="T229" s="1362">
        <f t="shared" si="33"/>
        <v>2036.2775441825329</v>
      </c>
      <c r="W229" s="1612"/>
      <c r="X229" s="1612"/>
      <c r="Y229" s="1613"/>
      <c r="Z229" s="1614"/>
      <c r="AA229" s="1614"/>
      <c r="AB229" s="1615"/>
      <c r="AC229" s="1615"/>
      <c r="AD229" s="583"/>
      <c r="AE229" s="583"/>
    </row>
    <row r="230" spans="1:31" ht="14">
      <c r="A230" s="1585" t="s">
        <v>8498</v>
      </c>
      <c r="B230" s="1586" t="s">
        <v>8499</v>
      </c>
      <c r="C230" s="1383">
        <v>20390</v>
      </c>
      <c r="D230" s="1236">
        <v>1780</v>
      </c>
      <c r="E230" s="1236"/>
      <c r="F230" s="1344">
        <f>(1/S230)*cnst_fish!$C$6</f>
        <v>2.3938164528281742</v>
      </c>
      <c r="G230" s="1344">
        <f t="shared" si="35"/>
        <v>1</v>
      </c>
      <c r="H230" s="1344">
        <f t="shared" si="35"/>
        <v>0.367192066876738</v>
      </c>
      <c r="I230" s="1344">
        <f t="shared" si="28"/>
        <v>273.0375916116692</v>
      </c>
      <c r="J230" s="902">
        <f t="shared" si="29"/>
        <v>0</v>
      </c>
      <c r="L230" s="1460">
        <v>1780</v>
      </c>
      <c r="M230" s="1236"/>
      <c r="N230" s="1240" t="s">
        <v>1804</v>
      </c>
      <c r="O230" s="1241" t="s">
        <v>4851</v>
      </c>
      <c r="P230" s="910">
        <f t="shared" si="30"/>
        <v>1780</v>
      </c>
      <c r="Q230" s="910">
        <f t="shared" si="31"/>
        <v>1780</v>
      </c>
      <c r="R230" s="1344">
        <f t="shared" si="32"/>
        <v>2.1</v>
      </c>
      <c r="S230" s="1344">
        <f>(1/9)*cnst_fish!$C$7*(1/cnst_fish!$C$8)^(R230-1)</f>
        <v>1.7754076320174161</v>
      </c>
      <c r="T230" s="1362">
        <f t="shared" si="33"/>
        <v>273.0375916116692</v>
      </c>
      <c r="W230" s="1616"/>
      <c r="X230" s="1616"/>
      <c r="Y230" s="1613"/>
      <c r="Z230" s="1614"/>
      <c r="AA230" s="1614"/>
      <c r="AB230" s="1615"/>
      <c r="AC230" s="1615"/>
      <c r="AD230" s="583"/>
      <c r="AE230" s="583"/>
    </row>
    <row r="231" spans="1:31" ht="14">
      <c r="A231" s="1384" t="s">
        <v>3242</v>
      </c>
      <c r="B231" s="19" t="s">
        <v>2353</v>
      </c>
      <c r="C231" s="1383">
        <v>18982</v>
      </c>
      <c r="D231" s="1236"/>
      <c r="E231" s="1236"/>
      <c r="F231" s="1344">
        <f>(1/S231)*cnst_fish!$C$6</f>
        <v>0.11997502458044032</v>
      </c>
      <c r="G231" s="1344">
        <f t="shared" si="35"/>
        <v>1</v>
      </c>
      <c r="H231" s="1344">
        <f t="shared" si="35"/>
        <v>0.367192066876738</v>
      </c>
      <c r="I231" s="1344">
        <f t="shared" si="28"/>
        <v>0</v>
      </c>
      <c r="J231" s="902">
        <f t="shared" si="29"/>
        <v>0</v>
      </c>
      <c r="L231" s="1460">
        <v>112151</v>
      </c>
      <c r="M231" s="1236"/>
      <c r="N231" s="1240" t="s">
        <v>1806</v>
      </c>
      <c r="O231" s="1241" t="s">
        <v>4841</v>
      </c>
      <c r="P231" s="910">
        <f t="shared" si="30"/>
        <v>0</v>
      </c>
      <c r="Q231" s="910">
        <f t="shared" si="31"/>
        <v>112151</v>
      </c>
      <c r="R231" s="1344">
        <f t="shared" si="32"/>
        <v>3.4</v>
      </c>
      <c r="S231" s="1344">
        <f>(1/9)*cnst_fish!$C$7*(1/cnst_fish!$C$8)^(R231-1)</f>
        <v>35.424039418724846</v>
      </c>
      <c r="T231" s="1362">
        <f t="shared" si="33"/>
        <v>343246.08506066375</v>
      </c>
      <c r="W231" s="1612"/>
      <c r="X231" s="1612"/>
      <c r="Y231" s="1613"/>
      <c r="Z231" s="1614"/>
      <c r="AA231" s="1614"/>
      <c r="AB231" s="1615"/>
      <c r="AC231" s="1615"/>
      <c r="AD231" s="583"/>
      <c r="AE231" s="583"/>
    </row>
    <row r="232" spans="1:31" ht="14">
      <c r="A232" s="1585" t="s">
        <v>8500</v>
      </c>
      <c r="B232" s="1586" t="s">
        <v>8501</v>
      </c>
      <c r="C232" s="1383">
        <v>11049</v>
      </c>
      <c r="D232" s="1236">
        <v>8</v>
      </c>
      <c r="E232" s="1236"/>
      <c r="F232" s="1344">
        <f>(1/S232)*cnst_fish!$C$6</f>
        <v>9.5299549485983348E-2</v>
      </c>
      <c r="G232" s="1344">
        <f t="shared" si="35"/>
        <v>1</v>
      </c>
      <c r="H232" s="1344">
        <f t="shared" si="35"/>
        <v>0.367192066876738</v>
      </c>
      <c r="I232" s="1344">
        <f t="shared" si="28"/>
        <v>30.824243670175552</v>
      </c>
      <c r="J232" s="902">
        <f t="shared" si="29"/>
        <v>0</v>
      </c>
      <c r="L232" s="1460">
        <v>8</v>
      </c>
      <c r="M232" s="1236"/>
      <c r="N232" s="1240" t="s">
        <v>1806</v>
      </c>
      <c r="O232" s="1241" t="s">
        <v>4841</v>
      </c>
      <c r="P232" s="910">
        <f t="shared" si="30"/>
        <v>8</v>
      </c>
      <c r="Q232" s="910">
        <f t="shared" si="31"/>
        <v>8</v>
      </c>
      <c r="R232" s="1344">
        <f t="shared" si="32"/>
        <v>3.5</v>
      </c>
      <c r="S232" s="1344">
        <f>(1/9)*cnst_fish!$C$7*(1/cnst_fish!$C$8)^(R232-1)</f>
        <v>44.596223412631026</v>
      </c>
      <c r="T232" s="1362">
        <f t="shared" si="33"/>
        <v>30.824243670175552</v>
      </c>
      <c r="W232" s="1616"/>
      <c r="X232" s="1616"/>
      <c r="Y232" s="1613"/>
      <c r="Z232" s="1614"/>
      <c r="AA232" s="1614"/>
      <c r="AB232" s="1615"/>
      <c r="AC232" s="1615"/>
      <c r="AD232" s="583"/>
      <c r="AE232" s="583"/>
    </row>
    <row r="233" spans="1:31" ht="14">
      <c r="A233" s="1585" t="s">
        <v>8502</v>
      </c>
      <c r="B233" s="1586" t="s">
        <v>8503</v>
      </c>
      <c r="C233" s="1383">
        <v>11050</v>
      </c>
      <c r="D233" s="1236"/>
      <c r="E233" s="1236"/>
      <c r="F233" s="1344">
        <f>(1/S233)*cnst_fish!$C$6</f>
        <v>4.7762917572805388E-2</v>
      </c>
      <c r="G233" s="1344">
        <f t="shared" si="35"/>
        <v>1</v>
      </c>
      <c r="H233" s="1344">
        <f t="shared" si="35"/>
        <v>0.367192066876738</v>
      </c>
      <c r="I233" s="1344">
        <f t="shared" si="28"/>
        <v>0</v>
      </c>
      <c r="J233" s="902">
        <f t="shared" si="29"/>
        <v>0</v>
      </c>
      <c r="L233" s="1460">
        <v>41</v>
      </c>
      <c r="M233" s="1236"/>
      <c r="N233" s="1240" t="s">
        <v>1806</v>
      </c>
      <c r="O233" s="1241" t="s">
        <v>4841</v>
      </c>
      <c r="P233" s="910">
        <f t="shared" si="30"/>
        <v>0</v>
      </c>
      <c r="Q233" s="910">
        <f t="shared" si="31"/>
        <v>41</v>
      </c>
      <c r="R233" s="1344">
        <f t="shared" si="32"/>
        <v>3.8</v>
      </c>
      <c r="S233" s="1344">
        <f>(1/9)*cnst_fish!$C$7*(1/cnst_fish!$C$8)^(R233-1)</f>
        <v>88.981163965155432</v>
      </c>
      <c r="T233" s="1362">
        <f t="shared" si="33"/>
        <v>315.20006538541111</v>
      </c>
      <c r="W233" s="1616"/>
      <c r="X233" s="1616"/>
      <c r="Y233" s="1613"/>
      <c r="Z233" s="1614"/>
      <c r="AA233" s="1614"/>
      <c r="AB233" s="1615"/>
      <c r="AC233" s="1615"/>
      <c r="AD233" s="583"/>
      <c r="AE233" s="583"/>
    </row>
    <row r="234" spans="1:31" ht="14">
      <c r="A234" s="1384" t="s">
        <v>4272</v>
      </c>
      <c r="B234" s="19" t="s">
        <v>2420</v>
      </c>
      <c r="C234" s="1383">
        <v>2372</v>
      </c>
      <c r="D234" s="1236"/>
      <c r="E234" s="1236"/>
      <c r="F234" s="1344">
        <f>(1/S234)*cnst_fish!$C$6</f>
        <v>0.12276960190187568</v>
      </c>
      <c r="G234" s="1344">
        <f t="shared" si="35"/>
        <v>1</v>
      </c>
      <c r="H234" s="1344">
        <f t="shared" si="35"/>
        <v>0.367192066876738</v>
      </c>
      <c r="I234" s="1344">
        <f t="shared" si="28"/>
        <v>0</v>
      </c>
      <c r="J234" s="902">
        <f t="shared" si="29"/>
        <v>0</v>
      </c>
      <c r="L234" s="1460">
        <v>274</v>
      </c>
      <c r="M234" s="1236"/>
      <c r="N234" s="1240" t="s">
        <v>1806</v>
      </c>
      <c r="O234" s="1241" t="s">
        <v>4841</v>
      </c>
      <c r="P234" s="910">
        <f t="shared" si="30"/>
        <v>0</v>
      </c>
      <c r="Q234" s="910">
        <f t="shared" si="31"/>
        <v>274</v>
      </c>
      <c r="R234" s="1344">
        <f t="shared" si="32"/>
        <v>3.39</v>
      </c>
      <c r="S234" s="1344">
        <f>(1/9)*cnst_fish!$C$7*(1/cnst_fish!$C$8)^(R234-1)</f>
        <v>34.617689836583793</v>
      </c>
      <c r="T234" s="1362">
        <f t="shared" si="33"/>
        <v>819.50763678976375</v>
      </c>
      <c r="W234" s="1612"/>
      <c r="X234" s="1612"/>
      <c r="Y234" s="1613"/>
      <c r="Z234" s="1614"/>
      <c r="AA234" s="1614"/>
      <c r="AB234" s="1615"/>
      <c r="AC234" s="1615"/>
      <c r="AD234" s="583"/>
      <c r="AE234" s="583"/>
    </row>
    <row r="235" spans="1:31" ht="14">
      <c r="A235" s="1384" t="s">
        <v>6509</v>
      </c>
      <c r="B235" s="19" t="s">
        <v>6508</v>
      </c>
      <c r="C235" s="1383">
        <v>19841</v>
      </c>
      <c r="D235" s="1236"/>
      <c r="E235" s="1236"/>
      <c r="F235" s="1344">
        <f>(1/S235)*cnst_fish!$C$6</f>
        <v>3.0136363636363641</v>
      </c>
      <c r="G235" s="1344">
        <f t="shared" si="35"/>
        <v>1</v>
      </c>
      <c r="H235" s="1344">
        <f t="shared" si="35"/>
        <v>0.367192066876738</v>
      </c>
      <c r="I235" s="1344">
        <f t="shared" si="28"/>
        <v>0</v>
      </c>
      <c r="J235" s="902">
        <f t="shared" si="29"/>
        <v>0</v>
      </c>
      <c r="L235" s="1460">
        <v>117</v>
      </c>
      <c r="M235" s="1236"/>
      <c r="N235" s="1240" t="s">
        <v>1806</v>
      </c>
      <c r="O235" s="1241" t="s">
        <v>4841</v>
      </c>
      <c r="P235" s="910">
        <f t="shared" si="30"/>
        <v>0</v>
      </c>
      <c r="Q235" s="910">
        <f t="shared" si="31"/>
        <v>117</v>
      </c>
      <c r="R235" s="1344">
        <f t="shared" si="32"/>
        <v>2</v>
      </c>
      <c r="S235" s="1344">
        <f>(1/9)*cnst_fish!$C$7*(1/cnst_fish!$C$8)^(R235-1)</f>
        <v>1.4102564102564099</v>
      </c>
      <c r="T235" s="1362">
        <f t="shared" si="33"/>
        <v>14.255692008155709</v>
      </c>
      <c r="W235" s="1612"/>
      <c r="X235" s="1612"/>
      <c r="Y235" s="1613"/>
      <c r="Z235" s="1614"/>
      <c r="AA235" s="1614"/>
      <c r="AB235" s="1615"/>
      <c r="AC235" s="1615"/>
      <c r="AD235" s="583"/>
      <c r="AE235" s="583"/>
    </row>
    <row r="236" spans="1:31" ht="14">
      <c r="A236" s="1384" t="s">
        <v>6512</v>
      </c>
      <c r="B236" s="19" t="s">
        <v>179</v>
      </c>
      <c r="C236" s="1383">
        <v>18576</v>
      </c>
      <c r="D236" s="1236">
        <v>21</v>
      </c>
      <c r="E236" s="1236"/>
      <c r="F236" s="1344">
        <f>(1/S236)*cnst_fish!$C$6</f>
        <v>0.75699122913220485</v>
      </c>
      <c r="G236" s="1344">
        <f t="shared" si="35"/>
        <v>1</v>
      </c>
      <c r="H236" s="1344">
        <f t="shared" si="35"/>
        <v>0.367192066876738</v>
      </c>
      <c r="I236" s="1344">
        <f t="shared" si="28"/>
        <v>10.186423709626368</v>
      </c>
      <c r="J236" s="902">
        <f t="shared" si="29"/>
        <v>0</v>
      </c>
      <c r="L236" s="1460">
        <v>21</v>
      </c>
      <c r="M236" s="1236"/>
      <c r="N236" s="1240" t="s">
        <v>2441</v>
      </c>
      <c r="O236" s="1241" t="s">
        <v>4840</v>
      </c>
      <c r="P236" s="910">
        <f t="shared" si="30"/>
        <v>21</v>
      </c>
      <c r="Q236" s="910">
        <f t="shared" si="31"/>
        <v>21</v>
      </c>
      <c r="R236" s="1344">
        <f t="shared" si="32"/>
        <v>2.6</v>
      </c>
      <c r="S236" s="1344">
        <f>(1/9)*cnst_fish!$C$7*(1/cnst_fish!$C$8)^(R236-1)</f>
        <v>5.6143318924211183</v>
      </c>
      <c r="T236" s="1362">
        <f t="shared" si="33"/>
        <v>10.186423709626368</v>
      </c>
      <c r="W236" s="1612"/>
      <c r="X236" s="1612"/>
      <c r="Y236" s="1613"/>
      <c r="Z236" s="1614"/>
      <c r="AA236" s="1614"/>
      <c r="AB236" s="1615"/>
      <c r="AC236" s="1615"/>
      <c r="AD236" s="583"/>
      <c r="AE236" s="583"/>
    </row>
    <row r="237" spans="1:31" ht="14">
      <c r="A237" s="1384" t="s">
        <v>3956</v>
      </c>
      <c r="B237" s="19" t="s">
        <v>5319</v>
      </c>
      <c r="C237" s="1383">
        <v>2633</v>
      </c>
      <c r="D237" s="1236"/>
      <c r="E237" s="1236"/>
      <c r="F237" s="1344">
        <f>(1/S237)*cnst_fish!$C$6</f>
        <v>0.95299549485983426</v>
      </c>
      <c r="G237" s="1344">
        <f t="shared" si="35"/>
        <v>1</v>
      </c>
      <c r="H237" s="1344">
        <f t="shared" si="35"/>
        <v>0.367192066876738</v>
      </c>
      <c r="I237" s="1344">
        <f t="shared" si="28"/>
        <v>0</v>
      </c>
      <c r="J237" s="902">
        <f t="shared" si="29"/>
        <v>0</v>
      </c>
      <c r="L237" s="1460">
        <v>2226</v>
      </c>
      <c r="M237" s="1236"/>
      <c r="N237" s="1240" t="s">
        <v>2430</v>
      </c>
      <c r="O237" s="1241" t="s">
        <v>4840</v>
      </c>
      <c r="P237" s="910">
        <f t="shared" si="30"/>
        <v>0</v>
      </c>
      <c r="Q237" s="910">
        <f t="shared" si="31"/>
        <v>2226</v>
      </c>
      <c r="R237" s="1344">
        <f t="shared" si="32"/>
        <v>2.5</v>
      </c>
      <c r="S237" s="1344">
        <f>(1/9)*cnst_fish!$C$7*(1/cnst_fish!$C$8)^(R237-1)</f>
        <v>4.4596223412630991</v>
      </c>
      <c r="T237" s="1362">
        <f t="shared" si="33"/>
        <v>857.68458012263409</v>
      </c>
      <c r="W237" s="1612"/>
      <c r="X237" s="1612"/>
      <c r="Y237" s="1613"/>
      <c r="Z237" s="1614"/>
      <c r="AA237" s="1614"/>
      <c r="AB237" s="1615"/>
      <c r="AC237" s="1615"/>
      <c r="AD237" s="583"/>
      <c r="AE237" s="583"/>
    </row>
    <row r="238" spans="1:31" ht="14">
      <c r="A238" s="1384" t="s">
        <v>4803</v>
      </c>
      <c r="B238" s="19" t="s">
        <v>5320</v>
      </c>
      <c r="C238" s="1383">
        <v>2632</v>
      </c>
      <c r="D238" s="1236">
        <v>61014</v>
      </c>
      <c r="E238" s="1236">
        <v>0</v>
      </c>
      <c r="F238" s="1344">
        <f>(1/S238)*cnst_fish!$C$6</f>
        <v>3.0136363636363642E-2</v>
      </c>
      <c r="G238" s="1344">
        <f t="shared" si="35"/>
        <v>1</v>
      </c>
      <c r="H238" s="1344">
        <f t="shared" si="35"/>
        <v>0.367192066876738</v>
      </c>
      <c r="I238" s="1344">
        <f t="shared" si="28"/>
        <v>743416.0616971046</v>
      </c>
      <c r="J238" s="902">
        <f t="shared" si="29"/>
        <v>0</v>
      </c>
      <c r="L238" s="1460">
        <v>74495</v>
      </c>
      <c r="M238" s="1236">
        <v>0</v>
      </c>
      <c r="N238" s="1240" t="s">
        <v>2430</v>
      </c>
      <c r="O238" s="1241" t="s">
        <v>4840</v>
      </c>
      <c r="P238" s="910">
        <f t="shared" si="30"/>
        <v>61014</v>
      </c>
      <c r="Q238" s="910">
        <f t="shared" si="31"/>
        <v>74495</v>
      </c>
      <c r="R238" s="1344">
        <f t="shared" si="32"/>
        <v>4</v>
      </c>
      <c r="S238" s="1344">
        <f>(1/9)*cnst_fish!$C$7*(1/cnst_fish!$C$8)^(R238-1)</f>
        <v>141.02564102564099</v>
      </c>
      <c r="T238" s="1362">
        <f t="shared" si="33"/>
        <v>907673.31294663204</v>
      </c>
      <c r="W238" s="1612"/>
      <c r="X238" s="1612"/>
      <c r="Y238" s="1613"/>
      <c r="Z238" s="1614"/>
      <c r="AA238" s="1614"/>
      <c r="AB238" s="1615"/>
      <c r="AC238" s="1615"/>
      <c r="AD238" s="583"/>
      <c r="AE238" s="583"/>
    </row>
    <row r="239" spans="1:31" ht="14">
      <c r="A239" s="1384" t="s">
        <v>4031</v>
      </c>
      <c r="B239" s="19" t="s">
        <v>4032</v>
      </c>
      <c r="C239" s="1383">
        <v>17241</v>
      </c>
      <c r="D239" s="1236"/>
      <c r="E239" s="1236"/>
      <c r="F239" s="1344">
        <f>(1/S239)*cnst_fish!$C$6</f>
        <v>0.14481532779905856</v>
      </c>
      <c r="G239" s="1344">
        <f t="shared" si="35"/>
        <v>1</v>
      </c>
      <c r="H239" s="1344">
        <f t="shared" si="35"/>
        <v>0.367192066876738</v>
      </c>
      <c r="I239" s="1344">
        <f t="shared" si="28"/>
        <v>0</v>
      </c>
      <c r="J239" s="902">
        <f t="shared" si="29"/>
        <v>0</v>
      </c>
      <c r="L239" s="1460">
        <v>1867</v>
      </c>
      <c r="M239" s="1236"/>
      <c r="N239" s="1240" t="s">
        <v>1804</v>
      </c>
      <c r="O239" s="1241" t="s">
        <v>4851</v>
      </c>
      <c r="P239" s="910">
        <f t="shared" si="30"/>
        <v>0</v>
      </c>
      <c r="Q239" s="910">
        <f t="shared" si="31"/>
        <v>1867</v>
      </c>
      <c r="R239" s="1344">
        <f t="shared" si="32"/>
        <v>3.3182763159269002</v>
      </c>
      <c r="S239" s="1344">
        <f>(1/9)*cnst_fish!$C$7*(1/cnst_fish!$C$8)^(R239-1)</f>
        <v>29.347722127157517</v>
      </c>
      <c r="T239" s="1362">
        <f t="shared" si="33"/>
        <v>4733.9435630053968</v>
      </c>
      <c r="W239" s="1612"/>
      <c r="X239" s="1612"/>
      <c r="Y239" s="1613"/>
      <c r="Z239" s="1614"/>
      <c r="AA239" s="1614"/>
      <c r="AB239" s="1615"/>
      <c r="AC239" s="1615"/>
      <c r="AD239" s="583"/>
      <c r="AE239" s="583"/>
    </row>
    <row r="240" spans="1:31" ht="14">
      <c r="A240" s="1384" t="s">
        <v>2412</v>
      </c>
      <c r="B240" s="19" t="s">
        <v>2026</v>
      </c>
      <c r="C240" s="1383">
        <v>3641</v>
      </c>
      <c r="D240" s="1236"/>
      <c r="E240" s="1236"/>
      <c r="F240" s="1344">
        <f>(1/S240)*cnst_fish!$C$6</f>
        <v>30.136363636363644</v>
      </c>
      <c r="G240" s="1344">
        <f t="shared" si="35"/>
        <v>1</v>
      </c>
      <c r="H240" s="1344">
        <f t="shared" si="35"/>
        <v>0.367192066876738</v>
      </c>
      <c r="I240" s="1344">
        <f t="shared" si="28"/>
        <v>0</v>
      </c>
      <c r="J240" s="902">
        <f t="shared" si="29"/>
        <v>0</v>
      </c>
      <c r="L240" s="1460">
        <v>0</v>
      </c>
      <c r="M240" s="1236"/>
      <c r="N240" s="1240" t="s">
        <v>1808</v>
      </c>
      <c r="O240" s="1241" t="s">
        <v>4831</v>
      </c>
      <c r="P240" s="910">
        <f t="shared" si="30"/>
        <v>0</v>
      </c>
      <c r="Q240" s="910">
        <f t="shared" si="31"/>
        <v>0</v>
      </c>
      <c r="R240" s="1344">
        <f t="shared" si="32"/>
        <v>1</v>
      </c>
      <c r="S240" s="1344">
        <f>(1/9)*cnst_fish!$C$7*(1/cnst_fish!$C$8)^(R240-1)</f>
        <v>0.141025641025641</v>
      </c>
      <c r="T240" s="1362">
        <f t="shared" si="33"/>
        <v>0</v>
      </c>
      <c r="W240" s="1612"/>
      <c r="X240" s="1612"/>
      <c r="Y240" s="1613"/>
      <c r="Z240" s="1614"/>
      <c r="AA240" s="1614"/>
      <c r="AB240" s="1615"/>
      <c r="AC240" s="1615"/>
      <c r="AD240" s="583"/>
      <c r="AE240" s="583"/>
    </row>
    <row r="241" spans="1:31" ht="14">
      <c r="A241" s="1384" t="s">
        <v>2403</v>
      </c>
      <c r="B241" s="19" t="s">
        <v>970</v>
      </c>
      <c r="C241" s="1383">
        <v>2873</v>
      </c>
      <c r="D241" s="1236"/>
      <c r="E241" s="1236"/>
      <c r="F241" s="1344">
        <f>(1/S241)*cnst_fish!$C$6</f>
        <v>0.11196720767792057</v>
      </c>
      <c r="G241" s="1344">
        <f t="shared" si="35"/>
        <v>1</v>
      </c>
      <c r="H241" s="1344">
        <f t="shared" si="35"/>
        <v>0.367192066876738</v>
      </c>
      <c r="I241" s="1344">
        <f t="shared" si="28"/>
        <v>0</v>
      </c>
      <c r="J241" s="902">
        <f t="shared" si="29"/>
        <v>0</v>
      </c>
      <c r="L241" s="1460">
        <v>0</v>
      </c>
      <c r="M241" s="1236"/>
      <c r="N241" s="1240" t="s">
        <v>1806</v>
      </c>
      <c r="O241" s="1241" t="s">
        <v>4841</v>
      </c>
      <c r="P241" s="910">
        <f t="shared" si="30"/>
        <v>0</v>
      </c>
      <c r="Q241" s="910">
        <f t="shared" si="31"/>
        <v>0</v>
      </c>
      <c r="R241" s="1344">
        <f t="shared" si="32"/>
        <v>3.43</v>
      </c>
      <c r="S241" s="1344">
        <f>(1/9)*cnst_fish!$C$7*(1/cnst_fish!$C$8)^(R241-1)</f>
        <v>37.957542106661656</v>
      </c>
      <c r="T241" s="1362">
        <f t="shared" si="33"/>
        <v>0</v>
      </c>
      <c r="W241" s="1612"/>
      <c r="X241" s="1612"/>
      <c r="Y241" s="1613"/>
      <c r="Z241" s="1614"/>
      <c r="AA241" s="1614"/>
      <c r="AB241" s="1615"/>
      <c r="AC241" s="1615"/>
      <c r="AD241" s="583"/>
      <c r="AE241" s="583"/>
    </row>
    <row r="242" spans="1:31" ht="14">
      <c r="A242" s="1384" t="s">
        <v>3566</v>
      </c>
      <c r="B242" s="19" t="s">
        <v>3567</v>
      </c>
      <c r="C242" s="1383">
        <v>11063</v>
      </c>
      <c r="D242" s="1236"/>
      <c r="E242" s="1236"/>
      <c r="F242" s="1344">
        <f>(1/S242)*cnst_fish!$C$6</f>
        <v>0.17745606522761614</v>
      </c>
      <c r="G242" s="1344">
        <f t="shared" si="35"/>
        <v>1</v>
      </c>
      <c r="H242" s="1344">
        <f t="shared" si="35"/>
        <v>0.367192066876738</v>
      </c>
      <c r="I242" s="1344">
        <f t="shared" si="28"/>
        <v>0</v>
      </c>
      <c r="J242" s="902">
        <f t="shared" si="29"/>
        <v>0</v>
      </c>
      <c r="L242" s="1460">
        <v>1533</v>
      </c>
      <c r="M242" s="1236"/>
      <c r="N242" s="1240" t="s">
        <v>1806</v>
      </c>
      <c r="O242" s="1241" t="s">
        <v>4841</v>
      </c>
      <c r="P242" s="910">
        <f t="shared" si="30"/>
        <v>0</v>
      </c>
      <c r="Q242" s="910">
        <f t="shared" si="31"/>
        <v>1533</v>
      </c>
      <c r="R242" s="1344">
        <f t="shared" si="32"/>
        <v>3.23</v>
      </c>
      <c r="S242" s="1344">
        <f>(1/9)*cnst_fish!$C$7*(1/cnst_fish!$C$8)^(R242-1)</f>
        <v>23.94958997061434</v>
      </c>
      <c r="T242" s="1362">
        <f t="shared" si="33"/>
        <v>3172.0833987839296</v>
      </c>
      <c r="W242" s="1612"/>
      <c r="X242" s="1612"/>
      <c r="Y242" s="1613"/>
      <c r="Z242" s="1614"/>
      <c r="AA242" s="1614"/>
      <c r="AB242" s="1615"/>
      <c r="AC242" s="1615"/>
      <c r="AD242" s="583"/>
      <c r="AE242" s="583"/>
    </row>
    <row r="243" spans="1:31" ht="14">
      <c r="A243" s="1384" t="s">
        <v>2221</v>
      </c>
      <c r="B243" s="19" t="s">
        <v>4920</v>
      </c>
      <c r="C243" s="1383">
        <v>2874</v>
      </c>
      <c r="D243" s="1236"/>
      <c r="E243" s="1236"/>
      <c r="F243" s="1344">
        <f>(1/S243)*cnst_fish!$C$6</f>
        <v>0.10692785320993656</v>
      </c>
      <c r="G243" s="1344">
        <f t="shared" si="35"/>
        <v>1</v>
      </c>
      <c r="H243" s="1344">
        <f t="shared" si="35"/>
        <v>0.367192066876738</v>
      </c>
      <c r="I243" s="1344">
        <f t="shared" si="28"/>
        <v>0</v>
      </c>
      <c r="J243" s="902">
        <f t="shared" si="29"/>
        <v>0</v>
      </c>
      <c r="L243" s="1460">
        <v>660</v>
      </c>
      <c r="M243" s="1236"/>
      <c r="N243" s="1240" t="s">
        <v>1806</v>
      </c>
      <c r="O243" s="1241" t="s">
        <v>4841</v>
      </c>
      <c r="P243" s="910">
        <f t="shared" si="30"/>
        <v>0</v>
      </c>
      <c r="Q243" s="910">
        <f t="shared" si="31"/>
        <v>660</v>
      </c>
      <c r="R243" s="1344">
        <f t="shared" si="32"/>
        <v>3.45</v>
      </c>
      <c r="S243" s="1344">
        <f>(1/9)*cnst_fish!$C$7*(1/cnst_fish!$C$8)^(R243-1)</f>
        <v>39.746425953729492</v>
      </c>
      <c r="T243" s="1362">
        <f t="shared" si="33"/>
        <v>2266.4512272853372</v>
      </c>
      <c r="W243" s="1612"/>
      <c r="X243" s="1612"/>
      <c r="Y243" s="1613"/>
      <c r="Z243" s="1614"/>
      <c r="AA243" s="1614"/>
      <c r="AB243" s="1615"/>
      <c r="AC243" s="1615"/>
      <c r="AD243" s="583"/>
      <c r="AE243" s="583"/>
    </row>
    <row r="244" spans="1:31" ht="14">
      <c r="A244" s="1384" t="s">
        <v>5539</v>
      </c>
      <c r="B244" s="19" t="s">
        <v>4921</v>
      </c>
      <c r="C244" s="1383">
        <v>11064</v>
      </c>
      <c r="D244" s="1236"/>
      <c r="E244" s="1236"/>
      <c r="F244" s="1344">
        <f>(1/S244)*cnst_fish!$C$6</f>
        <v>7.5699122913220479E-2</v>
      </c>
      <c r="G244" s="1344">
        <f t="shared" si="35"/>
        <v>1</v>
      </c>
      <c r="H244" s="1344">
        <f t="shared" si="35"/>
        <v>0.367192066876738</v>
      </c>
      <c r="I244" s="1344">
        <f t="shared" si="28"/>
        <v>0</v>
      </c>
      <c r="J244" s="902">
        <f t="shared" si="29"/>
        <v>0</v>
      </c>
      <c r="L244" s="1460">
        <v>1651</v>
      </c>
      <c r="M244" s="1236"/>
      <c r="N244" s="1240" t="s">
        <v>3927</v>
      </c>
      <c r="O244" s="1241" t="s">
        <v>4841</v>
      </c>
      <c r="P244" s="910">
        <f t="shared" si="30"/>
        <v>0</v>
      </c>
      <c r="Q244" s="910">
        <f t="shared" si="31"/>
        <v>1651</v>
      </c>
      <c r="R244" s="1344">
        <f t="shared" si="32"/>
        <v>3.6</v>
      </c>
      <c r="S244" s="1344">
        <f>(1/9)*cnst_fish!$C$7*(1/cnst_fish!$C$8)^(R244-1)</f>
        <v>56.143318924211187</v>
      </c>
      <c r="T244" s="1362">
        <f t="shared" si="33"/>
        <v>8008.4693069491113</v>
      </c>
      <c r="W244" s="1612"/>
      <c r="X244" s="1612"/>
      <c r="Y244" s="1613"/>
      <c r="Z244" s="1614"/>
      <c r="AA244" s="1614"/>
      <c r="AB244" s="1615"/>
      <c r="AC244" s="1615"/>
      <c r="AD244" s="583"/>
      <c r="AE244" s="583"/>
    </row>
    <row r="245" spans="1:31" ht="14">
      <c r="A245" s="1384" t="s">
        <v>558</v>
      </c>
      <c r="B245" s="19" t="s">
        <v>559</v>
      </c>
      <c r="C245" s="1383">
        <v>2327</v>
      </c>
      <c r="D245" s="1236"/>
      <c r="E245" s="1236"/>
      <c r="F245" s="1344">
        <f>(1/S245)*cnst_fish!$C$6</f>
        <v>9.5299549485983424E-3</v>
      </c>
      <c r="G245" s="1344">
        <f t="shared" si="35"/>
        <v>1</v>
      </c>
      <c r="H245" s="1344">
        <f t="shared" si="35"/>
        <v>0.367192066876738</v>
      </c>
      <c r="I245" s="1344">
        <f t="shared" si="28"/>
        <v>0</v>
      </c>
      <c r="J245" s="902">
        <f t="shared" si="29"/>
        <v>0</v>
      </c>
      <c r="L245" s="1460">
        <v>233</v>
      </c>
      <c r="M245" s="1236"/>
      <c r="N245" s="1240" t="s">
        <v>1806</v>
      </c>
      <c r="O245" s="1241" t="s">
        <v>4859</v>
      </c>
      <c r="P245" s="910">
        <f t="shared" si="30"/>
        <v>0</v>
      </c>
      <c r="Q245" s="910">
        <f t="shared" si="31"/>
        <v>233</v>
      </c>
      <c r="R245" s="1344">
        <f t="shared" si="32"/>
        <v>4.5</v>
      </c>
      <c r="S245" s="1344">
        <f>(1/9)*cnst_fish!$C$7*(1/cnst_fish!$C$8)^(R245-1)</f>
        <v>445.96223412630997</v>
      </c>
      <c r="T245" s="1362">
        <f t="shared" si="33"/>
        <v>8977.560968938622</v>
      </c>
      <c r="W245" s="1612"/>
      <c r="X245" s="1612"/>
      <c r="Y245" s="1613"/>
      <c r="Z245" s="1614"/>
      <c r="AA245" s="1614"/>
      <c r="AB245" s="1615"/>
      <c r="AC245" s="1615"/>
      <c r="AD245" s="583"/>
      <c r="AE245" s="583"/>
    </row>
    <row r="246" spans="1:31" ht="14">
      <c r="A246" s="1384" t="s">
        <v>942</v>
      </c>
      <c r="B246" s="19" t="s">
        <v>3957</v>
      </c>
      <c r="C246" s="1383">
        <v>3462</v>
      </c>
      <c r="D246" s="1236">
        <v>7218</v>
      </c>
      <c r="E246" s="1236"/>
      <c r="F246" s="1344">
        <f>(1/S246)*cnst_fish!$C$6</f>
        <v>0.75699122913220485</v>
      </c>
      <c r="G246" s="1344">
        <f t="shared" si="35"/>
        <v>1</v>
      </c>
      <c r="H246" s="1344">
        <f t="shared" si="35"/>
        <v>0.367192066876738</v>
      </c>
      <c r="I246" s="1344">
        <f t="shared" si="28"/>
        <v>3501.2193493372915</v>
      </c>
      <c r="J246" s="902">
        <f t="shared" si="29"/>
        <v>0</v>
      </c>
      <c r="L246" s="1460">
        <v>7218</v>
      </c>
      <c r="M246" s="1236"/>
      <c r="N246" s="1240" t="s">
        <v>2430</v>
      </c>
      <c r="O246" s="1241" t="s">
        <v>4840</v>
      </c>
      <c r="P246" s="910">
        <f t="shared" si="30"/>
        <v>7218</v>
      </c>
      <c r="Q246" s="910">
        <f t="shared" si="31"/>
        <v>7218</v>
      </c>
      <c r="R246" s="1344">
        <f t="shared" si="32"/>
        <v>2.6</v>
      </c>
      <c r="S246" s="1344">
        <f>(1/9)*cnst_fish!$C$7*(1/cnst_fish!$C$8)^(R246-1)</f>
        <v>5.6143318924211183</v>
      </c>
      <c r="T246" s="1362">
        <f t="shared" si="33"/>
        <v>3501.2193493372915</v>
      </c>
      <c r="W246" s="1612"/>
      <c r="X246" s="1612"/>
      <c r="Y246" s="1613"/>
      <c r="Z246" s="1614"/>
      <c r="AA246" s="1614"/>
      <c r="AB246" s="1615"/>
      <c r="AC246" s="1615"/>
      <c r="AD246" s="583"/>
      <c r="AE246" s="583"/>
    </row>
    <row r="247" spans="1:31" ht="14">
      <c r="A247" s="1384" t="s">
        <v>2054</v>
      </c>
      <c r="B247" s="19" t="s">
        <v>6513</v>
      </c>
      <c r="C247" s="1383">
        <v>19120</v>
      </c>
      <c r="D247" s="1236"/>
      <c r="E247" s="1236"/>
      <c r="F247" s="1344">
        <f>(1/S247)*cnst_fish!$C$6</f>
        <v>0.14481532779905856</v>
      </c>
      <c r="G247" s="1344">
        <f t="shared" si="35"/>
        <v>1</v>
      </c>
      <c r="H247" s="1344">
        <f t="shared" si="35"/>
        <v>0.367192066876738</v>
      </c>
      <c r="I247" s="1344">
        <f t="shared" si="28"/>
        <v>0</v>
      </c>
      <c r="J247" s="902">
        <f t="shared" si="29"/>
        <v>0</v>
      </c>
      <c r="L247" s="1460">
        <v>3808</v>
      </c>
      <c r="M247" s="1236"/>
      <c r="N247" s="1240" t="s">
        <v>2430</v>
      </c>
      <c r="O247" s="1241" t="s">
        <v>4840</v>
      </c>
      <c r="P247" s="910">
        <f t="shared" si="30"/>
        <v>0</v>
      </c>
      <c r="Q247" s="910">
        <f t="shared" si="31"/>
        <v>3808</v>
      </c>
      <c r="R247" s="1344">
        <f t="shared" si="32"/>
        <v>3.3182763159269002</v>
      </c>
      <c r="S247" s="1344">
        <f>(1/9)*cnst_fish!$C$7*(1/cnst_fish!$C$8)^(R247-1)</f>
        <v>29.347722127157517</v>
      </c>
      <c r="T247" s="1362">
        <f t="shared" si="33"/>
        <v>9655.5206684116511</v>
      </c>
      <c r="W247" s="1612"/>
      <c r="X247" s="1612"/>
      <c r="Y247" s="1613"/>
      <c r="Z247" s="1614"/>
      <c r="AA247" s="1614"/>
      <c r="AB247" s="1615"/>
      <c r="AC247" s="1615"/>
      <c r="AD247" s="583"/>
      <c r="AE247" s="583"/>
    </row>
    <row r="248" spans="1:31" ht="14">
      <c r="A248" s="1384" t="s">
        <v>4651</v>
      </c>
      <c r="B248" s="19" t="s">
        <v>3958</v>
      </c>
      <c r="C248" s="1383">
        <v>3460</v>
      </c>
      <c r="D248" s="1236">
        <v>727</v>
      </c>
      <c r="E248" s="1236"/>
      <c r="F248" s="1344">
        <f>(1/S248)*cnst_fish!$C$6</f>
        <v>0.75699122913220485</v>
      </c>
      <c r="G248" s="1344">
        <f t="shared" ref="G248:H267" si="36">G$7</f>
        <v>1</v>
      </c>
      <c r="H248" s="1344">
        <f t="shared" si="36"/>
        <v>0.367192066876738</v>
      </c>
      <c r="I248" s="1344">
        <f t="shared" si="28"/>
        <v>352.64428747135094</v>
      </c>
      <c r="J248" s="902">
        <f t="shared" si="29"/>
        <v>0</v>
      </c>
      <c r="L248" s="1460">
        <v>5917</v>
      </c>
      <c r="M248" s="1236"/>
      <c r="N248" s="1240" t="s">
        <v>2430</v>
      </c>
      <c r="O248" s="1241" t="s">
        <v>4840</v>
      </c>
      <c r="P248" s="910">
        <f t="shared" si="30"/>
        <v>727</v>
      </c>
      <c r="Q248" s="910">
        <f t="shared" si="31"/>
        <v>5917</v>
      </c>
      <c r="R248" s="1344">
        <f t="shared" si="32"/>
        <v>2.6</v>
      </c>
      <c r="S248" s="1344">
        <f>(1/9)*cnst_fish!$C$7*(1/cnst_fish!$C$8)^(R248-1)</f>
        <v>5.6143318924211183</v>
      </c>
      <c r="T248" s="1362">
        <f t="shared" si="33"/>
        <v>2870.1461471361531</v>
      </c>
      <c r="W248" s="1612"/>
      <c r="X248" s="1612"/>
      <c r="Y248" s="1613"/>
      <c r="Z248" s="1614"/>
      <c r="AA248" s="1614"/>
      <c r="AB248" s="1615"/>
      <c r="AC248" s="1615"/>
      <c r="AD248" s="583"/>
      <c r="AE248" s="583"/>
    </row>
    <row r="249" spans="1:31" ht="14">
      <c r="A249" s="1384" t="s">
        <v>3772</v>
      </c>
      <c r="B249" s="19" t="s">
        <v>3959</v>
      </c>
      <c r="C249" s="1383">
        <v>3461</v>
      </c>
      <c r="D249" s="1236">
        <v>39630</v>
      </c>
      <c r="E249" s="1236"/>
      <c r="F249" s="1344">
        <f>(1/S249)*cnst_fish!$C$6</f>
        <v>3.0136363636363642E-2</v>
      </c>
      <c r="G249" s="1344">
        <f t="shared" si="36"/>
        <v>1</v>
      </c>
      <c r="H249" s="1344">
        <f t="shared" si="36"/>
        <v>0.367192066876738</v>
      </c>
      <c r="I249" s="1344">
        <f t="shared" si="28"/>
        <v>482865.87545573566</v>
      </c>
      <c r="J249" s="902">
        <f t="shared" si="29"/>
        <v>0</v>
      </c>
      <c r="L249" s="1460">
        <v>42661</v>
      </c>
      <c r="M249" s="1236"/>
      <c r="N249" s="1240" t="s">
        <v>2430</v>
      </c>
      <c r="O249" s="1241" t="s">
        <v>4840</v>
      </c>
      <c r="P249" s="910">
        <f t="shared" si="30"/>
        <v>39630</v>
      </c>
      <c r="Q249" s="910">
        <f t="shared" si="31"/>
        <v>42661</v>
      </c>
      <c r="R249" s="1344">
        <f t="shared" si="32"/>
        <v>4</v>
      </c>
      <c r="S249" s="1344">
        <f>(1/9)*cnst_fish!$C$7*(1/cnst_fish!$C$8)^(R249-1)</f>
        <v>141.02564102564099</v>
      </c>
      <c r="T249" s="1362">
        <f t="shared" si="33"/>
        <v>519796.64680335956</v>
      </c>
      <c r="W249" s="1612"/>
      <c r="X249" s="1612"/>
      <c r="Y249" s="1613"/>
      <c r="Z249" s="1614"/>
      <c r="AA249" s="1614"/>
      <c r="AB249" s="1615"/>
      <c r="AC249" s="1615"/>
      <c r="AD249" s="583"/>
      <c r="AE249" s="583"/>
    </row>
    <row r="250" spans="1:31" ht="14">
      <c r="A250" s="1384" t="s">
        <v>4788</v>
      </c>
      <c r="B250" s="19" t="s">
        <v>2278</v>
      </c>
      <c r="C250" s="1383">
        <v>2627</v>
      </c>
      <c r="D250" s="1236"/>
      <c r="E250" s="1236"/>
      <c r="F250" s="1344">
        <f>(1/S250)*cnst_fish!$C$6</f>
        <v>0.75699122913220485</v>
      </c>
      <c r="G250" s="1344">
        <f t="shared" si="36"/>
        <v>1</v>
      </c>
      <c r="H250" s="1344">
        <f t="shared" si="36"/>
        <v>0.367192066876738</v>
      </c>
      <c r="I250" s="1344">
        <f t="shared" si="28"/>
        <v>0</v>
      </c>
      <c r="J250" s="902">
        <f t="shared" si="29"/>
        <v>0</v>
      </c>
      <c r="L250" s="1460">
        <v>49263</v>
      </c>
      <c r="M250" s="1236"/>
      <c r="N250" s="1240" t="s">
        <v>2430</v>
      </c>
      <c r="O250" s="1241" t="s">
        <v>4840</v>
      </c>
      <c r="P250" s="910">
        <f t="shared" si="30"/>
        <v>0</v>
      </c>
      <c r="Q250" s="910">
        <f t="shared" si="31"/>
        <v>49263</v>
      </c>
      <c r="R250" s="1344">
        <f t="shared" si="32"/>
        <v>2.6</v>
      </c>
      <c r="S250" s="1344">
        <f>(1/9)*cnst_fish!$C$7*(1/cnst_fish!$C$8)^(R250-1)</f>
        <v>5.6143318924211183</v>
      </c>
      <c r="T250" s="1362">
        <f t="shared" si="33"/>
        <v>23895.89481939637</v>
      </c>
      <c r="W250" s="1612"/>
      <c r="X250" s="1612"/>
      <c r="Y250" s="1613"/>
      <c r="Z250" s="1614"/>
      <c r="AA250" s="1614"/>
      <c r="AB250" s="1615"/>
      <c r="AC250" s="1615"/>
      <c r="AD250" s="583"/>
      <c r="AE250" s="583"/>
    </row>
    <row r="251" spans="1:31" ht="14">
      <c r="A251" s="1384" t="s">
        <v>4241</v>
      </c>
      <c r="B251" s="19" t="s">
        <v>2445</v>
      </c>
      <c r="C251" s="1383">
        <v>3463</v>
      </c>
      <c r="D251" s="1236">
        <v>882</v>
      </c>
      <c r="E251" s="1236"/>
      <c r="F251" s="1344">
        <f>(1/S251)*cnst_fish!$C$6</f>
        <v>0.15103960722494611</v>
      </c>
      <c r="G251" s="1344">
        <f t="shared" si="36"/>
        <v>1</v>
      </c>
      <c r="H251" s="1344">
        <f t="shared" si="36"/>
        <v>0.367192066876738</v>
      </c>
      <c r="I251" s="1344">
        <f t="shared" si="28"/>
        <v>2144.2283182248157</v>
      </c>
      <c r="J251" s="902">
        <f t="shared" si="29"/>
        <v>0</v>
      </c>
      <c r="L251" s="1460">
        <v>882</v>
      </c>
      <c r="M251" s="1236"/>
      <c r="N251" s="1240" t="s">
        <v>2430</v>
      </c>
      <c r="O251" s="1241" t="s">
        <v>4840</v>
      </c>
      <c r="P251" s="910">
        <f t="shared" si="30"/>
        <v>882</v>
      </c>
      <c r="Q251" s="910">
        <f t="shared" si="31"/>
        <v>882</v>
      </c>
      <c r="R251" s="1344">
        <f t="shared" si="32"/>
        <v>3.3</v>
      </c>
      <c r="S251" s="1344">
        <f>(1/9)*cnst_fish!$C$7*(1/cnst_fish!$C$8)^(R251-1)</f>
        <v>28.138314698279075</v>
      </c>
      <c r="T251" s="1362">
        <f t="shared" si="33"/>
        <v>2144.2283182248157</v>
      </c>
      <c r="W251" s="1612"/>
      <c r="X251" s="1612"/>
      <c r="Y251" s="1613"/>
      <c r="Z251" s="1614"/>
      <c r="AA251" s="1614"/>
      <c r="AB251" s="1615"/>
      <c r="AC251" s="1615"/>
      <c r="AD251" s="583"/>
      <c r="AE251" s="583"/>
    </row>
    <row r="252" spans="1:31" ht="14">
      <c r="A252" s="1384" t="s">
        <v>1070</v>
      </c>
      <c r="B252" s="19" t="s">
        <v>6516</v>
      </c>
      <c r="C252" s="1383">
        <v>2566</v>
      </c>
      <c r="D252" s="1236"/>
      <c r="E252" s="1236"/>
      <c r="F252" s="1344">
        <f>(1/S252)*cnst_fish!$C$6</f>
        <v>0.65931179849025123</v>
      </c>
      <c r="G252" s="1344">
        <f t="shared" si="36"/>
        <v>1</v>
      </c>
      <c r="H252" s="1344">
        <f t="shared" si="36"/>
        <v>0.367192066876738</v>
      </c>
      <c r="I252" s="1344">
        <f t="shared" si="28"/>
        <v>0</v>
      </c>
      <c r="J252" s="902">
        <f t="shared" si="29"/>
        <v>0</v>
      </c>
      <c r="L252" s="1460">
        <v>190889</v>
      </c>
      <c r="M252" s="1236"/>
      <c r="N252" s="1240" t="s">
        <v>1806</v>
      </c>
      <c r="O252" s="1241" t="s">
        <v>4841</v>
      </c>
      <c r="P252" s="910">
        <f t="shared" si="30"/>
        <v>0</v>
      </c>
      <c r="Q252" s="910">
        <f t="shared" si="31"/>
        <v>190889</v>
      </c>
      <c r="R252" s="1344">
        <f t="shared" si="32"/>
        <v>2.66</v>
      </c>
      <c r="S252" s="1344">
        <f>(1/9)*cnst_fish!$C$7*(1/cnst_fish!$C$8)^(R252-1)</f>
        <v>6.4461154945687529</v>
      </c>
      <c r="T252" s="1362">
        <f t="shared" si="33"/>
        <v>106312.25865294454</v>
      </c>
      <c r="W252" s="1612"/>
      <c r="X252" s="1612"/>
      <c r="Y252" s="1613"/>
      <c r="Z252" s="1614"/>
      <c r="AA252" s="1614"/>
      <c r="AB252" s="1615"/>
      <c r="AC252" s="1615"/>
      <c r="AD252" s="583"/>
      <c r="AE252" s="583"/>
    </row>
    <row r="253" spans="1:31" ht="14">
      <c r="A253" s="1384" t="s">
        <v>6520</v>
      </c>
      <c r="B253" s="19" t="s">
        <v>6519</v>
      </c>
      <c r="C253" s="1383">
        <v>11078</v>
      </c>
      <c r="D253" s="1236"/>
      <c r="E253" s="1236"/>
      <c r="F253" s="1344">
        <f>(1/S253)*cnst_fish!$C$6</f>
        <v>3.0136363636363641</v>
      </c>
      <c r="G253" s="1344">
        <f t="shared" si="36"/>
        <v>1</v>
      </c>
      <c r="H253" s="1344">
        <f t="shared" si="36"/>
        <v>0.367192066876738</v>
      </c>
      <c r="I253" s="1344">
        <f t="shared" si="28"/>
        <v>0</v>
      </c>
      <c r="J253" s="902">
        <f t="shared" si="29"/>
        <v>0</v>
      </c>
      <c r="L253" s="1460"/>
      <c r="M253" s="1236">
        <v>739</v>
      </c>
      <c r="N253" s="1240" t="s">
        <v>1806</v>
      </c>
      <c r="O253" s="1241" t="s">
        <v>4845</v>
      </c>
      <c r="P253" s="910">
        <f t="shared" si="30"/>
        <v>0</v>
      </c>
      <c r="Q253" s="910">
        <f t="shared" si="31"/>
        <v>739</v>
      </c>
      <c r="R253" s="1344">
        <f t="shared" si="32"/>
        <v>2</v>
      </c>
      <c r="S253" s="1344">
        <f>(1/9)*cnst_fish!$C$7*(1/cnst_fish!$C$8)^(R253-1)</f>
        <v>1.4102564102564099</v>
      </c>
      <c r="T253" s="1362">
        <f t="shared" si="33"/>
        <v>90.042362342111701</v>
      </c>
      <c r="W253" s="1612"/>
      <c r="X253" s="1612"/>
      <c r="Y253" s="1613"/>
      <c r="Z253" s="1614"/>
      <c r="AA253" s="1614"/>
      <c r="AB253" s="1615"/>
      <c r="AC253" s="1615"/>
      <c r="AD253" s="583"/>
      <c r="AE253" s="583"/>
    </row>
    <row r="254" spans="1:31" ht="14">
      <c r="A254" s="1384" t="s">
        <v>2605</v>
      </c>
      <c r="B254" s="19" t="s">
        <v>2606</v>
      </c>
      <c r="C254" s="1383">
        <v>11083</v>
      </c>
      <c r="D254" s="1236"/>
      <c r="E254" s="1236"/>
      <c r="F254" s="1344">
        <f>(1/S254)*cnst_fish!$C$6</f>
        <v>3.6231878188697476E-2</v>
      </c>
      <c r="G254" s="1344">
        <f t="shared" si="36"/>
        <v>1</v>
      </c>
      <c r="H254" s="1344">
        <f t="shared" si="36"/>
        <v>0.367192066876738</v>
      </c>
      <c r="I254" s="1344">
        <f t="shared" si="28"/>
        <v>0</v>
      </c>
      <c r="J254" s="902">
        <f t="shared" si="29"/>
        <v>0</v>
      </c>
      <c r="L254" s="1460">
        <v>17</v>
      </c>
      <c r="M254" s="1236"/>
      <c r="N254" s="1240" t="s">
        <v>1806</v>
      </c>
      <c r="O254" s="1241" t="s">
        <v>4841</v>
      </c>
      <c r="P254" s="910">
        <f t="shared" si="30"/>
        <v>0</v>
      </c>
      <c r="Q254" s="910">
        <f t="shared" si="31"/>
        <v>17</v>
      </c>
      <c r="R254" s="1344">
        <f t="shared" si="32"/>
        <v>3.92</v>
      </c>
      <c r="S254" s="1344">
        <f>(1/9)*cnst_fish!$C$7*(1/cnst_fish!$C$8)^(R254-1)</f>
        <v>117.30001900165877</v>
      </c>
      <c r="T254" s="1362">
        <f t="shared" si="33"/>
        <v>172.2865456875989</v>
      </c>
      <c r="W254" s="1612"/>
      <c r="X254" s="1612"/>
      <c r="Y254" s="1613"/>
      <c r="Z254" s="1614"/>
      <c r="AA254" s="1614"/>
      <c r="AB254" s="1615"/>
      <c r="AC254" s="1615"/>
      <c r="AD254" s="583"/>
      <c r="AE254" s="583"/>
    </row>
    <row r="255" spans="1:31" ht="14">
      <c r="A255" s="1384" t="s">
        <v>887</v>
      </c>
      <c r="B255" s="19" t="s">
        <v>254</v>
      </c>
      <c r="C255" s="1383">
        <v>2251</v>
      </c>
      <c r="D255" s="1236"/>
      <c r="E255" s="1236"/>
      <c r="F255" s="1344">
        <f>(1/S255)*cnst_fish!$C$6</f>
        <v>9.5299549485983348E-2</v>
      </c>
      <c r="G255" s="1344">
        <f t="shared" si="36"/>
        <v>1</v>
      </c>
      <c r="H255" s="1344">
        <f t="shared" si="36"/>
        <v>0.367192066876738</v>
      </c>
      <c r="I255" s="1344">
        <f t="shared" si="28"/>
        <v>0</v>
      </c>
      <c r="J255" s="902">
        <f t="shared" si="29"/>
        <v>0</v>
      </c>
      <c r="L255" s="1460">
        <v>40</v>
      </c>
      <c r="M255" s="1236"/>
      <c r="N255" s="1240" t="s">
        <v>1806</v>
      </c>
      <c r="O255" s="1241" t="s">
        <v>4841</v>
      </c>
      <c r="P255" s="910">
        <f t="shared" si="30"/>
        <v>0</v>
      </c>
      <c r="Q255" s="910">
        <f t="shared" si="31"/>
        <v>40</v>
      </c>
      <c r="R255" s="1344">
        <f t="shared" si="32"/>
        <v>3.5</v>
      </c>
      <c r="S255" s="1344">
        <f>(1/9)*cnst_fish!$C$7*(1/cnst_fish!$C$8)^(R255-1)</f>
        <v>44.596223412631026</v>
      </c>
      <c r="T255" s="1362">
        <f t="shared" si="33"/>
        <v>154.12121835087777</v>
      </c>
      <c r="W255" s="1612"/>
      <c r="X255" s="1612"/>
      <c r="Y255" s="1613"/>
      <c r="Z255" s="1614"/>
      <c r="AA255" s="1614"/>
      <c r="AB255" s="1615"/>
      <c r="AC255" s="1615"/>
      <c r="AD255" s="583"/>
      <c r="AE255" s="583"/>
    </row>
    <row r="256" spans="1:31" ht="14">
      <c r="A256" s="1384" t="s">
        <v>5003</v>
      </c>
      <c r="B256" s="19" t="s">
        <v>2162</v>
      </c>
      <c r="C256" s="1383">
        <v>11084</v>
      </c>
      <c r="D256" s="1236"/>
      <c r="E256" s="1236"/>
      <c r="F256" s="1344">
        <f>(1/S256)*cnst_fish!$C$6</f>
        <v>7.7462381998898044E-2</v>
      </c>
      <c r="G256" s="1344">
        <f t="shared" si="36"/>
        <v>1</v>
      </c>
      <c r="H256" s="1344">
        <f t="shared" si="36"/>
        <v>0.367192066876738</v>
      </c>
      <c r="I256" s="1344">
        <f t="shared" si="28"/>
        <v>0</v>
      </c>
      <c r="J256" s="902">
        <f t="shared" si="29"/>
        <v>0</v>
      </c>
      <c r="L256" s="1460">
        <v>0</v>
      </c>
      <c r="M256" s="1236"/>
      <c r="N256" s="1240" t="s">
        <v>1806</v>
      </c>
      <c r="O256" s="1241" t="s">
        <v>4841</v>
      </c>
      <c r="P256" s="910">
        <f t="shared" si="30"/>
        <v>0</v>
      </c>
      <c r="Q256" s="910">
        <f t="shared" si="31"/>
        <v>0</v>
      </c>
      <c r="R256" s="1344">
        <f t="shared" si="32"/>
        <v>3.59</v>
      </c>
      <c r="S256" s="1344">
        <f>(1/9)*cnst_fish!$C$7*(1/cnst_fish!$C$8)^(R256-1)</f>
        <v>54.865340960731871</v>
      </c>
      <c r="T256" s="1362">
        <f t="shared" si="33"/>
        <v>0</v>
      </c>
      <c r="W256" s="1612"/>
      <c r="X256" s="1612"/>
      <c r="Y256" s="1613"/>
      <c r="Z256" s="1614"/>
      <c r="AA256" s="1614"/>
      <c r="AB256" s="1615"/>
      <c r="AC256" s="1615"/>
      <c r="AD256" s="583"/>
      <c r="AE256" s="583"/>
    </row>
    <row r="257" spans="1:31" ht="14">
      <c r="A257" s="1384" t="s">
        <v>3708</v>
      </c>
      <c r="B257" s="19" t="s">
        <v>1240</v>
      </c>
      <c r="C257" s="1383">
        <v>3045</v>
      </c>
      <c r="D257" s="1236"/>
      <c r="E257" s="1236"/>
      <c r="F257" s="1344">
        <f>(1/S257)*cnst_fish!$C$6</f>
        <v>0.21831865524078092</v>
      </c>
      <c r="G257" s="1344">
        <f t="shared" si="36"/>
        <v>1</v>
      </c>
      <c r="H257" s="1344">
        <f t="shared" si="36"/>
        <v>0.367192066876738</v>
      </c>
      <c r="I257" s="1344">
        <f t="shared" si="28"/>
        <v>0</v>
      </c>
      <c r="J257" s="902">
        <f t="shared" si="29"/>
        <v>0</v>
      </c>
      <c r="L257" s="1460">
        <v>69812</v>
      </c>
      <c r="M257" s="1236"/>
      <c r="N257" s="1240" t="s">
        <v>1806</v>
      </c>
      <c r="O257" s="1241" t="s">
        <v>4841</v>
      </c>
      <c r="P257" s="910">
        <f t="shared" si="30"/>
        <v>0</v>
      </c>
      <c r="Q257" s="910">
        <f t="shared" si="31"/>
        <v>69812</v>
      </c>
      <c r="R257" s="1344">
        <f t="shared" si="32"/>
        <v>3.14</v>
      </c>
      <c r="S257" s="1344">
        <f>(1/9)*cnst_fish!$C$7*(1/cnst_fish!$C$8)^(R257-1)</f>
        <v>19.466957577733005</v>
      </c>
      <c r="T257" s="1362">
        <f t="shared" si="33"/>
        <v>117417.41696112482</v>
      </c>
      <c r="W257" s="1612"/>
      <c r="X257" s="1612"/>
      <c r="Y257" s="1613"/>
      <c r="Z257" s="1614"/>
      <c r="AA257" s="1614"/>
      <c r="AB257" s="1615"/>
      <c r="AC257" s="1615"/>
      <c r="AD257" s="583"/>
      <c r="AE257" s="583"/>
    </row>
    <row r="258" spans="1:31" ht="14">
      <c r="A258" s="1585" t="s">
        <v>8504</v>
      </c>
      <c r="B258" s="1586" t="s">
        <v>8505</v>
      </c>
      <c r="C258" s="1383">
        <v>11086</v>
      </c>
      <c r="D258" s="1236"/>
      <c r="E258" s="1236"/>
      <c r="F258" s="1344">
        <f>(1/S258)*cnst_fish!$C$6</f>
        <v>0.11997502458044032</v>
      </c>
      <c r="G258" s="1344">
        <f t="shared" si="36"/>
        <v>1</v>
      </c>
      <c r="H258" s="1344">
        <f t="shared" si="36"/>
        <v>0.367192066876738</v>
      </c>
      <c r="I258" s="1344">
        <f t="shared" si="28"/>
        <v>0</v>
      </c>
      <c r="J258" s="902">
        <f t="shared" si="29"/>
        <v>0</v>
      </c>
      <c r="L258" s="1460"/>
      <c r="M258" s="1236"/>
      <c r="N258" s="1240" t="s">
        <v>1806</v>
      </c>
      <c r="O258" s="1241" t="s">
        <v>4845</v>
      </c>
      <c r="P258" s="910">
        <f t="shared" si="30"/>
        <v>0</v>
      </c>
      <c r="Q258" s="910">
        <f t="shared" si="31"/>
        <v>0</v>
      </c>
      <c r="R258" s="1344">
        <f t="shared" si="32"/>
        <v>3.4</v>
      </c>
      <c r="S258" s="1344">
        <f>(1/9)*cnst_fish!$C$7*(1/cnst_fish!$C$8)^(R258-1)</f>
        <v>35.424039418724846</v>
      </c>
      <c r="T258" s="1362">
        <f t="shared" si="33"/>
        <v>0</v>
      </c>
      <c r="W258" s="1616"/>
      <c r="X258" s="1616"/>
      <c r="Y258" s="1613"/>
      <c r="Z258" s="1614"/>
      <c r="AA258" s="1614"/>
      <c r="AB258" s="1615"/>
      <c r="AC258" s="1615"/>
      <c r="AD258" s="583"/>
      <c r="AE258" s="583"/>
    </row>
    <row r="259" spans="1:31" ht="14">
      <c r="A259" s="1384" t="s">
        <v>3330</v>
      </c>
      <c r="B259" s="19" t="s">
        <v>658</v>
      </c>
      <c r="C259" s="1383">
        <v>3104</v>
      </c>
      <c r="D259" s="1236"/>
      <c r="E259" s="1236"/>
      <c r="F259" s="1344">
        <f>(1/S259)*cnst_fish!$C$6</f>
        <v>3.7939434000887833E-2</v>
      </c>
      <c r="G259" s="1344">
        <f t="shared" si="36"/>
        <v>1</v>
      </c>
      <c r="H259" s="1344">
        <f t="shared" si="36"/>
        <v>0.367192066876738</v>
      </c>
      <c r="I259" s="1344">
        <f t="shared" si="28"/>
        <v>0</v>
      </c>
      <c r="J259" s="902">
        <f t="shared" si="29"/>
        <v>0</v>
      </c>
      <c r="L259" s="1460">
        <v>249297</v>
      </c>
      <c r="M259" s="1236"/>
      <c r="N259" s="1240" t="s">
        <v>1806</v>
      </c>
      <c r="O259" s="1241" t="s">
        <v>4859</v>
      </c>
      <c r="P259" s="910">
        <f t="shared" si="30"/>
        <v>0</v>
      </c>
      <c r="Q259" s="910">
        <f t="shared" si="31"/>
        <v>249297</v>
      </c>
      <c r="R259" s="1344">
        <f t="shared" si="32"/>
        <v>3.9</v>
      </c>
      <c r="S259" s="1344">
        <f>(1/9)*cnst_fish!$C$7*(1/cnst_fish!$C$8)^(R259-1)</f>
        <v>112.02064848675771</v>
      </c>
      <c r="T259" s="1362">
        <f t="shared" si="33"/>
        <v>2412789.8348200978</v>
      </c>
      <c r="W259" s="1612"/>
      <c r="X259" s="1612"/>
      <c r="Y259" s="1613"/>
      <c r="Z259" s="1614"/>
      <c r="AA259" s="1614"/>
      <c r="AB259" s="1615"/>
      <c r="AC259" s="1615"/>
      <c r="AD259" s="583"/>
      <c r="AE259" s="583"/>
    </row>
    <row r="260" spans="1:31" ht="14">
      <c r="A260" s="1384" t="s">
        <v>2661</v>
      </c>
      <c r="B260" s="19" t="s">
        <v>659</v>
      </c>
      <c r="C260" s="1383">
        <v>11091</v>
      </c>
      <c r="D260" s="1236"/>
      <c r="E260" s="1236"/>
      <c r="F260" s="1344">
        <f>(1/S260)*cnst_fish!$C$6</f>
        <v>9.5299549485983424E-3</v>
      </c>
      <c r="G260" s="1344">
        <f t="shared" si="36"/>
        <v>1</v>
      </c>
      <c r="H260" s="1344">
        <f t="shared" si="36"/>
        <v>0.367192066876738</v>
      </c>
      <c r="I260" s="1344">
        <f t="shared" si="28"/>
        <v>0</v>
      </c>
      <c r="J260" s="902">
        <f t="shared" si="29"/>
        <v>0</v>
      </c>
      <c r="L260" s="1460">
        <v>4065</v>
      </c>
      <c r="M260" s="1236"/>
      <c r="N260" s="1240" t="s">
        <v>1806</v>
      </c>
      <c r="O260" s="1241" t="s">
        <v>4859</v>
      </c>
      <c r="P260" s="910">
        <f t="shared" si="30"/>
        <v>0</v>
      </c>
      <c r="Q260" s="910">
        <f t="shared" si="31"/>
        <v>4065</v>
      </c>
      <c r="R260" s="1344">
        <f t="shared" si="32"/>
        <v>4.5</v>
      </c>
      <c r="S260" s="1344">
        <f>(1/9)*cnst_fish!$C$7*(1/cnst_fish!$C$8)^(R260-1)</f>
        <v>445.96223412630997</v>
      </c>
      <c r="T260" s="1362">
        <f t="shared" si="33"/>
        <v>156625.68814907942</v>
      </c>
      <c r="W260" s="1612"/>
      <c r="X260" s="1612"/>
      <c r="Y260" s="1613"/>
      <c r="Z260" s="1614"/>
      <c r="AA260" s="1614"/>
      <c r="AB260" s="1615"/>
      <c r="AC260" s="1615"/>
      <c r="AD260" s="583"/>
      <c r="AE260" s="583"/>
    </row>
    <row r="261" spans="1:31" ht="14">
      <c r="A261" s="1384" t="s">
        <v>4688</v>
      </c>
      <c r="B261" s="19" t="s">
        <v>660</v>
      </c>
      <c r="C261" s="1383">
        <v>11097</v>
      </c>
      <c r="D261" s="1236"/>
      <c r="E261" s="1236"/>
      <c r="F261" s="1344">
        <f>(1/S261)*cnst_fish!$C$6</f>
        <v>1.2276960190187586E-2</v>
      </c>
      <c r="G261" s="1344">
        <f t="shared" si="36"/>
        <v>1</v>
      </c>
      <c r="H261" s="1344">
        <f t="shared" si="36"/>
        <v>0.367192066876738</v>
      </c>
      <c r="I261" s="1344">
        <f t="shared" si="28"/>
        <v>0</v>
      </c>
      <c r="J261" s="902">
        <f t="shared" si="29"/>
        <v>0</v>
      </c>
      <c r="L261" s="1460">
        <v>218</v>
      </c>
      <c r="M261" s="1236"/>
      <c r="N261" s="1240" t="s">
        <v>1806</v>
      </c>
      <c r="O261" s="1241" t="s">
        <v>4859</v>
      </c>
      <c r="P261" s="910">
        <f t="shared" si="30"/>
        <v>0</v>
      </c>
      <c r="Q261" s="910">
        <f t="shared" si="31"/>
        <v>218</v>
      </c>
      <c r="R261" s="1344">
        <f t="shared" si="32"/>
        <v>4.3899999999999997</v>
      </c>
      <c r="S261" s="1344">
        <f>(1/9)*cnst_fish!$C$7*(1/cnst_fish!$C$8)^(R261-1)</f>
        <v>346.17689836583742</v>
      </c>
      <c r="T261" s="1362">
        <f t="shared" si="33"/>
        <v>6520.1702489112477</v>
      </c>
      <c r="W261" s="1612"/>
      <c r="X261" s="1612"/>
      <c r="Y261" s="1613"/>
      <c r="Z261" s="1614"/>
      <c r="AA261" s="1614"/>
      <c r="AB261" s="1615"/>
      <c r="AC261" s="1615"/>
      <c r="AD261" s="583"/>
      <c r="AE261" s="583"/>
    </row>
    <row r="262" spans="1:31" ht="14">
      <c r="A262" s="1384" t="s">
        <v>5610</v>
      </c>
      <c r="B262" s="19" t="s">
        <v>876</v>
      </c>
      <c r="C262" s="1383">
        <v>11101</v>
      </c>
      <c r="D262" s="1236"/>
      <c r="E262" s="1236"/>
      <c r="F262" s="1344">
        <f>(1/S262)*cnst_fish!$C$6</f>
        <v>1.315499985341953E-2</v>
      </c>
      <c r="G262" s="1344">
        <f t="shared" si="36"/>
        <v>1</v>
      </c>
      <c r="H262" s="1344">
        <f t="shared" si="36"/>
        <v>0.367192066876738</v>
      </c>
      <c r="I262" s="1344">
        <f t="shared" si="28"/>
        <v>0</v>
      </c>
      <c r="J262" s="902">
        <f t="shared" si="29"/>
        <v>0</v>
      </c>
      <c r="L262" s="1460">
        <v>385</v>
      </c>
      <c r="M262" s="1236"/>
      <c r="N262" s="1240" t="s">
        <v>1806</v>
      </c>
      <c r="O262" s="1241" t="s">
        <v>4859</v>
      </c>
      <c r="P262" s="910">
        <f t="shared" si="30"/>
        <v>0</v>
      </c>
      <c r="Q262" s="910">
        <f t="shared" si="31"/>
        <v>385</v>
      </c>
      <c r="R262" s="1344">
        <f t="shared" si="32"/>
        <v>4.3600000000000003</v>
      </c>
      <c r="S262" s="1344">
        <f>(1/9)*cnst_fish!$C$7*(1/cnst_fish!$C$8)^(R262-1)</f>
        <v>323.07107923648124</v>
      </c>
      <c r="T262" s="1362">
        <f t="shared" si="33"/>
        <v>10746.404205454741</v>
      </c>
      <c r="W262" s="1612"/>
      <c r="X262" s="1612"/>
      <c r="Y262" s="1613"/>
      <c r="Z262" s="1614"/>
      <c r="AA262" s="1614"/>
      <c r="AB262" s="1615"/>
      <c r="AC262" s="1615"/>
      <c r="AD262" s="583"/>
      <c r="AE262" s="583"/>
    </row>
    <row r="263" spans="1:31" ht="14">
      <c r="A263" s="1585" t="s">
        <v>8506</v>
      </c>
      <c r="B263" s="1586" t="s">
        <v>8507</v>
      </c>
      <c r="C263" s="1383">
        <v>18789</v>
      </c>
      <c r="D263" s="1236"/>
      <c r="E263" s="1236"/>
      <c r="F263" s="1344">
        <f>(1/S263)*cnst_fish!$C$6</f>
        <v>9.5299549485983424E-3</v>
      </c>
      <c r="G263" s="1344">
        <f t="shared" si="36"/>
        <v>1</v>
      </c>
      <c r="H263" s="1344">
        <f t="shared" si="36"/>
        <v>0.367192066876738</v>
      </c>
      <c r="I263" s="1344">
        <f t="shared" ref="I263:I326" si="37">IF($F263=0,0,D263/$F263*$H263*$G263)</f>
        <v>0</v>
      </c>
      <c r="J263" s="902">
        <f t="shared" ref="J263:J326" si="38">IF($F263=0,0,E263/$F263*$H263*$G263)</f>
        <v>0</v>
      </c>
      <c r="L263" s="1460"/>
      <c r="M263" s="1236"/>
      <c r="N263" s="1240" t="s">
        <v>1806</v>
      </c>
      <c r="O263" s="1241" t="s">
        <v>4859</v>
      </c>
      <c r="P263" s="910">
        <f t="shared" ref="P263:P326" si="39">D263+E263</f>
        <v>0</v>
      </c>
      <c r="Q263" s="910">
        <f t="shared" ref="Q263:Q326" si="40">L263+M263</f>
        <v>0</v>
      </c>
      <c r="R263" s="1344">
        <f t="shared" ref="R263:R326" si="41">VLOOKUP(B263,constant_fish_trophic,3,FALSE)</f>
        <v>4.5</v>
      </c>
      <c r="S263" s="1344">
        <f>(1/9)*cnst_fish!$C$7*(1/cnst_fish!$C$8)^(R263-1)</f>
        <v>445.96223412630997</v>
      </c>
      <c r="T263" s="1362">
        <f t="shared" ref="T263:T326" si="42">IF(F263=0,0,Q263/F263*H263*G263)</f>
        <v>0</v>
      </c>
      <c r="W263" s="1616"/>
      <c r="X263" s="1616"/>
      <c r="Y263" s="1613"/>
      <c r="Z263" s="1614"/>
      <c r="AA263" s="1614"/>
      <c r="AB263" s="1615"/>
      <c r="AC263" s="1615"/>
      <c r="AD263" s="583"/>
      <c r="AE263" s="583"/>
    </row>
    <row r="264" spans="1:31" ht="14">
      <c r="A264" s="1585" t="s">
        <v>8508</v>
      </c>
      <c r="B264" s="1586" t="s">
        <v>8509</v>
      </c>
      <c r="C264" s="1383">
        <v>11109</v>
      </c>
      <c r="D264" s="1236"/>
      <c r="E264" s="1236"/>
      <c r="F264" s="1344">
        <f>(1/S264)*cnst_fish!$C$6</f>
        <v>2.3938164528281767E-2</v>
      </c>
      <c r="G264" s="1344">
        <f t="shared" si="36"/>
        <v>1</v>
      </c>
      <c r="H264" s="1344">
        <f t="shared" si="36"/>
        <v>0.367192066876738</v>
      </c>
      <c r="I264" s="1344">
        <f t="shared" si="37"/>
        <v>0</v>
      </c>
      <c r="J264" s="902">
        <f t="shared" si="38"/>
        <v>0</v>
      </c>
      <c r="L264" s="1460">
        <v>469</v>
      </c>
      <c r="M264" s="1236"/>
      <c r="N264" s="1240" t="s">
        <v>1806</v>
      </c>
      <c r="O264" s="1241" t="s">
        <v>4859</v>
      </c>
      <c r="P264" s="910">
        <f t="shared" si="39"/>
        <v>0</v>
      </c>
      <c r="Q264" s="910">
        <f t="shared" si="40"/>
        <v>469</v>
      </c>
      <c r="R264" s="1344">
        <f t="shared" si="41"/>
        <v>4.0999999999999996</v>
      </c>
      <c r="S264" s="1344">
        <f>(1/9)*cnst_fish!$C$7*(1/cnst_fish!$C$8)^(R264-1)</f>
        <v>177.54076320174144</v>
      </c>
      <c r="T264" s="1362">
        <f t="shared" si="42"/>
        <v>7194.0803632512761</v>
      </c>
      <c r="W264" s="1616"/>
      <c r="X264" s="1616"/>
      <c r="Y264" s="1613"/>
      <c r="Z264" s="1614"/>
      <c r="AA264" s="1614"/>
      <c r="AB264" s="1615"/>
      <c r="AC264" s="1615"/>
      <c r="AD264" s="583"/>
      <c r="AE264" s="583"/>
    </row>
    <row r="265" spans="1:31" ht="14">
      <c r="A265" s="1384" t="s">
        <v>3951</v>
      </c>
      <c r="B265" s="19" t="s">
        <v>877</v>
      </c>
      <c r="C265" s="1383">
        <v>3111</v>
      </c>
      <c r="D265" s="1236">
        <v>154</v>
      </c>
      <c r="E265" s="1236"/>
      <c r="F265" s="1344">
        <f>(1/S265)*cnst_fish!$C$6</f>
        <v>1.1997502458044018E-2</v>
      </c>
      <c r="G265" s="1344">
        <f t="shared" si="36"/>
        <v>1</v>
      </c>
      <c r="H265" s="1344">
        <f t="shared" si="36"/>
        <v>0.367192066876738</v>
      </c>
      <c r="I265" s="1344">
        <f t="shared" si="37"/>
        <v>4713.2791592890198</v>
      </c>
      <c r="J265" s="902">
        <f t="shared" si="38"/>
        <v>0</v>
      </c>
      <c r="L265" s="1460">
        <v>6353</v>
      </c>
      <c r="M265" s="1236"/>
      <c r="N265" s="1240" t="s">
        <v>1806</v>
      </c>
      <c r="O265" s="1241" t="s">
        <v>4859</v>
      </c>
      <c r="P265" s="910">
        <f t="shared" si="39"/>
        <v>154</v>
      </c>
      <c r="Q265" s="910">
        <f t="shared" si="40"/>
        <v>6353</v>
      </c>
      <c r="R265" s="1344">
        <f t="shared" si="41"/>
        <v>4.4000000000000004</v>
      </c>
      <c r="S265" s="1344">
        <f>(1/9)*cnst_fish!$C$7*(1/cnst_fish!$C$8)^(R265-1)</f>
        <v>354.24039418724885</v>
      </c>
      <c r="T265" s="1362">
        <f t="shared" si="42"/>
        <v>194438.06817508533</v>
      </c>
      <c r="W265" s="1612"/>
      <c r="X265" s="1612"/>
      <c r="Y265" s="1613"/>
      <c r="Z265" s="1614"/>
      <c r="AA265" s="1614"/>
      <c r="AB265" s="1615"/>
      <c r="AC265" s="1615"/>
      <c r="AD265" s="583"/>
      <c r="AE265" s="583"/>
    </row>
    <row r="266" spans="1:31" ht="14">
      <c r="A266" s="1384" t="s">
        <v>628</v>
      </c>
      <c r="B266" s="19" t="s">
        <v>878</v>
      </c>
      <c r="C266" s="1383">
        <v>3112</v>
      </c>
      <c r="D266" s="1236">
        <v>268</v>
      </c>
      <c r="E266" s="1236"/>
      <c r="F266" s="1344">
        <f>(1/S266)*cnst_fish!$C$6</f>
        <v>9.5299549485983348E-2</v>
      </c>
      <c r="G266" s="1344">
        <f t="shared" si="36"/>
        <v>1</v>
      </c>
      <c r="H266" s="1344">
        <f t="shared" si="36"/>
        <v>0.367192066876738</v>
      </c>
      <c r="I266" s="1344">
        <f t="shared" si="37"/>
        <v>1032.6121629508809</v>
      </c>
      <c r="J266" s="902">
        <f t="shared" si="38"/>
        <v>0</v>
      </c>
      <c r="L266" s="1460">
        <v>11174</v>
      </c>
      <c r="M266" s="1236"/>
      <c r="N266" s="1240" t="s">
        <v>1806</v>
      </c>
      <c r="O266" s="1241" t="s">
        <v>4859</v>
      </c>
      <c r="P266" s="910">
        <f t="shared" si="39"/>
        <v>268</v>
      </c>
      <c r="Q266" s="910">
        <f t="shared" si="40"/>
        <v>11174</v>
      </c>
      <c r="R266" s="1344">
        <f t="shared" si="41"/>
        <v>3.5</v>
      </c>
      <c r="S266" s="1344">
        <f>(1/9)*cnst_fish!$C$7*(1/cnst_fish!$C$8)^(R266-1)</f>
        <v>44.596223412631026</v>
      </c>
      <c r="T266" s="1362">
        <f t="shared" si="42"/>
        <v>43053.762346317708</v>
      </c>
      <c r="W266" s="1612"/>
      <c r="X266" s="1612"/>
      <c r="Y266" s="1613"/>
      <c r="Z266" s="1614"/>
      <c r="AA266" s="1614"/>
      <c r="AB266" s="1615"/>
      <c r="AC266" s="1615"/>
      <c r="AD266" s="583"/>
      <c r="AE266" s="583"/>
    </row>
    <row r="267" spans="1:31" ht="14">
      <c r="A267" s="1384" t="s">
        <v>910</v>
      </c>
      <c r="B267" s="19" t="s">
        <v>879</v>
      </c>
      <c r="C267" s="1383">
        <v>11112</v>
      </c>
      <c r="D267" s="1236"/>
      <c r="E267" s="1236"/>
      <c r="F267" s="1344">
        <f>(1/S267)*cnst_fish!$C$6</f>
        <v>1.8158954798513597E-2</v>
      </c>
      <c r="G267" s="1344">
        <f t="shared" si="36"/>
        <v>1</v>
      </c>
      <c r="H267" s="1344">
        <f t="shared" si="36"/>
        <v>0.367192066876738</v>
      </c>
      <c r="I267" s="1344">
        <f t="shared" si="37"/>
        <v>0</v>
      </c>
      <c r="J267" s="902">
        <f t="shared" si="38"/>
        <v>0</v>
      </c>
      <c r="L267" s="1460">
        <v>14691</v>
      </c>
      <c r="M267" s="1236"/>
      <c r="N267" s="1240" t="s">
        <v>1806</v>
      </c>
      <c r="O267" s="1241" t="s">
        <v>4859</v>
      </c>
      <c r="P267" s="910">
        <f t="shared" si="39"/>
        <v>0</v>
      </c>
      <c r="Q267" s="910">
        <f t="shared" si="40"/>
        <v>14691</v>
      </c>
      <c r="R267" s="1344">
        <f t="shared" si="41"/>
        <v>4.22</v>
      </c>
      <c r="S267" s="1344">
        <f>(1/9)*cnst_fish!$C$7*(1/cnst_fish!$C$8)^(R267-1)</f>
        <v>234.0443074591432</v>
      </c>
      <c r="T267" s="1362">
        <f t="shared" si="42"/>
        <v>297066.5830903285</v>
      </c>
      <c r="W267" s="1612"/>
      <c r="X267" s="1612"/>
      <c r="Y267" s="1613"/>
      <c r="Z267" s="1614"/>
      <c r="AA267" s="1614"/>
      <c r="AB267" s="1615"/>
      <c r="AC267" s="1615"/>
      <c r="AD267" s="583"/>
      <c r="AE267" s="583"/>
    </row>
    <row r="268" spans="1:31" ht="14">
      <c r="A268" s="1384" t="s">
        <v>3899</v>
      </c>
      <c r="B268" s="19" t="s">
        <v>880</v>
      </c>
      <c r="C268" s="1383">
        <v>11115</v>
      </c>
      <c r="D268" s="1236"/>
      <c r="E268" s="1236"/>
      <c r="F268" s="1344">
        <f>(1/S268)*cnst_fish!$C$6</f>
        <v>9.7519361156519751E-3</v>
      </c>
      <c r="G268" s="1344">
        <f t="shared" ref="G268:H287" si="43">G$7</f>
        <v>1</v>
      </c>
      <c r="H268" s="1344">
        <f t="shared" si="43"/>
        <v>0.367192066876738</v>
      </c>
      <c r="I268" s="1344">
        <f t="shared" si="37"/>
        <v>0</v>
      </c>
      <c r="J268" s="902">
        <f t="shared" si="38"/>
        <v>0</v>
      </c>
      <c r="L268" s="1460">
        <v>35</v>
      </c>
      <c r="M268" s="1236"/>
      <c r="N268" s="1240" t="s">
        <v>1806</v>
      </c>
      <c r="O268" s="1241" t="s">
        <v>4859</v>
      </c>
      <c r="P268" s="910">
        <f t="shared" si="39"/>
        <v>0</v>
      </c>
      <c r="Q268" s="910">
        <f t="shared" si="40"/>
        <v>35</v>
      </c>
      <c r="R268" s="1344">
        <f t="shared" si="41"/>
        <v>4.49</v>
      </c>
      <c r="S268" s="1344">
        <f>(1/9)*cnst_fish!$C$7*(1/cnst_fish!$C$8)^(R268-1)</f>
        <v>435.81089432883982</v>
      </c>
      <c r="T268" s="1362">
        <f t="shared" si="42"/>
        <v>1317.8636722259348</v>
      </c>
      <c r="W268" s="1612"/>
      <c r="X268" s="1612"/>
      <c r="Y268" s="1613"/>
      <c r="Z268" s="1614"/>
      <c r="AA268" s="1614"/>
      <c r="AB268" s="1615"/>
      <c r="AC268" s="1615"/>
      <c r="AD268" s="583"/>
      <c r="AE268" s="583"/>
    </row>
    <row r="269" spans="1:31" ht="14">
      <c r="A269" s="1384" t="s">
        <v>2234</v>
      </c>
      <c r="B269" s="19" t="s">
        <v>881</v>
      </c>
      <c r="C269" s="1383">
        <v>2317</v>
      </c>
      <c r="D269" s="1236"/>
      <c r="E269" s="1236"/>
      <c r="F269" s="1344">
        <f>(1/S269)*cnst_fish!$C$6</f>
        <v>7.5699122913220479E-2</v>
      </c>
      <c r="G269" s="1344">
        <f t="shared" si="43"/>
        <v>1</v>
      </c>
      <c r="H269" s="1344">
        <f t="shared" si="43"/>
        <v>0.367192066876738</v>
      </c>
      <c r="I269" s="1344">
        <f t="shared" si="37"/>
        <v>0</v>
      </c>
      <c r="J269" s="902">
        <f t="shared" si="38"/>
        <v>0</v>
      </c>
      <c r="L269" s="1460">
        <v>9594</v>
      </c>
      <c r="M269" s="1236"/>
      <c r="N269" s="1240" t="s">
        <v>1806</v>
      </c>
      <c r="O269" s="1241" t="s">
        <v>4859</v>
      </c>
      <c r="P269" s="910">
        <f t="shared" si="39"/>
        <v>0</v>
      </c>
      <c r="Q269" s="910">
        <f t="shared" si="40"/>
        <v>9594</v>
      </c>
      <c r="R269" s="1344">
        <f t="shared" si="41"/>
        <v>3.6</v>
      </c>
      <c r="S269" s="1344">
        <f>(1/9)*cnst_fish!$C$7*(1/cnst_fish!$C$8)^(R269-1)</f>
        <v>56.143318924211187</v>
      </c>
      <c r="T269" s="1362">
        <f t="shared" si="42"/>
        <v>46537.404319121611</v>
      </c>
      <c r="W269" s="1612"/>
      <c r="X269" s="1612"/>
      <c r="Y269" s="1613"/>
      <c r="Z269" s="1614"/>
      <c r="AA269" s="1614"/>
      <c r="AB269" s="1615"/>
      <c r="AC269" s="1615"/>
      <c r="AD269" s="583"/>
      <c r="AE269" s="583"/>
    </row>
    <row r="270" spans="1:31" ht="14">
      <c r="A270" s="1384" t="s">
        <v>1677</v>
      </c>
      <c r="B270" s="19" t="s">
        <v>882</v>
      </c>
      <c r="C270" s="1383">
        <v>3113</v>
      </c>
      <c r="D270" s="1236">
        <v>41</v>
      </c>
      <c r="E270" s="1236"/>
      <c r="F270" s="1344">
        <f>(1/S270)*cnst_fish!$C$6</f>
        <v>1.2276960190187586E-2</v>
      </c>
      <c r="G270" s="1344">
        <f t="shared" si="43"/>
        <v>1</v>
      </c>
      <c r="H270" s="1344">
        <f t="shared" si="43"/>
        <v>0.367192066876738</v>
      </c>
      <c r="I270" s="1344">
        <f t="shared" si="37"/>
        <v>1226.2705514007394</v>
      </c>
      <c r="J270" s="902">
        <f t="shared" si="38"/>
        <v>0</v>
      </c>
      <c r="L270" s="1460">
        <v>64</v>
      </c>
      <c r="M270" s="1236"/>
      <c r="N270" s="1240" t="s">
        <v>1806</v>
      </c>
      <c r="O270" s="1241" t="s">
        <v>4859</v>
      </c>
      <c r="P270" s="910">
        <f t="shared" si="39"/>
        <v>41</v>
      </c>
      <c r="Q270" s="910">
        <f t="shared" si="40"/>
        <v>64</v>
      </c>
      <c r="R270" s="1344">
        <f t="shared" si="41"/>
        <v>4.3899999999999997</v>
      </c>
      <c r="S270" s="1344">
        <f>(1/9)*cnst_fish!$C$7*(1/cnst_fish!$C$8)^(R270-1)</f>
        <v>346.17689836583742</v>
      </c>
      <c r="T270" s="1362">
        <f t="shared" si="42"/>
        <v>1914.1784216987153</v>
      </c>
      <c r="W270" s="1612"/>
      <c r="X270" s="1612"/>
      <c r="Y270" s="1613"/>
      <c r="Z270" s="1614"/>
      <c r="AA270" s="1614"/>
      <c r="AB270" s="1615"/>
      <c r="AC270" s="1615"/>
      <c r="AD270" s="583"/>
      <c r="AE270" s="583"/>
    </row>
    <row r="271" spans="1:31" ht="14">
      <c r="A271" s="1585" t="s">
        <v>8510</v>
      </c>
      <c r="B271" s="1586" t="s">
        <v>8511</v>
      </c>
      <c r="C271" s="1383">
        <v>11117</v>
      </c>
      <c r="D271" s="1236"/>
      <c r="E271" s="1236"/>
      <c r="F271" s="1344">
        <f>(1/S271)*cnst_fish!$C$6</f>
        <v>3.7939434000887833E-2</v>
      </c>
      <c r="G271" s="1344">
        <f t="shared" si="43"/>
        <v>1</v>
      </c>
      <c r="H271" s="1344">
        <f t="shared" si="43"/>
        <v>0.367192066876738</v>
      </c>
      <c r="I271" s="1344">
        <f t="shared" si="37"/>
        <v>0</v>
      </c>
      <c r="J271" s="902">
        <f t="shared" si="38"/>
        <v>0</v>
      </c>
      <c r="L271" s="1460"/>
      <c r="M271" s="1236"/>
      <c r="N271" s="1240" t="s">
        <v>1806</v>
      </c>
      <c r="O271" s="1241" t="s">
        <v>4859</v>
      </c>
      <c r="P271" s="910">
        <f t="shared" si="39"/>
        <v>0</v>
      </c>
      <c r="Q271" s="910">
        <f t="shared" si="40"/>
        <v>0</v>
      </c>
      <c r="R271" s="1344">
        <f t="shared" si="41"/>
        <v>3.9</v>
      </c>
      <c r="S271" s="1344">
        <f>(1/9)*cnst_fish!$C$7*(1/cnst_fish!$C$8)^(R271-1)</f>
        <v>112.02064848675771</v>
      </c>
      <c r="T271" s="1362">
        <f t="shared" si="42"/>
        <v>0</v>
      </c>
      <c r="W271" s="1616"/>
      <c r="X271" s="1616"/>
      <c r="Y271" s="1613"/>
      <c r="Z271" s="1614"/>
      <c r="AA271" s="1614"/>
      <c r="AB271" s="1615"/>
      <c r="AC271" s="1615"/>
      <c r="AD271" s="583"/>
      <c r="AE271" s="583"/>
    </row>
    <row r="272" spans="1:31" ht="14">
      <c r="A272" s="1384" t="s">
        <v>2962</v>
      </c>
      <c r="B272" s="19" t="s">
        <v>883</v>
      </c>
      <c r="C272" s="1383">
        <v>11118</v>
      </c>
      <c r="D272" s="1236"/>
      <c r="E272" s="1236"/>
      <c r="F272" s="1344">
        <f>(1/S272)*cnst_fish!$C$6</f>
        <v>9.5299549485983424E-3</v>
      </c>
      <c r="G272" s="1344">
        <f t="shared" si="43"/>
        <v>1</v>
      </c>
      <c r="H272" s="1344">
        <f t="shared" si="43"/>
        <v>0.367192066876738</v>
      </c>
      <c r="I272" s="1344">
        <f t="shared" si="37"/>
        <v>0</v>
      </c>
      <c r="J272" s="902">
        <f t="shared" si="38"/>
        <v>0</v>
      </c>
      <c r="L272" s="1460">
        <v>154</v>
      </c>
      <c r="M272" s="1236"/>
      <c r="N272" s="1240" t="s">
        <v>1806</v>
      </c>
      <c r="O272" s="1241" t="s">
        <v>4859</v>
      </c>
      <c r="P272" s="910">
        <f t="shared" si="39"/>
        <v>0</v>
      </c>
      <c r="Q272" s="910">
        <f t="shared" si="40"/>
        <v>154</v>
      </c>
      <c r="R272" s="1344">
        <f t="shared" si="41"/>
        <v>4.5</v>
      </c>
      <c r="S272" s="1344">
        <f>(1/9)*cnst_fish!$C$7*(1/cnst_fish!$C$8)^(R272-1)</f>
        <v>445.96223412630997</v>
      </c>
      <c r="T272" s="1362">
        <f t="shared" si="42"/>
        <v>5933.666906508789</v>
      </c>
      <c r="W272" s="1612"/>
      <c r="X272" s="1612"/>
      <c r="Y272" s="1613"/>
      <c r="Z272" s="1614"/>
      <c r="AA272" s="1614"/>
      <c r="AB272" s="1615"/>
      <c r="AC272" s="1615"/>
      <c r="AD272" s="583"/>
      <c r="AE272" s="583"/>
    </row>
    <row r="273" spans="1:31" ht="14">
      <c r="A273" s="1384" t="s">
        <v>3842</v>
      </c>
      <c r="B273" s="19" t="s">
        <v>2876</v>
      </c>
      <c r="C273" s="1383">
        <v>3110</v>
      </c>
      <c r="D273" s="1236">
        <v>118</v>
      </c>
      <c r="E273" s="1236"/>
      <c r="F273" s="1344">
        <f>(1/S273)*cnst_fish!$C$6</f>
        <v>2.6859062362848789E-2</v>
      </c>
      <c r="G273" s="1344">
        <f t="shared" si="43"/>
        <v>1</v>
      </c>
      <c r="H273" s="1344">
        <f t="shared" si="43"/>
        <v>0.367192066876738</v>
      </c>
      <c r="I273" s="1344">
        <f t="shared" si="37"/>
        <v>1613.1860191585429</v>
      </c>
      <c r="J273" s="902">
        <f t="shared" si="38"/>
        <v>0</v>
      </c>
      <c r="L273" s="1460">
        <v>211685</v>
      </c>
      <c r="M273" s="1236"/>
      <c r="N273" s="1240" t="s">
        <v>1806</v>
      </c>
      <c r="O273" s="1241" t="s">
        <v>4859</v>
      </c>
      <c r="P273" s="910">
        <f t="shared" si="39"/>
        <v>118</v>
      </c>
      <c r="Q273" s="910">
        <f t="shared" si="40"/>
        <v>211685</v>
      </c>
      <c r="R273" s="1344">
        <f t="shared" si="41"/>
        <v>4.05</v>
      </c>
      <c r="S273" s="1344">
        <f>(1/9)*cnst_fish!$C$7*(1/cnst_fish!$C$8)^(R273-1)</f>
        <v>158.23337176053329</v>
      </c>
      <c r="T273" s="1362">
        <f t="shared" si="42"/>
        <v>2893960.0208947132</v>
      </c>
      <c r="W273" s="1612"/>
      <c r="X273" s="1612"/>
      <c r="Y273" s="1613"/>
      <c r="Z273" s="1614"/>
      <c r="AA273" s="1614"/>
      <c r="AB273" s="1615"/>
      <c r="AC273" s="1615"/>
      <c r="AD273" s="583"/>
      <c r="AE273" s="583"/>
    </row>
    <row r="274" spans="1:31" ht="14">
      <c r="A274" s="1384" t="s">
        <v>1065</v>
      </c>
      <c r="B274" s="19" t="s">
        <v>5451</v>
      </c>
      <c r="C274" s="1383">
        <v>2959</v>
      </c>
      <c r="D274" s="1236"/>
      <c r="E274" s="1236">
        <v>45</v>
      </c>
      <c r="F274" s="1344">
        <f>(1/S274)*cnst_fish!$C$6</f>
        <v>3.0136363636363641</v>
      </c>
      <c r="G274" s="1344">
        <f t="shared" si="43"/>
        <v>1</v>
      </c>
      <c r="H274" s="1344">
        <f t="shared" si="43"/>
        <v>0.367192066876738</v>
      </c>
      <c r="I274" s="1344">
        <f t="shared" si="37"/>
        <v>0</v>
      </c>
      <c r="J274" s="902">
        <f t="shared" si="38"/>
        <v>5.4829584646752725</v>
      </c>
      <c r="L274" s="1460">
        <v>13</v>
      </c>
      <c r="M274" s="1236">
        <v>8700</v>
      </c>
      <c r="N274" s="1240" t="s">
        <v>1806</v>
      </c>
      <c r="O274" s="1241" t="s">
        <v>4845</v>
      </c>
      <c r="P274" s="910">
        <f t="shared" si="39"/>
        <v>45</v>
      </c>
      <c r="Q274" s="910">
        <f t="shared" si="40"/>
        <v>8713</v>
      </c>
      <c r="R274" s="1344">
        <f t="shared" si="41"/>
        <v>2</v>
      </c>
      <c r="S274" s="1344">
        <f>(1/9)*cnst_fish!$C$7*(1/cnst_fish!$C$8)^(R274-1)</f>
        <v>1.4102564102564099</v>
      </c>
      <c r="T274" s="1362">
        <f t="shared" si="42"/>
        <v>1061.6226022825699</v>
      </c>
      <c r="W274" s="1612"/>
      <c r="X274" s="1612"/>
      <c r="Y274" s="1613"/>
      <c r="Z274" s="1614"/>
      <c r="AA274" s="1614"/>
      <c r="AB274" s="1615"/>
      <c r="AC274" s="1615"/>
      <c r="AD274" s="583"/>
      <c r="AE274" s="583"/>
    </row>
    <row r="275" spans="1:31" ht="14">
      <c r="A275" s="1384" t="s">
        <v>2894</v>
      </c>
      <c r="B275" s="19" t="s">
        <v>5452</v>
      </c>
      <c r="C275" s="1383">
        <v>2156</v>
      </c>
      <c r="D275" s="1236"/>
      <c r="E275" s="1236"/>
      <c r="F275" s="1344">
        <f>(1/S275)*cnst_fish!$C$6</f>
        <v>0.23393265378401026</v>
      </c>
      <c r="G275" s="1344">
        <f t="shared" si="43"/>
        <v>1</v>
      </c>
      <c r="H275" s="1344">
        <f t="shared" si="43"/>
        <v>0.367192066876738</v>
      </c>
      <c r="I275" s="1344">
        <f t="shared" si="37"/>
        <v>0</v>
      </c>
      <c r="J275" s="902">
        <f t="shared" si="38"/>
        <v>0</v>
      </c>
      <c r="L275" s="1460">
        <v>34</v>
      </c>
      <c r="M275" s="1236">
        <v>4776</v>
      </c>
      <c r="N275" s="1240" t="s">
        <v>5365</v>
      </c>
      <c r="O275" s="1241" t="s">
        <v>4845</v>
      </c>
      <c r="P275" s="910">
        <f t="shared" si="39"/>
        <v>0</v>
      </c>
      <c r="Q275" s="910">
        <f t="shared" si="40"/>
        <v>4810</v>
      </c>
      <c r="R275" s="1344">
        <f t="shared" si="41"/>
        <v>3.11</v>
      </c>
      <c r="S275" s="1344">
        <f>(1/9)*cnst_fish!$C$7*(1/cnst_fish!$C$8)^(R275-1)</f>
        <v>18.16762188285189</v>
      </c>
      <c r="T275" s="1362">
        <f t="shared" si="42"/>
        <v>7550.0098558614845</v>
      </c>
      <c r="W275" s="1612"/>
      <c r="X275" s="1612"/>
      <c r="Y275" s="1613"/>
      <c r="Z275" s="1614"/>
      <c r="AA275" s="1614"/>
      <c r="AB275" s="1615"/>
      <c r="AC275" s="1615"/>
      <c r="AD275" s="583"/>
      <c r="AE275" s="583"/>
    </row>
    <row r="276" spans="1:31" ht="14">
      <c r="A276" s="1384" t="s">
        <v>1311</v>
      </c>
      <c r="B276" s="19" t="s">
        <v>2428</v>
      </c>
      <c r="C276" s="1383">
        <v>2806</v>
      </c>
      <c r="D276" s="1236"/>
      <c r="E276" s="1236"/>
      <c r="F276" s="1344">
        <f>(1/S276)*cnst_fish!$C$6</f>
        <v>1.8158954798513597E-2</v>
      </c>
      <c r="G276" s="1344">
        <f t="shared" si="43"/>
        <v>1</v>
      </c>
      <c r="H276" s="1344">
        <f t="shared" si="43"/>
        <v>0.367192066876738</v>
      </c>
      <c r="I276" s="1344">
        <f t="shared" si="37"/>
        <v>0</v>
      </c>
      <c r="J276" s="902">
        <f t="shared" si="38"/>
        <v>0</v>
      </c>
      <c r="L276" s="1460">
        <v>36167</v>
      </c>
      <c r="M276" s="1236"/>
      <c r="N276" s="1240" t="s">
        <v>3927</v>
      </c>
      <c r="O276" s="1241" t="s">
        <v>4841</v>
      </c>
      <c r="P276" s="910">
        <f t="shared" si="39"/>
        <v>0</v>
      </c>
      <c r="Q276" s="910">
        <f t="shared" si="40"/>
        <v>36167</v>
      </c>
      <c r="R276" s="1344">
        <f t="shared" si="41"/>
        <v>4.22</v>
      </c>
      <c r="S276" s="1344">
        <f>(1/9)*cnst_fish!$C$7*(1/cnst_fish!$C$8)^(R276-1)</f>
        <v>234.0443074591432</v>
      </c>
      <c r="T276" s="1362">
        <f t="shared" si="42"/>
        <v>731332.59210590902</v>
      </c>
      <c r="W276" s="1612"/>
      <c r="X276" s="1612"/>
      <c r="Y276" s="1613"/>
      <c r="Z276" s="1614"/>
      <c r="AA276" s="1614"/>
      <c r="AB276" s="1615"/>
      <c r="AC276" s="1615"/>
      <c r="AD276" s="583"/>
      <c r="AE276" s="583"/>
    </row>
    <row r="277" spans="1:31" ht="14">
      <c r="A277" s="1384" t="s">
        <v>6474</v>
      </c>
      <c r="B277" s="19" t="s">
        <v>6473</v>
      </c>
      <c r="C277" s="1383">
        <v>2809</v>
      </c>
      <c r="D277" s="1236">
        <v>23</v>
      </c>
      <c r="E277" s="1236"/>
      <c r="F277" s="1344">
        <f>(1/S277)*cnst_fish!$C$6</f>
        <v>1.9014759972289439E-2</v>
      </c>
      <c r="G277" s="1344">
        <f t="shared" si="43"/>
        <v>1</v>
      </c>
      <c r="H277" s="1344">
        <f t="shared" si="43"/>
        <v>0.367192066876738</v>
      </c>
      <c r="I277" s="1344">
        <f t="shared" si="37"/>
        <v>444.15062564411215</v>
      </c>
      <c r="J277" s="902">
        <f t="shared" si="38"/>
        <v>0</v>
      </c>
      <c r="L277" s="1460">
        <v>23</v>
      </c>
      <c r="M277" s="1236"/>
      <c r="N277" s="1240" t="s">
        <v>3927</v>
      </c>
      <c r="O277" s="1241" t="s">
        <v>4841</v>
      </c>
      <c r="P277" s="910">
        <f t="shared" si="39"/>
        <v>23</v>
      </c>
      <c r="Q277" s="910">
        <f t="shared" si="40"/>
        <v>23</v>
      </c>
      <c r="R277" s="1344">
        <f t="shared" si="41"/>
        <v>4.2</v>
      </c>
      <c r="S277" s="1344">
        <f>(1/9)*cnst_fish!$C$7*(1/cnst_fish!$C$8)^(R277-1)</f>
        <v>223.51057842400343</v>
      </c>
      <c r="T277" s="1362">
        <f t="shared" si="42"/>
        <v>444.15062564411215</v>
      </c>
      <c r="W277" s="1612"/>
      <c r="X277" s="1612"/>
      <c r="Y277" s="1613"/>
      <c r="Z277" s="1614"/>
      <c r="AA277" s="1614"/>
      <c r="AB277" s="1615"/>
      <c r="AC277" s="1615"/>
      <c r="AD277" s="583"/>
      <c r="AE277" s="583"/>
    </row>
    <row r="278" spans="1:31" ht="14">
      <c r="A278" s="1384" t="s">
        <v>4826</v>
      </c>
      <c r="B278" s="19" t="s">
        <v>4947</v>
      </c>
      <c r="C278" s="1383">
        <v>2022</v>
      </c>
      <c r="D278" s="1236"/>
      <c r="E278" s="1236"/>
      <c r="F278" s="1344">
        <f>(1/S278)*cnst_fish!$C$6</f>
        <v>9.5299549485983424E-3</v>
      </c>
      <c r="G278" s="1344">
        <f t="shared" si="43"/>
        <v>1</v>
      </c>
      <c r="H278" s="1344">
        <f t="shared" si="43"/>
        <v>0.367192066876738</v>
      </c>
      <c r="I278" s="1344">
        <f t="shared" si="37"/>
        <v>0</v>
      </c>
      <c r="J278" s="902">
        <f t="shared" si="38"/>
        <v>0</v>
      </c>
      <c r="L278" s="1460">
        <v>31</v>
      </c>
      <c r="M278" s="1236"/>
      <c r="N278" s="1240" t="s">
        <v>3927</v>
      </c>
      <c r="O278" s="1241" t="s">
        <v>4841</v>
      </c>
      <c r="P278" s="910">
        <f t="shared" si="39"/>
        <v>0</v>
      </c>
      <c r="Q278" s="910">
        <f t="shared" si="40"/>
        <v>31</v>
      </c>
      <c r="R278" s="1344">
        <f t="shared" si="41"/>
        <v>4.5</v>
      </c>
      <c r="S278" s="1344">
        <f>(1/9)*cnst_fish!$C$7*(1/cnst_fish!$C$8)^(R278-1)</f>
        <v>445.96223412630997</v>
      </c>
      <c r="T278" s="1362">
        <f t="shared" si="42"/>
        <v>1194.4394422193016</v>
      </c>
      <c r="W278" s="1612"/>
      <c r="X278" s="1612"/>
      <c r="Y278" s="1613"/>
      <c r="Z278" s="1614"/>
      <c r="AA278" s="1614"/>
      <c r="AB278" s="1615"/>
      <c r="AC278" s="1615"/>
      <c r="AD278" s="583"/>
      <c r="AE278" s="583"/>
    </row>
    <row r="279" spans="1:31" ht="14">
      <c r="A279" s="1384" t="s">
        <v>6888</v>
      </c>
      <c r="B279" s="19" t="s">
        <v>6887</v>
      </c>
      <c r="C279" s="1383">
        <v>2023</v>
      </c>
      <c r="D279" s="1236">
        <v>54</v>
      </c>
      <c r="E279" s="1236"/>
      <c r="F279" s="1344">
        <f>(1/S279)*cnst_fish!$C$6</f>
        <v>1.9014759972289439E-2</v>
      </c>
      <c r="G279" s="1344">
        <f t="shared" si="43"/>
        <v>1</v>
      </c>
      <c r="H279" s="1344">
        <f t="shared" si="43"/>
        <v>0.367192066876738</v>
      </c>
      <c r="I279" s="1344">
        <f t="shared" si="37"/>
        <v>1042.7884254253067</v>
      </c>
      <c r="J279" s="902">
        <f t="shared" si="38"/>
        <v>0</v>
      </c>
      <c r="L279" s="1460">
        <v>54</v>
      </c>
      <c r="M279" s="1236"/>
      <c r="N279" s="1240" t="s">
        <v>3927</v>
      </c>
      <c r="O279" s="1241" t="s">
        <v>4841</v>
      </c>
      <c r="P279" s="910">
        <f t="shared" si="39"/>
        <v>54</v>
      </c>
      <c r="Q279" s="910">
        <f t="shared" si="40"/>
        <v>54</v>
      </c>
      <c r="R279" s="1344">
        <f t="shared" si="41"/>
        <v>4.2</v>
      </c>
      <c r="S279" s="1344">
        <f>(1/9)*cnst_fish!$C$7*(1/cnst_fish!$C$8)^(R279-1)</f>
        <v>223.51057842400343</v>
      </c>
      <c r="T279" s="1362">
        <f t="shared" si="42"/>
        <v>1042.7884254253067</v>
      </c>
      <c r="W279" s="1612"/>
      <c r="X279" s="1612"/>
      <c r="Y279" s="1613"/>
      <c r="Z279" s="1614"/>
      <c r="AA279" s="1614"/>
      <c r="AB279" s="1615"/>
      <c r="AC279" s="1615"/>
      <c r="AD279" s="583"/>
      <c r="AE279" s="583"/>
    </row>
    <row r="280" spans="1:31" ht="14">
      <c r="A280" s="1585" t="s">
        <v>8512</v>
      </c>
      <c r="B280" s="1586" t="s">
        <v>8513</v>
      </c>
      <c r="C280" s="1383">
        <v>11128</v>
      </c>
      <c r="D280" s="1236"/>
      <c r="E280" s="1236"/>
      <c r="F280" s="1344">
        <f>(1/S280)*cnst_fish!$C$6</f>
        <v>3.7939434000887833E-2</v>
      </c>
      <c r="G280" s="1344">
        <f t="shared" si="43"/>
        <v>1</v>
      </c>
      <c r="H280" s="1344">
        <f t="shared" si="43"/>
        <v>0.367192066876738</v>
      </c>
      <c r="I280" s="1344">
        <f t="shared" si="37"/>
        <v>0</v>
      </c>
      <c r="J280" s="902">
        <f t="shared" si="38"/>
        <v>0</v>
      </c>
      <c r="L280" s="1460">
        <v>438</v>
      </c>
      <c r="M280" s="1236"/>
      <c r="N280" s="1240" t="s">
        <v>3927</v>
      </c>
      <c r="O280" s="1241" t="s">
        <v>4841</v>
      </c>
      <c r="P280" s="910">
        <f t="shared" si="39"/>
        <v>0</v>
      </c>
      <c r="Q280" s="910">
        <f t="shared" si="40"/>
        <v>438</v>
      </c>
      <c r="R280" s="1344">
        <f t="shared" si="41"/>
        <v>3.9</v>
      </c>
      <c r="S280" s="1344">
        <f>(1/9)*cnst_fish!$C$7*(1/cnst_fish!$C$8)^(R280-1)</f>
        <v>112.02064848675771</v>
      </c>
      <c r="T280" s="1362">
        <f t="shared" si="42"/>
        <v>4239.1282191570808</v>
      </c>
      <c r="W280" s="1616"/>
      <c r="X280" s="1616"/>
      <c r="Y280" s="1613"/>
      <c r="Z280" s="1614"/>
      <c r="AA280" s="1614"/>
      <c r="AB280" s="1615"/>
      <c r="AC280" s="1615"/>
      <c r="AD280" s="583"/>
      <c r="AE280" s="583"/>
    </row>
    <row r="281" spans="1:31" ht="14">
      <c r="A281" s="1384" t="s">
        <v>3722</v>
      </c>
      <c r="B281" s="19" t="s">
        <v>4948</v>
      </c>
      <c r="C281" s="1383">
        <v>2021</v>
      </c>
      <c r="D281" s="1236">
        <v>1</v>
      </c>
      <c r="E281" s="1236"/>
      <c r="F281" s="1344">
        <f>(1/S281)*cnst_fish!$C$6</f>
        <v>9.5299549485983424E-3</v>
      </c>
      <c r="G281" s="1344">
        <f t="shared" si="43"/>
        <v>1</v>
      </c>
      <c r="H281" s="1344">
        <f t="shared" si="43"/>
        <v>0.367192066876738</v>
      </c>
      <c r="I281" s="1344">
        <f t="shared" si="37"/>
        <v>38.530304587719407</v>
      </c>
      <c r="J281" s="902">
        <f t="shared" si="38"/>
        <v>0</v>
      </c>
      <c r="L281" s="1460">
        <v>5624</v>
      </c>
      <c r="M281" s="1236"/>
      <c r="N281" s="1240" t="s">
        <v>3927</v>
      </c>
      <c r="O281" s="1241" t="s">
        <v>4841</v>
      </c>
      <c r="P281" s="910">
        <f t="shared" si="39"/>
        <v>1</v>
      </c>
      <c r="Q281" s="910">
        <f t="shared" si="40"/>
        <v>5624</v>
      </c>
      <c r="R281" s="1344">
        <f t="shared" si="41"/>
        <v>4.5</v>
      </c>
      <c r="S281" s="1344">
        <f>(1/9)*cnst_fish!$C$7*(1/cnst_fish!$C$8)^(R281-1)</f>
        <v>445.96223412630997</v>
      </c>
      <c r="T281" s="1362">
        <f t="shared" si="42"/>
        <v>216694.43300133396</v>
      </c>
      <c r="W281" s="1612"/>
      <c r="X281" s="1612"/>
      <c r="Y281" s="1613"/>
      <c r="Z281" s="1614"/>
      <c r="AA281" s="1614"/>
      <c r="AB281" s="1615"/>
      <c r="AC281" s="1615"/>
      <c r="AD281" s="583"/>
      <c r="AE281" s="583"/>
    </row>
    <row r="282" spans="1:31" ht="14">
      <c r="A282" s="1384" t="s">
        <v>6589</v>
      </c>
      <c r="B282" s="19" t="s">
        <v>6588</v>
      </c>
      <c r="C282" s="1383">
        <v>2816</v>
      </c>
      <c r="D282" s="1236">
        <v>58</v>
      </c>
      <c r="E282" s="1236"/>
      <c r="F282" s="1344">
        <f>(1/S282)*cnst_fish!$C$6</f>
        <v>1.9014759972289439E-2</v>
      </c>
      <c r="G282" s="1344">
        <f t="shared" si="43"/>
        <v>1</v>
      </c>
      <c r="H282" s="1344">
        <f t="shared" si="43"/>
        <v>0.367192066876738</v>
      </c>
      <c r="I282" s="1344">
        <f t="shared" si="37"/>
        <v>1120.032012493848</v>
      </c>
      <c r="J282" s="902">
        <f t="shared" si="38"/>
        <v>0</v>
      </c>
      <c r="L282" s="1460">
        <v>58</v>
      </c>
      <c r="M282" s="1236"/>
      <c r="N282" s="1240" t="s">
        <v>3927</v>
      </c>
      <c r="O282" s="1241" t="s">
        <v>4841</v>
      </c>
      <c r="P282" s="910">
        <f t="shared" si="39"/>
        <v>58</v>
      </c>
      <c r="Q282" s="910">
        <f t="shared" si="40"/>
        <v>58</v>
      </c>
      <c r="R282" s="1344">
        <f t="shared" si="41"/>
        <v>4.2</v>
      </c>
      <c r="S282" s="1344">
        <f>(1/9)*cnst_fish!$C$7*(1/cnst_fish!$C$8)^(R282-1)</f>
        <v>223.51057842400343</v>
      </c>
      <c r="T282" s="1362">
        <f t="shared" si="42"/>
        <v>1120.032012493848</v>
      </c>
      <c r="W282" s="1612"/>
      <c r="X282" s="1612"/>
      <c r="Y282" s="1613"/>
      <c r="Z282" s="1614"/>
      <c r="AA282" s="1614"/>
      <c r="AB282" s="1615"/>
      <c r="AC282" s="1615"/>
      <c r="AD282" s="583"/>
      <c r="AE282" s="583"/>
    </row>
    <row r="283" spans="1:31" ht="14">
      <c r="A283" s="1384" t="s">
        <v>1243</v>
      </c>
      <c r="B283" s="19" t="s">
        <v>1244</v>
      </c>
      <c r="C283" s="1383">
        <v>2812</v>
      </c>
      <c r="D283" s="1236">
        <v>161</v>
      </c>
      <c r="E283" s="1236"/>
      <c r="F283" s="1344">
        <f>(1/S283)*cnst_fish!$C$6</f>
        <v>1.4760152601876367E-2</v>
      </c>
      <c r="G283" s="1344">
        <f t="shared" si="43"/>
        <v>1</v>
      </c>
      <c r="H283" s="1344">
        <f t="shared" si="43"/>
        <v>0.367192066876738</v>
      </c>
      <c r="I283" s="1344">
        <f t="shared" si="37"/>
        <v>4005.2379105917589</v>
      </c>
      <c r="J283" s="902">
        <f t="shared" si="38"/>
        <v>0</v>
      </c>
      <c r="L283" s="1460">
        <v>162</v>
      </c>
      <c r="M283" s="1236"/>
      <c r="N283" s="1240" t="s">
        <v>3927</v>
      </c>
      <c r="O283" s="1241" t="s">
        <v>4841</v>
      </c>
      <c r="P283" s="910">
        <f t="shared" si="39"/>
        <v>161</v>
      </c>
      <c r="Q283" s="910">
        <f t="shared" si="40"/>
        <v>162</v>
      </c>
      <c r="R283" s="1344">
        <f t="shared" si="41"/>
        <v>4.3099999999999996</v>
      </c>
      <c r="S283" s="1344">
        <f>(1/9)*cnst_fish!$C$7*(1/cnst_fish!$C$8)^(R283-1)</f>
        <v>287.93740245339495</v>
      </c>
      <c r="T283" s="1362">
        <f t="shared" si="42"/>
        <v>4030.1151646948138</v>
      </c>
      <c r="W283" s="1612"/>
      <c r="X283" s="1612"/>
      <c r="Y283" s="1613"/>
      <c r="Z283" s="1614"/>
      <c r="AA283" s="1614"/>
      <c r="AB283" s="1615"/>
      <c r="AC283" s="1615"/>
      <c r="AD283" s="583"/>
      <c r="AE283" s="583"/>
    </row>
    <row r="284" spans="1:31" ht="14">
      <c r="A284" s="1384" t="s">
        <v>5001</v>
      </c>
      <c r="B284" s="19" t="s">
        <v>769</v>
      </c>
      <c r="C284" s="1383">
        <v>2808</v>
      </c>
      <c r="D284" s="1236">
        <v>436</v>
      </c>
      <c r="E284" s="1236"/>
      <c r="F284" s="1344">
        <f>(1/S284)*cnst_fish!$C$6</f>
        <v>1.7341667202478851E-2</v>
      </c>
      <c r="G284" s="1344">
        <f t="shared" si="43"/>
        <v>1</v>
      </c>
      <c r="H284" s="1344">
        <f t="shared" si="43"/>
        <v>0.367192066876738</v>
      </c>
      <c r="I284" s="1344">
        <f t="shared" si="37"/>
        <v>9231.854082367201</v>
      </c>
      <c r="J284" s="902">
        <f t="shared" si="38"/>
        <v>0</v>
      </c>
      <c r="L284" s="1460">
        <v>505</v>
      </c>
      <c r="M284" s="1236"/>
      <c r="N284" s="1240" t="s">
        <v>3927</v>
      </c>
      <c r="O284" s="1241" t="s">
        <v>4841</v>
      </c>
      <c r="P284" s="910">
        <f t="shared" si="39"/>
        <v>436</v>
      </c>
      <c r="Q284" s="910">
        <f t="shared" si="40"/>
        <v>505</v>
      </c>
      <c r="R284" s="1344">
        <f t="shared" si="41"/>
        <v>4.24</v>
      </c>
      <c r="S284" s="1344">
        <f>(1/9)*cnst_fish!$C$7*(1/cnst_fish!$C$8)^(R284-1)</f>
        <v>245.0744758492711</v>
      </c>
      <c r="T284" s="1362">
        <f t="shared" si="42"/>
        <v>10692.858512833569</v>
      </c>
      <c r="W284" s="1612"/>
      <c r="X284" s="1612"/>
      <c r="Y284" s="1613"/>
      <c r="Z284" s="1614"/>
      <c r="AA284" s="1614"/>
      <c r="AB284" s="1615"/>
      <c r="AC284" s="1615"/>
      <c r="AD284" s="583"/>
      <c r="AE284" s="583"/>
    </row>
    <row r="285" spans="1:31" ht="14">
      <c r="A285" s="1384" t="s">
        <v>5356</v>
      </c>
      <c r="B285" s="19" t="s">
        <v>770</v>
      </c>
      <c r="C285" s="1383">
        <v>2810</v>
      </c>
      <c r="D285" s="1236"/>
      <c r="E285" s="1236"/>
      <c r="F285" s="1344">
        <f>(1/S285)*cnst_fish!$C$6</f>
        <v>2.0849269714511572E-2</v>
      </c>
      <c r="G285" s="1344">
        <f t="shared" si="43"/>
        <v>1</v>
      </c>
      <c r="H285" s="1344">
        <f t="shared" si="43"/>
        <v>0.367192066876738</v>
      </c>
      <c r="I285" s="1344">
        <f t="shared" si="37"/>
        <v>0</v>
      </c>
      <c r="J285" s="902">
        <f t="shared" si="38"/>
        <v>0</v>
      </c>
      <c r="L285" s="1460">
        <v>284</v>
      </c>
      <c r="M285" s="1236"/>
      <c r="N285" s="1240" t="s">
        <v>3927</v>
      </c>
      <c r="O285" s="1241" t="s">
        <v>4841</v>
      </c>
      <c r="P285" s="910">
        <f t="shared" si="39"/>
        <v>0</v>
      </c>
      <c r="Q285" s="910">
        <f t="shared" si="40"/>
        <v>284</v>
      </c>
      <c r="R285" s="1344">
        <f t="shared" si="41"/>
        <v>4.16</v>
      </c>
      <c r="S285" s="1344">
        <f>(1/9)*cnst_fish!$C$7*(1/cnst_fish!$C$8)^(R285-1)</f>
        <v>203.84407023340017</v>
      </c>
      <c r="T285" s="1362">
        <f t="shared" si="42"/>
        <v>5001.7361960841499</v>
      </c>
      <c r="W285" s="1612"/>
      <c r="X285" s="1612"/>
      <c r="Y285" s="1613"/>
      <c r="Z285" s="1614"/>
      <c r="AA285" s="1614"/>
      <c r="AB285" s="1615"/>
      <c r="AC285" s="1615"/>
      <c r="AD285" s="583"/>
      <c r="AE285" s="583"/>
    </row>
    <row r="286" spans="1:31" ht="14">
      <c r="A286" s="1384" t="s">
        <v>331</v>
      </c>
      <c r="B286" s="19" t="s">
        <v>771</v>
      </c>
      <c r="C286" s="1383">
        <v>2811</v>
      </c>
      <c r="D286" s="1236">
        <v>0</v>
      </c>
      <c r="E286" s="1236"/>
      <c r="F286" s="1344">
        <f>(1/S286)*cnst_fish!$C$6</f>
        <v>9.7519361156519751E-3</v>
      </c>
      <c r="G286" s="1344">
        <f t="shared" si="43"/>
        <v>1</v>
      </c>
      <c r="H286" s="1344">
        <f t="shared" si="43"/>
        <v>0.367192066876738</v>
      </c>
      <c r="I286" s="1344">
        <f t="shared" si="37"/>
        <v>0</v>
      </c>
      <c r="J286" s="902">
        <f t="shared" si="38"/>
        <v>0</v>
      </c>
      <c r="L286" s="1460">
        <v>0</v>
      </c>
      <c r="M286" s="1236"/>
      <c r="N286" s="1240" t="s">
        <v>3927</v>
      </c>
      <c r="O286" s="1241" t="s">
        <v>4841</v>
      </c>
      <c r="P286" s="910">
        <f t="shared" si="39"/>
        <v>0</v>
      </c>
      <c r="Q286" s="910">
        <f t="shared" si="40"/>
        <v>0</v>
      </c>
      <c r="R286" s="1344">
        <f t="shared" si="41"/>
        <v>4.49</v>
      </c>
      <c r="S286" s="1344">
        <f>(1/9)*cnst_fish!$C$7*(1/cnst_fish!$C$8)^(R286-1)</f>
        <v>435.81089432883982</v>
      </c>
      <c r="T286" s="1362">
        <f t="shared" si="42"/>
        <v>0</v>
      </c>
      <c r="W286" s="1612"/>
      <c r="X286" s="1612"/>
      <c r="Y286" s="1613"/>
      <c r="Z286" s="1614"/>
      <c r="AA286" s="1614"/>
      <c r="AB286" s="1615"/>
      <c r="AC286" s="1615"/>
      <c r="AD286" s="583"/>
      <c r="AE286" s="583"/>
    </row>
    <row r="287" spans="1:31" ht="14">
      <c r="A287" s="1384" t="s">
        <v>1254</v>
      </c>
      <c r="B287" s="19" t="s">
        <v>772</v>
      </c>
      <c r="C287" s="1383">
        <v>2807</v>
      </c>
      <c r="D287" s="1236">
        <v>51</v>
      </c>
      <c r="E287" s="1236"/>
      <c r="F287" s="1344">
        <f>(1/S287)*cnst_fish!$C$6</f>
        <v>9.7519361156519751E-3</v>
      </c>
      <c r="G287" s="1344">
        <f t="shared" si="43"/>
        <v>1</v>
      </c>
      <c r="H287" s="1344">
        <f t="shared" si="43"/>
        <v>0.367192066876738</v>
      </c>
      <c r="I287" s="1344">
        <f t="shared" si="37"/>
        <v>1920.3156366720766</v>
      </c>
      <c r="J287" s="902">
        <f t="shared" si="38"/>
        <v>0</v>
      </c>
      <c r="L287" s="1460">
        <v>51</v>
      </c>
      <c r="M287" s="1236"/>
      <c r="N287" s="1240" t="s">
        <v>3927</v>
      </c>
      <c r="O287" s="1241" t="s">
        <v>4841</v>
      </c>
      <c r="P287" s="910">
        <f t="shared" si="39"/>
        <v>51</v>
      </c>
      <c r="Q287" s="910">
        <f t="shared" si="40"/>
        <v>51</v>
      </c>
      <c r="R287" s="1344">
        <f t="shared" si="41"/>
        <v>4.49</v>
      </c>
      <c r="S287" s="1344">
        <f>(1/9)*cnst_fish!$C$7*(1/cnst_fish!$C$8)^(R287-1)</f>
        <v>435.81089432883982</v>
      </c>
      <c r="T287" s="1362">
        <f t="shared" si="42"/>
        <v>1920.3156366720766</v>
      </c>
      <c r="W287" s="1612"/>
      <c r="X287" s="1612"/>
      <c r="Y287" s="1613"/>
      <c r="Z287" s="1614"/>
      <c r="AA287" s="1614"/>
      <c r="AB287" s="1615"/>
      <c r="AC287" s="1615"/>
      <c r="AD287" s="583"/>
      <c r="AE287" s="583"/>
    </row>
    <row r="288" spans="1:31" ht="14">
      <c r="A288" s="1384" t="s">
        <v>4029</v>
      </c>
      <c r="B288" s="19" t="s">
        <v>4030</v>
      </c>
      <c r="C288" s="1383">
        <v>2020</v>
      </c>
      <c r="D288" s="1236"/>
      <c r="E288" s="1236"/>
      <c r="F288" s="1344">
        <f>(1/S288)*cnst_fish!$C$6</f>
        <v>2.1831865524078106E-2</v>
      </c>
      <c r="G288" s="1344">
        <f t="shared" ref="G288:H307" si="44">G$7</f>
        <v>1</v>
      </c>
      <c r="H288" s="1344">
        <f t="shared" si="44"/>
        <v>0.367192066876738</v>
      </c>
      <c r="I288" s="1344">
        <f t="shared" si="37"/>
        <v>0</v>
      </c>
      <c r="J288" s="902">
        <f t="shared" si="38"/>
        <v>0</v>
      </c>
      <c r="L288" s="1460"/>
      <c r="M288" s="1236"/>
      <c r="N288" s="1240" t="s">
        <v>3927</v>
      </c>
      <c r="O288" s="1241" t="s">
        <v>4841</v>
      </c>
      <c r="P288" s="910">
        <f t="shared" si="39"/>
        <v>0</v>
      </c>
      <c r="Q288" s="910">
        <f t="shared" si="40"/>
        <v>0</v>
      </c>
      <c r="R288" s="1344">
        <f t="shared" si="41"/>
        <v>4.1399999999999997</v>
      </c>
      <c r="S288" s="1344">
        <f>(1/9)*cnst_fish!$C$7*(1/cnst_fish!$C$8)^(R288-1)</f>
        <v>194.66957577732992</v>
      </c>
      <c r="T288" s="1362">
        <f t="shared" si="42"/>
        <v>0</v>
      </c>
      <c r="W288" s="1612"/>
      <c r="X288" s="1612"/>
      <c r="Y288" s="1613"/>
      <c r="Z288" s="1614"/>
      <c r="AA288" s="1614"/>
      <c r="AB288" s="1615"/>
      <c r="AC288" s="1615"/>
      <c r="AD288" s="583"/>
      <c r="AE288" s="583"/>
    </row>
    <row r="289" spans="1:31" ht="14">
      <c r="A289" s="1585" t="s">
        <v>8514</v>
      </c>
      <c r="B289" s="1586" t="s">
        <v>8515</v>
      </c>
      <c r="C289" s="1383">
        <v>2815</v>
      </c>
      <c r="D289" s="1236"/>
      <c r="E289" s="1236"/>
      <c r="F289" s="1344">
        <f>(1/S289)*cnst_fish!$C$6</f>
        <v>7.5699122913220583E-3</v>
      </c>
      <c r="G289" s="1344">
        <f t="shared" si="44"/>
        <v>1</v>
      </c>
      <c r="H289" s="1344">
        <f t="shared" si="44"/>
        <v>0.367192066876738</v>
      </c>
      <c r="I289" s="1344">
        <f t="shared" si="37"/>
        <v>0</v>
      </c>
      <c r="J289" s="902">
        <f t="shared" si="38"/>
        <v>0</v>
      </c>
      <c r="L289" s="1460"/>
      <c r="M289" s="1236"/>
      <c r="N289" s="1240" t="s">
        <v>3927</v>
      </c>
      <c r="O289" s="1241" t="s">
        <v>4841</v>
      </c>
      <c r="P289" s="910">
        <f t="shared" si="39"/>
        <v>0</v>
      </c>
      <c r="Q289" s="910">
        <f t="shared" si="40"/>
        <v>0</v>
      </c>
      <c r="R289" s="1344">
        <f t="shared" si="41"/>
        <v>4.5999999999999996</v>
      </c>
      <c r="S289" s="1344">
        <f>(1/9)*cnst_fish!$C$7*(1/cnst_fish!$C$8)^(R289-1)</f>
        <v>561.4331892421111</v>
      </c>
      <c r="T289" s="1362">
        <f t="shared" si="42"/>
        <v>0</v>
      </c>
      <c r="W289" s="1616"/>
      <c r="X289" s="1616"/>
      <c r="Y289" s="1613"/>
      <c r="Z289" s="1614"/>
      <c r="AA289" s="1614"/>
      <c r="AB289" s="1615"/>
      <c r="AC289" s="1615"/>
      <c r="AD289" s="583"/>
      <c r="AE289" s="583"/>
    </row>
    <row r="290" spans="1:31" ht="14">
      <c r="A290" s="1384" t="s">
        <v>5251</v>
      </c>
      <c r="B290" s="19" t="s">
        <v>736</v>
      </c>
      <c r="C290" s="1383">
        <v>11134</v>
      </c>
      <c r="D290" s="1236"/>
      <c r="E290" s="1236"/>
      <c r="F290" s="1344">
        <f>(1/S290)*cnst_fish!$C$6</f>
        <v>2.1334911593031029E-2</v>
      </c>
      <c r="G290" s="1344">
        <f t="shared" si="44"/>
        <v>1</v>
      </c>
      <c r="H290" s="1344">
        <f t="shared" si="44"/>
        <v>0.367192066876738</v>
      </c>
      <c r="I290" s="1344">
        <f t="shared" si="37"/>
        <v>0</v>
      </c>
      <c r="J290" s="902">
        <f t="shared" si="38"/>
        <v>0</v>
      </c>
      <c r="L290" s="1460">
        <v>896</v>
      </c>
      <c r="M290" s="1236"/>
      <c r="N290" s="1240" t="s">
        <v>3927</v>
      </c>
      <c r="O290" s="1241" t="s">
        <v>4841</v>
      </c>
      <c r="P290" s="910">
        <f t="shared" si="39"/>
        <v>0</v>
      </c>
      <c r="Q290" s="910">
        <f t="shared" si="40"/>
        <v>896</v>
      </c>
      <c r="R290" s="1344">
        <f t="shared" si="41"/>
        <v>4.1500000000000004</v>
      </c>
      <c r="S290" s="1344">
        <f>(1/9)*cnst_fish!$C$7*(1/cnst_fish!$C$8)^(R290-1)</f>
        <v>199.20401270320929</v>
      </c>
      <c r="T290" s="1362">
        <f t="shared" si="42"/>
        <v>15420.925954482289</v>
      </c>
      <c r="W290" s="1612"/>
      <c r="X290" s="1612"/>
      <c r="Y290" s="1613"/>
      <c r="Z290" s="1614"/>
      <c r="AA290" s="1614"/>
      <c r="AB290" s="1615"/>
      <c r="AC290" s="1615"/>
      <c r="AD290" s="583"/>
      <c r="AE290" s="583"/>
    </row>
    <row r="291" spans="1:31" ht="14">
      <c r="A291" s="1384" t="s">
        <v>1253</v>
      </c>
      <c r="B291" s="19" t="s">
        <v>737</v>
      </c>
      <c r="C291" s="1383">
        <v>2006</v>
      </c>
      <c r="D291" s="1236">
        <v>0</v>
      </c>
      <c r="E291" s="1236"/>
      <c r="F291" s="1344">
        <f>(1/S291)*cnst_fish!$C$6</f>
        <v>9.5299549485983424E-3</v>
      </c>
      <c r="G291" s="1344">
        <f t="shared" si="44"/>
        <v>1</v>
      </c>
      <c r="H291" s="1344">
        <f t="shared" si="44"/>
        <v>0.367192066876738</v>
      </c>
      <c r="I291" s="1344">
        <f t="shared" si="37"/>
        <v>0</v>
      </c>
      <c r="J291" s="902">
        <f t="shared" si="38"/>
        <v>0</v>
      </c>
      <c r="L291" s="1460">
        <v>0</v>
      </c>
      <c r="M291" s="1236"/>
      <c r="N291" s="1240" t="s">
        <v>3927</v>
      </c>
      <c r="O291" s="1241" t="s">
        <v>4841</v>
      </c>
      <c r="P291" s="910">
        <f t="shared" si="39"/>
        <v>0</v>
      </c>
      <c r="Q291" s="910">
        <f t="shared" si="40"/>
        <v>0</v>
      </c>
      <c r="R291" s="1344">
        <f t="shared" si="41"/>
        <v>4.5</v>
      </c>
      <c r="S291" s="1344">
        <f>(1/9)*cnst_fish!$C$7*(1/cnst_fish!$C$8)^(R291-1)</f>
        <v>445.96223412630997</v>
      </c>
      <c r="T291" s="1362">
        <f t="shared" si="42"/>
        <v>0</v>
      </c>
      <c r="W291" s="1612"/>
      <c r="X291" s="1612"/>
      <c r="Y291" s="1613"/>
      <c r="Z291" s="1614"/>
      <c r="AA291" s="1614"/>
      <c r="AB291" s="1615"/>
      <c r="AC291" s="1615"/>
      <c r="AD291" s="583"/>
      <c r="AE291" s="583"/>
    </row>
    <row r="292" spans="1:31" ht="14">
      <c r="A292" s="1384" t="s">
        <v>3949</v>
      </c>
      <c r="B292" s="19" t="s">
        <v>738</v>
      </c>
      <c r="C292" s="1383">
        <v>2799</v>
      </c>
      <c r="D292" s="1236">
        <v>0</v>
      </c>
      <c r="E292" s="1236"/>
      <c r="F292" s="1344">
        <f>(1/S292)*cnst_fish!$C$6</f>
        <v>8.8938714421809562E-3</v>
      </c>
      <c r="G292" s="1344">
        <f t="shared" si="44"/>
        <v>1</v>
      </c>
      <c r="H292" s="1344">
        <f t="shared" si="44"/>
        <v>0.367192066876738</v>
      </c>
      <c r="I292" s="1344">
        <f t="shared" si="37"/>
        <v>0</v>
      </c>
      <c r="J292" s="902">
        <f t="shared" si="38"/>
        <v>0</v>
      </c>
      <c r="L292" s="1460">
        <v>25</v>
      </c>
      <c r="M292" s="1236"/>
      <c r="N292" s="1240" t="s">
        <v>3927</v>
      </c>
      <c r="O292" s="1241" t="s">
        <v>4841</v>
      </c>
      <c r="P292" s="910">
        <f t="shared" si="39"/>
        <v>0</v>
      </c>
      <c r="Q292" s="910">
        <f t="shared" si="40"/>
        <v>25</v>
      </c>
      <c r="R292" s="1344">
        <f t="shared" si="41"/>
        <v>4.53</v>
      </c>
      <c r="S292" s="1344">
        <f>(1/9)*cnst_fish!$C$7*(1/cnst_fish!$C$8)^(R292-1)</f>
        <v>477.85714327323512</v>
      </c>
      <c r="T292" s="1362">
        <f t="shared" si="42"/>
        <v>1032.1491300606633</v>
      </c>
      <c r="W292" s="1612"/>
      <c r="X292" s="1612"/>
      <c r="Y292" s="1613"/>
      <c r="Z292" s="1614"/>
      <c r="AA292" s="1614"/>
      <c r="AB292" s="1615"/>
      <c r="AC292" s="1615"/>
      <c r="AD292" s="583"/>
      <c r="AE292" s="583"/>
    </row>
    <row r="293" spans="1:31" ht="14">
      <c r="A293" s="1384" t="s">
        <v>2132</v>
      </c>
      <c r="B293" s="19" t="s">
        <v>2446</v>
      </c>
      <c r="C293" s="1383">
        <v>2636</v>
      </c>
      <c r="D293" s="1236"/>
      <c r="E293" s="1236"/>
      <c r="F293" s="1344">
        <f>(1/S293)*cnst_fish!$C$6</f>
        <v>0.11196720767792057</v>
      </c>
      <c r="G293" s="1344">
        <f t="shared" si="44"/>
        <v>1</v>
      </c>
      <c r="H293" s="1344">
        <f t="shared" si="44"/>
        <v>0.367192066876738</v>
      </c>
      <c r="I293" s="1344">
        <f t="shared" si="37"/>
        <v>0</v>
      </c>
      <c r="J293" s="902">
        <f t="shared" si="38"/>
        <v>0</v>
      </c>
      <c r="L293" s="1460">
        <v>568</v>
      </c>
      <c r="M293" s="1236"/>
      <c r="N293" s="1240" t="s">
        <v>2430</v>
      </c>
      <c r="O293" s="1241" t="s">
        <v>4840</v>
      </c>
      <c r="P293" s="910">
        <f t="shared" si="39"/>
        <v>0</v>
      </c>
      <c r="Q293" s="910">
        <f t="shared" si="40"/>
        <v>568</v>
      </c>
      <c r="R293" s="1344">
        <f t="shared" si="41"/>
        <v>3.43</v>
      </c>
      <c r="S293" s="1344">
        <f>(1/9)*cnst_fish!$C$7*(1/cnst_fish!$C$8)^(R293-1)</f>
        <v>37.957542106661656</v>
      </c>
      <c r="T293" s="1362">
        <f t="shared" si="42"/>
        <v>1862.7337263418715</v>
      </c>
      <c r="W293" s="1612"/>
      <c r="X293" s="1612"/>
      <c r="Y293" s="1613"/>
      <c r="Z293" s="1614"/>
      <c r="AA293" s="1614"/>
      <c r="AB293" s="1615"/>
      <c r="AC293" s="1615"/>
      <c r="AD293" s="583"/>
      <c r="AE293" s="583"/>
    </row>
    <row r="294" spans="1:31" ht="14">
      <c r="A294" s="1384" t="s">
        <v>1222</v>
      </c>
      <c r="B294" s="19" t="s">
        <v>2447</v>
      </c>
      <c r="C294" s="1383">
        <v>2635</v>
      </c>
      <c r="D294" s="1236">
        <v>94</v>
      </c>
      <c r="E294" s="1236"/>
      <c r="F294" s="1344">
        <f>(1/S294)*cnst_fish!$C$6</f>
        <v>9.5299549485983348E-2</v>
      </c>
      <c r="G294" s="1344">
        <f t="shared" si="44"/>
        <v>1</v>
      </c>
      <c r="H294" s="1344">
        <f t="shared" si="44"/>
        <v>0.367192066876738</v>
      </c>
      <c r="I294" s="1344">
        <f t="shared" si="37"/>
        <v>362.18486312456275</v>
      </c>
      <c r="J294" s="902">
        <f t="shared" si="38"/>
        <v>0</v>
      </c>
      <c r="L294" s="1460">
        <v>1421</v>
      </c>
      <c r="M294" s="1236"/>
      <c r="N294" s="1240" t="s">
        <v>2430</v>
      </c>
      <c r="O294" s="1241" t="s">
        <v>4840</v>
      </c>
      <c r="P294" s="910">
        <f t="shared" si="39"/>
        <v>94</v>
      </c>
      <c r="Q294" s="910">
        <f t="shared" si="40"/>
        <v>1421</v>
      </c>
      <c r="R294" s="1344">
        <f t="shared" si="41"/>
        <v>3.5</v>
      </c>
      <c r="S294" s="1344">
        <f>(1/9)*cnst_fish!$C$7*(1/cnst_fish!$C$8)^(R294-1)</f>
        <v>44.596223412631026</v>
      </c>
      <c r="T294" s="1362">
        <f t="shared" si="42"/>
        <v>5475.1562819149322</v>
      </c>
      <c r="W294" s="1612"/>
      <c r="X294" s="1612"/>
      <c r="Y294" s="1613"/>
      <c r="Z294" s="1614"/>
      <c r="AA294" s="1614"/>
      <c r="AB294" s="1615"/>
      <c r="AC294" s="1615"/>
      <c r="AD294" s="583"/>
      <c r="AE294" s="583"/>
    </row>
    <row r="295" spans="1:31" ht="14">
      <c r="A295" s="1384" t="s">
        <v>4932</v>
      </c>
      <c r="B295" s="19" t="s">
        <v>4704</v>
      </c>
      <c r="C295" s="1383">
        <v>2693</v>
      </c>
      <c r="D295" s="1236"/>
      <c r="E295" s="1236"/>
      <c r="F295" s="1344">
        <f>(1/S295)*cnst_fish!$C$6</f>
        <v>2.3938164528281742</v>
      </c>
      <c r="G295" s="1344">
        <f t="shared" si="44"/>
        <v>1</v>
      </c>
      <c r="H295" s="1344">
        <f t="shared" si="44"/>
        <v>0.367192066876738</v>
      </c>
      <c r="I295" s="1344">
        <f t="shared" si="37"/>
        <v>0</v>
      </c>
      <c r="J295" s="902">
        <f t="shared" si="38"/>
        <v>0</v>
      </c>
      <c r="L295" s="1460">
        <v>479</v>
      </c>
      <c r="M295" s="1236"/>
      <c r="N295" s="1240" t="s">
        <v>1804</v>
      </c>
      <c r="O295" s="1241" t="s">
        <v>4851</v>
      </c>
      <c r="P295" s="910">
        <f t="shared" si="39"/>
        <v>0</v>
      </c>
      <c r="Q295" s="910">
        <f t="shared" si="40"/>
        <v>479</v>
      </c>
      <c r="R295" s="1344">
        <f t="shared" si="41"/>
        <v>2.1</v>
      </c>
      <c r="S295" s="1344">
        <f>(1/9)*cnst_fish!$C$7*(1/cnst_fish!$C$8)^(R295-1)</f>
        <v>1.7754076320174161</v>
      </c>
      <c r="T295" s="1362">
        <f t="shared" si="42"/>
        <v>73.474722686510987</v>
      </c>
      <c r="W295" s="1612"/>
      <c r="X295" s="1612"/>
      <c r="Y295" s="1613"/>
      <c r="Z295" s="1614"/>
      <c r="AA295" s="1614"/>
      <c r="AB295" s="1615"/>
      <c r="AC295" s="1615"/>
      <c r="AD295" s="583"/>
      <c r="AE295" s="583"/>
    </row>
    <row r="296" spans="1:31" ht="14">
      <c r="A296" s="1384" t="s">
        <v>789</v>
      </c>
      <c r="B296" s="19" t="s">
        <v>3592</v>
      </c>
      <c r="C296" s="1383">
        <v>2748</v>
      </c>
      <c r="D296" s="1236"/>
      <c r="E296" s="1236"/>
      <c r="F296" s="1344">
        <f>(1/S296)*cnst_fish!$C$6</f>
        <v>8.6914222116951781E-2</v>
      </c>
      <c r="G296" s="1344">
        <f t="shared" si="44"/>
        <v>1</v>
      </c>
      <c r="H296" s="1344">
        <f t="shared" si="44"/>
        <v>0.367192066876738</v>
      </c>
      <c r="I296" s="1344">
        <f t="shared" si="37"/>
        <v>0</v>
      </c>
      <c r="J296" s="902">
        <f t="shared" si="38"/>
        <v>0</v>
      </c>
      <c r="L296" s="1460">
        <v>0</v>
      </c>
      <c r="M296" s="1236"/>
      <c r="N296" s="1240" t="s">
        <v>2429</v>
      </c>
      <c r="O296" s="1241"/>
      <c r="P296" s="910">
        <f t="shared" si="39"/>
        <v>0</v>
      </c>
      <c r="Q296" s="910">
        <f t="shared" si="40"/>
        <v>0</v>
      </c>
      <c r="R296" s="1344">
        <f t="shared" si="41"/>
        <v>3.54</v>
      </c>
      <c r="S296" s="1344">
        <f>(1/9)*cnst_fish!$C$7*(1/cnst_fish!$C$8)^(R296-1)</f>
        <v>48.898786602280119</v>
      </c>
      <c r="T296" s="1362">
        <f t="shared" si="42"/>
        <v>0</v>
      </c>
      <c r="W296" s="1612"/>
      <c r="X296" s="1612"/>
      <c r="Y296" s="1613"/>
      <c r="Z296" s="1614"/>
      <c r="AA296" s="1614"/>
      <c r="AB296" s="1615"/>
      <c r="AC296" s="1615"/>
      <c r="AD296" s="583"/>
      <c r="AE296" s="583"/>
    </row>
    <row r="297" spans="1:31" ht="14">
      <c r="A297" s="1384" t="s">
        <v>6454</v>
      </c>
      <c r="B297" s="19" t="s">
        <v>6453</v>
      </c>
      <c r="C297" s="1383">
        <v>16169</v>
      </c>
      <c r="D297" s="1236"/>
      <c r="E297" s="1236"/>
      <c r="F297" s="1344">
        <f>(1/S297)*cnst_fish!$C$6</f>
        <v>3.0136363636363641</v>
      </c>
      <c r="G297" s="1344">
        <f t="shared" si="44"/>
        <v>1</v>
      </c>
      <c r="H297" s="1344">
        <f t="shared" si="44"/>
        <v>0.367192066876738</v>
      </c>
      <c r="I297" s="1344">
        <f t="shared" si="37"/>
        <v>0</v>
      </c>
      <c r="J297" s="902">
        <f t="shared" si="38"/>
        <v>0</v>
      </c>
      <c r="L297" s="1460">
        <v>0</v>
      </c>
      <c r="M297" s="1236"/>
      <c r="N297" s="1240" t="s">
        <v>2430</v>
      </c>
      <c r="O297" s="1241" t="s">
        <v>4840</v>
      </c>
      <c r="P297" s="910">
        <f t="shared" si="39"/>
        <v>0</v>
      </c>
      <c r="Q297" s="910">
        <f t="shared" si="40"/>
        <v>0</v>
      </c>
      <c r="R297" s="1344">
        <f t="shared" si="41"/>
        <v>2</v>
      </c>
      <c r="S297" s="1344">
        <f>(1/9)*cnst_fish!$C$7*(1/cnst_fish!$C$8)^(R297-1)</f>
        <v>1.4102564102564099</v>
      </c>
      <c r="T297" s="1362">
        <f t="shared" si="42"/>
        <v>0</v>
      </c>
      <c r="W297" s="1612"/>
      <c r="X297" s="1612"/>
      <c r="Y297" s="1613"/>
      <c r="Z297" s="1614"/>
      <c r="AA297" s="1614"/>
      <c r="AB297" s="1615"/>
      <c r="AC297" s="1615"/>
      <c r="AD297" s="583"/>
      <c r="AE297" s="583"/>
    </row>
    <row r="298" spans="1:31" ht="14">
      <c r="A298" s="1585" t="s">
        <v>8516</v>
      </c>
      <c r="B298" s="1586" t="s">
        <v>8517</v>
      </c>
      <c r="C298" s="1383">
        <v>11148</v>
      </c>
      <c r="D298" s="1236"/>
      <c r="E298" s="1236">
        <v>117</v>
      </c>
      <c r="F298" s="1344">
        <f>(1/S298)*cnst_fish!$C$6</f>
        <v>3.0136363636363641</v>
      </c>
      <c r="G298" s="1344">
        <f t="shared" si="44"/>
        <v>1</v>
      </c>
      <c r="H298" s="1344">
        <f t="shared" si="44"/>
        <v>0.367192066876738</v>
      </c>
      <c r="I298" s="1344">
        <f t="shared" si="37"/>
        <v>0</v>
      </c>
      <c r="J298" s="902">
        <f t="shared" si="38"/>
        <v>14.255692008155709</v>
      </c>
      <c r="L298" s="1460"/>
      <c r="M298" s="1236">
        <v>117</v>
      </c>
      <c r="N298" s="1240" t="s">
        <v>5365</v>
      </c>
      <c r="O298" s="1241" t="s">
        <v>4845</v>
      </c>
      <c r="P298" s="910">
        <f t="shared" si="39"/>
        <v>117</v>
      </c>
      <c r="Q298" s="910">
        <f t="shared" si="40"/>
        <v>117</v>
      </c>
      <c r="R298" s="1344">
        <f t="shared" si="41"/>
        <v>2</v>
      </c>
      <c r="S298" s="1344">
        <f>(1/9)*cnst_fish!$C$7*(1/cnst_fish!$C$8)^(R298-1)</f>
        <v>1.4102564102564099</v>
      </c>
      <c r="T298" s="1362">
        <f t="shared" si="42"/>
        <v>14.255692008155709</v>
      </c>
      <c r="W298" s="1616"/>
      <c r="X298" s="1616"/>
      <c r="Y298" s="1613"/>
      <c r="Z298" s="1614"/>
      <c r="AA298" s="1614"/>
      <c r="AB298" s="1615"/>
      <c r="AC298" s="1615"/>
      <c r="AD298" s="583"/>
      <c r="AE298" s="583"/>
    </row>
    <row r="299" spans="1:31" ht="14">
      <c r="A299" s="1384" t="s">
        <v>223</v>
      </c>
      <c r="B299" s="19" t="s">
        <v>5378</v>
      </c>
      <c r="C299" s="1383">
        <v>2896</v>
      </c>
      <c r="D299" s="1236"/>
      <c r="E299" s="1236"/>
      <c r="F299" s="1344">
        <f>(1/S299)*cnst_fish!$C$6</f>
        <v>0.16946922663690964</v>
      </c>
      <c r="G299" s="1344">
        <f t="shared" si="44"/>
        <v>1</v>
      </c>
      <c r="H299" s="1344">
        <f t="shared" si="44"/>
        <v>0.367192066876738</v>
      </c>
      <c r="I299" s="1344">
        <f t="shared" si="37"/>
        <v>0</v>
      </c>
      <c r="J299" s="902">
        <f t="shared" si="38"/>
        <v>0</v>
      </c>
      <c r="L299" s="1460"/>
      <c r="M299" s="1236">
        <v>350</v>
      </c>
      <c r="N299" s="1240" t="s">
        <v>1806</v>
      </c>
      <c r="O299" s="1241" t="s">
        <v>4845</v>
      </c>
      <c r="P299" s="910">
        <f t="shared" si="39"/>
        <v>0</v>
      </c>
      <c r="Q299" s="910">
        <f t="shared" si="40"/>
        <v>350</v>
      </c>
      <c r="R299" s="1344">
        <f t="shared" si="41"/>
        <v>3.25</v>
      </c>
      <c r="S299" s="1344">
        <f>(1/9)*cnst_fish!$C$7*(1/cnst_fish!$C$8)^(R299-1)</f>
        <v>25.078299372343796</v>
      </c>
      <c r="T299" s="1362">
        <f t="shared" si="42"/>
        <v>758.35138896460762</v>
      </c>
      <c r="W299" s="1612"/>
      <c r="X299" s="1612"/>
      <c r="Y299" s="1613"/>
      <c r="Z299" s="1614"/>
      <c r="AA299" s="1614"/>
      <c r="AB299" s="1615"/>
      <c r="AC299" s="1615"/>
      <c r="AD299" s="583"/>
      <c r="AE299" s="583"/>
    </row>
    <row r="300" spans="1:31" ht="14">
      <c r="A300" s="1384" t="s">
        <v>2367</v>
      </c>
      <c r="B300" s="19" t="s">
        <v>4987</v>
      </c>
      <c r="C300" s="1383">
        <v>2953</v>
      </c>
      <c r="D300" s="1236"/>
      <c r="E300" s="1236">
        <v>29</v>
      </c>
      <c r="F300" s="1344">
        <f>(1/S300)*cnst_fish!$C$6</f>
        <v>0.30838329721915442</v>
      </c>
      <c r="G300" s="1344">
        <f t="shared" si="44"/>
        <v>1</v>
      </c>
      <c r="H300" s="1344">
        <f t="shared" si="44"/>
        <v>0.367192066876738</v>
      </c>
      <c r="I300" s="1344">
        <f t="shared" si="37"/>
        <v>0</v>
      </c>
      <c r="J300" s="902">
        <f t="shared" si="38"/>
        <v>34.530307041428159</v>
      </c>
      <c r="L300" s="1460"/>
      <c r="M300" s="1236">
        <v>29</v>
      </c>
      <c r="N300" s="1240" t="s">
        <v>1806</v>
      </c>
      <c r="O300" s="1241" t="s">
        <v>4845</v>
      </c>
      <c r="P300" s="910">
        <f t="shared" si="39"/>
        <v>29</v>
      </c>
      <c r="Q300" s="910">
        <f t="shared" si="40"/>
        <v>29</v>
      </c>
      <c r="R300" s="1344">
        <f t="shared" si="41"/>
        <v>2.99</v>
      </c>
      <c r="S300" s="1344">
        <f>(1/9)*cnst_fish!$C$7*(1/cnst_fish!$C$8)^(R300-1)</f>
        <v>13.781550551940924</v>
      </c>
      <c r="T300" s="1362">
        <f t="shared" si="42"/>
        <v>34.530307041428159</v>
      </c>
      <c r="W300" s="1612"/>
      <c r="X300" s="1612"/>
      <c r="Y300" s="1613"/>
      <c r="Z300" s="1614"/>
      <c r="AA300" s="1614"/>
      <c r="AB300" s="1615"/>
      <c r="AC300" s="1615"/>
      <c r="AD300" s="583"/>
      <c r="AE300" s="583"/>
    </row>
    <row r="301" spans="1:31" ht="14">
      <c r="A301" s="1384" t="s">
        <v>1675</v>
      </c>
      <c r="B301" s="19" t="s">
        <v>2581</v>
      </c>
      <c r="C301" s="1383">
        <v>18760</v>
      </c>
      <c r="D301" s="1236">
        <v>0</v>
      </c>
      <c r="E301" s="1236"/>
      <c r="F301" s="1344">
        <f>(1/S301)*cnst_fish!$C$6</f>
        <v>7.2292101150450983E-2</v>
      </c>
      <c r="G301" s="1344">
        <f t="shared" si="44"/>
        <v>1</v>
      </c>
      <c r="H301" s="1344">
        <f t="shared" si="44"/>
        <v>0.367192066876738</v>
      </c>
      <c r="I301" s="1344">
        <f t="shared" si="37"/>
        <v>0</v>
      </c>
      <c r="J301" s="902">
        <f t="shared" si="38"/>
        <v>0</v>
      </c>
      <c r="L301" s="1460">
        <v>0</v>
      </c>
      <c r="M301" s="1236"/>
      <c r="N301" s="1240" t="s">
        <v>1806</v>
      </c>
      <c r="O301" s="1241" t="s">
        <v>4841</v>
      </c>
      <c r="P301" s="910">
        <f t="shared" si="39"/>
        <v>0</v>
      </c>
      <c r="Q301" s="910">
        <f t="shared" si="40"/>
        <v>0</v>
      </c>
      <c r="R301" s="1344">
        <f t="shared" si="41"/>
        <v>3.62</v>
      </c>
      <c r="S301" s="1344">
        <f>(1/9)*cnst_fish!$C$7*(1/cnst_fish!$C$8)^(R301-1)</f>
        <v>58.789272027867845</v>
      </c>
      <c r="T301" s="1362">
        <f t="shared" si="42"/>
        <v>0</v>
      </c>
      <c r="W301" s="1612"/>
      <c r="X301" s="1612"/>
      <c r="Y301" s="1613"/>
      <c r="Z301" s="1614"/>
      <c r="AA301" s="1614"/>
      <c r="AB301" s="1615"/>
      <c r="AC301" s="1615"/>
      <c r="AD301" s="583"/>
      <c r="AE301" s="583"/>
    </row>
    <row r="302" spans="1:31" ht="14">
      <c r="A302" s="1384" t="s">
        <v>2369</v>
      </c>
      <c r="B302" s="19" t="s">
        <v>2370</v>
      </c>
      <c r="C302" s="1383">
        <v>11161</v>
      </c>
      <c r="D302" s="1236">
        <v>162</v>
      </c>
      <c r="E302" s="1236"/>
      <c r="F302" s="1344">
        <f>(1/S302)*cnst_fish!$C$6</f>
        <v>4.6675700833589753E-2</v>
      </c>
      <c r="G302" s="1344">
        <f t="shared" si="44"/>
        <v>1</v>
      </c>
      <c r="H302" s="1344">
        <f t="shared" si="44"/>
        <v>0.367192066876738</v>
      </c>
      <c r="I302" s="1344">
        <f t="shared" si="37"/>
        <v>1274.4343153220234</v>
      </c>
      <c r="J302" s="902">
        <f t="shared" si="38"/>
        <v>0</v>
      </c>
      <c r="L302" s="1460">
        <v>162</v>
      </c>
      <c r="M302" s="1236"/>
      <c r="N302" s="1240" t="s">
        <v>1806</v>
      </c>
      <c r="O302" s="1241" t="s">
        <v>4841</v>
      </c>
      <c r="P302" s="910">
        <f t="shared" si="39"/>
        <v>162</v>
      </c>
      <c r="Q302" s="910">
        <f t="shared" si="40"/>
        <v>162</v>
      </c>
      <c r="R302" s="1344">
        <f t="shared" si="41"/>
        <v>3.81</v>
      </c>
      <c r="S302" s="1344">
        <f>(1/9)*cnst_fish!$C$7*(1/cnst_fish!$C$8)^(R302-1)</f>
        <v>91.053801530528389</v>
      </c>
      <c r="T302" s="1362">
        <f t="shared" si="42"/>
        <v>1274.4343153220234</v>
      </c>
      <c r="W302" s="1612"/>
      <c r="X302" s="1612"/>
      <c r="Y302" s="1613"/>
      <c r="Z302" s="1614"/>
      <c r="AA302" s="1614"/>
      <c r="AB302" s="1615"/>
      <c r="AC302" s="1615"/>
      <c r="AD302" s="583"/>
      <c r="AE302" s="583"/>
    </row>
    <row r="303" spans="1:31" ht="14">
      <c r="A303" s="1384" t="s">
        <v>2216</v>
      </c>
      <c r="B303" s="19" t="s">
        <v>2582</v>
      </c>
      <c r="C303" s="1383">
        <v>11162</v>
      </c>
      <c r="D303" s="1236">
        <v>1</v>
      </c>
      <c r="E303" s="1236"/>
      <c r="F303" s="1344">
        <f>(1/S303)*cnst_fish!$C$6</f>
        <v>3.7939434000887833E-2</v>
      </c>
      <c r="G303" s="1344">
        <f t="shared" si="44"/>
        <v>1</v>
      </c>
      <c r="H303" s="1344">
        <f t="shared" si="44"/>
        <v>0.367192066876738</v>
      </c>
      <c r="I303" s="1344">
        <f t="shared" si="37"/>
        <v>9.6783749295823771</v>
      </c>
      <c r="J303" s="902">
        <f t="shared" si="38"/>
        <v>0</v>
      </c>
      <c r="L303" s="1460">
        <v>1689</v>
      </c>
      <c r="M303" s="1236"/>
      <c r="N303" s="1240" t="s">
        <v>1806</v>
      </c>
      <c r="O303" s="1241" t="s">
        <v>4841</v>
      </c>
      <c r="P303" s="910">
        <f t="shared" si="39"/>
        <v>1</v>
      </c>
      <c r="Q303" s="910">
        <f t="shared" si="40"/>
        <v>1689</v>
      </c>
      <c r="R303" s="1344">
        <f t="shared" si="41"/>
        <v>3.9</v>
      </c>
      <c r="S303" s="1344">
        <f>(1/9)*cnst_fish!$C$7*(1/cnst_fish!$C$8)^(R303-1)</f>
        <v>112.02064848675771</v>
      </c>
      <c r="T303" s="1362">
        <f t="shared" si="42"/>
        <v>16346.775256064635</v>
      </c>
      <c r="W303" s="1612"/>
      <c r="X303" s="1612"/>
      <c r="Y303" s="1613"/>
      <c r="Z303" s="1614"/>
      <c r="AA303" s="1614"/>
      <c r="AB303" s="1615"/>
      <c r="AC303" s="1615"/>
      <c r="AD303" s="583"/>
      <c r="AE303" s="583"/>
    </row>
    <row r="304" spans="1:31" ht="14">
      <c r="A304" s="1585" t="s">
        <v>8518</v>
      </c>
      <c r="B304" s="1586" t="s">
        <v>8519</v>
      </c>
      <c r="C304" s="1383">
        <v>11165</v>
      </c>
      <c r="D304" s="1236"/>
      <c r="E304" s="1236"/>
      <c r="F304" s="1344">
        <f>(1/S304)*cnst_fish!$C$6</f>
        <v>0.11997502458044032</v>
      </c>
      <c r="G304" s="1344">
        <f t="shared" si="44"/>
        <v>1</v>
      </c>
      <c r="H304" s="1344">
        <f t="shared" si="44"/>
        <v>0.367192066876738</v>
      </c>
      <c r="I304" s="1344">
        <f t="shared" si="37"/>
        <v>0</v>
      </c>
      <c r="J304" s="902">
        <f t="shared" si="38"/>
        <v>0</v>
      </c>
      <c r="L304" s="1460">
        <v>44</v>
      </c>
      <c r="M304" s="1236"/>
      <c r="N304" s="1240" t="s">
        <v>1806</v>
      </c>
      <c r="O304" s="1241" t="s">
        <v>4841</v>
      </c>
      <c r="P304" s="910">
        <f t="shared" si="39"/>
        <v>0</v>
      </c>
      <c r="Q304" s="910">
        <f t="shared" si="40"/>
        <v>44</v>
      </c>
      <c r="R304" s="1344">
        <f t="shared" si="41"/>
        <v>3.4</v>
      </c>
      <c r="S304" s="1344">
        <f>(1/9)*cnst_fish!$C$7*(1/cnst_fish!$C$8)^(R304-1)</f>
        <v>35.424039418724846</v>
      </c>
      <c r="T304" s="1362">
        <f t="shared" si="42"/>
        <v>134.66511883682898</v>
      </c>
      <c r="W304" s="1616"/>
      <c r="X304" s="1616"/>
      <c r="Y304" s="1613"/>
      <c r="Z304" s="1614"/>
      <c r="AA304" s="1614"/>
      <c r="AB304" s="1615"/>
      <c r="AC304" s="1615"/>
      <c r="AD304" s="583"/>
      <c r="AE304" s="583"/>
    </row>
    <row r="305" spans="1:31" ht="14">
      <c r="A305" s="1384" t="s">
        <v>1786</v>
      </c>
      <c r="B305" s="19" t="s">
        <v>2583</v>
      </c>
      <c r="C305" s="1383">
        <v>11168</v>
      </c>
      <c r="D305" s="1236"/>
      <c r="E305" s="1236"/>
      <c r="F305" s="1344">
        <f>(1/S305)*cnst_fish!$C$6</f>
        <v>8.1113071591070229E-2</v>
      </c>
      <c r="G305" s="1344">
        <f t="shared" si="44"/>
        <v>1</v>
      </c>
      <c r="H305" s="1344">
        <f t="shared" si="44"/>
        <v>0.367192066876738</v>
      </c>
      <c r="I305" s="1344">
        <f t="shared" si="37"/>
        <v>0</v>
      </c>
      <c r="J305" s="902">
        <f t="shared" si="38"/>
        <v>0</v>
      </c>
      <c r="L305" s="1460">
        <v>28</v>
      </c>
      <c r="M305" s="1236"/>
      <c r="N305" s="1240" t="s">
        <v>1806</v>
      </c>
      <c r="O305" s="1241" t="s">
        <v>4841</v>
      </c>
      <c r="P305" s="910">
        <f t="shared" si="39"/>
        <v>0</v>
      </c>
      <c r="Q305" s="910">
        <f t="shared" si="40"/>
        <v>28</v>
      </c>
      <c r="R305" s="1344">
        <f t="shared" si="41"/>
        <v>3.57</v>
      </c>
      <c r="S305" s="1344">
        <f>(1/9)*cnst_fish!$C$7*(1/cnst_fish!$C$8)^(R305-1)</f>
        <v>52.395993847037154</v>
      </c>
      <c r="T305" s="1362">
        <f t="shared" si="42"/>
        <v>126.75364982332323</v>
      </c>
      <c r="W305" s="1612"/>
      <c r="X305" s="1612"/>
      <c r="Y305" s="1613"/>
      <c r="Z305" s="1614"/>
      <c r="AA305" s="1614"/>
      <c r="AB305" s="1615"/>
      <c r="AC305" s="1615"/>
      <c r="AD305" s="583"/>
      <c r="AE305" s="583"/>
    </row>
    <row r="306" spans="1:31" ht="14">
      <c r="A306" s="1384" t="s">
        <v>3776</v>
      </c>
      <c r="B306" s="19" t="s">
        <v>2584</v>
      </c>
      <c r="C306" s="1383">
        <v>3644</v>
      </c>
      <c r="D306" s="1236"/>
      <c r="E306" s="1236"/>
      <c r="F306" s="1344">
        <f>(1/S306)*cnst_fish!$C$6</f>
        <v>4.6675700833589753E-2</v>
      </c>
      <c r="G306" s="1344">
        <f t="shared" si="44"/>
        <v>1</v>
      </c>
      <c r="H306" s="1344">
        <f t="shared" si="44"/>
        <v>0.367192066876738</v>
      </c>
      <c r="I306" s="1344">
        <f t="shared" si="37"/>
        <v>0</v>
      </c>
      <c r="J306" s="902">
        <f t="shared" si="38"/>
        <v>0</v>
      </c>
      <c r="L306" s="1460">
        <v>409</v>
      </c>
      <c r="M306" s="1236"/>
      <c r="N306" s="1240" t="s">
        <v>1806</v>
      </c>
      <c r="O306" s="1241" t="s">
        <v>4841</v>
      </c>
      <c r="P306" s="910">
        <f t="shared" si="39"/>
        <v>0</v>
      </c>
      <c r="Q306" s="910">
        <f t="shared" si="40"/>
        <v>409</v>
      </c>
      <c r="R306" s="1344">
        <f t="shared" si="41"/>
        <v>3.81</v>
      </c>
      <c r="S306" s="1344">
        <f>(1/9)*cnst_fish!$C$7*(1/cnst_fish!$C$8)^(R306-1)</f>
        <v>91.053801530528389</v>
      </c>
      <c r="T306" s="1362">
        <f t="shared" si="42"/>
        <v>3217.5533022636273</v>
      </c>
      <c r="W306" s="1612"/>
      <c r="X306" s="1612"/>
      <c r="Y306" s="1613"/>
      <c r="Z306" s="1614"/>
      <c r="AA306" s="1614"/>
      <c r="AB306" s="1615"/>
      <c r="AC306" s="1615"/>
      <c r="AD306" s="583"/>
      <c r="AE306" s="583"/>
    </row>
    <row r="307" spans="1:31" ht="14">
      <c r="A307" s="1384" t="s">
        <v>6818</v>
      </c>
      <c r="B307" s="19" t="s">
        <v>6817</v>
      </c>
      <c r="C307" s="1383">
        <v>11175</v>
      </c>
      <c r="D307" s="1236"/>
      <c r="E307" s="1236"/>
      <c r="F307" s="1344">
        <f>(1/S307)*cnst_fish!$C$6</f>
        <v>9.5299549485983348E-2</v>
      </c>
      <c r="G307" s="1344">
        <f t="shared" si="44"/>
        <v>1</v>
      </c>
      <c r="H307" s="1344">
        <f t="shared" si="44"/>
        <v>0.367192066876738</v>
      </c>
      <c r="I307" s="1344">
        <f t="shared" si="37"/>
        <v>0</v>
      </c>
      <c r="J307" s="902">
        <f t="shared" si="38"/>
        <v>0</v>
      </c>
      <c r="L307" s="1460">
        <v>41</v>
      </c>
      <c r="M307" s="1236"/>
      <c r="N307" s="1240" t="s">
        <v>1806</v>
      </c>
      <c r="O307" s="1241" t="s">
        <v>4841</v>
      </c>
      <c r="P307" s="910">
        <f t="shared" si="39"/>
        <v>0</v>
      </c>
      <c r="Q307" s="910">
        <f t="shared" si="40"/>
        <v>41</v>
      </c>
      <c r="R307" s="1344">
        <f t="shared" si="41"/>
        <v>3.5</v>
      </c>
      <c r="S307" s="1344">
        <f>(1/9)*cnst_fish!$C$7*(1/cnst_fish!$C$8)^(R307-1)</f>
        <v>44.596223412631026</v>
      </c>
      <c r="T307" s="1362">
        <f t="shared" si="42"/>
        <v>157.97424880964971</v>
      </c>
      <c r="W307" s="1612"/>
      <c r="X307" s="1612"/>
      <c r="Y307" s="1613"/>
      <c r="Z307" s="1614"/>
      <c r="AA307" s="1614"/>
      <c r="AB307" s="1615"/>
      <c r="AC307" s="1615"/>
      <c r="AD307" s="583"/>
      <c r="AE307" s="583"/>
    </row>
    <row r="308" spans="1:31" ht="14">
      <c r="A308" s="1384" t="s">
        <v>488</v>
      </c>
      <c r="B308" s="19" t="s">
        <v>2585</v>
      </c>
      <c r="C308" s="1383">
        <v>3316</v>
      </c>
      <c r="D308" s="1236"/>
      <c r="E308" s="1236"/>
      <c r="F308" s="1344">
        <f>(1/S308)*cnst_fish!$C$6</f>
        <v>5.7423657091346926E-2</v>
      </c>
      <c r="G308" s="1344">
        <f t="shared" ref="G308:H327" si="45">G$7</f>
        <v>1</v>
      </c>
      <c r="H308" s="1344">
        <f t="shared" si="45"/>
        <v>0.367192066876738</v>
      </c>
      <c r="I308" s="1344">
        <f t="shared" si="37"/>
        <v>0</v>
      </c>
      <c r="J308" s="902">
        <f t="shared" si="38"/>
        <v>0</v>
      </c>
      <c r="L308" s="1460">
        <v>204</v>
      </c>
      <c r="M308" s="1236"/>
      <c r="N308" s="1240" t="s">
        <v>1806</v>
      </c>
      <c r="O308" s="1241" t="s">
        <v>4841</v>
      </c>
      <c r="P308" s="910">
        <f t="shared" si="39"/>
        <v>0</v>
      </c>
      <c r="Q308" s="910">
        <f t="shared" si="40"/>
        <v>204</v>
      </c>
      <c r="R308" s="1344">
        <f t="shared" si="41"/>
        <v>3.72</v>
      </c>
      <c r="S308" s="1344">
        <f>(1/9)*cnst_fish!$C$7*(1/cnst_fish!$C$8)^(R308-1)</f>
        <v>74.011308496762837</v>
      </c>
      <c r="T308" s="1362">
        <f t="shared" si="42"/>
        <v>1304.4655362805549</v>
      </c>
      <c r="W308" s="1612"/>
      <c r="X308" s="1612"/>
      <c r="Y308" s="1613"/>
      <c r="Z308" s="1614"/>
      <c r="AA308" s="1614"/>
      <c r="AB308" s="1615"/>
      <c r="AC308" s="1615"/>
      <c r="AD308" s="583"/>
      <c r="AE308" s="583"/>
    </row>
    <row r="309" spans="1:31" ht="14">
      <c r="A309" s="1384" t="s">
        <v>710</v>
      </c>
      <c r="B309" s="19" t="s">
        <v>2586</v>
      </c>
      <c r="C309" s="1383">
        <v>11176</v>
      </c>
      <c r="D309" s="1236"/>
      <c r="E309" s="1236"/>
      <c r="F309" s="1344">
        <f>(1/S309)*cnst_fish!$C$6</f>
        <v>3.6231878188697476E-2</v>
      </c>
      <c r="G309" s="1344">
        <f t="shared" si="45"/>
        <v>1</v>
      </c>
      <c r="H309" s="1344">
        <f t="shared" si="45"/>
        <v>0.367192066876738</v>
      </c>
      <c r="I309" s="1344">
        <f t="shared" si="37"/>
        <v>0</v>
      </c>
      <c r="J309" s="902">
        <f t="shared" si="38"/>
        <v>0</v>
      </c>
      <c r="L309" s="1460">
        <v>0</v>
      </c>
      <c r="M309" s="1236"/>
      <c r="N309" s="1240" t="s">
        <v>1806</v>
      </c>
      <c r="O309" s="1241" t="s">
        <v>4841</v>
      </c>
      <c r="P309" s="910">
        <f t="shared" si="39"/>
        <v>0</v>
      </c>
      <c r="Q309" s="910">
        <f t="shared" si="40"/>
        <v>0</v>
      </c>
      <c r="R309" s="1344">
        <f t="shared" si="41"/>
        <v>3.92</v>
      </c>
      <c r="S309" s="1344">
        <f>(1/9)*cnst_fish!$C$7*(1/cnst_fish!$C$8)^(R309-1)</f>
        <v>117.30001900165877</v>
      </c>
      <c r="T309" s="1362">
        <f t="shared" si="42"/>
        <v>0</v>
      </c>
      <c r="W309" s="1612"/>
      <c r="X309" s="1612"/>
      <c r="Y309" s="1613"/>
      <c r="Z309" s="1614"/>
      <c r="AA309" s="1614"/>
      <c r="AB309" s="1615"/>
      <c r="AC309" s="1615"/>
      <c r="AD309" s="583"/>
      <c r="AE309" s="583"/>
    </row>
    <row r="310" spans="1:31" ht="14">
      <c r="A310" s="1384" t="s">
        <v>1596</v>
      </c>
      <c r="B310" s="19" t="s">
        <v>739</v>
      </c>
      <c r="C310" s="1383">
        <v>2835</v>
      </c>
      <c r="D310" s="1236"/>
      <c r="E310" s="1236"/>
      <c r="F310" s="1344">
        <f>(1/S310)*cnst_fish!$C$6</f>
        <v>2.234039499920492E-2</v>
      </c>
      <c r="G310" s="1344">
        <f t="shared" si="45"/>
        <v>1</v>
      </c>
      <c r="H310" s="1344">
        <f t="shared" si="45"/>
        <v>0.367192066876738</v>
      </c>
      <c r="I310" s="1344">
        <f t="shared" si="37"/>
        <v>0</v>
      </c>
      <c r="J310" s="902">
        <f t="shared" si="38"/>
        <v>0</v>
      </c>
      <c r="L310" s="1460">
        <v>5</v>
      </c>
      <c r="M310" s="1236"/>
      <c r="N310" s="1240" t="s">
        <v>3927</v>
      </c>
      <c r="O310" s="1241" t="s">
        <v>4841</v>
      </c>
      <c r="P310" s="910">
        <f t="shared" si="39"/>
        <v>0</v>
      </c>
      <c r="Q310" s="910">
        <f t="shared" si="40"/>
        <v>5</v>
      </c>
      <c r="R310" s="1344">
        <f t="shared" si="41"/>
        <v>4.13</v>
      </c>
      <c r="S310" s="1344">
        <f>(1/9)*cnst_fish!$C$7*(1/cnst_fish!$C$8)^(R310-1)</f>
        <v>190.23835523728451</v>
      </c>
      <c r="T310" s="1362">
        <f t="shared" si="42"/>
        <v>82.18119395154072</v>
      </c>
      <c r="W310" s="1612"/>
      <c r="X310" s="1612"/>
      <c r="Y310" s="1613"/>
      <c r="Z310" s="1614"/>
      <c r="AA310" s="1614"/>
      <c r="AB310" s="1615"/>
      <c r="AC310" s="1615"/>
      <c r="AD310" s="583"/>
      <c r="AE310" s="583"/>
    </row>
    <row r="311" spans="1:31" ht="14">
      <c r="A311" s="1384" t="s">
        <v>4066</v>
      </c>
      <c r="B311" s="19" t="s">
        <v>1057</v>
      </c>
      <c r="C311" s="1383">
        <v>2837</v>
      </c>
      <c r="D311" s="1236"/>
      <c r="E311" s="1236"/>
      <c r="F311" s="1344">
        <f>(1/S311)*cnst_fish!$C$6</f>
        <v>1.1196720767792065E-2</v>
      </c>
      <c r="G311" s="1344">
        <f t="shared" si="45"/>
        <v>1</v>
      </c>
      <c r="H311" s="1344">
        <f t="shared" si="45"/>
        <v>0.367192066876738</v>
      </c>
      <c r="I311" s="1344">
        <f t="shared" si="37"/>
        <v>0</v>
      </c>
      <c r="J311" s="902">
        <f t="shared" si="38"/>
        <v>0</v>
      </c>
      <c r="L311" s="1460">
        <v>559</v>
      </c>
      <c r="M311" s="1236"/>
      <c r="N311" s="1240" t="s">
        <v>3927</v>
      </c>
      <c r="O311" s="1241" t="s">
        <v>4841</v>
      </c>
      <c r="P311" s="910">
        <f t="shared" si="39"/>
        <v>0</v>
      </c>
      <c r="Q311" s="910">
        <f t="shared" si="40"/>
        <v>559</v>
      </c>
      <c r="R311" s="1344">
        <f t="shared" si="41"/>
        <v>4.43</v>
      </c>
      <c r="S311" s="1344">
        <f>(1/9)*cnst_fish!$C$7*(1/cnst_fish!$C$8)^(R311-1)</f>
        <v>379.57542106661629</v>
      </c>
      <c r="T311" s="1362">
        <f t="shared" si="42"/>
        <v>18332.185792695516</v>
      </c>
      <c r="W311" s="1612"/>
      <c r="X311" s="1612"/>
      <c r="Y311" s="1613"/>
      <c r="Z311" s="1614"/>
      <c r="AA311" s="1614"/>
      <c r="AB311" s="1615"/>
      <c r="AC311" s="1615"/>
      <c r="AD311" s="583"/>
      <c r="AE311" s="583"/>
    </row>
    <row r="312" spans="1:31" ht="14">
      <c r="A312" s="1384" t="s">
        <v>3135</v>
      </c>
      <c r="B312" s="19" t="s">
        <v>740</v>
      </c>
      <c r="C312" s="1383">
        <v>2036</v>
      </c>
      <c r="D312" s="1236"/>
      <c r="E312" s="1236"/>
      <c r="F312" s="1344">
        <f>(1/S312)*cnst_fish!$C$6</f>
        <v>1.8158954798513597E-2</v>
      </c>
      <c r="G312" s="1344">
        <f t="shared" si="45"/>
        <v>1</v>
      </c>
      <c r="H312" s="1344">
        <f t="shared" si="45"/>
        <v>0.367192066876738</v>
      </c>
      <c r="I312" s="1344">
        <f t="shared" si="37"/>
        <v>0</v>
      </c>
      <c r="J312" s="902">
        <f t="shared" si="38"/>
        <v>0</v>
      </c>
      <c r="L312" s="1460">
        <v>120</v>
      </c>
      <c r="M312" s="1236"/>
      <c r="N312" s="1240" t="s">
        <v>3927</v>
      </c>
      <c r="O312" s="1241" t="s">
        <v>4841</v>
      </c>
      <c r="P312" s="910">
        <f t="shared" si="39"/>
        <v>0</v>
      </c>
      <c r="Q312" s="910">
        <f t="shared" si="40"/>
        <v>120</v>
      </c>
      <c r="R312" s="1344">
        <f t="shared" si="41"/>
        <v>4.22</v>
      </c>
      <c r="S312" s="1344">
        <f>(1/9)*cnst_fish!$C$7*(1/cnst_fish!$C$8)^(R312-1)</f>
        <v>234.0443074591432</v>
      </c>
      <c r="T312" s="1362">
        <f t="shared" si="42"/>
        <v>2426.5189551997423</v>
      </c>
      <c r="W312" s="1612"/>
      <c r="X312" s="1612"/>
      <c r="Y312" s="1613"/>
      <c r="Z312" s="1614"/>
      <c r="AA312" s="1614"/>
      <c r="AB312" s="1615"/>
      <c r="AC312" s="1615"/>
      <c r="AD312" s="583"/>
      <c r="AE312" s="583"/>
    </row>
    <row r="313" spans="1:31" ht="14">
      <c r="A313" s="1384" t="s">
        <v>1643</v>
      </c>
      <c r="B313" s="19" t="s">
        <v>2421</v>
      </c>
      <c r="C313" s="1383">
        <v>3066</v>
      </c>
      <c r="D313" s="1236"/>
      <c r="E313" s="1236"/>
      <c r="F313" s="1344">
        <f>(1/S313)*cnst_fish!$C$6</f>
        <v>2.5650205424007942E-2</v>
      </c>
      <c r="G313" s="1344">
        <f t="shared" si="45"/>
        <v>1</v>
      </c>
      <c r="H313" s="1344">
        <f t="shared" si="45"/>
        <v>0.367192066876738</v>
      </c>
      <c r="I313" s="1344">
        <f t="shared" si="37"/>
        <v>0</v>
      </c>
      <c r="J313" s="902">
        <f t="shared" si="38"/>
        <v>0</v>
      </c>
      <c r="L313" s="1460">
        <v>12475</v>
      </c>
      <c r="M313" s="1236">
        <v>58</v>
      </c>
      <c r="N313" s="1240" t="s">
        <v>1806</v>
      </c>
      <c r="O313" s="1241" t="s">
        <v>4841</v>
      </c>
      <c r="P313" s="910">
        <f t="shared" si="39"/>
        <v>0</v>
      </c>
      <c r="Q313" s="910">
        <f t="shared" si="40"/>
        <v>12533</v>
      </c>
      <c r="R313" s="1344">
        <f t="shared" si="41"/>
        <v>4.07</v>
      </c>
      <c r="S313" s="1344">
        <f>(1/9)*cnst_fish!$C$7*(1/cnst_fish!$C$8)^(R313-1)</f>
        <v>165.6906808248057</v>
      </c>
      <c r="T313" s="1362">
        <f t="shared" si="42"/>
        <v>179414.47634016938</v>
      </c>
      <c r="W313" s="1612"/>
      <c r="X313" s="1612"/>
      <c r="Y313" s="1613"/>
      <c r="Z313" s="1614"/>
      <c r="AA313" s="1614"/>
      <c r="AB313" s="1615"/>
      <c r="AC313" s="1615"/>
      <c r="AD313" s="583"/>
      <c r="AE313" s="583"/>
    </row>
    <row r="314" spans="1:31" ht="14">
      <c r="A314" s="1384" t="s">
        <v>3287</v>
      </c>
      <c r="B314" s="19" t="s">
        <v>2422</v>
      </c>
      <c r="C314" s="1383">
        <v>2274</v>
      </c>
      <c r="D314" s="1236"/>
      <c r="E314" s="1236"/>
      <c r="F314" s="1344">
        <f>(1/S314)*cnst_fish!$C$6</f>
        <v>1.1724405960509445E-2</v>
      </c>
      <c r="G314" s="1344">
        <f t="shared" si="45"/>
        <v>1</v>
      </c>
      <c r="H314" s="1344">
        <f t="shared" si="45"/>
        <v>0.367192066876738</v>
      </c>
      <c r="I314" s="1344">
        <f t="shared" si="37"/>
        <v>0</v>
      </c>
      <c r="J314" s="902">
        <f t="shared" si="38"/>
        <v>0</v>
      </c>
      <c r="L314" s="1460">
        <v>1970</v>
      </c>
      <c r="M314" s="1236"/>
      <c r="N314" s="1240" t="s">
        <v>1806</v>
      </c>
      <c r="O314" s="1241" t="s">
        <v>4841</v>
      </c>
      <c r="P314" s="910">
        <f t="shared" si="39"/>
        <v>0</v>
      </c>
      <c r="Q314" s="910">
        <f t="shared" si="40"/>
        <v>1970</v>
      </c>
      <c r="R314" s="1344">
        <f t="shared" si="41"/>
        <v>4.41</v>
      </c>
      <c r="S314" s="1344">
        <f>(1/9)*cnst_fish!$C$7*(1/cnst_fish!$C$8)^(R314-1)</f>
        <v>362.4917129545837</v>
      </c>
      <c r="T314" s="1362">
        <f t="shared" si="42"/>
        <v>61697.656511012028</v>
      </c>
      <c r="W314" s="1612"/>
      <c r="X314" s="1612"/>
      <c r="Y314" s="1613"/>
      <c r="Z314" s="1614"/>
      <c r="AA314" s="1614"/>
      <c r="AB314" s="1615"/>
      <c r="AC314" s="1615"/>
      <c r="AD314" s="583"/>
      <c r="AE314" s="583"/>
    </row>
    <row r="315" spans="1:31" ht="14">
      <c r="A315" s="1585" t="s">
        <v>8520</v>
      </c>
      <c r="B315" s="1586" t="s">
        <v>8521</v>
      </c>
      <c r="C315" s="1383">
        <v>20417</v>
      </c>
      <c r="D315" s="1236">
        <v>26</v>
      </c>
      <c r="E315" s="1236"/>
      <c r="F315" s="1344">
        <f>(1/S315)*cnst_fish!$C$6</f>
        <v>4.7762917572805388E-2</v>
      </c>
      <c r="G315" s="1344">
        <f t="shared" si="45"/>
        <v>1</v>
      </c>
      <c r="H315" s="1344">
        <f t="shared" si="45"/>
        <v>0.367192066876738</v>
      </c>
      <c r="I315" s="1344">
        <f t="shared" si="37"/>
        <v>199.8829682931875</v>
      </c>
      <c r="J315" s="902">
        <f t="shared" si="38"/>
        <v>0</v>
      </c>
      <c r="L315" s="1460">
        <v>26</v>
      </c>
      <c r="M315" s="1236"/>
      <c r="N315" s="1240" t="s">
        <v>2438</v>
      </c>
      <c r="O315" s="1241" t="s">
        <v>4841</v>
      </c>
      <c r="P315" s="910">
        <f t="shared" si="39"/>
        <v>26</v>
      </c>
      <c r="Q315" s="910">
        <f t="shared" si="40"/>
        <v>26</v>
      </c>
      <c r="R315" s="1344">
        <f t="shared" si="41"/>
        <v>3.8</v>
      </c>
      <c r="S315" s="1344">
        <f>(1/9)*cnst_fish!$C$7*(1/cnst_fish!$C$8)^(R315-1)</f>
        <v>88.981163965155432</v>
      </c>
      <c r="T315" s="1362">
        <f t="shared" si="42"/>
        <v>199.8829682931875</v>
      </c>
      <c r="W315" s="1616"/>
      <c r="X315" s="1616"/>
      <c r="Y315" s="1613"/>
      <c r="Z315" s="1614"/>
      <c r="AA315" s="1614"/>
      <c r="AB315" s="1615"/>
      <c r="AC315" s="1615"/>
      <c r="AD315" s="583"/>
      <c r="AE315" s="583"/>
    </row>
    <row r="316" spans="1:31" ht="14">
      <c r="A316" s="1384" t="s">
        <v>4931</v>
      </c>
      <c r="B316" s="19" t="s">
        <v>2423</v>
      </c>
      <c r="C316" s="1383">
        <v>3079</v>
      </c>
      <c r="D316" s="1236">
        <v>1404</v>
      </c>
      <c r="E316" s="1236"/>
      <c r="F316" s="1344">
        <f>(1/S316)*cnst_fish!$C$6</f>
        <v>3.1556646698079359E-2</v>
      </c>
      <c r="G316" s="1344">
        <f t="shared" si="45"/>
        <v>1</v>
      </c>
      <c r="H316" s="1344">
        <f t="shared" si="45"/>
        <v>0.367192066876738</v>
      </c>
      <c r="I316" s="1344">
        <f t="shared" si="37"/>
        <v>16336.896211672498</v>
      </c>
      <c r="J316" s="902">
        <f t="shared" si="38"/>
        <v>0</v>
      </c>
      <c r="L316" s="1460">
        <v>1404</v>
      </c>
      <c r="M316" s="1236"/>
      <c r="N316" s="1240" t="s">
        <v>2438</v>
      </c>
      <c r="O316" s="1241" t="s">
        <v>4841</v>
      </c>
      <c r="P316" s="910">
        <f t="shared" si="39"/>
        <v>1404</v>
      </c>
      <c r="Q316" s="910">
        <f t="shared" si="40"/>
        <v>1404</v>
      </c>
      <c r="R316" s="1344">
        <f t="shared" si="41"/>
        <v>3.98</v>
      </c>
      <c r="S316" s="1344">
        <f>(1/9)*cnst_fish!$C$7*(1/cnst_fish!$C$8)^(R316-1)</f>
        <v>134.67844161840773</v>
      </c>
      <c r="T316" s="1362">
        <f t="shared" si="42"/>
        <v>16336.896211672498</v>
      </c>
      <c r="W316" s="1612"/>
      <c r="X316" s="1612"/>
      <c r="Y316" s="1613"/>
      <c r="Z316" s="1614"/>
      <c r="AA316" s="1614"/>
      <c r="AB316" s="1615"/>
      <c r="AC316" s="1615"/>
      <c r="AD316" s="583"/>
      <c r="AE316" s="583"/>
    </row>
    <row r="317" spans="1:31" ht="14">
      <c r="A317" s="1384" t="s">
        <v>2181</v>
      </c>
      <c r="B317" s="19" t="s">
        <v>716</v>
      </c>
      <c r="C317" s="1383">
        <v>2045</v>
      </c>
      <c r="D317" s="1236"/>
      <c r="E317" s="1236"/>
      <c r="F317" s="1344">
        <f>(1/S317)*cnst_fish!$C$6</f>
        <v>3.7939434000887833E-2</v>
      </c>
      <c r="G317" s="1344">
        <f t="shared" si="45"/>
        <v>1</v>
      </c>
      <c r="H317" s="1344">
        <f t="shared" si="45"/>
        <v>0.367192066876738</v>
      </c>
      <c r="I317" s="1344">
        <f t="shared" si="37"/>
        <v>0</v>
      </c>
      <c r="J317" s="902">
        <f t="shared" si="38"/>
        <v>0</v>
      </c>
      <c r="L317" s="1460">
        <v>0</v>
      </c>
      <c r="M317" s="1236"/>
      <c r="N317" s="1240" t="s">
        <v>3927</v>
      </c>
      <c r="O317" s="1241" t="s">
        <v>4841</v>
      </c>
      <c r="P317" s="910">
        <f t="shared" si="39"/>
        <v>0</v>
      </c>
      <c r="Q317" s="910">
        <f t="shared" si="40"/>
        <v>0</v>
      </c>
      <c r="R317" s="1344">
        <f t="shared" si="41"/>
        <v>3.9</v>
      </c>
      <c r="S317" s="1344">
        <f>(1/9)*cnst_fish!$C$7*(1/cnst_fish!$C$8)^(R317-1)</f>
        <v>112.02064848675771</v>
      </c>
      <c r="T317" s="1362">
        <f t="shared" si="42"/>
        <v>0</v>
      </c>
      <c r="W317" s="1612"/>
      <c r="X317" s="1612"/>
      <c r="Y317" s="1613"/>
      <c r="Z317" s="1614"/>
      <c r="AA317" s="1614"/>
      <c r="AB317" s="1615"/>
      <c r="AC317" s="1615"/>
      <c r="AD317" s="583"/>
      <c r="AE317" s="583"/>
    </row>
    <row r="318" spans="1:31" ht="14">
      <c r="A318" s="1384" t="s">
        <v>4134</v>
      </c>
      <c r="B318" s="19" t="s">
        <v>717</v>
      </c>
      <c r="C318" s="1383">
        <v>2039</v>
      </c>
      <c r="D318" s="1236"/>
      <c r="E318" s="1236"/>
      <c r="F318" s="1344">
        <f>(1/S318)*cnst_fish!$C$6</f>
        <v>1.3461419163458574E-2</v>
      </c>
      <c r="G318" s="1344">
        <f t="shared" si="45"/>
        <v>1</v>
      </c>
      <c r="H318" s="1344">
        <f t="shared" si="45"/>
        <v>0.367192066876738</v>
      </c>
      <c r="I318" s="1344">
        <f t="shared" si="37"/>
        <v>0</v>
      </c>
      <c r="J318" s="902">
        <f t="shared" si="38"/>
        <v>0</v>
      </c>
      <c r="L318" s="1460">
        <v>52</v>
      </c>
      <c r="M318" s="1236"/>
      <c r="N318" s="1240" t="s">
        <v>3927</v>
      </c>
      <c r="O318" s="1241" t="s">
        <v>4841</v>
      </c>
      <c r="P318" s="910">
        <f t="shared" si="39"/>
        <v>0</v>
      </c>
      <c r="Q318" s="910">
        <f t="shared" si="40"/>
        <v>52</v>
      </c>
      <c r="R318" s="1344">
        <f t="shared" si="41"/>
        <v>4.3499999999999996</v>
      </c>
      <c r="S318" s="1344">
        <f>(1/9)*cnst_fish!$C$7*(1/cnst_fish!$C$8)^(R318-1)</f>
        <v>315.71708364425297</v>
      </c>
      <c r="T318" s="1362">
        <f t="shared" si="42"/>
        <v>1418.4230686034632</v>
      </c>
      <c r="W318" s="1612"/>
      <c r="X318" s="1612"/>
      <c r="Y318" s="1613"/>
      <c r="Z318" s="1614"/>
      <c r="AA318" s="1614"/>
      <c r="AB318" s="1615"/>
      <c r="AC318" s="1615"/>
      <c r="AD318" s="583"/>
      <c r="AE318" s="583"/>
    </row>
    <row r="319" spans="1:31" ht="14">
      <c r="A319" s="1384" t="s">
        <v>2975</v>
      </c>
      <c r="B319" s="19" t="s">
        <v>718</v>
      </c>
      <c r="C319" s="1383">
        <v>2040</v>
      </c>
      <c r="D319" s="1236"/>
      <c r="E319" s="1236"/>
      <c r="F319" s="1344">
        <f>(1/S319)*cnst_fish!$C$6</f>
        <v>2.0849269714511572E-2</v>
      </c>
      <c r="G319" s="1344">
        <f t="shared" si="45"/>
        <v>1</v>
      </c>
      <c r="H319" s="1344">
        <f t="shared" si="45"/>
        <v>0.367192066876738</v>
      </c>
      <c r="I319" s="1344">
        <f t="shared" si="37"/>
        <v>0</v>
      </c>
      <c r="J319" s="902">
        <f t="shared" si="38"/>
        <v>0</v>
      </c>
      <c r="L319" s="1460">
        <v>21</v>
      </c>
      <c r="M319" s="1236"/>
      <c r="N319" s="1240" t="s">
        <v>3927</v>
      </c>
      <c r="O319" s="1241" t="s">
        <v>4841</v>
      </c>
      <c r="P319" s="910">
        <f t="shared" si="39"/>
        <v>0</v>
      </c>
      <c r="Q319" s="910">
        <f t="shared" si="40"/>
        <v>21</v>
      </c>
      <c r="R319" s="1344">
        <f t="shared" si="41"/>
        <v>4.16</v>
      </c>
      <c r="S319" s="1344">
        <f>(1/9)*cnst_fish!$C$7*(1/cnst_fish!$C$8)^(R319-1)</f>
        <v>203.84407023340017</v>
      </c>
      <c r="T319" s="1362">
        <f t="shared" si="42"/>
        <v>369.84669055551819</v>
      </c>
      <c r="W319" s="1612"/>
      <c r="X319" s="1612"/>
      <c r="Y319" s="1613"/>
      <c r="Z319" s="1614"/>
      <c r="AA319" s="1614"/>
      <c r="AB319" s="1615"/>
      <c r="AC319" s="1615"/>
      <c r="AD319" s="583"/>
      <c r="AE319" s="583"/>
    </row>
    <row r="320" spans="1:31" ht="14">
      <c r="A320" s="1585" t="s">
        <v>8522</v>
      </c>
      <c r="B320" s="1586" t="s">
        <v>8523</v>
      </c>
      <c r="C320" s="1383">
        <v>11200</v>
      </c>
      <c r="D320" s="1236"/>
      <c r="E320" s="1236"/>
      <c r="F320" s="1344">
        <f>(1/S320)*cnst_fish!$C$6</f>
        <v>9.5299549485983424E-3</v>
      </c>
      <c r="G320" s="1344">
        <f t="shared" si="45"/>
        <v>1</v>
      </c>
      <c r="H320" s="1344">
        <f t="shared" si="45"/>
        <v>0.367192066876738</v>
      </c>
      <c r="I320" s="1344">
        <f t="shared" si="37"/>
        <v>0</v>
      </c>
      <c r="J320" s="902">
        <f t="shared" si="38"/>
        <v>0</v>
      </c>
      <c r="L320" s="1460">
        <v>1</v>
      </c>
      <c r="M320" s="1236"/>
      <c r="N320" s="1240" t="s">
        <v>3927</v>
      </c>
      <c r="O320" s="1241" t="s">
        <v>4841</v>
      </c>
      <c r="P320" s="910">
        <f t="shared" si="39"/>
        <v>0</v>
      </c>
      <c r="Q320" s="910">
        <f t="shared" si="40"/>
        <v>1</v>
      </c>
      <c r="R320" s="1344">
        <f t="shared" si="41"/>
        <v>4.5</v>
      </c>
      <c r="S320" s="1344">
        <f>(1/9)*cnst_fish!$C$7*(1/cnst_fish!$C$8)^(R320-1)</f>
        <v>445.96223412630997</v>
      </c>
      <c r="T320" s="1362">
        <f t="shared" si="42"/>
        <v>38.530304587719407</v>
      </c>
      <c r="W320" s="1616"/>
      <c r="X320" s="1616"/>
      <c r="Y320" s="1613"/>
      <c r="Z320" s="1614"/>
      <c r="AA320" s="1614"/>
      <c r="AB320" s="1615"/>
      <c r="AC320" s="1615"/>
      <c r="AD320" s="583"/>
      <c r="AE320" s="583"/>
    </row>
    <row r="321" spans="1:31" ht="14">
      <c r="A321" s="1585" t="s">
        <v>8524</v>
      </c>
      <c r="B321" s="1586" t="s">
        <v>8525</v>
      </c>
      <c r="C321" s="1383">
        <v>11201</v>
      </c>
      <c r="D321" s="1236"/>
      <c r="E321" s="1236"/>
      <c r="F321" s="1344">
        <f>(1/S321)*cnst_fish!$C$6</f>
        <v>9.5299549485983424E-3</v>
      </c>
      <c r="G321" s="1344">
        <f t="shared" si="45"/>
        <v>1</v>
      </c>
      <c r="H321" s="1344">
        <f t="shared" si="45"/>
        <v>0.367192066876738</v>
      </c>
      <c r="I321" s="1344">
        <f t="shared" si="37"/>
        <v>0</v>
      </c>
      <c r="J321" s="902">
        <f t="shared" si="38"/>
        <v>0</v>
      </c>
      <c r="L321" s="1460"/>
      <c r="M321" s="1236"/>
      <c r="N321" s="1240" t="s">
        <v>3927</v>
      </c>
      <c r="O321" s="1241" t="s">
        <v>4841</v>
      </c>
      <c r="P321" s="910">
        <f t="shared" si="39"/>
        <v>0</v>
      </c>
      <c r="Q321" s="910">
        <f t="shared" si="40"/>
        <v>0</v>
      </c>
      <c r="R321" s="1344">
        <f t="shared" si="41"/>
        <v>4.5</v>
      </c>
      <c r="S321" s="1344">
        <f>(1/9)*cnst_fish!$C$7*(1/cnst_fish!$C$8)^(R321-1)</f>
        <v>445.96223412630997</v>
      </c>
      <c r="T321" s="1362">
        <f t="shared" si="42"/>
        <v>0</v>
      </c>
      <c r="W321" s="1616"/>
      <c r="X321" s="1616"/>
      <c r="Y321" s="1613"/>
      <c r="Z321" s="1614"/>
      <c r="AA321" s="1614"/>
      <c r="AB321" s="1615"/>
      <c r="AC321" s="1615"/>
      <c r="AD321" s="583"/>
      <c r="AE321" s="583"/>
    </row>
    <row r="322" spans="1:31" ht="14">
      <c r="A322" s="1384" t="s">
        <v>2663</v>
      </c>
      <c r="B322" s="19" t="s">
        <v>5049</v>
      </c>
      <c r="C322" s="1383">
        <v>11204</v>
      </c>
      <c r="D322" s="1236"/>
      <c r="E322" s="1236"/>
      <c r="F322" s="1344">
        <f>(1/S322)*cnst_fish!$C$6</f>
        <v>9.979087888316248E-3</v>
      </c>
      <c r="G322" s="1344">
        <f t="shared" si="45"/>
        <v>1</v>
      </c>
      <c r="H322" s="1344">
        <f t="shared" si="45"/>
        <v>0.367192066876738</v>
      </c>
      <c r="I322" s="1344">
        <f t="shared" si="37"/>
        <v>0</v>
      </c>
      <c r="J322" s="902">
        <f t="shared" si="38"/>
        <v>0</v>
      </c>
      <c r="L322" s="1460">
        <v>64</v>
      </c>
      <c r="M322" s="1236"/>
      <c r="N322" s="1240" t="s">
        <v>1806</v>
      </c>
      <c r="O322" s="1241" t="s">
        <v>4841</v>
      </c>
      <c r="P322" s="910">
        <f t="shared" si="39"/>
        <v>0</v>
      </c>
      <c r="Q322" s="910">
        <f t="shared" si="40"/>
        <v>64</v>
      </c>
      <c r="R322" s="1344">
        <f t="shared" si="41"/>
        <v>4.4800000000000004</v>
      </c>
      <c r="S322" s="1344">
        <f>(1/9)*cnst_fish!$C$7*(1/cnst_fish!$C$8)^(R322-1)</f>
        <v>425.89062723618264</v>
      </c>
      <c r="T322" s="1362">
        <f t="shared" si="42"/>
        <v>2354.9539339788689</v>
      </c>
      <c r="W322" s="1612"/>
      <c r="X322" s="1612"/>
      <c r="Y322" s="1613"/>
      <c r="Z322" s="1614"/>
      <c r="AA322" s="1614"/>
      <c r="AB322" s="1615"/>
      <c r="AC322" s="1615"/>
      <c r="AD322" s="583"/>
      <c r="AE322" s="583"/>
    </row>
    <row r="323" spans="1:31" ht="14">
      <c r="A323" s="1384" t="s">
        <v>5123</v>
      </c>
      <c r="B323" s="19" t="s">
        <v>5124</v>
      </c>
      <c r="C323" s="1383">
        <v>19041</v>
      </c>
      <c r="D323" s="1236"/>
      <c r="E323" s="1236"/>
      <c r="F323" s="1344">
        <f>(1/S323)*cnst_fish!$C$6</f>
        <v>1.9014759972289439E-2</v>
      </c>
      <c r="G323" s="1344">
        <f t="shared" si="45"/>
        <v>1</v>
      </c>
      <c r="H323" s="1344">
        <f t="shared" si="45"/>
        <v>0.367192066876738</v>
      </c>
      <c r="I323" s="1344">
        <f t="shared" si="37"/>
        <v>0</v>
      </c>
      <c r="J323" s="902">
        <f t="shared" si="38"/>
        <v>0</v>
      </c>
      <c r="L323" s="1460">
        <v>53274</v>
      </c>
      <c r="M323" s="1236"/>
      <c r="N323" s="1240" t="s">
        <v>1806</v>
      </c>
      <c r="O323" s="1241" t="s">
        <v>4841</v>
      </c>
      <c r="P323" s="910">
        <f t="shared" si="39"/>
        <v>0</v>
      </c>
      <c r="Q323" s="910">
        <f t="shared" si="40"/>
        <v>53274</v>
      </c>
      <c r="R323" s="1344">
        <f t="shared" si="41"/>
        <v>4.2</v>
      </c>
      <c r="S323" s="1344">
        <f>(1/9)*cnst_fish!$C$7*(1/cnst_fish!$C$8)^(R323-1)</f>
        <v>223.51057842400343</v>
      </c>
      <c r="T323" s="1362">
        <f t="shared" si="42"/>
        <v>1028768.7143723664</v>
      </c>
      <c r="W323" s="1612"/>
      <c r="X323" s="1612"/>
      <c r="Y323" s="1613"/>
      <c r="Z323" s="1614"/>
      <c r="AA323" s="1614"/>
      <c r="AB323" s="1615"/>
      <c r="AC323" s="1615"/>
      <c r="AD323" s="583"/>
      <c r="AE323" s="583"/>
    </row>
    <row r="324" spans="1:31" ht="14">
      <c r="A324" s="1384" t="s">
        <v>5435</v>
      </c>
      <c r="B324" s="19" t="s">
        <v>5050</v>
      </c>
      <c r="C324" s="1383">
        <v>11207</v>
      </c>
      <c r="D324" s="1236"/>
      <c r="E324" s="1236"/>
      <c r="F324" s="1344">
        <f>(1/S324)*cnst_fish!$C$6</f>
        <v>2.6859062362848789E-2</v>
      </c>
      <c r="G324" s="1344">
        <f t="shared" si="45"/>
        <v>1</v>
      </c>
      <c r="H324" s="1344">
        <f t="shared" si="45"/>
        <v>0.367192066876738</v>
      </c>
      <c r="I324" s="1344">
        <f t="shared" si="37"/>
        <v>0</v>
      </c>
      <c r="J324" s="902">
        <f t="shared" si="38"/>
        <v>0</v>
      </c>
      <c r="L324" s="1460">
        <v>67</v>
      </c>
      <c r="M324" s="1236"/>
      <c r="N324" s="1240" t="s">
        <v>1806</v>
      </c>
      <c r="O324" s="1241" t="s">
        <v>4841</v>
      </c>
      <c r="P324" s="910">
        <f t="shared" si="39"/>
        <v>0</v>
      </c>
      <c r="Q324" s="910">
        <f t="shared" si="40"/>
        <v>67</v>
      </c>
      <c r="R324" s="1344">
        <f t="shared" si="41"/>
        <v>4.05</v>
      </c>
      <c r="S324" s="1344">
        <f>(1/9)*cnst_fish!$C$7*(1/cnst_fish!$C$8)^(R324-1)</f>
        <v>158.23337176053329</v>
      </c>
      <c r="T324" s="1362">
        <f t="shared" si="42"/>
        <v>915.96155325103712</v>
      </c>
      <c r="W324" s="1612"/>
      <c r="X324" s="1612"/>
      <c r="Y324" s="1613"/>
      <c r="Z324" s="1614"/>
      <c r="AA324" s="1614"/>
      <c r="AB324" s="1615"/>
      <c r="AC324" s="1615"/>
      <c r="AD324" s="583"/>
      <c r="AE324" s="583"/>
    </row>
    <row r="325" spans="1:31" ht="14">
      <c r="A325" s="1384" t="s">
        <v>2570</v>
      </c>
      <c r="B325" s="19" t="s">
        <v>4300</v>
      </c>
      <c r="C325" s="1383">
        <v>11208</v>
      </c>
      <c r="D325" s="1236"/>
      <c r="E325" s="1236"/>
      <c r="F325" s="1344">
        <f>(1/S325)*cnst_fish!$C$6</f>
        <v>2.1831865524078106E-2</v>
      </c>
      <c r="G325" s="1344">
        <f t="shared" si="45"/>
        <v>1</v>
      </c>
      <c r="H325" s="1344">
        <f t="shared" si="45"/>
        <v>0.367192066876738</v>
      </c>
      <c r="I325" s="1344">
        <f t="shared" si="37"/>
        <v>0</v>
      </c>
      <c r="J325" s="902">
        <f t="shared" si="38"/>
        <v>0</v>
      </c>
      <c r="L325" s="1460">
        <v>291</v>
      </c>
      <c r="M325" s="1236"/>
      <c r="N325" s="1240" t="s">
        <v>1806</v>
      </c>
      <c r="O325" s="1241" t="s">
        <v>4841</v>
      </c>
      <c r="P325" s="910">
        <f t="shared" si="39"/>
        <v>0</v>
      </c>
      <c r="Q325" s="910">
        <f t="shared" si="40"/>
        <v>291</v>
      </c>
      <c r="R325" s="1344">
        <f t="shared" si="41"/>
        <v>4.1399999999999997</v>
      </c>
      <c r="S325" s="1344">
        <f>(1/9)*cnst_fish!$C$7*(1/cnst_fish!$C$8)^(R325-1)</f>
        <v>194.66957577732992</v>
      </c>
      <c r="T325" s="1362">
        <f t="shared" si="42"/>
        <v>4894.3546003104484</v>
      </c>
      <c r="W325" s="1612"/>
      <c r="X325" s="1612"/>
      <c r="Y325" s="1613"/>
      <c r="Z325" s="1614"/>
      <c r="AA325" s="1614"/>
      <c r="AB325" s="1615"/>
      <c r="AC325" s="1615"/>
      <c r="AD325" s="583"/>
      <c r="AE325" s="583"/>
    </row>
    <row r="326" spans="1:31" ht="14">
      <c r="A326" s="1384" t="s">
        <v>233</v>
      </c>
      <c r="B326" s="19" t="s">
        <v>4301</v>
      </c>
      <c r="C326" s="1383">
        <v>11210</v>
      </c>
      <c r="D326" s="1236"/>
      <c r="E326" s="1236"/>
      <c r="F326" s="1344">
        <f>(1/S326)*cnst_fish!$C$6</f>
        <v>1.315499985341953E-2</v>
      </c>
      <c r="G326" s="1344">
        <f t="shared" si="45"/>
        <v>1</v>
      </c>
      <c r="H326" s="1344">
        <f t="shared" si="45"/>
        <v>0.367192066876738</v>
      </c>
      <c r="I326" s="1344">
        <f t="shared" si="37"/>
        <v>0</v>
      </c>
      <c r="J326" s="902">
        <f t="shared" si="38"/>
        <v>0</v>
      </c>
      <c r="L326" s="1460">
        <v>388</v>
      </c>
      <c r="M326" s="1236"/>
      <c r="N326" s="1240" t="s">
        <v>1806</v>
      </c>
      <c r="O326" s="1241"/>
      <c r="P326" s="910">
        <f t="shared" si="39"/>
        <v>0</v>
      </c>
      <c r="Q326" s="910">
        <f t="shared" si="40"/>
        <v>388</v>
      </c>
      <c r="R326" s="1344">
        <f t="shared" si="41"/>
        <v>4.3600000000000003</v>
      </c>
      <c r="S326" s="1344">
        <f>(1/9)*cnst_fish!$C$7*(1/cnst_fish!$C$8)^(R326-1)</f>
        <v>323.07107923648124</v>
      </c>
      <c r="T326" s="1362">
        <f t="shared" si="42"/>
        <v>10830.142420042699</v>
      </c>
      <c r="W326" s="1612"/>
      <c r="X326" s="1612"/>
      <c r="Y326" s="1613"/>
      <c r="Z326" s="1614"/>
      <c r="AA326" s="1614"/>
      <c r="AB326" s="1615"/>
      <c r="AC326" s="1615"/>
      <c r="AD326" s="583"/>
      <c r="AE326" s="583"/>
    </row>
    <row r="327" spans="1:31" ht="14">
      <c r="A327" s="1384" t="s">
        <v>3249</v>
      </c>
      <c r="B327" s="19" t="s">
        <v>1483</v>
      </c>
      <c r="C327" s="1383">
        <v>3560</v>
      </c>
      <c r="D327" s="1236"/>
      <c r="E327" s="1236"/>
      <c r="F327" s="1344">
        <f>(1/S327)*cnst_fish!$C$6</f>
        <v>0.19014759972289441</v>
      </c>
      <c r="G327" s="1344">
        <f t="shared" si="45"/>
        <v>1</v>
      </c>
      <c r="H327" s="1344">
        <f t="shared" si="45"/>
        <v>0.367192066876738</v>
      </c>
      <c r="I327" s="1344">
        <f t="shared" ref="I327:I390" si="46">IF($F327=0,0,D327/$F327*$H327*$G327)</f>
        <v>0</v>
      </c>
      <c r="J327" s="902">
        <f t="shared" ref="J327:J390" si="47">IF($F327=0,0,E327/$F327*$H327*$G327)</f>
        <v>0</v>
      </c>
      <c r="L327" s="1460">
        <v>440768</v>
      </c>
      <c r="M327" s="1236"/>
      <c r="N327" s="1240" t="s">
        <v>2429</v>
      </c>
      <c r="O327" s="1241" t="s">
        <v>4835</v>
      </c>
      <c r="P327" s="910">
        <f t="shared" ref="P327:P390" si="48">D327+E327</f>
        <v>0</v>
      </c>
      <c r="Q327" s="910">
        <f t="shared" ref="Q327:Q390" si="49">L327+M327</f>
        <v>440768</v>
      </c>
      <c r="R327" s="1344">
        <f t="shared" ref="R327:R390" si="50">VLOOKUP(B327,constant_fish_trophic,3,FALSE)</f>
        <v>3.2</v>
      </c>
      <c r="S327" s="1344">
        <f>(1/9)*cnst_fish!$C$7*(1/cnst_fish!$C$8)^(R327-1)</f>
        <v>22.351057842400341</v>
      </c>
      <c r="T327" s="1362">
        <f t="shared" ref="T327:T390" si="51">IF(F327=0,0,Q327/F327*H327*G327)</f>
        <v>851162.53462566959</v>
      </c>
      <c r="W327" s="1612"/>
      <c r="X327" s="1612"/>
      <c r="Y327" s="1613"/>
      <c r="Z327" s="1614"/>
      <c r="AA327" s="1614"/>
      <c r="AB327" s="1615"/>
      <c r="AC327" s="1615"/>
      <c r="AD327" s="583"/>
      <c r="AE327" s="583"/>
    </row>
    <row r="328" spans="1:31" ht="14">
      <c r="A328" s="1384" t="s">
        <v>6569</v>
      </c>
      <c r="B328" s="19" t="s">
        <v>6568</v>
      </c>
      <c r="C328" s="1383">
        <v>11216</v>
      </c>
      <c r="D328" s="1236"/>
      <c r="E328" s="1236"/>
      <c r="F328" s="1344">
        <f>(1/S328)*cnst_fish!$C$6</f>
        <v>7.5699122913220479E-2</v>
      </c>
      <c r="G328" s="1344">
        <f t="shared" ref="G328:H347" si="52">G$7</f>
        <v>1</v>
      </c>
      <c r="H328" s="1344">
        <f t="shared" si="52"/>
        <v>0.367192066876738</v>
      </c>
      <c r="I328" s="1344">
        <f t="shared" si="46"/>
        <v>0</v>
      </c>
      <c r="J328" s="902">
        <f t="shared" si="47"/>
        <v>0</v>
      </c>
      <c r="L328" s="1460">
        <v>74</v>
      </c>
      <c r="M328" s="1236"/>
      <c r="N328" s="1240" t="s">
        <v>3927</v>
      </c>
      <c r="O328" s="1241" t="s">
        <v>4841</v>
      </c>
      <c r="P328" s="910">
        <f t="shared" si="48"/>
        <v>0</v>
      </c>
      <c r="Q328" s="910">
        <f t="shared" si="49"/>
        <v>74</v>
      </c>
      <c r="R328" s="1344">
        <f t="shared" si="50"/>
        <v>3.6</v>
      </c>
      <c r="S328" s="1344">
        <f>(1/9)*cnst_fish!$C$7*(1/cnst_fish!$C$8)^(R328-1)</f>
        <v>56.143318924211187</v>
      </c>
      <c r="T328" s="1362">
        <f t="shared" si="51"/>
        <v>358.95016881540539</v>
      </c>
      <c r="W328" s="1612"/>
      <c r="X328" s="1612"/>
      <c r="Y328" s="1613"/>
      <c r="Z328" s="1614"/>
      <c r="AA328" s="1614"/>
      <c r="AB328" s="1615"/>
      <c r="AC328" s="1615"/>
      <c r="AD328" s="583"/>
      <c r="AE328" s="583"/>
    </row>
    <row r="329" spans="1:31" ht="14">
      <c r="A329" s="1384" t="s">
        <v>2951</v>
      </c>
      <c r="B329" s="19" t="s">
        <v>1054</v>
      </c>
      <c r="C329" s="1383">
        <v>11224</v>
      </c>
      <c r="D329" s="1236"/>
      <c r="E329" s="1236"/>
      <c r="F329" s="1344">
        <f>(1/S329)*cnst_fish!$C$6</f>
        <v>0.22340394999204924</v>
      </c>
      <c r="G329" s="1344">
        <f t="shared" si="52"/>
        <v>1</v>
      </c>
      <c r="H329" s="1344">
        <f t="shared" si="52"/>
        <v>0.367192066876738</v>
      </c>
      <c r="I329" s="1344">
        <f t="shared" si="46"/>
        <v>0</v>
      </c>
      <c r="J329" s="902">
        <f t="shared" si="47"/>
        <v>0</v>
      </c>
      <c r="L329" s="1460">
        <v>84</v>
      </c>
      <c r="M329" s="1236"/>
      <c r="N329" s="1240" t="s">
        <v>1806</v>
      </c>
      <c r="O329" s="1241" t="s">
        <v>4841</v>
      </c>
      <c r="P329" s="910">
        <f t="shared" si="48"/>
        <v>0</v>
      </c>
      <c r="Q329" s="910">
        <f t="shared" si="49"/>
        <v>84</v>
      </c>
      <c r="R329" s="1344">
        <f t="shared" si="50"/>
        <v>3.13</v>
      </c>
      <c r="S329" s="1344">
        <f>(1/9)*cnst_fish!$C$7*(1/cnst_fish!$C$8)^(R329-1)</f>
        <v>19.023835523728447</v>
      </c>
      <c r="T329" s="1362">
        <f t="shared" si="51"/>
        <v>138.06440583858839</v>
      </c>
      <c r="W329" s="1612"/>
      <c r="X329" s="1612"/>
      <c r="Y329" s="1613"/>
      <c r="Z329" s="1614"/>
      <c r="AA329" s="1614"/>
      <c r="AB329" s="1615"/>
      <c r="AC329" s="1615"/>
      <c r="AD329" s="583"/>
      <c r="AE329" s="583"/>
    </row>
    <row r="330" spans="1:31" ht="14">
      <c r="A330" s="1384" t="s">
        <v>3289</v>
      </c>
      <c r="B330" s="19" t="s">
        <v>4119</v>
      </c>
      <c r="C330" s="1383">
        <v>3535</v>
      </c>
      <c r="D330" s="1236"/>
      <c r="E330" s="1236"/>
      <c r="F330" s="1344">
        <f>(1/S330)*cnst_fish!$C$6</f>
        <v>2.3938164528281742</v>
      </c>
      <c r="G330" s="1344">
        <f t="shared" si="52"/>
        <v>1</v>
      </c>
      <c r="H330" s="1344">
        <f t="shared" si="52"/>
        <v>0.367192066876738</v>
      </c>
      <c r="I330" s="1344">
        <f t="shared" si="46"/>
        <v>0</v>
      </c>
      <c r="J330" s="902">
        <f t="shared" si="47"/>
        <v>0</v>
      </c>
      <c r="L330" s="1460">
        <v>18909</v>
      </c>
      <c r="M330" s="1236"/>
      <c r="N330" s="1240" t="s">
        <v>1804</v>
      </c>
      <c r="O330" s="1241" t="s">
        <v>4851</v>
      </c>
      <c r="P330" s="910">
        <f t="shared" si="48"/>
        <v>0</v>
      </c>
      <c r="Q330" s="910">
        <f t="shared" si="49"/>
        <v>18909</v>
      </c>
      <c r="R330" s="1344">
        <f t="shared" si="50"/>
        <v>2.1</v>
      </c>
      <c r="S330" s="1344">
        <f>(1/9)*cnst_fish!$C$7*(1/cnst_fish!$C$8)^(R330-1)</f>
        <v>1.7754076320174161</v>
      </c>
      <c r="T330" s="1362">
        <f t="shared" si="51"/>
        <v>2900.4875392050858</v>
      </c>
      <c r="W330" s="1612"/>
      <c r="X330" s="1612"/>
      <c r="Y330" s="1613"/>
      <c r="Z330" s="1614"/>
      <c r="AA330" s="1614"/>
      <c r="AB330" s="1615"/>
      <c r="AC330" s="1615"/>
      <c r="AD330" s="583"/>
      <c r="AE330" s="583"/>
    </row>
    <row r="331" spans="1:31" ht="14">
      <c r="A331" s="1384" t="s">
        <v>4476</v>
      </c>
      <c r="B331" s="19" t="s">
        <v>5301</v>
      </c>
      <c r="C331" s="1383">
        <v>17421</v>
      </c>
      <c r="D331" s="1236"/>
      <c r="E331" s="1236"/>
      <c r="F331" s="1344">
        <f>(1/S331)*cnst_fish!$C$6</f>
        <v>2.4296179854146147</v>
      </c>
      <c r="G331" s="1344">
        <f t="shared" si="52"/>
        <v>1</v>
      </c>
      <c r="H331" s="1344">
        <f t="shared" si="52"/>
        <v>0.367192066876738</v>
      </c>
      <c r="I331" s="1344">
        <f t="shared" si="46"/>
        <v>0</v>
      </c>
      <c r="J331" s="902">
        <f t="shared" si="47"/>
        <v>0</v>
      </c>
      <c r="L331" s="1460">
        <v>3010</v>
      </c>
      <c r="M331" s="1236"/>
      <c r="N331" s="1240" t="s">
        <v>3932</v>
      </c>
      <c r="O331" s="1241" t="s">
        <v>4840</v>
      </c>
      <c r="P331" s="910">
        <f t="shared" si="48"/>
        <v>0</v>
      </c>
      <c r="Q331" s="910">
        <f t="shared" si="49"/>
        <v>3010</v>
      </c>
      <c r="R331" s="1344">
        <f t="shared" si="50"/>
        <v>2.0935528537656198</v>
      </c>
      <c r="S331" s="1344">
        <f>(1/9)*cnst_fish!$C$7*(1/cnst_fish!$C$8)^(R331-1)</f>
        <v>1.7492461882952093</v>
      </c>
      <c r="T331" s="1362">
        <f t="shared" si="51"/>
        <v>454.90613254180806</v>
      </c>
      <c r="W331" s="1612"/>
      <c r="X331" s="1612"/>
      <c r="Y331" s="1613"/>
      <c r="Z331" s="1614"/>
      <c r="AA331" s="1614"/>
      <c r="AB331" s="1615"/>
      <c r="AC331" s="1615"/>
      <c r="AD331" s="583"/>
      <c r="AE331" s="583"/>
    </row>
    <row r="332" spans="1:31" ht="14">
      <c r="A332" s="1384" t="s">
        <v>4718</v>
      </c>
      <c r="B332" s="19" t="s">
        <v>1671</v>
      </c>
      <c r="C332" s="1383">
        <v>2108</v>
      </c>
      <c r="D332" s="1236"/>
      <c r="E332" s="1236"/>
      <c r="F332" s="1344">
        <f>(1/S332)*cnst_fish!$C$6</f>
        <v>2.3393265378401029</v>
      </c>
      <c r="G332" s="1344">
        <f t="shared" si="52"/>
        <v>1</v>
      </c>
      <c r="H332" s="1344">
        <f t="shared" si="52"/>
        <v>0.367192066876738</v>
      </c>
      <c r="I332" s="1344">
        <f t="shared" si="46"/>
        <v>0</v>
      </c>
      <c r="J332" s="902">
        <f t="shared" si="47"/>
        <v>0</v>
      </c>
      <c r="L332" s="1460">
        <v>10</v>
      </c>
      <c r="M332" s="1236"/>
      <c r="N332" s="1240" t="s">
        <v>104</v>
      </c>
      <c r="O332" s="1241" t="s">
        <v>4859</v>
      </c>
      <c r="P332" s="910">
        <f t="shared" si="48"/>
        <v>0</v>
      </c>
      <c r="Q332" s="910">
        <f t="shared" si="49"/>
        <v>10</v>
      </c>
      <c r="R332" s="1344">
        <f t="shared" si="50"/>
        <v>2.11</v>
      </c>
      <c r="S332" s="1344">
        <f>(1/9)*cnst_fish!$C$7*(1/cnst_fish!$C$8)^(R332-1)</f>
        <v>1.8167621882851888</v>
      </c>
      <c r="T332" s="1362">
        <f t="shared" si="51"/>
        <v>1.5696486186822212</v>
      </c>
      <c r="W332" s="1612"/>
      <c r="X332" s="1612"/>
      <c r="Y332" s="1613"/>
      <c r="Z332" s="1614"/>
      <c r="AA332" s="1614"/>
      <c r="AB332" s="1615"/>
      <c r="AC332" s="1615"/>
      <c r="AD332" s="583"/>
      <c r="AE332" s="583"/>
    </row>
    <row r="333" spans="1:31" ht="14">
      <c r="A333" s="1384" t="s">
        <v>2186</v>
      </c>
      <c r="B333" s="19" t="s">
        <v>1672</v>
      </c>
      <c r="C333" s="1383">
        <v>2920</v>
      </c>
      <c r="D333" s="1236"/>
      <c r="E333" s="1236"/>
      <c r="F333" s="1344">
        <f>(1/S333)*cnst_fish!$C$6</f>
        <v>1.0211530705467782</v>
      </c>
      <c r="G333" s="1344">
        <f t="shared" si="52"/>
        <v>1</v>
      </c>
      <c r="H333" s="1344">
        <f t="shared" si="52"/>
        <v>0.367192066876738</v>
      </c>
      <c r="I333" s="1344">
        <f t="shared" si="46"/>
        <v>0</v>
      </c>
      <c r="J333" s="902">
        <f t="shared" si="47"/>
        <v>0</v>
      </c>
      <c r="L333" s="1460">
        <v>269387</v>
      </c>
      <c r="M333" s="1236"/>
      <c r="N333" s="1240" t="s">
        <v>104</v>
      </c>
      <c r="O333" s="1241" t="s">
        <v>4859</v>
      </c>
      <c r="P333" s="910">
        <f t="shared" si="48"/>
        <v>0</v>
      </c>
      <c r="Q333" s="910">
        <f t="shared" si="49"/>
        <v>269387</v>
      </c>
      <c r="R333" s="1344">
        <f t="shared" si="50"/>
        <v>2.4700000000000002</v>
      </c>
      <c r="S333" s="1344">
        <f>(1/9)*cnst_fish!$C$7*(1/cnst_fish!$C$8)^(R333-1)</f>
        <v>4.1619617299141352</v>
      </c>
      <c r="T333" s="1362">
        <f t="shared" si="51"/>
        <v>96867.719613043591</v>
      </c>
      <c r="W333" s="1612"/>
      <c r="X333" s="1612"/>
      <c r="Y333" s="1613"/>
      <c r="Z333" s="1614"/>
      <c r="AA333" s="1614"/>
      <c r="AB333" s="1615"/>
      <c r="AC333" s="1615"/>
      <c r="AD333" s="583"/>
      <c r="AE333" s="583"/>
    </row>
    <row r="334" spans="1:31" ht="14">
      <c r="A334" s="1384" t="s">
        <v>2180</v>
      </c>
      <c r="B334" s="19" t="s">
        <v>719</v>
      </c>
      <c r="C334" s="1383">
        <v>2005</v>
      </c>
      <c r="D334" s="1236"/>
      <c r="E334" s="1236"/>
      <c r="F334" s="1344">
        <f>(1/S334)*cnst_fish!$C$6</f>
        <v>0.19014759972289441</v>
      </c>
      <c r="G334" s="1344">
        <f t="shared" si="52"/>
        <v>1</v>
      </c>
      <c r="H334" s="1344">
        <f t="shared" si="52"/>
        <v>0.367192066876738</v>
      </c>
      <c r="I334" s="1344">
        <f t="shared" si="46"/>
        <v>0</v>
      </c>
      <c r="J334" s="902">
        <f t="shared" si="47"/>
        <v>0</v>
      </c>
      <c r="L334" s="1460">
        <v>0</v>
      </c>
      <c r="M334" s="1236"/>
      <c r="N334" s="1240" t="s">
        <v>3927</v>
      </c>
      <c r="O334" s="1241" t="s">
        <v>4841</v>
      </c>
      <c r="P334" s="910">
        <f t="shared" si="48"/>
        <v>0</v>
      </c>
      <c r="Q334" s="910">
        <f t="shared" si="49"/>
        <v>0</v>
      </c>
      <c r="R334" s="1344">
        <f t="shared" si="50"/>
        <v>3.2</v>
      </c>
      <c r="S334" s="1344">
        <f>(1/9)*cnst_fish!$C$7*(1/cnst_fish!$C$8)^(R334-1)</f>
        <v>22.351057842400341</v>
      </c>
      <c r="T334" s="1362">
        <f t="shared" si="51"/>
        <v>0</v>
      </c>
      <c r="W334" s="1612"/>
      <c r="X334" s="1612"/>
      <c r="Y334" s="1613"/>
      <c r="Z334" s="1614"/>
      <c r="AA334" s="1614"/>
      <c r="AB334" s="1615"/>
      <c r="AC334" s="1615"/>
      <c r="AD334" s="583"/>
      <c r="AE334" s="583"/>
    </row>
    <row r="335" spans="1:31" ht="14">
      <c r="A335" s="1384" t="s">
        <v>207</v>
      </c>
      <c r="B335" s="19" t="s">
        <v>208</v>
      </c>
      <c r="C335" s="1383">
        <v>16221</v>
      </c>
      <c r="D335" s="1236"/>
      <c r="E335" s="1236"/>
      <c r="F335" s="1344">
        <f>(1/S335)*cnst_fish!$C$6</f>
        <v>0.14481532779905856</v>
      </c>
      <c r="G335" s="1344">
        <f t="shared" si="52"/>
        <v>1</v>
      </c>
      <c r="H335" s="1344">
        <f t="shared" si="52"/>
        <v>0.367192066876738</v>
      </c>
      <c r="I335" s="1344">
        <f t="shared" si="46"/>
        <v>0</v>
      </c>
      <c r="J335" s="902">
        <f t="shared" si="47"/>
        <v>0</v>
      </c>
      <c r="L335" s="1460">
        <v>178</v>
      </c>
      <c r="M335" s="1236"/>
      <c r="N335" s="1240" t="s">
        <v>2430</v>
      </c>
      <c r="O335" s="1241" t="s">
        <v>4840</v>
      </c>
      <c r="P335" s="910">
        <f t="shared" si="48"/>
        <v>0</v>
      </c>
      <c r="Q335" s="910">
        <f t="shared" si="49"/>
        <v>178</v>
      </c>
      <c r="R335" s="1344">
        <f t="shared" si="50"/>
        <v>3.3182763159269002</v>
      </c>
      <c r="S335" s="1344">
        <f>(1/9)*cnst_fish!$C$7*(1/cnst_fish!$C$8)^(R335-1)</f>
        <v>29.347722127157517</v>
      </c>
      <c r="T335" s="1362">
        <f t="shared" si="51"/>
        <v>451.33473712638494</v>
      </c>
      <c r="W335" s="1612"/>
      <c r="X335" s="1612"/>
      <c r="Y335" s="1613"/>
      <c r="Z335" s="1614"/>
      <c r="AA335" s="1614"/>
      <c r="AB335" s="1615"/>
      <c r="AC335" s="1615"/>
      <c r="AD335" s="583"/>
      <c r="AE335" s="583"/>
    </row>
    <row r="336" spans="1:31" ht="14">
      <c r="A336" s="1384" t="s">
        <v>6611</v>
      </c>
      <c r="B336" s="19" t="s">
        <v>6610</v>
      </c>
      <c r="C336" s="1383">
        <v>6612</v>
      </c>
      <c r="D336" s="1236">
        <v>272</v>
      </c>
      <c r="E336" s="1236"/>
      <c r="F336" s="1344">
        <f>(1/S336)*cnst_fish!$C$6</f>
        <v>3.0136363636363641</v>
      </c>
      <c r="G336" s="1344">
        <f t="shared" si="52"/>
        <v>1</v>
      </c>
      <c r="H336" s="1344">
        <f t="shared" si="52"/>
        <v>0.367192066876738</v>
      </c>
      <c r="I336" s="1344">
        <f t="shared" si="46"/>
        <v>33.141437830926094</v>
      </c>
      <c r="J336" s="902">
        <f t="shared" si="47"/>
        <v>0</v>
      </c>
      <c r="L336" s="1460">
        <v>272</v>
      </c>
      <c r="M336" s="1236"/>
      <c r="N336" s="1240" t="s">
        <v>2430</v>
      </c>
      <c r="O336" s="1241" t="s">
        <v>4840</v>
      </c>
      <c r="P336" s="910">
        <f t="shared" si="48"/>
        <v>272</v>
      </c>
      <c r="Q336" s="910">
        <f t="shared" si="49"/>
        <v>272</v>
      </c>
      <c r="R336" s="1344">
        <f t="shared" si="50"/>
        <v>2</v>
      </c>
      <c r="S336" s="1344">
        <f>(1/9)*cnst_fish!$C$7*(1/cnst_fish!$C$8)^(R336-1)</f>
        <v>1.4102564102564099</v>
      </c>
      <c r="T336" s="1362">
        <f t="shared" si="51"/>
        <v>33.141437830926094</v>
      </c>
      <c r="W336" s="1612"/>
      <c r="X336" s="1612"/>
      <c r="Y336" s="1613"/>
      <c r="Z336" s="1614"/>
      <c r="AA336" s="1614"/>
      <c r="AB336" s="1615"/>
      <c r="AC336" s="1615"/>
      <c r="AD336" s="583"/>
      <c r="AE336" s="583"/>
    </row>
    <row r="337" spans="1:31" ht="14">
      <c r="A337" s="1384" t="s">
        <v>6939</v>
      </c>
      <c r="B337" s="19" t="s">
        <v>6938</v>
      </c>
      <c r="C337" s="1383">
        <v>3485</v>
      </c>
      <c r="D337" s="1236"/>
      <c r="E337" s="1236"/>
      <c r="F337" s="1344">
        <f>(1/S337)*cnst_fish!$C$6</f>
        <v>3.0136363636363641</v>
      </c>
      <c r="G337" s="1344">
        <f t="shared" si="52"/>
        <v>1</v>
      </c>
      <c r="H337" s="1344">
        <f t="shared" si="52"/>
        <v>0.367192066876738</v>
      </c>
      <c r="I337" s="1344">
        <f t="shared" si="46"/>
        <v>0</v>
      </c>
      <c r="J337" s="902">
        <f t="shared" si="47"/>
        <v>0</v>
      </c>
      <c r="L337" s="1460">
        <v>1419</v>
      </c>
      <c r="M337" s="1236"/>
      <c r="N337" s="1240" t="s">
        <v>2430</v>
      </c>
      <c r="O337" s="1241" t="s">
        <v>4840</v>
      </c>
      <c r="P337" s="910">
        <f t="shared" si="48"/>
        <v>0</v>
      </c>
      <c r="Q337" s="910">
        <f t="shared" si="49"/>
        <v>1419</v>
      </c>
      <c r="R337" s="1344">
        <f t="shared" si="50"/>
        <v>2</v>
      </c>
      <c r="S337" s="1344">
        <f>(1/9)*cnst_fish!$C$7*(1/cnst_fish!$C$8)^(R337-1)</f>
        <v>1.4102564102564099</v>
      </c>
      <c r="T337" s="1362">
        <f t="shared" si="51"/>
        <v>172.89595691942691</v>
      </c>
      <c r="W337" s="1612"/>
      <c r="X337" s="1612"/>
      <c r="Y337" s="1613"/>
      <c r="Z337" s="1614"/>
      <c r="AA337" s="1614"/>
      <c r="AB337" s="1615"/>
      <c r="AC337" s="1615"/>
      <c r="AD337" s="583"/>
      <c r="AE337" s="583"/>
    </row>
    <row r="338" spans="1:31" ht="14">
      <c r="A338" s="1384" t="s">
        <v>6880</v>
      </c>
      <c r="B338" s="19" t="s">
        <v>6879</v>
      </c>
      <c r="C338" s="1383">
        <v>19218</v>
      </c>
      <c r="D338" s="1236"/>
      <c r="E338" s="1236"/>
      <c r="F338" s="1344">
        <f>(1/S338)*cnst_fish!$C$6</f>
        <v>3.0136363636363641</v>
      </c>
      <c r="G338" s="1344">
        <f t="shared" si="52"/>
        <v>1</v>
      </c>
      <c r="H338" s="1344">
        <f t="shared" si="52"/>
        <v>0.367192066876738</v>
      </c>
      <c r="I338" s="1344">
        <f t="shared" si="46"/>
        <v>0</v>
      </c>
      <c r="J338" s="902">
        <f t="shared" si="47"/>
        <v>0</v>
      </c>
      <c r="L338" s="1460">
        <v>854</v>
      </c>
      <c r="M338" s="1236"/>
      <c r="N338" s="1240" t="s">
        <v>2430</v>
      </c>
      <c r="O338" s="1241" t="s">
        <v>4840</v>
      </c>
      <c r="P338" s="910">
        <f t="shared" si="48"/>
        <v>0</v>
      </c>
      <c r="Q338" s="910">
        <f t="shared" si="49"/>
        <v>854</v>
      </c>
      <c r="R338" s="1344">
        <f t="shared" si="50"/>
        <v>2</v>
      </c>
      <c r="S338" s="1344">
        <f>(1/9)*cnst_fish!$C$7*(1/cnst_fish!$C$8)^(R338-1)</f>
        <v>1.4102564102564099</v>
      </c>
      <c r="T338" s="1362">
        <f t="shared" si="51"/>
        <v>104.05436730739294</v>
      </c>
      <c r="W338" s="1612"/>
      <c r="X338" s="1612"/>
      <c r="Y338" s="1613"/>
      <c r="Z338" s="1614"/>
      <c r="AA338" s="1614"/>
      <c r="AB338" s="1615"/>
      <c r="AC338" s="1615"/>
      <c r="AD338" s="583"/>
      <c r="AE338" s="583"/>
    </row>
    <row r="339" spans="1:31" ht="14">
      <c r="A339" s="1384" t="s">
        <v>5358</v>
      </c>
      <c r="B339" s="19" t="s">
        <v>6805</v>
      </c>
      <c r="C339" s="1383">
        <v>2649</v>
      </c>
      <c r="D339" s="1236">
        <v>928</v>
      </c>
      <c r="E339" s="1236"/>
      <c r="F339" s="1344">
        <f>(1/S339)*cnst_fish!$C$6</f>
        <v>3.0136363636363641</v>
      </c>
      <c r="G339" s="1344">
        <f t="shared" si="52"/>
        <v>1</v>
      </c>
      <c r="H339" s="1344">
        <f t="shared" si="52"/>
        <v>0.367192066876738</v>
      </c>
      <c r="I339" s="1344">
        <f t="shared" si="46"/>
        <v>113.07078789374783</v>
      </c>
      <c r="J339" s="902">
        <f t="shared" si="47"/>
        <v>0</v>
      </c>
      <c r="L339" s="1460">
        <v>928</v>
      </c>
      <c r="M339" s="1236"/>
      <c r="N339" s="1240" t="s">
        <v>2430</v>
      </c>
      <c r="O339" s="1241" t="s">
        <v>4840</v>
      </c>
      <c r="P339" s="910">
        <f t="shared" si="48"/>
        <v>928</v>
      </c>
      <c r="Q339" s="910">
        <f t="shared" si="49"/>
        <v>928</v>
      </c>
      <c r="R339" s="1344">
        <f t="shared" si="50"/>
        <v>2</v>
      </c>
      <c r="S339" s="1344">
        <f>(1/9)*cnst_fish!$C$7*(1/cnst_fish!$C$8)^(R339-1)</f>
        <v>1.4102564102564099</v>
      </c>
      <c r="T339" s="1362">
        <f t="shared" si="51"/>
        <v>113.07078789374783</v>
      </c>
      <c r="W339" s="1612"/>
      <c r="X339" s="1612"/>
      <c r="Y339" s="1613"/>
      <c r="Z339" s="1614"/>
      <c r="AA339" s="1614"/>
      <c r="AB339" s="1615"/>
      <c r="AC339" s="1615"/>
      <c r="AD339" s="583"/>
      <c r="AE339" s="583"/>
    </row>
    <row r="340" spans="1:31" ht="14">
      <c r="A340" s="1384" t="s">
        <v>6523</v>
      </c>
      <c r="B340" s="19" t="s">
        <v>6522</v>
      </c>
      <c r="C340" s="1383">
        <v>3484</v>
      </c>
      <c r="D340" s="1236"/>
      <c r="E340" s="1236"/>
      <c r="F340" s="1344">
        <f>(1/S340)*cnst_fish!$C$6</f>
        <v>3.0136363636363641</v>
      </c>
      <c r="G340" s="1344">
        <f t="shared" si="52"/>
        <v>1</v>
      </c>
      <c r="H340" s="1344">
        <f t="shared" si="52"/>
        <v>0.367192066876738</v>
      </c>
      <c r="I340" s="1344">
        <f t="shared" si="46"/>
        <v>0</v>
      </c>
      <c r="J340" s="902">
        <f t="shared" si="47"/>
        <v>0</v>
      </c>
      <c r="L340" s="1460">
        <v>82</v>
      </c>
      <c r="M340" s="1236"/>
      <c r="N340" s="1240" t="s">
        <v>2430</v>
      </c>
      <c r="O340" s="1241" t="s">
        <v>4840</v>
      </c>
      <c r="P340" s="910">
        <f t="shared" si="48"/>
        <v>0</v>
      </c>
      <c r="Q340" s="910">
        <f t="shared" si="49"/>
        <v>82</v>
      </c>
      <c r="R340" s="1344">
        <f t="shared" si="50"/>
        <v>2</v>
      </c>
      <c r="S340" s="1344">
        <f>(1/9)*cnst_fish!$C$7*(1/cnst_fish!$C$8)^(R340-1)</f>
        <v>1.4102564102564099</v>
      </c>
      <c r="T340" s="1362">
        <f t="shared" si="51"/>
        <v>9.9911687578527193</v>
      </c>
      <c r="W340" s="1612"/>
      <c r="X340" s="1612"/>
      <c r="Y340" s="1613"/>
      <c r="Z340" s="1614"/>
      <c r="AA340" s="1614"/>
      <c r="AB340" s="1615"/>
      <c r="AC340" s="1615"/>
      <c r="AD340" s="583"/>
      <c r="AE340" s="583"/>
    </row>
    <row r="341" spans="1:31" ht="14">
      <c r="A341" s="1384" t="s">
        <v>5629</v>
      </c>
      <c r="B341" s="19" t="s">
        <v>3870</v>
      </c>
      <c r="C341" s="1383">
        <v>3245</v>
      </c>
      <c r="D341" s="1236">
        <v>0</v>
      </c>
      <c r="E341" s="1236"/>
      <c r="F341" s="1344">
        <f>(1/S341)*cnst_fish!$C$6</f>
        <v>0.10211530705467774</v>
      </c>
      <c r="G341" s="1344">
        <f t="shared" si="52"/>
        <v>1</v>
      </c>
      <c r="H341" s="1344">
        <f t="shared" si="52"/>
        <v>0.367192066876738</v>
      </c>
      <c r="I341" s="1344">
        <f t="shared" si="46"/>
        <v>0</v>
      </c>
      <c r="J341" s="902">
        <f t="shared" si="47"/>
        <v>0</v>
      </c>
      <c r="L341" s="1460">
        <v>1</v>
      </c>
      <c r="M341" s="1236"/>
      <c r="N341" s="1240" t="s">
        <v>1806</v>
      </c>
      <c r="O341" s="1241" t="s">
        <v>4841</v>
      </c>
      <c r="P341" s="910">
        <f t="shared" si="48"/>
        <v>0</v>
      </c>
      <c r="Q341" s="910">
        <f t="shared" si="49"/>
        <v>1</v>
      </c>
      <c r="R341" s="1344">
        <f t="shared" si="50"/>
        <v>3.47</v>
      </c>
      <c r="S341" s="1344">
        <f>(1/9)*cnst_fish!$C$7*(1/cnst_fish!$C$8)^(R341-1)</f>
        <v>41.619617299141382</v>
      </c>
      <c r="T341" s="1362">
        <f t="shared" si="51"/>
        <v>3.5958572467507217</v>
      </c>
      <c r="W341" s="1612"/>
      <c r="X341" s="1612"/>
      <c r="Y341" s="1613"/>
      <c r="Z341" s="1614"/>
      <c r="AA341" s="1614"/>
      <c r="AB341" s="1615"/>
      <c r="AC341" s="1615"/>
      <c r="AD341" s="583"/>
      <c r="AE341" s="583"/>
    </row>
    <row r="342" spans="1:31" ht="14">
      <c r="A342" s="1384" t="s">
        <v>3055</v>
      </c>
      <c r="B342" s="19" t="s">
        <v>3871</v>
      </c>
      <c r="C342" s="1383">
        <v>2453</v>
      </c>
      <c r="D342" s="1236">
        <v>0</v>
      </c>
      <c r="E342" s="1236"/>
      <c r="F342" s="1344">
        <f>(1/S342)*cnst_fish!$C$6</f>
        <v>0.14424170509541331</v>
      </c>
      <c r="G342" s="1344">
        <f t="shared" si="52"/>
        <v>1</v>
      </c>
      <c r="H342" s="1344">
        <f t="shared" si="52"/>
        <v>0.367192066876738</v>
      </c>
      <c r="I342" s="1344">
        <f t="shared" si="46"/>
        <v>0</v>
      </c>
      <c r="J342" s="902">
        <f t="shared" si="47"/>
        <v>0</v>
      </c>
      <c r="L342" s="1460">
        <v>0</v>
      </c>
      <c r="M342" s="1236"/>
      <c r="N342" s="1240" t="s">
        <v>1806</v>
      </c>
      <c r="O342" s="1241" t="s">
        <v>4841</v>
      </c>
      <c r="P342" s="910">
        <f t="shared" si="48"/>
        <v>0</v>
      </c>
      <c r="Q342" s="910">
        <f t="shared" si="49"/>
        <v>0</v>
      </c>
      <c r="R342" s="1344">
        <f t="shared" si="50"/>
        <v>3.32</v>
      </c>
      <c r="S342" s="1344">
        <f>(1/9)*cnst_fish!$C$7*(1/cnst_fish!$C$8)^(R342-1)</f>
        <v>29.464432614608246</v>
      </c>
      <c r="T342" s="1362">
        <f t="shared" si="51"/>
        <v>0</v>
      </c>
      <c r="W342" s="1612"/>
      <c r="X342" s="1612"/>
      <c r="Y342" s="1613"/>
      <c r="Z342" s="1614"/>
      <c r="AA342" s="1614"/>
      <c r="AB342" s="1615"/>
      <c r="AC342" s="1615"/>
      <c r="AD342" s="583"/>
      <c r="AE342" s="583"/>
    </row>
    <row r="343" spans="1:31" ht="14">
      <c r="A343" s="1384" t="s">
        <v>6763</v>
      </c>
      <c r="B343" s="19" t="s">
        <v>6762</v>
      </c>
      <c r="C343" s="1383">
        <v>11253</v>
      </c>
      <c r="D343" s="1236"/>
      <c r="E343" s="1236"/>
      <c r="F343" s="1344">
        <f>(1/S343)*cnst_fish!$C$6</f>
        <v>6.0129950673834844E-2</v>
      </c>
      <c r="G343" s="1344">
        <f t="shared" si="52"/>
        <v>1</v>
      </c>
      <c r="H343" s="1344">
        <f t="shared" si="52"/>
        <v>0.367192066876738</v>
      </c>
      <c r="I343" s="1344">
        <f t="shared" si="46"/>
        <v>0</v>
      </c>
      <c r="J343" s="902">
        <f t="shared" si="47"/>
        <v>0</v>
      </c>
      <c r="L343" s="1460">
        <v>19</v>
      </c>
      <c r="M343" s="1236"/>
      <c r="N343" s="1240" t="s">
        <v>1806</v>
      </c>
      <c r="O343" s="1241" t="s">
        <v>4841</v>
      </c>
      <c r="P343" s="910">
        <f t="shared" si="48"/>
        <v>0</v>
      </c>
      <c r="Q343" s="910">
        <f t="shared" si="49"/>
        <v>19</v>
      </c>
      <c r="R343" s="1344">
        <f t="shared" si="50"/>
        <v>3.7</v>
      </c>
      <c r="S343" s="1344">
        <f>(1/9)*cnst_fish!$C$7*(1/cnst_fish!$C$8)^(R343-1)</f>
        <v>70.680250896153822</v>
      </c>
      <c r="T343" s="1362">
        <f t="shared" si="51"/>
        <v>116.02619314460648</v>
      </c>
      <c r="W343" s="1612"/>
      <c r="X343" s="1612"/>
      <c r="Y343" s="1613"/>
      <c r="Z343" s="1614"/>
      <c r="AA343" s="1614"/>
      <c r="AB343" s="1615"/>
      <c r="AC343" s="1615"/>
      <c r="AD343" s="583"/>
      <c r="AE343" s="583"/>
    </row>
    <row r="344" spans="1:31" ht="14">
      <c r="A344" s="1384" t="s">
        <v>3456</v>
      </c>
      <c r="B344" s="19" t="s">
        <v>4988</v>
      </c>
      <c r="C344" s="1383">
        <v>11264</v>
      </c>
      <c r="D344" s="1236"/>
      <c r="E344" s="1236"/>
      <c r="F344" s="1344">
        <f>(1/S344)*cnst_fish!$C$6</f>
        <v>0.12855555498429813</v>
      </c>
      <c r="G344" s="1344">
        <f t="shared" si="52"/>
        <v>1</v>
      </c>
      <c r="H344" s="1344">
        <f t="shared" si="52"/>
        <v>0.367192066876738</v>
      </c>
      <c r="I344" s="1344">
        <f t="shared" si="46"/>
        <v>0</v>
      </c>
      <c r="J344" s="902">
        <f t="shared" si="47"/>
        <v>0</v>
      </c>
      <c r="L344" s="1460"/>
      <c r="M344" s="1236">
        <v>2</v>
      </c>
      <c r="N344" s="1240" t="s">
        <v>1806</v>
      </c>
      <c r="O344" s="1241" t="s">
        <v>4845</v>
      </c>
      <c r="P344" s="910">
        <f t="shared" si="48"/>
        <v>0</v>
      </c>
      <c r="Q344" s="910">
        <f t="shared" si="49"/>
        <v>2</v>
      </c>
      <c r="R344" s="1344">
        <f t="shared" si="50"/>
        <v>3.37</v>
      </c>
      <c r="S344" s="1344">
        <f>(1/9)*cnst_fish!$C$7*(1/cnst_fish!$C$8)^(R344-1)</f>
        <v>33.059637139127112</v>
      </c>
      <c r="T344" s="1362">
        <f t="shared" si="51"/>
        <v>5.7125818782640252</v>
      </c>
      <c r="W344" s="1612"/>
      <c r="X344" s="1612"/>
      <c r="Y344" s="1613"/>
      <c r="Z344" s="1614"/>
      <c r="AA344" s="1614"/>
      <c r="AB344" s="1615"/>
      <c r="AC344" s="1615"/>
      <c r="AD344" s="583"/>
      <c r="AE344" s="583"/>
    </row>
    <row r="345" spans="1:31" ht="14">
      <c r="A345" s="1384" t="s">
        <v>3520</v>
      </c>
      <c r="B345" s="19" t="s">
        <v>3521</v>
      </c>
      <c r="C345" s="1383">
        <v>19142</v>
      </c>
      <c r="D345" s="1236"/>
      <c r="E345" s="1236"/>
      <c r="F345" s="1344">
        <f>(1/S345)*cnst_fish!$C$6</f>
        <v>0.29450376249713744</v>
      </c>
      <c r="G345" s="1344">
        <f t="shared" si="52"/>
        <v>1</v>
      </c>
      <c r="H345" s="1344">
        <f t="shared" si="52"/>
        <v>0.367192066876738</v>
      </c>
      <c r="I345" s="1344">
        <f t="shared" si="46"/>
        <v>0</v>
      </c>
      <c r="J345" s="902">
        <f t="shared" si="47"/>
        <v>0</v>
      </c>
      <c r="L345" s="1460"/>
      <c r="M345" s="1236">
        <v>8600</v>
      </c>
      <c r="N345" s="1240" t="s">
        <v>1806</v>
      </c>
      <c r="O345" s="1241" t="s">
        <v>4845</v>
      </c>
      <c r="P345" s="910">
        <f t="shared" si="48"/>
        <v>0</v>
      </c>
      <c r="Q345" s="910">
        <f t="shared" si="49"/>
        <v>8600</v>
      </c>
      <c r="R345" s="1344">
        <f t="shared" si="50"/>
        <v>3.01</v>
      </c>
      <c r="S345" s="1344">
        <f>(1/9)*cnst_fish!$C$7*(1/cnst_fish!$C$8)^(R345-1)</f>
        <v>14.431055019343969</v>
      </c>
      <c r="T345" s="1362">
        <f t="shared" si="51"/>
        <v>10722.6194611712</v>
      </c>
      <c r="W345" s="1612"/>
      <c r="X345" s="1612"/>
      <c r="Y345" s="1613"/>
      <c r="Z345" s="1614"/>
      <c r="AA345" s="1614"/>
      <c r="AB345" s="1615"/>
      <c r="AC345" s="1615"/>
      <c r="AD345" s="583"/>
      <c r="AE345" s="583"/>
    </row>
    <row r="346" spans="1:31" ht="14">
      <c r="A346" s="1384" t="s">
        <v>3503</v>
      </c>
      <c r="B346" s="19" t="s">
        <v>4167</v>
      </c>
      <c r="C346" s="1383">
        <v>2697</v>
      </c>
      <c r="D346" s="1236"/>
      <c r="E346" s="1236"/>
      <c r="F346" s="1344">
        <f>(1/S346)*cnst_fish!$C$6</f>
        <v>2.3938164528281742</v>
      </c>
      <c r="G346" s="1344">
        <f t="shared" si="52"/>
        <v>1</v>
      </c>
      <c r="H346" s="1344">
        <f t="shared" si="52"/>
        <v>0.367192066876738</v>
      </c>
      <c r="I346" s="1344">
        <f t="shared" si="46"/>
        <v>0</v>
      </c>
      <c r="J346" s="902">
        <f t="shared" si="47"/>
        <v>0</v>
      </c>
      <c r="L346" s="1460">
        <v>47558</v>
      </c>
      <c r="M346" s="1236"/>
      <c r="N346" s="1240" t="s">
        <v>1804</v>
      </c>
      <c r="O346" s="1241" t="s">
        <v>4851</v>
      </c>
      <c r="P346" s="910">
        <f t="shared" si="48"/>
        <v>0</v>
      </c>
      <c r="Q346" s="910">
        <f t="shared" si="49"/>
        <v>47558</v>
      </c>
      <c r="R346" s="1344">
        <f t="shared" si="50"/>
        <v>2.1</v>
      </c>
      <c r="S346" s="1344">
        <f>(1/9)*cnst_fish!$C$7*(1/cnst_fish!$C$8)^(R346-1)</f>
        <v>1.7754076320174161</v>
      </c>
      <c r="T346" s="1362">
        <f t="shared" si="51"/>
        <v>7295.0122370043619</v>
      </c>
      <c r="W346" s="1612"/>
      <c r="X346" s="1612"/>
      <c r="Y346" s="1613"/>
      <c r="Z346" s="1614"/>
      <c r="AA346" s="1614"/>
      <c r="AB346" s="1615"/>
      <c r="AC346" s="1615"/>
      <c r="AD346" s="583"/>
      <c r="AE346" s="583"/>
    </row>
    <row r="347" spans="1:31" ht="14">
      <c r="A347" s="1384" t="s">
        <v>5344</v>
      </c>
      <c r="B347" s="19" t="s">
        <v>3990</v>
      </c>
      <c r="C347" s="1383">
        <v>11268</v>
      </c>
      <c r="D347" s="1236"/>
      <c r="E347" s="1236"/>
      <c r="F347" s="1344">
        <f>(1/S347)*cnst_fish!$C$6</f>
        <v>3.460117504783787E-2</v>
      </c>
      <c r="G347" s="1344">
        <f t="shared" si="52"/>
        <v>1</v>
      </c>
      <c r="H347" s="1344">
        <f t="shared" si="52"/>
        <v>0.367192066876738</v>
      </c>
      <c r="I347" s="1344">
        <f t="shared" si="46"/>
        <v>0</v>
      </c>
      <c r="J347" s="902">
        <f t="shared" si="47"/>
        <v>0</v>
      </c>
      <c r="L347" s="1460">
        <v>0</v>
      </c>
      <c r="M347" s="1236"/>
      <c r="N347" s="1240" t="s">
        <v>1806</v>
      </c>
      <c r="O347" s="1241" t="s">
        <v>4841</v>
      </c>
      <c r="P347" s="910">
        <f t="shared" si="48"/>
        <v>0</v>
      </c>
      <c r="Q347" s="910">
        <f t="shared" si="49"/>
        <v>0</v>
      </c>
      <c r="R347" s="1344">
        <f t="shared" si="50"/>
        <v>3.94</v>
      </c>
      <c r="S347" s="1344">
        <f>(1/9)*cnst_fish!$C$7*(1/cnst_fish!$C$8)^(R347-1)</f>
        <v>122.82819858354985</v>
      </c>
      <c r="T347" s="1362">
        <f t="shared" si="51"/>
        <v>0</v>
      </c>
      <c r="W347" s="1612"/>
      <c r="X347" s="1612"/>
      <c r="Y347" s="1613"/>
      <c r="Z347" s="1614"/>
      <c r="AA347" s="1614"/>
      <c r="AB347" s="1615"/>
      <c r="AC347" s="1615"/>
      <c r="AD347" s="583"/>
      <c r="AE347" s="583"/>
    </row>
    <row r="348" spans="1:31" ht="14">
      <c r="A348" s="1384" t="s">
        <v>3556</v>
      </c>
      <c r="B348" s="19" t="s">
        <v>1050</v>
      </c>
      <c r="C348" s="1383">
        <v>2450</v>
      </c>
      <c r="D348" s="1236">
        <v>0</v>
      </c>
      <c r="E348" s="1236"/>
      <c r="F348" s="1344">
        <f>(1/S348)*cnst_fish!$C$6</f>
        <v>0.17745606522761614</v>
      </c>
      <c r="G348" s="1344">
        <f t="shared" ref="G348:H367" si="53">G$7</f>
        <v>1</v>
      </c>
      <c r="H348" s="1344">
        <f t="shared" si="53"/>
        <v>0.367192066876738</v>
      </c>
      <c r="I348" s="1344">
        <f t="shared" si="46"/>
        <v>0</v>
      </c>
      <c r="J348" s="902">
        <f t="shared" si="47"/>
        <v>0</v>
      </c>
      <c r="L348" s="1460">
        <v>2038</v>
      </c>
      <c r="M348" s="1236"/>
      <c r="N348" s="1240" t="s">
        <v>1806</v>
      </c>
      <c r="O348" s="1241" t="s">
        <v>4841</v>
      </c>
      <c r="P348" s="910">
        <f t="shared" si="48"/>
        <v>0</v>
      </c>
      <c r="Q348" s="910">
        <f t="shared" si="49"/>
        <v>2038</v>
      </c>
      <c r="R348" s="1344">
        <f t="shared" si="50"/>
        <v>3.23</v>
      </c>
      <c r="S348" s="1344">
        <f>(1/9)*cnst_fish!$C$7*(1/cnst_fish!$C$8)^(R348-1)</f>
        <v>23.94958997061434</v>
      </c>
      <c r="T348" s="1362">
        <f t="shared" si="51"/>
        <v>4217.0293324994445</v>
      </c>
      <c r="W348" s="1612"/>
      <c r="X348" s="1612"/>
      <c r="Y348" s="1613"/>
      <c r="Z348" s="1614"/>
      <c r="AA348" s="1614"/>
      <c r="AB348" s="1615"/>
      <c r="AC348" s="1615"/>
      <c r="AD348" s="583"/>
      <c r="AE348" s="583"/>
    </row>
    <row r="349" spans="1:31" ht="14">
      <c r="A349" s="1384" t="s">
        <v>3849</v>
      </c>
      <c r="B349" s="19" t="s">
        <v>1338</v>
      </c>
      <c r="C349" s="1383">
        <v>2270</v>
      </c>
      <c r="D349" s="1236"/>
      <c r="E349" s="1236"/>
      <c r="F349" s="1344">
        <f>(1/S349)*cnst_fish!$C$6</f>
        <v>1.9014759972289439E-2</v>
      </c>
      <c r="G349" s="1344">
        <f t="shared" si="53"/>
        <v>1</v>
      </c>
      <c r="H349" s="1344">
        <f t="shared" si="53"/>
        <v>0.367192066876738</v>
      </c>
      <c r="I349" s="1344">
        <f t="shared" si="46"/>
        <v>0</v>
      </c>
      <c r="J349" s="902">
        <f t="shared" si="47"/>
        <v>0</v>
      </c>
      <c r="L349" s="1460"/>
      <c r="M349" s="1236">
        <v>25</v>
      </c>
      <c r="N349" s="1240" t="s">
        <v>1806</v>
      </c>
      <c r="O349" s="1241" t="s">
        <v>4845</v>
      </c>
      <c r="P349" s="910">
        <f t="shared" si="48"/>
        <v>0</v>
      </c>
      <c r="Q349" s="910">
        <f t="shared" si="49"/>
        <v>25</v>
      </c>
      <c r="R349" s="1344">
        <f t="shared" si="50"/>
        <v>4.2</v>
      </c>
      <c r="S349" s="1344">
        <f>(1/9)*cnst_fish!$C$7*(1/cnst_fish!$C$8)^(R349-1)</f>
        <v>223.51057842400343</v>
      </c>
      <c r="T349" s="1362">
        <f t="shared" si="51"/>
        <v>482.77241917838273</v>
      </c>
      <c r="W349" s="1612"/>
      <c r="X349" s="1612"/>
      <c r="Y349" s="1613"/>
      <c r="Z349" s="1614"/>
      <c r="AA349" s="1614"/>
      <c r="AB349" s="1615"/>
      <c r="AC349" s="1615"/>
      <c r="AD349" s="583"/>
      <c r="AE349" s="583"/>
    </row>
    <row r="350" spans="1:31" ht="14">
      <c r="A350" s="1384" t="s">
        <v>3797</v>
      </c>
      <c r="B350" s="19" t="s">
        <v>2345</v>
      </c>
      <c r="C350" s="1383">
        <v>2271</v>
      </c>
      <c r="D350" s="1236"/>
      <c r="E350" s="1236"/>
      <c r="F350" s="1344">
        <f>(1/S350)*cnst_fish!$C$6</f>
        <v>4.2568745094767511E-2</v>
      </c>
      <c r="G350" s="1344">
        <f t="shared" si="53"/>
        <v>1</v>
      </c>
      <c r="H350" s="1344">
        <f t="shared" si="53"/>
        <v>0.367192066876738</v>
      </c>
      <c r="I350" s="1344">
        <f t="shared" si="46"/>
        <v>0</v>
      </c>
      <c r="J350" s="902">
        <f t="shared" si="47"/>
        <v>0</v>
      </c>
      <c r="L350" s="1460"/>
      <c r="M350" s="1236">
        <v>17891</v>
      </c>
      <c r="N350" s="1240" t="s">
        <v>1806</v>
      </c>
      <c r="O350" s="1241" t="s">
        <v>4845</v>
      </c>
      <c r="P350" s="910">
        <f t="shared" si="48"/>
        <v>0</v>
      </c>
      <c r="Q350" s="910">
        <f t="shared" si="49"/>
        <v>17891</v>
      </c>
      <c r="R350" s="1344">
        <f t="shared" si="50"/>
        <v>3.85</v>
      </c>
      <c r="S350" s="1344">
        <f>(1/9)*cnst_fish!$C$7*(1/cnst_fish!$C$8)^(R350-1)</f>
        <v>99.838508054173388</v>
      </c>
      <c r="T350" s="1362">
        <f t="shared" si="51"/>
        <v>154325.2744206271</v>
      </c>
      <c r="W350" s="1612"/>
      <c r="X350" s="1612"/>
      <c r="Y350" s="1613"/>
      <c r="Z350" s="1614"/>
      <c r="AA350" s="1614"/>
      <c r="AB350" s="1615"/>
      <c r="AC350" s="1615"/>
      <c r="AD350" s="583"/>
      <c r="AE350" s="583"/>
    </row>
    <row r="351" spans="1:31" ht="14">
      <c r="A351" s="1384" t="s">
        <v>5603</v>
      </c>
      <c r="B351" s="19" t="s">
        <v>2346</v>
      </c>
      <c r="C351" s="1383">
        <v>3060</v>
      </c>
      <c r="D351" s="1236"/>
      <c r="E351" s="1236"/>
      <c r="F351" s="1344">
        <f>(1/S351)*cnst_fish!$C$6</f>
        <v>3.2291695426024204E-2</v>
      </c>
      <c r="G351" s="1344">
        <f t="shared" si="53"/>
        <v>1</v>
      </c>
      <c r="H351" s="1344">
        <f t="shared" si="53"/>
        <v>0.367192066876738</v>
      </c>
      <c r="I351" s="1344">
        <f t="shared" si="46"/>
        <v>0</v>
      </c>
      <c r="J351" s="902">
        <f t="shared" si="47"/>
        <v>0</v>
      </c>
      <c r="L351" s="1460"/>
      <c r="M351" s="1236">
        <v>137390</v>
      </c>
      <c r="N351" s="1240" t="s">
        <v>1806</v>
      </c>
      <c r="O351" s="1241" t="s">
        <v>4845</v>
      </c>
      <c r="P351" s="910">
        <f t="shared" si="48"/>
        <v>0</v>
      </c>
      <c r="Q351" s="910">
        <f t="shared" si="49"/>
        <v>137390</v>
      </c>
      <c r="R351" s="1344">
        <f t="shared" si="50"/>
        <v>3.97</v>
      </c>
      <c r="S351" s="1344">
        <f>(1/9)*cnst_fish!$C$7*(1/cnst_fish!$C$8)^(R351-1)</f>
        <v>131.61278600983218</v>
      </c>
      <c r="T351" s="1362">
        <f t="shared" si="51"/>
        <v>1562275.297181766</v>
      </c>
      <c r="W351" s="1612"/>
      <c r="X351" s="1612"/>
      <c r="Y351" s="1613"/>
      <c r="Z351" s="1614"/>
      <c r="AA351" s="1614"/>
      <c r="AB351" s="1615"/>
      <c r="AC351" s="1615"/>
      <c r="AD351" s="583"/>
      <c r="AE351" s="583"/>
    </row>
    <row r="352" spans="1:31" ht="14">
      <c r="A352" s="1384" t="s">
        <v>3312</v>
      </c>
      <c r="B352" s="19" t="s">
        <v>621</v>
      </c>
      <c r="C352" s="1383">
        <v>3062</v>
      </c>
      <c r="D352" s="1236"/>
      <c r="E352" s="1236"/>
      <c r="F352" s="1344">
        <f>(1/S352)*cnst_fish!$C$6</f>
        <v>6.7466914312309487E-2</v>
      </c>
      <c r="G352" s="1344">
        <f t="shared" si="53"/>
        <v>1</v>
      </c>
      <c r="H352" s="1344">
        <f t="shared" si="53"/>
        <v>0.367192066876738</v>
      </c>
      <c r="I352" s="1344">
        <f t="shared" si="46"/>
        <v>0</v>
      </c>
      <c r="J352" s="902">
        <f t="shared" si="47"/>
        <v>0</v>
      </c>
      <c r="L352" s="1460"/>
      <c r="M352" s="1236">
        <v>61401</v>
      </c>
      <c r="N352" s="1240" t="s">
        <v>1806</v>
      </c>
      <c r="O352" s="1241" t="s">
        <v>4845</v>
      </c>
      <c r="P352" s="910">
        <f t="shared" si="48"/>
        <v>0</v>
      </c>
      <c r="Q352" s="910">
        <f t="shared" si="49"/>
        <v>61401</v>
      </c>
      <c r="R352" s="1344">
        <f t="shared" si="50"/>
        <v>3.65</v>
      </c>
      <c r="S352" s="1344">
        <f>(1/9)*cnst_fish!$C$7*(1/cnst_fish!$C$8)^(R352-1)</f>
        <v>62.993839918725584</v>
      </c>
      <c r="T352" s="1362">
        <f t="shared" si="51"/>
        <v>334178.02382263436</v>
      </c>
      <c r="W352" s="1612"/>
      <c r="X352" s="1612"/>
      <c r="Y352" s="1613"/>
      <c r="Z352" s="1614"/>
      <c r="AA352" s="1614"/>
      <c r="AB352" s="1615"/>
      <c r="AC352" s="1615"/>
      <c r="AD352" s="583"/>
      <c r="AE352" s="583"/>
    </row>
    <row r="353" spans="1:31" ht="14">
      <c r="A353" s="1384" t="s">
        <v>6524</v>
      </c>
      <c r="B353" s="19" t="s">
        <v>1051</v>
      </c>
      <c r="C353" s="1383">
        <v>2449</v>
      </c>
      <c r="D353" s="1236">
        <v>0</v>
      </c>
      <c r="E353" s="1236"/>
      <c r="F353" s="1344">
        <f>(1/S353)*cnst_fish!$C$6</f>
        <v>7.7462381998898044E-2</v>
      </c>
      <c r="G353" s="1344">
        <f t="shared" si="53"/>
        <v>1</v>
      </c>
      <c r="H353" s="1344">
        <f t="shared" si="53"/>
        <v>0.367192066876738</v>
      </c>
      <c r="I353" s="1344">
        <f t="shared" si="46"/>
        <v>0</v>
      </c>
      <c r="J353" s="902">
        <f t="shared" si="47"/>
        <v>0</v>
      </c>
      <c r="L353" s="1460">
        <v>6</v>
      </c>
      <c r="M353" s="1236"/>
      <c r="N353" s="1240" t="s">
        <v>1806</v>
      </c>
      <c r="O353" s="1241" t="s">
        <v>4841</v>
      </c>
      <c r="P353" s="910">
        <f t="shared" si="48"/>
        <v>0</v>
      </c>
      <c r="Q353" s="910">
        <f t="shared" si="49"/>
        <v>6</v>
      </c>
      <c r="R353" s="1344">
        <f t="shared" si="50"/>
        <v>3.59</v>
      </c>
      <c r="S353" s="1344">
        <f>(1/9)*cnst_fish!$C$7*(1/cnst_fish!$C$8)^(R353-1)</f>
        <v>54.865340960731871</v>
      </c>
      <c r="T353" s="1362">
        <f t="shared" si="51"/>
        <v>28.441578278496127</v>
      </c>
      <c r="W353" s="1612"/>
      <c r="X353" s="1612"/>
      <c r="Y353" s="1613"/>
      <c r="Z353" s="1614"/>
      <c r="AA353" s="1614"/>
      <c r="AB353" s="1615"/>
      <c r="AC353" s="1615"/>
      <c r="AD353" s="583"/>
      <c r="AE353" s="583"/>
    </row>
    <row r="354" spans="1:31" ht="14">
      <c r="A354" s="1384" t="s">
        <v>4878</v>
      </c>
      <c r="B354" s="19" t="s">
        <v>1052</v>
      </c>
      <c r="C354" s="1383">
        <v>3248</v>
      </c>
      <c r="D354" s="1236"/>
      <c r="E354" s="1236"/>
      <c r="F354" s="1344">
        <f>(1/S354)*cnst_fish!$C$6</f>
        <v>0.16946922663690964</v>
      </c>
      <c r="G354" s="1344">
        <f t="shared" si="53"/>
        <v>1</v>
      </c>
      <c r="H354" s="1344">
        <f t="shared" si="53"/>
        <v>0.367192066876738</v>
      </c>
      <c r="I354" s="1344">
        <f t="shared" si="46"/>
        <v>0</v>
      </c>
      <c r="J354" s="902">
        <f t="shared" si="47"/>
        <v>0</v>
      </c>
      <c r="L354" s="1460">
        <v>73</v>
      </c>
      <c r="M354" s="1236"/>
      <c r="N354" s="1240" t="s">
        <v>1806</v>
      </c>
      <c r="O354" s="1241" t="s">
        <v>4841</v>
      </c>
      <c r="P354" s="910">
        <f t="shared" si="48"/>
        <v>0</v>
      </c>
      <c r="Q354" s="910">
        <f t="shared" si="49"/>
        <v>73</v>
      </c>
      <c r="R354" s="1344">
        <f t="shared" si="50"/>
        <v>3.25</v>
      </c>
      <c r="S354" s="1344">
        <f>(1/9)*cnst_fish!$C$7*(1/cnst_fish!$C$8)^(R354-1)</f>
        <v>25.078299372343796</v>
      </c>
      <c r="T354" s="1362">
        <f t="shared" si="51"/>
        <v>158.17043255547532</v>
      </c>
      <c r="W354" s="1612"/>
      <c r="X354" s="1612"/>
      <c r="Y354" s="1613"/>
      <c r="Z354" s="1614"/>
      <c r="AA354" s="1614"/>
      <c r="AB354" s="1615"/>
      <c r="AC354" s="1615"/>
      <c r="AD354" s="583"/>
      <c r="AE354" s="583"/>
    </row>
    <row r="355" spans="1:31" ht="14">
      <c r="A355" s="1384" t="s">
        <v>4310</v>
      </c>
      <c r="B355" s="19" t="s">
        <v>1572</v>
      </c>
      <c r="C355" s="1383">
        <v>2114</v>
      </c>
      <c r="D355" s="1236"/>
      <c r="E355" s="1236"/>
      <c r="F355" s="1344">
        <f>(1/S355)*cnst_fish!$C$6</f>
        <v>2.8124890974018419</v>
      </c>
      <c r="G355" s="1344">
        <f t="shared" si="53"/>
        <v>1</v>
      </c>
      <c r="H355" s="1344">
        <f t="shared" si="53"/>
        <v>0.367192066876738</v>
      </c>
      <c r="I355" s="1344">
        <f t="shared" si="46"/>
        <v>0</v>
      </c>
      <c r="J355" s="902">
        <f t="shared" si="47"/>
        <v>0</v>
      </c>
      <c r="L355" s="1460">
        <v>7295</v>
      </c>
      <c r="M355" s="1236">
        <v>4717</v>
      </c>
      <c r="N355" s="1240" t="s">
        <v>1806</v>
      </c>
      <c r="O355" s="1241" t="s">
        <v>4845</v>
      </c>
      <c r="P355" s="910">
        <f t="shared" si="48"/>
        <v>0</v>
      </c>
      <c r="Q355" s="910">
        <f t="shared" si="49"/>
        <v>12012</v>
      </c>
      <c r="R355" s="1344">
        <f t="shared" si="50"/>
        <v>2.0299999999999998</v>
      </c>
      <c r="S355" s="1344">
        <f>(1/9)*cnst_fish!$C$7*(1/cnst_fish!$C$8)^(R355-1)</f>
        <v>1.5111169689248292</v>
      </c>
      <c r="T355" s="1362">
        <f t="shared" si="51"/>
        <v>1568.2589174827244</v>
      </c>
      <c r="W355" s="1612"/>
      <c r="X355" s="1612"/>
      <c r="Y355" s="1613"/>
      <c r="Z355" s="1614"/>
      <c r="AA355" s="1614"/>
      <c r="AB355" s="1615"/>
      <c r="AC355" s="1615"/>
      <c r="AD355" s="583"/>
      <c r="AE355" s="583"/>
    </row>
    <row r="356" spans="1:31" ht="14">
      <c r="A356" s="1384" t="s">
        <v>1810</v>
      </c>
      <c r="B356" s="19" t="s">
        <v>622</v>
      </c>
      <c r="C356" s="1383">
        <v>2950</v>
      </c>
      <c r="D356" s="1236"/>
      <c r="E356" s="1236"/>
      <c r="F356" s="1344">
        <f>(1/S356)*cnst_fish!$C$6</f>
        <v>0.30136363636363639</v>
      </c>
      <c r="G356" s="1344">
        <f t="shared" si="53"/>
        <v>1</v>
      </c>
      <c r="H356" s="1344">
        <f t="shared" si="53"/>
        <v>0.367192066876738</v>
      </c>
      <c r="I356" s="1344">
        <f t="shared" si="46"/>
        <v>0</v>
      </c>
      <c r="J356" s="902">
        <f t="shared" si="47"/>
        <v>0</v>
      </c>
      <c r="L356" s="1460"/>
      <c r="M356" s="1236">
        <v>70464</v>
      </c>
      <c r="N356" s="1240" t="s">
        <v>1806</v>
      </c>
      <c r="O356" s="1241" t="s">
        <v>4845</v>
      </c>
      <c r="P356" s="910">
        <f t="shared" si="48"/>
        <v>0</v>
      </c>
      <c r="Q356" s="910">
        <f t="shared" si="49"/>
        <v>70464</v>
      </c>
      <c r="R356" s="1344">
        <f t="shared" si="50"/>
        <v>3</v>
      </c>
      <c r="S356" s="1344">
        <f>(1/9)*cnst_fish!$C$7*(1/cnst_fish!$C$8)^(R356-1)</f>
        <v>14.1025641025641</v>
      </c>
      <c r="T356" s="1362">
        <f t="shared" si="51"/>
        <v>85855.818945528546</v>
      </c>
      <c r="W356" s="1612"/>
      <c r="X356" s="1612"/>
      <c r="Y356" s="1613"/>
      <c r="Z356" s="1614"/>
      <c r="AA356" s="1614"/>
      <c r="AB356" s="1615"/>
      <c r="AC356" s="1615"/>
      <c r="AD356" s="583"/>
      <c r="AE356" s="583"/>
    </row>
    <row r="357" spans="1:31" ht="14">
      <c r="A357" s="1384" t="s">
        <v>1712</v>
      </c>
      <c r="B357" s="19" t="s">
        <v>2448</v>
      </c>
      <c r="C357" s="1383">
        <v>18867</v>
      </c>
      <c r="D357" s="1236"/>
      <c r="E357" s="1236"/>
      <c r="F357" s="1344">
        <f>(1/S357)*cnst_fish!$C$6</f>
        <v>0.95032600050805482</v>
      </c>
      <c r="G357" s="1344">
        <f t="shared" si="53"/>
        <v>1</v>
      </c>
      <c r="H357" s="1344">
        <f t="shared" si="53"/>
        <v>0.367192066876738</v>
      </c>
      <c r="I357" s="1344">
        <f t="shared" si="46"/>
        <v>0</v>
      </c>
      <c r="J357" s="902">
        <f t="shared" si="47"/>
        <v>0</v>
      </c>
      <c r="L357" s="1460">
        <v>57483</v>
      </c>
      <c r="M357" s="1236"/>
      <c r="N357" s="1240" t="s">
        <v>2430</v>
      </c>
      <c r="O357" s="1241" t="s">
        <v>4840</v>
      </c>
      <c r="P357" s="910">
        <f t="shared" si="48"/>
        <v>0</v>
      </c>
      <c r="Q357" s="910">
        <f t="shared" si="49"/>
        <v>57483</v>
      </c>
      <c r="R357" s="1344">
        <f t="shared" si="50"/>
        <v>2.501218236046268</v>
      </c>
      <c r="S357" s="1344">
        <f>(1/9)*cnst_fish!$C$7*(1/cnst_fish!$C$8)^(R357-1)</f>
        <v>4.4721495547084924</v>
      </c>
      <c r="T357" s="1362">
        <f t="shared" si="51"/>
        <v>22210.590438429899</v>
      </c>
      <c r="W357" s="1612"/>
      <c r="X357" s="1612"/>
      <c r="Y357" s="1613"/>
      <c r="Z357" s="1614"/>
      <c r="AA357" s="1614"/>
      <c r="AB357" s="1615"/>
      <c r="AC357" s="1615"/>
      <c r="AD357" s="583"/>
      <c r="AE357" s="583"/>
    </row>
    <row r="358" spans="1:31" ht="14">
      <c r="A358" s="1384" t="s">
        <v>302</v>
      </c>
      <c r="B358" s="19" t="s">
        <v>303</v>
      </c>
      <c r="C358" s="1383">
        <v>18825</v>
      </c>
      <c r="D358" s="1236"/>
      <c r="E358" s="1236"/>
      <c r="F358" s="1344">
        <f>(1/S358)*cnst_fish!$C$6</f>
        <v>3.0838329721915438E-2</v>
      </c>
      <c r="G358" s="1344">
        <f t="shared" si="53"/>
        <v>1</v>
      </c>
      <c r="H358" s="1344">
        <f t="shared" si="53"/>
        <v>0.367192066876738</v>
      </c>
      <c r="I358" s="1344">
        <f t="shared" si="46"/>
        <v>0</v>
      </c>
      <c r="J358" s="902">
        <f t="shared" si="47"/>
        <v>0</v>
      </c>
      <c r="L358" s="1460">
        <v>1458</v>
      </c>
      <c r="M358" s="1236"/>
      <c r="N358" s="1240" t="s">
        <v>1806</v>
      </c>
      <c r="O358" s="1241" t="s">
        <v>4841</v>
      </c>
      <c r="P358" s="910">
        <f t="shared" si="48"/>
        <v>0</v>
      </c>
      <c r="Q358" s="910">
        <f t="shared" si="49"/>
        <v>1458</v>
      </c>
      <c r="R358" s="1344">
        <f t="shared" si="50"/>
        <v>3.99</v>
      </c>
      <c r="S358" s="1344">
        <f>(1/9)*cnst_fish!$C$7*(1/cnst_fish!$C$8)^(R358-1)</f>
        <v>137.81550551940927</v>
      </c>
      <c r="T358" s="1362">
        <f t="shared" si="51"/>
        <v>17360.409540138713</v>
      </c>
      <c r="W358" s="1612"/>
      <c r="X358" s="1612"/>
      <c r="Y358" s="1613"/>
      <c r="Z358" s="1614"/>
      <c r="AA358" s="1614"/>
      <c r="AB358" s="1615"/>
      <c r="AC358" s="1615"/>
      <c r="AD358" s="583"/>
      <c r="AE358" s="583"/>
    </row>
    <row r="359" spans="1:31" ht="14">
      <c r="A359" s="1384" t="s">
        <v>3546</v>
      </c>
      <c r="B359" s="19" t="s">
        <v>1053</v>
      </c>
      <c r="C359" s="1383">
        <v>3228</v>
      </c>
      <c r="D359" s="1236"/>
      <c r="E359" s="1236"/>
      <c r="F359" s="1344">
        <f>(1/S359)*cnst_fish!$C$6</f>
        <v>0.19910898001319816</v>
      </c>
      <c r="G359" s="1344">
        <f t="shared" si="53"/>
        <v>1</v>
      </c>
      <c r="H359" s="1344">
        <f t="shared" si="53"/>
        <v>0.367192066876738</v>
      </c>
      <c r="I359" s="1344">
        <f t="shared" si="46"/>
        <v>0</v>
      </c>
      <c r="J359" s="902">
        <f t="shared" si="47"/>
        <v>0</v>
      </c>
      <c r="L359" s="1460">
        <v>2031</v>
      </c>
      <c r="M359" s="1236"/>
      <c r="N359" s="1240" t="s">
        <v>1806</v>
      </c>
      <c r="O359" s="1241" t="s">
        <v>4841</v>
      </c>
      <c r="P359" s="910">
        <f t="shared" si="48"/>
        <v>0</v>
      </c>
      <c r="Q359" s="910">
        <f t="shared" si="49"/>
        <v>2031</v>
      </c>
      <c r="R359" s="1344">
        <f t="shared" si="50"/>
        <v>3.18</v>
      </c>
      <c r="S359" s="1344">
        <f>(1/9)*cnst_fish!$C$7*(1/cnst_fish!$C$8)^(R359-1)</f>
        <v>21.345094529228586</v>
      </c>
      <c r="T359" s="1362">
        <f t="shared" si="51"/>
        <v>3745.5221144582274</v>
      </c>
      <c r="W359" s="1612"/>
      <c r="X359" s="1612"/>
      <c r="Y359" s="1613"/>
      <c r="Z359" s="1614"/>
      <c r="AA359" s="1614"/>
      <c r="AB359" s="1615"/>
      <c r="AC359" s="1615"/>
      <c r="AD359" s="583"/>
      <c r="AE359" s="583"/>
    </row>
    <row r="360" spans="1:31" ht="14">
      <c r="A360" s="1384" t="s">
        <v>2859</v>
      </c>
      <c r="B360" s="19" t="s">
        <v>3132</v>
      </c>
      <c r="C360" s="1383">
        <v>2427</v>
      </c>
      <c r="D360" s="1236"/>
      <c r="E360" s="1236"/>
      <c r="F360" s="1344">
        <f>(1/S360)*cnst_fish!$C$6</f>
        <v>0.1409583630333692</v>
      </c>
      <c r="G360" s="1344">
        <f t="shared" si="53"/>
        <v>1</v>
      </c>
      <c r="H360" s="1344">
        <f t="shared" si="53"/>
        <v>0.367192066876738</v>
      </c>
      <c r="I360" s="1344">
        <f t="shared" si="46"/>
        <v>0</v>
      </c>
      <c r="J360" s="902">
        <f t="shared" si="47"/>
        <v>0</v>
      </c>
      <c r="L360" s="1460">
        <v>360</v>
      </c>
      <c r="M360" s="1236"/>
      <c r="N360" s="1240" t="s">
        <v>1806</v>
      </c>
      <c r="O360" s="1241" t="s">
        <v>4841</v>
      </c>
      <c r="P360" s="910">
        <f t="shared" si="48"/>
        <v>0</v>
      </c>
      <c r="Q360" s="910">
        <f t="shared" si="49"/>
        <v>360</v>
      </c>
      <c r="R360" s="1344">
        <f t="shared" si="50"/>
        <v>3.33</v>
      </c>
      <c r="S360" s="1344">
        <f>(1/9)*cnst_fish!$C$7*(1/cnst_fish!$C$8)^(R360-1)</f>
        <v>30.15074741605714</v>
      </c>
      <c r="T360" s="1362">
        <f t="shared" si="51"/>
        <v>937.78858686328829</v>
      </c>
      <c r="W360" s="1612"/>
      <c r="X360" s="1612"/>
      <c r="Y360" s="1613"/>
      <c r="Z360" s="1614"/>
      <c r="AA360" s="1614"/>
      <c r="AB360" s="1615"/>
      <c r="AC360" s="1615"/>
      <c r="AD360" s="583"/>
      <c r="AE360" s="583"/>
    </row>
    <row r="361" spans="1:31" ht="14">
      <c r="A361" s="1384" t="s">
        <v>1312</v>
      </c>
      <c r="B361" s="19" t="s">
        <v>1992</v>
      </c>
      <c r="C361" s="1383">
        <v>2379</v>
      </c>
      <c r="D361" s="1236"/>
      <c r="E361" s="1236"/>
      <c r="F361" s="1344">
        <f>(1/S361)*cnst_fish!$C$6</f>
        <v>8.6914222116951781E-2</v>
      </c>
      <c r="G361" s="1344">
        <f t="shared" si="53"/>
        <v>1</v>
      </c>
      <c r="H361" s="1344">
        <f t="shared" si="53"/>
        <v>0.367192066876738</v>
      </c>
      <c r="I361" s="1344">
        <f t="shared" si="46"/>
        <v>0</v>
      </c>
      <c r="J361" s="902">
        <f t="shared" si="47"/>
        <v>0</v>
      </c>
      <c r="L361" s="1460">
        <v>151</v>
      </c>
      <c r="M361" s="1236"/>
      <c r="N361" s="1240" t="s">
        <v>1806</v>
      </c>
      <c r="O361" s="1241" t="s">
        <v>4841</v>
      </c>
      <c r="P361" s="910">
        <f t="shared" si="48"/>
        <v>0</v>
      </c>
      <c r="Q361" s="910">
        <f t="shared" si="49"/>
        <v>151</v>
      </c>
      <c r="R361" s="1344">
        <f t="shared" si="50"/>
        <v>3.54</v>
      </c>
      <c r="S361" s="1344">
        <f>(1/9)*cnst_fish!$C$7*(1/cnst_fish!$C$8)^(R361-1)</f>
        <v>48.898786602280119</v>
      </c>
      <c r="T361" s="1362">
        <f t="shared" si="51"/>
        <v>637.93934695497012</v>
      </c>
      <c r="W361" s="1612"/>
      <c r="X361" s="1612"/>
      <c r="Y361" s="1613"/>
      <c r="Z361" s="1614"/>
      <c r="AA361" s="1614"/>
      <c r="AB361" s="1615"/>
      <c r="AC361" s="1615"/>
      <c r="AD361" s="583"/>
      <c r="AE361" s="583"/>
    </row>
    <row r="362" spans="1:31" ht="14">
      <c r="A362" s="1384" t="s">
        <v>4674</v>
      </c>
      <c r="B362" s="19" t="s">
        <v>3133</v>
      </c>
      <c r="C362" s="1383">
        <v>3337</v>
      </c>
      <c r="D362" s="1236"/>
      <c r="E362" s="1236"/>
      <c r="F362" s="1344">
        <f>(1/S362)*cnst_fish!$C$6</f>
        <v>1.8581931192461935E-2</v>
      </c>
      <c r="G362" s="1344">
        <f t="shared" si="53"/>
        <v>1</v>
      </c>
      <c r="H362" s="1344">
        <f t="shared" si="53"/>
        <v>0.367192066876738</v>
      </c>
      <c r="I362" s="1344">
        <f t="shared" si="46"/>
        <v>0</v>
      </c>
      <c r="J362" s="902">
        <f t="shared" si="47"/>
        <v>0</v>
      </c>
      <c r="L362" s="1460">
        <v>754</v>
      </c>
      <c r="M362" s="1236"/>
      <c r="N362" s="1240" t="s">
        <v>1806</v>
      </c>
      <c r="O362" s="1241" t="s">
        <v>4841</v>
      </c>
      <c r="P362" s="910">
        <f t="shared" si="48"/>
        <v>0</v>
      </c>
      <c r="Q362" s="910">
        <f t="shared" si="49"/>
        <v>754</v>
      </c>
      <c r="R362" s="1344">
        <f t="shared" si="50"/>
        <v>4.21</v>
      </c>
      <c r="S362" s="1344">
        <f>(1/9)*cnst_fish!$C$7*(1/cnst_fish!$C$8)^(R362-1)</f>
        <v>228.71680860190045</v>
      </c>
      <c r="T362" s="1362">
        <f t="shared" si="51"/>
        <v>14899.571823695826</v>
      </c>
      <c r="W362" s="1612"/>
      <c r="X362" s="1612"/>
      <c r="Y362" s="1613"/>
      <c r="Z362" s="1614"/>
      <c r="AA362" s="1614"/>
      <c r="AB362" s="1615"/>
      <c r="AC362" s="1615"/>
      <c r="AD362" s="583"/>
      <c r="AE362" s="583"/>
    </row>
    <row r="363" spans="1:31" ht="14">
      <c r="A363" s="1384" t="s">
        <v>3343</v>
      </c>
      <c r="B363" s="19" t="s">
        <v>243</v>
      </c>
      <c r="C363" s="1383">
        <v>3336</v>
      </c>
      <c r="D363" s="1236"/>
      <c r="E363" s="1236"/>
      <c r="F363" s="1344">
        <f>(1/S363)*cnst_fish!$C$6</f>
        <v>6.2963787943464855E-2</v>
      </c>
      <c r="G363" s="1344">
        <f t="shared" si="53"/>
        <v>1</v>
      </c>
      <c r="H363" s="1344">
        <f t="shared" si="53"/>
        <v>0.367192066876738</v>
      </c>
      <c r="I363" s="1344">
        <f t="shared" si="46"/>
        <v>0</v>
      </c>
      <c r="J363" s="902">
        <f t="shared" si="47"/>
        <v>0</v>
      </c>
      <c r="L363" s="1460">
        <v>5794</v>
      </c>
      <c r="M363" s="1236"/>
      <c r="N363" s="1240" t="s">
        <v>1806</v>
      </c>
      <c r="O363" s="1241" t="s">
        <v>4841</v>
      </c>
      <c r="P363" s="910">
        <f t="shared" si="48"/>
        <v>0</v>
      </c>
      <c r="Q363" s="910">
        <f t="shared" si="49"/>
        <v>5794</v>
      </c>
      <c r="R363" s="1344">
        <f t="shared" si="50"/>
        <v>3.68</v>
      </c>
      <c r="S363" s="1344">
        <f>(1/9)*cnst_fish!$C$7*(1/cnst_fish!$C$8)^(R363-1)</f>
        <v>67.499115583961881</v>
      </c>
      <c r="T363" s="1362">
        <f t="shared" si="51"/>
        <v>33789.43524481263</v>
      </c>
      <c r="W363" s="1612"/>
      <c r="X363" s="1612"/>
      <c r="Y363" s="1613"/>
      <c r="Z363" s="1614"/>
      <c r="AA363" s="1614"/>
      <c r="AB363" s="1615"/>
      <c r="AC363" s="1615"/>
      <c r="AD363" s="583"/>
      <c r="AE363" s="583"/>
    </row>
    <row r="364" spans="1:31" ht="14">
      <c r="A364" s="1384" t="s">
        <v>1148</v>
      </c>
      <c r="B364" s="19" t="s">
        <v>391</v>
      </c>
      <c r="C364" s="1383">
        <v>11317</v>
      </c>
      <c r="D364" s="1236"/>
      <c r="E364" s="1236"/>
      <c r="F364" s="1344">
        <f>(1/S364)*cnst_fish!$C$6</f>
        <v>0.11457525898206007</v>
      </c>
      <c r="G364" s="1344">
        <f t="shared" si="53"/>
        <v>1</v>
      </c>
      <c r="H364" s="1344">
        <f t="shared" si="53"/>
        <v>0.367192066876738</v>
      </c>
      <c r="I364" s="1344">
        <f t="shared" si="46"/>
        <v>0</v>
      </c>
      <c r="J364" s="902">
        <f t="shared" si="47"/>
        <v>0</v>
      </c>
      <c r="L364" s="1460">
        <v>90</v>
      </c>
      <c r="M364" s="1236"/>
      <c r="N364" s="1240" t="s">
        <v>1806</v>
      </c>
      <c r="O364" s="1241" t="s">
        <v>4841</v>
      </c>
      <c r="P364" s="910">
        <f t="shared" si="48"/>
        <v>0</v>
      </c>
      <c r="Q364" s="910">
        <f t="shared" si="49"/>
        <v>90</v>
      </c>
      <c r="R364" s="1344">
        <f t="shared" si="50"/>
        <v>3.42</v>
      </c>
      <c r="S364" s="1344">
        <f>(1/9)*cnst_fish!$C$7*(1/cnst_fish!$C$8)^(R364-1)</f>
        <v>37.093522962627169</v>
      </c>
      <c r="T364" s="1362">
        <f t="shared" si="51"/>
        <v>288.43300301054427</v>
      </c>
      <c r="W364" s="1612"/>
      <c r="X364" s="1612"/>
      <c r="Y364" s="1613"/>
      <c r="Z364" s="1614"/>
      <c r="AA364" s="1614"/>
      <c r="AB364" s="1615"/>
      <c r="AC364" s="1615"/>
      <c r="AD364" s="583"/>
      <c r="AE364" s="583"/>
    </row>
    <row r="365" spans="1:31" ht="14">
      <c r="A365" s="1384" t="s">
        <v>3594</v>
      </c>
      <c r="B365" s="19" t="s">
        <v>392</v>
      </c>
      <c r="C365" s="1383">
        <v>2530</v>
      </c>
      <c r="D365" s="1236"/>
      <c r="E365" s="1236"/>
      <c r="F365" s="1344">
        <f>(1/S365)*cnst_fish!$C$6</f>
        <v>6.7466914312309487E-2</v>
      </c>
      <c r="G365" s="1344">
        <f t="shared" si="53"/>
        <v>1</v>
      </c>
      <c r="H365" s="1344">
        <f t="shared" si="53"/>
        <v>0.367192066876738</v>
      </c>
      <c r="I365" s="1344">
        <f t="shared" si="46"/>
        <v>0</v>
      </c>
      <c r="J365" s="902">
        <f t="shared" si="47"/>
        <v>0</v>
      </c>
      <c r="L365" s="1460">
        <v>3866</v>
      </c>
      <c r="M365" s="1236"/>
      <c r="N365" s="1240" t="s">
        <v>1806</v>
      </c>
      <c r="O365" s="1241" t="s">
        <v>4841</v>
      </c>
      <c r="P365" s="910">
        <f t="shared" si="48"/>
        <v>0</v>
      </c>
      <c r="Q365" s="910">
        <f t="shared" si="49"/>
        <v>3866</v>
      </c>
      <c r="R365" s="1344">
        <f t="shared" si="50"/>
        <v>3.65</v>
      </c>
      <c r="S365" s="1344">
        <f>(1/9)*cnst_fish!$C$7*(1/cnst_fish!$C$8)^(R365-1)</f>
        <v>62.993839918725584</v>
      </c>
      <c r="T365" s="1362">
        <f t="shared" si="51"/>
        <v>21040.899009760502</v>
      </c>
      <c r="W365" s="1612"/>
      <c r="X365" s="1612"/>
      <c r="Y365" s="1613"/>
      <c r="Z365" s="1614"/>
      <c r="AA365" s="1614"/>
      <c r="AB365" s="1615"/>
      <c r="AC365" s="1615"/>
      <c r="AD365" s="583"/>
      <c r="AE365" s="583"/>
    </row>
    <row r="366" spans="1:31" ht="14">
      <c r="A366" s="1384" t="s">
        <v>3154</v>
      </c>
      <c r="B366" s="19" t="s">
        <v>1993</v>
      </c>
      <c r="C366" s="1383">
        <v>2260</v>
      </c>
      <c r="D366" s="1236"/>
      <c r="E366" s="1236"/>
      <c r="F366" s="1344">
        <f>(1/S366)*cnst_fish!$C$6</f>
        <v>0.95299549485983426</v>
      </c>
      <c r="G366" s="1344">
        <f t="shared" si="53"/>
        <v>1</v>
      </c>
      <c r="H366" s="1344">
        <f t="shared" si="53"/>
        <v>0.367192066876738</v>
      </c>
      <c r="I366" s="1344">
        <f t="shared" si="46"/>
        <v>0</v>
      </c>
      <c r="J366" s="902">
        <f t="shared" si="47"/>
        <v>0</v>
      </c>
      <c r="L366" s="1460">
        <v>142709</v>
      </c>
      <c r="M366" s="1236">
        <v>5</v>
      </c>
      <c r="N366" s="1240" t="s">
        <v>1806</v>
      </c>
      <c r="O366" s="1241" t="s">
        <v>4841</v>
      </c>
      <c r="P366" s="910">
        <f t="shared" si="48"/>
        <v>0</v>
      </c>
      <c r="Q366" s="910">
        <f t="shared" si="49"/>
        <v>142714</v>
      </c>
      <c r="R366" s="1344">
        <f t="shared" si="50"/>
        <v>2.5</v>
      </c>
      <c r="S366" s="1344">
        <f>(1/9)*cnst_fish!$C$7*(1/cnst_fish!$C$8)^(R366-1)</f>
        <v>4.4596223412630991</v>
      </c>
      <c r="T366" s="1362">
        <f t="shared" si="51"/>
        <v>54988.138889317874</v>
      </c>
      <c r="W366" s="1612"/>
      <c r="X366" s="1612"/>
      <c r="Y366" s="1613"/>
      <c r="Z366" s="1614"/>
      <c r="AA366" s="1614"/>
      <c r="AB366" s="1615"/>
      <c r="AC366" s="1615"/>
      <c r="AD366" s="583"/>
      <c r="AE366" s="583"/>
    </row>
    <row r="367" spans="1:31" ht="14">
      <c r="A367" s="1384" t="s">
        <v>6914</v>
      </c>
      <c r="B367" s="19" t="s">
        <v>6913</v>
      </c>
      <c r="C367" s="1383">
        <v>11324</v>
      </c>
      <c r="D367" s="1236"/>
      <c r="E367" s="1236"/>
      <c r="F367" s="1344">
        <f>(1/S367)*cnst_fish!$C$6</f>
        <v>3.0136363636363641</v>
      </c>
      <c r="G367" s="1344">
        <f t="shared" si="53"/>
        <v>1</v>
      </c>
      <c r="H367" s="1344">
        <f t="shared" si="53"/>
        <v>0.367192066876738</v>
      </c>
      <c r="I367" s="1344">
        <f t="shared" si="46"/>
        <v>0</v>
      </c>
      <c r="J367" s="902">
        <f t="shared" si="47"/>
        <v>0</v>
      </c>
      <c r="L367" s="1460">
        <v>975</v>
      </c>
      <c r="M367" s="1236"/>
      <c r="N367" s="1240" t="s">
        <v>1806</v>
      </c>
      <c r="O367" s="1241" t="s">
        <v>4841</v>
      </c>
      <c r="P367" s="910">
        <f t="shared" si="48"/>
        <v>0</v>
      </c>
      <c r="Q367" s="910">
        <f t="shared" si="49"/>
        <v>975</v>
      </c>
      <c r="R367" s="1344">
        <f t="shared" si="50"/>
        <v>2</v>
      </c>
      <c r="S367" s="1344">
        <f>(1/9)*cnst_fish!$C$7*(1/cnst_fish!$C$8)^(R367-1)</f>
        <v>1.4102564102564099</v>
      </c>
      <c r="T367" s="1362">
        <f t="shared" si="51"/>
        <v>118.79743340129758</v>
      </c>
      <c r="W367" s="1612"/>
      <c r="X367" s="1612"/>
      <c r="Y367" s="1613"/>
      <c r="Z367" s="1614"/>
      <c r="AA367" s="1614"/>
      <c r="AB367" s="1615"/>
      <c r="AC367" s="1615"/>
      <c r="AD367" s="583"/>
      <c r="AE367" s="583"/>
    </row>
    <row r="368" spans="1:31" ht="14">
      <c r="A368" s="1384" t="s">
        <v>748</v>
      </c>
      <c r="B368" s="19" t="s">
        <v>3593</v>
      </c>
      <c r="C368" s="1383">
        <v>3605</v>
      </c>
      <c r="D368" s="1236">
        <v>0</v>
      </c>
      <c r="E368" s="1236"/>
      <c r="F368" s="1344">
        <f>(1/S368)*cnst_fish!$C$6</f>
        <v>3.0136363636363641</v>
      </c>
      <c r="G368" s="1344">
        <f t="shared" ref="G368:H387" si="54">G$7</f>
        <v>1</v>
      </c>
      <c r="H368" s="1344">
        <f t="shared" si="54"/>
        <v>0.367192066876738</v>
      </c>
      <c r="I368" s="1344">
        <f t="shared" si="46"/>
        <v>0</v>
      </c>
      <c r="J368" s="902">
        <f t="shared" si="47"/>
        <v>0</v>
      </c>
      <c r="L368" s="1460">
        <v>3</v>
      </c>
      <c r="M368" s="1236"/>
      <c r="N368" s="1240" t="s">
        <v>2429</v>
      </c>
      <c r="O368" s="1241"/>
      <c r="P368" s="910">
        <f t="shared" si="48"/>
        <v>0</v>
      </c>
      <c r="Q368" s="910">
        <f t="shared" si="49"/>
        <v>3</v>
      </c>
      <c r="R368" s="1344">
        <f t="shared" si="50"/>
        <v>2</v>
      </c>
      <c r="S368" s="1344">
        <f>(1/9)*cnst_fish!$C$7*(1/cnst_fish!$C$8)^(R368-1)</f>
        <v>1.4102564102564099</v>
      </c>
      <c r="T368" s="1362">
        <f t="shared" si="51"/>
        <v>0.36553056431168479</v>
      </c>
      <c r="W368" s="1612"/>
      <c r="X368" s="1612"/>
      <c r="Y368" s="1613"/>
      <c r="Z368" s="1614"/>
      <c r="AA368" s="1614"/>
      <c r="AB368" s="1615"/>
      <c r="AC368" s="1615"/>
      <c r="AD368" s="583"/>
      <c r="AE368" s="583"/>
    </row>
    <row r="369" spans="1:31" ht="14">
      <c r="A369" s="1384" t="s">
        <v>4395</v>
      </c>
      <c r="B369" s="19" t="s">
        <v>6804</v>
      </c>
      <c r="C369" s="1383">
        <v>2625</v>
      </c>
      <c r="D369" s="1236"/>
      <c r="E369" s="1236"/>
      <c r="F369" s="1344">
        <f>(1/S369)*cnst_fish!$C$6</f>
        <v>3.0136363636363641</v>
      </c>
      <c r="G369" s="1344">
        <f t="shared" si="54"/>
        <v>1</v>
      </c>
      <c r="H369" s="1344">
        <f t="shared" si="54"/>
        <v>0.367192066876738</v>
      </c>
      <c r="I369" s="1344">
        <f t="shared" si="46"/>
        <v>0</v>
      </c>
      <c r="J369" s="902">
        <f t="shared" si="47"/>
        <v>0</v>
      </c>
      <c r="L369" s="1460"/>
      <c r="M369" s="1236">
        <v>18</v>
      </c>
      <c r="N369" s="1240" t="s">
        <v>1805</v>
      </c>
      <c r="O369" s="1241" t="s">
        <v>4840</v>
      </c>
      <c r="P369" s="910">
        <f t="shared" si="48"/>
        <v>0</v>
      </c>
      <c r="Q369" s="910">
        <f t="shared" si="49"/>
        <v>18</v>
      </c>
      <c r="R369" s="1344">
        <f t="shared" si="50"/>
        <v>2</v>
      </c>
      <c r="S369" s="1344">
        <f>(1/9)*cnst_fish!$C$7*(1/cnst_fish!$C$8)^(R369-1)</f>
        <v>1.4102564102564099</v>
      </c>
      <c r="T369" s="1362">
        <f t="shared" si="51"/>
        <v>2.1931833858701091</v>
      </c>
      <c r="W369" s="1612"/>
      <c r="X369" s="1612"/>
      <c r="Y369" s="1613"/>
      <c r="Z369" s="1614"/>
      <c r="AA369" s="1614"/>
      <c r="AB369" s="1615"/>
      <c r="AC369" s="1615"/>
      <c r="AD369" s="583"/>
      <c r="AE369" s="583"/>
    </row>
    <row r="370" spans="1:31" ht="14">
      <c r="A370" s="1384" t="s">
        <v>2648</v>
      </c>
      <c r="B370" s="19" t="s">
        <v>720</v>
      </c>
      <c r="C370" s="1383">
        <v>2869</v>
      </c>
      <c r="D370" s="1236"/>
      <c r="E370" s="1236"/>
      <c r="F370" s="1344">
        <f>(1/S370)*cnst_fish!$C$6</f>
        <v>9.5299549485983348E-2</v>
      </c>
      <c r="G370" s="1344">
        <f t="shared" si="54"/>
        <v>1</v>
      </c>
      <c r="H370" s="1344">
        <f t="shared" si="54"/>
        <v>0.367192066876738</v>
      </c>
      <c r="I370" s="1344">
        <f t="shared" si="46"/>
        <v>0</v>
      </c>
      <c r="J370" s="902">
        <f t="shared" si="47"/>
        <v>0</v>
      </c>
      <c r="L370" s="1460">
        <v>551</v>
      </c>
      <c r="M370" s="1236"/>
      <c r="N370" s="1240" t="s">
        <v>1806</v>
      </c>
      <c r="O370" s="1241" t="s">
        <v>4841</v>
      </c>
      <c r="P370" s="910">
        <f t="shared" si="48"/>
        <v>0</v>
      </c>
      <c r="Q370" s="910">
        <f t="shared" si="49"/>
        <v>551</v>
      </c>
      <c r="R370" s="1344">
        <f t="shared" si="50"/>
        <v>3.5</v>
      </c>
      <c r="S370" s="1344">
        <f>(1/9)*cnst_fish!$C$7*(1/cnst_fish!$C$8)^(R370-1)</f>
        <v>44.596223412631026</v>
      </c>
      <c r="T370" s="1362">
        <f t="shared" si="51"/>
        <v>2123.0197827833413</v>
      </c>
      <c r="W370" s="1612"/>
      <c r="X370" s="1612"/>
      <c r="Y370" s="1613"/>
      <c r="Z370" s="1614"/>
      <c r="AA370" s="1614"/>
      <c r="AB370" s="1615"/>
      <c r="AC370" s="1615"/>
      <c r="AD370" s="583"/>
      <c r="AE370" s="583"/>
    </row>
    <row r="371" spans="1:31" ht="14">
      <c r="A371" s="1384" t="s">
        <v>6849</v>
      </c>
      <c r="B371" s="19" t="s">
        <v>6848</v>
      </c>
      <c r="C371" s="1383">
        <v>11350</v>
      </c>
      <c r="D371" s="1236"/>
      <c r="E371" s="1236"/>
      <c r="F371" s="1344">
        <f>(1/S371)*cnst_fish!$C$6</f>
        <v>3.0136363636363641</v>
      </c>
      <c r="G371" s="1344">
        <f t="shared" si="54"/>
        <v>1</v>
      </c>
      <c r="H371" s="1344">
        <f t="shared" si="54"/>
        <v>0.367192066876738</v>
      </c>
      <c r="I371" s="1344">
        <f t="shared" si="46"/>
        <v>0</v>
      </c>
      <c r="J371" s="902">
        <f t="shared" si="47"/>
        <v>0</v>
      </c>
      <c r="L371" s="1460">
        <v>0</v>
      </c>
      <c r="M371" s="1236"/>
      <c r="N371" s="1240" t="s">
        <v>1806</v>
      </c>
      <c r="O371" s="1241" t="s">
        <v>4841</v>
      </c>
      <c r="P371" s="910">
        <f t="shared" si="48"/>
        <v>0</v>
      </c>
      <c r="Q371" s="910">
        <f t="shared" si="49"/>
        <v>0</v>
      </c>
      <c r="R371" s="1344">
        <f t="shared" si="50"/>
        <v>2</v>
      </c>
      <c r="S371" s="1344">
        <f>(1/9)*cnst_fish!$C$7*(1/cnst_fish!$C$8)^(R371-1)</f>
        <v>1.4102564102564099</v>
      </c>
      <c r="T371" s="1362">
        <f t="shared" si="51"/>
        <v>0</v>
      </c>
      <c r="W371" s="1612"/>
      <c r="X371" s="1612"/>
      <c r="Y371" s="1613"/>
      <c r="Z371" s="1614"/>
      <c r="AA371" s="1614"/>
      <c r="AB371" s="1615"/>
      <c r="AC371" s="1615"/>
      <c r="AD371" s="583"/>
      <c r="AE371" s="583"/>
    </row>
    <row r="372" spans="1:31" ht="14">
      <c r="A372" s="1384" t="s">
        <v>1223</v>
      </c>
      <c r="B372" s="19" t="s">
        <v>4665</v>
      </c>
      <c r="C372" s="1383">
        <v>3389</v>
      </c>
      <c r="D372" s="1236"/>
      <c r="E372" s="1236"/>
      <c r="F372" s="1344">
        <f>(1/S372)*cnst_fish!$C$6</f>
        <v>6.5931179849025079E-2</v>
      </c>
      <c r="G372" s="1344">
        <f t="shared" si="54"/>
        <v>1</v>
      </c>
      <c r="H372" s="1344">
        <f t="shared" si="54"/>
        <v>0.367192066876738</v>
      </c>
      <c r="I372" s="1344">
        <f t="shared" si="46"/>
        <v>0</v>
      </c>
      <c r="J372" s="902">
        <f t="shared" si="47"/>
        <v>0</v>
      </c>
      <c r="L372" s="1460">
        <v>116</v>
      </c>
      <c r="M372" s="1236"/>
      <c r="N372" s="1240" t="s">
        <v>1806</v>
      </c>
      <c r="O372" s="1241" t="s">
        <v>4841</v>
      </c>
      <c r="P372" s="910">
        <f t="shared" si="48"/>
        <v>0</v>
      </c>
      <c r="Q372" s="910">
        <f t="shared" si="49"/>
        <v>116</v>
      </c>
      <c r="R372" s="1344">
        <f t="shared" si="50"/>
        <v>3.66</v>
      </c>
      <c r="S372" s="1344">
        <f>(1/9)*cnst_fish!$C$7*(1/cnst_fish!$C$8)^(R372-1)</f>
        <v>64.461154945687568</v>
      </c>
      <c r="T372" s="1362">
        <f t="shared" si="51"/>
        <v>646.04152170850989</v>
      </c>
      <c r="W372" s="1612"/>
      <c r="X372" s="1612"/>
      <c r="Y372" s="1613"/>
      <c r="Z372" s="1614"/>
      <c r="AA372" s="1614"/>
      <c r="AB372" s="1615"/>
      <c r="AC372" s="1615"/>
      <c r="AD372" s="583"/>
      <c r="AE372" s="583"/>
    </row>
    <row r="373" spans="1:31" ht="14">
      <c r="A373" s="1384" t="s">
        <v>5709</v>
      </c>
      <c r="B373" s="19" t="s">
        <v>4698</v>
      </c>
      <c r="C373" s="1383">
        <v>17545</v>
      </c>
      <c r="D373" s="1236"/>
      <c r="E373" s="1236"/>
      <c r="F373" s="1344">
        <f>(1/S373)*cnst_fish!$C$6</f>
        <v>2.6141530827766903</v>
      </c>
      <c r="G373" s="1344">
        <f t="shared" si="54"/>
        <v>1</v>
      </c>
      <c r="H373" s="1344">
        <f t="shared" si="54"/>
        <v>0.367192066876738</v>
      </c>
      <c r="I373" s="1344">
        <f t="shared" si="46"/>
        <v>0</v>
      </c>
      <c r="J373" s="902">
        <f t="shared" si="47"/>
        <v>0</v>
      </c>
      <c r="L373" s="1460">
        <v>1089</v>
      </c>
      <c r="M373" s="1236"/>
      <c r="N373" s="1240" t="s">
        <v>1804</v>
      </c>
      <c r="O373" s="1241" t="s">
        <v>4851</v>
      </c>
      <c r="P373" s="910">
        <f t="shared" si="48"/>
        <v>0</v>
      </c>
      <c r="Q373" s="910">
        <f t="shared" si="49"/>
        <v>1089</v>
      </c>
      <c r="R373" s="1344">
        <f t="shared" si="50"/>
        <v>2.0617598316454031</v>
      </c>
      <c r="S373" s="1344">
        <f>(1/9)*cnst_fish!$C$7*(1/cnst_fish!$C$8)^(R373-1)</f>
        <v>1.6257655406644176</v>
      </c>
      <c r="T373" s="1362">
        <f t="shared" si="51"/>
        <v>152.96432464621893</v>
      </c>
      <c r="W373" s="1612"/>
      <c r="X373" s="1612"/>
      <c r="Y373" s="1613"/>
      <c r="Z373" s="1614"/>
      <c r="AA373" s="1614"/>
      <c r="AB373" s="1615"/>
      <c r="AC373" s="1615"/>
      <c r="AD373" s="583"/>
      <c r="AE373" s="583"/>
    </row>
    <row r="374" spans="1:31" ht="14">
      <c r="A374" s="1384" t="s">
        <v>6529</v>
      </c>
      <c r="B374" s="19" t="s">
        <v>2624</v>
      </c>
      <c r="C374" s="1383">
        <v>11351</v>
      </c>
      <c r="D374" s="1236"/>
      <c r="E374" s="1236"/>
      <c r="F374" s="1344">
        <f>(1/S374)*cnst_fish!$C$6</f>
        <v>5.2370997702765265E-2</v>
      </c>
      <c r="G374" s="1344">
        <f t="shared" si="54"/>
        <v>1</v>
      </c>
      <c r="H374" s="1344">
        <f t="shared" si="54"/>
        <v>0.367192066876738</v>
      </c>
      <c r="I374" s="1344">
        <f t="shared" si="46"/>
        <v>0</v>
      </c>
      <c r="J374" s="902">
        <f t="shared" si="47"/>
        <v>0</v>
      </c>
      <c r="L374" s="1460">
        <v>1</v>
      </c>
      <c r="M374" s="1236"/>
      <c r="N374" s="1240" t="s">
        <v>1806</v>
      </c>
      <c r="O374" s="1241" t="s">
        <v>4841</v>
      </c>
      <c r="P374" s="910">
        <f t="shared" si="48"/>
        <v>0</v>
      </c>
      <c r="Q374" s="910">
        <f t="shared" si="49"/>
        <v>1</v>
      </c>
      <c r="R374" s="1344">
        <f t="shared" si="50"/>
        <v>3.76</v>
      </c>
      <c r="S374" s="1344">
        <f>(1/9)*cnst_fish!$C$7*(1/cnst_fish!$C$8)^(R374-1)</f>
        <v>81.151786034727266</v>
      </c>
      <c r="T374" s="1362">
        <f t="shared" si="51"/>
        <v>7.011362834077719</v>
      </c>
      <c r="W374" s="1612"/>
      <c r="X374" s="1612"/>
      <c r="Y374" s="1613"/>
      <c r="Z374" s="1614"/>
      <c r="AA374" s="1614"/>
      <c r="AB374" s="1615"/>
      <c r="AC374" s="1615"/>
      <c r="AD374" s="583"/>
      <c r="AE374" s="583"/>
    </row>
    <row r="375" spans="1:31" ht="14">
      <c r="A375" s="1384" t="s">
        <v>6530</v>
      </c>
      <c r="B375" s="19" t="s">
        <v>393</v>
      </c>
      <c r="C375" s="1383">
        <v>2452</v>
      </c>
      <c r="D375" s="1236"/>
      <c r="E375" s="1236"/>
      <c r="F375" s="1344">
        <f>(1/S375)*cnst_fish!$C$6</f>
        <v>5.6116535073067304E-2</v>
      </c>
      <c r="G375" s="1344">
        <f t="shared" si="54"/>
        <v>1</v>
      </c>
      <c r="H375" s="1344">
        <f t="shared" si="54"/>
        <v>0.367192066876738</v>
      </c>
      <c r="I375" s="1344">
        <f t="shared" si="46"/>
        <v>0</v>
      </c>
      <c r="J375" s="902">
        <f t="shared" si="47"/>
        <v>0</v>
      </c>
      <c r="L375" s="1460">
        <v>0</v>
      </c>
      <c r="M375" s="1236"/>
      <c r="N375" s="1240" t="s">
        <v>1806</v>
      </c>
      <c r="O375" s="1241" t="s">
        <v>4841</v>
      </c>
      <c r="P375" s="910">
        <f t="shared" si="48"/>
        <v>0</v>
      </c>
      <c r="Q375" s="910">
        <f t="shared" si="49"/>
        <v>0</v>
      </c>
      <c r="R375" s="1344">
        <f t="shared" si="50"/>
        <v>3.73</v>
      </c>
      <c r="S375" s="1344">
        <f>(1/9)*cnst_fish!$C$7*(1/cnst_fish!$C$8)^(R375-1)</f>
        <v>75.735253334266432</v>
      </c>
      <c r="T375" s="1362">
        <f t="shared" si="51"/>
        <v>0</v>
      </c>
      <c r="W375" s="1612"/>
      <c r="X375" s="1612"/>
      <c r="Y375" s="1613"/>
      <c r="Z375" s="1614"/>
      <c r="AA375" s="1614"/>
      <c r="AB375" s="1615"/>
      <c r="AC375" s="1615"/>
      <c r="AD375" s="583"/>
      <c r="AE375" s="583"/>
    </row>
    <row r="376" spans="1:31" ht="14">
      <c r="A376" s="1384" t="s">
        <v>5671</v>
      </c>
      <c r="B376" s="19" t="s">
        <v>5672</v>
      </c>
      <c r="C376" s="1383">
        <v>3247</v>
      </c>
      <c r="D376" s="1236"/>
      <c r="E376" s="1236"/>
      <c r="F376" s="1344">
        <f>(1/S376)*cnst_fish!$C$6</f>
        <v>4.2568745094767511E-2</v>
      </c>
      <c r="G376" s="1344">
        <f t="shared" si="54"/>
        <v>1</v>
      </c>
      <c r="H376" s="1344">
        <f t="shared" si="54"/>
        <v>0.367192066876738</v>
      </c>
      <c r="I376" s="1344">
        <f t="shared" si="46"/>
        <v>0</v>
      </c>
      <c r="J376" s="902">
        <f t="shared" si="47"/>
        <v>0</v>
      </c>
      <c r="L376" s="1460">
        <v>0</v>
      </c>
      <c r="M376" s="1236"/>
      <c r="N376" s="1240" t="s">
        <v>1806</v>
      </c>
      <c r="O376" s="1241" t="s">
        <v>4841</v>
      </c>
      <c r="P376" s="910">
        <f t="shared" si="48"/>
        <v>0</v>
      </c>
      <c r="Q376" s="910">
        <f t="shared" si="49"/>
        <v>0</v>
      </c>
      <c r="R376" s="1344">
        <f t="shared" si="50"/>
        <v>3.85</v>
      </c>
      <c r="S376" s="1344">
        <f>(1/9)*cnst_fish!$C$7*(1/cnst_fish!$C$8)^(R376-1)</f>
        <v>99.838508054173388</v>
      </c>
      <c r="T376" s="1362">
        <f t="shared" si="51"/>
        <v>0</v>
      </c>
      <c r="W376" s="1612"/>
      <c r="X376" s="1612"/>
      <c r="Y376" s="1613"/>
      <c r="Z376" s="1614"/>
      <c r="AA376" s="1614"/>
      <c r="AB376" s="1615"/>
      <c r="AC376" s="1615"/>
      <c r="AD376" s="583"/>
      <c r="AE376" s="583"/>
    </row>
    <row r="377" spans="1:31" ht="14">
      <c r="A377" s="1384" t="s">
        <v>3919</v>
      </c>
      <c r="B377" s="19" t="s">
        <v>394</v>
      </c>
      <c r="C377" s="1383">
        <v>2451</v>
      </c>
      <c r="D377" s="1236">
        <v>0</v>
      </c>
      <c r="E377" s="1236"/>
      <c r="F377" s="1344">
        <f>(1/S377)*cnst_fish!$C$6</f>
        <v>4.2568745094767511E-2</v>
      </c>
      <c r="G377" s="1344">
        <f t="shared" si="54"/>
        <v>1</v>
      </c>
      <c r="H377" s="1344">
        <f t="shared" si="54"/>
        <v>0.367192066876738</v>
      </c>
      <c r="I377" s="1344">
        <f t="shared" si="46"/>
        <v>0</v>
      </c>
      <c r="J377" s="902">
        <f t="shared" si="47"/>
        <v>0</v>
      </c>
      <c r="L377" s="1460">
        <v>0</v>
      </c>
      <c r="M377" s="1236"/>
      <c r="N377" s="1240" t="s">
        <v>1806</v>
      </c>
      <c r="O377" s="1241" t="s">
        <v>4841</v>
      </c>
      <c r="P377" s="910">
        <f t="shared" si="48"/>
        <v>0</v>
      </c>
      <c r="Q377" s="910">
        <f t="shared" si="49"/>
        <v>0</v>
      </c>
      <c r="R377" s="1344">
        <f t="shared" si="50"/>
        <v>3.85</v>
      </c>
      <c r="S377" s="1344">
        <f>(1/9)*cnst_fish!$C$7*(1/cnst_fish!$C$8)^(R377-1)</f>
        <v>99.838508054173388</v>
      </c>
      <c r="T377" s="1362">
        <f t="shared" si="51"/>
        <v>0</v>
      </c>
      <c r="W377" s="1612"/>
      <c r="X377" s="1612"/>
      <c r="Y377" s="1613"/>
      <c r="Z377" s="1614"/>
      <c r="AA377" s="1614"/>
      <c r="AB377" s="1615"/>
      <c r="AC377" s="1615"/>
      <c r="AD377" s="583"/>
      <c r="AE377" s="583"/>
    </row>
    <row r="378" spans="1:31" ht="14">
      <c r="A378" s="1585" t="s">
        <v>8526</v>
      </c>
      <c r="B378" s="1586" t="s">
        <v>8527</v>
      </c>
      <c r="C378" s="1383">
        <v>18728</v>
      </c>
      <c r="D378" s="1236">
        <v>1565</v>
      </c>
      <c r="E378" s="1236"/>
      <c r="F378" s="1344">
        <f>(1/S378)*cnst_fish!$C$6</f>
        <v>1.5103960722494616</v>
      </c>
      <c r="G378" s="1344">
        <f t="shared" si="54"/>
        <v>1</v>
      </c>
      <c r="H378" s="1344">
        <f t="shared" si="54"/>
        <v>0.367192066876738</v>
      </c>
      <c r="I378" s="1344">
        <f t="shared" si="46"/>
        <v>380.46681610224897</v>
      </c>
      <c r="J378" s="902">
        <f t="shared" si="47"/>
        <v>0</v>
      </c>
      <c r="L378" s="1460">
        <v>1565</v>
      </c>
      <c r="M378" s="1236"/>
      <c r="N378" s="1240" t="s">
        <v>2430</v>
      </c>
      <c r="O378" s="1241" t="s">
        <v>4840</v>
      </c>
      <c r="P378" s="910">
        <f t="shared" si="48"/>
        <v>1565</v>
      </c>
      <c r="Q378" s="910">
        <f t="shared" si="49"/>
        <v>1565</v>
      </c>
      <c r="R378" s="1344">
        <f t="shared" si="50"/>
        <v>2.2999999999999998</v>
      </c>
      <c r="S378" s="1344">
        <f>(1/9)*cnst_fish!$C$7*(1/cnst_fish!$C$8)^(R378-1)</f>
        <v>2.8138314698279068</v>
      </c>
      <c r="T378" s="1362">
        <f t="shared" si="51"/>
        <v>380.46681610224897</v>
      </c>
      <c r="W378" s="1616"/>
      <c r="X378" s="1616"/>
      <c r="Y378" s="1613"/>
      <c r="Z378" s="1614"/>
      <c r="AA378" s="1614"/>
      <c r="AB378" s="1615"/>
      <c r="AC378" s="1615"/>
      <c r="AD378" s="583"/>
      <c r="AE378" s="583"/>
    </row>
    <row r="379" spans="1:31" ht="14">
      <c r="A379" s="1384" t="s">
        <v>6809</v>
      </c>
      <c r="B379" s="19" t="s">
        <v>6808</v>
      </c>
      <c r="C379" s="1383">
        <v>6611</v>
      </c>
      <c r="D379" s="1236"/>
      <c r="E379" s="1236"/>
      <c r="F379" s="1344">
        <f>(1/S379)*cnst_fish!$C$6</f>
        <v>3.0136363636363641</v>
      </c>
      <c r="G379" s="1344">
        <f t="shared" si="54"/>
        <v>1</v>
      </c>
      <c r="H379" s="1344">
        <f t="shared" si="54"/>
        <v>0.367192066876738</v>
      </c>
      <c r="I379" s="1344">
        <f t="shared" si="46"/>
        <v>0</v>
      </c>
      <c r="J379" s="902">
        <f t="shared" si="47"/>
        <v>0</v>
      </c>
      <c r="L379" s="1460">
        <v>17389</v>
      </c>
      <c r="M379" s="1236"/>
      <c r="N379" s="1240" t="s">
        <v>2430</v>
      </c>
      <c r="O379" s="1241" t="s">
        <v>4840</v>
      </c>
      <c r="P379" s="910">
        <f t="shared" si="48"/>
        <v>0</v>
      </c>
      <c r="Q379" s="910">
        <f t="shared" si="49"/>
        <v>17389</v>
      </c>
      <c r="R379" s="1344">
        <f t="shared" si="50"/>
        <v>2</v>
      </c>
      <c r="S379" s="1344">
        <f>(1/9)*cnst_fish!$C$7*(1/cnst_fish!$C$8)^(R379-1)</f>
        <v>1.4102564102564099</v>
      </c>
      <c r="T379" s="1362">
        <f t="shared" si="51"/>
        <v>2118.7369942719624</v>
      </c>
      <c r="W379" s="1612"/>
      <c r="X379" s="1612"/>
      <c r="Y379" s="1613"/>
      <c r="Z379" s="1614"/>
      <c r="AA379" s="1614"/>
      <c r="AB379" s="1615"/>
      <c r="AC379" s="1615"/>
      <c r="AD379" s="583"/>
      <c r="AE379" s="583"/>
    </row>
    <row r="380" spans="1:31" ht="14">
      <c r="A380" s="1384" t="s">
        <v>1692</v>
      </c>
      <c r="B380" s="19" t="s">
        <v>2449</v>
      </c>
      <c r="C380" s="1383">
        <v>2644</v>
      </c>
      <c r="D380" s="1236">
        <v>29706</v>
      </c>
      <c r="E380" s="1236"/>
      <c r="F380" s="1344">
        <f>(1/S380)*cnst_fish!$C$6</f>
        <v>1.9014759972289452</v>
      </c>
      <c r="G380" s="1344">
        <f t="shared" si="54"/>
        <v>1</v>
      </c>
      <c r="H380" s="1344">
        <f t="shared" si="54"/>
        <v>0.367192066876738</v>
      </c>
      <c r="I380" s="1344">
        <f t="shared" si="46"/>
        <v>5736.4949936452113</v>
      </c>
      <c r="J380" s="902">
        <f t="shared" si="47"/>
        <v>0</v>
      </c>
      <c r="L380" s="1460">
        <v>130248</v>
      </c>
      <c r="M380" s="1236"/>
      <c r="N380" s="1240" t="s">
        <v>2430</v>
      </c>
      <c r="O380" s="1241" t="s">
        <v>4840</v>
      </c>
      <c r="P380" s="910">
        <f t="shared" si="48"/>
        <v>29706</v>
      </c>
      <c r="Q380" s="910">
        <f t="shared" si="49"/>
        <v>130248</v>
      </c>
      <c r="R380" s="1344">
        <f t="shared" si="50"/>
        <v>2.2000000000000002</v>
      </c>
      <c r="S380" s="1344">
        <f>(1/9)*cnst_fish!$C$7*(1/cnst_fish!$C$8)^(R380-1)</f>
        <v>2.2351057842400328</v>
      </c>
      <c r="T380" s="1362">
        <f t="shared" si="51"/>
        <v>25152.056821258382</v>
      </c>
      <c r="W380" s="1612"/>
      <c r="X380" s="1612"/>
      <c r="Y380" s="1613"/>
      <c r="Z380" s="1614"/>
      <c r="AA380" s="1614"/>
      <c r="AB380" s="1615"/>
      <c r="AC380" s="1615"/>
      <c r="AD380" s="583"/>
      <c r="AE380" s="583"/>
    </row>
    <row r="381" spans="1:31" ht="14">
      <c r="A381" s="1384" t="s">
        <v>164</v>
      </c>
      <c r="B381" s="19" t="s">
        <v>2450</v>
      </c>
      <c r="C381" s="1383">
        <v>3477</v>
      </c>
      <c r="D381" s="1236"/>
      <c r="E381" s="1236"/>
      <c r="F381" s="1344">
        <f>(1/S381)*cnst_fish!$C$6</f>
        <v>1.5103960722494616</v>
      </c>
      <c r="G381" s="1344">
        <f t="shared" si="54"/>
        <v>1</v>
      </c>
      <c r="H381" s="1344">
        <f t="shared" si="54"/>
        <v>0.367192066876738</v>
      </c>
      <c r="I381" s="1344">
        <f t="shared" si="46"/>
        <v>0</v>
      </c>
      <c r="J381" s="902">
        <f t="shared" si="47"/>
        <v>0</v>
      </c>
      <c r="L381" s="1460">
        <v>73268</v>
      </c>
      <c r="M381" s="1236"/>
      <c r="N381" s="1240" t="s">
        <v>2430</v>
      </c>
      <c r="O381" s="1241" t="s">
        <v>4840</v>
      </c>
      <c r="P381" s="910">
        <f t="shared" si="48"/>
        <v>0</v>
      </c>
      <c r="Q381" s="910">
        <f t="shared" si="49"/>
        <v>73268</v>
      </c>
      <c r="R381" s="1344">
        <f t="shared" si="50"/>
        <v>2.2999999999999998</v>
      </c>
      <c r="S381" s="1344">
        <f>(1/9)*cnst_fish!$C$7*(1/cnst_fish!$C$8)^(R381-1)</f>
        <v>2.8138314698279068</v>
      </c>
      <c r="T381" s="1362">
        <f t="shared" si="51"/>
        <v>17812.167848038065</v>
      </c>
      <c r="W381" s="1612"/>
      <c r="X381" s="1612"/>
      <c r="Y381" s="1613"/>
      <c r="Z381" s="1614"/>
      <c r="AA381" s="1614"/>
      <c r="AB381" s="1615"/>
      <c r="AC381" s="1615"/>
      <c r="AD381" s="583"/>
      <c r="AE381" s="583"/>
    </row>
    <row r="382" spans="1:31" ht="14">
      <c r="A382" s="1384" t="s">
        <v>3467</v>
      </c>
      <c r="B382" s="19" t="s">
        <v>1673</v>
      </c>
      <c r="C382" s="1383">
        <v>2113</v>
      </c>
      <c r="D382" s="1236"/>
      <c r="E382" s="1236"/>
      <c r="F382" s="1344">
        <f>(1/S382)*cnst_fish!$C$6</f>
        <v>9.5299549485983424E-3</v>
      </c>
      <c r="G382" s="1344">
        <f t="shared" si="54"/>
        <v>1</v>
      </c>
      <c r="H382" s="1344">
        <f t="shared" si="54"/>
        <v>0.367192066876738</v>
      </c>
      <c r="I382" s="1344">
        <f t="shared" si="46"/>
        <v>0</v>
      </c>
      <c r="J382" s="902">
        <f t="shared" si="47"/>
        <v>0</v>
      </c>
      <c r="L382" s="1460">
        <v>4793</v>
      </c>
      <c r="M382" s="1236"/>
      <c r="N382" s="1240" t="s">
        <v>1806</v>
      </c>
      <c r="O382" s="1241" t="s">
        <v>4859</v>
      </c>
      <c r="P382" s="910">
        <f t="shared" si="48"/>
        <v>0</v>
      </c>
      <c r="Q382" s="910">
        <f t="shared" si="49"/>
        <v>4793</v>
      </c>
      <c r="R382" s="1344">
        <f t="shared" si="50"/>
        <v>4.5</v>
      </c>
      <c r="S382" s="1344">
        <f>(1/9)*cnst_fish!$C$7*(1/cnst_fish!$C$8)^(R382-1)</f>
        <v>445.96223412630997</v>
      </c>
      <c r="T382" s="1362">
        <f t="shared" si="51"/>
        <v>184675.74988893911</v>
      </c>
      <c r="W382" s="1612"/>
      <c r="X382" s="1612"/>
      <c r="Y382" s="1613"/>
      <c r="Z382" s="1614"/>
      <c r="AA382" s="1614"/>
      <c r="AB382" s="1615"/>
      <c r="AC382" s="1615"/>
      <c r="AD382" s="583"/>
      <c r="AE382" s="583"/>
    </row>
    <row r="383" spans="1:31" ht="14">
      <c r="A383" s="1384" t="s">
        <v>4109</v>
      </c>
      <c r="B383" s="19" t="s">
        <v>5177</v>
      </c>
      <c r="C383" s="1383">
        <v>11354</v>
      </c>
      <c r="D383" s="1236"/>
      <c r="E383" s="1236"/>
      <c r="F383" s="1344">
        <f>(1/S383)*cnst_fish!$C$6</f>
        <v>1.9368270753690166E-2</v>
      </c>
      <c r="G383" s="1344">
        <f t="shared" si="54"/>
        <v>1</v>
      </c>
      <c r="H383" s="1344">
        <f t="shared" si="54"/>
        <v>0.367192066876738</v>
      </c>
      <c r="I383" s="1344">
        <f t="shared" si="46"/>
        <v>0</v>
      </c>
      <c r="J383" s="902">
        <f t="shared" si="47"/>
        <v>0</v>
      </c>
      <c r="L383" s="1460">
        <v>7060</v>
      </c>
      <c r="M383" s="1236"/>
      <c r="N383" s="1240" t="s">
        <v>1806</v>
      </c>
      <c r="O383" s="1241" t="s">
        <v>4859</v>
      </c>
      <c r="P383" s="910">
        <f t="shared" si="48"/>
        <v>0</v>
      </c>
      <c r="Q383" s="910">
        <f t="shared" si="49"/>
        <v>7060</v>
      </c>
      <c r="R383" s="1344">
        <f t="shared" si="50"/>
        <v>4.1920000000000002</v>
      </c>
      <c r="S383" s="1344">
        <f>(1/9)*cnst_fish!$C$7*(1/cnst_fish!$C$8)^(R383-1)</f>
        <v>219.43105061097222</v>
      </c>
      <c r="T383" s="1362">
        <f t="shared" si="51"/>
        <v>133846.53824378486</v>
      </c>
      <c r="W383" s="1612"/>
      <c r="X383" s="1612"/>
      <c r="Y383" s="1613"/>
      <c r="Z383" s="1614"/>
      <c r="AA383" s="1614"/>
      <c r="AB383" s="1615"/>
      <c r="AC383" s="1615"/>
      <c r="AD383" s="583"/>
      <c r="AE383" s="583"/>
    </row>
    <row r="384" spans="1:31" ht="14">
      <c r="A384" s="1384" t="s">
        <v>5118</v>
      </c>
      <c r="B384" s="19" t="s">
        <v>1002</v>
      </c>
      <c r="C384" s="1383">
        <v>2926</v>
      </c>
      <c r="D384" s="1236"/>
      <c r="E384" s="1236"/>
      <c r="F384" s="1344">
        <f>(1/S384)*cnst_fish!$C$6</f>
        <v>1.3461419163458574E-2</v>
      </c>
      <c r="G384" s="1344">
        <f t="shared" si="54"/>
        <v>1</v>
      </c>
      <c r="H384" s="1344">
        <f t="shared" si="54"/>
        <v>0.367192066876738</v>
      </c>
      <c r="I384" s="1344">
        <f t="shared" si="46"/>
        <v>0</v>
      </c>
      <c r="J384" s="902">
        <f t="shared" si="47"/>
        <v>0</v>
      </c>
      <c r="L384" s="1460">
        <v>58363</v>
      </c>
      <c r="M384" s="1236"/>
      <c r="N384" s="1240" t="s">
        <v>1806</v>
      </c>
      <c r="O384" s="1241" t="s">
        <v>4859</v>
      </c>
      <c r="P384" s="910">
        <f t="shared" si="48"/>
        <v>0</v>
      </c>
      <c r="Q384" s="910">
        <f t="shared" si="49"/>
        <v>58363</v>
      </c>
      <c r="R384" s="1344">
        <f t="shared" si="50"/>
        <v>4.3499999999999996</v>
      </c>
      <c r="S384" s="1344">
        <f>(1/9)*cnst_fish!$C$7*(1/cnst_fish!$C$8)^(R384-1)</f>
        <v>315.71708364425297</v>
      </c>
      <c r="T384" s="1362">
        <f t="shared" si="51"/>
        <v>1591988.9529404603</v>
      </c>
      <c r="W384" s="1612"/>
      <c r="X384" s="1612"/>
      <c r="Y384" s="1613"/>
      <c r="Z384" s="1614"/>
      <c r="AA384" s="1614"/>
      <c r="AB384" s="1615"/>
      <c r="AC384" s="1615"/>
      <c r="AD384" s="583"/>
      <c r="AE384" s="583"/>
    </row>
    <row r="385" spans="1:31" ht="14">
      <c r="A385" s="1384" t="s">
        <v>6531</v>
      </c>
      <c r="B385" s="19" t="s">
        <v>422</v>
      </c>
      <c r="C385" s="1383">
        <v>19096</v>
      </c>
      <c r="D385" s="1236"/>
      <c r="E385" s="1236"/>
      <c r="F385" s="1344">
        <f>(1/S385)*cnst_fish!$C$6</f>
        <v>0.22860769647470386</v>
      </c>
      <c r="G385" s="1344">
        <f t="shared" si="54"/>
        <v>1</v>
      </c>
      <c r="H385" s="1344">
        <f t="shared" si="54"/>
        <v>0.367192066876738</v>
      </c>
      <c r="I385" s="1344">
        <f t="shared" si="46"/>
        <v>0</v>
      </c>
      <c r="J385" s="902">
        <f t="shared" si="47"/>
        <v>0</v>
      </c>
      <c r="L385" s="1460"/>
      <c r="M385" s="1236">
        <v>3438</v>
      </c>
      <c r="N385" s="1240" t="s">
        <v>1806</v>
      </c>
      <c r="O385" s="1241" t="s">
        <v>4845</v>
      </c>
      <c r="P385" s="910">
        <f t="shared" si="48"/>
        <v>0</v>
      </c>
      <c r="Q385" s="910">
        <f t="shared" si="49"/>
        <v>3438</v>
      </c>
      <c r="R385" s="1344">
        <f t="shared" si="50"/>
        <v>3.12</v>
      </c>
      <c r="S385" s="1344">
        <f>(1/9)*cnst_fish!$C$7*(1/cnst_fish!$C$8)^(R385-1)</f>
        <v>18.590800159128833</v>
      </c>
      <c r="T385" s="1362">
        <f t="shared" si="51"/>
        <v>5522.1514646682708</v>
      </c>
      <c r="W385" s="1612"/>
      <c r="X385" s="1612"/>
      <c r="Y385" s="1613"/>
      <c r="Z385" s="1614"/>
      <c r="AA385" s="1614"/>
      <c r="AB385" s="1615"/>
      <c r="AC385" s="1615"/>
      <c r="AD385" s="583"/>
      <c r="AE385" s="583"/>
    </row>
    <row r="386" spans="1:31" ht="14">
      <c r="A386" s="1384" t="s">
        <v>4290</v>
      </c>
      <c r="B386" s="19" t="s">
        <v>4291</v>
      </c>
      <c r="C386" s="1383">
        <v>19040</v>
      </c>
      <c r="D386" s="1236"/>
      <c r="E386" s="1236"/>
      <c r="F386" s="1344">
        <f>(1/S386)*cnst_fish!$C$6</f>
        <v>9.5299549485983424E-3</v>
      </c>
      <c r="G386" s="1344">
        <f t="shared" si="54"/>
        <v>1</v>
      </c>
      <c r="H386" s="1344">
        <f t="shared" si="54"/>
        <v>0.367192066876738</v>
      </c>
      <c r="I386" s="1344">
        <f t="shared" si="46"/>
        <v>0</v>
      </c>
      <c r="J386" s="902">
        <f t="shared" si="47"/>
        <v>0</v>
      </c>
      <c r="L386" s="1460"/>
      <c r="M386" s="1236">
        <v>3837</v>
      </c>
      <c r="N386" s="1240" t="s">
        <v>1806</v>
      </c>
      <c r="O386" s="1241" t="s">
        <v>4845</v>
      </c>
      <c r="P386" s="910">
        <f t="shared" si="48"/>
        <v>0</v>
      </c>
      <c r="Q386" s="910">
        <f t="shared" si="49"/>
        <v>3837</v>
      </c>
      <c r="R386" s="1344">
        <f t="shared" si="50"/>
        <v>4.5</v>
      </c>
      <c r="S386" s="1344">
        <f>(1/9)*cnst_fish!$C$7*(1/cnst_fish!$C$8)^(R386-1)</f>
        <v>445.96223412630997</v>
      </c>
      <c r="T386" s="1362">
        <f t="shared" si="51"/>
        <v>147840.77870307936</v>
      </c>
      <c r="W386" s="1612"/>
      <c r="X386" s="1612"/>
      <c r="Y386" s="1613"/>
      <c r="Z386" s="1614"/>
      <c r="AA386" s="1614"/>
      <c r="AB386" s="1615"/>
      <c r="AC386" s="1615"/>
      <c r="AD386" s="583"/>
      <c r="AE386" s="583"/>
    </row>
    <row r="387" spans="1:31" ht="14">
      <c r="A387" s="1384" t="s">
        <v>1682</v>
      </c>
      <c r="B387" s="19" t="s">
        <v>1564</v>
      </c>
      <c r="C387" s="1383">
        <v>2684</v>
      </c>
      <c r="D387" s="1236">
        <v>0</v>
      </c>
      <c r="E387" s="1236"/>
      <c r="F387" s="1344">
        <f>(1/S387)*cnst_fish!$C$6</f>
        <v>2.3938164528281742</v>
      </c>
      <c r="G387" s="1344">
        <f t="shared" si="54"/>
        <v>1</v>
      </c>
      <c r="H387" s="1344">
        <f t="shared" si="54"/>
        <v>0.367192066876738</v>
      </c>
      <c r="I387" s="1344">
        <f t="shared" si="46"/>
        <v>0</v>
      </c>
      <c r="J387" s="902">
        <f t="shared" si="47"/>
        <v>0</v>
      </c>
      <c r="L387" s="1460">
        <v>1022</v>
      </c>
      <c r="M387" s="1236"/>
      <c r="N387" s="1240" t="s">
        <v>2437</v>
      </c>
      <c r="O387" s="1241" t="s">
        <v>4851</v>
      </c>
      <c r="P387" s="910">
        <f t="shared" si="48"/>
        <v>0</v>
      </c>
      <c r="Q387" s="910">
        <f t="shared" si="49"/>
        <v>1022</v>
      </c>
      <c r="R387" s="1344">
        <f t="shared" si="50"/>
        <v>2.1</v>
      </c>
      <c r="S387" s="1344">
        <f>(1/9)*cnst_fish!$C$7*(1/cnst_fish!$C$8)^(R387-1)</f>
        <v>1.7754076320174161</v>
      </c>
      <c r="T387" s="1362">
        <f t="shared" si="51"/>
        <v>156.76652731861006</v>
      </c>
      <c r="W387" s="1612"/>
      <c r="X387" s="1612"/>
      <c r="Y387" s="1613"/>
      <c r="Z387" s="1614"/>
      <c r="AA387" s="1614"/>
      <c r="AB387" s="1615"/>
      <c r="AC387" s="1615"/>
      <c r="AD387" s="583"/>
      <c r="AE387" s="583"/>
    </row>
    <row r="388" spans="1:31" ht="14">
      <c r="A388" s="1384" t="s">
        <v>6532</v>
      </c>
      <c r="B388" s="19" t="s">
        <v>5723</v>
      </c>
      <c r="C388" s="1383">
        <v>2145</v>
      </c>
      <c r="D388" s="1236"/>
      <c r="E388" s="1236"/>
      <c r="F388" s="1344">
        <f>(1/S388)*cnst_fish!$C$6</f>
        <v>3.8823156944206696E-2</v>
      </c>
      <c r="G388" s="1344">
        <f t="shared" ref="G388:H407" si="55">G$7</f>
        <v>1</v>
      </c>
      <c r="H388" s="1344">
        <f t="shared" si="55"/>
        <v>0.367192066876738</v>
      </c>
      <c r="I388" s="1344">
        <f t="shared" si="46"/>
        <v>0</v>
      </c>
      <c r="J388" s="902">
        <f t="shared" si="47"/>
        <v>0</v>
      </c>
      <c r="L388" s="1460">
        <v>0</v>
      </c>
      <c r="M388" s="1236"/>
      <c r="N388" s="1240" t="s">
        <v>1806</v>
      </c>
      <c r="O388" s="1241" t="s">
        <v>4841</v>
      </c>
      <c r="P388" s="910">
        <f t="shared" si="48"/>
        <v>0</v>
      </c>
      <c r="Q388" s="910">
        <f t="shared" si="49"/>
        <v>0</v>
      </c>
      <c r="R388" s="1344">
        <f t="shared" si="50"/>
        <v>3.89</v>
      </c>
      <c r="S388" s="1344">
        <f>(1/9)*cnst_fish!$C$7*(1/cnst_fish!$C$8)^(R388-1)</f>
        <v>109.47074721686684</v>
      </c>
      <c r="T388" s="1362">
        <f t="shared" si="51"/>
        <v>0</v>
      </c>
      <c r="W388" s="1612"/>
      <c r="X388" s="1612"/>
      <c r="Y388" s="1613"/>
      <c r="Z388" s="1614"/>
      <c r="AA388" s="1614"/>
      <c r="AB388" s="1615"/>
      <c r="AC388" s="1615"/>
      <c r="AD388" s="583"/>
      <c r="AE388" s="583"/>
    </row>
    <row r="389" spans="1:31" ht="14">
      <c r="A389" s="1384" t="s">
        <v>1516</v>
      </c>
      <c r="B389" s="19" t="s">
        <v>1797</v>
      </c>
      <c r="C389" s="1383">
        <v>3626</v>
      </c>
      <c r="D389" s="1236"/>
      <c r="E389" s="1236"/>
      <c r="F389" s="1344">
        <f>(1/S389)*cnst_fish!$C$6</f>
        <v>30.136363636363644</v>
      </c>
      <c r="G389" s="1344">
        <f t="shared" si="55"/>
        <v>1</v>
      </c>
      <c r="H389" s="1344">
        <f t="shared" si="55"/>
        <v>0.367192066876738</v>
      </c>
      <c r="I389" s="1344">
        <f t="shared" si="46"/>
        <v>0</v>
      </c>
      <c r="J389" s="902">
        <f t="shared" si="47"/>
        <v>0</v>
      </c>
      <c r="L389" s="1460">
        <v>935</v>
      </c>
      <c r="M389" s="1236"/>
      <c r="N389" s="1240" t="s">
        <v>1808</v>
      </c>
      <c r="O389" s="1241" t="s">
        <v>4831</v>
      </c>
      <c r="P389" s="910">
        <f t="shared" si="48"/>
        <v>0</v>
      </c>
      <c r="Q389" s="910">
        <f t="shared" si="49"/>
        <v>935</v>
      </c>
      <c r="R389" s="1344">
        <f t="shared" si="50"/>
        <v>1</v>
      </c>
      <c r="S389" s="1344">
        <f>(1/9)*cnst_fish!$C$7*(1/cnst_fish!$C$8)^(R389-1)</f>
        <v>0.141025641025641</v>
      </c>
      <c r="T389" s="1362">
        <f t="shared" si="51"/>
        <v>11.392369254380842</v>
      </c>
      <c r="W389" s="1612"/>
      <c r="X389" s="1612"/>
      <c r="Y389" s="1613"/>
      <c r="Z389" s="1614"/>
      <c r="AA389" s="1614"/>
      <c r="AB389" s="1615"/>
      <c r="AC389" s="1615"/>
      <c r="AD389" s="583"/>
      <c r="AE389" s="583"/>
    </row>
    <row r="390" spans="1:31" ht="14">
      <c r="A390" s="1384" t="s">
        <v>3253</v>
      </c>
      <c r="B390" s="19" t="s">
        <v>2877</v>
      </c>
      <c r="C390" s="1383">
        <v>2325</v>
      </c>
      <c r="D390" s="1236"/>
      <c r="E390" s="1236"/>
      <c r="F390" s="1344">
        <f>(1/S390)*cnst_fish!$C$6</f>
        <v>0.18581931192461937</v>
      </c>
      <c r="G390" s="1344">
        <f t="shared" si="55"/>
        <v>1</v>
      </c>
      <c r="H390" s="1344">
        <f t="shared" si="55"/>
        <v>0.367192066876738</v>
      </c>
      <c r="I390" s="1344">
        <f t="shared" si="46"/>
        <v>0</v>
      </c>
      <c r="J390" s="902">
        <f t="shared" si="47"/>
        <v>0</v>
      </c>
      <c r="L390" s="1460">
        <v>31131</v>
      </c>
      <c r="M390" s="1236"/>
      <c r="N390" s="1240" t="s">
        <v>1806</v>
      </c>
      <c r="O390" s="1241" t="s">
        <v>4859</v>
      </c>
      <c r="P390" s="910">
        <f t="shared" si="48"/>
        <v>0</v>
      </c>
      <c r="Q390" s="910">
        <f t="shared" si="49"/>
        <v>31131</v>
      </c>
      <c r="R390" s="1344">
        <f t="shared" si="50"/>
        <v>3.21</v>
      </c>
      <c r="S390" s="1344">
        <f>(1/9)*cnst_fish!$C$7*(1/cnst_fish!$C$8)^(R390-1)</f>
        <v>22.87168086019004</v>
      </c>
      <c r="T390" s="1362">
        <f t="shared" si="51"/>
        <v>61517.051782954215</v>
      </c>
      <c r="W390" s="1612"/>
      <c r="X390" s="1612"/>
      <c r="Y390" s="1613"/>
      <c r="Z390" s="1614"/>
      <c r="AA390" s="1614"/>
      <c r="AB390" s="1615"/>
      <c r="AC390" s="1615"/>
      <c r="AD390" s="583"/>
      <c r="AE390" s="583"/>
    </row>
    <row r="391" spans="1:31" ht="14">
      <c r="A391" s="1384" t="s">
        <v>1491</v>
      </c>
      <c r="B391" s="19" t="s">
        <v>4051</v>
      </c>
      <c r="C391" s="1383">
        <v>11371</v>
      </c>
      <c r="D391" s="1236"/>
      <c r="E391" s="1236"/>
      <c r="F391" s="1344">
        <f>(1/S391)*cnst_fish!$C$6</f>
        <v>0.86914222116951789</v>
      </c>
      <c r="G391" s="1344">
        <f t="shared" si="55"/>
        <v>1</v>
      </c>
      <c r="H391" s="1344">
        <f t="shared" si="55"/>
        <v>0.367192066876738</v>
      </c>
      <c r="I391" s="1344">
        <f t="shared" ref="I391:I454" si="56">IF($F391=0,0,D391/$F391*$H391*$G391)</f>
        <v>0</v>
      </c>
      <c r="J391" s="902">
        <f t="shared" ref="J391:J454" si="57">IF($F391=0,0,E391/$F391*$H391*$G391)</f>
        <v>0</v>
      </c>
      <c r="L391" s="1460">
        <v>544</v>
      </c>
      <c r="M391" s="1236"/>
      <c r="N391" s="1240" t="s">
        <v>1806</v>
      </c>
      <c r="O391" s="1241" t="s">
        <v>4859</v>
      </c>
      <c r="P391" s="910">
        <f t="shared" ref="P391:P454" si="58">D391+E391</f>
        <v>0</v>
      </c>
      <c r="Q391" s="910">
        <f t="shared" ref="Q391:Q454" si="59">L391+M391</f>
        <v>544</v>
      </c>
      <c r="R391" s="1344">
        <f t="shared" ref="R391:R454" si="60">VLOOKUP(B391,constant_fish_trophic,3,FALSE)</f>
        <v>2.54</v>
      </c>
      <c r="S391" s="1344">
        <f>(1/9)*cnst_fish!$C$7*(1/cnst_fish!$C$8)^(R391-1)</f>
        <v>4.8898786602280113</v>
      </c>
      <c r="T391" s="1362">
        <f t="shared" ref="T391:T454" si="61">IF(F391=0,0,Q391/F391*H391*G391)</f>
        <v>229.82715545927397</v>
      </c>
      <c r="W391" s="1612"/>
      <c r="X391" s="1612"/>
      <c r="Y391" s="1613"/>
      <c r="Z391" s="1614"/>
      <c r="AA391" s="1614"/>
      <c r="AB391" s="1615"/>
      <c r="AC391" s="1615"/>
      <c r="AD391" s="583"/>
      <c r="AE391" s="583"/>
    </row>
    <row r="392" spans="1:31" ht="14">
      <c r="A392" s="1384" t="s">
        <v>6534</v>
      </c>
      <c r="B392" s="19" t="s">
        <v>6533</v>
      </c>
      <c r="C392" s="1383">
        <v>18446</v>
      </c>
      <c r="D392" s="1236"/>
      <c r="E392" s="1236"/>
      <c r="F392" s="1344">
        <f>(1/S392)*cnst_fish!$C$6</f>
        <v>3.0136363636363641</v>
      </c>
      <c r="G392" s="1344">
        <f t="shared" si="55"/>
        <v>1</v>
      </c>
      <c r="H392" s="1344">
        <f t="shared" si="55"/>
        <v>0.367192066876738</v>
      </c>
      <c r="I392" s="1344">
        <f t="shared" si="56"/>
        <v>0</v>
      </c>
      <c r="J392" s="902">
        <f t="shared" si="57"/>
        <v>0</v>
      </c>
      <c r="L392" s="1460">
        <v>2475</v>
      </c>
      <c r="M392" s="1236"/>
      <c r="N392" s="1240" t="s">
        <v>1808</v>
      </c>
      <c r="O392" s="1241" t="s">
        <v>4831</v>
      </c>
      <c r="P392" s="910">
        <f t="shared" si="58"/>
        <v>0</v>
      </c>
      <c r="Q392" s="910">
        <f t="shared" si="59"/>
        <v>2475</v>
      </c>
      <c r="R392" s="1344">
        <f t="shared" si="60"/>
        <v>2</v>
      </c>
      <c r="S392" s="1344">
        <f>(1/9)*cnst_fish!$C$7*(1/cnst_fish!$C$8)^(R392-1)</f>
        <v>1.4102564102564099</v>
      </c>
      <c r="T392" s="1362">
        <f t="shared" si="61"/>
        <v>301.56271555714</v>
      </c>
      <c r="W392" s="1612"/>
      <c r="X392" s="1612"/>
      <c r="Y392" s="1613"/>
      <c r="Z392" s="1614"/>
      <c r="AA392" s="1614"/>
      <c r="AB392" s="1615"/>
      <c r="AC392" s="1615"/>
      <c r="AD392" s="583"/>
      <c r="AE392" s="583"/>
    </row>
    <row r="393" spans="1:31" ht="14">
      <c r="A393" s="1384" t="s">
        <v>3455</v>
      </c>
      <c r="B393" s="19" t="s">
        <v>4989</v>
      </c>
      <c r="C393" s="1383">
        <v>11379</v>
      </c>
      <c r="D393" s="1236"/>
      <c r="E393" s="1236"/>
      <c r="F393" s="1344">
        <f>(1/S393)*cnst_fish!$C$6</f>
        <v>3.0136363636363641</v>
      </c>
      <c r="G393" s="1344">
        <f t="shared" si="55"/>
        <v>1</v>
      </c>
      <c r="H393" s="1344">
        <f t="shared" si="55"/>
        <v>0.367192066876738</v>
      </c>
      <c r="I393" s="1344">
        <f t="shared" si="56"/>
        <v>0</v>
      </c>
      <c r="J393" s="902">
        <f t="shared" si="57"/>
        <v>0</v>
      </c>
      <c r="L393" s="1460"/>
      <c r="M393" s="1236">
        <v>157</v>
      </c>
      <c r="N393" s="1240" t="s">
        <v>1806</v>
      </c>
      <c r="O393" s="1241" t="s">
        <v>4845</v>
      </c>
      <c r="P393" s="910">
        <f t="shared" si="58"/>
        <v>0</v>
      </c>
      <c r="Q393" s="910">
        <f t="shared" si="59"/>
        <v>157</v>
      </c>
      <c r="R393" s="1344">
        <f t="shared" si="60"/>
        <v>2</v>
      </c>
      <c r="S393" s="1344">
        <f>(1/9)*cnst_fish!$C$7*(1/cnst_fish!$C$8)^(R393-1)</f>
        <v>1.4102564102564099</v>
      </c>
      <c r="T393" s="1362">
        <f t="shared" si="61"/>
        <v>19.129432865644841</v>
      </c>
      <c r="W393" s="1612"/>
      <c r="X393" s="1612"/>
      <c r="Y393" s="1613"/>
      <c r="Z393" s="1614"/>
      <c r="AA393" s="1614"/>
      <c r="AB393" s="1615"/>
      <c r="AC393" s="1615"/>
      <c r="AD393" s="583"/>
      <c r="AE393" s="583"/>
    </row>
    <row r="394" spans="1:31" ht="14">
      <c r="A394" s="1384" t="s">
        <v>58</v>
      </c>
      <c r="B394" s="19" t="s">
        <v>2027</v>
      </c>
      <c r="C394" s="1383">
        <v>2788</v>
      </c>
      <c r="D394" s="1236">
        <v>0</v>
      </c>
      <c r="E394" s="1236"/>
      <c r="F394" s="1344">
        <f>(1/S394)*cnst_fish!$C$6</f>
        <v>30.136363636363644</v>
      </c>
      <c r="G394" s="1344">
        <f t="shared" si="55"/>
        <v>1</v>
      </c>
      <c r="H394" s="1344">
        <f t="shared" si="55"/>
        <v>0.367192066876738</v>
      </c>
      <c r="I394" s="1344">
        <f t="shared" si="56"/>
        <v>0</v>
      </c>
      <c r="J394" s="902">
        <f t="shared" si="57"/>
        <v>0</v>
      </c>
      <c r="L394" s="1460">
        <v>0</v>
      </c>
      <c r="M394" s="1236"/>
      <c r="N394" s="1240" t="s">
        <v>1808</v>
      </c>
      <c r="O394" s="1241" t="s">
        <v>4831</v>
      </c>
      <c r="P394" s="910">
        <f t="shared" si="58"/>
        <v>0</v>
      </c>
      <c r="Q394" s="910">
        <f t="shared" si="59"/>
        <v>0</v>
      </c>
      <c r="R394" s="1344">
        <f t="shared" si="60"/>
        <v>1</v>
      </c>
      <c r="S394" s="1344">
        <f>(1/9)*cnst_fish!$C$7*(1/cnst_fish!$C$8)^(R394-1)</f>
        <v>0.141025641025641</v>
      </c>
      <c r="T394" s="1362">
        <f t="shared" si="61"/>
        <v>0</v>
      </c>
      <c r="W394" s="1612"/>
      <c r="X394" s="1612"/>
      <c r="Y394" s="1613"/>
      <c r="Z394" s="1614"/>
      <c r="AA394" s="1614"/>
      <c r="AB394" s="1615"/>
      <c r="AC394" s="1615"/>
      <c r="AD394" s="583"/>
      <c r="AE394" s="583"/>
    </row>
    <row r="395" spans="1:31" ht="14">
      <c r="A395" s="1384" t="s">
        <v>4776</v>
      </c>
      <c r="B395" s="19" t="s">
        <v>864</v>
      </c>
      <c r="C395" s="1383">
        <v>2690</v>
      </c>
      <c r="D395" s="1236"/>
      <c r="E395" s="1236"/>
      <c r="F395" s="1344">
        <f>(1/S395)*cnst_fish!$C$6</f>
        <v>2.3938164528281742</v>
      </c>
      <c r="G395" s="1344">
        <f t="shared" si="55"/>
        <v>1</v>
      </c>
      <c r="H395" s="1344">
        <f t="shared" si="55"/>
        <v>0.367192066876738</v>
      </c>
      <c r="I395" s="1344">
        <f t="shared" si="56"/>
        <v>0</v>
      </c>
      <c r="J395" s="902">
        <f t="shared" si="57"/>
        <v>0</v>
      </c>
      <c r="L395" s="1460">
        <v>640</v>
      </c>
      <c r="M395" s="1236"/>
      <c r="N395" s="1240" t="s">
        <v>2433</v>
      </c>
      <c r="O395" s="1241" t="s">
        <v>4851</v>
      </c>
      <c r="P395" s="910">
        <f t="shared" si="58"/>
        <v>0</v>
      </c>
      <c r="Q395" s="910">
        <f t="shared" si="59"/>
        <v>640</v>
      </c>
      <c r="R395" s="1344">
        <f t="shared" si="60"/>
        <v>2.1</v>
      </c>
      <c r="S395" s="1344">
        <f>(1/9)*cnst_fish!$C$7*(1/cnst_fish!$C$8)^(R395-1)</f>
        <v>1.7754076320174161</v>
      </c>
      <c r="T395" s="1362">
        <f t="shared" si="61"/>
        <v>98.170819455881059</v>
      </c>
      <c r="W395" s="1612"/>
      <c r="X395" s="1612"/>
      <c r="Y395" s="1613"/>
      <c r="Z395" s="1614"/>
      <c r="AA395" s="1614"/>
      <c r="AB395" s="1615"/>
      <c r="AC395" s="1615"/>
      <c r="AD395" s="583"/>
      <c r="AE395" s="583"/>
    </row>
    <row r="396" spans="1:31" ht="14">
      <c r="A396" s="1384" t="s">
        <v>4286</v>
      </c>
      <c r="B396" s="19" t="s">
        <v>4287</v>
      </c>
      <c r="C396" s="1383">
        <v>19038</v>
      </c>
      <c r="D396" s="1236"/>
      <c r="E396" s="1236"/>
      <c r="F396" s="1344">
        <f>(1/S396)*cnst_fish!$C$6</f>
        <v>0.42568745094767507</v>
      </c>
      <c r="G396" s="1344">
        <f t="shared" si="55"/>
        <v>1</v>
      </c>
      <c r="H396" s="1344">
        <f t="shared" si="55"/>
        <v>0.367192066876738</v>
      </c>
      <c r="I396" s="1344">
        <f t="shared" si="56"/>
        <v>0</v>
      </c>
      <c r="J396" s="902">
        <f t="shared" si="57"/>
        <v>0</v>
      </c>
      <c r="L396" s="1460"/>
      <c r="M396" s="1236">
        <v>181</v>
      </c>
      <c r="N396" s="1240" t="s">
        <v>1806</v>
      </c>
      <c r="O396" s="1241" t="s">
        <v>4845</v>
      </c>
      <c r="P396" s="910">
        <f t="shared" si="58"/>
        <v>0</v>
      </c>
      <c r="Q396" s="910">
        <f t="shared" si="59"/>
        <v>181</v>
      </c>
      <c r="R396" s="1344">
        <f t="shared" si="60"/>
        <v>2.85</v>
      </c>
      <c r="S396" s="1344">
        <f>(1/9)*cnst_fish!$C$7*(1/cnst_fish!$C$8)^(R396-1)</f>
        <v>9.9838508054173385</v>
      </c>
      <c r="T396" s="1362">
        <f t="shared" si="61"/>
        <v>156.1280793143676</v>
      </c>
      <c r="W396" s="1612"/>
      <c r="X396" s="1612"/>
      <c r="Y396" s="1613"/>
      <c r="Z396" s="1614"/>
      <c r="AA396" s="1614"/>
      <c r="AB396" s="1615"/>
      <c r="AC396" s="1615"/>
      <c r="AD396" s="583"/>
      <c r="AE396" s="583"/>
    </row>
    <row r="397" spans="1:31" ht="14">
      <c r="A397" s="1384" t="s">
        <v>6654</v>
      </c>
      <c r="B397" s="19" t="s">
        <v>6653</v>
      </c>
      <c r="C397" s="1383">
        <v>11398</v>
      </c>
      <c r="D397" s="1236"/>
      <c r="E397" s="1236"/>
      <c r="F397" s="1344">
        <f>(1/S397)*cnst_fish!$C$6</f>
        <v>3.7939434000887833E-2</v>
      </c>
      <c r="G397" s="1344">
        <f t="shared" si="55"/>
        <v>1</v>
      </c>
      <c r="H397" s="1344">
        <f t="shared" si="55"/>
        <v>0.367192066876738</v>
      </c>
      <c r="I397" s="1344">
        <f t="shared" si="56"/>
        <v>0</v>
      </c>
      <c r="J397" s="902">
        <f t="shared" si="57"/>
        <v>0</v>
      </c>
      <c r="L397" s="1460"/>
      <c r="M397" s="1236">
        <v>1</v>
      </c>
      <c r="N397" s="1240" t="s">
        <v>1806</v>
      </c>
      <c r="O397" s="1241" t="s">
        <v>4845</v>
      </c>
      <c r="P397" s="910">
        <f t="shared" si="58"/>
        <v>0</v>
      </c>
      <c r="Q397" s="910">
        <f t="shared" si="59"/>
        <v>1</v>
      </c>
      <c r="R397" s="1344">
        <f t="shared" si="60"/>
        <v>3.9</v>
      </c>
      <c r="S397" s="1344">
        <f>(1/9)*cnst_fish!$C$7*(1/cnst_fish!$C$8)^(R397-1)</f>
        <v>112.02064848675771</v>
      </c>
      <c r="T397" s="1362">
        <f t="shared" si="61"/>
        <v>9.6783749295823771</v>
      </c>
      <c r="W397" s="1612"/>
      <c r="X397" s="1612"/>
      <c r="Y397" s="1613"/>
      <c r="Z397" s="1614"/>
      <c r="AA397" s="1614"/>
      <c r="AB397" s="1615"/>
      <c r="AC397" s="1615"/>
      <c r="AD397" s="583"/>
      <c r="AE397" s="583"/>
    </row>
    <row r="398" spans="1:31" ht="14">
      <c r="A398" s="1384" t="s">
        <v>2643</v>
      </c>
      <c r="B398" s="19" t="s">
        <v>2310</v>
      </c>
      <c r="C398" s="1383">
        <v>2187</v>
      </c>
      <c r="D398" s="1236"/>
      <c r="E398" s="1236"/>
      <c r="F398" s="1344">
        <f>(1/S398)*cnst_fish!$C$6</f>
        <v>0.79266712664847161</v>
      </c>
      <c r="G398" s="1344">
        <f t="shared" si="55"/>
        <v>1</v>
      </c>
      <c r="H398" s="1344">
        <f t="shared" si="55"/>
        <v>0.367192066876738</v>
      </c>
      <c r="I398" s="1344">
        <f t="shared" si="56"/>
        <v>0</v>
      </c>
      <c r="J398" s="902">
        <f t="shared" si="57"/>
        <v>0</v>
      </c>
      <c r="L398" s="1460"/>
      <c r="M398" s="1236">
        <v>17821</v>
      </c>
      <c r="N398" s="1240" t="s">
        <v>1806</v>
      </c>
      <c r="O398" s="1241" t="s">
        <v>4845</v>
      </c>
      <c r="P398" s="910">
        <f t="shared" si="58"/>
        <v>0</v>
      </c>
      <c r="Q398" s="910">
        <f t="shared" si="59"/>
        <v>17821</v>
      </c>
      <c r="R398" s="1344">
        <f t="shared" si="60"/>
        <v>2.58</v>
      </c>
      <c r="S398" s="1344">
        <f>(1/9)*cnst_fish!$C$7*(1/cnst_fish!$C$8)^(R398-1)</f>
        <v>5.3616453327258649</v>
      </c>
      <c r="T398" s="1362">
        <f t="shared" si="61"/>
        <v>8255.3314043415994</v>
      </c>
      <c r="W398" s="1612"/>
      <c r="X398" s="1612"/>
      <c r="Y398" s="1613"/>
      <c r="Z398" s="1614"/>
      <c r="AA398" s="1614"/>
      <c r="AB398" s="1615"/>
      <c r="AC398" s="1615"/>
      <c r="AD398" s="583"/>
      <c r="AE398" s="583"/>
    </row>
    <row r="399" spans="1:31" ht="14">
      <c r="A399" s="1384" t="s">
        <v>6536</v>
      </c>
      <c r="B399" s="19" t="s">
        <v>6535</v>
      </c>
      <c r="C399" s="1383">
        <v>19544</v>
      </c>
      <c r="D399" s="1236"/>
      <c r="E399" s="1236"/>
      <c r="F399" s="1344">
        <f>(1/S399)*cnst_fish!$C$6</f>
        <v>3.0136363636363641</v>
      </c>
      <c r="G399" s="1344">
        <f t="shared" si="55"/>
        <v>1</v>
      </c>
      <c r="H399" s="1344">
        <f t="shared" si="55"/>
        <v>0.367192066876738</v>
      </c>
      <c r="I399" s="1344">
        <f t="shared" si="56"/>
        <v>0</v>
      </c>
      <c r="J399" s="902">
        <f t="shared" si="57"/>
        <v>0</v>
      </c>
      <c r="L399" s="1460"/>
      <c r="M399" s="1236">
        <v>1</v>
      </c>
      <c r="N399" s="1240" t="s">
        <v>1806</v>
      </c>
      <c r="O399" s="1241" t="s">
        <v>4845</v>
      </c>
      <c r="P399" s="910">
        <f t="shared" si="58"/>
        <v>0</v>
      </c>
      <c r="Q399" s="910">
        <f t="shared" si="59"/>
        <v>1</v>
      </c>
      <c r="R399" s="1344">
        <f t="shared" si="60"/>
        <v>2</v>
      </c>
      <c r="S399" s="1344">
        <f>(1/9)*cnst_fish!$C$7*(1/cnst_fish!$C$8)^(R399-1)</f>
        <v>1.4102564102564099</v>
      </c>
      <c r="T399" s="1362">
        <f t="shared" si="61"/>
        <v>0.12184352143722826</v>
      </c>
      <c r="W399" s="1612"/>
      <c r="X399" s="1612"/>
      <c r="Y399" s="1613"/>
      <c r="Z399" s="1614"/>
      <c r="AA399" s="1614"/>
      <c r="AB399" s="1615"/>
      <c r="AC399" s="1615"/>
      <c r="AD399" s="583"/>
      <c r="AE399" s="583"/>
    </row>
    <row r="400" spans="1:31" ht="14">
      <c r="A400" s="1384" t="s">
        <v>6538</v>
      </c>
      <c r="B400" s="19" t="s">
        <v>6537</v>
      </c>
      <c r="C400" s="1383">
        <v>19545</v>
      </c>
      <c r="D400" s="1236"/>
      <c r="E400" s="1236"/>
      <c r="F400" s="1344">
        <f>(1/S400)*cnst_fish!$C$6</f>
        <v>6.0129950673834844E-2</v>
      </c>
      <c r="G400" s="1344">
        <f t="shared" si="55"/>
        <v>1</v>
      </c>
      <c r="H400" s="1344">
        <f t="shared" si="55"/>
        <v>0.367192066876738</v>
      </c>
      <c r="I400" s="1344">
        <f t="shared" si="56"/>
        <v>0</v>
      </c>
      <c r="J400" s="902">
        <f t="shared" si="57"/>
        <v>0</v>
      </c>
      <c r="L400" s="1460"/>
      <c r="M400" s="1236">
        <v>22</v>
      </c>
      <c r="N400" s="1240" t="s">
        <v>1806</v>
      </c>
      <c r="O400" s="1241" t="s">
        <v>4845</v>
      </c>
      <c r="P400" s="910">
        <f t="shared" si="58"/>
        <v>0</v>
      </c>
      <c r="Q400" s="910">
        <f t="shared" si="59"/>
        <v>22</v>
      </c>
      <c r="R400" s="1344">
        <f t="shared" si="60"/>
        <v>3.7</v>
      </c>
      <c r="S400" s="1344">
        <f>(1/9)*cnst_fish!$C$7*(1/cnst_fish!$C$8)^(R400-1)</f>
        <v>70.680250896153822</v>
      </c>
      <c r="T400" s="1362">
        <f t="shared" si="61"/>
        <v>134.34611837796538</v>
      </c>
      <c r="W400" s="1612"/>
      <c r="X400" s="1612"/>
      <c r="Y400" s="1613"/>
      <c r="Z400" s="1614"/>
      <c r="AA400" s="1614"/>
      <c r="AB400" s="1615"/>
      <c r="AC400" s="1615"/>
      <c r="AD400" s="583"/>
      <c r="AE400" s="583"/>
    </row>
    <row r="401" spans="1:31" ht="14">
      <c r="A401" s="1384" t="s">
        <v>1784</v>
      </c>
      <c r="B401" s="19" t="s">
        <v>3411</v>
      </c>
      <c r="C401" s="1383">
        <v>2186</v>
      </c>
      <c r="D401" s="1236"/>
      <c r="E401" s="1236"/>
      <c r="F401" s="1344">
        <f>(1/S401)*cnst_fish!$C$6</f>
        <v>0.2878000384237327</v>
      </c>
      <c r="G401" s="1344">
        <f t="shared" si="55"/>
        <v>1</v>
      </c>
      <c r="H401" s="1344">
        <f t="shared" si="55"/>
        <v>0.367192066876738</v>
      </c>
      <c r="I401" s="1344">
        <f t="shared" si="56"/>
        <v>0</v>
      </c>
      <c r="J401" s="902">
        <f t="shared" si="57"/>
        <v>0</v>
      </c>
      <c r="L401" s="1460"/>
      <c r="M401" s="1236">
        <v>10161</v>
      </c>
      <c r="N401" s="1240" t="s">
        <v>1806</v>
      </c>
      <c r="O401" s="1241" t="s">
        <v>4845</v>
      </c>
      <c r="P401" s="910">
        <f t="shared" si="58"/>
        <v>0</v>
      </c>
      <c r="Q401" s="910">
        <f t="shared" si="59"/>
        <v>10161</v>
      </c>
      <c r="R401" s="1344">
        <f t="shared" si="60"/>
        <v>3.02</v>
      </c>
      <c r="S401" s="1344">
        <f>(1/9)*cnst_fish!$C$7*(1/cnst_fish!$C$8)^(R401-1)</f>
        <v>14.767197472512686</v>
      </c>
      <c r="T401" s="1362">
        <f t="shared" si="61"/>
        <v>12963.99615500143</v>
      </c>
      <c r="W401" s="1612"/>
      <c r="X401" s="1612"/>
      <c r="Y401" s="1613"/>
      <c r="Z401" s="1614"/>
      <c r="AA401" s="1614"/>
      <c r="AB401" s="1615"/>
      <c r="AC401" s="1615"/>
      <c r="AD401" s="583"/>
      <c r="AE401" s="583"/>
    </row>
    <row r="402" spans="1:31" ht="14">
      <c r="A402" s="1384" t="s">
        <v>6540</v>
      </c>
      <c r="B402" s="19" t="s">
        <v>6539</v>
      </c>
      <c r="C402" s="1383">
        <v>19546</v>
      </c>
      <c r="D402" s="1236"/>
      <c r="E402" s="1236"/>
      <c r="F402" s="1344">
        <f>(1/S402)*cnst_fish!$C$6</f>
        <v>0.15103960722494611</v>
      </c>
      <c r="G402" s="1344">
        <f t="shared" si="55"/>
        <v>1</v>
      </c>
      <c r="H402" s="1344">
        <f t="shared" si="55"/>
        <v>0.367192066876738</v>
      </c>
      <c r="I402" s="1344">
        <f t="shared" si="56"/>
        <v>0</v>
      </c>
      <c r="J402" s="902">
        <f t="shared" si="57"/>
        <v>0</v>
      </c>
      <c r="L402" s="1460"/>
      <c r="M402" s="1236">
        <v>6</v>
      </c>
      <c r="N402" s="1240" t="s">
        <v>1806</v>
      </c>
      <c r="O402" s="1241" t="s">
        <v>4845</v>
      </c>
      <c r="P402" s="910">
        <f t="shared" si="58"/>
        <v>0</v>
      </c>
      <c r="Q402" s="910">
        <f t="shared" si="59"/>
        <v>6</v>
      </c>
      <c r="R402" s="1344">
        <f t="shared" si="60"/>
        <v>3.3</v>
      </c>
      <c r="S402" s="1344">
        <f>(1/9)*cnst_fish!$C$7*(1/cnst_fish!$C$8)^(R402-1)</f>
        <v>28.138314698279075</v>
      </c>
      <c r="T402" s="1362">
        <f t="shared" si="61"/>
        <v>14.586587198808271</v>
      </c>
      <c r="W402" s="1612"/>
      <c r="X402" s="1612"/>
      <c r="Y402" s="1613"/>
      <c r="Z402" s="1614"/>
      <c r="AA402" s="1614"/>
      <c r="AB402" s="1615"/>
      <c r="AC402" s="1615"/>
      <c r="AD402" s="583"/>
      <c r="AE402" s="583"/>
    </row>
    <row r="403" spans="1:31" ht="14">
      <c r="A403" s="1384" t="s">
        <v>330</v>
      </c>
      <c r="B403" s="19" t="s">
        <v>1994</v>
      </c>
      <c r="C403" s="1383">
        <v>3195</v>
      </c>
      <c r="D403" s="1236"/>
      <c r="E403" s="1236"/>
      <c r="F403" s="1344">
        <f>(1/S403)*cnst_fish!$C$6</f>
        <v>7.3976000504507963E-2</v>
      </c>
      <c r="G403" s="1344">
        <f t="shared" si="55"/>
        <v>1</v>
      </c>
      <c r="H403" s="1344">
        <f t="shared" si="55"/>
        <v>0.367192066876738</v>
      </c>
      <c r="I403" s="1344">
        <f t="shared" si="56"/>
        <v>0</v>
      </c>
      <c r="J403" s="902">
        <f t="shared" si="57"/>
        <v>0</v>
      </c>
      <c r="L403" s="1460">
        <v>272</v>
      </c>
      <c r="M403" s="1236"/>
      <c r="N403" s="1240" t="s">
        <v>1806</v>
      </c>
      <c r="O403" s="1241" t="s">
        <v>4841</v>
      </c>
      <c r="P403" s="910">
        <f t="shared" si="58"/>
        <v>0</v>
      </c>
      <c r="Q403" s="910">
        <f t="shared" si="59"/>
        <v>272</v>
      </c>
      <c r="R403" s="1344">
        <f t="shared" si="60"/>
        <v>3.61</v>
      </c>
      <c r="S403" s="1344">
        <f>(1/9)*cnst_fish!$C$7*(1/cnst_fish!$C$8)^(R403-1)</f>
        <v>57.451064818528707</v>
      </c>
      <c r="T403" s="1362">
        <f t="shared" si="61"/>
        <v>1350.1168150390404</v>
      </c>
      <c r="W403" s="1612"/>
      <c r="X403" s="1612"/>
      <c r="Y403" s="1613"/>
      <c r="Z403" s="1614"/>
      <c r="AA403" s="1614"/>
      <c r="AB403" s="1615"/>
      <c r="AC403" s="1615"/>
      <c r="AD403" s="583"/>
      <c r="AE403" s="583"/>
    </row>
    <row r="404" spans="1:31" ht="14">
      <c r="A404" s="1384" t="s">
        <v>3174</v>
      </c>
      <c r="B404" s="19" t="s">
        <v>3921</v>
      </c>
      <c r="C404" s="1383">
        <v>3220</v>
      </c>
      <c r="D404" s="1236"/>
      <c r="E404" s="1236"/>
      <c r="F404" s="1344">
        <f>(1/S404)*cnst_fish!$C$6</f>
        <v>9.5299549485983424E-3</v>
      </c>
      <c r="G404" s="1344">
        <f t="shared" si="55"/>
        <v>1</v>
      </c>
      <c r="H404" s="1344">
        <f t="shared" si="55"/>
        <v>0.367192066876738</v>
      </c>
      <c r="I404" s="1344">
        <f t="shared" si="56"/>
        <v>0</v>
      </c>
      <c r="J404" s="902">
        <f t="shared" si="57"/>
        <v>0</v>
      </c>
      <c r="L404" s="1460"/>
      <c r="M404" s="1236">
        <v>16</v>
      </c>
      <c r="N404" s="1240" t="s">
        <v>1806</v>
      </c>
      <c r="O404" s="1241" t="s">
        <v>4845</v>
      </c>
      <c r="P404" s="910">
        <f t="shared" si="58"/>
        <v>0</v>
      </c>
      <c r="Q404" s="910">
        <f t="shared" si="59"/>
        <v>16</v>
      </c>
      <c r="R404" s="1344">
        <f t="shared" si="60"/>
        <v>4.5</v>
      </c>
      <c r="S404" s="1344">
        <f>(1/9)*cnst_fish!$C$7*(1/cnst_fish!$C$8)^(R404-1)</f>
        <v>445.96223412630997</v>
      </c>
      <c r="T404" s="1362">
        <f t="shared" si="61"/>
        <v>616.48487340351051</v>
      </c>
      <c r="W404" s="1612"/>
      <c r="X404" s="1612"/>
      <c r="Y404" s="1613"/>
      <c r="Z404" s="1614"/>
      <c r="AA404" s="1614"/>
      <c r="AB404" s="1615"/>
      <c r="AC404" s="1615"/>
      <c r="AD404" s="583"/>
      <c r="AE404" s="583"/>
    </row>
    <row r="405" spans="1:31" ht="14">
      <c r="A405" s="1384" t="s">
        <v>4304</v>
      </c>
      <c r="B405" s="19" t="s">
        <v>5361</v>
      </c>
      <c r="C405" s="1383">
        <v>3219</v>
      </c>
      <c r="D405" s="1236"/>
      <c r="E405" s="1236"/>
      <c r="F405" s="1344">
        <f>(1/S405)*cnst_fish!$C$6</f>
        <v>3.304386563831508E-2</v>
      </c>
      <c r="G405" s="1344">
        <f t="shared" si="55"/>
        <v>1</v>
      </c>
      <c r="H405" s="1344">
        <f t="shared" si="55"/>
        <v>0.367192066876738</v>
      </c>
      <c r="I405" s="1344">
        <f t="shared" si="56"/>
        <v>0</v>
      </c>
      <c r="J405" s="902">
        <f t="shared" si="57"/>
        <v>0</v>
      </c>
      <c r="L405" s="1460"/>
      <c r="M405" s="1236">
        <v>112</v>
      </c>
      <c r="N405" s="1240" t="s">
        <v>1806</v>
      </c>
      <c r="O405" s="1241" t="s">
        <v>4845</v>
      </c>
      <c r="P405" s="910">
        <f t="shared" si="58"/>
        <v>0</v>
      </c>
      <c r="Q405" s="910">
        <f t="shared" si="59"/>
        <v>112</v>
      </c>
      <c r="R405" s="1344">
        <f t="shared" si="60"/>
        <v>3.96</v>
      </c>
      <c r="S405" s="1344">
        <f>(1/9)*cnst_fish!$C$7*(1/cnst_fish!$C$8)^(R405-1)</f>
        <v>128.61691324250009</v>
      </c>
      <c r="T405" s="1362">
        <f t="shared" si="61"/>
        <v>1244.5732572677191</v>
      </c>
      <c r="W405" s="1612"/>
      <c r="X405" s="1612"/>
      <c r="Y405" s="1613"/>
      <c r="Z405" s="1614"/>
      <c r="AA405" s="1614"/>
      <c r="AB405" s="1615"/>
      <c r="AC405" s="1615"/>
      <c r="AD405" s="583"/>
      <c r="AE405" s="583"/>
    </row>
    <row r="406" spans="1:31" ht="14">
      <c r="A406" s="1384" t="s">
        <v>2728</v>
      </c>
      <c r="B406" s="19" t="s">
        <v>5362</v>
      </c>
      <c r="C406" s="1383">
        <v>3215</v>
      </c>
      <c r="D406" s="1236"/>
      <c r="E406" s="1236"/>
      <c r="F406" s="1344">
        <f>(1/S406)*cnst_fish!$C$6</f>
        <v>0.30838329721915442</v>
      </c>
      <c r="G406" s="1344">
        <f t="shared" si="55"/>
        <v>1</v>
      </c>
      <c r="H406" s="1344">
        <f t="shared" si="55"/>
        <v>0.367192066876738</v>
      </c>
      <c r="I406" s="1344">
        <f t="shared" si="56"/>
        <v>0</v>
      </c>
      <c r="J406" s="902">
        <f t="shared" si="57"/>
        <v>0</v>
      </c>
      <c r="L406" s="1460"/>
      <c r="M406" s="1236">
        <v>35903</v>
      </c>
      <c r="N406" s="1240" t="s">
        <v>1806</v>
      </c>
      <c r="O406" s="1241" t="s">
        <v>4845</v>
      </c>
      <c r="P406" s="910">
        <f t="shared" si="58"/>
        <v>0</v>
      </c>
      <c r="Q406" s="910">
        <f t="shared" si="59"/>
        <v>35903</v>
      </c>
      <c r="R406" s="1344">
        <f t="shared" si="60"/>
        <v>2.99</v>
      </c>
      <c r="S406" s="1344">
        <f>(1/9)*cnst_fish!$C$7*(1/cnst_fish!$C$8)^(R406-1)</f>
        <v>13.781550551940924</v>
      </c>
      <c r="T406" s="1362">
        <f t="shared" si="61"/>
        <v>42749.710817530875</v>
      </c>
      <c r="W406" s="1612"/>
      <c r="X406" s="1612"/>
      <c r="Y406" s="1613"/>
      <c r="Z406" s="1614"/>
      <c r="AA406" s="1614"/>
      <c r="AB406" s="1615"/>
      <c r="AC406" s="1615"/>
      <c r="AD406" s="583"/>
      <c r="AE406" s="583"/>
    </row>
    <row r="407" spans="1:31" ht="14">
      <c r="A407" s="1384" t="s">
        <v>2192</v>
      </c>
      <c r="B407" s="19" t="s">
        <v>2572</v>
      </c>
      <c r="C407" s="1383">
        <v>15139</v>
      </c>
      <c r="D407" s="1236"/>
      <c r="E407" s="1236"/>
      <c r="F407" s="1344">
        <f>(1/S407)*cnst_fish!$C$6</f>
        <v>6.5931179849025079E-2</v>
      </c>
      <c r="G407" s="1344">
        <f t="shared" si="55"/>
        <v>1</v>
      </c>
      <c r="H407" s="1344">
        <f t="shared" si="55"/>
        <v>0.367192066876738</v>
      </c>
      <c r="I407" s="1344">
        <f t="shared" si="56"/>
        <v>0</v>
      </c>
      <c r="J407" s="902">
        <f t="shared" si="57"/>
        <v>0</v>
      </c>
      <c r="L407" s="1460">
        <v>2726</v>
      </c>
      <c r="M407" s="1236"/>
      <c r="N407" s="1240" t="s">
        <v>1806</v>
      </c>
      <c r="O407" s="1241" t="s">
        <v>4841</v>
      </c>
      <c r="P407" s="910">
        <f t="shared" si="58"/>
        <v>0</v>
      </c>
      <c r="Q407" s="910">
        <f t="shared" si="59"/>
        <v>2726</v>
      </c>
      <c r="R407" s="1344">
        <f t="shared" si="60"/>
        <v>3.66</v>
      </c>
      <c r="S407" s="1344">
        <f>(1/9)*cnst_fish!$C$7*(1/cnst_fish!$C$8)^(R407-1)</f>
        <v>64.461154945687568</v>
      </c>
      <c r="T407" s="1362">
        <f t="shared" si="61"/>
        <v>15181.975760149982</v>
      </c>
      <c r="W407" s="1612"/>
      <c r="X407" s="1612"/>
      <c r="Y407" s="1613"/>
      <c r="Z407" s="1614"/>
      <c r="AA407" s="1614"/>
      <c r="AB407" s="1615"/>
      <c r="AC407" s="1615"/>
      <c r="AD407" s="583"/>
      <c r="AE407" s="583"/>
    </row>
    <row r="408" spans="1:31" ht="14">
      <c r="A408" s="1384" t="s">
        <v>1535</v>
      </c>
      <c r="B408" s="19" t="s">
        <v>4990</v>
      </c>
      <c r="C408" s="1383">
        <v>2162</v>
      </c>
      <c r="D408" s="1236"/>
      <c r="E408" s="1236"/>
      <c r="F408" s="1344">
        <f>(1/S408)*cnst_fish!$C$6</f>
        <v>3.0136363636363641</v>
      </c>
      <c r="G408" s="1344">
        <f t="shared" ref="G408:H427" si="62">G$7</f>
        <v>1</v>
      </c>
      <c r="H408" s="1344">
        <f t="shared" si="62"/>
        <v>0.367192066876738</v>
      </c>
      <c r="I408" s="1344">
        <f t="shared" si="56"/>
        <v>0</v>
      </c>
      <c r="J408" s="902">
        <f t="shared" si="57"/>
        <v>0</v>
      </c>
      <c r="L408" s="1460"/>
      <c r="M408" s="1236">
        <v>0</v>
      </c>
      <c r="N408" s="1240" t="s">
        <v>5365</v>
      </c>
      <c r="O408" s="1241" t="s">
        <v>4845</v>
      </c>
      <c r="P408" s="910">
        <f t="shared" si="58"/>
        <v>0</v>
      </c>
      <c r="Q408" s="910">
        <f t="shared" si="59"/>
        <v>0</v>
      </c>
      <c r="R408" s="1344">
        <f t="shared" si="60"/>
        <v>2</v>
      </c>
      <c r="S408" s="1344">
        <f>(1/9)*cnst_fish!$C$7*(1/cnst_fish!$C$8)^(R408-1)</f>
        <v>1.4102564102564099</v>
      </c>
      <c r="T408" s="1362">
        <f t="shared" si="61"/>
        <v>0</v>
      </c>
      <c r="W408" s="1612"/>
      <c r="X408" s="1612"/>
      <c r="Y408" s="1613"/>
      <c r="Z408" s="1614"/>
      <c r="AA408" s="1614"/>
      <c r="AB408" s="1615"/>
      <c r="AC408" s="1615"/>
      <c r="AD408" s="583"/>
      <c r="AE408" s="583"/>
    </row>
    <row r="409" spans="1:31" ht="14">
      <c r="A409" s="1384" t="s">
        <v>1915</v>
      </c>
      <c r="B409" s="19" t="s">
        <v>1496</v>
      </c>
      <c r="C409" s="1383">
        <v>11442</v>
      </c>
      <c r="D409" s="1236">
        <v>102</v>
      </c>
      <c r="E409" s="1236"/>
      <c r="F409" s="1344">
        <f>(1/S409)*cnst_fish!$C$6</f>
        <v>0.10692785320993656</v>
      </c>
      <c r="G409" s="1344">
        <f t="shared" si="62"/>
        <v>1</v>
      </c>
      <c r="H409" s="1344">
        <f t="shared" si="62"/>
        <v>0.367192066876738</v>
      </c>
      <c r="I409" s="1344">
        <f t="shared" si="56"/>
        <v>350.26973512591576</v>
      </c>
      <c r="J409" s="902">
        <f t="shared" si="57"/>
        <v>0</v>
      </c>
      <c r="L409" s="1460">
        <v>102</v>
      </c>
      <c r="M409" s="1236"/>
      <c r="N409" s="1240" t="s">
        <v>1806</v>
      </c>
      <c r="O409" s="1241" t="s">
        <v>4841</v>
      </c>
      <c r="P409" s="910">
        <f t="shared" si="58"/>
        <v>102</v>
      </c>
      <c r="Q409" s="910">
        <f t="shared" si="59"/>
        <v>102</v>
      </c>
      <c r="R409" s="1344">
        <f t="shared" si="60"/>
        <v>3.45</v>
      </c>
      <c r="S409" s="1344">
        <f>(1/9)*cnst_fish!$C$7*(1/cnst_fish!$C$8)^(R409-1)</f>
        <v>39.746425953729492</v>
      </c>
      <c r="T409" s="1362">
        <f t="shared" si="61"/>
        <v>350.26973512591576</v>
      </c>
      <c r="W409" s="1612"/>
      <c r="X409" s="1612"/>
      <c r="Y409" s="1613"/>
      <c r="Z409" s="1614"/>
      <c r="AA409" s="1614"/>
      <c r="AB409" s="1615"/>
      <c r="AC409" s="1615"/>
      <c r="AD409" s="583"/>
      <c r="AE409" s="583"/>
    </row>
    <row r="410" spans="1:31" ht="14">
      <c r="A410" s="1384" t="s">
        <v>1248</v>
      </c>
      <c r="B410" s="19" t="s">
        <v>1249</v>
      </c>
      <c r="C410" s="1383">
        <v>2564</v>
      </c>
      <c r="D410" s="1236"/>
      <c r="E410" s="1236"/>
      <c r="F410" s="1344">
        <f>(1/S410)*cnst_fish!$C$6</f>
        <v>7.0646532025323075E-2</v>
      </c>
      <c r="G410" s="1344">
        <f t="shared" si="62"/>
        <v>1</v>
      </c>
      <c r="H410" s="1344">
        <f t="shared" si="62"/>
        <v>0.367192066876738</v>
      </c>
      <c r="I410" s="1344">
        <f t="shared" si="56"/>
        <v>0</v>
      </c>
      <c r="J410" s="902">
        <f t="shared" si="57"/>
        <v>0</v>
      </c>
      <c r="L410" s="1460">
        <v>615</v>
      </c>
      <c r="M410" s="1236"/>
      <c r="N410" s="1240" t="s">
        <v>1806</v>
      </c>
      <c r="O410" s="1241" t="s">
        <v>4841</v>
      </c>
      <c r="P410" s="910">
        <f t="shared" si="58"/>
        <v>0</v>
      </c>
      <c r="Q410" s="910">
        <f t="shared" si="59"/>
        <v>615</v>
      </c>
      <c r="R410" s="1344">
        <f t="shared" si="60"/>
        <v>3.63</v>
      </c>
      <c r="S410" s="1344">
        <f>(1/9)*cnst_fish!$C$7*(1/cnst_fish!$C$8)^(R410-1)</f>
        <v>60.158650087404119</v>
      </c>
      <c r="T410" s="1362">
        <f t="shared" si="61"/>
        <v>3196.5209707427412</v>
      </c>
      <c r="W410" s="1612"/>
      <c r="X410" s="1612"/>
      <c r="Y410" s="1613"/>
      <c r="Z410" s="1614"/>
      <c r="AA410" s="1614"/>
      <c r="AB410" s="1615"/>
      <c r="AC410" s="1615"/>
      <c r="AD410" s="583"/>
      <c r="AE410" s="583"/>
    </row>
    <row r="411" spans="1:31" ht="14">
      <c r="A411" s="1384" t="s">
        <v>2943</v>
      </c>
      <c r="B411" s="19" t="s">
        <v>3412</v>
      </c>
      <c r="C411" s="1383">
        <v>18710</v>
      </c>
      <c r="D411" s="1236"/>
      <c r="E411" s="1236"/>
      <c r="F411" s="1344">
        <f>(1/S411)*cnst_fish!$C$6</f>
        <v>2.28607696474704</v>
      </c>
      <c r="G411" s="1344">
        <f t="shared" si="62"/>
        <v>1</v>
      </c>
      <c r="H411" s="1344">
        <f t="shared" si="62"/>
        <v>0.367192066876738</v>
      </c>
      <c r="I411" s="1344">
        <f t="shared" si="56"/>
        <v>0</v>
      </c>
      <c r="J411" s="902">
        <f t="shared" si="57"/>
        <v>0</v>
      </c>
      <c r="L411" s="1460"/>
      <c r="M411" s="1236">
        <v>12235</v>
      </c>
      <c r="N411" s="1240" t="s">
        <v>1806</v>
      </c>
      <c r="O411" s="1241" t="s">
        <v>4845</v>
      </c>
      <c r="P411" s="910">
        <f t="shared" si="58"/>
        <v>0</v>
      </c>
      <c r="Q411" s="910">
        <f t="shared" si="59"/>
        <v>12235</v>
      </c>
      <c r="R411" s="1344">
        <f t="shared" si="60"/>
        <v>2.12</v>
      </c>
      <c r="S411" s="1344">
        <f>(1/9)*cnst_fish!$C$7*(1/cnst_fish!$C$8)^(R411-1)</f>
        <v>1.859080015912882</v>
      </c>
      <c r="T411" s="1362">
        <f t="shared" si="61"/>
        <v>1965.1984633570751</v>
      </c>
      <c r="W411" s="1612"/>
      <c r="X411" s="1612"/>
      <c r="Y411" s="1613"/>
      <c r="Z411" s="1614"/>
      <c r="AA411" s="1614"/>
      <c r="AB411" s="1615"/>
      <c r="AC411" s="1615"/>
      <c r="AD411" s="583"/>
      <c r="AE411" s="583"/>
    </row>
    <row r="412" spans="1:31" ht="14">
      <c r="A412" s="1384" t="s">
        <v>1068</v>
      </c>
      <c r="B412" s="19" t="s">
        <v>3413</v>
      </c>
      <c r="C412" s="1383">
        <v>2197</v>
      </c>
      <c r="D412" s="1236"/>
      <c r="E412" s="1236"/>
      <c r="F412" s="1344">
        <f>(1/S412)*cnst_fish!$C$6</f>
        <v>0.13461419163458563</v>
      </c>
      <c r="G412" s="1344">
        <f t="shared" si="62"/>
        <v>1</v>
      </c>
      <c r="H412" s="1344">
        <f t="shared" si="62"/>
        <v>0.367192066876738</v>
      </c>
      <c r="I412" s="1344">
        <f t="shared" si="56"/>
        <v>0</v>
      </c>
      <c r="J412" s="902">
        <f t="shared" si="57"/>
        <v>0</v>
      </c>
      <c r="L412" s="1460"/>
      <c r="M412" s="1236">
        <v>41513</v>
      </c>
      <c r="N412" s="1240" t="s">
        <v>1806</v>
      </c>
      <c r="O412" s="1241" t="s">
        <v>4845</v>
      </c>
      <c r="P412" s="910">
        <f t="shared" si="58"/>
        <v>0</v>
      </c>
      <c r="Q412" s="910">
        <f t="shared" si="59"/>
        <v>41513</v>
      </c>
      <c r="R412" s="1344">
        <f t="shared" si="60"/>
        <v>3.35</v>
      </c>
      <c r="S412" s="1344">
        <f>(1/9)*cnst_fish!$C$7*(1/cnst_fish!$C$8)^(R412-1)</f>
        <v>31.571708364425319</v>
      </c>
      <c r="T412" s="1362">
        <f t="shared" si="61"/>
        <v>113236.53239795311</v>
      </c>
      <c r="W412" s="1612"/>
      <c r="X412" s="1612"/>
      <c r="Y412" s="1613"/>
      <c r="Z412" s="1614"/>
      <c r="AA412" s="1614"/>
      <c r="AB412" s="1615"/>
      <c r="AC412" s="1615"/>
      <c r="AD412" s="583"/>
      <c r="AE412" s="583"/>
    </row>
    <row r="413" spans="1:31" ht="14">
      <c r="A413" s="1384" t="s">
        <v>3613</v>
      </c>
      <c r="B413" s="19" t="s">
        <v>2780</v>
      </c>
      <c r="C413" s="1383">
        <v>2194</v>
      </c>
      <c r="D413" s="1236"/>
      <c r="E413" s="1236"/>
      <c r="F413" s="1344">
        <f>(1/S413)*cnst_fish!$C$6</f>
        <v>0.11724405960509449</v>
      </c>
      <c r="G413" s="1344">
        <f t="shared" si="62"/>
        <v>1</v>
      </c>
      <c r="H413" s="1344">
        <f t="shared" si="62"/>
        <v>0.367192066876738</v>
      </c>
      <c r="I413" s="1344">
        <f t="shared" si="56"/>
        <v>0</v>
      </c>
      <c r="J413" s="902">
        <f t="shared" si="57"/>
        <v>0</v>
      </c>
      <c r="L413" s="1460"/>
      <c r="M413" s="1236">
        <v>0</v>
      </c>
      <c r="N413" s="1240" t="s">
        <v>1806</v>
      </c>
      <c r="O413" s="1241" t="s">
        <v>4845</v>
      </c>
      <c r="P413" s="910">
        <f t="shared" si="58"/>
        <v>0</v>
      </c>
      <c r="Q413" s="910">
        <f t="shared" si="59"/>
        <v>0</v>
      </c>
      <c r="R413" s="1344">
        <f t="shared" si="60"/>
        <v>3.41</v>
      </c>
      <c r="S413" s="1344">
        <f>(1/9)*cnst_fish!$C$7*(1/cnst_fish!$C$8)^(R413-1)</f>
        <v>36.24917129545836</v>
      </c>
      <c r="T413" s="1362">
        <f t="shared" si="61"/>
        <v>0</v>
      </c>
      <c r="W413" s="1612"/>
      <c r="X413" s="1612"/>
      <c r="Y413" s="1613"/>
      <c r="Z413" s="1614"/>
      <c r="AA413" s="1614"/>
      <c r="AB413" s="1615"/>
      <c r="AC413" s="1615"/>
      <c r="AD413" s="583"/>
      <c r="AE413" s="583"/>
    </row>
    <row r="414" spans="1:31" ht="14">
      <c r="A414" s="1384" t="s">
        <v>1783</v>
      </c>
      <c r="B414" s="19" t="s">
        <v>2781</v>
      </c>
      <c r="C414" s="1383">
        <v>2982</v>
      </c>
      <c r="D414" s="1236"/>
      <c r="E414" s="1236"/>
      <c r="F414" s="1344">
        <f>(1/S414)*cnst_fish!$C$6</f>
        <v>0.2133491159303107</v>
      </c>
      <c r="G414" s="1344">
        <f t="shared" si="62"/>
        <v>1</v>
      </c>
      <c r="H414" s="1344">
        <f t="shared" si="62"/>
        <v>0.367192066876738</v>
      </c>
      <c r="I414" s="1344">
        <f t="shared" si="56"/>
        <v>0</v>
      </c>
      <c r="J414" s="902">
        <f t="shared" si="57"/>
        <v>0</v>
      </c>
      <c r="L414" s="1460"/>
      <c r="M414" s="1236">
        <v>59896</v>
      </c>
      <c r="N414" s="1240" t="s">
        <v>1806</v>
      </c>
      <c r="O414" s="1241" t="s">
        <v>4845</v>
      </c>
      <c r="P414" s="910">
        <f t="shared" si="58"/>
        <v>0</v>
      </c>
      <c r="Q414" s="910">
        <f t="shared" si="59"/>
        <v>59896</v>
      </c>
      <c r="R414" s="1344">
        <f t="shared" si="60"/>
        <v>3.15</v>
      </c>
      <c r="S414" s="1344">
        <f>(1/9)*cnst_fish!$C$7*(1/cnst_fish!$C$8)^(R414-1)</f>
        <v>19.920401270320887</v>
      </c>
      <c r="T414" s="1362">
        <f t="shared" si="61"/>
        <v>103086.1362689363</v>
      </c>
      <c r="W414" s="1612"/>
      <c r="X414" s="1612"/>
      <c r="Y414" s="1613"/>
      <c r="Z414" s="1614"/>
      <c r="AA414" s="1614"/>
      <c r="AB414" s="1615"/>
      <c r="AC414" s="1615"/>
      <c r="AD414" s="583"/>
      <c r="AE414" s="583"/>
    </row>
    <row r="415" spans="1:31" ht="14">
      <c r="A415" s="1384" t="s">
        <v>4585</v>
      </c>
      <c r="B415" s="19" t="s">
        <v>3213</v>
      </c>
      <c r="C415" s="1383">
        <v>2980</v>
      </c>
      <c r="D415" s="1236"/>
      <c r="E415" s="1236"/>
      <c r="F415" s="1344">
        <f>(1/S415)*cnst_fish!$C$6</f>
        <v>9.1010363210297068E-2</v>
      </c>
      <c r="G415" s="1344">
        <f t="shared" si="62"/>
        <v>1</v>
      </c>
      <c r="H415" s="1344">
        <f t="shared" si="62"/>
        <v>0.367192066876738</v>
      </c>
      <c r="I415" s="1344">
        <f t="shared" si="56"/>
        <v>0</v>
      </c>
      <c r="J415" s="902">
        <f t="shared" si="57"/>
        <v>0</v>
      </c>
      <c r="L415" s="1460"/>
      <c r="M415" s="1236">
        <v>110145</v>
      </c>
      <c r="N415" s="1240" t="s">
        <v>1806</v>
      </c>
      <c r="O415" s="1241" t="s">
        <v>4845</v>
      </c>
      <c r="P415" s="910">
        <f t="shared" si="58"/>
        <v>0</v>
      </c>
      <c r="Q415" s="910">
        <f t="shared" si="59"/>
        <v>110145</v>
      </c>
      <c r="R415" s="1344">
        <f t="shared" si="60"/>
        <v>3.52</v>
      </c>
      <c r="S415" s="1344">
        <f>(1/9)*cnst_fish!$C$7*(1/cnst_fish!$C$8)^(R415-1)</f>
        <v>46.69797867062185</v>
      </c>
      <c r="T415" s="1362">
        <f t="shared" si="61"/>
        <v>444393.02052540722</v>
      </c>
      <c r="W415" s="1612"/>
      <c r="X415" s="1612"/>
      <c r="Y415" s="1613"/>
      <c r="Z415" s="1614"/>
      <c r="AA415" s="1614"/>
      <c r="AB415" s="1615"/>
      <c r="AC415" s="1615"/>
      <c r="AD415" s="583"/>
      <c r="AE415" s="583"/>
    </row>
    <row r="416" spans="1:31" ht="14">
      <c r="A416" s="1384" t="s">
        <v>6555</v>
      </c>
      <c r="B416" s="19" t="s">
        <v>6554</v>
      </c>
      <c r="C416" s="1383">
        <v>11464</v>
      </c>
      <c r="D416" s="1236"/>
      <c r="E416" s="1236"/>
      <c r="F416" s="1344">
        <f>(1/S416)*cnst_fish!$C$6</f>
        <v>0.15103960722494611</v>
      </c>
      <c r="G416" s="1344">
        <f t="shared" si="62"/>
        <v>1</v>
      </c>
      <c r="H416" s="1344">
        <f t="shared" si="62"/>
        <v>0.367192066876738</v>
      </c>
      <c r="I416" s="1344">
        <f t="shared" si="56"/>
        <v>0</v>
      </c>
      <c r="J416" s="902">
        <f t="shared" si="57"/>
        <v>0</v>
      </c>
      <c r="L416" s="1460">
        <v>4</v>
      </c>
      <c r="M416" s="1236"/>
      <c r="N416" s="1240" t="s">
        <v>1806</v>
      </c>
      <c r="O416" s="1241" t="s">
        <v>4841</v>
      </c>
      <c r="P416" s="910">
        <f t="shared" si="58"/>
        <v>0</v>
      </c>
      <c r="Q416" s="910">
        <f t="shared" si="59"/>
        <v>4</v>
      </c>
      <c r="R416" s="1344">
        <f t="shared" si="60"/>
        <v>3.3</v>
      </c>
      <c r="S416" s="1344">
        <f>(1/9)*cnst_fish!$C$7*(1/cnst_fish!$C$8)^(R416-1)</f>
        <v>28.138314698279075</v>
      </c>
      <c r="T416" s="1362">
        <f t="shared" si="61"/>
        <v>9.7243914658721806</v>
      </c>
      <c r="W416" s="1612"/>
      <c r="X416" s="1612"/>
      <c r="Y416" s="1613"/>
      <c r="Z416" s="1614"/>
      <c r="AA416" s="1614"/>
      <c r="AB416" s="1615"/>
      <c r="AC416" s="1615"/>
      <c r="AD416" s="583"/>
      <c r="AE416" s="583"/>
    </row>
    <row r="417" spans="1:31" ht="14">
      <c r="A417" s="1384" t="s">
        <v>1678</v>
      </c>
      <c r="B417" s="19" t="s">
        <v>4699</v>
      </c>
      <c r="C417" s="1383">
        <v>17157</v>
      </c>
      <c r="D417" s="1236">
        <v>155</v>
      </c>
      <c r="E417" s="1236"/>
      <c r="F417" s="1344">
        <f>(1/S417)*cnst_fish!$C$6</f>
        <v>2.6141530827766903</v>
      </c>
      <c r="G417" s="1344">
        <f t="shared" si="62"/>
        <v>1</v>
      </c>
      <c r="H417" s="1344">
        <f t="shared" si="62"/>
        <v>0.367192066876738</v>
      </c>
      <c r="I417" s="1344">
        <f t="shared" si="56"/>
        <v>21.771781744870463</v>
      </c>
      <c r="J417" s="902">
        <f t="shared" si="57"/>
        <v>0</v>
      </c>
      <c r="L417" s="1460">
        <v>155</v>
      </c>
      <c r="M417" s="1236"/>
      <c r="N417" s="1240" t="s">
        <v>5365</v>
      </c>
      <c r="O417" s="1241" t="s">
        <v>4845</v>
      </c>
      <c r="P417" s="910">
        <f t="shared" si="58"/>
        <v>155</v>
      </c>
      <c r="Q417" s="910">
        <f t="shared" si="59"/>
        <v>155</v>
      </c>
      <c r="R417" s="1344">
        <f t="shared" si="60"/>
        <v>2.0617598316454031</v>
      </c>
      <c r="S417" s="1344">
        <f>(1/9)*cnst_fish!$C$7*(1/cnst_fish!$C$8)^(R417-1)</f>
        <v>1.6257655406644176</v>
      </c>
      <c r="T417" s="1362">
        <f t="shared" si="61"/>
        <v>21.771781744870463</v>
      </c>
      <c r="W417" s="1612"/>
      <c r="X417" s="1612"/>
      <c r="Y417" s="1613"/>
      <c r="Z417" s="1614"/>
      <c r="AA417" s="1614"/>
      <c r="AB417" s="1615"/>
      <c r="AC417" s="1615"/>
      <c r="AD417" s="583"/>
      <c r="AE417" s="583"/>
    </row>
    <row r="418" spans="1:31" ht="14">
      <c r="A418" s="1384" t="s">
        <v>2989</v>
      </c>
      <c r="B418" s="19" t="s">
        <v>5379</v>
      </c>
      <c r="C418" s="1383">
        <v>2909</v>
      </c>
      <c r="D418" s="1236"/>
      <c r="E418" s="1236"/>
      <c r="F418" s="1344">
        <f>(1/S418)*cnst_fish!$C$6</f>
        <v>0.14760152601876345</v>
      </c>
      <c r="G418" s="1344">
        <f t="shared" si="62"/>
        <v>1</v>
      </c>
      <c r="H418" s="1344">
        <f t="shared" si="62"/>
        <v>0.367192066876738</v>
      </c>
      <c r="I418" s="1344">
        <f t="shared" si="56"/>
        <v>0</v>
      </c>
      <c r="J418" s="902">
        <f t="shared" si="57"/>
        <v>0</v>
      </c>
      <c r="L418" s="1460">
        <v>11160</v>
      </c>
      <c r="M418" s="1236"/>
      <c r="N418" s="1240" t="s">
        <v>1806</v>
      </c>
      <c r="O418" s="1241" t="s">
        <v>4845</v>
      </c>
      <c r="P418" s="910">
        <f t="shared" si="58"/>
        <v>0</v>
      </c>
      <c r="Q418" s="910">
        <f t="shared" si="59"/>
        <v>11160</v>
      </c>
      <c r="R418" s="1344">
        <f t="shared" si="60"/>
        <v>3.31</v>
      </c>
      <c r="S418" s="1344">
        <f>(1/9)*cnst_fish!$C$7*(1/cnst_fish!$C$8)^(R418-1)</f>
        <v>28.793740245339542</v>
      </c>
      <c r="T418" s="1362">
        <f t="shared" si="61"/>
        <v>27763.015579008759</v>
      </c>
      <c r="W418" s="1612"/>
      <c r="X418" s="1612"/>
      <c r="Y418" s="1613"/>
      <c r="Z418" s="1614"/>
      <c r="AA418" s="1614"/>
      <c r="AB418" s="1615"/>
      <c r="AC418" s="1615"/>
      <c r="AD418" s="583"/>
      <c r="AE418" s="583"/>
    </row>
    <row r="419" spans="1:31" ht="14">
      <c r="A419" s="1384" t="s">
        <v>4783</v>
      </c>
      <c r="B419" s="19" t="s">
        <v>1003</v>
      </c>
      <c r="C419" s="1383">
        <v>2886</v>
      </c>
      <c r="D419" s="1236">
        <v>93967</v>
      </c>
      <c r="E419" s="1236"/>
      <c r="F419" s="1344">
        <f>(1/S419)*cnst_fish!$C$6</f>
        <v>0.17745606522761614</v>
      </c>
      <c r="G419" s="1344">
        <f t="shared" si="62"/>
        <v>1</v>
      </c>
      <c r="H419" s="1344">
        <f t="shared" si="62"/>
        <v>0.367192066876738</v>
      </c>
      <c r="I419" s="1344">
        <f t="shared" si="56"/>
        <v>194436.5040662293</v>
      </c>
      <c r="J419" s="902">
        <f t="shared" si="57"/>
        <v>0</v>
      </c>
      <c r="L419" s="1460">
        <v>1817333</v>
      </c>
      <c r="M419" s="1236"/>
      <c r="N419" s="1240" t="s">
        <v>3931</v>
      </c>
      <c r="O419" s="1241" t="s">
        <v>4859</v>
      </c>
      <c r="P419" s="910">
        <f t="shared" si="58"/>
        <v>93967</v>
      </c>
      <c r="Q419" s="910">
        <f t="shared" si="59"/>
        <v>1817333</v>
      </c>
      <c r="R419" s="1344">
        <f t="shared" si="60"/>
        <v>3.23</v>
      </c>
      <c r="S419" s="1344">
        <f>(1/9)*cnst_fish!$C$7*(1/cnst_fish!$C$8)^(R419-1)</f>
        <v>23.94958997061434</v>
      </c>
      <c r="T419" s="1362">
        <f t="shared" si="61"/>
        <v>3760425.2050634022</v>
      </c>
      <c r="W419" s="1612"/>
      <c r="X419" s="1612"/>
      <c r="Y419" s="1613"/>
      <c r="Z419" s="1614"/>
      <c r="AA419" s="1614"/>
      <c r="AB419" s="1615"/>
      <c r="AC419" s="1615"/>
      <c r="AD419" s="583"/>
      <c r="AE419" s="583"/>
    </row>
    <row r="420" spans="1:31" ht="14">
      <c r="A420" s="1384" t="s">
        <v>1689</v>
      </c>
      <c r="B420" s="19" t="s">
        <v>1004</v>
      </c>
      <c r="C420" s="1383">
        <v>2078</v>
      </c>
      <c r="D420" s="1236">
        <v>40898</v>
      </c>
      <c r="E420" s="1236"/>
      <c r="F420" s="1344">
        <f>(1/S420)*cnst_fish!$C$6</f>
        <v>0.2133491159303107</v>
      </c>
      <c r="G420" s="1344">
        <f t="shared" si="62"/>
        <v>1</v>
      </c>
      <c r="H420" s="1344">
        <f t="shared" si="62"/>
        <v>0.367192066876738</v>
      </c>
      <c r="I420" s="1344">
        <f t="shared" si="56"/>
        <v>70388.954206073147</v>
      </c>
      <c r="J420" s="902">
        <f t="shared" si="57"/>
        <v>0</v>
      </c>
      <c r="L420" s="1460">
        <v>510025</v>
      </c>
      <c r="M420" s="1236">
        <v>0</v>
      </c>
      <c r="N420" s="1240" t="s">
        <v>3931</v>
      </c>
      <c r="O420" s="1241" t="s">
        <v>4859</v>
      </c>
      <c r="P420" s="910">
        <f t="shared" si="58"/>
        <v>40898</v>
      </c>
      <c r="Q420" s="910">
        <f t="shared" si="59"/>
        <v>510025</v>
      </c>
      <c r="R420" s="1344">
        <f t="shared" si="60"/>
        <v>3.15</v>
      </c>
      <c r="S420" s="1344">
        <f>(1/9)*cnst_fish!$C$7*(1/cnst_fish!$C$8)^(R420-1)</f>
        <v>19.920401270320887</v>
      </c>
      <c r="T420" s="1362">
        <f t="shared" si="61"/>
        <v>877796.62499272474</v>
      </c>
      <c r="W420" s="1612"/>
      <c r="X420" s="1612"/>
      <c r="Y420" s="1613"/>
      <c r="Z420" s="1614"/>
      <c r="AA420" s="1614"/>
      <c r="AB420" s="1615"/>
      <c r="AC420" s="1615"/>
      <c r="AD420" s="583"/>
      <c r="AE420" s="583"/>
    </row>
    <row r="421" spans="1:31" ht="14">
      <c r="A421" s="1384" t="s">
        <v>3250</v>
      </c>
      <c r="B421" s="19" t="s">
        <v>3260</v>
      </c>
      <c r="C421" s="1383">
        <v>2073</v>
      </c>
      <c r="D421" s="1236">
        <v>511</v>
      </c>
      <c r="E421" s="1236"/>
      <c r="F421" s="1344">
        <f>(1/S421)*cnst_fish!$C$6</f>
        <v>0.18581931192461937</v>
      </c>
      <c r="G421" s="1344">
        <f t="shared" si="62"/>
        <v>1</v>
      </c>
      <c r="H421" s="1344">
        <f t="shared" si="62"/>
        <v>0.367192066876738</v>
      </c>
      <c r="I421" s="1344">
        <f t="shared" si="56"/>
        <v>1009.7720426934438</v>
      </c>
      <c r="J421" s="902">
        <f t="shared" si="57"/>
        <v>0</v>
      </c>
      <c r="L421" s="1460">
        <v>417540</v>
      </c>
      <c r="M421" s="1236"/>
      <c r="N421" s="1240" t="s">
        <v>1806</v>
      </c>
      <c r="O421" s="1241" t="s">
        <v>4845</v>
      </c>
      <c r="P421" s="910">
        <f t="shared" si="58"/>
        <v>511</v>
      </c>
      <c r="Q421" s="910">
        <f t="shared" si="59"/>
        <v>417540</v>
      </c>
      <c r="R421" s="1344">
        <f t="shared" si="60"/>
        <v>3.21</v>
      </c>
      <c r="S421" s="1344">
        <f>(1/9)*cnst_fish!$C$7*(1/cnst_fish!$C$8)^(R421-1)</f>
        <v>22.87168086019004</v>
      </c>
      <c r="T421" s="1362">
        <f t="shared" si="61"/>
        <v>825088.49061882694</v>
      </c>
      <c r="W421" s="1612"/>
      <c r="X421" s="1612"/>
      <c r="Y421" s="1613"/>
      <c r="Z421" s="1614"/>
      <c r="AA421" s="1614"/>
      <c r="AB421" s="1615"/>
      <c r="AC421" s="1615"/>
      <c r="AD421" s="583"/>
      <c r="AE421" s="583"/>
    </row>
    <row r="422" spans="1:31" ht="14">
      <c r="A422" s="1384" t="s">
        <v>5652</v>
      </c>
      <c r="B422" s="19" t="s">
        <v>3260</v>
      </c>
      <c r="C422" s="1383">
        <v>2881</v>
      </c>
      <c r="D422" s="1236"/>
      <c r="E422" s="1236"/>
      <c r="F422" s="1344">
        <f>(1/S422)*cnst_fish!$C$6</f>
        <v>0.18581931192461937</v>
      </c>
      <c r="G422" s="1344">
        <f t="shared" si="62"/>
        <v>1</v>
      </c>
      <c r="H422" s="1344">
        <f t="shared" si="62"/>
        <v>0.367192066876738</v>
      </c>
      <c r="I422" s="1344">
        <f t="shared" si="56"/>
        <v>0</v>
      </c>
      <c r="J422" s="902">
        <f t="shared" si="57"/>
        <v>0</v>
      </c>
      <c r="L422" s="1460">
        <v>1292</v>
      </c>
      <c r="M422" s="1236">
        <v>3419</v>
      </c>
      <c r="N422" s="1240" t="s">
        <v>1806</v>
      </c>
      <c r="O422" s="1241" t="s">
        <v>4845</v>
      </c>
      <c r="P422" s="910">
        <f t="shared" si="58"/>
        <v>0</v>
      </c>
      <c r="Q422" s="910">
        <f t="shared" si="59"/>
        <v>4711</v>
      </c>
      <c r="R422" s="1344">
        <f t="shared" si="60"/>
        <v>3.21</v>
      </c>
      <c r="S422" s="1344">
        <f>(1/9)*cnst_fish!$C$7*(1/cnst_fish!$C$8)^(R422-1)</f>
        <v>22.87168086019004</v>
      </c>
      <c r="T422" s="1362">
        <f t="shared" si="61"/>
        <v>9309.2682840094221</v>
      </c>
      <c r="W422" s="1612"/>
      <c r="X422" s="1612"/>
      <c r="Y422" s="1613"/>
      <c r="Z422" s="1614"/>
      <c r="AA422" s="1614"/>
      <c r="AB422" s="1615"/>
      <c r="AC422" s="1615"/>
      <c r="AD422" s="583"/>
      <c r="AE422" s="583"/>
    </row>
    <row r="423" spans="1:31" ht="14">
      <c r="A423" s="1384" t="s">
        <v>222</v>
      </c>
      <c r="B423" s="19" t="s">
        <v>4095</v>
      </c>
      <c r="C423" s="1383">
        <v>2101</v>
      </c>
      <c r="D423" s="1236"/>
      <c r="E423" s="1236"/>
      <c r="F423" s="1344">
        <f>(1/S423)*cnst_fish!$C$6</f>
        <v>0.30136363636363639</v>
      </c>
      <c r="G423" s="1344">
        <f t="shared" si="62"/>
        <v>1</v>
      </c>
      <c r="H423" s="1344">
        <f t="shared" si="62"/>
        <v>0.367192066876738</v>
      </c>
      <c r="I423" s="1344">
        <f t="shared" si="56"/>
        <v>0</v>
      </c>
      <c r="J423" s="902">
        <f t="shared" si="57"/>
        <v>0</v>
      </c>
      <c r="L423" s="1460">
        <v>10467</v>
      </c>
      <c r="M423" s="1236">
        <v>65794</v>
      </c>
      <c r="N423" s="1240" t="s">
        <v>1806</v>
      </c>
      <c r="O423" s="1241" t="s">
        <v>4845</v>
      </c>
      <c r="P423" s="910">
        <f t="shared" si="58"/>
        <v>0</v>
      </c>
      <c r="Q423" s="910">
        <f t="shared" si="59"/>
        <v>76261</v>
      </c>
      <c r="R423" s="1344">
        <f t="shared" si="60"/>
        <v>3</v>
      </c>
      <c r="S423" s="1344">
        <f>(1/9)*cnst_fish!$C$7*(1/cnst_fish!$C$8)^(R423-1)</f>
        <v>14.1025641025641</v>
      </c>
      <c r="T423" s="1362">
        <f t="shared" si="61"/>
        <v>92919.087883244661</v>
      </c>
      <c r="W423" s="1612"/>
      <c r="X423" s="1612"/>
      <c r="Y423" s="1613"/>
      <c r="Z423" s="1614"/>
      <c r="AA423" s="1614"/>
      <c r="AB423" s="1615"/>
      <c r="AC423" s="1615"/>
      <c r="AD423" s="583"/>
      <c r="AE423" s="583"/>
    </row>
    <row r="424" spans="1:31" ht="14">
      <c r="A424" s="1384" t="s">
        <v>3344</v>
      </c>
      <c r="B424" s="19" t="s">
        <v>2145</v>
      </c>
      <c r="C424" s="1383">
        <v>18863</v>
      </c>
      <c r="D424" s="1236"/>
      <c r="E424" s="1236"/>
      <c r="F424" s="1344">
        <f>(1/S424)*cnst_fish!$C$6</f>
        <v>1.5107419935611153</v>
      </c>
      <c r="G424" s="1344">
        <f t="shared" si="62"/>
        <v>1</v>
      </c>
      <c r="H424" s="1344">
        <f t="shared" si="62"/>
        <v>0.367192066876738</v>
      </c>
      <c r="I424" s="1344">
        <f t="shared" si="56"/>
        <v>0</v>
      </c>
      <c r="J424" s="902">
        <f t="shared" si="57"/>
        <v>0</v>
      </c>
      <c r="L424" s="1460">
        <v>5.2</v>
      </c>
      <c r="M424" s="1236"/>
      <c r="N424" s="1240" t="s">
        <v>1806</v>
      </c>
      <c r="O424" s="1241"/>
      <c r="P424" s="910">
        <f t="shared" si="58"/>
        <v>0</v>
      </c>
      <c r="Q424" s="910">
        <f t="shared" si="59"/>
        <v>5.2</v>
      </c>
      <c r="R424" s="1344">
        <f t="shared" si="60"/>
        <v>2.299900546274809</v>
      </c>
      <c r="S424" s="1344">
        <f>(1/9)*cnst_fish!$C$7*(1/cnst_fish!$C$8)^(R424-1)</f>
        <v>2.8131871743247938</v>
      </c>
      <c r="T424" s="1362">
        <f t="shared" si="61"/>
        <v>1.2638814277335406</v>
      </c>
      <c r="W424" s="1612"/>
      <c r="X424" s="1612"/>
      <c r="Y424" s="1613"/>
      <c r="Z424" s="1614"/>
      <c r="AA424" s="1614"/>
      <c r="AB424" s="1615"/>
      <c r="AC424" s="1615"/>
      <c r="AD424" s="583"/>
      <c r="AE424" s="583"/>
    </row>
    <row r="425" spans="1:31" ht="14">
      <c r="A425" s="1384" t="s">
        <v>450</v>
      </c>
      <c r="B425" s="19" t="s">
        <v>6598</v>
      </c>
      <c r="C425" s="1383">
        <v>18489</v>
      </c>
      <c r="D425" s="1236"/>
      <c r="E425" s="1236"/>
      <c r="F425" s="1344">
        <f>(1/S425)*cnst_fish!$C$6</f>
        <v>3.0136363636363641</v>
      </c>
      <c r="G425" s="1344">
        <f t="shared" si="62"/>
        <v>1</v>
      </c>
      <c r="H425" s="1344">
        <f t="shared" si="62"/>
        <v>0.367192066876738</v>
      </c>
      <c r="I425" s="1344">
        <f t="shared" si="56"/>
        <v>0</v>
      </c>
      <c r="J425" s="902">
        <f t="shared" si="57"/>
        <v>0</v>
      </c>
      <c r="L425" s="1460">
        <v>132</v>
      </c>
      <c r="M425" s="1236"/>
      <c r="N425" s="1240" t="s">
        <v>1808</v>
      </c>
      <c r="O425" s="1241" t="s">
        <v>4831</v>
      </c>
      <c r="P425" s="910">
        <f t="shared" si="58"/>
        <v>0</v>
      </c>
      <c r="Q425" s="910">
        <f t="shared" si="59"/>
        <v>132</v>
      </c>
      <c r="R425" s="1344">
        <f t="shared" si="60"/>
        <v>2</v>
      </c>
      <c r="S425" s="1344">
        <f>(1/9)*cnst_fish!$C$7*(1/cnst_fish!$C$8)^(R425-1)</f>
        <v>1.4102564102564099</v>
      </c>
      <c r="T425" s="1362">
        <f t="shared" si="61"/>
        <v>16.083344829714132</v>
      </c>
      <c r="W425" s="1612"/>
      <c r="X425" s="1612"/>
      <c r="Y425" s="1613"/>
      <c r="Z425" s="1614"/>
      <c r="AA425" s="1614"/>
      <c r="AB425" s="1615"/>
      <c r="AC425" s="1615"/>
      <c r="AD425" s="583"/>
      <c r="AE425" s="583"/>
    </row>
    <row r="426" spans="1:31" ht="14">
      <c r="A426" s="1384" t="s">
        <v>6526</v>
      </c>
      <c r="B426" s="19" t="s">
        <v>6525</v>
      </c>
      <c r="C426" s="1383">
        <v>11014</v>
      </c>
      <c r="D426" s="1236"/>
      <c r="E426" s="1236"/>
      <c r="F426" s="1344">
        <f>(1/S426)*cnst_fish!$C$6</f>
        <v>0.11997502458044032</v>
      </c>
      <c r="G426" s="1344">
        <f t="shared" si="62"/>
        <v>1</v>
      </c>
      <c r="H426" s="1344">
        <f t="shared" si="62"/>
        <v>0.367192066876738</v>
      </c>
      <c r="I426" s="1344">
        <f t="shared" si="56"/>
        <v>0</v>
      </c>
      <c r="J426" s="902">
        <f t="shared" si="57"/>
        <v>0</v>
      </c>
      <c r="L426" s="1460">
        <v>91</v>
      </c>
      <c r="M426" s="1236"/>
      <c r="N426" s="1240" t="s">
        <v>1806</v>
      </c>
      <c r="O426" s="1241" t="s">
        <v>4841</v>
      </c>
      <c r="P426" s="910">
        <f t="shared" si="58"/>
        <v>0</v>
      </c>
      <c r="Q426" s="910">
        <f t="shared" si="59"/>
        <v>91</v>
      </c>
      <c r="R426" s="1344">
        <f t="shared" si="60"/>
        <v>3.4</v>
      </c>
      <c r="S426" s="1344">
        <f>(1/9)*cnst_fish!$C$7*(1/cnst_fish!$C$8)^(R426-1)</f>
        <v>35.424039418724846</v>
      </c>
      <c r="T426" s="1362">
        <f t="shared" si="61"/>
        <v>278.51195032162354</v>
      </c>
      <c r="W426" s="1612"/>
      <c r="X426" s="1612"/>
      <c r="Y426" s="1613"/>
      <c r="Z426" s="1614"/>
      <c r="AA426" s="1614"/>
      <c r="AB426" s="1615"/>
      <c r="AC426" s="1615"/>
      <c r="AD426" s="583"/>
      <c r="AE426" s="583"/>
    </row>
    <row r="427" spans="1:31" ht="14">
      <c r="A427" s="1384" t="s">
        <v>159</v>
      </c>
      <c r="B427" s="19" t="s">
        <v>1528</v>
      </c>
      <c r="C427" s="1383">
        <v>3001</v>
      </c>
      <c r="D427" s="1236"/>
      <c r="E427" s="1236"/>
      <c r="F427" s="1344">
        <f>(1/S427)*cnst_fish!$C$6</f>
        <v>5.8761225892708345E-2</v>
      </c>
      <c r="G427" s="1344">
        <f t="shared" si="62"/>
        <v>1</v>
      </c>
      <c r="H427" s="1344">
        <f t="shared" si="62"/>
        <v>0.367192066876738</v>
      </c>
      <c r="I427" s="1344">
        <f t="shared" si="56"/>
        <v>0</v>
      </c>
      <c r="J427" s="902">
        <f t="shared" si="57"/>
        <v>0</v>
      </c>
      <c r="L427" s="1460">
        <v>428390</v>
      </c>
      <c r="M427" s="1236"/>
      <c r="N427" s="1240" t="s">
        <v>1806</v>
      </c>
      <c r="O427" s="1241" t="s">
        <v>4859</v>
      </c>
      <c r="P427" s="910">
        <f t="shared" si="58"/>
        <v>0</v>
      </c>
      <c r="Q427" s="910">
        <f t="shared" si="59"/>
        <v>428390</v>
      </c>
      <c r="R427" s="1344">
        <f t="shared" si="60"/>
        <v>3.71</v>
      </c>
      <c r="S427" s="1344">
        <f>(1/9)*cnst_fish!$C$7*(1/cnst_fish!$C$8)^(R427-1)</f>
        <v>72.326605434679692</v>
      </c>
      <c r="T427" s="1362">
        <f t="shared" si="61"/>
        <v>2676959.2897285908</v>
      </c>
      <c r="W427" s="1612"/>
      <c r="X427" s="1612"/>
      <c r="Y427" s="1613"/>
      <c r="Z427" s="1614"/>
      <c r="AA427" s="1614"/>
      <c r="AB427" s="1615"/>
      <c r="AC427" s="1615"/>
      <c r="AD427" s="583"/>
      <c r="AE427" s="583"/>
    </row>
    <row r="428" spans="1:31" ht="14">
      <c r="A428" s="1384" t="s">
        <v>2381</v>
      </c>
      <c r="B428" s="19" t="s">
        <v>3214</v>
      </c>
      <c r="C428" s="1383">
        <v>2149</v>
      </c>
      <c r="D428" s="1236"/>
      <c r="E428" s="1236"/>
      <c r="F428" s="1344">
        <f>(1/S428)*cnst_fish!$C$6</f>
        <v>2.878000384237327</v>
      </c>
      <c r="G428" s="1344">
        <f t="shared" ref="G428:H447" si="63">G$7</f>
        <v>1</v>
      </c>
      <c r="H428" s="1344">
        <f t="shared" si="63"/>
        <v>0.367192066876738</v>
      </c>
      <c r="I428" s="1344">
        <f t="shared" si="56"/>
        <v>0</v>
      </c>
      <c r="J428" s="902">
        <f t="shared" si="57"/>
        <v>0</v>
      </c>
      <c r="L428" s="1460"/>
      <c r="M428" s="1236">
        <v>4173</v>
      </c>
      <c r="N428" s="1240" t="s">
        <v>1806</v>
      </c>
      <c r="O428" s="1241" t="s">
        <v>4845</v>
      </c>
      <c r="P428" s="910">
        <f t="shared" si="58"/>
        <v>0</v>
      </c>
      <c r="Q428" s="910">
        <f t="shared" si="59"/>
        <v>4173</v>
      </c>
      <c r="R428" s="1344">
        <f t="shared" si="60"/>
        <v>2.02</v>
      </c>
      <c r="S428" s="1344">
        <f>(1/9)*cnst_fish!$C$7*(1/cnst_fish!$C$8)^(R428-1)</f>
        <v>1.476719747251269</v>
      </c>
      <c r="T428" s="1362">
        <f t="shared" si="61"/>
        <v>532.41566730460556</v>
      </c>
      <c r="W428" s="1612"/>
      <c r="X428" s="1612"/>
      <c r="Y428" s="1613"/>
      <c r="Z428" s="1614"/>
      <c r="AA428" s="1614"/>
      <c r="AB428" s="1615"/>
      <c r="AC428" s="1615"/>
      <c r="AD428" s="583"/>
      <c r="AE428" s="583"/>
    </row>
    <row r="429" spans="1:31" ht="14">
      <c r="A429" s="1384" t="s">
        <v>5240</v>
      </c>
      <c r="B429" s="19" t="s">
        <v>4488</v>
      </c>
      <c r="C429" s="1383">
        <v>3497</v>
      </c>
      <c r="D429" s="1236"/>
      <c r="E429" s="1236"/>
      <c r="F429" s="1344">
        <f>(1/S429)*cnst_fish!$C$6</f>
        <v>2.3938164528281742</v>
      </c>
      <c r="G429" s="1344">
        <f t="shared" si="63"/>
        <v>1</v>
      </c>
      <c r="H429" s="1344">
        <f t="shared" si="63"/>
        <v>0.367192066876738</v>
      </c>
      <c r="I429" s="1344">
        <f t="shared" si="56"/>
        <v>0</v>
      </c>
      <c r="J429" s="902">
        <f t="shared" si="57"/>
        <v>0</v>
      </c>
      <c r="L429" s="1460">
        <v>2806</v>
      </c>
      <c r="M429" s="1236"/>
      <c r="N429" s="1240" t="s">
        <v>1804</v>
      </c>
      <c r="O429" s="1241" t="s">
        <v>4851</v>
      </c>
      <c r="P429" s="910">
        <f t="shared" si="58"/>
        <v>0</v>
      </c>
      <c r="Q429" s="910">
        <f t="shared" si="59"/>
        <v>2806</v>
      </c>
      <c r="R429" s="1344">
        <f t="shared" si="60"/>
        <v>2.1</v>
      </c>
      <c r="S429" s="1344">
        <f>(1/9)*cnst_fish!$C$7*(1/cnst_fish!$C$8)^(R429-1)</f>
        <v>1.7754076320174161</v>
      </c>
      <c r="T429" s="1362">
        <f t="shared" si="61"/>
        <v>430.41768655187855</v>
      </c>
      <c r="W429" s="1612"/>
      <c r="X429" s="1612"/>
      <c r="Y429" s="1613"/>
      <c r="Z429" s="1614"/>
      <c r="AA429" s="1614"/>
      <c r="AB429" s="1615"/>
      <c r="AC429" s="1615"/>
      <c r="AD429" s="583"/>
      <c r="AE429" s="583"/>
    </row>
    <row r="430" spans="1:31" ht="14">
      <c r="A430" s="1384" t="s">
        <v>4190</v>
      </c>
      <c r="B430" s="19" t="s">
        <v>395</v>
      </c>
      <c r="C430" s="1383">
        <v>2994</v>
      </c>
      <c r="D430" s="1236"/>
      <c r="E430" s="1236"/>
      <c r="F430" s="1344">
        <f>(1/S430)*cnst_fish!$C$6</f>
        <v>1.5455777163012491E-2</v>
      </c>
      <c r="G430" s="1344">
        <f t="shared" si="63"/>
        <v>1</v>
      </c>
      <c r="H430" s="1344">
        <f t="shared" si="63"/>
        <v>0.367192066876738</v>
      </c>
      <c r="I430" s="1344">
        <f t="shared" si="56"/>
        <v>0</v>
      </c>
      <c r="J430" s="902">
        <f t="shared" si="57"/>
        <v>0</v>
      </c>
      <c r="L430" s="1460">
        <v>11549</v>
      </c>
      <c r="M430" s="1236"/>
      <c r="N430" s="1240" t="s">
        <v>3928</v>
      </c>
      <c r="O430" s="1241" t="s">
        <v>4841</v>
      </c>
      <c r="P430" s="910">
        <f t="shared" si="58"/>
        <v>0</v>
      </c>
      <c r="Q430" s="910">
        <f t="shared" si="59"/>
        <v>11549</v>
      </c>
      <c r="R430" s="1344">
        <f t="shared" si="60"/>
        <v>4.29</v>
      </c>
      <c r="S430" s="1344">
        <f>(1/9)*cnst_fish!$C$7*(1/cnst_fish!$C$8)^(R430-1)</f>
        <v>274.97808458126286</v>
      </c>
      <c r="T430" s="1362">
        <f t="shared" si="61"/>
        <v>274376.44420158624</v>
      </c>
      <c r="W430" s="1612"/>
      <c r="X430" s="1612"/>
      <c r="Y430" s="1613"/>
      <c r="Z430" s="1614"/>
      <c r="AA430" s="1614"/>
      <c r="AB430" s="1615"/>
      <c r="AC430" s="1615"/>
      <c r="AD430" s="583"/>
      <c r="AE430" s="583"/>
    </row>
    <row r="431" spans="1:31" ht="14">
      <c r="A431" s="1384" t="s">
        <v>5713</v>
      </c>
      <c r="B431" s="19" t="s">
        <v>396</v>
      </c>
      <c r="C431" s="1383">
        <v>2996</v>
      </c>
      <c r="D431" s="1236"/>
      <c r="E431" s="1236"/>
      <c r="F431" s="1344">
        <f>(1/S431)*cnst_fish!$C$6</f>
        <v>3.1556646698079359E-2</v>
      </c>
      <c r="G431" s="1344">
        <f t="shared" si="63"/>
        <v>1</v>
      </c>
      <c r="H431" s="1344">
        <f t="shared" si="63"/>
        <v>0.367192066876738</v>
      </c>
      <c r="I431" s="1344">
        <f t="shared" si="56"/>
        <v>0</v>
      </c>
      <c r="J431" s="902">
        <f t="shared" si="57"/>
        <v>0</v>
      </c>
      <c r="L431" s="1460">
        <v>13405</v>
      </c>
      <c r="M431" s="1236"/>
      <c r="N431" s="1240" t="s">
        <v>3928</v>
      </c>
      <c r="O431" s="1241" t="s">
        <v>4841</v>
      </c>
      <c r="P431" s="910">
        <f t="shared" si="58"/>
        <v>0</v>
      </c>
      <c r="Q431" s="910">
        <f t="shared" si="59"/>
        <v>13405</v>
      </c>
      <c r="R431" s="1344">
        <f t="shared" si="60"/>
        <v>3.98</v>
      </c>
      <c r="S431" s="1344">
        <f>(1/9)*cnst_fish!$C$7*(1/cnst_fish!$C$8)^(R431-1)</f>
        <v>134.67844161840773</v>
      </c>
      <c r="T431" s="1362">
        <f t="shared" si="61"/>
        <v>155980.12373039164</v>
      </c>
      <c r="W431" s="1612"/>
      <c r="X431" s="1612"/>
      <c r="Y431" s="1613"/>
      <c r="Z431" s="1614"/>
      <c r="AA431" s="1614"/>
      <c r="AB431" s="1615"/>
      <c r="AC431" s="1615"/>
      <c r="AD431" s="583"/>
      <c r="AE431" s="583"/>
    </row>
    <row r="432" spans="1:31" ht="14">
      <c r="A432" s="1384" t="s">
        <v>2603</v>
      </c>
      <c r="B432" s="19" t="s">
        <v>397</v>
      </c>
      <c r="C432" s="1383">
        <v>2207</v>
      </c>
      <c r="D432" s="1236">
        <v>50</v>
      </c>
      <c r="E432" s="1236"/>
      <c r="F432" s="1344">
        <f>(1/S432)*cnst_fish!$C$6</f>
        <v>9.5299549485983424E-3</v>
      </c>
      <c r="G432" s="1344">
        <f t="shared" si="63"/>
        <v>1</v>
      </c>
      <c r="H432" s="1344">
        <f t="shared" si="63"/>
        <v>0.367192066876738</v>
      </c>
      <c r="I432" s="1344">
        <f t="shared" si="56"/>
        <v>1926.5152293859703</v>
      </c>
      <c r="J432" s="902">
        <f t="shared" si="57"/>
        <v>0</v>
      </c>
      <c r="L432" s="1460">
        <v>50</v>
      </c>
      <c r="M432" s="1236"/>
      <c r="N432" s="1240" t="s">
        <v>3928</v>
      </c>
      <c r="O432" s="1241" t="s">
        <v>4841</v>
      </c>
      <c r="P432" s="910">
        <f t="shared" si="58"/>
        <v>50</v>
      </c>
      <c r="Q432" s="910">
        <f t="shared" si="59"/>
        <v>50</v>
      </c>
      <c r="R432" s="1344">
        <f t="shared" si="60"/>
        <v>4.5</v>
      </c>
      <c r="S432" s="1344">
        <f>(1/9)*cnst_fish!$C$7*(1/cnst_fish!$C$8)^(R432-1)</f>
        <v>445.96223412630997</v>
      </c>
      <c r="T432" s="1362">
        <f t="shared" si="61"/>
        <v>1926.5152293859703</v>
      </c>
      <c r="W432" s="1612"/>
      <c r="X432" s="1612"/>
      <c r="Y432" s="1613"/>
      <c r="Z432" s="1614"/>
      <c r="AA432" s="1614"/>
      <c r="AB432" s="1615"/>
      <c r="AC432" s="1615"/>
      <c r="AD432" s="583"/>
      <c r="AE432" s="583"/>
    </row>
    <row r="433" spans="1:31" ht="14">
      <c r="A433" s="1384" t="s">
        <v>1443</v>
      </c>
      <c r="B433" s="19" t="s">
        <v>398</v>
      </c>
      <c r="C433" s="1383">
        <v>2995</v>
      </c>
      <c r="D433" s="1236"/>
      <c r="E433" s="1236"/>
      <c r="F433" s="1344">
        <f>(1/S433)*cnst_fish!$C$6</f>
        <v>5.7423657091346926E-2</v>
      </c>
      <c r="G433" s="1344">
        <f t="shared" si="63"/>
        <v>1</v>
      </c>
      <c r="H433" s="1344">
        <f t="shared" si="63"/>
        <v>0.367192066876738</v>
      </c>
      <c r="I433" s="1344">
        <f t="shared" si="56"/>
        <v>0</v>
      </c>
      <c r="J433" s="902">
        <f t="shared" si="57"/>
        <v>0</v>
      </c>
      <c r="L433" s="1460">
        <v>140</v>
      </c>
      <c r="M433" s="1236"/>
      <c r="N433" s="1240" t="s">
        <v>3928</v>
      </c>
      <c r="O433" s="1241" t="s">
        <v>4841</v>
      </c>
      <c r="P433" s="910">
        <f t="shared" si="58"/>
        <v>0</v>
      </c>
      <c r="Q433" s="910">
        <f t="shared" si="59"/>
        <v>140</v>
      </c>
      <c r="R433" s="1344">
        <f t="shared" si="60"/>
        <v>3.72</v>
      </c>
      <c r="S433" s="1344">
        <f>(1/9)*cnst_fish!$C$7*(1/cnst_fish!$C$8)^(R433-1)</f>
        <v>74.011308496762837</v>
      </c>
      <c r="T433" s="1362">
        <f t="shared" si="61"/>
        <v>895.22144646704737</v>
      </c>
      <c r="W433" s="1612"/>
      <c r="X433" s="1612"/>
      <c r="Y433" s="1613"/>
      <c r="Z433" s="1614"/>
      <c r="AA433" s="1614"/>
      <c r="AB433" s="1615"/>
      <c r="AC433" s="1615"/>
      <c r="AD433" s="583"/>
      <c r="AE433" s="583"/>
    </row>
    <row r="434" spans="1:31" ht="14">
      <c r="A434" s="1384" t="s">
        <v>2231</v>
      </c>
      <c r="B434" s="19" t="s">
        <v>399</v>
      </c>
      <c r="C434" s="1383">
        <v>2993</v>
      </c>
      <c r="D434" s="1236"/>
      <c r="E434" s="1236"/>
      <c r="F434" s="1344">
        <f>(1/S434)*cnst_fish!$C$6</f>
        <v>4.2568745094767511E-2</v>
      </c>
      <c r="G434" s="1344">
        <f t="shared" si="63"/>
        <v>1</v>
      </c>
      <c r="H434" s="1344">
        <f t="shared" si="63"/>
        <v>0.367192066876738</v>
      </c>
      <c r="I434" s="1344">
        <f t="shared" si="56"/>
        <v>0</v>
      </c>
      <c r="J434" s="902">
        <f t="shared" si="57"/>
        <v>0</v>
      </c>
      <c r="L434" s="1460">
        <v>7941</v>
      </c>
      <c r="M434" s="1236"/>
      <c r="N434" s="1240" t="s">
        <v>3928</v>
      </c>
      <c r="O434" s="1241" t="s">
        <v>4841</v>
      </c>
      <c r="P434" s="910">
        <f t="shared" si="58"/>
        <v>0</v>
      </c>
      <c r="Q434" s="910">
        <f t="shared" si="59"/>
        <v>7941</v>
      </c>
      <c r="R434" s="1344">
        <f t="shared" si="60"/>
        <v>3.85</v>
      </c>
      <c r="S434" s="1344">
        <f>(1/9)*cnst_fish!$C$7*(1/cnst_fish!$C$8)^(R434-1)</f>
        <v>99.838508054173388</v>
      </c>
      <c r="T434" s="1362">
        <f t="shared" si="61"/>
        <v>68497.960101402918</v>
      </c>
      <c r="W434" s="1612"/>
      <c r="X434" s="1612"/>
      <c r="Y434" s="1613"/>
      <c r="Z434" s="1614"/>
      <c r="AA434" s="1614"/>
      <c r="AB434" s="1615"/>
      <c r="AC434" s="1615"/>
      <c r="AD434" s="583"/>
      <c r="AE434" s="583"/>
    </row>
    <row r="435" spans="1:31" ht="14">
      <c r="A435" s="1384" t="s">
        <v>2696</v>
      </c>
      <c r="B435" s="19" t="s">
        <v>2573</v>
      </c>
      <c r="C435" s="1383">
        <v>2342</v>
      </c>
      <c r="D435" s="1236"/>
      <c r="E435" s="1236"/>
      <c r="F435" s="1344">
        <f>(1/S435)*cnst_fish!$C$6</f>
        <v>9.3130266898023228E-2</v>
      </c>
      <c r="G435" s="1344">
        <f t="shared" si="63"/>
        <v>1</v>
      </c>
      <c r="H435" s="1344">
        <f t="shared" si="63"/>
        <v>0.367192066876738</v>
      </c>
      <c r="I435" s="1344">
        <f t="shared" si="56"/>
        <v>0</v>
      </c>
      <c r="J435" s="902">
        <f t="shared" si="57"/>
        <v>0</v>
      </c>
      <c r="L435" s="1460">
        <v>363</v>
      </c>
      <c r="M435" s="1236"/>
      <c r="N435" s="1240" t="s">
        <v>1806</v>
      </c>
      <c r="O435" s="1241" t="s">
        <v>4841</v>
      </c>
      <c r="P435" s="910">
        <f t="shared" si="58"/>
        <v>0</v>
      </c>
      <c r="Q435" s="910">
        <f t="shared" si="59"/>
        <v>363</v>
      </c>
      <c r="R435" s="1344">
        <f t="shared" si="60"/>
        <v>3.51</v>
      </c>
      <c r="S435" s="1344">
        <f>(1/9)*cnst_fish!$C$7*(1/cnst_fish!$C$8)^(R435-1)</f>
        <v>45.635002900332182</v>
      </c>
      <c r="T435" s="1362">
        <f t="shared" si="61"/>
        <v>1431.2288015045419</v>
      </c>
      <c r="W435" s="1612"/>
      <c r="X435" s="1612"/>
      <c r="Y435" s="1613"/>
      <c r="Z435" s="1614"/>
      <c r="AA435" s="1614"/>
      <c r="AB435" s="1615"/>
      <c r="AC435" s="1615"/>
      <c r="AD435" s="583"/>
      <c r="AE435" s="583"/>
    </row>
    <row r="436" spans="1:31" ht="14">
      <c r="A436" s="1384" t="s">
        <v>6659</v>
      </c>
      <c r="B436" s="19" t="s">
        <v>6658</v>
      </c>
      <c r="C436" s="1383">
        <v>20263</v>
      </c>
      <c r="D436" s="1236"/>
      <c r="E436" s="1236"/>
      <c r="F436" s="1344">
        <f>(1/S436)*cnst_fish!$C$6</f>
        <v>0.11997502458044032</v>
      </c>
      <c r="G436" s="1344">
        <f t="shared" si="63"/>
        <v>1</v>
      </c>
      <c r="H436" s="1344">
        <f t="shared" si="63"/>
        <v>0.367192066876738</v>
      </c>
      <c r="I436" s="1344">
        <f t="shared" si="56"/>
        <v>0</v>
      </c>
      <c r="J436" s="902">
        <f t="shared" si="57"/>
        <v>0</v>
      </c>
      <c r="L436" s="1460"/>
      <c r="M436" s="1236">
        <v>9570</v>
      </c>
      <c r="N436" s="1240" t="s">
        <v>1806</v>
      </c>
      <c r="O436" s="1241" t="s">
        <v>4845</v>
      </c>
      <c r="P436" s="910">
        <f t="shared" si="58"/>
        <v>0</v>
      </c>
      <c r="Q436" s="910">
        <f t="shared" si="59"/>
        <v>9570</v>
      </c>
      <c r="R436" s="1344">
        <f t="shared" si="60"/>
        <v>3.4</v>
      </c>
      <c r="S436" s="1344">
        <f>(1/9)*cnst_fish!$C$7*(1/cnst_fish!$C$8)^(R436-1)</f>
        <v>35.424039418724846</v>
      </c>
      <c r="T436" s="1362">
        <f t="shared" si="61"/>
        <v>29289.663347010301</v>
      </c>
      <c r="W436" s="1612"/>
      <c r="X436" s="1612"/>
      <c r="Y436" s="1613"/>
      <c r="Z436" s="1614"/>
      <c r="AA436" s="1614"/>
      <c r="AB436" s="1615"/>
      <c r="AC436" s="1615"/>
      <c r="AD436" s="583"/>
      <c r="AE436" s="583"/>
    </row>
    <row r="437" spans="1:31" ht="14">
      <c r="A437" s="1384" t="s">
        <v>5029</v>
      </c>
      <c r="B437" s="19" t="s">
        <v>2146</v>
      </c>
      <c r="C437" s="1383">
        <v>3612</v>
      </c>
      <c r="D437" s="1236"/>
      <c r="E437" s="1236"/>
      <c r="F437" s="1344">
        <f>(1/S437)*cnst_fish!$C$6</f>
        <v>1.5103960722494616</v>
      </c>
      <c r="G437" s="1344">
        <f t="shared" si="63"/>
        <v>1</v>
      </c>
      <c r="H437" s="1344">
        <f t="shared" si="63"/>
        <v>0.367192066876738</v>
      </c>
      <c r="I437" s="1344">
        <f t="shared" si="56"/>
        <v>0</v>
      </c>
      <c r="J437" s="902">
        <f t="shared" si="57"/>
        <v>0</v>
      </c>
      <c r="L437" s="1460">
        <v>18.02</v>
      </c>
      <c r="M437" s="1236"/>
      <c r="N437" s="1240" t="s">
        <v>5367</v>
      </c>
      <c r="O437" s="1241"/>
      <c r="P437" s="910">
        <f t="shared" si="58"/>
        <v>0</v>
      </c>
      <c r="Q437" s="910">
        <f t="shared" si="59"/>
        <v>18.02</v>
      </c>
      <c r="R437" s="1344">
        <f t="shared" si="60"/>
        <v>2.2999999999999998</v>
      </c>
      <c r="S437" s="1344">
        <f>(1/9)*cnst_fish!$C$7*(1/cnst_fish!$C$8)^(R437-1)</f>
        <v>2.8138314698279068</v>
      </c>
      <c r="T437" s="1362">
        <f t="shared" si="61"/>
        <v>4.3808383553754151</v>
      </c>
      <c r="W437" s="1612"/>
      <c r="X437" s="1612"/>
      <c r="Y437" s="1613"/>
      <c r="Z437" s="1614"/>
      <c r="AA437" s="1614"/>
      <c r="AB437" s="1615"/>
      <c r="AC437" s="1615"/>
      <c r="AD437" s="583"/>
      <c r="AE437" s="583"/>
    </row>
    <row r="438" spans="1:31" ht="14">
      <c r="A438" s="1384" t="s">
        <v>2722</v>
      </c>
      <c r="B438" s="19" t="s">
        <v>2147</v>
      </c>
      <c r="C438" s="1383">
        <v>2762</v>
      </c>
      <c r="D438" s="1236"/>
      <c r="E438" s="1236"/>
      <c r="F438" s="1344">
        <f>(1/S438)*cnst_fish!$C$6</f>
        <v>1.5103960722494616</v>
      </c>
      <c r="G438" s="1344">
        <f t="shared" si="63"/>
        <v>1</v>
      </c>
      <c r="H438" s="1344">
        <f t="shared" si="63"/>
        <v>0.367192066876738</v>
      </c>
      <c r="I438" s="1344">
        <f t="shared" si="56"/>
        <v>0</v>
      </c>
      <c r="J438" s="902">
        <f t="shared" si="57"/>
        <v>0</v>
      </c>
      <c r="L438" s="1460">
        <v>2.5</v>
      </c>
      <c r="M438" s="1236"/>
      <c r="N438" s="1240" t="s">
        <v>5367</v>
      </c>
      <c r="O438" s="1241"/>
      <c r="P438" s="910">
        <f t="shared" si="58"/>
        <v>0</v>
      </c>
      <c r="Q438" s="910">
        <f t="shared" si="59"/>
        <v>2.5</v>
      </c>
      <c r="R438" s="1344">
        <f t="shared" si="60"/>
        <v>2.2999999999999998</v>
      </c>
      <c r="S438" s="1344">
        <f>(1/9)*cnst_fish!$C$7*(1/cnst_fish!$C$8)^(R438-1)</f>
        <v>2.8138314698279068</v>
      </c>
      <c r="T438" s="1362">
        <f t="shared" si="61"/>
        <v>0.60777446661701107</v>
      </c>
      <c r="W438" s="1612"/>
      <c r="X438" s="1612"/>
      <c r="Y438" s="1613"/>
      <c r="Z438" s="1614"/>
      <c r="AA438" s="1614"/>
      <c r="AB438" s="1615"/>
      <c r="AC438" s="1615"/>
      <c r="AD438" s="583"/>
      <c r="AE438" s="583"/>
    </row>
    <row r="439" spans="1:31" ht="14">
      <c r="A439" s="1384" t="s">
        <v>163</v>
      </c>
      <c r="B439" s="19" t="s">
        <v>2148</v>
      </c>
      <c r="C439" s="1383">
        <v>2763</v>
      </c>
      <c r="D439" s="1236"/>
      <c r="E439" s="1236"/>
      <c r="F439" s="1344">
        <f>(1/S439)*cnst_fish!$C$6</f>
        <v>1.5103960722494616</v>
      </c>
      <c r="G439" s="1344">
        <f t="shared" si="63"/>
        <v>1</v>
      </c>
      <c r="H439" s="1344">
        <f t="shared" si="63"/>
        <v>0.367192066876738</v>
      </c>
      <c r="I439" s="1344">
        <f t="shared" si="56"/>
        <v>0</v>
      </c>
      <c r="J439" s="902">
        <f t="shared" si="57"/>
        <v>0</v>
      </c>
      <c r="L439" s="1460">
        <v>0</v>
      </c>
      <c r="M439" s="1236"/>
      <c r="N439" s="1240" t="s">
        <v>5367</v>
      </c>
      <c r="O439" s="1241"/>
      <c r="P439" s="910">
        <f t="shared" si="58"/>
        <v>0</v>
      </c>
      <c r="Q439" s="910">
        <f t="shared" si="59"/>
        <v>0</v>
      </c>
      <c r="R439" s="1344">
        <f t="shared" si="60"/>
        <v>2.2999999999999998</v>
      </c>
      <c r="S439" s="1344">
        <f>(1/9)*cnst_fish!$C$7*(1/cnst_fish!$C$8)^(R439-1)</f>
        <v>2.8138314698279068</v>
      </c>
      <c r="T439" s="1362">
        <f t="shared" si="61"/>
        <v>0</v>
      </c>
      <c r="W439" s="1612"/>
      <c r="X439" s="1612"/>
      <c r="Y439" s="1613"/>
      <c r="Z439" s="1614"/>
      <c r="AA439" s="1614"/>
      <c r="AB439" s="1615"/>
      <c r="AC439" s="1615"/>
      <c r="AD439" s="583"/>
      <c r="AE439" s="583"/>
    </row>
    <row r="440" spans="1:31" ht="14">
      <c r="A440" s="1384" t="s">
        <v>3642</v>
      </c>
      <c r="B440" s="19" t="s">
        <v>2149</v>
      </c>
      <c r="C440" s="1383">
        <v>3611</v>
      </c>
      <c r="D440" s="1236"/>
      <c r="E440" s="1236"/>
      <c r="F440" s="1344">
        <f>(1/S440)*cnst_fish!$C$6</f>
        <v>1.5103960722494616</v>
      </c>
      <c r="G440" s="1344">
        <f t="shared" si="63"/>
        <v>1</v>
      </c>
      <c r="H440" s="1344">
        <f t="shared" si="63"/>
        <v>0.367192066876738</v>
      </c>
      <c r="I440" s="1344">
        <f t="shared" si="56"/>
        <v>0</v>
      </c>
      <c r="J440" s="902">
        <f t="shared" si="57"/>
        <v>0</v>
      </c>
      <c r="L440" s="1460">
        <v>54.3</v>
      </c>
      <c r="M440" s="1236"/>
      <c r="N440" s="1240" t="s">
        <v>5367</v>
      </c>
      <c r="O440" s="1241"/>
      <c r="P440" s="910">
        <f t="shared" si="58"/>
        <v>0</v>
      </c>
      <c r="Q440" s="910">
        <f t="shared" si="59"/>
        <v>54.3</v>
      </c>
      <c r="R440" s="1344">
        <f t="shared" si="60"/>
        <v>2.2999999999999998</v>
      </c>
      <c r="S440" s="1344">
        <f>(1/9)*cnst_fish!$C$7*(1/cnst_fish!$C$8)^(R440-1)</f>
        <v>2.8138314698279068</v>
      </c>
      <c r="T440" s="1362">
        <f t="shared" si="61"/>
        <v>13.200861414921478</v>
      </c>
      <c r="W440" s="1612"/>
      <c r="X440" s="1612"/>
      <c r="Y440" s="1613"/>
      <c r="Z440" s="1614"/>
      <c r="AA440" s="1614"/>
      <c r="AB440" s="1615"/>
      <c r="AC440" s="1615"/>
      <c r="AD440" s="583"/>
      <c r="AE440" s="583"/>
    </row>
    <row r="441" spans="1:31" ht="14">
      <c r="A441" s="1384" t="s">
        <v>4524</v>
      </c>
      <c r="B441" s="19" t="s">
        <v>5244</v>
      </c>
      <c r="C441" s="1383">
        <v>3613</v>
      </c>
      <c r="D441" s="1236"/>
      <c r="E441" s="1236"/>
      <c r="F441" s="1344">
        <f>(1/S441)*cnst_fish!$C$6</f>
        <v>1.5103960722494616</v>
      </c>
      <c r="G441" s="1344">
        <f t="shared" si="63"/>
        <v>1</v>
      </c>
      <c r="H441" s="1344">
        <f t="shared" si="63"/>
        <v>0.367192066876738</v>
      </c>
      <c r="I441" s="1344">
        <f t="shared" si="56"/>
        <v>0</v>
      </c>
      <c r="J441" s="902">
        <f t="shared" si="57"/>
        <v>0</v>
      </c>
      <c r="L441" s="1460">
        <v>0</v>
      </c>
      <c r="M441" s="1236"/>
      <c r="N441" s="1240" t="s">
        <v>5367</v>
      </c>
      <c r="O441" s="1241"/>
      <c r="P441" s="910">
        <f t="shared" si="58"/>
        <v>0</v>
      </c>
      <c r="Q441" s="910">
        <f t="shared" si="59"/>
        <v>0</v>
      </c>
      <c r="R441" s="1344">
        <f t="shared" si="60"/>
        <v>2.2999999999999998</v>
      </c>
      <c r="S441" s="1344">
        <f>(1/9)*cnst_fish!$C$7*(1/cnst_fish!$C$8)^(R441-1)</f>
        <v>2.8138314698279068</v>
      </c>
      <c r="T441" s="1362">
        <f t="shared" si="61"/>
        <v>0</v>
      </c>
      <c r="W441" s="1612"/>
      <c r="X441" s="1612"/>
      <c r="Y441" s="1613"/>
      <c r="Z441" s="1614"/>
      <c r="AA441" s="1614"/>
      <c r="AB441" s="1615"/>
      <c r="AC441" s="1615"/>
      <c r="AD441" s="583"/>
      <c r="AE441" s="583"/>
    </row>
    <row r="442" spans="1:31" ht="14">
      <c r="A442" s="1384" t="s">
        <v>158</v>
      </c>
      <c r="B442" s="19" t="s">
        <v>5245</v>
      </c>
      <c r="C442" s="1383">
        <v>3615</v>
      </c>
      <c r="D442" s="1236"/>
      <c r="E442" s="1236"/>
      <c r="F442" s="1344">
        <f>(1/S442)*cnst_fish!$C$6</f>
        <v>1.5103960722494616</v>
      </c>
      <c r="G442" s="1344">
        <f t="shared" si="63"/>
        <v>1</v>
      </c>
      <c r="H442" s="1344">
        <f t="shared" si="63"/>
        <v>0.367192066876738</v>
      </c>
      <c r="I442" s="1344">
        <f t="shared" si="56"/>
        <v>0</v>
      </c>
      <c r="J442" s="902">
        <f t="shared" si="57"/>
        <v>0</v>
      </c>
      <c r="L442" s="1460">
        <v>0</v>
      </c>
      <c r="M442" s="1236"/>
      <c r="N442" s="1240" t="s">
        <v>5367</v>
      </c>
      <c r="O442" s="1241"/>
      <c r="P442" s="910">
        <f t="shared" si="58"/>
        <v>0</v>
      </c>
      <c r="Q442" s="910">
        <f t="shared" si="59"/>
        <v>0</v>
      </c>
      <c r="R442" s="1344">
        <f t="shared" si="60"/>
        <v>2.2999999999999998</v>
      </c>
      <c r="S442" s="1344">
        <f>(1/9)*cnst_fish!$C$7*(1/cnst_fish!$C$8)^(R442-1)</f>
        <v>2.8138314698279068</v>
      </c>
      <c r="T442" s="1362">
        <f t="shared" si="61"/>
        <v>0</v>
      </c>
      <c r="W442" s="1612"/>
      <c r="X442" s="1612"/>
      <c r="Y442" s="1613"/>
      <c r="Z442" s="1614"/>
      <c r="AA442" s="1614"/>
      <c r="AB442" s="1615"/>
      <c r="AC442" s="1615"/>
      <c r="AD442" s="583"/>
      <c r="AE442" s="583"/>
    </row>
    <row r="443" spans="1:31" ht="14">
      <c r="A443" s="1384" t="s">
        <v>3823</v>
      </c>
      <c r="B443" s="19" t="s">
        <v>2852</v>
      </c>
      <c r="C443" s="1383">
        <v>3555</v>
      </c>
      <c r="D443" s="1236"/>
      <c r="E443" s="1236"/>
      <c r="F443" s="1344">
        <f>(1/S443)*cnst_fish!$C$6</f>
        <v>1.9014759972289452</v>
      </c>
      <c r="G443" s="1344">
        <f t="shared" si="63"/>
        <v>1</v>
      </c>
      <c r="H443" s="1344">
        <f t="shared" si="63"/>
        <v>0.367192066876738</v>
      </c>
      <c r="I443" s="1344">
        <f t="shared" si="56"/>
        <v>0</v>
      </c>
      <c r="J443" s="902">
        <f t="shared" si="57"/>
        <v>0</v>
      </c>
      <c r="L443" s="1460">
        <v>500</v>
      </c>
      <c r="M443" s="1236">
        <v>9842</v>
      </c>
      <c r="N443" s="1240" t="s">
        <v>1804</v>
      </c>
      <c r="O443" s="1241" t="s">
        <v>4851</v>
      </c>
      <c r="P443" s="910">
        <f t="shared" si="58"/>
        <v>0</v>
      </c>
      <c r="Q443" s="910">
        <f t="shared" si="59"/>
        <v>10342</v>
      </c>
      <c r="R443" s="1344">
        <f t="shared" si="60"/>
        <v>2.2000000000000002</v>
      </c>
      <c r="S443" s="1344">
        <f>(1/9)*cnst_fish!$C$7*(1/cnst_fish!$C$8)^(R443-1)</f>
        <v>2.2351057842400328</v>
      </c>
      <c r="T443" s="1362">
        <f t="shared" si="61"/>
        <v>1997.1329436571323</v>
      </c>
      <c r="W443" s="1612"/>
      <c r="X443" s="1612"/>
      <c r="Y443" s="1613"/>
      <c r="Z443" s="1614"/>
      <c r="AA443" s="1614"/>
      <c r="AB443" s="1615"/>
      <c r="AC443" s="1615"/>
      <c r="AD443" s="583"/>
      <c r="AE443" s="583"/>
    </row>
    <row r="444" spans="1:31" ht="14">
      <c r="A444" s="1384" t="s">
        <v>894</v>
      </c>
      <c r="B444" s="19" t="s">
        <v>3967</v>
      </c>
      <c r="C444" s="1383">
        <v>2939</v>
      </c>
      <c r="D444" s="1236"/>
      <c r="E444" s="1236"/>
      <c r="F444" s="1344">
        <f>(1/S444)*cnst_fish!$C$6</f>
        <v>0.2878000384237327</v>
      </c>
      <c r="G444" s="1344">
        <f t="shared" si="63"/>
        <v>1</v>
      </c>
      <c r="H444" s="1344">
        <f t="shared" si="63"/>
        <v>0.367192066876738</v>
      </c>
      <c r="I444" s="1344">
        <f t="shared" si="56"/>
        <v>0</v>
      </c>
      <c r="J444" s="902">
        <f t="shared" si="57"/>
        <v>0</v>
      </c>
      <c r="L444" s="1460">
        <v>1754</v>
      </c>
      <c r="M444" s="1236">
        <v>4880</v>
      </c>
      <c r="N444" s="1240" t="s">
        <v>1806</v>
      </c>
      <c r="O444" s="1241" t="s">
        <v>4845</v>
      </c>
      <c r="P444" s="910">
        <f t="shared" si="58"/>
        <v>0</v>
      </c>
      <c r="Q444" s="910">
        <f t="shared" si="59"/>
        <v>6634</v>
      </c>
      <c r="R444" s="1344">
        <f t="shared" si="60"/>
        <v>3.02</v>
      </c>
      <c r="S444" s="1344">
        <f>(1/9)*cnst_fish!$C$7*(1/cnst_fish!$C$8)^(R444-1)</f>
        <v>14.767197472512686</v>
      </c>
      <c r="T444" s="1362">
        <f t="shared" si="61"/>
        <v>8464.0439417655234</v>
      </c>
      <c r="W444" s="1612"/>
      <c r="X444" s="1612"/>
      <c r="Y444" s="1613"/>
      <c r="Z444" s="1614"/>
      <c r="AA444" s="1614"/>
      <c r="AB444" s="1615"/>
      <c r="AC444" s="1615"/>
      <c r="AD444" s="583"/>
      <c r="AE444" s="583"/>
    </row>
    <row r="445" spans="1:31" ht="14">
      <c r="A445" s="1384" t="s">
        <v>1228</v>
      </c>
      <c r="B445" s="19" t="s">
        <v>3968</v>
      </c>
      <c r="C445" s="1383">
        <v>2134</v>
      </c>
      <c r="D445" s="1236"/>
      <c r="E445" s="1236">
        <v>729</v>
      </c>
      <c r="F445" s="1344">
        <f>(1/S445)*cnst_fish!$C$6</f>
        <v>0.13461419163458563</v>
      </c>
      <c r="G445" s="1344">
        <f t="shared" si="63"/>
        <v>1</v>
      </c>
      <c r="H445" s="1344">
        <f t="shared" si="63"/>
        <v>0.367192066876738</v>
      </c>
      <c r="I445" s="1344">
        <f t="shared" si="56"/>
        <v>0</v>
      </c>
      <c r="J445" s="902">
        <f t="shared" si="57"/>
        <v>1988.5200327152413</v>
      </c>
      <c r="L445" s="1460"/>
      <c r="M445" s="1236">
        <v>947</v>
      </c>
      <c r="N445" s="1240" t="s">
        <v>1806</v>
      </c>
      <c r="O445" s="1241" t="s">
        <v>4845</v>
      </c>
      <c r="P445" s="910">
        <f t="shared" si="58"/>
        <v>729</v>
      </c>
      <c r="Q445" s="910">
        <f t="shared" si="59"/>
        <v>947</v>
      </c>
      <c r="R445" s="1344">
        <f t="shared" si="60"/>
        <v>3.35</v>
      </c>
      <c r="S445" s="1344">
        <f>(1/9)*cnst_fish!$C$7*(1/cnst_fish!$C$8)^(R445-1)</f>
        <v>31.571708364425319</v>
      </c>
      <c r="T445" s="1362">
        <f t="shared" si="61"/>
        <v>2583.16662686054</v>
      </c>
      <c r="W445" s="1612"/>
      <c r="X445" s="1612"/>
      <c r="Y445" s="1613"/>
      <c r="Z445" s="1614"/>
      <c r="AA445" s="1614"/>
      <c r="AB445" s="1615"/>
      <c r="AC445" s="1615"/>
      <c r="AD445" s="583"/>
      <c r="AE445" s="583"/>
    </row>
    <row r="446" spans="1:31" ht="14">
      <c r="A446" s="1384" t="s">
        <v>6549</v>
      </c>
      <c r="B446" s="19" t="s">
        <v>3969</v>
      </c>
      <c r="C446" s="1383">
        <v>2941</v>
      </c>
      <c r="D446" s="1236"/>
      <c r="E446" s="1236">
        <v>4014</v>
      </c>
      <c r="F446" s="1344">
        <f>(1/S446)*cnst_fish!$C$6</f>
        <v>0.21831865524078092</v>
      </c>
      <c r="G446" s="1344">
        <f t="shared" si="63"/>
        <v>1</v>
      </c>
      <c r="H446" s="1344">
        <f t="shared" si="63"/>
        <v>0.367192066876738</v>
      </c>
      <c r="I446" s="1344">
        <f t="shared" si="56"/>
        <v>0</v>
      </c>
      <c r="J446" s="902">
        <f t="shared" si="57"/>
        <v>6751.1819125931797</v>
      </c>
      <c r="L446" s="1460"/>
      <c r="M446" s="1236">
        <v>9184</v>
      </c>
      <c r="N446" s="1240" t="s">
        <v>1806</v>
      </c>
      <c r="O446" s="1241" t="s">
        <v>4845</v>
      </c>
      <c r="P446" s="910">
        <f t="shared" si="58"/>
        <v>4014</v>
      </c>
      <c r="Q446" s="910">
        <f t="shared" si="59"/>
        <v>9184</v>
      </c>
      <c r="R446" s="1344">
        <f t="shared" si="60"/>
        <v>3.14</v>
      </c>
      <c r="S446" s="1344">
        <f>(1/9)*cnst_fish!$C$7*(1/cnst_fish!$C$8)^(R446-1)</f>
        <v>19.466957577733005</v>
      </c>
      <c r="T446" s="1362">
        <f t="shared" si="61"/>
        <v>15446.650394931678</v>
      </c>
      <c r="W446" s="1612"/>
      <c r="X446" s="1612"/>
      <c r="Y446" s="1613"/>
      <c r="Z446" s="1614"/>
      <c r="AA446" s="1614"/>
      <c r="AB446" s="1615"/>
      <c r="AC446" s="1615"/>
      <c r="AD446" s="583"/>
      <c r="AE446" s="583"/>
    </row>
    <row r="447" spans="1:31" ht="14">
      <c r="A447" s="1384" t="s">
        <v>2642</v>
      </c>
      <c r="B447" s="19" t="s">
        <v>3970</v>
      </c>
      <c r="C447" s="1383">
        <v>2940</v>
      </c>
      <c r="D447" s="1236"/>
      <c r="E447" s="1236"/>
      <c r="F447" s="1344">
        <f>(1/S447)*cnst_fish!$C$6</f>
        <v>0.25066335465503214</v>
      </c>
      <c r="G447" s="1344">
        <f t="shared" si="63"/>
        <v>1</v>
      </c>
      <c r="H447" s="1344">
        <f t="shared" si="63"/>
        <v>0.367192066876738</v>
      </c>
      <c r="I447" s="1344">
        <f t="shared" si="56"/>
        <v>0</v>
      </c>
      <c r="J447" s="902">
        <f t="shared" si="57"/>
        <v>0</v>
      </c>
      <c r="L447" s="1460">
        <v>1503</v>
      </c>
      <c r="M447" s="1236">
        <v>1535</v>
      </c>
      <c r="N447" s="1240" t="s">
        <v>1806</v>
      </c>
      <c r="O447" s="1241" t="s">
        <v>4845</v>
      </c>
      <c r="P447" s="910">
        <f t="shared" si="58"/>
        <v>0</v>
      </c>
      <c r="Q447" s="910">
        <f t="shared" si="59"/>
        <v>3038</v>
      </c>
      <c r="R447" s="1344">
        <f t="shared" si="60"/>
        <v>3.08</v>
      </c>
      <c r="S447" s="1344">
        <f>(1/9)*cnst_fish!$C$7*(1/cnst_fish!$C$8)^(R447-1)</f>
        <v>16.95501125742506</v>
      </c>
      <c r="T447" s="1362">
        <f t="shared" si="61"/>
        <v>4450.3094626924776</v>
      </c>
      <c r="W447" s="1612"/>
      <c r="X447" s="1612"/>
      <c r="Y447" s="1613"/>
      <c r="Z447" s="1614"/>
      <c r="AA447" s="1614"/>
      <c r="AB447" s="1615"/>
      <c r="AC447" s="1615"/>
      <c r="AD447" s="583"/>
      <c r="AE447" s="583"/>
    </row>
    <row r="448" spans="1:31" ht="14">
      <c r="A448" s="1384" t="s">
        <v>888</v>
      </c>
      <c r="B448" s="19" t="s">
        <v>3971</v>
      </c>
      <c r="C448" s="1383">
        <v>2133</v>
      </c>
      <c r="D448" s="1236"/>
      <c r="E448" s="1236"/>
      <c r="F448" s="1344">
        <f>(1/S448)*cnst_fish!$C$6</f>
        <v>0.16946922663690964</v>
      </c>
      <c r="G448" s="1344">
        <f t="shared" ref="G448:H467" si="64">G$7</f>
        <v>1</v>
      </c>
      <c r="H448" s="1344">
        <f t="shared" si="64"/>
        <v>0.367192066876738</v>
      </c>
      <c r="I448" s="1344">
        <f t="shared" si="56"/>
        <v>0</v>
      </c>
      <c r="J448" s="902">
        <f t="shared" si="57"/>
        <v>0</v>
      </c>
      <c r="L448" s="1460"/>
      <c r="M448" s="1236">
        <v>0</v>
      </c>
      <c r="N448" s="1240" t="s">
        <v>1806</v>
      </c>
      <c r="O448" s="1241" t="s">
        <v>4845</v>
      </c>
      <c r="P448" s="910">
        <f t="shared" si="58"/>
        <v>0</v>
      </c>
      <c r="Q448" s="910">
        <f t="shared" si="59"/>
        <v>0</v>
      </c>
      <c r="R448" s="1344">
        <f t="shared" si="60"/>
        <v>3.25</v>
      </c>
      <c r="S448" s="1344">
        <f>(1/9)*cnst_fish!$C$7*(1/cnst_fish!$C$8)^(R448-1)</f>
        <v>25.078299372343796</v>
      </c>
      <c r="T448" s="1362">
        <f t="shared" si="61"/>
        <v>0</v>
      </c>
      <c r="W448" s="1612"/>
      <c r="X448" s="1612"/>
      <c r="Y448" s="1613"/>
      <c r="Z448" s="1614"/>
      <c r="AA448" s="1614"/>
      <c r="AB448" s="1615"/>
      <c r="AC448" s="1615"/>
      <c r="AD448" s="583"/>
      <c r="AE448" s="583"/>
    </row>
    <row r="449" spans="1:31" ht="14">
      <c r="A449" s="1384" t="s">
        <v>3358</v>
      </c>
      <c r="B449" s="19" t="s">
        <v>3972</v>
      </c>
      <c r="C449" s="1383">
        <v>2132</v>
      </c>
      <c r="D449" s="1236"/>
      <c r="E449" s="1236">
        <v>5</v>
      </c>
      <c r="F449" s="1344">
        <f>(1/S449)*cnst_fish!$C$6</f>
        <v>0.15103960722494611</v>
      </c>
      <c r="G449" s="1344">
        <f t="shared" si="64"/>
        <v>1</v>
      </c>
      <c r="H449" s="1344">
        <f t="shared" si="64"/>
        <v>0.367192066876738</v>
      </c>
      <c r="I449" s="1344">
        <f t="shared" si="56"/>
        <v>0</v>
      </c>
      <c r="J449" s="902">
        <f t="shared" si="57"/>
        <v>12.155489332340226</v>
      </c>
      <c r="L449" s="1460">
        <v>10</v>
      </c>
      <c r="M449" s="1236">
        <v>3581</v>
      </c>
      <c r="N449" s="1240" t="s">
        <v>1806</v>
      </c>
      <c r="O449" s="1241" t="s">
        <v>4845</v>
      </c>
      <c r="P449" s="910">
        <f t="shared" si="58"/>
        <v>5</v>
      </c>
      <c r="Q449" s="910">
        <f t="shared" si="59"/>
        <v>3591</v>
      </c>
      <c r="R449" s="1344">
        <f t="shared" si="60"/>
        <v>3.3</v>
      </c>
      <c r="S449" s="1344">
        <f>(1/9)*cnst_fish!$C$7*(1/cnst_fish!$C$8)^(R449-1)</f>
        <v>28.138314698279075</v>
      </c>
      <c r="T449" s="1362">
        <f t="shared" si="61"/>
        <v>8730.0724384867499</v>
      </c>
      <c r="W449" s="1612"/>
      <c r="X449" s="1612"/>
      <c r="Y449" s="1613"/>
      <c r="Z449" s="1614"/>
      <c r="AA449" s="1614"/>
      <c r="AB449" s="1615"/>
      <c r="AC449" s="1615"/>
      <c r="AD449" s="583"/>
      <c r="AE449" s="583"/>
    </row>
    <row r="450" spans="1:31" ht="14">
      <c r="A450" s="1384" t="s">
        <v>6799</v>
      </c>
      <c r="B450" s="19" t="s">
        <v>6798</v>
      </c>
      <c r="C450" s="1383">
        <v>11558</v>
      </c>
      <c r="D450" s="1236"/>
      <c r="E450" s="1236"/>
      <c r="F450" s="1344">
        <f>(1/S450)*cnst_fish!$C$6</f>
        <v>3.0136363636363641</v>
      </c>
      <c r="G450" s="1344">
        <f t="shared" si="64"/>
        <v>1</v>
      </c>
      <c r="H450" s="1344">
        <f t="shared" si="64"/>
        <v>0.367192066876738</v>
      </c>
      <c r="I450" s="1344">
        <f t="shared" si="56"/>
        <v>0</v>
      </c>
      <c r="J450" s="902">
        <f t="shared" si="57"/>
        <v>0</v>
      </c>
      <c r="L450" s="1460">
        <v>3</v>
      </c>
      <c r="M450" s="1236"/>
      <c r="N450" s="1240" t="s">
        <v>1806</v>
      </c>
      <c r="O450" s="1241" t="s">
        <v>4841</v>
      </c>
      <c r="P450" s="910">
        <f t="shared" si="58"/>
        <v>0</v>
      </c>
      <c r="Q450" s="910">
        <f t="shared" si="59"/>
        <v>3</v>
      </c>
      <c r="R450" s="1344">
        <f t="shared" si="60"/>
        <v>2</v>
      </c>
      <c r="S450" s="1344">
        <f>(1/9)*cnst_fish!$C$7*(1/cnst_fish!$C$8)^(R450-1)</f>
        <v>1.4102564102564099</v>
      </c>
      <c r="T450" s="1362">
        <f t="shared" si="61"/>
        <v>0.36553056431168479</v>
      </c>
      <c r="W450" s="1612"/>
      <c r="X450" s="1612"/>
      <c r="Y450" s="1613"/>
      <c r="Z450" s="1614"/>
      <c r="AA450" s="1614"/>
      <c r="AB450" s="1615"/>
      <c r="AC450" s="1615"/>
      <c r="AD450" s="583"/>
      <c r="AE450" s="583"/>
    </row>
    <row r="451" spans="1:31" ht="14">
      <c r="A451" s="1384" t="s">
        <v>1416</v>
      </c>
      <c r="B451" s="19" t="s">
        <v>1529</v>
      </c>
      <c r="C451" s="1383">
        <v>3130</v>
      </c>
      <c r="D451" s="1236">
        <v>992</v>
      </c>
      <c r="E451" s="1236"/>
      <c r="F451" s="1344">
        <f>(1/S451)*cnst_fish!$C$6</f>
        <v>1.2855555498429807E-2</v>
      </c>
      <c r="G451" s="1344">
        <f t="shared" si="64"/>
        <v>1</v>
      </c>
      <c r="H451" s="1344">
        <f t="shared" si="64"/>
        <v>0.367192066876738</v>
      </c>
      <c r="I451" s="1344">
        <f t="shared" si="56"/>
        <v>28334.406116189577</v>
      </c>
      <c r="J451" s="902">
        <f t="shared" si="57"/>
        <v>0</v>
      </c>
      <c r="L451" s="1460">
        <v>105568</v>
      </c>
      <c r="M451" s="1236"/>
      <c r="N451" s="1240" t="s">
        <v>1806</v>
      </c>
      <c r="O451" s="1241" t="s">
        <v>4859</v>
      </c>
      <c r="P451" s="910">
        <f t="shared" si="58"/>
        <v>992</v>
      </c>
      <c r="Q451" s="910">
        <f t="shared" si="59"/>
        <v>105568</v>
      </c>
      <c r="R451" s="1344">
        <f t="shared" si="60"/>
        <v>4.37</v>
      </c>
      <c r="S451" s="1344">
        <f>(1/9)*cnst_fish!$C$7*(1/cnst_fish!$C$8)^(R451-1)</f>
        <v>330.59637139127125</v>
      </c>
      <c r="T451" s="1362">
        <f t="shared" si="61"/>
        <v>3015329.2186228842</v>
      </c>
      <c r="W451" s="1612"/>
      <c r="X451" s="1612"/>
      <c r="Y451" s="1613"/>
      <c r="Z451" s="1614"/>
      <c r="AA451" s="1614"/>
      <c r="AB451" s="1615"/>
      <c r="AC451" s="1615"/>
      <c r="AD451" s="583"/>
      <c r="AE451" s="583"/>
    </row>
    <row r="452" spans="1:31" ht="14">
      <c r="A452" s="1384" t="s">
        <v>1693</v>
      </c>
      <c r="B452" s="19" t="s">
        <v>1715</v>
      </c>
      <c r="C452" s="1383">
        <v>3035</v>
      </c>
      <c r="D452" s="1236"/>
      <c r="E452" s="1236"/>
      <c r="F452" s="1344">
        <f>(1/S452)*cnst_fish!$C$6</f>
        <v>8.6914222116951781E-2</v>
      </c>
      <c r="G452" s="1344">
        <f t="shared" si="64"/>
        <v>1</v>
      </c>
      <c r="H452" s="1344">
        <f t="shared" si="64"/>
        <v>0.367192066876738</v>
      </c>
      <c r="I452" s="1344">
        <f t="shared" si="56"/>
        <v>0</v>
      </c>
      <c r="J452" s="902">
        <f t="shared" si="57"/>
        <v>0</v>
      </c>
      <c r="L452" s="1460">
        <v>3441</v>
      </c>
      <c r="M452" s="1236"/>
      <c r="N452" s="1240" t="s">
        <v>1806</v>
      </c>
      <c r="O452" s="1241" t="s">
        <v>4841</v>
      </c>
      <c r="P452" s="910">
        <f t="shared" si="58"/>
        <v>0</v>
      </c>
      <c r="Q452" s="910">
        <f t="shared" si="59"/>
        <v>3441</v>
      </c>
      <c r="R452" s="1344">
        <f t="shared" si="60"/>
        <v>3.54</v>
      </c>
      <c r="S452" s="1344">
        <f>(1/9)*cnst_fish!$C$7*(1/cnst_fish!$C$8)^(R452-1)</f>
        <v>48.898786602280119</v>
      </c>
      <c r="T452" s="1362">
        <f t="shared" si="61"/>
        <v>14537.412535576503</v>
      </c>
      <c r="W452" s="1612"/>
      <c r="X452" s="1612"/>
      <c r="Y452" s="1613"/>
      <c r="Z452" s="1614"/>
      <c r="AA452" s="1614"/>
      <c r="AB452" s="1615"/>
      <c r="AC452" s="1615"/>
      <c r="AD452" s="583"/>
      <c r="AE452" s="583"/>
    </row>
    <row r="453" spans="1:31" ht="14">
      <c r="A453" s="1384" t="s">
        <v>5660</v>
      </c>
      <c r="B453" s="19" t="s">
        <v>5661</v>
      </c>
      <c r="C453" s="1383">
        <v>18579</v>
      </c>
      <c r="D453" s="1236"/>
      <c r="E453" s="1236"/>
      <c r="F453" s="1344">
        <f>(1/S453)*cnst_fish!$C$6</f>
        <v>4.7762917572805388E-2</v>
      </c>
      <c r="G453" s="1344">
        <f t="shared" si="64"/>
        <v>1</v>
      </c>
      <c r="H453" s="1344">
        <f t="shared" si="64"/>
        <v>0.367192066876738</v>
      </c>
      <c r="I453" s="1344">
        <f t="shared" si="56"/>
        <v>0</v>
      </c>
      <c r="J453" s="902">
        <f t="shared" si="57"/>
        <v>0</v>
      </c>
      <c r="L453" s="1460">
        <v>0</v>
      </c>
      <c r="M453" s="1236"/>
      <c r="N453" s="1240" t="s">
        <v>1806</v>
      </c>
      <c r="O453" s="1241" t="s">
        <v>4841</v>
      </c>
      <c r="P453" s="910">
        <f t="shared" si="58"/>
        <v>0</v>
      </c>
      <c r="Q453" s="910">
        <f t="shared" si="59"/>
        <v>0</v>
      </c>
      <c r="R453" s="1344">
        <f t="shared" si="60"/>
        <v>3.8</v>
      </c>
      <c r="S453" s="1344">
        <f>(1/9)*cnst_fish!$C$7*(1/cnst_fish!$C$8)^(R453-1)</f>
        <v>88.981163965155432</v>
      </c>
      <c r="T453" s="1362">
        <f t="shared" si="61"/>
        <v>0</v>
      </c>
      <c r="W453" s="1612"/>
      <c r="X453" s="1612"/>
      <c r="Y453" s="1613"/>
      <c r="Z453" s="1614"/>
      <c r="AA453" s="1614"/>
      <c r="AB453" s="1615"/>
      <c r="AC453" s="1615"/>
      <c r="AD453" s="583"/>
      <c r="AE453" s="583"/>
    </row>
    <row r="454" spans="1:31" ht="14">
      <c r="A454" s="1384" t="s">
        <v>1256</v>
      </c>
      <c r="B454" s="19" t="s">
        <v>2538</v>
      </c>
      <c r="C454" s="1383">
        <v>18761</v>
      </c>
      <c r="D454" s="1236">
        <v>186</v>
      </c>
      <c r="E454" s="1236"/>
      <c r="F454" s="1344">
        <f>(1/S454)*cnst_fish!$C$6</f>
        <v>0.12276960190187568</v>
      </c>
      <c r="G454" s="1344">
        <f t="shared" si="64"/>
        <v>1</v>
      </c>
      <c r="H454" s="1344">
        <f t="shared" si="64"/>
        <v>0.367192066876738</v>
      </c>
      <c r="I454" s="1344">
        <f t="shared" si="56"/>
        <v>556.30810380618993</v>
      </c>
      <c r="J454" s="902">
        <f t="shared" si="57"/>
        <v>0</v>
      </c>
      <c r="L454" s="1460">
        <v>189</v>
      </c>
      <c r="M454" s="1236"/>
      <c r="N454" s="1240" t="s">
        <v>1806</v>
      </c>
      <c r="O454" s="1241" t="s">
        <v>4841</v>
      </c>
      <c r="P454" s="910">
        <f t="shared" si="58"/>
        <v>186</v>
      </c>
      <c r="Q454" s="910">
        <f t="shared" si="59"/>
        <v>189</v>
      </c>
      <c r="R454" s="1344">
        <f t="shared" si="60"/>
        <v>3.39</v>
      </c>
      <c r="S454" s="1344">
        <f>(1/9)*cnst_fish!$C$7*(1/cnst_fish!$C$8)^(R454-1)</f>
        <v>34.617689836583793</v>
      </c>
      <c r="T454" s="1362">
        <f t="shared" si="61"/>
        <v>565.28081515790268</v>
      </c>
      <c r="W454" s="1612"/>
      <c r="X454" s="1612"/>
      <c r="Y454" s="1613"/>
      <c r="Z454" s="1614"/>
      <c r="AA454" s="1614"/>
      <c r="AB454" s="1615"/>
      <c r="AC454" s="1615"/>
      <c r="AD454" s="583"/>
      <c r="AE454" s="583"/>
    </row>
    <row r="455" spans="1:31" ht="14">
      <c r="A455" s="1384" t="s">
        <v>1245</v>
      </c>
      <c r="B455" s="19" t="s">
        <v>1246</v>
      </c>
      <c r="C455" s="1383">
        <v>19030</v>
      </c>
      <c r="D455" s="1236"/>
      <c r="E455" s="1236"/>
      <c r="F455" s="1344">
        <f>(1/S455)*cnst_fish!$C$6</f>
        <v>1.6561163607618418E-2</v>
      </c>
      <c r="G455" s="1344">
        <f t="shared" si="64"/>
        <v>1</v>
      </c>
      <c r="H455" s="1344">
        <f t="shared" si="64"/>
        <v>0.367192066876738</v>
      </c>
      <c r="I455" s="1344">
        <f t="shared" ref="I455:I518" si="65">IF($F455=0,0,D455/$F455*$H455*$G455)</f>
        <v>0</v>
      </c>
      <c r="J455" s="902">
        <f t="shared" ref="J455:J518" si="66">IF($F455=0,0,E455/$F455*$H455*$G455)</f>
        <v>0</v>
      </c>
      <c r="L455" s="1460">
        <v>14</v>
      </c>
      <c r="M455" s="1236"/>
      <c r="N455" s="1240" t="s">
        <v>1806</v>
      </c>
      <c r="O455" s="1241" t="s">
        <v>4841</v>
      </c>
      <c r="P455" s="910">
        <f t="shared" ref="P455:P518" si="67">D455+E455</f>
        <v>0</v>
      </c>
      <c r="Q455" s="910">
        <f t="shared" ref="Q455:Q518" si="68">L455+M455</f>
        <v>14</v>
      </c>
      <c r="R455" s="1344">
        <f t="shared" ref="R455:R518" si="69">VLOOKUP(B455,constant_fish_trophic,3,FALSE)</f>
        <v>4.26</v>
      </c>
      <c r="S455" s="1344">
        <f>(1/9)*cnst_fish!$C$7*(1/cnst_fish!$C$8)^(R455-1)</f>
        <v>256.62448006038221</v>
      </c>
      <c r="T455" s="1362">
        <f t="shared" ref="T455:T518" si="70">IF(F455=0,0,Q455/F455*H455*G455)</f>
        <v>310.40626480554346</v>
      </c>
      <c r="W455" s="1612"/>
      <c r="X455" s="1612"/>
      <c r="Y455" s="1613"/>
      <c r="Z455" s="1614"/>
      <c r="AA455" s="1614"/>
      <c r="AB455" s="1615"/>
      <c r="AC455" s="1615"/>
      <c r="AD455" s="583"/>
      <c r="AE455" s="583"/>
    </row>
    <row r="456" spans="1:31" ht="14">
      <c r="A456" s="1384" t="s">
        <v>3251</v>
      </c>
      <c r="B456" s="19" t="s">
        <v>776</v>
      </c>
      <c r="C456" s="1383">
        <v>3435</v>
      </c>
      <c r="D456" s="1236"/>
      <c r="E456" s="1236"/>
      <c r="F456" s="1344">
        <f>(1/S456)*cnst_fish!$C$6</f>
        <v>0.19457670629544385</v>
      </c>
      <c r="G456" s="1344">
        <f t="shared" si="64"/>
        <v>1</v>
      </c>
      <c r="H456" s="1344">
        <f t="shared" si="64"/>
        <v>0.367192066876738</v>
      </c>
      <c r="I456" s="1344">
        <f t="shared" si="65"/>
        <v>0</v>
      </c>
      <c r="J456" s="902">
        <f t="shared" si="66"/>
        <v>0</v>
      </c>
      <c r="L456" s="1460">
        <v>41883</v>
      </c>
      <c r="M456" s="1236"/>
      <c r="N456" s="1240" t="s">
        <v>2441</v>
      </c>
      <c r="O456" s="1241" t="s">
        <v>4840</v>
      </c>
      <c r="P456" s="910">
        <f t="shared" si="67"/>
        <v>0</v>
      </c>
      <c r="Q456" s="910">
        <f t="shared" si="68"/>
        <v>41883</v>
      </c>
      <c r="R456" s="1344">
        <f t="shared" si="69"/>
        <v>3.19</v>
      </c>
      <c r="S456" s="1344">
        <f>(1/9)*cnst_fish!$C$7*(1/cnst_fish!$C$8)^(R456-1)</f>
        <v>21.84228565132987</v>
      </c>
      <c r="T456" s="1362">
        <f t="shared" si="70"/>
        <v>79038.779254732042</v>
      </c>
      <c r="W456" s="1612"/>
      <c r="X456" s="1612"/>
      <c r="Y456" s="1613"/>
      <c r="Z456" s="1614"/>
      <c r="AA456" s="1614"/>
      <c r="AB456" s="1615"/>
      <c r="AC456" s="1615"/>
      <c r="AD456" s="583"/>
      <c r="AE456" s="583"/>
    </row>
    <row r="457" spans="1:31" ht="14">
      <c r="A457" s="1384" t="s">
        <v>60</v>
      </c>
      <c r="B457" s="19" t="s">
        <v>777</v>
      </c>
      <c r="C457" s="1383">
        <v>2609</v>
      </c>
      <c r="D457" s="1236">
        <v>18</v>
      </c>
      <c r="E457" s="1236"/>
      <c r="F457" s="1344">
        <f>(1/S457)*cnst_fish!$C$6</f>
        <v>1.9014759972289452</v>
      </c>
      <c r="G457" s="1344">
        <f t="shared" si="64"/>
        <v>1</v>
      </c>
      <c r="H457" s="1344">
        <f t="shared" si="64"/>
        <v>0.367192066876738</v>
      </c>
      <c r="I457" s="1344">
        <f t="shared" si="65"/>
        <v>3.4759614180843528</v>
      </c>
      <c r="J457" s="902">
        <f t="shared" si="66"/>
        <v>0</v>
      </c>
      <c r="L457" s="1460">
        <v>18</v>
      </c>
      <c r="M457" s="1236"/>
      <c r="N457" s="1240" t="s">
        <v>2441</v>
      </c>
      <c r="O457" s="1241" t="s">
        <v>4840</v>
      </c>
      <c r="P457" s="910">
        <f t="shared" si="67"/>
        <v>18</v>
      </c>
      <c r="Q457" s="910">
        <f t="shared" si="68"/>
        <v>18</v>
      </c>
      <c r="R457" s="1344">
        <f t="shared" si="69"/>
        <v>2.2000000000000002</v>
      </c>
      <c r="S457" s="1344">
        <f>(1/9)*cnst_fish!$C$7*(1/cnst_fish!$C$8)^(R457-1)</f>
        <v>2.2351057842400328</v>
      </c>
      <c r="T457" s="1362">
        <f t="shared" si="70"/>
        <v>3.4759614180843528</v>
      </c>
      <c r="W457" s="1612"/>
      <c r="X457" s="1612"/>
      <c r="Y457" s="1613"/>
      <c r="Z457" s="1614"/>
      <c r="AA457" s="1614"/>
      <c r="AB457" s="1615"/>
      <c r="AC457" s="1615"/>
      <c r="AD457" s="583"/>
      <c r="AE457" s="583"/>
    </row>
    <row r="458" spans="1:31" ht="14">
      <c r="A458" s="1384" t="s">
        <v>2123</v>
      </c>
      <c r="B458" s="19" t="s">
        <v>2736</v>
      </c>
      <c r="C458" s="1383">
        <v>3514</v>
      </c>
      <c r="D458" s="1236">
        <v>8632</v>
      </c>
      <c r="E458" s="1236"/>
      <c r="F458" s="1344">
        <f>(1/S458)*cnst_fish!$C$6</f>
        <v>2.3938164528281742</v>
      </c>
      <c r="G458" s="1344">
        <f t="shared" si="64"/>
        <v>1</v>
      </c>
      <c r="H458" s="1344">
        <f t="shared" si="64"/>
        <v>0.367192066876738</v>
      </c>
      <c r="I458" s="1344">
        <f t="shared" si="65"/>
        <v>1324.078927411196</v>
      </c>
      <c r="J458" s="902">
        <f t="shared" si="66"/>
        <v>0</v>
      </c>
      <c r="L458" s="1460">
        <v>21637</v>
      </c>
      <c r="M458" s="1236"/>
      <c r="N458" s="1240" t="s">
        <v>2435</v>
      </c>
      <c r="O458" s="1241" t="s">
        <v>4851</v>
      </c>
      <c r="P458" s="910">
        <f t="shared" si="67"/>
        <v>8632</v>
      </c>
      <c r="Q458" s="910">
        <f t="shared" si="68"/>
        <v>21637</v>
      </c>
      <c r="R458" s="1344">
        <f t="shared" si="69"/>
        <v>2.1</v>
      </c>
      <c r="S458" s="1344">
        <f>(1/9)*cnst_fish!$C$7*(1/cnst_fish!$C$8)^(R458-1)</f>
        <v>1.7754076320174161</v>
      </c>
      <c r="T458" s="1362">
        <f t="shared" si="70"/>
        <v>3318.940657135779</v>
      </c>
      <c r="W458" s="1612"/>
      <c r="X458" s="1612"/>
      <c r="Y458" s="1613"/>
      <c r="Z458" s="1614"/>
      <c r="AA458" s="1614"/>
      <c r="AB458" s="1615"/>
      <c r="AC458" s="1615"/>
      <c r="AD458" s="583"/>
      <c r="AE458" s="583"/>
    </row>
    <row r="459" spans="1:31" ht="14">
      <c r="A459" s="1384" t="s">
        <v>742</v>
      </c>
      <c r="B459" s="19" t="s">
        <v>2384</v>
      </c>
      <c r="C459" s="1383">
        <v>2673</v>
      </c>
      <c r="D459" s="1236"/>
      <c r="E459" s="1236"/>
      <c r="F459" s="1344">
        <f>(1/S459)*cnst_fish!$C$6</f>
        <v>2.3938164528281742</v>
      </c>
      <c r="G459" s="1344">
        <f t="shared" si="64"/>
        <v>1</v>
      </c>
      <c r="H459" s="1344">
        <f t="shared" si="64"/>
        <v>0.367192066876738</v>
      </c>
      <c r="I459" s="1344">
        <f t="shared" si="65"/>
        <v>0</v>
      </c>
      <c r="J459" s="902">
        <f t="shared" si="66"/>
        <v>0</v>
      </c>
      <c r="L459" s="1460">
        <v>105</v>
      </c>
      <c r="M459" s="1236"/>
      <c r="N459" s="1240" t="s">
        <v>2435</v>
      </c>
      <c r="O459" s="1241" t="s">
        <v>4851</v>
      </c>
      <c r="P459" s="910">
        <f t="shared" si="67"/>
        <v>0</v>
      </c>
      <c r="Q459" s="910">
        <f t="shared" si="68"/>
        <v>105</v>
      </c>
      <c r="R459" s="1344">
        <f t="shared" si="69"/>
        <v>2.1</v>
      </c>
      <c r="S459" s="1344">
        <f>(1/9)*cnst_fish!$C$7*(1/cnst_fish!$C$8)^(R459-1)</f>
        <v>1.7754076320174161</v>
      </c>
      <c r="T459" s="1362">
        <f t="shared" si="70"/>
        <v>16.106150066980486</v>
      </c>
      <c r="W459" s="1612"/>
      <c r="X459" s="1612"/>
      <c r="Y459" s="1613"/>
      <c r="Z459" s="1614"/>
      <c r="AA459" s="1614"/>
      <c r="AB459" s="1615"/>
      <c r="AC459" s="1615"/>
      <c r="AD459" s="583"/>
      <c r="AE459" s="583"/>
    </row>
    <row r="460" spans="1:31" ht="14">
      <c r="A460" s="1384" t="s">
        <v>2174</v>
      </c>
      <c r="B460" s="19" t="s">
        <v>2385</v>
      </c>
      <c r="C460" s="1383">
        <v>3515</v>
      </c>
      <c r="D460" s="1236"/>
      <c r="E460" s="1236"/>
      <c r="F460" s="1344">
        <f>(1/S460)*cnst_fish!$C$6</f>
        <v>2.3938164528281742</v>
      </c>
      <c r="G460" s="1344">
        <f t="shared" si="64"/>
        <v>1</v>
      </c>
      <c r="H460" s="1344">
        <f t="shared" si="64"/>
        <v>0.367192066876738</v>
      </c>
      <c r="I460" s="1344">
        <f t="shared" si="65"/>
        <v>0</v>
      </c>
      <c r="J460" s="902">
        <f t="shared" si="66"/>
        <v>0</v>
      </c>
      <c r="L460" s="1460">
        <v>516</v>
      </c>
      <c r="M460" s="1236"/>
      <c r="N460" s="1240" t="s">
        <v>2435</v>
      </c>
      <c r="O460" s="1241" t="s">
        <v>4851</v>
      </c>
      <c r="P460" s="910">
        <f t="shared" si="67"/>
        <v>0</v>
      </c>
      <c r="Q460" s="910">
        <f t="shared" si="68"/>
        <v>516</v>
      </c>
      <c r="R460" s="1344">
        <f t="shared" si="69"/>
        <v>2.1</v>
      </c>
      <c r="S460" s="1344">
        <f>(1/9)*cnst_fish!$C$7*(1/cnst_fish!$C$8)^(R460-1)</f>
        <v>1.7754076320174161</v>
      </c>
      <c r="T460" s="1362">
        <f t="shared" si="70"/>
        <v>79.150223186304103</v>
      </c>
      <c r="W460" s="1612"/>
      <c r="X460" s="1612"/>
      <c r="Y460" s="1613"/>
      <c r="Z460" s="1614"/>
      <c r="AA460" s="1614"/>
      <c r="AB460" s="1615"/>
      <c r="AC460" s="1615"/>
      <c r="AD460" s="583"/>
      <c r="AE460" s="583"/>
    </row>
    <row r="461" spans="1:31" ht="14">
      <c r="A461" s="1384" t="s">
        <v>723</v>
      </c>
      <c r="B461" s="19" t="s">
        <v>3211</v>
      </c>
      <c r="C461" s="1383">
        <v>3513</v>
      </c>
      <c r="D461" s="1236">
        <v>156</v>
      </c>
      <c r="E461" s="1236"/>
      <c r="F461" s="1344">
        <f>(1/S461)*cnst_fish!$C$6</f>
        <v>2.3938164528281742</v>
      </c>
      <c r="G461" s="1344">
        <f t="shared" si="64"/>
        <v>1</v>
      </c>
      <c r="H461" s="1344">
        <f t="shared" si="64"/>
        <v>0.367192066876738</v>
      </c>
      <c r="I461" s="1344">
        <f t="shared" si="65"/>
        <v>23.929137242371009</v>
      </c>
      <c r="J461" s="902">
        <f t="shared" si="66"/>
        <v>0</v>
      </c>
      <c r="L461" s="1460">
        <v>6662</v>
      </c>
      <c r="M461" s="1236"/>
      <c r="N461" s="1240" t="s">
        <v>2435</v>
      </c>
      <c r="O461" s="1241" t="s">
        <v>4851</v>
      </c>
      <c r="P461" s="910">
        <f t="shared" si="67"/>
        <v>156</v>
      </c>
      <c r="Q461" s="910">
        <f t="shared" si="68"/>
        <v>6662</v>
      </c>
      <c r="R461" s="1344">
        <f t="shared" si="69"/>
        <v>2.1</v>
      </c>
      <c r="S461" s="1344">
        <f>(1/9)*cnst_fish!$C$7*(1/cnst_fish!$C$8)^(R461-1)</f>
        <v>1.7754076320174161</v>
      </c>
      <c r="T461" s="1362">
        <f t="shared" si="70"/>
        <v>1021.8968737735619</v>
      </c>
      <c r="W461" s="1612"/>
      <c r="X461" s="1612"/>
      <c r="Y461" s="1613"/>
      <c r="Z461" s="1614"/>
      <c r="AA461" s="1614"/>
      <c r="AB461" s="1615"/>
      <c r="AC461" s="1615"/>
      <c r="AD461" s="583"/>
      <c r="AE461" s="583"/>
    </row>
    <row r="462" spans="1:31" ht="14">
      <c r="A462" s="1384" t="s">
        <v>1390</v>
      </c>
      <c r="B462" s="19" t="s">
        <v>3335</v>
      </c>
      <c r="C462" s="1383">
        <v>2669</v>
      </c>
      <c r="D462" s="1236">
        <v>65079</v>
      </c>
      <c r="E462" s="1236"/>
      <c r="F462" s="1344">
        <f>(1/S462)*cnst_fish!$C$6</f>
        <v>2.3938164528281742</v>
      </c>
      <c r="G462" s="1344">
        <f t="shared" si="64"/>
        <v>1</v>
      </c>
      <c r="H462" s="1344">
        <f t="shared" si="64"/>
        <v>0.367192066876738</v>
      </c>
      <c r="I462" s="1344">
        <f t="shared" si="65"/>
        <v>9982.591811514505</v>
      </c>
      <c r="J462" s="902">
        <f t="shared" si="66"/>
        <v>0</v>
      </c>
      <c r="L462" s="1460">
        <v>103514</v>
      </c>
      <c r="M462" s="1236"/>
      <c r="N462" s="1240" t="s">
        <v>2435</v>
      </c>
      <c r="O462" s="1241" t="s">
        <v>4851</v>
      </c>
      <c r="P462" s="910">
        <f t="shared" si="67"/>
        <v>65079</v>
      </c>
      <c r="Q462" s="910">
        <f t="shared" si="68"/>
        <v>103514</v>
      </c>
      <c r="R462" s="1344">
        <f t="shared" si="69"/>
        <v>2.1</v>
      </c>
      <c r="S462" s="1344">
        <f>(1/9)*cnst_fish!$C$7*(1/cnst_fish!$C$8)^(R462-1)</f>
        <v>1.7754076320174161</v>
      </c>
      <c r="T462" s="1362">
        <f t="shared" si="70"/>
        <v>15878.209695556361</v>
      </c>
      <c r="W462" s="1612"/>
      <c r="X462" s="1612"/>
      <c r="Y462" s="1613"/>
      <c r="Z462" s="1614"/>
      <c r="AA462" s="1614"/>
      <c r="AB462" s="1615"/>
      <c r="AC462" s="1615"/>
      <c r="AD462" s="583"/>
      <c r="AE462" s="583"/>
    </row>
    <row r="463" spans="1:31" ht="14">
      <c r="A463" s="1384" t="s">
        <v>2330</v>
      </c>
      <c r="B463" s="19" t="s">
        <v>2539</v>
      </c>
      <c r="C463" s="1383">
        <v>11609</v>
      </c>
      <c r="D463" s="1236"/>
      <c r="E463" s="1236"/>
      <c r="F463" s="1344">
        <f>(1/S463)*cnst_fish!$C$6</f>
        <v>0.47762917572805397</v>
      </c>
      <c r="G463" s="1344">
        <f t="shared" si="64"/>
        <v>1</v>
      </c>
      <c r="H463" s="1344">
        <f t="shared" si="64"/>
        <v>0.367192066876738</v>
      </c>
      <c r="I463" s="1344">
        <f t="shared" si="65"/>
        <v>0</v>
      </c>
      <c r="J463" s="902">
        <f t="shared" si="66"/>
        <v>0</v>
      </c>
      <c r="L463" s="1460">
        <v>52</v>
      </c>
      <c r="M463" s="1236"/>
      <c r="N463" s="1240" t="s">
        <v>1806</v>
      </c>
      <c r="O463" s="1241" t="s">
        <v>4841</v>
      </c>
      <c r="P463" s="910">
        <f t="shared" si="67"/>
        <v>0</v>
      </c>
      <c r="Q463" s="910">
        <f t="shared" si="68"/>
        <v>52</v>
      </c>
      <c r="R463" s="1344">
        <f t="shared" si="69"/>
        <v>2.8</v>
      </c>
      <c r="S463" s="1344">
        <f>(1/9)*cnst_fish!$C$7*(1/cnst_fish!$C$8)^(R463-1)</f>
        <v>8.8981163965155421</v>
      </c>
      <c r="T463" s="1362">
        <f t="shared" si="70"/>
        <v>39.976593658637491</v>
      </c>
      <c r="W463" s="1612"/>
      <c r="X463" s="1612"/>
      <c r="Y463" s="1613"/>
      <c r="Z463" s="1614"/>
      <c r="AA463" s="1614"/>
      <c r="AB463" s="1615"/>
      <c r="AC463" s="1615"/>
      <c r="AD463" s="583"/>
      <c r="AE463" s="583"/>
    </row>
    <row r="464" spans="1:31" ht="14">
      <c r="A464" s="1384" t="s">
        <v>858</v>
      </c>
      <c r="B464" s="19" t="s">
        <v>301</v>
      </c>
      <c r="C464" s="1383">
        <v>11617</v>
      </c>
      <c r="D464" s="1236"/>
      <c r="E464" s="1236"/>
      <c r="F464" s="1344">
        <f>(1/S464)*cnst_fish!$C$6</f>
        <v>9.5299549485983424E-3</v>
      </c>
      <c r="G464" s="1344">
        <f t="shared" si="64"/>
        <v>1</v>
      </c>
      <c r="H464" s="1344">
        <f t="shared" si="64"/>
        <v>0.367192066876738</v>
      </c>
      <c r="I464" s="1344">
        <f t="shared" si="65"/>
        <v>0</v>
      </c>
      <c r="J464" s="902">
        <f t="shared" si="66"/>
        <v>0</v>
      </c>
      <c r="L464" s="1460">
        <v>11123</v>
      </c>
      <c r="M464" s="1236"/>
      <c r="N464" s="1240" t="s">
        <v>1806</v>
      </c>
      <c r="O464" s="1241" t="s">
        <v>4841</v>
      </c>
      <c r="P464" s="910">
        <f t="shared" si="67"/>
        <v>0</v>
      </c>
      <c r="Q464" s="910">
        <f t="shared" si="68"/>
        <v>11123</v>
      </c>
      <c r="R464" s="1344">
        <f t="shared" si="69"/>
        <v>4.5</v>
      </c>
      <c r="S464" s="1344">
        <f>(1/9)*cnst_fish!$C$7*(1/cnst_fish!$C$8)^(R464-1)</f>
        <v>445.96223412630997</v>
      </c>
      <c r="T464" s="1362">
        <f t="shared" si="70"/>
        <v>428572.57792920305</v>
      </c>
      <c r="W464" s="1612"/>
      <c r="X464" s="1612"/>
      <c r="Y464" s="1613"/>
      <c r="Z464" s="1614"/>
      <c r="AA464" s="1614"/>
      <c r="AB464" s="1615"/>
      <c r="AC464" s="1615"/>
      <c r="AD464" s="583"/>
      <c r="AE464" s="583"/>
    </row>
    <row r="465" spans="1:31" ht="14">
      <c r="A465" s="1384" t="s">
        <v>5655</v>
      </c>
      <c r="B465" s="19" t="s">
        <v>5464</v>
      </c>
      <c r="C465" s="1383">
        <v>3486</v>
      </c>
      <c r="D465" s="1236"/>
      <c r="E465" s="1236"/>
      <c r="F465" s="1344">
        <f>(1/S465)*cnst_fish!$C$6</f>
        <v>1.9014759972289452</v>
      </c>
      <c r="G465" s="1344">
        <f t="shared" si="64"/>
        <v>1</v>
      </c>
      <c r="H465" s="1344">
        <f t="shared" si="64"/>
        <v>0.367192066876738</v>
      </c>
      <c r="I465" s="1344">
        <f t="shared" si="65"/>
        <v>0</v>
      </c>
      <c r="J465" s="902">
        <f t="shared" si="66"/>
        <v>0</v>
      </c>
      <c r="L465" s="1460">
        <v>1</v>
      </c>
      <c r="M465" s="1236">
        <v>46215</v>
      </c>
      <c r="N465" s="1240" t="s">
        <v>1805</v>
      </c>
      <c r="O465" s="1241" t="s">
        <v>4840</v>
      </c>
      <c r="P465" s="910">
        <f t="shared" si="67"/>
        <v>0</v>
      </c>
      <c r="Q465" s="910">
        <f t="shared" si="68"/>
        <v>46216</v>
      </c>
      <c r="R465" s="1344">
        <f t="shared" si="69"/>
        <v>2.2000000000000002</v>
      </c>
      <c r="S465" s="1344">
        <f>(1/9)*cnst_fish!$C$7*(1/cnst_fish!$C$8)^(R465-1)</f>
        <v>2.2351057842400328</v>
      </c>
      <c r="T465" s="1362">
        <f t="shared" si="70"/>
        <v>8924.7240498992487</v>
      </c>
      <c r="W465" s="1612"/>
      <c r="X465" s="1612"/>
      <c r="Y465" s="1613"/>
      <c r="Z465" s="1614"/>
      <c r="AA465" s="1614"/>
      <c r="AB465" s="1615"/>
      <c r="AC465" s="1615"/>
      <c r="AD465" s="583"/>
      <c r="AE465" s="583"/>
    </row>
    <row r="466" spans="1:31" ht="14">
      <c r="A466" s="1384" t="s">
        <v>5667</v>
      </c>
      <c r="B466" s="19" t="s">
        <v>5464</v>
      </c>
      <c r="C466" s="1383">
        <v>3487</v>
      </c>
      <c r="D466" s="1236"/>
      <c r="E466" s="1236"/>
      <c r="F466" s="1344">
        <f>(1/S466)*cnst_fish!$C$6</f>
        <v>1.9014759972289452</v>
      </c>
      <c r="G466" s="1344">
        <f t="shared" si="64"/>
        <v>1</v>
      </c>
      <c r="H466" s="1344">
        <f t="shared" si="64"/>
        <v>0.367192066876738</v>
      </c>
      <c r="I466" s="1344">
        <f t="shared" si="65"/>
        <v>0</v>
      </c>
      <c r="J466" s="902">
        <f t="shared" si="66"/>
        <v>0</v>
      </c>
      <c r="L466" s="1460">
        <v>181024</v>
      </c>
      <c r="M466" s="1236"/>
      <c r="N466" s="1240" t="s">
        <v>1805</v>
      </c>
      <c r="O466" s="1241" t="s">
        <v>4840</v>
      </c>
      <c r="P466" s="910">
        <f t="shared" si="67"/>
        <v>0</v>
      </c>
      <c r="Q466" s="910">
        <f t="shared" si="68"/>
        <v>181024</v>
      </c>
      <c r="R466" s="1344">
        <f t="shared" si="69"/>
        <v>2.2000000000000002</v>
      </c>
      <c r="S466" s="1344">
        <f>(1/9)*cnst_fish!$C$7*(1/cnst_fish!$C$8)^(R466-1)</f>
        <v>2.2351057842400328</v>
      </c>
      <c r="T466" s="1362">
        <f t="shared" si="70"/>
        <v>34957.357763738997</v>
      </c>
      <c r="W466" s="1612"/>
      <c r="X466" s="1612"/>
      <c r="Y466" s="1613"/>
      <c r="Z466" s="1614"/>
      <c r="AA466" s="1614"/>
      <c r="AB466" s="1615"/>
      <c r="AC466" s="1615"/>
      <c r="AD466" s="583"/>
      <c r="AE466" s="583"/>
    </row>
    <row r="467" spans="1:31" ht="14">
      <c r="A467" s="1384" t="s">
        <v>218</v>
      </c>
      <c r="B467" s="19" t="s">
        <v>1384</v>
      </c>
      <c r="C467" s="1383">
        <v>11647</v>
      </c>
      <c r="D467" s="1236"/>
      <c r="E467" s="1236"/>
      <c r="F467" s="1344">
        <f>(1/S467)*cnst_fish!$C$6</f>
        <v>0.13461419163458563</v>
      </c>
      <c r="G467" s="1344">
        <f t="shared" si="64"/>
        <v>1</v>
      </c>
      <c r="H467" s="1344">
        <f t="shared" si="64"/>
        <v>0.367192066876738</v>
      </c>
      <c r="I467" s="1344">
        <f t="shared" si="65"/>
        <v>0</v>
      </c>
      <c r="J467" s="902">
        <f t="shared" si="66"/>
        <v>0</v>
      </c>
      <c r="L467" s="1460">
        <v>233</v>
      </c>
      <c r="M467" s="1236"/>
      <c r="N467" s="1240" t="s">
        <v>1806</v>
      </c>
      <c r="O467" s="1241" t="s">
        <v>4841</v>
      </c>
      <c r="P467" s="910">
        <f t="shared" si="67"/>
        <v>0</v>
      </c>
      <c r="Q467" s="910">
        <f t="shared" si="68"/>
        <v>233</v>
      </c>
      <c r="R467" s="1344">
        <f t="shared" si="69"/>
        <v>3.35</v>
      </c>
      <c r="S467" s="1344">
        <f>(1/9)*cnst_fish!$C$7*(1/cnst_fish!$C$8)^(R467-1)</f>
        <v>31.571708364425319</v>
      </c>
      <c r="T467" s="1362">
        <f t="shared" si="70"/>
        <v>635.5626442011677</v>
      </c>
      <c r="W467" s="1612"/>
      <c r="X467" s="1612"/>
      <c r="Y467" s="1613"/>
      <c r="Z467" s="1614"/>
      <c r="AA467" s="1614"/>
      <c r="AB467" s="1615"/>
      <c r="AC467" s="1615"/>
      <c r="AD467" s="583"/>
      <c r="AE467" s="583"/>
    </row>
    <row r="468" spans="1:31" ht="14">
      <c r="A468" s="1384" t="s">
        <v>1963</v>
      </c>
      <c r="B468" s="19" t="s">
        <v>4991</v>
      </c>
      <c r="C468" s="1383">
        <v>2966</v>
      </c>
      <c r="D468" s="1236"/>
      <c r="E468" s="1236">
        <v>60</v>
      </c>
      <c r="F468" s="1344">
        <f>(1/S468)*cnst_fish!$C$6</f>
        <v>3.0136363636363641</v>
      </c>
      <c r="G468" s="1344">
        <f t="shared" ref="G468:H487" si="71">G$7</f>
        <v>1</v>
      </c>
      <c r="H468" s="1344">
        <f t="shared" si="71"/>
        <v>0.367192066876738</v>
      </c>
      <c r="I468" s="1344">
        <f t="shared" si="65"/>
        <v>0</v>
      </c>
      <c r="J468" s="902">
        <f t="shared" si="66"/>
        <v>7.3106112862336969</v>
      </c>
      <c r="L468" s="1460"/>
      <c r="M468" s="1236">
        <v>24473</v>
      </c>
      <c r="N468" s="1240" t="s">
        <v>5365</v>
      </c>
      <c r="O468" s="1241" t="s">
        <v>4845</v>
      </c>
      <c r="P468" s="910">
        <f t="shared" si="67"/>
        <v>60</v>
      </c>
      <c r="Q468" s="910">
        <f t="shared" si="68"/>
        <v>24473</v>
      </c>
      <c r="R468" s="1344">
        <f t="shared" si="69"/>
        <v>2</v>
      </c>
      <c r="S468" s="1344">
        <f>(1/9)*cnst_fish!$C$7*(1/cnst_fish!$C$8)^(R468-1)</f>
        <v>1.4102564102564099</v>
      </c>
      <c r="T468" s="1362">
        <f t="shared" si="70"/>
        <v>2981.8765001332877</v>
      </c>
      <c r="W468" s="1612"/>
      <c r="X468" s="1612"/>
      <c r="Y468" s="1613"/>
      <c r="Z468" s="1614"/>
      <c r="AA468" s="1614"/>
      <c r="AB468" s="1615"/>
      <c r="AC468" s="1615"/>
      <c r="AD468" s="583"/>
      <c r="AE468" s="583"/>
    </row>
    <row r="469" spans="1:31" ht="14">
      <c r="A469" s="1585" t="s">
        <v>8528</v>
      </c>
      <c r="B469" s="1586" t="s">
        <v>8529</v>
      </c>
      <c r="C469" s="1383">
        <v>11658</v>
      </c>
      <c r="D469" s="1236"/>
      <c r="E469" s="1236"/>
      <c r="F469" s="1344">
        <f>(1/S469)*cnst_fish!$C$6</f>
        <v>7.5699122913220479E-2</v>
      </c>
      <c r="G469" s="1344">
        <f t="shared" si="71"/>
        <v>1</v>
      </c>
      <c r="H469" s="1344">
        <f t="shared" si="71"/>
        <v>0.367192066876738</v>
      </c>
      <c r="I469" s="1344">
        <f t="shared" si="65"/>
        <v>0</v>
      </c>
      <c r="J469" s="902">
        <f t="shared" si="66"/>
        <v>0</v>
      </c>
      <c r="L469" s="1460">
        <v>0</v>
      </c>
      <c r="M469" s="1236"/>
      <c r="N469" s="1240" t="s">
        <v>1806</v>
      </c>
      <c r="O469" s="1241" t="s">
        <v>4859</v>
      </c>
      <c r="P469" s="910">
        <f t="shared" si="67"/>
        <v>0</v>
      </c>
      <c r="Q469" s="910">
        <f t="shared" si="68"/>
        <v>0</v>
      </c>
      <c r="R469" s="1344">
        <f t="shared" si="69"/>
        <v>3.6</v>
      </c>
      <c r="S469" s="1344">
        <f>(1/9)*cnst_fish!$C$7*(1/cnst_fish!$C$8)^(R469-1)</f>
        <v>56.143318924211187</v>
      </c>
      <c r="T469" s="1362">
        <f t="shared" si="70"/>
        <v>0</v>
      </c>
      <c r="W469" s="1616"/>
      <c r="X469" s="1616"/>
      <c r="Y469" s="1613"/>
      <c r="Z469" s="1614"/>
      <c r="AA469" s="1614"/>
      <c r="AB469" s="1615"/>
      <c r="AC469" s="1615"/>
      <c r="AD469" s="583"/>
      <c r="AE469" s="583"/>
    </row>
    <row r="470" spans="1:31" ht="14">
      <c r="A470" s="1384" t="s">
        <v>6518</v>
      </c>
      <c r="B470" s="19" t="s">
        <v>6517</v>
      </c>
      <c r="C470" s="1383">
        <v>11659</v>
      </c>
      <c r="D470" s="1236"/>
      <c r="E470" s="1236"/>
      <c r="F470" s="1344">
        <f>(1/S470)*cnst_fish!$C$6</f>
        <v>3.0136363636363641</v>
      </c>
      <c r="G470" s="1344">
        <f t="shared" si="71"/>
        <v>1</v>
      </c>
      <c r="H470" s="1344">
        <f t="shared" si="71"/>
        <v>0.367192066876738</v>
      </c>
      <c r="I470" s="1344">
        <f t="shared" si="65"/>
        <v>0</v>
      </c>
      <c r="J470" s="902">
        <f t="shared" si="66"/>
        <v>0</v>
      </c>
      <c r="L470" s="1460">
        <v>0</v>
      </c>
      <c r="M470" s="1236"/>
      <c r="N470" s="1240" t="s">
        <v>1806</v>
      </c>
      <c r="O470" s="1241" t="s">
        <v>4859</v>
      </c>
      <c r="P470" s="910">
        <f t="shared" si="67"/>
        <v>0</v>
      </c>
      <c r="Q470" s="910">
        <f t="shared" si="68"/>
        <v>0</v>
      </c>
      <c r="R470" s="1344">
        <f t="shared" si="69"/>
        <v>2</v>
      </c>
      <c r="S470" s="1344">
        <f>(1/9)*cnst_fish!$C$7*(1/cnst_fish!$C$8)^(R470-1)</f>
        <v>1.4102564102564099</v>
      </c>
      <c r="T470" s="1362">
        <f t="shared" si="70"/>
        <v>0</v>
      </c>
      <c r="W470" s="1612"/>
      <c r="X470" s="1612"/>
      <c r="Y470" s="1613"/>
      <c r="Z470" s="1614"/>
      <c r="AA470" s="1614"/>
      <c r="AB470" s="1615"/>
      <c r="AC470" s="1615"/>
      <c r="AD470" s="583"/>
      <c r="AE470" s="583"/>
    </row>
    <row r="471" spans="1:31" ht="14">
      <c r="A471" s="1384" t="s">
        <v>6559</v>
      </c>
      <c r="B471" s="19" t="s">
        <v>6558</v>
      </c>
      <c r="C471" s="1383">
        <v>11666</v>
      </c>
      <c r="D471" s="1236"/>
      <c r="E471" s="1236"/>
      <c r="F471" s="1344">
        <f>(1/S471)*cnst_fish!$C$6</f>
        <v>3.0136363636363641</v>
      </c>
      <c r="G471" s="1344">
        <f t="shared" si="71"/>
        <v>1</v>
      </c>
      <c r="H471" s="1344">
        <f t="shared" si="71"/>
        <v>0.367192066876738</v>
      </c>
      <c r="I471" s="1344">
        <f t="shared" si="65"/>
        <v>0</v>
      </c>
      <c r="J471" s="902">
        <f t="shared" si="66"/>
        <v>0</v>
      </c>
      <c r="L471" s="1460"/>
      <c r="M471" s="1236">
        <v>4993</v>
      </c>
      <c r="N471" s="1240" t="s">
        <v>1806</v>
      </c>
      <c r="O471" s="1241" t="s">
        <v>4845</v>
      </c>
      <c r="P471" s="910">
        <f t="shared" si="67"/>
        <v>0</v>
      </c>
      <c r="Q471" s="910">
        <f t="shared" si="68"/>
        <v>4993</v>
      </c>
      <c r="R471" s="1344">
        <f t="shared" si="69"/>
        <v>2</v>
      </c>
      <c r="S471" s="1344">
        <f>(1/9)*cnst_fish!$C$7*(1/cnst_fish!$C$8)^(R471-1)</f>
        <v>1.4102564102564099</v>
      </c>
      <c r="T471" s="1362">
        <f t="shared" si="70"/>
        <v>608.36470253608081</v>
      </c>
      <c r="W471" s="1612"/>
      <c r="X471" s="1612"/>
      <c r="Y471" s="1613"/>
      <c r="Z471" s="1614"/>
      <c r="AA471" s="1614"/>
      <c r="AB471" s="1615"/>
      <c r="AC471" s="1615"/>
      <c r="AD471" s="583"/>
      <c r="AE471" s="583"/>
    </row>
    <row r="472" spans="1:31" ht="14">
      <c r="A472" s="1384" t="s">
        <v>426</v>
      </c>
      <c r="B472" s="19" t="s">
        <v>427</v>
      </c>
      <c r="C472" s="1383">
        <v>11672</v>
      </c>
      <c r="D472" s="1236"/>
      <c r="E472" s="1236"/>
      <c r="F472" s="1344">
        <f>(1/S472)*cnst_fish!$C$6</f>
        <v>0.45613232168782086</v>
      </c>
      <c r="G472" s="1344">
        <f t="shared" si="71"/>
        <v>1</v>
      </c>
      <c r="H472" s="1344">
        <f t="shared" si="71"/>
        <v>0.367192066876738</v>
      </c>
      <c r="I472" s="1344">
        <f t="shared" si="65"/>
        <v>0</v>
      </c>
      <c r="J472" s="902">
        <f t="shared" si="66"/>
        <v>0</v>
      </c>
      <c r="L472" s="1460"/>
      <c r="M472" s="1236">
        <v>798</v>
      </c>
      <c r="N472" s="1240" t="s">
        <v>1806</v>
      </c>
      <c r="O472" s="1241" t="s">
        <v>4845</v>
      </c>
      <c r="P472" s="910">
        <f t="shared" si="67"/>
        <v>0</v>
      </c>
      <c r="Q472" s="910">
        <f t="shared" si="68"/>
        <v>798</v>
      </c>
      <c r="R472" s="1344">
        <f t="shared" si="69"/>
        <v>2.82</v>
      </c>
      <c r="S472" s="1344">
        <f>(1/9)*cnst_fish!$C$7*(1/cnst_fish!$C$8)^(R472-1)</f>
        <v>9.3174717026712273</v>
      </c>
      <c r="T472" s="1362">
        <f t="shared" si="70"/>
        <v>642.39970604008352</v>
      </c>
      <c r="W472" s="1612"/>
      <c r="X472" s="1612"/>
      <c r="Y472" s="1613"/>
      <c r="Z472" s="1614"/>
      <c r="AA472" s="1614"/>
      <c r="AB472" s="1615"/>
      <c r="AC472" s="1615"/>
      <c r="AD472" s="583"/>
      <c r="AE472" s="583"/>
    </row>
    <row r="473" spans="1:31" ht="14">
      <c r="A473" s="1384" t="s">
        <v>6561</v>
      </c>
      <c r="B473" s="19" t="s">
        <v>6560</v>
      </c>
      <c r="C473" s="1383">
        <v>19166</v>
      </c>
      <c r="D473" s="1236"/>
      <c r="E473" s="1236"/>
      <c r="F473" s="1344">
        <f>(1/S473)*cnst_fish!$C$6</f>
        <v>0.11997502458044032</v>
      </c>
      <c r="G473" s="1344">
        <f t="shared" si="71"/>
        <v>1</v>
      </c>
      <c r="H473" s="1344">
        <f t="shared" si="71"/>
        <v>0.367192066876738</v>
      </c>
      <c r="I473" s="1344">
        <f t="shared" si="65"/>
        <v>0</v>
      </c>
      <c r="J473" s="902">
        <f t="shared" si="66"/>
        <v>0</v>
      </c>
      <c r="L473" s="1460"/>
      <c r="M473" s="1236">
        <v>8</v>
      </c>
      <c r="N473" s="1240" t="s">
        <v>1806</v>
      </c>
      <c r="O473" s="1241" t="s">
        <v>4845</v>
      </c>
      <c r="P473" s="910">
        <f t="shared" si="67"/>
        <v>0</v>
      </c>
      <c r="Q473" s="910">
        <f t="shared" si="68"/>
        <v>8</v>
      </c>
      <c r="R473" s="1344">
        <f t="shared" si="69"/>
        <v>3.4</v>
      </c>
      <c r="S473" s="1344">
        <f>(1/9)*cnst_fish!$C$7*(1/cnst_fish!$C$8)^(R473-1)</f>
        <v>35.424039418724846</v>
      </c>
      <c r="T473" s="1362">
        <f t="shared" si="70"/>
        <v>24.484567061241631</v>
      </c>
      <c r="W473" s="1612"/>
      <c r="X473" s="1612"/>
      <c r="Y473" s="1613"/>
      <c r="Z473" s="1614"/>
      <c r="AA473" s="1614"/>
      <c r="AB473" s="1615"/>
      <c r="AC473" s="1615"/>
      <c r="AD473" s="583"/>
      <c r="AE473" s="583"/>
    </row>
    <row r="474" spans="1:31" ht="14">
      <c r="A474" s="1585" t="s">
        <v>8530</v>
      </c>
      <c r="B474" s="1586" t="s">
        <v>8531</v>
      </c>
      <c r="C474" s="1383">
        <v>11676</v>
      </c>
      <c r="D474" s="1236"/>
      <c r="E474" s="1236"/>
      <c r="F474" s="1344">
        <f>(1/S474)*cnst_fish!$C$6</f>
        <v>7.5699122913220479E-2</v>
      </c>
      <c r="G474" s="1344">
        <f t="shared" si="71"/>
        <v>1</v>
      </c>
      <c r="H474" s="1344">
        <f t="shared" si="71"/>
        <v>0.367192066876738</v>
      </c>
      <c r="I474" s="1344">
        <f t="shared" si="65"/>
        <v>0</v>
      </c>
      <c r="J474" s="902">
        <f t="shared" si="66"/>
        <v>0</v>
      </c>
      <c r="L474" s="1460"/>
      <c r="M474" s="1236"/>
      <c r="N474" s="1240" t="s">
        <v>1806</v>
      </c>
      <c r="O474" s="1241" t="s">
        <v>4841</v>
      </c>
      <c r="P474" s="910">
        <f t="shared" si="67"/>
        <v>0</v>
      </c>
      <c r="Q474" s="910">
        <f t="shared" si="68"/>
        <v>0</v>
      </c>
      <c r="R474" s="1344">
        <f t="shared" si="69"/>
        <v>3.6</v>
      </c>
      <c r="S474" s="1344">
        <f>(1/9)*cnst_fish!$C$7*(1/cnst_fish!$C$8)^(R474-1)</f>
        <v>56.143318924211187</v>
      </c>
      <c r="T474" s="1362">
        <f t="shared" si="70"/>
        <v>0</v>
      </c>
      <c r="W474" s="1616"/>
      <c r="X474" s="1616"/>
      <c r="Y474" s="1613"/>
      <c r="Z474" s="1614"/>
      <c r="AA474" s="1614"/>
      <c r="AB474" s="1615"/>
      <c r="AC474" s="1615"/>
      <c r="AD474" s="583"/>
      <c r="AE474" s="583"/>
    </row>
    <row r="475" spans="1:31" ht="14">
      <c r="A475" s="1384" t="s">
        <v>1684</v>
      </c>
      <c r="B475" s="19" t="s">
        <v>3145</v>
      </c>
      <c r="C475" s="1383">
        <v>2537</v>
      </c>
      <c r="D475" s="1236"/>
      <c r="E475" s="1236"/>
      <c r="F475" s="1344">
        <f>(1/S475)*cnst_fish!$C$6</f>
        <v>3.8823156944206696E-2</v>
      </c>
      <c r="G475" s="1344">
        <f t="shared" si="71"/>
        <v>1</v>
      </c>
      <c r="H475" s="1344">
        <f t="shared" si="71"/>
        <v>0.367192066876738</v>
      </c>
      <c r="I475" s="1344">
        <f t="shared" si="65"/>
        <v>0</v>
      </c>
      <c r="J475" s="902">
        <f t="shared" si="66"/>
        <v>0</v>
      </c>
      <c r="L475" s="1460">
        <v>20355</v>
      </c>
      <c r="M475" s="1236"/>
      <c r="N475" s="1240" t="s">
        <v>1806</v>
      </c>
      <c r="O475" s="1241" t="s">
        <v>4841</v>
      </c>
      <c r="P475" s="910">
        <f t="shared" si="67"/>
        <v>0</v>
      </c>
      <c r="Q475" s="910">
        <f t="shared" si="68"/>
        <v>20355</v>
      </c>
      <c r="R475" s="1344">
        <f t="shared" si="69"/>
        <v>3.89</v>
      </c>
      <c r="S475" s="1344">
        <f>(1/9)*cnst_fish!$C$7*(1/cnst_fish!$C$8)^(R475-1)</f>
        <v>109.47074721686684</v>
      </c>
      <c r="T475" s="1362">
        <f t="shared" si="70"/>
        <v>192518.9786090109</v>
      </c>
      <c r="W475" s="1612"/>
      <c r="X475" s="1612"/>
      <c r="Y475" s="1613"/>
      <c r="Z475" s="1614"/>
      <c r="AA475" s="1614"/>
      <c r="AB475" s="1615"/>
      <c r="AC475" s="1615"/>
      <c r="AD475" s="583"/>
      <c r="AE475" s="583"/>
    </row>
    <row r="476" spans="1:31" ht="14">
      <c r="A476" s="1384" t="s">
        <v>348</v>
      </c>
      <c r="B476" s="19" t="s">
        <v>3701</v>
      </c>
      <c r="C476" s="1383">
        <v>3188</v>
      </c>
      <c r="D476" s="1236"/>
      <c r="E476" s="1236"/>
      <c r="F476" s="1344">
        <f>(1/S476)*cnst_fish!$C$6</f>
        <v>8.3002437741509269E-2</v>
      </c>
      <c r="G476" s="1344">
        <f t="shared" si="71"/>
        <v>1</v>
      </c>
      <c r="H476" s="1344">
        <f t="shared" si="71"/>
        <v>0.367192066876738</v>
      </c>
      <c r="I476" s="1344">
        <f t="shared" si="65"/>
        <v>0</v>
      </c>
      <c r="J476" s="902">
        <f t="shared" si="66"/>
        <v>0</v>
      </c>
      <c r="L476" s="1460">
        <v>5</v>
      </c>
      <c r="M476" s="1236"/>
      <c r="N476" s="1240" t="s">
        <v>1806</v>
      </c>
      <c r="O476" s="1241" t="s">
        <v>4841</v>
      </c>
      <c r="P476" s="910">
        <f t="shared" si="67"/>
        <v>0</v>
      </c>
      <c r="Q476" s="910">
        <f t="shared" si="68"/>
        <v>5</v>
      </c>
      <c r="R476" s="1344">
        <f t="shared" si="69"/>
        <v>3.56</v>
      </c>
      <c r="S476" s="1344">
        <f>(1/9)*cnst_fish!$C$7*(1/cnst_fish!$C$8)^(R476-1)</f>
        <v>51.203315416296356</v>
      </c>
      <c r="T476" s="1362">
        <f t="shared" si="70"/>
        <v>22.119354374884001</v>
      </c>
      <c r="W476" s="1612"/>
      <c r="X476" s="1612"/>
      <c r="Y476" s="1613"/>
      <c r="Z476" s="1614"/>
      <c r="AA476" s="1614"/>
      <c r="AB476" s="1615"/>
      <c r="AC476" s="1615"/>
      <c r="AD476" s="583"/>
      <c r="AE476" s="583"/>
    </row>
    <row r="477" spans="1:31" ht="14">
      <c r="A477" s="1384" t="s">
        <v>6785</v>
      </c>
      <c r="B477" s="19" t="s">
        <v>6784</v>
      </c>
      <c r="C477" s="1383">
        <v>18137</v>
      </c>
      <c r="D477" s="1236"/>
      <c r="E477" s="1236"/>
      <c r="F477" s="1344">
        <f>(1/S477)*cnst_fish!$C$6</f>
        <v>3.0136363636363641</v>
      </c>
      <c r="G477" s="1344">
        <f t="shared" si="71"/>
        <v>1</v>
      </c>
      <c r="H477" s="1344">
        <f t="shared" si="71"/>
        <v>0.367192066876738</v>
      </c>
      <c r="I477" s="1344">
        <f t="shared" si="65"/>
        <v>0</v>
      </c>
      <c r="J477" s="902">
        <f t="shared" si="66"/>
        <v>0</v>
      </c>
      <c r="L477" s="1460">
        <v>1957</v>
      </c>
      <c r="M477" s="1236"/>
      <c r="N477" s="1240" t="s">
        <v>1804</v>
      </c>
      <c r="O477" s="1241" t="s">
        <v>4851</v>
      </c>
      <c r="P477" s="910">
        <f t="shared" si="67"/>
        <v>0</v>
      </c>
      <c r="Q477" s="910">
        <f t="shared" si="68"/>
        <v>1957</v>
      </c>
      <c r="R477" s="1344">
        <f t="shared" si="69"/>
        <v>2</v>
      </c>
      <c r="S477" s="1344">
        <f>(1/9)*cnst_fish!$C$7*(1/cnst_fish!$C$8)^(R477-1)</f>
        <v>1.4102564102564099</v>
      </c>
      <c r="T477" s="1362">
        <f t="shared" si="70"/>
        <v>238.44777145265576</v>
      </c>
      <c r="W477" s="1612"/>
      <c r="X477" s="1612"/>
      <c r="Y477" s="1613"/>
      <c r="Z477" s="1614"/>
      <c r="AA477" s="1614"/>
      <c r="AB477" s="1615"/>
      <c r="AC477" s="1615"/>
      <c r="AD477" s="583"/>
      <c r="AE477" s="583"/>
    </row>
    <row r="478" spans="1:31" ht="14">
      <c r="A478" s="1384" t="s">
        <v>2949</v>
      </c>
      <c r="B478" s="19" t="s">
        <v>4489</v>
      </c>
      <c r="C478" s="1383">
        <v>6115</v>
      </c>
      <c r="D478" s="1236"/>
      <c r="E478" s="1236"/>
      <c r="F478" s="1344">
        <f>(1/S478)*cnst_fish!$C$6</f>
        <v>3.1663335279055209</v>
      </c>
      <c r="G478" s="1344">
        <f t="shared" si="71"/>
        <v>1</v>
      </c>
      <c r="H478" s="1344">
        <f t="shared" si="71"/>
        <v>0.367192066876738</v>
      </c>
      <c r="I478" s="1344">
        <f t="shared" si="65"/>
        <v>0</v>
      </c>
      <c r="J478" s="902">
        <f t="shared" si="66"/>
        <v>0</v>
      </c>
      <c r="L478" s="1460">
        <v>5570</v>
      </c>
      <c r="M478" s="1236"/>
      <c r="N478" s="1240" t="s">
        <v>1804</v>
      </c>
      <c r="O478" s="1241" t="s">
        <v>4851</v>
      </c>
      <c r="P478" s="910">
        <f t="shared" si="67"/>
        <v>0</v>
      </c>
      <c r="Q478" s="910">
        <f t="shared" si="68"/>
        <v>5570</v>
      </c>
      <c r="R478" s="1344">
        <f t="shared" si="69"/>
        <v>1.9785341879407026</v>
      </c>
      <c r="S478" s="1344">
        <f>(1/9)*cnst_fish!$C$7*(1/cnst_fish!$C$8)^(R478-1)</f>
        <v>1.3422464697871885</v>
      </c>
      <c r="T478" s="1362">
        <f t="shared" si="70"/>
        <v>645.93947367772637</v>
      </c>
      <c r="W478" s="1612"/>
      <c r="X478" s="1612"/>
      <c r="Y478" s="1613"/>
      <c r="Z478" s="1614"/>
      <c r="AA478" s="1614"/>
      <c r="AB478" s="1615"/>
      <c r="AC478" s="1615"/>
      <c r="AD478" s="583"/>
      <c r="AE478" s="583"/>
    </row>
    <row r="479" spans="1:31" ht="14">
      <c r="A479" s="1384" t="s">
        <v>2337</v>
      </c>
      <c r="B479" s="19" t="s">
        <v>1497</v>
      </c>
      <c r="C479" s="1383">
        <v>2557</v>
      </c>
      <c r="D479" s="1236"/>
      <c r="E479" s="1236"/>
      <c r="F479" s="1344">
        <f>(1/S479)*cnst_fish!$C$6</f>
        <v>0.11457525898206007</v>
      </c>
      <c r="G479" s="1344">
        <f t="shared" si="71"/>
        <v>1</v>
      </c>
      <c r="H479" s="1344">
        <f t="shared" si="71"/>
        <v>0.367192066876738</v>
      </c>
      <c r="I479" s="1344">
        <f t="shared" si="65"/>
        <v>0</v>
      </c>
      <c r="J479" s="902">
        <f t="shared" si="66"/>
        <v>0</v>
      </c>
      <c r="L479" s="1460">
        <v>36387</v>
      </c>
      <c r="M479" s="1236"/>
      <c r="N479" s="1240" t="s">
        <v>1806</v>
      </c>
      <c r="O479" s="1241" t="s">
        <v>4841</v>
      </c>
      <c r="P479" s="910">
        <f t="shared" si="67"/>
        <v>0</v>
      </c>
      <c r="Q479" s="910">
        <f t="shared" si="68"/>
        <v>36387</v>
      </c>
      <c r="R479" s="1344">
        <f t="shared" si="69"/>
        <v>3.42</v>
      </c>
      <c r="S479" s="1344">
        <f>(1/9)*cnst_fish!$C$7*(1/cnst_fish!$C$8)^(R479-1)</f>
        <v>37.093522962627169</v>
      </c>
      <c r="T479" s="1362">
        <f t="shared" si="70"/>
        <v>116613.46311716305</v>
      </c>
      <c r="W479" s="1612"/>
      <c r="X479" s="1612"/>
      <c r="Y479" s="1613"/>
      <c r="Z479" s="1614"/>
      <c r="AA479" s="1614"/>
      <c r="AB479" s="1615"/>
      <c r="AC479" s="1615"/>
      <c r="AD479" s="583"/>
      <c r="AE479" s="583"/>
    </row>
    <row r="480" spans="1:31" ht="14">
      <c r="A480" s="1384" t="s">
        <v>729</v>
      </c>
      <c r="B480" s="19" t="s">
        <v>730</v>
      </c>
      <c r="C480" s="1383">
        <v>11712</v>
      </c>
      <c r="D480" s="1236"/>
      <c r="E480" s="1236"/>
      <c r="F480" s="1344">
        <f>(1/S480)*cnst_fish!$C$6</f>
        <v>0.10941852286935322</v>
      </c>
      <c r="G480" s="1344">
        <f t="shared" si="71"/>
        <v>1</v>
      </c>
      <c r="H480" s="1344">
        <f t="shared" si="71"/>
        <v>0.367192066876738</v>
      </c>
      <c r="I480" s="1344">
        <f t="shared" si="65"/>
        <v>0</v>
      </c>
      <c r="J480" s="902">
        <f t="shared" si="66"/>
        <v>0</v>
      </c>
      <c r="L480" s="1460">
        <v>0</v>
      </c>
      <c r="M480" s="1236"/>
      <c r="N480" s="1240" t="s">
        <v>1806</v>
      </c>
      <c r="O480" s="1241" t="s">
        <v>4841</v>
      </c>
      <c r="P480" s="910">
        <f t="shared" si="67"/>
        <v>0</v>
      </c>
      <c r="Q480" s="910">
        <f t="shared" si="68"/>
        <v>0</v>
      </c>
      <c r="R480" s="1344">
        <f t="shared" si="69"/>
        <v>3.44</v>
      </c>
      <c r="S480" s="1344">
        <f>(1/9)*cnst_fish!$C$7*(1/cnst_fish!$C$8)^(R480-1)</f>
        <v>38.841686841948523</v>
      </c>
      <c r="T480" s="1362">
        <f t="shared" si="70"/>
        <v>0</v>
      </c>
      <c r="W480" s="1612"/>
      <c r="X480" s="1612"/>
      <c r="Y480" s="1613"/>
      <c r="Z480" s="1614"/>
      <c r="AA480" s="1614"/>
      <c r="AB480" s="1615"/>
      <c r="AC480" s="1615"/>
      <c r="AD480" s="583"/>
      <c r="AE480" s="583"/>
    </row>
    <row r="481" spans="1:31" ht="14">
      <c r="A481" s="1384" t="s">
        <v>4001</v>
      </c>
      <c r="B481" s="19" t="s">
        <v>4002</v>
      </c>
      <c r="C481" s="1383">
        <v>19057</v>
      </c>
      <c r="D481" s="1236"/>
      <c r="E481" s="1236"/>
      <c r="F481" s="1344">
        <f>(1/S481)*cnst_fish!$C$6</f>
        <v>2.8124890974018386E-2</v>
      </c>
      <c r="G481" s="1344">
        <f t="shared" si="71"/>
        <v>1</v>
      </c>
      <c r="H481" s="1344">
        <f t="shared" si="71"/>
        <v>0.367192066876738</v>
      </c>
      <c r="I481" s="1344">
        <f t="shared" si="65"/>
        <v>0</v>
      </c>
      <c r="J481" s="902">
        <f t="shared" si="66"/>
        <v>0</v>
      </c>
      <c r="L481" s="1460">
        <v>26</v>
      </c>
      <c r="M481" s="1236"/>
      <c r="N481" s="1240" t="s">
        <v>3928</v>
      </c>
      <c r="O481" s="1241" t="s">
        <v>4841</v>
      </c>
      <c r="P481" s="910">
        <f t="shared" si="67"/>
        <v>0</v>
      </c>
      <c r="Q481" s="910">
        <f t="shared" si="68"/>
        <v>26</v>
      </c>
      <c r="R481" s="1344">
        <f t="shared" si="69"/>
        <v>4.03</v>
      </c>
      <c r="S481" s="1344">
        <f>(1/9)*cnst_fish!$C$7*(1/cnst_fish!$C$8)^(R481-1)</f>
        <v>151.11169689248311</v>
      </c>
      <c r="T481" s="1362">
        <f t="shared" si="70"/>
        <v>339.44998213911822</v>
      </c>
      <c r="W481" s="1612"/>
      <c r="X481" s="1612"/>
      <c r="Y481" s="1613"/>
      <c r="Z481" s="1614"/>
      <c r="AA481" s="1614"/>
      <c r="AB481" s="1615"/>
      <c r="AC481" s="1615"/>
      <c r="AD481" s="583"/>
      <c r="AE481" s="583"/>
    </row>
    <row r="482" spans="1:31" ht="14">
      <c r="A482" s="1384" t="s">
        <v>6403</v>
      </c>
      <c r="B482" s="19" t="s">
        <v>6402</v>
      </c>
      <c r="C482" s="1383">
        <v>11715</v>
      </c>
      <c r="D482" s="1236"/>
      <c r="E482" s="1236"/>
      <c r="F482" s="1344">
        <f>(1/S482)*cnst_fish!$C$6</f>
        <v>9.5299549485983348E-2</v>
      </c>
      <c r="G482" s="1344">
        <f t="shared" si="71"/>
        <v>1</v>
      </c>
      <c r="H482" s="1344">
        <f t="shared" si="71"/>
        <v>0.367192066876738</v>
      </c>
      <c r="I482" s="1344">
        <f t="shared" si="65"/>
        <v>0</v>
      </c>
      <c r="J482" s="902">
        <f t="shared" si="66"/>
        <v>0</v>
      </c>
      <c r="L482" s="1460">
        <v>18248</v>
      </c>
      <c r="M482" s="1236"/>
      <c r="N482" s="1240" t="s">
        <v>1806</v>
      </c>
      <c r="O482" s="1241" t="s">
        <v>4841</v>
      </c>
      <c r="P482" s="910">
        <f t="shared" si="67"/>
        <v>0</v>
      </c>
      <c r="Q482" s="910">
        <f t="shared" si="68"/>
        <v>18248</v>
      </c>
      <c r="R482" s="1344">
        <f t="shared" si="69"/>
        <v>3.5</v>
      </c>
      <c r="S482" s="1344">
        <f>(1/9)*cnst_fish!$C$7*(1/cnst_fish!$C$8)^(R482-1)</f>
        <v>44.596223412631026</v>
      </c>
      <c r="T482" s="1362">
        <f t="shared" si="70"/>
        <v>70310.099811670429</v>
      </c>
      <c r="W482" s="1612"/>
      <c r="X482" s="1612"/>
      <c r="Y482" s="1613"/>
      <c r="Z482" s="1614"/>
      <c r="AA482" s="1614"/>
      <c r="AB482" s="1615"/>
      <c r="AC482" s="1615"/>
      <c r="AD482" s="583"/>
      <c r="AE482" s="583"/>
    </row>
    <row r="483" spans="1:31" ht="14">
      <c r="A483" s="1384" t="s">
        <v>2860</v>
      </c>
      <c r="B483" s="19" t="s">
        <v>2540</v>
      </c>
      <c r="C483" s="1383">
        <v>3151</v>
      </c>
      <c r="D483" s="1236"/>
      <c r="E483" s="1236"/>
      <c r="F483" s="1344">
        <f>(1/S483)*cnst_fish!$C$6</f>
        <v>2.1334911593031029E-2</v>
      </c>
      <c r="G483" s="1344">
        <f t="shared" si="71"/>
        <v>1</v>
      </c>
      <c r="H483" s="1344">
        <f t="shared" si="71"/>
        <v>0.367192066876738</v>
      </c>
      <c r="I483" s="1344">
        <f t="shared" si="65"/>
        <v>0</v>
      </c>
      <c r="J483" s="902">
        <f t="shared" si="66"/>
        <v>0</v>
      </c>
      <c r="L483" s="1460">
        <v>3552</v>
      </c>
      <c r="M483" s="1236"/>
      <c r="N483" s="1240" t="s">
        <v>1806</v>
      </c>
      <c r="O483" s="1241" t="s">
        <v>4841</v>
      </c>
      <c r="P483" s="910">
        <f t="shared" si="67"/>
        <v>0</v>
      </c>
      <c r="Q483" s="910">
        <f t="shared" si="68"/>
        <v>3552</v>
      </c>
      <c r="R483" s="1344">
        <f t="shared" si="69"/>
        <v>4.1500000000000004</v>
      </c>
      <c r="S483" s="1344">
        <f>(1/9)*cnst_fish!$C$7*(1/cnst_fish!$C$8)^(R483-1)</f>
        <v>199.20401270320929</v>
      </c>
      <c r="T483" s="1362">
        <f t="shared" si="70"/>
        <v>61132.95646241193</v>
      </c>
      <c r="W483" s="1612"/>
      <c r="X483" s="1612"/>
      <c r="Y483" s="1613"/>
      <c r="Z483" s="1614"/>
      <c r="AA483" s="1614"/>
      <c r="AB483" s="1615"/>
      <c r="AC483" s="1615"/>
      <c r="AD483" s="583"/>
      <c r="AE483" s="583"/>
    </row>
    <row r="484" spans="1:31" ht="14">
      <c r="A484" s="1384" t="s">
        <v>6828</v>
      </c>
      <c r="B484" s="19" t="s">
        <v>6827</v>
      </c>
      <c r="C484" s="1383">
        <v>11717</v>
      </c>
      <c r="D484" s="1236">
        <v>19</v>
      </c>
      <c r="E484" s="1236"/>
      <c r="F484" s="1344">
        <f>(1/S484)*cnst_fish!$C$6</f>
        <v>3.0136363636363641</v>
      </c>
      <c r="G484" s="1344">
        <f t="shared" si="71"/>
        <v>1</v>
      </c>
      <c r="H484" s="1344">
        <f t="shared" si="71"/>
        <v>0.367192066876738</v>
      </c>
      <c r="I484" s="1344">
        <f t="shared" si="65"/>
        <v>2.3150269073073373</v>
      </c>
      <c r="J484" s="902">
        <f t="shared" si="66"/>
        <v>0</v>
      </c>
      <c r="L484" s="1460">
        <v>19</v>
      </c>
      <c r="M484" s="1236"/>
      <c r="N484" s="1240" t="s">
        <v>1806</v>
      </c>
      <c r="O484" s="1241" t="s">
        <v>4841</v>
      </c>
      <c r="P484" s="910">
        <f t="shared" si="67"/>
        <v>19</v>
      </c>
      <c r="Q484" s="910">
        <f t="shared" si="68"/>
        <v>19</v>
      </c>
      <c r="R484" s="1344">
        <f t="shared" si="69"/>
        <v>2</v>
      </c>
      <c r="S484" s="1344">
        <f>(1/9)*cnst_fish!$C$7*(1/cnst_fish!$C$8)^(R484-1)</f>
        <v>1.4102564102564099</v>
      </c>
      <c r="T484" s="1362">
        <f t="shared" si="70"/>
        <v>2.3150269073073373</v>
      </c>
      <c r="W484" s="1612"/>
      <c r="X484" s="1612"/>
      <c r="Y484" s="1613"/>
      <c r="Z484" s="1614"/>
      <c r="AA484" s="1614"/>
      <c r="AB484" s="1615"/>
      <c r="AC484" s="1615"/>
      <c r="AD484" s="583"/>
      <c r="AE484" s="583"/>
    </row>
    <row r="485" spans="1:31" ht="14">
      <c r="A485" s="1384" t="s">
        <v>6904</v>
      </c>
      <c r="B485" s="19" t="s">
        <v>6903</v>
      </c>
      <c r="C485" s="1383">
        <v>19288</v>
      </c>
      <c r="D485" s="1236"/>
      <c r="E485" s="1236"/>
      <c r="F485" s="1344">
        <f>(1/S485)*cnst_fish!$C$6</f>
        <v>3.0136363636363641</v>
      </c>
      <c r="G485" s="1344">
        <f t="shared" si="71"/>
        <v>1</v>
      </c>
      <c r="H485" s="1344">
        <f t="shared" si="71"/>
        <v>0.367192066876738</v>
      </c>
      <c r="I485" s="1344">
        <f t="shared" si="65"/>
        <v>0</v>
      </c>
      <c r="J485" s="902">
        <f t="shared" si="66"/>
        <v>0</v>
      </c>
      <c r="L485" s="1460">
        <v>21634</v>
      </c>
      <c r="M485" s="1236"/>
      <c r="N485" s="1240" t="s">
        <v>1806</v>
      </c>
      <c r="O485" s="1241" t="s">
        <v>4841</v>
      </c>
      <c r="P485" s="910">
        <f t="shared" si="67"/>
        <v>0</v>
      </c>
      <c r="Q485" s="910">
        <f t="shared" si="68"/>
        <v>21634</v>
      </c>
      <c r="R485" s="1344">
        <f t="shared" si="69"/>
        <v>2</v>
      </c>
      <c r="S485" s="1344">
        <f>(1/9)*cnst_fish!$C$7*(1/cnst_fish!$C$8)^(R485-1)</f>
        <v>1.4102564102564099</v>
      </c>
      <c r="T485" s="1362">
        <f t="shared" si="70"/>
        <v>2635.9627427729965</v>
      </c>
      <c r="W485" s="1612"/>
      <c r="X485" s="1612"/>
      <c r="Y485" s="1613"/>
      <c r="Z485" s="1614"/>
      <c r="AA485" s="1614"/>
      <c r="AB485" s="1615"/>
      <c r="AC485" s="1615"/>
      <c r="AD485" s="583"/>
      <c r="AE485" s="583"/>
    </row>
    <row r="486" spans="1:31" ht="14">
      <c r="A486" s="1384" t="s">
        <v>6646</v>
      </c>
      <c r="B486" s="19" t="s">
        <v>6645</v>
      </c>
      <c r="C486" s="1383">
        <v>11718</v>
      </c>
      <c r="D486" s="1236"/>
      <c r="E486" s="1236"/>
      <c r="F486" s="1344">
        <f>(1/S486)*cnst_fish!$C$6</f>
        <v>3.0136363636363641</v>
      </c>
      <c r="G486" s="1344">
        <f t="shared" si="71"/>
        <v>1</v>
      </c>
      <c r="H486" s="1344">
        <f t="shared" si="71"/>
        <v>0.367192066876738</v>
      </c>
      <c r="I486" s="1344">
        <f t="shared" si="65"/>
        <v>0</v>
      </c>
      <c r="J486" s="902">
        <f t="shared" si="66"/>
        <v>0</v>
      </c>
      <c r="L486" s="1460">
        <v>2682</v>
      </c>
      <c r="M486" s="1236"/>
      <c r="N486" s="1240" t="s">
        <v>1806</v>
      </c>
      <c r="O486" s="1241" t="s">
        <v>4841</v>
      </c>
      <c r="P486" s="910">
        <f t="shared" si="67"/>
        <v>0</v>
      </c>
      <c r="Q486" s="910">
        <f t="shared" si="68"/>
        <v>2682</v>
      </c>
      <c r="R486" s="1344">
        <f t="shared" si="69"/>
        <v>2</v>
      </c>
      <c r="S486" s="1344">
        <f>(1/9)*cnst_fish!$C$7*(1/cnst_fish!$C$8)^(R486-1)</f>
        <v>1.4102564102564099</v>
      </c>
      <c r="T486" s="1362">
        <f t="shared" si="70"/>
        <v>326.78432449464623</v>
      </c>
      <c r="W486" s="1612"/>
      <c r="X486" s="1612"/>
      <c r="Y486" s="1613"/>
      <c r="Z486" s="1614"/>
      <c r="AA486" s="1614"/>
      <c r="AB486" s="1615"/>
      <c r="AC486" s="1615"/>
      <c r="AD486" s="583"/>
      <c r="AE486" s="583"/>
    </row>
    <row r="487" spans="1:31" ht="14">
      <c r="A487" s="1384" t="s">
        <v>6865</v>
      </c>
      <c r="B487" s="19" t="s">
        <v>6864</v>
      </c>
      <c r="C487" s="1383">
        <v>11719</v>
      </c>
      <c r="D487" s="1236"/>
      <c r="E487" s="1236"/>
      <c r="F487" s="1344">
        <f>(1/S487)*cnst_fish!$C$6</f>
        <v>3.0136363636363641</v>
      </c>
      <c r="G487" s="1344">
        <f t="shared" si="71"/>
        <v>1</v>
      </c>
      <c r="H487" s="1344">
        <f t="shared" si="71"/>
        <v>0.367192066876738</v>
      </c>
      <c r="I487" s="1344">
        <f t="shared" si="65"/>
        <v>0</v>
      </c>
      <c r="J487" s="902">
        <f t="shared" si="66"/>
        <v>0</v>
      </c>
      <c r="L487" s="1460">
        <v>829</v>
      </c>
      <c r="M487" s="1236"/>
      <c r="N487" s="1240" t="s">
        <v>1806</v>
      </c>
      <c r="O487" s="1241" t="s">
        <v>4841</v>
      </c>
      <c r="P487" s="910">
        <f t="shared" si="67"/>
        <v>0</v>
      </c>
      <c r="Q487" s="910">
        <f t="shared" si="68"/>
        <v>829</v>
      </c>
      <c r="R487" s="1344">
        <f t="shared" si="69"/>
        <v>2</v>
      </c>
      <c r="S487" s="1344">
        <f>(1/9)*cnst_fish!$C$7*(1/cnst_fish!$C$8)^(R487-1)</f>
        <v>1.4102564102564099</v>
      </c>
      <c r="T487" s="1362">
        <f t="shared" si="70"/>
        <v>101.00827927146224</v>
      </c>
      <c r="W487" s="1612"/>
      <c r="X487" s="1612"/>
      <c r="Y487" s="1613"/>
      <c r="Z487" s="1614"/>
      <c r="AA487" s="1614"/>
      <c r="AB487" s="1615"/>
      <c r="AC487" s="1615"/>
      <c r="AD487" s="583"/>
      <c r="AE487" s="583"/>
    </row>
    <row r="488" spans="1:31" ht="14">
      <c r="A488" s="1384" t="s">
        <v>2217</v>
      </c>
      <c r="B488" s="19" t="s">
        <v>2541</v>
      </c>
      <c r="C488" s="1383">
        <v>2346</v>
      </c>
      <c r="D488" s="1236">
        <v>246</v>
      </c>
      <c r="E488" s="1236"/>
      <c r="F488" s="1344">
        <f>(1/S488)*cnst_fish!$C$6</f>
        <v>3.1556646698079359E-2</v>
      </c>
      <c r="G488" s="1344">
        <f t="shared" ref="G488:H507" si="72">G$7</f>
        <v>1</v>
      </c>
      <c r="H488" s="1344">
        <f t="shared" si="72"/>
        <v>0.367192066876738</v>
      </c>
      <c r="I488" s="1344">
        <f t="shared" si="65"/>
        <v>2862.4476268315066</v>
      </c>
      <c r="J488" s="902">
        <f t="shared" si="66"/>
        <v>0</v>
      </c>
      <c r="L488" s="1460">
        <v>983</v>
      </c>
      <c r="M488" s="1236"/>
      <c r="N488" s="1240" t="s">
        <v>1806</v>
      </c>
      <c r="O488" s="1241" t="s">
        <v>4841</v>
      </c>
      <c r="P488" s="910">
        <f t="shared" si="67"/>
        <v>246</v>
      </c>
      <c r="Q488" s="910">
        <f t="shared" si="68"/>
        <v>983</v>
      </c>
      <c r="R488" s="1344">
        <f t="shared" si="69"/>
        <v>3.98</v>
      </c>
      <c r="S488" s="1344">
        <f>(1/9)*cnst_fish!$C$7*(1/cnst_fish!$C$8)^(R488-1)</f>
        <v>134.67844161840773</v>
      </c>
      <c r="T488" s="1362">
        <f t="shared" si="70"/>
        <v>11438.154541363296</v>
      </c>
      <c r="W488" s="1612"/>
      <c r="X488" s="1612"/>
      <c r="Y488" s="1613"/>
      <c r="Z488" s="1614"/>
      <c r="AA488" s="1614"/>
      <c r="AB488" s="1615"/>
      <c r="AC488" s="1615"/>
      <c r="AD488" s="583"/>
      <c r="AE488" s="583"/>
    </row>
    <row r="489" spans="1:31" ht="14">
      <c r="A489" s="1384" t="s">
        <v>2094</v>
      </c>
      <c r="B489" s="19" t="s">
        <v>2542</v>
      </c>
      <c r="C489" s="1383">
        <v>2347</v>
      </c>
      <c r="D489" s="1236">
        <v>165</v>
      </c>
      <c r="E489" s="1236"/>
      <c r="F489" s="1344">
        <f>(1/S489)*cnst_fish!$C$6</f>
        <v>5.1178888253733429E-2</v>
      </c>
      <c r="G489" s="1344">
        <f t="shared" si="72"/>
        <v>1</v>
      </c>
      <c r="H489" s="1344">
        <f t="shared" si="72"/>
        <v>0.367192066876738</v>
      </c>
      <c r="I489" s="1344">
        <f t="shared" si="65"/>
        <v>1183.8219449841617</v>
      </c>
      <c r="J489" s="902">
        <f t="shared" si="66"/>
        <v>0</v>
      </c>
      <c r="L489" s="1460">
        <v>165</v>
      </c>
      <c r="M489" s="1236"/>
      <c r="N489" s="1240" t="s">
        <v>1806</v>
      </c>
      <c r="O489" s="1241" t="s">
        <v>4841</v>
      </c>
      <c r="P489" s="910">
        <f t="shared" si="67"/>
        <v>165</v>
      </c>
      <c r="Q489" s="910">
        <f t="shared" si="68"/>
        <v>165</v>
      </c>
      <c r="R489" s="1344">
        <f t="shared" si="69"/>
        <v>3.77</v>
      </c>
      <c r="S489" s="1344">
        <f>(1/9)*cnst_fish!$C$7*(1/cnst_fish!$C$8)^(R489-1)</f>
        <v>83.042053960403649</v>
      </c>
      <c r="T489" s="1362">
        <f t="shared" si="70"/>
        <v>1183.8219449841617</v>
      </c>
      <c r="W489" s="1612"/>
      <c r="X489" s="1612"/>
      <c r="Y489" s="1613"/>
      <c r="Z489" s="1614"/>
      <c r="AA489" s="1614"/>
      <c r="AB489" s="1615"/>
      <c r="AC489" s="1615"/>
      <c r="AD489" s="583"/>
      <c r="AE489" s="583"/>
    </row>
    <row r="490" spans="1:31" ht="14">
      <c r="A490" s="1384" t="s">
        <v>279</v>
      </c>
      <c r="B490" s="19" t="s">
        <v>2543</v>
      </c>
      <c r="C490" s="1383">
        <v>3150</v>
      </c>
      <c r="D490" s="1236"/>
      <c r="E490" s="1236"/>
      <c r="F490" s="1344">
        <f>(1/S490)*cnst_fish!$C$6</f>
        <v>2.3938164528281767E-2</v>
      </c>
      <c r="G490" s="1344">
        <f t="shared" si="72"/>
        <v>1</v>
      </c>
      <c r="H490" s="1344">
        <f t="shared" si="72"/>
        <v>0.367192066876738</v>
      </c>
      <c r="I490" s="1344">
        <f t="shared" si="65"/>
        <v>0</v>
      </c>
      <c r="J490" s="902">
        <f t="shared" si="66"/>
        <v>0</v>
      </c>
      <c r="L490" s="1460">
        <v>22279</v>
      </c>
      <c r="M490" s="1236"/>
      <c r="N490" s="1240" t="s">
        <v>1806</v>
      </c>
      <c r="O490" s="1241" t="s">
        <v>4841</v>
      </c>
      <c r="P490" s="910">
        <f t="shared" si="67"/>
        <v>0</v>
      </c>
      <c r="Q490" s="910">
        <f t="shared" si="68"/>
        <v>22279</v>
      </c>
      <c r="R490" s="1344">
        <f t="shared" si="69"/>
        <v>4.0999999999999996</v>
      </c>
      <c r="S490" s="1344">
        <f>(1/9)*cnst_fish!$C$7*(1/cnst_fish!$C$8)^(R490-1)</f>
        <v>177.54076320174144</v>
      </c>
      <c r="T490" s="1362">
        <f t="shared" si="70"/>
        <v>341741.82604024559</v>
      </c>
      <c r="W490" s="1612"/>
      <c r="X490" s="1612"/>
      <c r="Y490" s="1613"/>
      <c r="Z490" s="1614"/>
      <c r="AA490" s="1614"/>
      <c r="AB490" s="1615"/>
      <c r="AC490" s="1615"/>
      <c r="AD490" s="583"/>
      <c r="AE490" s="583"/>
    </row>
    <row r="491" spans="1:31" ht="14">
      <c r="A491" s="1384" t="s">
        <v>1525</v>
      </c>
      <c r="B491" s="19" t="s">
        <v>2544</v>
      </c>
      <c r="C491" s="1383">
        <v>2349</v>
      </c>
      <c r="D491" s="1236"/>
      <c r="E491" s="1236"/>
      <c r="F491" s="1344">
        <f>(1/S491)*cnst_fish!$C$6</f>
        <v>3.7939434000887833E-2</v>
      </c>
      <c r="G491" s="1344">
        <f t="shared" si="72"/>
        <v>1</v>
      </c>
      <c r="H491" s="1344">
        <f t="shared" si="72"/>
        <v>0.367192066876738</v>
      </c>
      <c r="I491" s="1344">
        <f t="shared" si="65"/>
        <v>0</v>
      </c>
      <c r="J491" s="902">
        <f t="shared" si="66"/>
        <v>0</v>
      </c>
      <c r="L491" s="1460">
        <v>3921</v>
      </c>
      <c r="M491" s="1236"/>
      <c r="N491" s="1240" t="s">
        <v>1806</v>
      </c>
      <c r="O491" s="1241" t="s">
        <v>4841</v>
      </c>
      <c r="P491" s="910">
        <f t="shared" si="67"/>
        <v>0</v>
      </c>
      <c r="Q491" s="910">
        <f t="shared" si="68"/>
        <v>3921</v>
      </c>
      <c r="R491" s="1344">
        <f t="shared" si="69"/>
        <v>3.9</v>
      </c>
      <c r="S491" s="1344">
        <f>(1/9)*cnst_fish!$C$7*(1/cnst_fish!$C$8)^(R491-1)</f>
        <v>112.02064848675771</v>
      </c>
      <c r="T491" s="1362">
        <f t="shared" si="70"/>
        <v>37948.908098892498</v>
      </c>
      <c r="W491" s="1612"/>
      <c r="X491" s="1612"/>
      <c r="Y491" s="1613"/>
      <c r="Z491" s="1614"/>
      <c r="AA491" s="1614"/>
      <c r="AB491" s="1615"/>
      <c r="AC491" s="1615"/>
      <c r="AD491" s="583"/>
      <c r="AE491" s="583"/>
    </row>
    <row r="492" spans="1:31" ht="14">
      <c r="A492" s="1384" t="s">
        <v>6621</v>
      </c>
      <c r="B492" s="19" t="s">
        <v>6620</v>
      </c>
      <c r="C492" s="1383">
        <v>11728</v>
      </c>
      <c r="D492" s="1236"/>
      <c r="E492" s="1236"/>
      <c r="F492" s="1344">
        <f>(1/S492)*cnst_fish!$C$6</f>
        <v>3.0136363636363641</v>
      </c>
      <c r="G492" s="1344">
        <f t="shared" si="72"/>
        <v>1</v>
      </c>
      <c r="H492" s="1344">
        <f t="shared" si="72"/>
        <v>0.367192066876738</v>
      </c>
      <c r="I492" s="1344">
        <f t="shared" si="65"/>
        <v>0</v>
      </c>
      <c r="J492" s="902">
        <f t="shared" si="66"/>
        <v>0</v>
      </c>
      <c r="L492" s="1460">
        <v>680</v>
      </c>
      <c r="M492" s="1236"/>
      <c r="N492" s="1240" t="s">
        <v>1806</v>
      </c>
      <c r="O492" s="1241" t="s">
        <v>4841</v>
      </c>
      <c r="P492" s="910">
        <f t="shared" si="67"/>
        <v>0</v>
      </c>
      <c r="Q492" s="910">
        <f t="shared" si="68"/>
        <v>680</v>
      </c>
      <c r="R492" s="1344">
        <f t="shared" si="69"/>
        <v>2</v>
      </c>
      <c r="S492" s="1344">
        <f>(1/9)*cnst_fish!$C$7*(1/cnst_fish!$C$8)^(R492-1)</f>
        <v>1.4102564102564099</v>
      </c>
      <c r="T492" s="1362">
        <f t="shared" si="70"/>
        <v>82.853594577315235</v>
      </c>
      <c r="W492" s="1612"/>
      <c r="X492" s="1612"/>
      <c r="Y492" s="1613"/>
      <c r="Z492" s="1614"/>
      <c r="AA492" s="1614"/>
      <c r="AB492" s="1615"/>
      <c r="AC492" s="1615"/>
      <c r="AD492" s="583"/>
      <c r="AE492" s="583"/>
    </row>
    <row r="493" spans="1:31" ht="14">
      <c r="A493" s="1384" t="s">
        <v>2674</v>
      </c>
      <c r="B493" s="19" t="s">
        <v>4992</v>
      </c>
      <c r="C493" s="1383">
        <v>2955</v>
      </c>
      <c r="D493" s="1236"/>
      <c r="E493" s="1236">
        <v>92</v>
      </c>
      <c r="F493" s="1344">
        <f>(1/S493)*cnst_fish!$C$6</f>
        <v>0.46675700833589756</v>
      </c>
      <c r="G493" s="1344">
        <f t="shared" si="72"/>
        <v>1</v>
      </c>
      <c r="H493" s="1344">
        <f t="shared" si="72"/>
        <v>0.367192066876738</v>
      </c>
      <c r="I493" s="1344">
        <f t="shared" si="65"/>
        <v>0</v>
      </c>
      <c r="J493" s="902">
        <f t="shared" si="66"/>
        <v>72.375282104707495</v>
      </c>
      <c r="L493" s="1460">
        <v>1188</v>
      </c>
      <c r="M493" s="1236">
        <v>709169</v>
      </c>
      <c r="N493" s="1240" t="s">
        <v>1806</v>
      </c>
      <c r="O493" s="1241" t="s">
        <v>4845</v>
      </c>
      <c r="P493" s="910">
        <f t="shared" si="67"/>
        <v>92</v>
      </c>
      <c r="Q493" s="910">
        <f t="shared" si="68"/>
        <v>710357</v>
      </c>
      <c r="R493" s="1344">
        <f t="shared" si="69"/>
        <v>2.81</v>
      </c>
      <c r="S493" s="1344">
        <f>(1/9)*cnst_fish!$C$7*(1/cnst_fish!$C$8)^(R493-1)</f>
        <v>9.1053801530528382</v>
      </c>
      <c r="T493" s="1362">
        <f t="shared" si="70"/>
        <v>558829.22032667068</v>
      </c>
      <c r="W493" s="1612"/>
      <c r="X493" s="1612"/>
      <c r="Y493" s="1613"/>
      <c r="Z493" s="1614"/>
      <c r="AA493" s="1614"/>
      <c r="AB493" s="1615"/>
      <c r="AC493" s="1615"/>
      <c r="AD493" s="583"/>
      <c r="AE493" s="583"/>
    </row>
    <row r="494" spans="1:31" ht="14">
      <c r="A494" s="1384" t="s">
        <v>2893</v>
      </c>
      <c r="B494" s="19" t="s">
        <v>4993</v>
      </c>
      <c r="C494" s="1383">
        <v>2957</v>
      </c>
      <c r="D494" s="1236"/>
      <c r="E494" s="1236">
        <v>661</v>
      </c>
      <c r="F494" s="1344">
        <f>(1/S494)*cnst_fish!$C$6</f>
        <v>0.33043865638315079</v>
      </c>
      <c r="G494" s="1344">
        <f t="shared" si="72"/>
        <v>1</v>
      </c>
      <c r="H494" s="1344">
        <f t="shared" si="72"/>
        <v>0.367192066876738</v>
      </c>
      <c r="I494" s="1344">
        <f t="shared" si="65"/>
        <v>0</v>
      </c>
      <c r="J494" s="902">
        <f t="shared" si="66"/>
        <v>734.52046701246638</v>
      </c>
      <c r="L494" s="1460">
        <v>2</v>
      </c>
      <c r="M494" s="1236">
        <v>131617</v>
      </c>
      <c r="N494" s="1240" t="s">
        <v>5365</v>
      </c>
      <c r="O494" s="1241" t="s">
        <v>4845</v>
      </c>
      <c r="P494" s="910">
        <f t="shared" si="67"/>
        <v>661</v>
      </c>
      <c r="Q494" s="910">
        <f t="shared" si="68"/>
        <v>131619</v>
      </c>
      <c r="R494" s="1344">
        <f t="shared" si="69"/>
        <v>2.96</v>
      </c>
      <c r="S494" s="1344">
        <f>(1/9)*cnst_fish!$C$7*(1/cnst_fish!$C$8)^(R494-1)</f>
        <v>12.861691324250007</v>
      </c>
      <c r="T494" s="1362">
        <f t="shared" si="70"/>
        <v>146258.47102528566</v>
      </c>
      <c r="W494" s="1612"/>
      <c r="X494" s="1612"/>
      <c r="Y494" s="1613"/>
      <c r="Z494" s="1614"/>
      <c r="AA494" s="1614"/>
      <c r="AB494" s="1615"/>
      <c r="AC494" s="1615"/>
      <c r="AD494" s="583"/>
      <c r="AE494" s="583"/>
    </row>
    <row r="495" spans="1:31" ht="14">
      <c r="A495" s="1384" t="s">
        <v>4604</v>
      </c>
      <c r="B495" s="19" t="s">
        <v>1530</v>
      </c>
      <c r="C495" s="1383">
        <v>3004</v>
      </c>
      <c r="D495" s="1236"/>
      <c r="E495" s="1236"/>
      <c r="F495" s="1344">
        <f>(1/S495)*cnst_fish!$C$6</f>
        <v>0.11997502458044032</v>
      </c>
      <c r="G495" s="1344">
        <f t="shared" si="72"/>
        <v>1</v>
      </c>
      <c r="H495" s="1344">
        <f t="shared" si="72"/>
        <v>0.367192066876738</v>
      </c>
      <c r="I495" s="1344">
        <f t="shared" si="65"/>
        <v>0</v>
      </c>
      <c r="J495" s="902">
        <f t="shared" si="66"/>
        <v>0</v>
      </c>
      <c r="L495" s="1460"/>
      <c r="M495" s="1236"/>
      <c r="N495" s="1240" t="s">
        <v>1806</v>
      </c>
      <c r="O495" s="1241" t="s">
        <v>4859</v>
      </c>
      <c r="P495" s="910">
        <f t="shared" si="67"/>
        <v>0</v>
      </c>
      <c r="Q495" s="910">
        <f t="shared" si="68"/>
        <v>0</v>
      </c>
      <c r="R495" s="1344">
        <f t="shared" si="69"/>
        <v>3.4</v>
      </c>
      <c r="S495" s="1344">
        <f>(1/9)*cnst_fish!$C$7*(1/cnst_fish!$C$8)^(R495-1)</f>
        <v>35.424039418724846</v>
      </c>
      <c r="T495" s="1362">
        <f t="shared" si="70"/>
        <v>0</v>
      </c>
      <c r="W495" s="1612"/>
      <c r="X495" s="1612"/>
      <c r="Y495" s="1613"/>
      <c r="Z495" s="1614"/>
      <c r="AA495" s="1614"/>
      <c r="AB495" s="1615"/>
      <c r="AC495" s="1615"/>
      <c r="AD495" s="583"/>
      <c r="AE495" s="583"/>
    </row>
    <row r="496" spans="1:31" ht="14">
      <c r="A496" s="1384" t="s">
        <v>3834</v>
      </c>
      <c r="B496" s="19" t="s">
        <v>3868</v>
      </c>
      <c r="C496" s="1383">
        <v>3633</v>
      </c>
      <c r="D496" s="1236"/>
      <c r="E496" s="1236"/>
      <c r="F496" s="1344">
        <f>(1/S496)*cnst_fish!$C$6</f>
        <v>30.136363636363644</v>
      </c>
      <c r="G496" s="1344">
        <f t="shared" si="72"/>
        <v>1</v>
      </c>
      <c r="H496" s="1344">
        <f t="shared" si="72"/>
        <v>0.367192066876738</v>
      </c>
      <c r="I496" s="1344">
        <f t="shared" si="65"/>
        <v>0</v>
      </c>
      <c r="J496" s="902">
        <f t="shared" si="66"/>
        <v>0</v>
      </c>
      <c r="L496" s="1460">
        <v>5</v>
      </c>
      <c r="M496" s="1236"/>
      <c r="N496" s="1240" t="s">
        <v>1808</v>
      </c>
      <c r="O496" s="1241" t="s">
        <v>4831</v>
      </c>
      <c r="P496" s="910">
        <f t="shared" si="67"/>
        <v>0</v>
      </c>
      <c r="Q496" s="910">
        <f t="shared" si="68"/>
        <v>5</v>
      </c>
      <c r="R496" s="1344">
        <f t="shared" si="69"/>
        <v>1</v>
      </c>
      <c r="S496" s="1344">
        <f>(1/9)*cnst_fish!$C$7*(1/cnst_fish!$C$8)^(R496-1)</f>
        <v>0.141025641025641</v>
      </c>
      <c r="T496" s="1362">
        <f t="shared" si="70"/>
        <v>6.0921760718614132E-2</v>
      </c>
      <c r="W496" s="1612"/>
      <c r="X496" s="1612"/>
      <c r="Y496" s="1613"/>
      <c r="Z496" s="1614"/>
      <c r="AA496" s="1614"/>
      <c r="AB496" s="1615"/>
      <c r="AC496" s="1615"/>
      <c r="AD496" s="583"/>
      <c r="AE496" s="583"/>
    </row>
    <row r="497" spans="1:31" ht="14">
      <c r="A497" s="1384" t="s">
        <v>2088</v>
      </c>
      <c r="B497" s="19" t="s">
        <v>3146</v>
      </c>
      <c r="C497" s="1383">
        <v>11757</v>
      </c>
      <c r="D497" s="1236"/>
      <c r="E497" s="1236"/>
      <c r="F497" s="1344">
        <f>(1/S497)*cnst_fish!$C$6</f>
        <v>4.5613232168782068E-2</v>
      </c>
      <c r="G497" s="1344">
        <f t="shared" si="72"/>
        <v>1</v>
      </c>
      <c r="H497" s="1344">
        <f t="shared" si="72"/>
        <v>0.367192066876738</v>
      </c>
      <c r="I497" s="1344">
        <f t="shared" si="65"/>
        <v>0</v>
      </c>
      <c r="J497" s="902">
        <f t="shared" si="66"/>
        <v>0</v>
      </c>
      <c r="L497" s="1460"/>
      <c r="M497" s="1236"/>
      <c r="N497" s="1240" t="s">
        <v>1806</v>
      </c>
      <c r="O497" s="1241" t="s">
        <v>4841</v>
      </c>
      <c r="P497" s="910">
        <f t="shared" si="67"/>
        <v>0</v>
      </c>
      <c r="Q497" s="910">
        <f t="shared" si="68"/>
        <v>0</v>
      </c>
      <c r="R497" s="1344">
        <f t="shared" si="69"/>
        <v>3.82</v>
      </c>
      <c r="S497" s="1344">
        <f>(1/9)*cnst_fish!$C$7*(1/cnst_fish!$C$8)^(R497-1)</f>
        <v>93.174717026712301</v>
      </c>
      <c r="T497" s="1362">
        <f t="shared" si="70"/>
        <v>0</v>
      </c>
      <c r="W497" s="1612"/>
      <c r="X497" s="1612"/>
      <c r="Y497" s="1613"/>
      <c r="Z497" s="1614"/>
      <c r="AA497" s="1614"/>
      <c r="AB497" s="1615"/>
      <c r="AC497" s="1615"/>
      <c r="AD497" s="583"/>
      <c r="AE497" s="583"/>
    </row>
    <row r="498" spans="1:31" ht="14">
      <c r="A498" s="1384" t="s">
        <v>3835</v>
      </c>
      <c r="B498" s="19" t="s">
        <v>4104</v>
      </c>
      <c r="C498" s="1383">
        <v>18835</v>
      </c>
      <c r="D498" s="1236"/>
      <c r="E498" s="1236"/>
      <c r="F498" s="1344">
        <f>(1/S498)*cnst_fish!$C$6</f>
        <v>1.6946922663690963E-2</v>
      </c>
      <c r="G498" s="1344">
        <f t="shared" si="72"/>
        <v>1</v>
      </c>
      <c r="H498" s="1344">
        <f t="shared" si="72"/>
        <v>0.367192066876738</v>
      </c>
      <c r="I498" s="1344">
        <f t="shared" si="65"/>
        <v>0</v>
      </c>
      <c r="J498" s="902">
        <f t="shared" si="66"/>
        <v>0</v>
      </c>
      <c r="L498" s="1460">
        <v>472</v>
      </c>
      <c r="M498" s="1236"/>
      <c r="N498" s="1240" t="s">
        <v>1806</v>
      </c>
      <c r="O498" s="1241" t="s">
        <v>4841</v>
      </c>
      <c r="P498" s="910">
        <f t="shared" si="67"/>
        <v>0</v>
      </c>
      <c r="Q498" s="910">
        <f t="shared" si="68"/>
        <v>472</v>
      </c>
      <c r="R498" s="1344">
        <f t="shared" si="69"/>
        <v>4.25</v>
      </c>
      <c r="S498" s="1344">
        <f>(1/9)*cnst_fish!$C$7*(1/cnst_fish!$C$8)^(R498-1)</f>
        <v>250.78299372343801</v>
      </c>
      <c r="T498" s="1362">
        <f t="shared" si="70"/>
        <v>10226.91015975128</v>
      </c>
      <c r="W498" s="1612"/>
      <c r="X498" s="1612"/>
      <c r="Y498" s="1613"/>
      <c r="Z498" s="1614"/>
      <c r="AA498" s="1614"/>
      <c r="AB498" s="1615"/>
      <c r="AC498" s="1615"/>
      <c r="AD498" s="583"/>
      <c r="AE498" s="583"/>
    </row>
    <row r="499" spans="1:31" ht="14">
      <c r="A499" s="1384" t="s">
        <v>1556</v>
      </c>
      <c r="B499" s="19" t="s">
        <v>1557</v>
      </c>
      <c r="C499" s="1383">
        <v>11761</v>
      </c>
      <c r="D499" s="1236"/>
      <c r="E499" s="1236"/>
      <c r="F499" s="1344">
        <f>(1/S499)*cnst_fish!$C$6</f>
        <v>6.9038420626592392E-2</v>
      </c>
      <c r="G499" s="1344">
        <f t="shared" si="72"/>
        <v>1</v>
      </c>
      <c r="H499" s="1344">
        <f t="shared" si="72"/>
        <v>0.367192066876738</v>
      </c>
      <c r="I499" s="1344">
        <f t="shared" si="65"/>
        <v>0</v>
      </c>
      <c r="J499" s="902">
        <f t="shared" si="66"/>
        <v>0</v>
      </c>
      <c r="L499" s="1460">
        <v>3</v>
      </c>
      <c r="M499" s="1236"/>
      <c r="N499" s="1240" t="s">
        <v>1806</v>
      </c>
      <c r="O499" s="1241" t="s">
        <v>4841</v>
      </c>
      <c r="P499" s="910">
        <f t="shared" si="67"/>
        <v>0</v>
      </c>
      <c r="Q499" s="910">
        <f t="shared" si="68"/>
        <v>3</v>
      </c>
      <c r="R499" s="1344">
        <f t="shared" si="69"/>
        <v>3.64</v>
      </c>
      <c r="S499" s="1344">
        <f>(1/9)*cnst_fish!$C$7*(1/cnst_fish!$C$8)^(R499-1)</f>
        <v>61.559925059510611</v>
      </c>
      <c r="T499" s="1362">
        <f t="shared" si="70"/>
        <v>15.955987848973274</v>
      </c>
      <c r="W499" s="1612"/>
      <c r="X499" s="1612"/>
      <c r="Y499" s="1613"/>
      <c r="Z499" s="1614"/>
      <c r="AA499" s="1614"/>
      <c r="AB499" s="1615"/>
      <c r="AC499" s="1615"/>
      <c r="AD499" s="583"/>
      <c r="AE499" s="583"/>
    </row>
    <row r="500" spans="1:31" ht="14">
      <c r="A500" s="1384" t="s">
        <v>2974</v>
      </c>
      <c r="B500" s="19" t="s">
        <v>4666</v>
      </c>
      <c r="C500" s="1383">
        <v>2044</v>
      </c>
      <c r="D500" s="1236"/>
      <c r="E500" s="1236"/>
      <c r="F500" s="1344">
        <f>(1/S500)*cnst_fish!$C$6</f>
        <v>2.1334911593031029E-2</v>
      </c>
      <c r="G500" s="1344">
        <f t="shared" si="72"/>
        <v>1</v>
      </c>
      <c r="H500" s="1344">
        <f t="shared" si="72"/>
        <v>0.367192066876738</v>
      </c>
      <c r="I500" s="1344">
        <f t="shared" si="65"/>
        <v>0</v>
      </c>
      <c r="J500" s="902">
        <f t="shared" si="66"/>
        <v>0</v>
      </c>
      <c r="L500" s="1460">
        <v>1207</v>
      </c>
      <c r="M500" s="1236"/>
      <c r="N500" s="1240" t="s">
        <v>3927</v>
      </c>
      <c r="O500" s="1241" t="s">
        <v>4841</v>
      </c>
      <c r="P500" s="910">
        <f t="shared" si="67"/>
        <v>0</v>
      </c>
      <c r="Q500" s="910">
        <f t="shared" si="68"/>
        <v>1207</v>
      </c>
      <c r="R500" s="1344">
        <f t="shared" si="69"/>
        <v>4.1500000000000004</v>
      </c>
      <c r="S500" s="1344">
        <f>(1/9)*cnst_fish!$C$7*(1/cnst_fish!$C$8)^(R500-1)</f>
        <v>199.20401270320929</v>
      </c>
      <c r="T500" s="1362">
        <f t="shared" si="70"/>
        <v>20773.501815915315</v>
      </c>
      <c r="W500" s="1612"/>
      <c r="X500" s="1612"/>
      <c r="Y500" s="1613"/>
      <c r="Z500" s="1614"/>
      <c r="AA500" s="1614"/>
      <c r="AB500" s="1615"/>
      <c r="AC500" s="1615"/>
      <c r="AD500" s="583"/>
      <c r="AE500" s="583"/>
    </row>
    <row r="501" spans="1:31" ht="14">
      <c r="A501" s="1384" t="s">
        <v>4323</v>
      </c>
      <c r="B501" s="19" t="s">
        <v>5010</v>
      </c>
      <c r="C501" s="1383">
        <v>2864</v>
      </c>
      <c r="D501" s="1236"/>
      <c r="E501" s="1236"/>
      <c r="F501" s="1344">
        <f>(1/S501)*cnst_fish!$C$6</f>
        <v>7.0646532025323075E-2</v>
      </c>
      <c r="G501" s="1344">
        <f t="shared" si="72"/>
        <v>1</v>
      </c>
      <c r="H501" s="1344">
        <f t="shared" si="72"/>
        <v>0.367192066876738</v>
      </c>
      <c r="I501" s="1344">
        <f t="shared" si="65"/>
        <v>0</v>
      </c>
      <c r="J501" s="902">
        <f t="shared" si="66"/>
        <v>0</v>
      </c>
      <c r="L501" s="1460">
        <v>44672</v>
      </c>
      <c r="M501" s="1236"/>
      <c r="N501" s="1240" t="s">
        <v>1806</v>
      </c>
      <c r="O501" s="1241" t="s">
        <v>4841</v>
      </c>
      <c r="P501" s="910">
        <f t="shared" si="67"/>
        <v>0</v>
      </c>
      <c r="Q501" s="910">
        <f t="shared" si="68"/>
        <v>44672</v>
      </c>
      <c r="R501" s="1344">
        <f t="shared" si="69"/>
        <v>3.63</v>
      </c>
      <c r="S501" s="1344">
        <f>(1/9)*cnst_fish!$C$7*(1/cnst_fish!$C$8)^(R501-1)</f>
        <v>60.158650087404119</v>
      </c>
      <c r="T501" s="1362">
        <f t="shared" si="70"/>
        <v>232186.96716263372</v>
      </c>
      <c r="W501" s="1612"/>
      <c r="X501" s="1612"/>
      <c r="Y501" s="1613"/>
      <c r="Z501" s="1614"/>
      <c r="AA501" s="1614"/>
      <c r="AB501" s="1615"/>
      <c r="AC501" s="1615"/>
      <c r="AD501" s="583"/>
      <c r="AE501" s="583"/>
    </row>
    <row r="502" spans="1:31" ht="14">
      <c r="A502" s="1384" t="s">
        <v>167</v>
      </c>
      <c r="B502" s="19" t="s">
        <v>5011</v>
      </c>
      <c r="C502" s="1383">
        <v>2865</v>
      </c>
      <c r="D502" s="1236"/>
      <c r="E502" s="1236"/>
      <c r="F502" s="1344">
        <f>(1/S502)*cnst_fish!$C$6</f>
        <v>4.3560298545661361E-2</v>
      </c>
      <c r="G502" s="1344">
        <f t="shared" si="72"/>
        <v>1</v>
      </c>
      <c r="H502" s="1344">
        <f t="shared" si="72"/>
        <v>0.367192066876738</v>
      </c>
      <c r="I502" s="1344">
        <f t="shared" si="65"/>
        <v>0</v>
      </c>
      <c r="J502" s="902">
        <f t="shared" si="66"/>
        <v>0</v>
      </c>
      <c r="L502" s="1460"/>
      <c r="M502" s="1236"/>
      <c r="N502" s="1240" t="s">
        <v>1806</v>
      </c>
      <c r="O502" s="1241" t="s">
        <v>4841</v>
      </c>
      <c r="P502" s="910">
        <f t="shared" si="67"/>
        <v>0</v>
      </c>
      <c r="Q502" s="910">
        <f t="shared" si="68"/>
        <v>0</v>
      </c>
      <c r="R502" s="1344">
        <f t="shared" si="69"/>
        <v>3.84</v>
      </c>
      <c r="S502" s="1344">
        <f>(1/9)*cnst_fish!$C$7*(1/cnst_fish!$C$8)^(R502-1)</f>
        <v>97.565906155234643</v>
      </c>
      <c r="T502" s="1362">
        <f t="shared" si="70"/>
        <v>0</v>
      </c>
      <c r="W502" s="1612"/>
      <c r="X502" s="1612"/>
      <c r="Y502" s="1613"/>
      <c r="Z502" s="1614"/>
      <c r="AA502" s="1614"/>
      <c r="AB502" s="1615"/>
      <c r="AC502" s="1615"/>
      <c r="AD502" s="583"/>
      <c r="AE502" s="583"/>
    </row>
    <row r="503" spans="1:31" ht="14">
      <c r="A503" s="1384" t="s">
        <v>1724</v>
      </c>
      <c r="B503" s="19" t="s">
        <v>1725</v>
      </c>
      <c r="C503" s="1383">
        <v>11783</v>
      </c>
      <c r="D503" s="1236"/>
      <c r="E503" s="1236"/>
      <c r="F503" s="1344">
        <f>(1/S503)*cnst_fish!$C$6</f>
        <v>9.3130266898023228E-2</v>
      </c>
      <c r="G503" s="1344">
        <f t="shared" si="72"/>
        <v>1</v>
      </c>
      <c r="H503" s="1344">
        <f t="shared" si="72"/>
        <v>0.367192066876738</v>
      </c>
      <c r="I503" s="1344">
        <f t="shared" si="65"/>
        <v>0</v>
      </c>
      <c r="J503" s="902">
        <f t="shared" si="66"/>
        <v>0</v>
      </c>
      <c r="L503" s="1460">
        <v>3141</v>
      </c>
      <c r="M503" s="1236"/>
      <c r="N503" s="1240" t="s">
        <v>1806</v>
      </c>
      <c r="O503" s="1241" t="s">
        <v>4841</v>
      </c>
      <c r="P503" s="910">
        <f t="shared" si="67"/>
        <v>0</v>
      </c>
      <c r="Q503" s="910">
        <f t="shared" si="68"/>
        <v>3141</v>
      </c>
      <c r="R503" s="1344">
        <f t="shared" si="69"/>
        <v>3.51</v>
      </c>
      <c r="S503" s="1344">
        <f>(1/9)*cnst_fish!$C$7*(1/cnst_fish!$C$8)^(R503-1)</f>
        <v>45.635002900332182</v>
      </c>
      <c r="T503" s="1362">
        <f t="shared" si="70"/>
        <v>12384.269051035168</v>
      </c>
      <c r="W503" s="1612"/>
      <c r="X503" s="1612"/>
      <c r="Y503" s="1613"/>
      <c r="Z503" s="1614"/>
      <c r="AA503" s="1614"/>
      <c r="AB503" s="1615"/>
      <c r="AC503" s="1615"/>
      <c r="AD503" s="583"/>
      <c r="AE503" s="583"/>
    </row>
    <row r="504" spans="1:31" ht="14">
      <c r="A504" s="1384" t="s">
        <v>4064</v>
      </c>
      <c r="B504" s="19" t="s">
        <v>4065</v>
      </c>
      <c r="C504" s="1383">
        <v>11800</v>
      </c>
      <c r="D504" s="1236"/>
      <c r="E504" s="1236"/>
      <c r="F504" s="1344">
        <f>(1/S504)*cnst_fish!$C$6</f>
        <v>9.5299549485983348E-2</v>
      </c>
      <c r="G504" s="1344">
        <f t="shared" si="72"/>
        <v>1</v>
      </c>
      <c r="H504" s="1344">
        <f t="shared" si="72"/>
        <v>0.367192066876738</v>
      </c>
      <c r="I504" s="1344">
        <f t="shared" si="65"/>
        <v>0</v>
      </c>
      <c r="J504" s="902">
        <f t="shared" si="66"/>
        <v>0</v>
      </c>
      <c r="L504" s="1460">
        <v>1</v>
      </c>
      <c r="M504" s="1236"/>
      <c r="N504" s="1240" t="s">
        <v>1806</v>
      </c>
      <c r="O504" s="1241" t="s">
        <v>4841</v>
      </c>
      <c r="P504" s="910">
        <f t="shared" si="67"/>
        <v>0</v>
      </c>
      <c r="Q504" s="910">
        <f t="shared" si="68"/>
        <v>1</v>
      </c>
      <c r="R504" s="1344">
        <f t="shared" si="69"/>
        <v>3.5</v>
      </c>
      <c r="S504" s="1344">
        <f>(1/9)*cnst_fish!$C$7*(1/cnst_fish!$C$8)^(R504-1)</f>
        <v>44.596223412631026</v>
      </c>
      <c r="T504" s="1362">
        <f t="shared" si="70"/>
        <v>3.8530304587719439</v>
      </c>
      <c r="W504" s="1612"/>
      <c r="X504" s="1612"/>
      <c r="Y504" s="1613"/>
      <c r="Z504" s="1614"/>
      <c r="AA504" s="1614"/>
      <c r="AB504" s="1615"/>
      <c r="AC504" s="1615"/>
      <c r="AD504" s="583"/>
      <c r="AE504" s="583"/>
    </row>
    <row r="505" spans="1:31" ht="14">
      <c r="A505" s="1384" t="s">
        <v>3832</v>
      </c>
      <c r="B505" s="19" t="s">
        <v>5012</v>
      </c>
      <c r="C505" s="1383">
        <v>11806</v>
      </c>
      <c r="D505" s="1236"/>
      <c r="E505" s="1236"/>
      <c r="F505" s="1344">
        <f>(1/S505)*cnst_fish!$C$6</f>
        <v>2.6859062362848789E-2</v>
      </c>
      <c r="G505" s="1344">
        <f t="shared" si="72"/>
        <v>1</v>
      </c>
      <c r="H505" s="1344">
        <f t="shared" si="72"/>
        <v>0.367192066876738</v>
      </c>
      <c r="I505" s="1344">
        <f t="shared" si="65"/>
        <v>0</v>
      </c>
      <c r="J505" s="902">
        <f t="shared" si="66"/>
        <v>0</v>
      </c>
      <c r="L505" s="1460">
        <v>7</v>
      </c>
      <c r="M505" s="1236"/>
      <c r="N505" s="1240" t="s">
        <v>1806</v>
      </c>
      <c r="O505" s="1241" t="s">
        <v>4841</v>
      </c>
      <c r="P505" s="910">
        <f t="shared" si="67"/>
        <v>0</v>
      </c>
      <c r="Q505" s="910">
        <f t="shared" si="68"/>
        <v>7</v>
      </c>
      <c r="R505" s="1344">
        <f t="shared" si="69"/>
        <v>4.05</v>
      </c>
      <c r="S505" s="1344">
        <f>(1/9)*cnst_fish!$C$7*(1/cnst_fish!$C$8)^(R505-1)</f>
        <v>158.23337176053329</v>
      </c>
      <c r="T505" s="1362">
        <f t="shared" si="70"/>
        <v>95.697475712794912</v>
      </c>
      <c r="W505" s="1612"/>
      <c r="X505" s="1612"/>
      <c r="Y505" s="1613"/>
      <c r="Z505" s="1614"/>
      <c r="AA505" s="1614"/>
      <c r="AB505" s="1615"/>
      <c r="AC505" s="1615"/>
      <c r="AD505" s="583"/>
      <c r="AE505" s="583"/>
    </row>
    <row r="506" spans="1:31" ht="14">
      <c r="A506" s="1384" t="s">
        <v>1147</v>
      </c>
      <c r="B506" s="19" t="s">
        <v>5013</v>
      </c>
      <c r="C506" s="1383">
        <v>2061</v>
      </c>
      <c r="D506" s="1236"/>
      <c r="E506" s="1236"/>
      <c r="F506" s="1344">
        <f>(1/S506)*cnst_fish!$C$6</f>
        <v>7.3976000504507963E-2</v>
      </c>
      <c r="G506" s="1344">
        <f t="shared" si="72"/>
        <v>1</v>
      </c>
      <c r="H506" s="1344">
        <f t="shared" si="72"/>
        <v>0.367192066876738</v>
      </c>
      <c r="I506" s="1344">
        <f t="shared" si="65"/>
        <v>0</v>
      </c>
      <c r="J506" s="902">
        <f t="shared" si="66"/>
        <v>0</v>
      </c>
      <c r="L506" s="1460"/>
      <c r="M506" s="1236"/>
      <c r="N506" s="1240" t="s">
        <v>1806</v>
      </c>
      <c r="O506" s="1241" t="s">
        <v>4841</v>
      </c>
      <c r="P506" s="910">
        <f t="shared" si="67"/>
        <v>0</v>
      </c>
      <c r="Q506" s="910">
        <f t="shared" si="68"/>
        <v>0</v>
      </c>
      <c r="R506" s="1344">
        <f t="shared" si="69"/>
        <v>3.61</v>
      </c>
      <c r="S506" s="1344">
        <f>(1/9)*cnst_fish!$C$7*(1/cnst_fish!$C$8)^(R506-1)</f>
        <v>57.451064818528707</v>
      </c>
      <c r="T506" s="1362">
        <f t="shared" si="70"/>
        <v>0</v>
      </c>
      <c r="W506" s="1612"/>
      <c r="X506" s="1612"/>
      <c r="Y506" s="1613"/>
      <c r="Z506" s="1614"/>
      <c r="AA506" s="1614"/>
      <c r="AB506" s="1615"/>
      <c r="AC506" s="1615"/>
      <c r="AD506" s="583"/>
      <c r="AE506" s="583"/>
    </row>
    <row r="507" spans="1:31" ht="14">
      <c r="A507" s="1384" t="s">
        <v>6779</v>
      </c>
      <c r="B507" s="19" t="s">
        <v>6778</v>
      </c>
      <c r="C507" s="1383">
        <v>2062</v>
      </c>
      <c r="D507" s="1236"/>
      <c r="E507" s="1236"/>
      <c r="F507" s="1344">
        <f>(1/S507)*cnst_fish!$C$6</f>
        <v>3.0136363636363641</v>
      </c>
      <c r="G507" s="1344">
        <f t="shared" si="72"/>
        <v>1</v>
      </c>
      <c r="H507" s="1344">
        <f t="shared" si="72"/>
        <v>0.367192066876738</v>
      </c>
      <c r="I507" s="1344">
        <f t="shared" si="65"/>
        <v>0</v>
      </c>
      <c r="J507" s="902">
        <f t="shared" si="66"/>
        <v>0</v>
      </c>
      <c r="L507" s="1460">
        <v>0</v>
      </c>
      <c r="M507" s="1236"/>
      <c r="N507" s="1240" t="s">
        <v>1806</v>
      </c>
      <c r="O507" s="1241" t="s">
        <v>4841</v>
      </c>
      <c r="P507" s="910">
        <f t="shared" si="67"/>
        <v>0</v>
      </c>
      <c r="Q507" s="910">
        <f t="shared" si="68"/>
        <v>0</v>
      </c>
      <c r="R507" s="1344">
        <f t="shared" si="69"/>
        <v>2</v>
      </c>
      <c r="S507" s="1344">
        <f>(1/9)*cnst_fish!$C$7*(1/cnst_fish!$C$8)^(R507-1)</f>
        <v>1.4102564102564099</v>
      </c>
      <c r="T507" s="1362">
        <f t="shared" si="70"/>
        <v>0</v>
      </c>
      <c r="W507" s="1612"/>
      <c r="X507" s="1612"/>
      <c r="Y507" s="1613"/>
      <c r="Z507" s="1614"/>
      <c r="AA507" s="1614"/>
      <c r="AB507" s="1615"/>
      <c r="AC507" s="1615"/>
      <c r="AD507" s="583"/>
      <c r="AE507" s="583"/>
    </row>
    <row r="508" spans="1:31" ht="14">
      <c r="A508" s="1384" t="s">
        <v>3755</v>
      </c>
      <c r="B508" s="19" t="s">
        <v>5014</v>
      </c>
      <c r="C508" s="1383">
        <v>2841</v>
      </c>
      <c r="D508" s="1236"/>
      <c r="E508" s="1236"/>
      <c r="F508" s="1344">
        <f>(1/S508)*cnst_fish!$C$6</f>
        <v>1.8158954798513597E-2</v>
      </c>
      <c r="G508" s="1344">
        <f t="shared" ref="G508:H527" si="73">G$7</f>
        <v>1</v>
      </c>
      <c r="H508" s="1344">
        <f t="shared" si="73"/>
        <v>0.367192066876738</v>
      </c>
      <c r="I508" s="1344">
        <f t="shared" si="65"/>
        <v>0</v>
      </c>
      <c r="J508" s="902">
        <f t="shared" si="66"/>
        <v>0</v>
      </c>
      <c r="L508" s="1460">
        <v>138</v>
      </c>
      <c r="M508" s="1236"/>
      <c r="N508" s="1240" t="s">
        <v>3927</v>
      </c>
      <c r="O508" s="1241" t="s">
        <v>4841</v>
      </c>
      <c r="P508" s="910">
        <f t="shared" si="67"/>
        <v>0</v>
      </c>
      <c r="Q508" s="910">
        <f t="shared" si="68"/>
        <v>138</v>
      </c>
      <c r="R508" s="1344">
        <f t="shared" si="69"/>
        <v>4.22</v>
      </c>
      <c r="S508" s="1344">
        <f>(1/9)*cnst_fish!$C$7*(1/cnst_fish!$C$8)^(R508-1)</f>
        <v>234.0443074591432</v>
      </c>
      <c r="T508" s="1362">
        <f t="shared" si="70"/>
        <v>2790.4967984797036</v>
      </c>
      <c r="W508" s="1612"/>
      <c r="X508" s="1612"/>
      <c r="Y508" s="1613"/>
      <c r="Z508" s="1614"/>
      <c r="AA508" s="1614"/>
      <c r="AB508" s="1615"/>
      <c r="AC508" s="1615"/>
      <c r="AD508" s="583"/>
      <c r="AE508" s="583"/>
    </row>
    <row r="509" spans="1:31" ht="14">
      <c r="A509" s="1384" t="s">
        <v>6427</v>
      </c>
      <c r="B509" s="19" t="s">
        <v>6426</v>
      </c>
      <c r="C509" s="1383">
        <v>11820</v>
      </c>
      <c r="D509" s="1236"/>
      <c r="E509" s="1236"/>
      <c r="F509" s="1344">
        <f>(1/S509)*cnst_fish!$C$6</f>
        <v>3.0136363636363641</v>
      </c>
      <c r="G509" s="1344">
        <f t="shared" si="73"/>
        <v>1</v>
      </c>
      <c r="H509" s="1344">
        <f t="shared" si="73"/>
        <v>0.367192066876738</v>
      </c>
      <c r="I509" s="1344">
        <f t="shared" si="65"/>
        <v>0</v>
      </c>
      <c r="J509" s="902">
        <f t="shared" si="66"/>
        <v>0</v>
      </c>
      <c r="L509" s="1460">
        <v>1</v>
      </c>
      <c r="M509" s="1236"/>
      <c r="N509" s="1240" t="s">
        <v>3927</v>
      </c>
      <c r="O509" s="1241" t="s">
        <v>4841</v>
      </c>
      <c r="P509" s="910">
        <f t="shared" si="67"/>
        <v>0</v>
      </c>
      <c r="Q509" s="910">
        <f t="shared" si="68"/>
        <v>1</v>
      </c>
      <c r="R509" s="1344">
        <f t="shared" si="69"/>
        <v>2</v>
      </c>
      <c r="S509" s="1344">
        <f>(1/9)*cnst_fish!$C$7*(1/cnst_fish!$C$8)^(R509-1)</f>
        <v>1.4102564102564099</v>
      </c>
      <c r="T509" s="1362">
        <f t="shared" si="70"/>
        <v>0.12184352143722826</v>
      </c>
      <c r="W509" s="1612"/>
      <c r="X509" s="1612"/>
      <c r="Y509" s="1613"/>
      <c r="Z509" s="1614"/>
      <c r="AA509" s="1614"/>
      <c r="AB509" s="1615"/>
      <c r="AC509" s="1615"/>
      <c r="AD509" s="583"/>
      <c r="AE509" s="583"/>
    </row>
    <row r="510" spans="1:31" ht="14">
      <c r="A510" s="1384" t="s">
        <v>4019</v>
      </c>
      <c r="B510" s="19" t="s">
        <v>4020</v>
      </c>
      <c r="C510" s="1383">
        <v>11823</v>
      </c>
      <c r="D510" s="1236"/>
      <c r="E510" s="1236"/>
      <c r="F510" s="1344">
        <f>(1/S510)*cnst_fish!$C$6</f>
        <v>0.11997502458044032</v>
      </c>
      <c r="G510" s="1344">
        <f t="shared" si="73"/>
        <v>1</v>
      </c>
      <c r="H510" s="1344">
        <f t="shared" si="73"/>
        <v>0.367192066876738</v>
      </c>
      <c r="I510" s="1344">
        <f t="shared" si="65"/>
        <v>0</v>
      </c>
      <c r="J510" s="902">
        <f t="shared" si="66"/>
        <v>0</v>
      </c>
      <c r="L510" s="1460">
        <v>16146</v>
      </c>
      <c r="M510" s="1236"/>
      <c r="N510" s="1240" t="s">
        <v>1806</v>
      </c>
      <c r="O510" s="1241" t="s">
        <v>4859</v>
      </c>
      <c r="P510" s="910">
        <f t="shared" si="67"/>
        <v>0</v>
      </c>
      <c r="Q510" s="910">
        <f t="shared" si="68"/>
        <v>16146</v>
      </c>
      <c r="R510" s="1344">
        <f t="shared" si="69"/>
        <v>3.4</v>
      </c>
      <c r="S510" s="1344">
        <f>(1/9)*cnst_fish!$C$7*(1/cnst_fish!$C$8)^(R510-1)</f>
        <v>35.424039418724846</v>
      </c>
      <c r="T510" s="1362">
        <f t="shared" si="70"/>
        <v>49415.977471350918</v>
      </c>
      <c r="W510" s="1612"/>
      <c r="X510" s="1612"/>
      <c r="Y510" s="1613"/>
      <c r="Z510" s="1614"/>
      <c r="AA510" s="1614"/>
      <c r="AB510" s="1615"/>
      <c r="AC510" s="1615"/>
      <c r="AD510" s="583"/>
      <c r="AE510" s="583"/>
    </row>
    <row r="511" spans="1:31" ht="14">
      <c r="A511" s="1384" t="s">
        <v>4606</v>
      </c>
      <c r="B511" s="19" t="s">
        <v>4173</v>
      </c>
      <c r="C511" s="1383">
        <v>2314</v>
      </c>
      <c r="D511" s="1236"/>
      <c r="E511" s="1236"/>
      <c r="F511" s="1344">
        <f>(1/S511)*cnst_fish!$C$6</f>
        <v>0.11997502458044032</v>
      </c>
      <c r="G511" s="1344">
        <f t="shared" si="73"/>
        <v>1</v>
      </c>
      <c r="H511" s="1344">
        <f t="shared" si="73"/>
        <v>0.367192066876738</v>
      </c>
      <c r="I511" s="1344">
        <f t="shared" si="65"/>
        <v>0</v>
      </c>
      <c r="J511" s="902">
        <f t="shared" si="66"/>
        <v>0</v>
      </c>
      <c r="L511" s="1460">
        <v>25895</v>
      </c>
      <c r="M511" s="1236"/>
      <c r="N511" s="1240" t="s">
        <v>1806</v>
      </c>
      <c r="O511" s="1241" t="s">
        <v>4859</v>
      </c>
      <c r="P511" s="910">
        <f t="shared" si="67"/>
        <v>0</v>
      </c>
      <c r="Q511" s="910">
        <f t="shared" si="68"/>
        <v>25895</v>
      </c>
      <c r="R511" s="1344">
        <f t="shared" si="69"/>
        <v>3.4</v>
      </c>
      <c r="S511" s="1344">
        <f>(1/9)*cnst_fish!$C$7*(1/cnst_fish!$C$8)^(R511-1)</f>
        <v>35.424039418724846</v>
      </c>
      <c r="T511" s="1362">
        <f t="shared" si="70"/>
        <v>79253.483006356502</v>
      </c>
      <c r="W511" s="1612"/>
      <c r="X511" s="1612"/>
      <c r="Y511" s="1613"/>
      <c r="Z511" s="1614"/>
      <c r="AA511" s="1614"/>
      <c r="AB511" s="1615"/>
      <c r="AC511" s="1615"/>
      <c r="AD511" s="583"/>
      <c r="AE511" s="583"/>
    </row>
    <row r="512" spans="1:31" ht="14">
      <c r="A512" s="1384" t="s">
        <v>5710</v>
      </c>
      <c r="B512" s="19" t="s">
        <v>4174</v>
      </c>
      <c r="C512" s="1383">
        <v>3109</v>
      </c>
      <c r="D512" s="1236"/>
      <c r="E512" s="1236"/>
      <c r="F512" s="1344">
        <f>(1/S512)*cnst_fish!$C$6</f>
        <v>6.1530557150722649E-2</v>
      </c>
      <c r="G512" s="1344">
        <f t="shared" si="73"/>
        <v>1</v>
      </c>
      <c r="H512" s="1344">
        <f t="shared" si="73"/>
        <v>0.367192066876738</v>
      </c>
      <c r="I512" s="1344">
        <f t="shared" si="65"/>
        <v>0</v>
      </c>
      <c r="J512" s="902">
        <f t="shared" si="66"/>
        <v>0</v>
      </c>
      <c r="L512" s="1460">
        <v>143504</v>
      </c>
      <c r="M512" s="1236"/>
      <c r="N512" s="1240" t="s">
        <v>1806</v>
      </c>
      <c r="O512" s="1241" t="s">
        <v>4859</v>
      </c>
      <c r="P512" s="910">
        <f t="shared" si="67"/>
        <v>0</v>
      </c>
      <c r="Q512" s="910">
        <f t="shared" si="68"/>
        <v>143504</v>
      </c>
      <c r="R512" s="1344">
        <f t="shared" si="69"/>
        <v>3.69</v>
      </c>
      <c r="S512" s="1344">
        <f>(1/9)*cnst_fish!$C$7*(1/cnst_fish!$C$8)^(R512-1)</f>
        <v>69.071371962216759</v>
      </c>
      <c r="T512" s="1362">
        <f t="shared" si="70"/>
        <v>856379.86725853255</v>
      </c>
      <c r="W512" s="1612"/>
      <c r="X512" s="1612"/>
      <c r="Y512" s="1613"/>
      <c r="Z512" s="1614"/>
      <c r="AA512" s="1614"/>
      <c r="AB512" s="1615"/>
      <c r="AC512" s="1615"/>
      <c r="AD512" s="583"/>
      <c r="AE512" s="583"/>
    </row>
    <row r="513" spans="1:31" ht="14">
      <c r="A513" s="1384" t="s">
        <v>3151</v>
      </c>
      <c r="B513" s="19" t="s">
        <v>4175</v>
      </c>
      <c r="C513" s="1383">
        <v>3107</v>
      </c>
      <c r="D513" s="1236">
        <v>398</v>
      </c>
      <c r="E513" s="1236"/>
      <c r="F513" s="1344">
        <f>(1/S513)*cnst_fish!$C$6</f>
        <v>8.8938714421809756E-2</v>
      </c>
      <c r="G513" s="1344">
        <f t="shared" si="73"/>
        <v>1</v>
      </c>
      <c r="H513" s="1344">
        <f t="shared" si="73"/>
        <v>0.367192066876738</v>
      </c>
      <c r="I513" s="1344">
        <f t="shared" si="65"/>
        <v>1643.1814150565722</v>
      </c>
      <c r="J513" s="902">
        <f t="shared" si="66"/>
        <v>0</v>
      </c>
      <c r="L513" s="1460">
        <v>1229413</v>
      </c>
      <c r="M513" s="1236"/>
      <c r="N513" s="1240" t="s">
        <v>1806</v>
      </c>
      <c r="O513" s="1241" t="s">
        <v>4859</v>
      </c>
      <c r="P513" s="910">
        <f t="shared" si="67"/>
        <v>398</v>
      </c>
      <c r="Q513" s="910">
        <f t="shared" si="68"/>
        <v>1229413</v>
      </c>
      <c r="R513" s="1344">
        <f t="shared" si="69"/>
        <v>3.53</v>
      </c>
      <c r="S513" s="1344">
        <f>(1/9)*cnst_fish!$C$7*(1/cnst_fish!$C$8)^(R513-1)</f>
        <v>47.785714327323419</v>
      </c>
      <c r="T513" s="1362">
        <f t="shared" si="70"/>
        <v>5075750.2337410692</v>
      </c>
      <c r="W513" s="1612"/>
      <c r="X513" s="1612"/>
      <c r="Y513" s="1613"/>
      <c r="Z513" s="1614"/>
      <c r="AA513" s="1614"/>
      <c r="AB513" s="1615"/>
      <c r="AC513" s="1615"/>
      <c r="AD513" s="583"/>
      <c r="AE513" s="583"/>
    </row>
    <row r="514" spans="1:31" ht="14">
      <c r="A514" s="1585" t="s">
        <v>8532</v>
      </c>
      <c r="B514" s="1586" t="s">
        <v>8533</v>
      </c>
      <c r="C514" s="1383">
        <v>19226</v>
      </c>
      <c r="D514" s="1236"/>
      <c r="E514" s="1236"/>
      <c r="F514" s="1344">
        <f>(1/S514)*cnst_fish!$C$6</f>
        <v>3.0136363636363641</v>
      </c>
      <c r="G514" s="1344">
        <f t="shared" si="73"/>
        <v>1</v>
      </c>
      <c r="H514" s="1344">
        <f t="shared" si="73"/>
        <v>0.367192066876738</v>
      </c>
      <c r="I514" s="1344">
        <f t="shared" si="65"/>
        <v>0</v>
      </c>
      <c r="J514" s="902">
        <f t="shared" si="66"/>
        <v>0</v>
      </c>
      <c r="L514" s="1460">
        <v>0</v>
      </c>
      <c r="M514" s="1236"/>
      <c r="N514" s="1240" t="s">
        <v>1513</v>
      </c>
      <c r="O514" s="1241"/>
      <c r="P514" s="910">
        <f t="shared" si="67"/>
        <v>0</v>
      </c>
      <c r="Q514" s="910">
        <f t="shared" si="68"/>
        <v>0</v>
      </c>
      <c r="R514" s="1344">
        <f t="shared" si="69"/>
        <v>2</v>
      </c>
      <c r="S514" s="1344">
        <f>(1/9)*cnst_fish!$C$7*(1/cnst_fish!$C$8)^(R514-1)</f>
        <v>1.4102564102564099</v>
      </c>
      <c r="T514" s="1362">
        <f t="shared" si="70"/>
        <v>0</v>
      </c>
      <c r="W514" s="1616"/>
      <c r="X514" s="1616"/>
      <c r="Y514" s="1613"/>
      <c r="Z514" s="1614"/>
      <c r="AA514" s="1614"/>
      <c r="AB514" s="1615"/>
      <c r="AC514" s="1615"/>
      <c r="AD514" s="583"/>
      <c r="AE514" s="583"/>
    </row>
    <row r="515" spans="1:31" ht="14">
      <c r="A515" s="1384" t="s">
        <v>5248</v>
      </c>
      <c r="B515" s="19" t="s">
        <v>2545</v>
      </c>
      <c r="C515" s="1383">
        <v>3183</v>
      </c>
      <c r="D515" s="1236"/>
      <c r="E515" s="1236"/>
      <c r="F515" s="1344">
        <f>(1/S515)*cnst_fish!$C$6</f>
        <v>9.1010363210297068E-2</v>
      </c>
      <c r="G515" s="1344">
        <f t="shared" si="73"/>
        <v>1</v>
      </c>
      <c r="H515" s="1344">
        <f t="shared" si="73"/>
        <v>0.367192066876738</v>
      </c>
      <c r="I515" s="1344">
        <f t="shared" si="65"/>
        <v>0</v>
      </c>
      <c r="J515" s="902">
        <f t="shared" si="66"/>
        <v>0</v>
      </c>
      <c r="L515" s="1460">
        <v>428</v>
      </c>
      <c r="M515" s="1236"/>
      <c r="N515" s="1240" t="s">
        <v>1806</v>
      </c>
      <c r="O515" s="1241" t="s">
        <v>4841</v>
      </c>
      <c r="P515" s="910">
        <f t="shared" si="67"/>
        <v>0</v>
      </c>
      <c r="Q515" s="910">
        <f t="shared" si="68"/>
        <v>428</v>
      </c>
      <c r="R515" s="1344">
        <f t="shared" si="69"/>
        <v>3.52</v>
      </c>
      <c r="S515" s="1344">
        <f>(1/9)*cnst_fish!$C$7*(1/cnst_fish!$C$8)^(R515-1)</f>
        <v>46.69797867062185</v>
      </c>
      <c r="T515" s="1362">
        <f t="shared" si="70"/>
        <v>1726.8165852728155</v>
      </c>
      <c r="W515" s="1612"/>
      <c r="X515" s="1612"/>
      <c r="Y515" s="1613"/>
      <c r="Z515" s="1614"/>
      <c r="AA515" s="1614"/>
      <c r="AB515" s="1615"/>
      <c r="AC515" s="1615"/>
      <c r="AD515" s="583"/>
      <c r="AE515" s="583"/>
    </row>
    <row r="516" spans="1:31" ht="14">
      <c r="A516" s="1384" t="s">
        <v>5430</v>
      </c>
      <c r="B516" s="19" t="s">
        <v>2546</v>
      </c>
      <c r="C516" s="1383">
        <v>2375</v>
      </c>
      <c r="D516" s="1236"/>
      <c r="E516" s="1236"/>
      <c r="F516" s="1344">
        <f>(1/S516)*cnst_fish!$C$6</f>
        <v>5.8761225892708345E-2</v>
      </c>
      <c r="G516" s="1344">
        <f t="shared" si="73"/>
        <v>1</v>
      </c>
      <c r="H516" s="1344">
        <f t="shared" si="73"/>
        <v>0.367192066876738</v>
      </c>
      <c r="I516" s="1344">
        <f t="shared" si="65"/>
        <v>0</v>
      </c>
      <c r="J516" s="902">
        <f t="shared" si="66"/>
        <v>0</v>
      </c>
      <c r="L516" s="1460">
        <v>94</v>
      </c>
      <c r="M516" s="1236"/>
      <c r="N516" s="1240" t="s">
        <v>1806</v>
      </c>
      <c r="O516" s="1241" t="s">
        <v>4841</v>
      </c>
      <c r="P516" s="910">
        <f t="shared" si="67"/>
        <v>0</v>
      </c>
      <c r="Q516" s="910">
        <f t="shared" si="68"/>
        <v>94</v>
      </c>
      <c r="R516" s="1344">
        <f t="shared" si="69"/>
        <v>3.71</v>
      </c>
      <c r="S516" s="1344">
        <f>(1/9)*cnst_fish!$C$7*(1/cnst_fish!$C$8)^(R516-1)</f>
        <v>72.326605434679692</v>
      </c>
      <c r="T516" s="1362">
        <f t="shared" si="70"/>
        <v>587.39506812597756</v>
      </c>
      <c r="W516" s="1612"/>
      <c r="X516" s="1612"/>
      <c r="Y516" s="1613"/>
      <c r="Z516" s="1614"/>
      <c r="AA516" s="1614"/>
      <c r="AB516" s="1615"/>
      <c r="AC516" s="1615"/>
      <c r="AD516" s="583"/>
      <c r="AE516" s="583"/>
    </row>
    <row r="517" spans="1:31" ht="14">
      <c r="A517" s="1384" t="s">
        <v>2823</v>
      </c>
      <c r="B517" s="19" t="s">
        <v>898</v>
      </c>
      <c r="C517" s="1383">
        <v>3182</v>
      </c>
      <c r="D517" s="1236"/>
      <c r="E517" s="1236"/>
      <c r="F517" s="1344">
        <f>(1/S517)*cnst_fish!$C$6</f>
        <v>9.5299549485983424E-3</v>
      </c>
      <c r="G517" s="1344">
        <f t="shared" si="73"/>
        <v>1</v>
      </c>
      <c r="H517" s="1344">
        <f t="shared" si="73"/>
        <v>0.367192066876738</v>
      </c>
      <c r="I517" s="1344">
        <f t="shared" si="65"/>
        <v>0</v>
      </c>
      <c r="J517" s="902">
        <f t="shared" si="66"/>
        <v>0</v>
      </c>
      <c r="L517" s="1460">
        <v>1944</v>
      </c>
      <c r="M517" s="1236"/>
      <c r="N517" s="1240" t="s">
        <v>1806</v>
      </c>
      <c r="O517" s="1241" t="s">
        <v>4841</v>
      </c>
      <c r="P517" s="910">
        <f t="shared" si="67"/>
        <v>0</v>
      </c>
      <c r="Q517" s="910">
        <f t="shared" si="68"/>
        <v>1944</v>
      </c>
      <c r="R517" s="1344">
        <f t="shared" si="69"/>
        <v>4.5</v>
      </c>
      <c r="S517" s="1344">
        <f>(1/9)*cnst_fish!$C$7*(1/cnst_fish!$C$8)^(R517-1)</f>
        <v>445.96223412630997</v>
      </c>
      <c r="T517" s="1362">
        <f t="shared" si="70"/>
        <v>74902.912118526539</v>
      </c>
      <c r="W517" s="1612"/>
      <c r="X517" s="1612"/>
      <c r="Y517" s="1613"/>
      <c r="Z517" s="1614"/>
      <c r="AA517" s="1614"/>
      <c r="AB517" s="1615"/>
      <c r="AC517" s="1615"/>
      <c r="AD517" s="583"/>
      <c r="AE517" s="583"/>
    </row>
    <row r="518" spans="1:31" ht="14">
      <c r="A518" s="1585" t="s">
        <v>8534</v>
      </c>
      <c r="B518" s="1586" t="s">
        <v>8535</v>
      </c>
      <c r="C518" s="1383">
        <v>2373</v>
      </c>
      <c r="D518" s="1236"/>
      <c r="E518" s="1236"/>
      <c r="F518" s="1344">
        <f>(1/S518)*cnst_fish!$C$6</f>
        <v>2.3938164528281767E-2</v>
      </c>
      <c r="G518" s="1344">
        <f t="shared" si="73"/>
        <v>1</v>
      </c>
      <c r="H518" s="1344">
        <f t="shared" si="73"/>
        <v>0.367192066876738</v>
      </c>
      <c r="I518" s="1344">
        <f t="shared" si="65"/>
        <v>0</v>
      </c>
      <c r="J518" s="902">
        <f t="shared" si="66"/>
        <v>0</v>
      </c>
      <c r="L518" s="1460">
        <v>1</v>
      </c>
      <c r="M518" s="1236"/>
      <c r="N518" s="1240" t="s">
        <v>1806</v>
      </c>
      <c r="O518" s="1241" t="s">
        <v>4841</v>
      </c>
      <c r="P518" s="910">
        <f t="shared" si="67"/>
        <v>0</v>
      </c>
      <c r="Q518" s="910">
        <f t="shared" si="68"/>
        <v>1</v>
      </c>
      <c r="R518" s="1344">
        <f t="shared" si="69"/>
        <v>4.0999999999999996</v>
      </c>
      <c r="S518" s="1344">
        <f>(1/9)*cnst_fish!$C$7*(1/cnst_fish!$C$8)^(R518-1)</f>
        <v>177.54076320174144</v>
      </c>
      <c r="T518" s="1362">
        <f t="shared" si="70"/>
        <v>15.3391905399814</v>
      </c>
      <c r="W518" s="1616"/>
      <c r="X518" s="1616"/>
      <c r="Y518" s="1613"/>
      <c r="Z518" s="1614"/>
      <c r="AA518" s="1614"/>
      <c r="AB518" s="1615"/>
      <c r="AC518" s="1615"/>
      <c r="AD518" s="583"/>
      <c r="AE518" s="583"/>
    </row>
    <row r="519" spans="1:31" ht="14">
      <c r="A519" s="1384" t="s">
        <v>2236</v>
      </c>
      <c r="B519" s="19" t="s">
        <v>2908</v>
      </c>
      <c r="C519" s="1383">
        <v>3181</v>
      </c>
      <c r="D519" s="1236"/>
      <c r="E519" s="1236"/>
      <c r="F519" s="1344">
        <f>(1/S519)*cnst_fish!$C$6</f>
        <v>0.11196720767792057</v>
      </c>
      <c r="G519" s="1344">
        <f t="shared" si="73"/>
        <v>1</v>
      </c>
      <c r="H519" s="1344">
        <f t="shared" si="73"/>
        <v>0.367192066876738</v>
      </c>
      <c r="I519" s="1344">
        <f t="shared" ref="I519:I582" si="74">IF($F519=0,0,D519/$F519*$H519*$G519)</f>
        <v>0</v>
      </c>
      <c r="J519" s="902">
        <f t="shared" ref="J519:J582" si="75">IF($F519=0,0,E519/$F519*$H519*$G519)</f>
        <v>0</v>
      </c>
      <c r="L519" s="1460">
        <v>3524</v>
      </c>
      <c r="M519" s="1236"/>
      <c r="N519" s="1240" t="s">
        <v>1806</v>
      </c>
      <c r="O519" s="1241" t="s">
        <v>4841</v>
      </c>
      <c r="P519" s="910">
        <f t="shared" ref="P519:P582" si="76">D519+E519</f>
        <v>0</v>
      </c>
      <c r="Q519" s="910">
        <f t="shared" ref="Q519:Q582" si="77">L519+M519</f>
        <v>3524</v>
      </c>
      <c r="R519" s="1344">
        <f t="shared" ref="R519:R582" si="78">VLOOKUP(B519,constant_fish_trophic,3,FALSE)</f>
        <v>3.43</v>
      </c>
      <c r="S519" s="1344">
        <f>(1/9)*cnst_fish!$C$7*(1/cnst_fish!$C$8)^(R519-1)</f>
        <v>37.957542106661656</v>
      </c>
      <c r="T519" s="1362">
        <f t="shared" ref="T519:T582" si="79">IF(F519=0,0,Q519/F519*H519*G519)</f>
        <v>11556.819809205555</v>
      </c>
      <c r="W519" s="1612"/>
      <c r="X519" s="1612"/>
      <c r="Y519" s="1613"/>
      <c r="Z519" s="1614"/>
      <c r="AA519" s="1614"/>
      <c r="AB519" s="1615"/>
      <c r="AC519" s="1615"/>
      <c r="AD519" s="583"/>
      <c r="AE519" s="583"/>
    </row>
    <row r="520" spans="1:31" ht="14">
      <c r="A520" s="1384" t="s">
        <v>2233</v>
      </c>
      <c r="B520" s="19" t="s">
        <v>2909</v>
      </c>
      <c r="C520" s="1383">
        <v>3180</v>
      </c>
      <c r="D520" s="1236"/>
      <c r="E520" s="1236"/>
      <c r="F520" s="1344">
        <f>(1/S520)*cnst_fish!$C$6</f>
        <v>4.5613232168782068E-2</v>
      </c>
      <c r="G520" s="1344">
        <f t="shared" si="73"/>
        <v>1</v>
      </c>
      <c r="H520" s="1344">
        <f t="shared" si="73"/>
        <v>0.367192066876738</v>
      </c>
      <c r="I520" s="1344">
        <f t="shared" si="74"/>
        <v>0</v>
      </c>
      <c r="J520" s="902">
        <f t="shared" si="75"/>
        <v>0</v>
      </c>
      <c r="L520" s="1460">
        <v>25470</v>
      </c>
      <c r="M520" s="1236"/>
      <c r="N520" s="1240" t="s">
        <v>1806</v>
      </c>
      <c r="O520" s="1241" t="s">
        <v>4841</v>
      </c>
      <c r="P520" s="910">
        <f t="shared" si="76"/>
        <v>0</v>
      </c>
      <c r="Q520" s="910">
        <f t="shared" si="77"/>
        <v>25470</v>
      </c>
      <c r="R520" s="1344">
        <f t="shared" si="78"/>
        <v>3.82</v>
      </c>
      <c r="S520" s="1344">
        <f>(1/9)*cnst_fish!$C$7*(1/cnst_fish!$C$8)^(R520-1)</f>
        <v>93.174717026712301</v>
      </c>
      <c r="T520" s="1362">
        <f t="shared" si="79"/>
        <v>205036.59790527486</v>
      </c>
      <c r="W520" s="1612"/>
      <c r="X520" s="1612"/>
      <c r="Y520" s="1613"/>
      <c r="Z520" s="1614"/>
      <c r="AA520" s="1614"/>
      <c r="AB520" s="1615"/>
      <c r="AC520" s="1615"/>
      <c r="AD520" s="583"/>
      <c r="AE520" s="583"/>
    </row>
    <row r="521" spans="1:31" ht="14">
      <c r="A521" s="1384" t="s">
        <v>2662</v>
      </c>
      <c r="B521" s="19" t="s">
        <v>2910</v>
      </c>
      <c r="C521" s="1383">
        <v>11849</v>
      </c>
      <c r="D521" s="1236"/>
      <c r="E521" s="1236"/>
      <c r="F521" s="1344">
        <f>(1/S521)*cnst_fish!$C$6</f>
        <v>0.10449387811364928</v>
      </c>
      <c r="G521" s="1344">
        <f t="shared" si="73"/>
        <v>1</v>
      </c>
      <c r="H521" s="1344">
        <f t="shared" si="73"/>
        <v>0.367192066876738</v>
      </c>
      <c r="I521" s="1344">
        <f t="shared" si="74"/>
        <v>0</v>
      </c>
      <c r="J521" s="902">
        <f t="shared" si="75"/>
        <v>0</v>
      </c>
      <c r="L521" s="1460">
        <v>36</v>
      </c>
      <c r="M521" s="1236"/>
      <c r="N521" s="1240" t="s">
        <v>1806</v>
      </c>
      <c r="O521" s="1241" t="s">
        <v>4841</v>
      </c>
      <c r="P521" s="910">
        <f t="shared" si="76"/>
        <v>0</v>
      </c>
      <c r="Q521" s="910">
        <f t="shared" si="77"/>
        <v>36</v>
      </c>
      <c r="R521" s="1344">
        <f t="shared" si="78"/>
        <v>3.46</v>
      </c>
      <c r="S521" s="1344">
        <f>(1/9)*cnst_fish!$C$7*(1/cnst_fish!$C$8)^(R521-1)</f>
        <v>40.672239146657276</v>
      </c>
      <c r="T521" s="1362">
        <f t="shared" si="79"/>
        <v>126.50419953966544</v>
      </c>
      <c r="W521" s="1612"/>
      <c r="X521" s="1612"/>
      <c r="Y521" s="1613"/>
      <c r="Z521" s="1614"/>
      <c r="AA521" s="1614"/>
      <c r="AB521" s="1615"/>
      <c r="AC521" s="1615"/>
      <c r="AD521" s="583"/>
      <c r="AE521" s="583"/>
    </row>
    <row r="522" spans="1:31" ht="14">
      <c r="A522" s="1384" t="s">
        <v>6644</v>
      </c>
      <c r="B522" s="19" t="s">
        <v>6643</v>
      </c>
      <c r="C522" s="1383">
        <v>11865</v>
      </c>
      <c r="D522" s="1236"/>
      <c r="E522" s="1236"/>
      <c r="F522" s="1344">
        <f>(1/S522)*cnst_fish!$C$6</f>
        <v>1.1997502458044034</v>
      </c>
      <c r="G522" s="1344">
        <f t="shared" si="73"/>
        <v>1</v>
      </c>
      <c r="H522" s="1344">
        <f t="shared" si="73"/>
        <v>0.367192066876738</v>
      </c>
      <c r="I522" s="1344">
        <f t="shared" si="74"/>
        <v>0</v>
      </c>
      <c r="J522" s="902">
        <f t="shared" si="75"/>
        <v>0</v>
      </c>
      <c r="L522" s="1460">
        <v>1745</v>
      </c>
      <c r="M522" s="1236"/>
      <c r="N522" s="1240" t="s">
        <v>1806</v>
      </c>
      <c r="O522" s="1241" t="s">
        <v>4841</v>
      </c>
      <c r="P522" s="910">
        <f t="shared" si="76"/>
        <v>0</v>
      </c>
      <c r="Q522" s="910">
        <f t="shared" si="77"/>
        <v>1745</v>
      </c>
      <c r="R522" s="1344">
        <f t="shared" si="78"/>
        <v>2.4</v>
      </c>
      <c r="S522" s="1344">
        <f>(1/9)*cnst_fish!$C$7*(1/cnst_fish!$C$8)^(R522-1)</f>
        <v>3.5424039418724838</v>
      </c>
      <c r="T522" s="1362">
        <f t="shared" si="79"/>
        <v>534.06961902333296</v>
      </c>
      <c r="W522" s="1612"/>
      <c r="X522" s="1612"/>
      <c r="Y522" s="1613"/>
      <c r="Z522" s="1614"/>
      <c r="AA522" s="1614"/>
      <c r="AB522" s="1615"/>
      <c r="AC522" s="1615"/>
      <c r="AD522" s="583"/>
      <c r="AE522" s="583"/>
    </row>
    <row r="523" spans="1:31" ht="14">
      <c r="A523" s="1384" t="s">
        <v>1787</v>
      </c>
      <c r="B523" s="19" t="s">
        <v>4105</v>
      </c>
      <c r="C523" s="1383">
        <v>11866</v>
      </c>
      <c r="D523" s="1236"/>
      <c r="E523" s="1236"/>
      <c r="F523" s="1344">
        <f>(1/S523)*cnst_fish!$C$6</f>
        <v>1.7341667202478851E-2</v>
      </c>
      <c r="G523" s="1344">
        <f t="shared" si="73"/>
        <v>1</v>
      </c>
      <c r="H523" s="1344">
        <f t="shared" si="73"/>
        <v>0.367192066876738</v>
      </c>
      <c r="I523" s="1344">
        <f t="shared" si="74"/>
        <v>0</v>
      </c>
      <c r="J523" s="902">
        <f t="shared" si="75"/>
        <v>0</v>
      </c>
      <c r="L523" s="1460">
        <v>2</v>
      </c>
      <c r="M523" s="1236"/>
      <c r="N523" s="1240" t="s">
        <v>3928</v>
      </c>
      <c r="O523" s="1241" t="s">
        <v>4841</v>
      </c>
      <c r="P523" s="910">
        <f t="shared" si="76"/>
        <v>0</v>
      </c>
      <c r="Q523" s="910">
        <f t="shared" si="77"/>
        <v>2</v>
      </c>
      <c r="R523" s="1344">
        <f t="shared" si="78"/>
        <v>4.24</v>
      </c>
      <c r="S523" s="1344">
        <f>(1/9)*cnst_fish!$C$7*(1/cnst_fish!$C$8)^(R523-1)</f>
        <v>245.0744758492711</v>
      </c>
      <c r="T523" s="1362">
        <f t="shared" si="79"/>
        <v>42.347954506271563</v>
      </c>
      <c r="W523" s="1612"/>
      <c r="X523" s="1612"/>
      <c r="Y523" s="1613"/>
      <c r="Z523" s="1614"/>
      <c r="AA523" s="1614"/>
      <c r="AB523" s="1615"/>
      <c r="AC523" s="1615"/>
      <c r="AD523" s="583"/>
      <c r="AE523" s="583"/>
    </row>
    <row r="524" spans="1:31" ht="14">
      <c r="A524" s="1384" t="s">
        <v>3840</v>
      </c>
      <c r="B524" s="19" t="s">
        <v>1871</v>
      </c>
      <c r="C524" s="1383">
        <v>2291</v>
      </c>
      <c r="D524" s="1236"/>
      <c r="E524" s="1236"/>
      <c r="F524" s="1344">
        <f>(1/S524)*cnst_fish!$C$6</f>
        <v>4.8875458843134996E-2</v>
      </c>
      <c r="G524" s="1344">
        <f t="shared" si="73"/>
        <v>1</v>
      </c>
      <c r="H524" s="1344">
        <f t="shared" si="73"/>
        <v>0.367192066876738</v>
      </c>
      <c r="I524" s="1344">
        <f t="shared" si="74"/>
        <v>0</v>
      </c>
      <c r="J524" s="902">
        <f t="shared" si="75"/>
        <v>0</v>
      </c>
      <c r="L524" s="1460">
        <v>9563</v>
      </c>
      <c r="M524" s="1236"/>
      <c r="N524" s="1240" t="s">
        <v>2438</v>
      </c>
      <c r="O524" s="1241" t="s">
        <v>4841</v>
      </c>
      <c r="P524" s="910">
        <f t="shared" si="76"/>
        <v>0</v>
      </c>
      <c r="Q524" s="910">
        <f t="shared" si="77"/>
        <v>9563</v>
      </c>
      <c r="R524" s="1344">
        <f t="shared" si="78"/>
        <v>3.79</v>
      </c>
      <c r="S524" s="1344">
        <f>(1/9)*cnst_fish!$C$7*(1/cnst_fish!$C$8)^(R524-1)</f>
        <v>86.955705390721903</v>
      </c>
      <c r="T524" s="1362">
        <f t="shared" si="79"/>
        <v>71845.008080890097</v>
      </c>
      <c r="W524" s="1612"/>
      <c r="X524" s="1612"/>
      <c r="Y524" s="1613"/>
      <c r="Z524" s="1614"/>
      <c r="AA524" s="1614"/>
      <c r="AB524" s="1615"/>
      <c r="AC524" s="1615"/>
      <c r="AD524" s="583"/>
      <c r="AE524" s="583"/>
    </row>
    <row r="525" spans="1:31" ht="14">
      <c r="A525" s="1384" t="s">
        <v>5343</v>
      </c>
      <c r="B525" s="19" t="s">
        <v>1872</v>
      </c>
      <c r="C525" s="1383">
        <v>3087</v>
      </c>
      <c r="D525" s="1236"/>
      <c r="E525" s="1236"/>
      <c r="F525" s="1344">
        <f>(1/S525)*cnst_fish!$C$6</f>
        <v>3.460117504783787E-2</v>
      </c>
      <c r="G525" s="1344">
        <f t="shared" si="73"/>
        <v>1</v>
      </c>
      <c r="H525" s="1344">
        <f t="shared" si="73"/>
        <v>0.367192066876738</v>
      </c>
      <c r="I525" s="1344">
        <f t="shared" si="74"/>
        <v>0</v>
      </c>
      <c r="J525" s="902">
        <f t="shared" si="75"/>
        <v>0</v>
      </c>
      <c r="L525" s="1460">
        <v>1264</v>
      </c>
      <c r="M525" s="1236"/>
      <c r="N525" s="1240" t="s">
        <v>2438</v>
      </c>
      <c r="O525" s="1241" t="s">
        <v>4841</v>
      </c>
      <c r="P525" s="910">
        <f t="shared" si="76"/>
        <v>0</v>
      </c>
      <c r="Q525" s="910">
        <f t="shared" si="77"/>
        <v>1264</v>
      </c>
      <c r="R525" s="1344">
        <f t="shared" si="78"/>
        <v>3.94</v>
      </c>
      <c r="S525" s="1344">
        <f>(1/9)*cnst_fish!$C$7*(1/cnst_fish!$C$8)^(R525-1)</f>
        <v>122.82819858354985</v>
      </c>
      <c r="T525" s="1362">
        <f t="shared" si="79"/>
        <v>13413.728634663783</v>
      </c>
      <c r="W525" s="1612"/>
      <c r="X525" s="1612"/>
      <c r="Y525" s="1613"/>
      <c r="Z525" s="1614"/>
      <c r="AA525" s="1614"/>
      <c r="AB525" s="1615"/>
      <c r="AC525" s="1615"/>
      <c r="AD525" s="583"/>
      <c r="AE525" s="583"/>
    </row>
    <row r="526" spans="1:31" ht="14">
      <c r="A526" s="1384" t="s">
        <v>4166</v>
      </c>
      <c r="B526" s="19" t="s">
        <v>1873</v>
      </c>
      <c r="C526" s="1383">
        <v>2290</v>
      </c>
      <c r="D526" s="1236"/>
      <c r="E526" s="1236"/>
      <c r="F526" s="1344">
        <f>(1/S526)*cnst_fish!$C$6</f>
        <v>4.1599762155986937E-2</v>
      </c>
      <c r="G526" s="1344">
        <f t="shared" si="73"/>
        <v>1</v>
      </c>
      <c r="H526" s="1344">
        <f t="shared" si="73"/>
        <v>0.367192066876738</v>
      </c>
      <c r="I526" s="1344">
        <f t="shared" si="74"/>
        <v>0</v>
      </c>
      <c r="J526" s="902">
        <f t="shared" si="75"/>
        <v>0</v>
      </c>
      <c r="L526" s="1460">
        <v>712</v>
      </c>
      <c r="M526" s="1236">
        <v>659</v>
      </c>
      <c r="N526" s="1240" t="s">
        <v>2438</v>
      </c>
      <c r="O526" s="1241" t="s">
        <v>4841</v>
      </c>
      <c r="P526" s="910">
        <f t="shared" si="76"/>
        <v>0</v>
      </c>
      <c r="Q526" s="910">
        <f t="shared" si="77"/>
        <v>1371</v>
      </c>
      <c r="R526" s="1344">
        <f t="shared" si="78"/>
        <v>3.86</v>
      </c>
      <c r="S526" s="1344">
        <f>(1/9)*cnst_fish!$C$7*(1/cnst_fish!$C$8)^(R526-1)</f>
        <v>102.16404565160117</v>
      </c>
      <c r="T526" s="1362">
        <f t="shared" si="79"/>
        <v>12101.519277930698</v>
      </c>
      <c r="W526" s="1612"/>
      <c r="X526" s="1612"/>
      <c r="Y526" s="1613"/>
      <c r="Z526" s="1614"/>
      <c r="AA526" s="1614"/>
      <c r="AB526" s="1615"/>
      <c r="AC526" s="1615"/>
      <c r="AD526" s="583"/>
      <c r="AE526" s="583"/>
    </row>
    <row r="527" spans="1:31" ht="14">
      <c r="A527" s="1384" t="s">
        <v>3076</v>
      </c>
      <c r="B527" s="19" t="s">
        <v>1498</v>
      </c>
      <c r="C527" s="1383">
        <v>3368</v>
      </c>
      <c r="D527" s="1236"/>
      <c r="E527" s="1236"/>
      <c r="F527" s="1344">
        <f>(1/S527)*cnst_fish!$C$6</f>
        <v>0.14424170509541331</v>
      </c>
      <c r="G527" s="1344">
        <f t="shared" si="73"/>
        <v>1</v>
      </c>
      <c r="H527" s="1344">
        <f t="shared" si="73"/>
        <v>0.367192066876738</v>
      </c>
      <c r="I527" s="1344">
        <f t="shared" si="74"/>
        <v>0</v>
      </c>
      <c r="J527" s="902">
        <f t="shared" si="75"/>
        <v>0</v>
      </c>
      <c r="L527" s="1460">
        <v>1184</v>
      </c>
      <c r="M527" s="1236"/>
      <c r="N527" s="1240" t="s">
        <v>1809</v>
      </c>
      <c r="O527" s="1241" t="s">
        <v>4841</v>
      </c>
      <c r="P527" s="910">
        <f t="shared" si="76"/>
        <v>0</v>
      </c>
      <c r="Q527" s="910">
        <f t="shared" si="77"/>
        <v>1184</v>
      </c>
      <c r="R527" s="1344">
        <f t="shared" si="78"/>
        <v>3.32</v>
      </c>
      <c r="S527" s="1344">
        <f>(1/9)*cnst_fish!$C$7*(1/cnst_fish!$C$8)^(R527-1)</f>
        <v>29.464432614608246</v>
      </c>
      <c r="T527" s="1362">
        <f t="shared" si="79"/>
        <v>3014.0756232358376</v>
      </c>
      <c r="W527" s="1612"/>
      <c r="X527" s="1612"/>
      <c r="Y527" s="1613"/>
      <c r="Z527" s="1614"/>
      <c r="AA527" s="1614"/>
      <c r="AB527" s="1615"/>
      <c r="AC527" s="1615"/>
      <c r="AD527" s="583"/>
      <c r="AE527" s="583"/>
    </row>
    <row r="528" spans="1:31" ht="14">
      <c r="A528" s="1384" t="s">
        <v>4721</v>
      </c>
      <c r="B528" s="19" t="s">
        <v>2028</v>
      </c>
      <c r="C528" s="1383">
        <v>3639</v>
      </c>
      <c r="D528" s="1236"/>
      <c r="E528" s="1236"/>
      <c r="F528" s="1344">
        <f>(1/S528)*cnst_fish!$C$6</f>
        <v>30.136363636363644</v>
      </c>
      <c r="G528" s="1344">
        <f t="shared" ref="G528:H547" si="80">G$7</f>
        <v>1</v>
      </c>
      <c r="H528" s="1344">
        <f t="shared" si="80"/>
        <v>0.367192066876738</v>
      </c>
      <c r="I528" s="1344">
        <f t="shared" si="74"/>
        <v>0</v>
      </c>
      <c r="J528" s="902">
        <f t="shared" si="75"/>
        <v>0</v>
      </c>
      <c r="L528" s="1460">
        <v>0</v>
      </c>
      <c r="M528" s="1236"/>
      <c r="N528" s="1240" t="s">
        <v>1808</v>
      </c>
      <c r="O528" s="1241" t="s">
        <v>4831</v>
      </c>
      <c r="P528" s="910">
        <f t="shared" si="76"/>
        <v>0</v>
      </c>
      <c r="Q528" s="910">
        <f t="shared" si="77"/>
        <v>0</v>
      </c>
      <c r="R528" s="1344">
        <f t="shared" si="78"/>
        <v>1</v>
      </c>
      <c r="S528" s="1344">
        <f>(1/9)*cnst_fish!$C$7*(1/cnst_fish!$C$8)^(R528-1)</f>
        <v>0.141025641025641</v>
      </c>
      <c r="T528" s="1362">
        <f t="shared" si="79"/>
        <v>0</v>
      </c>
      <c r="W528" s="1612"/>
      <c r="X528" s="1612"/>
      <c r="Y528" s="1613"/>
      <c r="Z528" s="1614"/>
      <c r="AA528" s="1614"/>
      <c r="AB528" s="1615"/>
      <c r="AC528" s="1615"/>
      <c r="AD528" s="583"/>
      <c r="AE528" s="583"/>
    </row>
    <row r="529" spans="1:31" ht="14">
      <c r="A529" s="1384" t="s">
        <v>338</v>
      </c>
      <c r="B529" s="19" t="s">
        <v>339</v>
      </c>
      <c r="C529" s="1383">
        <v>3176</v>
      </c>
      <c r="D529" s="1236"/>
      <c r="E529" s="1236"/>
      <c r="F529" s="1344">
        <f>(1/S529)*cnst_fish!$C$6</f>
        <v>0.11997502458044032</v>
      </c>
      <c r="G529" s="1344">
        <f t="shared" si="80"/>
        <v>1</v>
      </c>
      <c r="H529" s="1344">
        <f t="shared" si="80"/>
        <v>0.367192066876738</v>
      </c>
      <c r="I529" s="1344">
        <f t="shared" si="74"/>
        <v>0</v>
      </c>
      <c r="J529" s="902">
        <f t="shared" si="75"/>
        <v>0</v>
      </c>
      <c r="L529" s="1460">
        <v>1179</v>
      </c>
      <c r="M529" s="1236"/>
      <c r="N529" s="1240" t="s">
        <v>1806</v>
      </c>
      <c r="O529" s="1241" t="s">
        <v>4841</v>
      </c>
      <c r="P529" s="910">
        <f t="shared" si="76"/>
        <v>0</v>
      </c>
      <c r="Q529" s="910">
        <f t="shared" si="77"/>
        <v>1179</v>
      </c>
      <c r="R529" s="1344">
        <f t="shared" si="78"/>
        <v>3.4</v>
      </c>
      <c r="S529" s="1344">
        <f>(1/9)*cnst_fish!$C$7*(1/cnst_fish!$C$8)^(R529-1)</f>
        <v>35.424039418724846</v>
      </c>
      <c r="T529" s="1362">
        <f t="shared" si="79"/>
        <v>3608.4130706504852</v>
      </c>
      <c r="W529" s="1612"/>
      <c r="X529" s="1612"/>
      <c r="Y529" s="1613"/>
      <c r="Z529" s="1614"/>
      <c r="AA529" s="1614"/>
      <c r="AB529" s="1615"/>
      <c r="AC529" s="1615"/>
      <c r="AD529" s="583"/>
      <c r="AE529" s="583"/>
    </row>
    <row r="530" spans="1:31" ht="14">
      <c r="A530" s="1384" t="s">
        <v>5527</v>
      </c>
      <c r="B530" s="19" t="s">
        <v>1874</v>
      </c>
      <c r="C530" s="1383">
        <v>11894</v>
      </c>
      <c r="D530" s="1236"/>
      <c r="E530" s="1236"/>
      <c r="F530" s="1344">
        <f>(1/S530)*cnst_fish!$C$6</f>
        <v>0.22340394999204924</v>
      </c>
      <c r="G530" s="1344">
        <f t="shared" si="80"/>
        <v>1</v>
      </c>
      <c r="H530" s="1344">
        <f t="shared" si="80"/>
        <v>0.367192066876738</v>
      </c>
      <c r="I530" s="1344">
        <f t="shared" si="74"/>
        <v>0</v>
      </c>
      <c r="J530" s="902">
        <f t="shared" si="75"/>
        <v>0</v>
      </c>
      <c r="L530" s="1460">
        <v>31</v>
      </c>
      <c r="M530" s="1236"/>
      <c r="N530" s="1240" t="s">
        <v>1806</v>
      </c>
      <c r="O530" s="1241" t="s">
        <v>4841</v>
      </c>
      <c r="P530" s="910">
        <f t="shared" si="76"/>
        <v>0</v>
      </c>
      <c r="Q530" s="910">
        <f t="shared" si="77"/>
        <v>31</v>
      </c>
      <c r="R530" s="1344">
        <f t="shared" si="78"/>
        <v>3.13</v>
      </c>
      <c r="S530" s="1344">
        <f>(1/9)*cnst_fish!$C$7*(1/cnst_fish!$C$8)^(R530-1)</f>
        <v>19.023835523728447</v>
      </c>
      <c r="T530" s="1362">
        <f t="shared" si="79"/>
        <v>50.952340249955242</v>
      </c>
      <c r="W530" s="1612"/>
      <c r="X530" s="1612"/>
      <c r="Y530" s="1613"/>
      <c r="Z530" s="1614"/>
      <c r="AA530" s="1614"/>
      <c r="AB530" s="1615"/>
      <c r="AC530" s="1615"/>
      <c r="AD530" s="583"/>
      <c r="AE530" s="583"/>
    </row>
    <row r="531" spans="1:31" ht="14">
      <c r="A531" s="1384" t="s">
        <v>4409</v>
      </c>
      <c r="B531" s="19" t="s">
        <v>6840</v>
      </c>
      <c r="C531" s="1383">
        <v>3178</v>
      </c>
      <c r="D531" s="1236"/>
      <c r="E531" s="1236"/>
      <c r="F531" s="1344">
        <f>(1/S531)*cnst_fish!$C$6</f>
        <v>3.0136363636363641</v>
      </c>
      <c r="G531" s="1344">
        <f t="shared" si="80"/>
        <v>1</v>
      </c>
      <c r="H531" s="1344">
        <f t="shared" si="80"/>
        <v>0.367192066876738</v>
      </c>
      <c r="I531" s="1344">
        <f t="shared" si="74"/>
        <v>0</v>
      </c>
      <c r="J531" s="902">
        <f t="shared" si="75"/>
        <v>0</v>
      </c>
      <c r="L531" s="1460">
        <v>30</v>
      </c>
      <c r="M531" s="1236"/>
      <c r="N531" s="1240" t="s">
        <v>1806</v>
      </c>
      <c r="O531" s="1241" t="s">
        <v>4841</v>
      </c>
      <c r="P531" s="910">
        <f t="shared" si="76"/>
        <v>0</v>
      </c>
      <c r="Q531" s="910">
        <f t="shared" si="77"/>
        <v>30</v>
      </c>
      <c r="R531" s="1344">
        <f t="shared" si="78"/>
        <v>2</v>
      </c>
      <c r="S531" s="1344">
        <f>(1/9)*cnst_fish!$C$7*(1/cnst_fish!$C$8)^(R531-1)</f>
        <v>1.4102564102564099</v>
      </c>
      <c r="T531" s="1362">
        <f t="shared" si="79"/>
        <v>3.6553056431168485</v>
      </c>
      <c r="W531" s="1612"/>
      <c r="X531" s="1612"/>
      <c r="Y531" s="1613"/>
      <c r="Z531" s="1614"/>
      <c r="AA531" s="1614"/>
      <c r="AB531" s="1615"/>
      <c r="AC531" s="1615"/>
      <c r="AD531" s="583"/>
      <c r="AE531" s="583"/>
    </row>
    <row r="532" spans="1:31" ht="14">
      <c r="A532" s="1384" t="s">
        <v>1104</v>
      </c>
      <c r="B532" s="19" t="s">
        <v>3323</v>
      </c>
      <c r="C532" s="1383">
        <v>2370</v>
      </c>
      <c r="D532" s="1236"/>
      <c r="E532" s="1236"/>
      <c r="F532" s="1344">
        <f>(1/S532)*cnst_fish!$C$6</f>
        <v>0.27484690295134895</v>
      </c>
      <c r="G532" s="1344">
        <f t="shared" si="80"/>
        <v>1</v>
      </c>
      <c r="H532" s="1344">
        <f t="shared" si="80"/>
        <v>0.367192066876738</v>
      </c>
      <c r="I532" s="1344">
        <f t="shared" si="74"/>
        <v>0</v>
      </c>
      <c r="J532" s="902">
        <f t="shared" si="75"/>
        <v>0</v>
      </c>
      <c r="L532" s="1460">
        <v>3773</v>
      </c>
      <c r="M532" s="1236"/>
      <c r="N532" s="1240" t="s">
        <v>1806</v>
      </c>
      <c r="O532" s="1241" t="s">
        <v>4841</v>
      </c>
      <c r="P532" s="910">
        <f t="shared" si="76"/>
        <v>0</v>
      </c>
      <c r="Q532" s="910">
        <f t="shared" si="77"/>
        <v>3773</v>
      </c>
      <c r="R532" s="1344">
        <f t="shared" si="78"/>
        <v>3.04</v>
      </c>
      <c r="S532" s="1344">
        <f>(1/9)*cnst_fish!$C$7*(1/cnst_fish!$C$8)^(R532-1)</f>
        <v>15.463154048173134</v>
      </c>
      <c r="T532" s="1362">
        <f t="shared" si="79"/>
        <v>5040.6813882533243</v>
      </c>
      <c r="W532" s="1612"/>
      <c r="X532" s="1612"/>
      <c r="Y532" s="1613"/>
      <c r="Z532" s="1614"/>
      <c r="AA532" s="1614"/>
      <c r="AB532" s="1615"/>
      <c r="AC532" s="1615"/>
      <c r="AD532" s="583"/>
      <c r="AE532" s="583"/>
    </row>
    <row r="533" spans="1:31" ht="14">
      <c r="A533" s="1384" t="s">
        <v>747</v>
      </c>
      <c r="B533" s="19" t="s">
        <v>3324</v>
      </c>
      <c r="C533" s="1383">
        <v>3175</v>
      </c>
      <c r="D533" s="1236"/>
      <c r="E533" s="1236"/>
      <c r="F533" s="1344">
        <f>(1/S533)*cnst_fish!$C$6</f>
        <v>0.2878000384237327</v>
      </c>
      <c r="G533" s="1344">
        <f t="shared" si="80"/>
        <v>1</v>
      </c>
      <c r="H533" s="1344">
        <f t="shared" si="80"/>
        <v>0.367192066876738</v>
      </c>
      <c r="I533" s="1344">
        <f t="shared" si="74"/>
        <v>0</v>
      </c>
      <c r="J533" s="902">
        <f t="shared" si="75"/>
        <v>0</v>
      </c>
      <c r="L533" s="1460">
        <v>3787</v>
      </c>
      <c r="M533" s="1236"/>
      <c r="N533" s="1240" t="s">
        <v>1806</v>
      </c>
      <c r="O533" s="1241" t="s">
        <v>4841</v>
      </c>
      <c r="P533" s="910">
        <f t="shared" si="76"/>
        <v>0</v>
      </c>
      <c r="Q533" s="910">
        <f t="shared" si="77"/>
        <v>3787</v>
      </c>
      <c r="R533" s="1344">
        <f t="shared" si="78"/>
        <v>3.02</v>
      </c>
      <c r="S533" s="1344">
        <f>(1/9)*cnst_fish!$C$7*(1/cnst_fish!$C$8)^(R533-1)</f>
        <v>14.767197472512686</v>
      </c>
      <c r="T533" s="1362">
        <f t="shared" si="79"/>
        <v>4831.6753704350376</v>
      </c>
      <c r="W533" s="1612"/>
      <c r="X533" s="1612"/>
      <c r="Y533" s="1613"/>
      <c r="Z533" s="1614"/>
      <c r="AA533" s="1614"/>
      <c r="AB533" s="1615"/>
      <c r="AC533" s="1615"/>
      <c r="AD533" s="583"/>
      <c r="AE533" s="583"/>
    </row>
    <row r="534" spans="1:31" ht="14">
      <c r="A534" s="1384" t="s">
        <v>387</v>
      </c>
      <c r="B534" s="19" t="s">
        <v>4949</v>
      </c>
      <c r="C534" s="1383">
        <v>3177</v>
      </c>
      <c r="D534" s="1236"/>
      <c r="E534" s="1236"/>
      <c r="F534" s="1344">
        <f>(1/S534)*cnst_fish!$C$6</f>
        <v>0.17341667202478855</v>
      </c>
      <c r="G534" s="1344">
        <f t="shared" si="80"/>
        <v>1</v>
      </c>
      <c r="H534" s="1344">
        <f t="shared" si="80"/>
        <v>0.367192066876738</v>
      </c>
      <c r="I534" s="1344">
        <f t="shared" si="74"/>
        <v>0</v>
      </c>
      <c r="J534" s="902">
        <f t="shared" si="75"/>
        <v>0</v>
      </c>
      <c r="L534" s="1460">
        <v>452</v>
      </c>
      <c r="M534" s="1236"/>
      <c r="N534" s="1240" t="s">
        <v>1806</v>
      </c>
      <c r="O534" s="1241" t="s">
        <v>4841</v>
      </c>
      <c r="P534" s="910">
        <f t="shared" si="76"/>
        <v>0</v>
      </c>
      <c r="Q534" s="910">
        <f t="shared" si="77"/>
        <v>452</v>
      </c>
      <c r="R534" s="1344">
        <f t="shared" si="78"/>
        <v>3.24</v>
      </c>
      <c r="S534" s="1344">
        <f>(1/9)*cnst_fish!$C$7*(1/cnst_fish!$C$8)^(R534-1)</f>
        <v>24.507447584927103</v>
      </c>
      <c r="T534" s="1362">
        <f t="shared" si="79"/>
        <v>957.06377184173698</v>
      </c>
      <c r="W534" s="1612"/>
      <c r="X534" s="1612"/>
      <c r="Y534" s="1613"/>
      <c r="Z534" s="1614"/>
      <c r="AA534" s="1614"/>
      <c r="AB534" s="1615"/>
      <c r="AC534" s="1615"/>
      <c r="AD534" s="583"/>
      <c r="AE534" s="583"/>
    </row>
    <row r="535" spans="1:31" ht="14">
      <c r="A535" s="1384" t="s">
        <v>6948</v>
      </c>
      <c r="B535" s="19" t="s">
        <v>6947</v>
      </c>
      <c r="C535" s="1383">
        <v>19255</v>
      </c>
      <c r="D535" s="1236"/>
      <c r="E535" s="1236"/>
      <c r="F535" s="1344">
        <f>(1/S535)*cnst_fish!$C$6</f>
        <v>3.0136363636363641</v>
      </c>
      <c r="G535" s="1344">
        <f t="shared" si="80"/>
        <v>1</v>
      </c>
      <c r="H535" s="1344">
        <f t="shared" si="80"/>
        <v>0.367192066876738</v>
      </c>
      <c r="I535" s="1344">
        <f t="shared" si="74"/>
        <v>0</v>
      </c>
      <c r="J535" s="902">
        <f t="shared" si="75"/>
        <v>0</v>
      </c>
      <c r="L535" s="1460">
        <v>628</v>
      </c>
      <c r="M535" s="1236"/>
      <c r="N535" s="1240" t="s">
        <v>1806</v>
      </c>
      <c r="O535" s="1241" t="s">
        <v>4841</v>
      </c>
      <c r="P535" s="910">
        <f t="shared" si="76"/>
        <v>0</v>
      </c>
      <c r="Q535" s="910">
        <f t="shared" si="77"/>
        <v>628</v>
      </c>
      <c r="R535" s="1344">
        <f t="shared" si="78"/>
        <v>2</v>
      </c>
      <c r="S535" s="1344">
        <f>(1/9)*cnst_fish!$C$7*(1/cnst_fish!$C$8)^(R535-1)</f>
        <v>1.4102564102564099</v>
      </c>
      <c r="T535" s="1362">
        <f t="shared" si="79"/>
        <v>76.517731462579363</v>
      </c>
      <c r="W535" s="1612"/>
      <c r="X535" s="1612"/>
      <c r="Y535" s="1613"/>
      <c r="Z535" s="1614"/>
      <c r="AA535" s="1614"/>
      <c r="AB535" s="1615"/>
      <c r="AC535" s="1615"/>
      <c r="AD535" s="583"/>
      <c r="AE535" s="583"/>
    </row>
    <row r="536" spans="1:31" ht="14">
      <c r="A536" s="1384" t="s">
        <v>6737</v>
      </c>
      <c r="B536" s="19" t="s">
        <v>6736</v>
      </c>
      <c r="C536" s="1383">
        <v>19222</v>
      </c>
      <c r="D536" s="1236"/>
      <c r="E536" s="1236"/>
      <c r="F536" s="1344">
        <f>(1/S536)*cnst_fish!$C$6</f>
        <v>3.0136363636363641</v>
      </c>
      <c r="G536" s="1344">
        <f t="shared" si="80"/>
        <v>1</v>
      </c>
      <c r="H536" s="1344">
        <f t="shared" si="80"/>
        <v>0.367192066876738</v>
      </c>
      <c r="I536" s="1344">
        <f t="shared" si="74"/>
        <v>0</v>
      </c>
      <c r="J536" s="902">
        <f t="shared" si="75"/>
        <v>0</v>
      </c>
      <c r="L536" s="1460">
        <v>580</v>
      </c>
      <c r="M536" s="1236"/>
      <c r="N536" s="1240" t="s">
        <v>1806</v>
      </c>
      <c r="O536" s="1241" t="s">
        <v>4841</v>
      </c>
      <c r="P536" s="910">
        <f t="shared" si="76"/>
        <v>0</v>
      </c>
      <c r="Q536" s="910">
        <f t="shared" si="77"/>
        <v>580</v>
      </c>
      <c r="R536" s="1344">
        <f t="shared" si="78"/>
        <v>2</v>
      </c>
      <c r="S536" s="1344">
        <f>(1/9)*cnst_fish!$C$7*(1/cnst_fish!$C$8)^(R536-1)</f>
        <v>1.4102564102564099</v>
      </c>
      <c r="T536" s="1362">
        <f t="shared" si="79"/>
        <v>70.669242433592402</v>
      </c>
      <c r="W536" s="1612"/>
      <c r="X536" s="1612"/>
      <c r="Y536" s="1613"/>
      <c r="Z536" s="1614"/>
      <c r="AA536" s="1614"/>
      <c r="AB536" s="1615"/>
      <c r="AC536" s="1615"/>
      <c r="AD536" s="583"/>
      <c r="AE536" s="583"/>
    </row>
    <row r="537" spans="1:31" ht="14">
      <c r="A537" s="1384" t="s">
        <v>3564</v>
      </c>
      <c r="B537" s="19" t="s">
        <v>4106</v>
      </c>
      <c r="C537" s="1383">
        <v>2439</v>
      </c>
      <c r="D537" s="1236">
        <v>0</v>
      </c>
      <c r="E537" s="1236"/>
      <c r="F537" s="1344">
        <f>(1/S537)*cnst_fish!$C$6</f>
        <v>3.304386563831508E-2</v>
      </c>
      <c r="G537" s="1344">
        <f t="shared" si="80"/>
        <v>1</v>
      </c>
      <c r="H537" s="1344">
        <f t="shared" si="80"/>
        <v>0.367192066876738</v>
      </c>
      <c r="I537" s="1344">
        <f t="shared" si="74"/>
        <v>0</v>
      </c>
      <c r="J537" s="902">
        <f t="shared" si="75"/>
        <v>0</v>
      </c>
      <c r="L537" s="1460">
        <v>22654</v>
      </c>
      <c r="M537" s="1236"/>
      <c r="N537" s="1240" t="s">
        <v>4208</v>
      </c>
      <c r="O537" s="1241" t="s">
        <v>4841</v>
      </c>
      <c r="P537" s="910">
        <f t="shared" si="76"/>
        <v>0</v>
      </c>
      <c r="Q537" s="910">
        <f t="shared" si="77"/>
        <v>22654</v>
      </c>
      <c r="R537" s="1344">
        <f t="shared" si="78"/>
        <v>3.96</v>
      </c>
      <c r="S537" s="1344">
        <f>(1/9)*cnst_fish!$C$7*(1/cnst_fish!$C$8)^(R537-1)</f>
        <v>128.61691324250009</v>
      </c>
      <c r="T537" s="1362">
        <f t="shared" si="79"/>
        <v>251737.16580484738</v>
      </c>
      <c r="W537" s="1612"/>
      <c r="X537" s="1612"/>
      <c r="Y537" s="1613"/>
      <c r="Z537" s="1614"/>
      <c r="AA537" s="1614"/>
      <c r="AB537" s="1615"/>
      <c r="AC537" s="1615"/>
      <c r="AD537" s="583"/>
      <c r="AE537" s="583"/>
    </row>
    <row r="538" spans="1:31" ht="14">
      <c r="A538" s="1384" t="s">
        <v>1440</v>
      </c>
      <c r="B538" s="19" t="s">
        <v>4107</v>
      </c>
      <c r="C538" s="1383">
        <v>2438</v>
      </c>
      <c r="D538" s="1236">
        <v>0</v>
      </c>
      <c r="E538" s="1236"/>
      <c r="F538" s="1344">
        <f>(1/S538)*cnst_fish!$C$6</f>
        <v>1.0692785320993655E-2</v>
      </c>
      <c r="G538" s="1344">
        <f t="shared" si="80"/>
        <v>1</v>
      </c>
      <c r="H538" s="1344">
        <f t="shared" si="80"/>
        <v>0.367192066876738</v>
      </c>
      <c r="I538" s="1344">
        <f t="shared" si="74"/>
        <v>0</v>
      </c>
      <c r="J538" s="902">
        <f t="shared" si="75"/>
        <v>0</v>
      </c>
      <c r="L538" s="1460">
        <v>4065</v>
      </c>
      <c r="M538" s="1236"/>
      <c r="N538" s="1240" t="s">
        <v>4208</v>
      </c>
      <c r="O538" s="1241" t="s">
        <v>4841</v>
      </c>
      <c r="P538" s="910">
        <f t="shared" si="76"/>
        <v>0</v>
      </c>
      <c r="Q538" s="910">
        <f t="shared" si="77"/>
        <v>4065</v>
      </c>
      <c r="R538" s="1344">
        <f t="shared" si="78"/>
        <v>4.45</v>
      </c>
      <c r="S538" s="1344">
        <f>(1/9)*cnst_fish!$C$7*(1/cnst_fish!$C$8)^(R538-1)</f>
        <v>397.46425953729499</v>
      </c>
      <c r="T538" s="1362">
        <f t="shared" si="79"/>
        <v>139592.79149871055</v>
      </c>
      <c r="W538" s="1612"/>
      <c r="X538" s="1612"/>
      <c r="Y538" s="1613"/>
      <c r="Z538" s="1614"/>
      <c r="AA538" s="1614"/>
      <c r="AB538" s="1615"/>
      <c r="AC538" s="1615"/>
      <c r="AD538" s="583"/>
      <c r="AE538" s="583"/>
    </row>
    <row r="539" spans="1:31" ht="14">
      <c r="A539" s="1384" t="s">
        <v>928</v>
      </c>
      <c r="B539" s="19" t="s">
        <v>3215</v>
      </c>
      <c r="C539" s="1383">
        <v>18709</v>
      </c>
      <c r="D539" s="1236"/>
      <c r="E539" s="1236"/>
      <c r="F539" s="1344">
        <f>(1/S539)*cnst_fish!$C$6</f>
        <v>1.3461419163458568</v>
      </c>
      <c r="G539" s="1344">
        <f t="shared" si="80"/>
        <v>1</v>
      </c>
      <c r="H539" s="1344">
        <f t="shared" si="80"/>
        <v>0.367192066876738</v>
      </c>
      <c r="I539" s="1344">
        <f t="shared" si="74"/>
        <v>0</v>
      </c>
      <c r="J539" s="902">
        <f t="shared" si="75"/>
        <v>0</v>
      </c>
      <c r="L539" s="1460"/>
      <c r="M539" s="1236">
        <v>8952</v>
      </c>
      <c r="N539" s="1240" t="s">
        <v>1806</v>
      </c>
      <c r="O539" s="1241" t="s">
        <v>4845</v>
      </c>
      <c r="P539" s="910">
        <f t="shared" si="76"/>
        <v>0</v>
      </c>
      <c r="Q539" s="910">
        <f t="shared" si="77"/>
        <v>8952</v>
      </c>
      <c r="R539" s="1344">
        <f t="shared" si="78"/>
        <v>2.35</v>
      </c>
      <c r="S539" s="1344">
        <f>(1/9)*cnst_fish!$C$7*(1/cnst_fish!$C$8)^(R539-1)</f>
        <v>3.1571708364425306</v>
      </c>
      <c r="T539" s="1362">
        <f t="shared" si="79"/>
        <v>2441.869867334271</v>
      </c>
      <c r="W539" s="1612"/>
      <c r="X539" s="1612"/>
      <c r="Y539" s="1613"/>
      <c r="Z539" s="1614"/>
      <c r="AA539" s="1614"/>
      <c r="AB539" s="1615"/>
      <c r="AC539" s="1615"/>
      <c r="AD539" s="583"/>
      <c r="AE539" s="583"/>
    </row>
    <row r="540" spans="1:31" ht="14">
      <c r="A540" s="1585" t="s">
        <v>8536</v>
      </c>
      <c r="B540" s="1586" t="s">
        <v>8537</v>
      </c>
      <c r="C540" s="1383">
        <v>11925</v>
      </c>
      <c r="D540" s="1236"/>
      <c r="E540" s="1236"/>
      <c r="F540" s="1344">
        <f>(1/S540)*cnst_fish!$C$6</f>
        <v>3.7939434000887833E-2</v>
      </c>
      <c r="G540" s="1344">
        <f t="shared" si="80"/>
        <v>1</v>
      </c>
      <c r="H540" s="1344">
        <f t="shared" si="80"/>
        <v>0.367192066876738</v>
      </c>
      <c r="I540" s="1344">
        <f t="shared" si="74"/>
        <v>0</v>
      </c>
      <c r="J540" s="902">
        <f t="shared" si="75"/>
        <v>0</v>
      </c>
      <c r="L540" s="1460">
        <v>3449</v>
      </c>
      <c r="M540" s="1236"/>
      <c r="N540" s="1240" t="s">
        <v>1806</v>
      </c>
      <c r="O540" s="1241" t="s">
        <v>4841</v>
      </c>
      <c r="P540" s="910">
        <f t="shared" si="76"/>
        <v>0</v>
      </c>
      <c r="Q540" s="910">
        <f t="shared" si="77"/>
        <v>3449</v>
      </c>
      <c r="R540" s="1344">
        <f t="shared" si="78"/>
        <v>3.9</v>
      </c>
      <c r="S540" s="1344">
        <f>(1/9)*cnst_fish!$C$7*(1/cnst_fish!$C$8)^(R540-1)</f>
        <v>112.02064848675771</v>
      </c>
      <c r="T540" s="1362">
        <f t="shared" si="79"/>
        <v>33380.715132129619</v>
      </c>
      <c r="W540" s="1616"/>
      <c r="X540" s="1616"/>
      <c r="Y540" s="1613"/>
      <c r="Z540" s="1614"/>
      <c r="AA540" s="1614"/>
      <c r="AB540" s="1615"/>
      <c r="AC540" s="1615"/>
      <c r="AD540" s="583"/>
      <c r="AE540" s="583"/>
    </row>
    <row r="541" spans="1:31" ht="14">
      <c r="A541" s="1384" t="s">
        <v>3616</v>
      </c>
      <c r="B541" s="19" t="s">
        <v>2226</v>
      </c>
      <c r="C541" s="1383">
        <v>3548</v>
      </c>
      <c r="D541" s="1236"/>
      <c r="E541" s="1236"/>
      <c r="F541" s="1344">
        <f>(1/S541)*cnst_fish!$C$6</f>
        <v>2.3938164528281742</v>
      </c>
      <c r="G541" s="1344">
        <f t="shared" si="80"/>
        <v>1</v>
      </c>
      <c r="H541" s="1344">
        <f t="shared" si="80"/>
        <v>0.367192066876738</v>
      </c>
      <c r="I541" s="1344">
        <f t="shared" si="74"/>
        <v>0</v>
      </c>
      <c r="J541" s="902">
        <f t="shared" si="75"/>
        <v>0</v>
      </c>
      <c r="L541" s="1460">
        <v>891</v>
      </c>
      <c r="M541" s="1236"/>
      <c r="N541" s="1240" t="s">
        <v>1804</v>
      </c>
      <c r="O541" s="1241" t="s">
        <v>4851</v>
      </c>
      <c r="P541" s="910">
        <f t="shared" si="76"/>
        <v>0</v>
      </c>
      <c r="Q541" s="910">
        <f t="shared" si="77"/>
        <v>891</v>
      </c>
      <c r="R541" s="1344">
        <f t="shared" si="78"/>
        <v>2.1</v>
      </c>
      <c r="S541" s="1344">
        <f>(1/9)*cnst_fish!$C$7*(1/cnst_fish!$C$8)^(R541-1)</f>
        <v>1.7754076320174161</v>
      </c>
      <c r="T541" s="1362">
        <f t="shared" si="79"/>
        <v>136.67218771123441</v>
      </c>
      <c r="W541" s="1612"/>
      <c r="X541" s="1612"/>
      <c r="Y541" s="1613"/>
      <c r="Z541" s="1614"/>
      <c r="AA541" s="1614"/>
      <c r="AB541" s="1615"/>
      <c r="AC541" s="1615"/>
      <c r="AD541" s="583"/>
      <c r="AE541" s="583"/>
    </row>
    <row r="542" spans="1:31" ht="14">
      <c r="A542" s="1384" t="s">
        <v>1969</v>
      </c>
      <c r="B542" s="19" t="s">
        <v>1970</v>
      </c>
      <c r="C542" s="1383">
        <v>11935</v>
      </c>
      <c r="D542" s="1236"/>
      <c r="E542" s="1236"/>
      <c r="F542" s="1344">
        <f>(1/S542)*cnst_fish!$C$6</f>
        <v>1.0692785320993652</v>
      </c>
      <c r="G542" s="1344">
        <f t="shared" si="80"/>
        <v>1</v>
      </c>
      <c r="H542" s="1344">
        <f t="shared" si="80"/>
        <v>0.367192066876738</v>
      </c>
      <c r="I542" s="1344">
        <f t="shared" si="74"/>
        <v>0</v>
      </c>
      <c r="J542" s="902">
        <f t="shared" si="75"/>
        <v>0</v>
      </c>
      <c r="L542" s="1460"/>
      <c r="M542" s="1236">
        <v>294</v>
      </c>
      <c r="N542" s="1240" t="s">
        <v>1806</v>
      </c>
      <c r="O542" s="1241" t="s">
        <v>4845</v>
      </c>
      <c r="P542" s="910">
        <f t="shared" si="76"/>
        <v>0</v>
      </c>
      <c r="Q542" s="910">
        <f t="shared" si="77"/>
        <v>294</v>
      </c>
      <c r="R542" s="1344">
        <f t="shared" si="78"/>
        <v>2.4500000000000002</v>
      </c>
      <c r="S542" s="1344">
        <f>(1/9)*cnst_fish!$C$7*(1/cnst_fish!$C$8)^(R542-1)</f>
        <v>3.9746425953729503</v>
      </c>
      <c r="T542" s="1362">
        <f t="shared" si="79"/>
        <v>100.96010012452868</v>
      </c>
      <c r="W542" s="1612"/>
      <c r="X542" s="1612"/>
      <c r="Y542" s="1613"/>
      <c r="Z542" s="1614"/>
      <c r="AA542" s="1614"/>
      <c r="AB542" s="1615"/>
      <c r="AC542" s="1615"/>
      <c r="AD542" s="583"/>
      <c r="AE542" s="583"/>
    </row>
    <row r="543" spans="1:31" ht="14">
      <c r="A543" s="1384" t="s">
        <v>2528</v>
      </c>
      <c r="B543" s="19" t="s">
        <v>5096</v>
      </c>
      <c r="C543" s="1383">
        <v>2092</v>
      </c>
      <c r="D543" s="1236"/>
      <c r="E543" s="1236">
        <v>1784</v>
      </c>
      <c r="F543" s="1344">
        <f>(1/S543)*cnst_fish!$C$6</f>
        <v>1.1997502458044034</v>
      </c>
      <c r="G543" s="1344">
        <f t="shared" si="80"/>
        <v>1</v>
      </c>
      <c r="H543" s="1344">
        <f t="shared" si="80"/>
        <v>0.367192066876738</v>
      </c>
      <c r="I543" s="1344">
        <f t="shared" si="74"/>
        <v>0</v>
      </c>
      <c r="J543" s="902">
        <f t="shared" si="75"/>
        <v>546.00584546568825</v>
      </c>
      <c r="L543" s="1460"/>
      <c r="M543" s="1236">
        <v>1784</v>
      </c>
      <c r="N543" s="1240" t="s">
        <v>1806</v>
      </c>
      <c r="O543" s="1241" t="s">
        <v>4845</v>
      </c>
      <c r="P543" s="910">
        <f t="shared" si="76"/>
        <v>1784</v>
      </c>
      <c r="Q543" s="910">
        <f t="shared" si="77"/>
        <v>1784</v>
      </c>
      <c r="R543" s="1344">
        <f t="shared" si="78"/>
        <v>2.4</v>
      </c>
      <c r="S543" s="1344">
        <f>(1/9)*cnst_fish!$C$7*(1/cnst_fish!$C$8)^(R543-1)</f>
        <v>3.5424039418724838</v>
      </c>
      <c r="T543" s="1362">
        <f t="shared" si="79"/>
        <v>546.00584546568825</v>
      </c>
      <c r="W543" s="1612"/>
      <c r="X543" s="1612"/>
      <c r="Y543" s="1613"/>
      <c r="Z543" s="1614"/>
      <c r="AA543" s="1614"/>
      <c r="AB543" s="1615"/>
      <c r="AC543" s="1615"/>
      <c r="AD543" s="583"/>
      <c r="AE543" s="583"/>
    </row>
    <row r="544" spans="1:31" ht="14">
      <c r="A544" s="1384" t="s">
        <v>6567</v>
      </c>
      <c r="B544" s="19" t="s">
        <v>423</v>
      </c>
      <c r="C544" s="1383">
        <v>19116</v>
      </c>
      <c r="D544" s="1236"/>
      <c r="E544" s="1236"/>
      <c r="F544" s="1344">
        <f>(1/S544)*cnst_fish!$C$6</f>
        <v>0.54839166784473536</v>
      </c>
      <c r="G544" s="1344">
        <f t="shared" si="80"/>
        <v>1</v>
      </c>
      <c r="H544" s="1344">
        <f t="shared" si="80"/>
        <v>0.367192066876738</v>
      </c>
      <c r="I544" s="1344">
        <f t="shared" si="74"/>
        <v>0</v>
      </c>
      <c r="J544" s="902">
        <f t="shared" si="75"/>
        <v>0</v>
      </c>
      <c r="L544" s="1460"/>
      <c r="M544" s="1236">
        <v>37</v>
      </c>
      <c r="N544" s="1240" t="s">
        <v>3931</v>
      </c>
      <c r="O544" s="1241" t="s">
        <v>4859</v>
      </c>
      <c r="P544" s="910">
        <f t="shared" si="76"/>
        <v>0</v>
      </c>
      <c r="Q544" s="910">
        <f t="shared" si="77"/>
        <v>37</v>
      </c>
      <c r="R544" s="1344">
        <f t="shared" si="78"/>
        <v>2.74</v>
      </c>
      <c r="S544" s="1344">
        <f>(1/9)*cnst_fish!$C$7*(1/cnst_fish!$C$8)^(R544-1)</f>
        <v>7.7499354005562511</v>
      </c>
      <c r="T544" s="1362">
        <f t="shared" si="79"/>
        <v>24.774458240466746</v>
      </c>
      <c r="W544" s="1612"/>
      <c r="X544" s="1612"/>
      <c r="Y544" s="1613"/>
      <c r="Z544" s="1614"/>
      <c r="AA544" s="1614"/>
      <c r="AB544" s="1615"/>
      <c r="AC544" s="1615"/>
      <c r="AD544" s="583"/>
      <c r="AE544" s="583"/>
    </row>
    <row r="545" spans="1:31" ht="14">
      <c r="A545" s="1384" t="s">
        <v>2409</v>
      </c>
      <c r="B545" s="19" t="s">
        <v>1484</v>
      </c>
      <c r="C545" s="1383">
        <v>2721</v>
      </c>
      <c r="D545" s="1236">
        <v>0</v>
      </c>
      <c r="E545" s="1236"/>
      <c r="F545" s="1344">
        <f>(1/S545)*cnst_fish!$C$6</f>
        <v>2.1831865524078106E-2</v>
      </c>
      <c r="G545" s="1344">
        <f t="shared" si="80"/>
        <v>1</v>
      </c>
      <c r="H545" s="1344">
        <f t="shared" si="80"/>
        <v>0.367192066876738</v>
      </c>
      <c r="I545" s="1344">
        <f t="shared" si="74"/>
        <v>0</v>
      </c>
      <c r="J545" s="902">
        <f t="shared" si="75"/>
        <v>0</v>
      </c>
      <c r="L545" s="1460">
        <v>847292</v>
      </c>
      <c r="M545" s="1236"/>
      <c r="N545" s="1240" t="s">
        <v>5368</v>
      </c>
      <c r="O545" s="1241" t="s">
        <v>4835</v>
      </c>
      <c r="P545" s="910">
        <f t="shared" si="76"/>
        <v>0</v>
      </c>
      <c r="Q545" s="910">
        <f t="shared" si="77"/>
        <v>847292</v>
      </c>
      <c r="R545" s="1344">
        <f t="shared" si="78"/>
        <v>4.1399999999999997</v>
      </c>
      <c r="S545" s="1344">
        <f>(1/9)*cnst_fish!$C$7*(1/cnst_fish!$C$8)^(R545-1)</f>
        <v>194.66957577732992</v>
      </c>
      <c r="T545" s="1362">
        <f t="shared" si="79"/>
        <v>14250678.687306667</v>
      </c>
      <c r="W545" s="1612"/>
      <c r="X545" s="1612"/>
      <c r="Y545" s="1613"/>
      <c r="Z545" s="1614"/>
      <c r="AA545" s="1614"/>
      <c r="AB545" s="1615"/>
      <c r="AC545" s="1615"/>
      <c r="AD545" s="583"/>
      <c r="AE545" s="583"/>
    </row>
    <row r="546" spans="1:31" ht="14">
      <c r="A546" s="1384" t="s">
        <v>121</v>
      </c>
      <c r="B546" s="19" t="s">
        <v>3325</v>
      </c>
      <c r="C546" s="1383">
        <v>3212</v>
      </c>
      <c r="D546" s="1236"/>
      <c r="E546" s="1236"/>
      <c r="F546" s="1344">
        <f>(1/S546)*cnst_fish!$C$6</f>
        <v>0.23938164528281752</v>
      </c>
      <c r="G546" s="1344">
        <f t="shared" si="80"/>
        <v>1</v>
      </c>
      <c r="H546" s="1344">
        <f t="shared" si="80"/>
        <v>0.367192066876738</v>
      </c>
      <c r="I546" s="1344">
        <f t="shared" si="74"/>
        <v>0</v>
      </c>
      <c r="J546" s="902">
        <f t="shared" si="75"/>
        <v>0</v>
      </c>
      <c r="L546" s="1460">
        <v>4958</v>
      </c>
      <c r="M546" s="1236"/>
      <c r="N546" s="1240" t="s">
        <v>1806</v>
      </c>
      <c r="O546" s="1241" t="s">
        <v>4841</v>
      </c>
      <c r="P546" s="910">
        <f t="shared" si="76"/>
        <v>0</v>
      </c>
      <c r="Q546" s="910">
        <f t="shared" si="77"/>
        <v>4958</v>
      </c>
      <c r="R546" s="1344">
        <f t="shared" si="78"/>
        <v>3.1</v>
      </c>
      <c r="S546" s="1344">
        <f>(1/9)*cnst_fish!$C$7*(1/cnst_fish!$C$8)^(R546-1)</f>
        <v>17.754076320174157</v>
      </c>
      <c r="T546" s="1362">
        <f t="shared" si="79"/>
        <v>7605.1706697227837</v>
      </c>
      <c r="W546" s="1612"/>
      <c r="X546" s="1612"/>
      <c r="Y546" s="1613"/>
      <c r="Z546" s="1614"/>
      <c r="AA546" s="1614"/>
      <c r="AB546" s="1615"/>
      <c r="AC546" s="1615"/>
      <c r="AD546" s="583"/>
      <c r="AE546" s="583"/>
    </row>
    <row r="547" spans="1:31" ht="14">
      <c r="A547" s="1384" t="s">
        <v>5252</v>
      </c>
      <c r="B547" s="19" t="s">
        <v>3326</v>
      </c>
      <c r="C547" s="1383">
        <v>2405</v>
      </c>
      <c r="D547" s="1236"/>
      <c r="E547" s="1236"/>
      <c r="F547" s="1344">
        <f>(1/S547)*cnst_fish!$C$6</f>
        <v>0.14424170509541331</v>
      </c>
      <c r="G547" s="1344">
        <f t="shared" si="80"/>
        <v>1</v>
      </c>
      <c r="H547" s="1344">
        <f t="shared" si="80"/>
        <v>0.367192066876738</v>
      </c>
      <c r="I547" s="1344">
        <f t="shared" si="74"/>
        <v>0</v>
      </c>
      <c r="J547" s="902">
        <f t="shared" si="75"/>
        <v>0</v>
      </c>
      <c r="L547" s="1460">
        <v>2806</v>
      </c>
      <c r="M547" s="1236"/>
      <c r="N547" s="1240" t="s">
        <v>1806</v>
      </c>
      <c r="O547" s="1241" t="s">
        <v>4841</v>
      </c>
      <c r="P547" s="910">
        <f t="shared" si="76"/>
        <v>0</v>
      </c>
      <c r="Q547" s="910">
        <f t="shared" si="77"/>
        <v>2806</v>
      </c>
      <c r="R547" s="1344">
        <f t="shared" si="78"/>
        <v>3.32</v>
      </c>
      <c r="S547" s="1344">
        <f>(1/9)*cnst_fish!$C$7*(1/cnst_fish!$C$8)^(R547-1)</f>
        <v>29.464432614608246</v>
      </c>
      <c r="T547" s="1362">
        <f t="shared" si="79"/>
        <v>7143.1555733106088</v>
      </c>
      <c r="W547" s="1612"/>
      <c r="X547" s="1612"/>
      <c r="Y547" s="1613"/>
      <c r="Z547" s="1614"/>
      <c r="AA547" s="1614"/>
      <c r="AB547" s="1615"/>
      <c r="AC547" s="1615"/>
      <c r="AD547" s="583"/>
      <c r="AE547" s="583"/>
    </row>
    <row r="548" spans="1:31" ht="14">
      <c r="A548" s="1384" t="s">
        <v>6573</v>
      </c>
      <c r="B548" s="19" t="s">
        <v>2626</v>
      </c>
      <c r="C548" s="1383">
        <v>18522</v>
      </c>
      <c r="D548" s="1236"/>
      <c r="E548" s="1236"/>
      <c r="F548" s="1344">
        <f>(1/S548)*cnst_fish!$C$6</f>
        <v>30.136363636363644</v>
      </c>
      <c r="G548" s="1344">
        <f t="shared" ref="G548:H567" si="81">G$7</f>
        <v>1</v>
      </c>
      <c r="H548" s="1344">
        <f t="shared" si="81"/>
        <v>0.367192066876738</v>
      </c>
      <c r="I548" s="1344">
        <f t="shared" si="74"/>
        <v>0</v>
      </c>
      <c r="J548" s="902">
        <f t="shared" si="75"/>
        <v>0</v>
      </c>
      <c r="L548" s="1460">
        <v>0</v>
      </c>
      <c r="M548" s="1236"/>
      <c r="N548" s="1240" t="s">
        <v>1808</v>
      </c>
      <c r="O548" s="1241" t="s">
        <v>4831</v>
      </c>
      <c r="P548" s="910">
        <f t="shared" si="76"/>
        <v>0</v>
      </c>
      <c r="Q548" s="910">
        <f t="shared" si="77"/>
        <v>0</v>
      </c>
      <c r="R548" s="1344">
        <f t="shared" si="78"/>
        <v>1</v>
      </c>
      <c r="S548" s="1344">
        <f>(1/9)*cnst_fish!$C$7*(1/cnst_fish!$C$8)^(R548-1)</f>
        <v>0.141025641025641</v>
      </c>
      <c r="T548" s="1362">
        <f t="shared" si="79"/>
        <v>0</v>
      </c>
      <c r="W548" s="1612"/>
      <c r="X548" s="1612"/>
      <c r="Y548" s="1613"/>
      <c r="Z548" s="1614"/>
      <c r="AA548" s="1614"/>
      <c r="AB548" s="1615"/>
      <c r="AC548" s="1615"/>
      <c r="AD548" s="583"/>
      <c r="AE548" s="583"/>
    </row>
    <row r="549" spans="1:31" ht="14">
      <c r="A549" s="1384" t="s">
        <v>4477</v>
      </c>
      <c r="B549" s="19" t="s">
        <v>6574</v>
      </c>
      <c r="C549" s="1383">
        <v>2781</v>
      </c>
      <c r="D549" s="1236"/>
      <c r="E549" s="1236"/>
      <c r="F549" s="1344">
        <f>(1/S549)*cnst_fish!$C$6</f>
        <v>30.136363636363644</v>
      </c>
      <c r="G549" s="1344">
        <f t="shared" si="81"/>
        <v>1</v>
      </c>
      <c r="H549" s="1344">
        <f t="shared" si="81"/>
        <v>0.367192066876738</v>
      </c>
      <c r="I549" s="1344">
        <f t="shared" si="74"/>
        <v>0</v>
      </c>
      <c r="J549" s="902">
        <f t="shared" si="75"/>
        <v>0</v>
      </c>
      <c r="L549" s="1460">
        <v>8304</v>
      </c>
      <c r="M549" s="1236"/>
      <c r="N549" s="1240" t="s">
        <v>1808</v>
      </c>
      <c r="O549" s="1241" t="s">
        <v>4831</v>
      </c>
      <c r="P549" s="910">
        <f t="shared" si="76"/>
        <v>0</v>
      </c>
      <c r="Q549" s="910">
        <f t="shared" si="77"/>
        <v>8304</v>
      </c>
      <c r="R549" s="1344">
        <f t="shared" si="78"/>
        <v>1</v>
      </c>
      <c r="S549" s="1344">
        <f>(1/9)*cnst_fish!$C$7*(1/cnst_fish!$C$8)^(R549-1)</f>
        <v>0.141025641025641</v>
      </c>
      <c r="T549" s="1362">
        <f t="shared" si="79"/>
        <v>101.17886020147435</v>
      </c>
      <c r="W549" s="1612"/>
      <c r="X549" s="1612"/>
      <c r="Y549" s="1613"/>
      <c r="Z549" s="1614"/>
      <c r="AA549" s="1614"/>
      <c r="AB549" s="1615"/>
      <c r="AC549" s="1615"/>
      <c r="AD549" s="583"/>
      <c r="AE549" s="583"/>
    </row>
    <row r="550" spans="1:31" ht="14">
      <c r="A550" s="1384" t="s">
        <v>5393</v>
      </c>
      <c r="B550" s="19" t="s">
        <v>4111</v>
      </c>
      <c r="C550" s="1383">
        <v>2900</v>
      </c>
      <c r="D550" s="1236"/>
      <c r="E550" s="1236"/>
      <c r="F550" s="1344">
        <f>(1/S550)*cnst_fish!$C$6</f>
        <v>0.11997502458044032</v>
      </c>
      <c r="G550" s="1344">
        <f t="shared" si="81"/>
        <v>1</v>
      </c>
      <c r="H550" s="1344">
        <f t="shared" si="81"/>
        <v>0.367192066876738</v>
      </c>
      <c r="I550" s="1344">
        <f t="shared" si="74"/>
        <v>0</v>
      </c>
      <c r="J550" s="902">
        <f t="shared" si="75"/>
        <v>0</v>
      </c>
      <c r="L550" s="1460">
        <v>38858</v>
      </c>
      <c r="M550" s="1236"/>
      <c r="N550" s="1240" t="s">
        <v>2440</v>
      </c>
      <c r="O550" s="1241" t="s">
        <v>4859</v>
      </c>
      <c r="P550" s="910">
        <f t="shared" si="76"/>
        <v>0</v>
      </c>
      <c r="Q550" s="910">
        <f t="shared" si="77"/>
        <v>38858</v>
      </c>
      <c r="R550" s="1344">
        <f t="shared" si="78"/>
        <v>3.4</v>
      </c>
      <c r="S550" s="1344">
        <f>(1/9)*cnst_fish!$C$7*(1/cnst_fish!$C$8)^(R550-1)</f>
        <v>35.424039418724846</v>
      </c>
      <c r="T550" s="1362">
        <f t="shared" si="79"/>
        <v>118927.66335821591</v>
      </c>
      <c r="W550" s="1612"/>
      <c r="X550" s="1612"/>
      <c r="Y550" s="1613"/>
      <c r="Z550" s="1614"/>
      <c r="AA550" s="1614"/>
      <c r="AB550" s="1615"/>
      <c r="AC550" s="1615"/>
      <c r="AD550" s="583"/>
      <c r="AE550" s="583"/>
    </row>
    <row r="551" spans="1:31" ht="14">
      <c r="A551" s="1384" t="s">
        <v>5585</v>
      </c>
      <c r="B551" s="19" t="s">
        <v>4112</v>
      </c>
      <c r="C551" s="1383">
        <v>2901</v>
      </c>
      <c r="D551" s="1236"/>
      <c r="E551" s="1236"/>
      <c r="F551" s="1344">
        <f>(1/S551)*cnst_fish!$C$6</f>
        <v>0.11997502458044032</v>
      </c>
      <c r="G551" s="1344">
        <f t="shared" si="81"/>
        <v>1</v>
      </c>
      <c r="H551" s="1344">
        <f t="shared" si="81"/>
        <v>0.367192066876738</v>
      </c>
      <c r="I551" s="1344">
        <f t="shared" si="74"/>
        <v>0</v>
      </c>
      <c r="J551" s="902">
        <f t="shared" si="75"/>
        <v>0</v>
      </c>
      <c r="L551" s="1460">
        <v>16</v>
      </c>
      <c r="M551" s="1236"/>
      <c r="N551" s="1240" t="s">
        <v>2440</v>
      </c>
      <c r="O551" s="1241" t="s">
        <v>4859</v>
      </c>
      <c r="P551" s="910">
        <f t="shared" si="76"/>
        <v>0</v>
      </c>
      <c r="Q551" s="910">
        <f t="shared" si="77"/>
        <v>16</v>
      </c>
      <c r="R551" s="1344">
        <f t="shared" si="78"/>
        <v>3.4</v>
      </c>
      <c r="S551" s="1344">
        <f>(1/9)*cnst_fish!$C$7*(1/cnst_fish!$C$8)^(R551-1)</f>
        <v>35.424039418724846</v>
      </c>
      <c r="T551" s="1362">
        <f t="shared" si="79"/>
        <v>48.969134122483261</v>
      </c>
      <c r="W551" s="1612"/>
      <c r="X551" s="1612"/>
      <c r="Y551" s="1613"/>
      <c r="Z551" s="1614"/>
      <c r="AA551" s="1614"/>
      <c r="AB551" s="1615"/>
      <c r="AC551" s="1615"/>
      <c r="AD551" s="583"/>
      <c r="AE551" s="583"/>
    </row>
    <row r="552" spans="1:31" ht="14">
      <c r="A552" s="1384" t="s">
        <v>591</v>
      </c>
      <c r="B552" s="19" t="s">
        <v>4176</v>
      </c>
      <c r="C552" s="1383">
        <v>16086</v>
      </c>
      <c r="D552" s="1236"/>
      <c r="E552" s="1236"/>
      <c r="F552" s="1344">
        <f>(1/S552)*cnst_fish!$C$6</f>
        <v>0.16561163607618423</v>
      </c>
      <c r="G552" s="1344">
        <f t="shared" si="81"/>
        <v>1</v>
      </c>
      <c r="H552" s="1344">
        <f t="shared" si="81"/>
        <v>0.367192066876738</v>
      </c>
      <c r="I552" s="1344">
        <f t="shared" si="74"/>
        <v>0</v>
      </c>
      <c r="J552" s="902">
        <f t="shared" si="75"/>
        <v>0</v>
      </c>
      <c r="L552" s="1460">
        <v>0</v>
      </c>
      <c r="M552" s="1236"/>
      <c r="N552" s="1240" t="s">
        <v>1806</v>
      </c>
      <c r="O552" s="1241" t="s">
        <v>4859</v>
      </c>
      <c r="P552" s="910">
        <f t="shared" si="76"/>
        <v>0</v>
      </c>
      <c r="Q552" s="910">
        <f t="shared" si="77"/>
        <v>0</v>
      </c>
      <c r="R552" s="1344">
        <f t="shared" si="78"/>
        <v>3.26</v>
      </c>
      <c r="S552" s="1344">
        <f>(1/9)*cnst_fish!$C$7*(1/cnst_fish!$C$8)^(R552-1)</f>
        <v>25.662448006038215</v>
      </c>
      <c r="T552" s="1362">
        <f t="shared" si="79"/>
        <v>0</v>
      </c>
      <c r="W552" s="1612"/>
      <c r="X552" s="1612"/>
      <c r="Y552" s="1613"/>
      <c r="Z552" s="1614"/>
      <c r="AA552" s="1614"/>
      <c r="AB552" s="1615"/>
      <c r="AC552" s="1615"/>
      <c r="AD552" s="583"/>
      <c r="AE552" s="583"/>
    </row>
    <row r="553" spans="1:31" ht="14">
      <c r="A553" s="1384" t="s">
        <v>4778</v>
      </c>
      <c r="B553" s="19" t="s">
        <v>4779</v>
      </c>
      <c r="C553" s="1383">
        <v>11957</v>
      </c>
      <c r="D553" s="1236"/>
      <c r="E553" s="1236"/>
      <c r="F553" s="1344">
        <f>(1/S553)*cnst_fish!$C$6</f>
        <v>0.13154999853419541</v>
      </c>
      <c r="G553" s="1344">
        <f t="shared" si="81"/>
        <v>1</v>
      </c>
      <c r="H553" s="1344">
        <f t="shared" si="81"/>
        <v>0.367192066876738</v>
      </c>
      <c r="I553" s="1344">
        <f t="shared" si="74"/>
        <v>0</v>
      </c>
      <c r="J553" s="902">
        <f t="shared" si="75"/>
        <v>0</v>
      </c>
      <c r="L553" s="1460">
        <v>0</v>
      </c>
      <c r="M553" s="1236"/>
      <c r="N553" s="1240" t="s">
        <v>1806</v>
      </c>
      <c r="O553" s="1241" t="s">
        <v>4859</v>
      </c>
      <c r="P553" s="910">
        <f t="shared" si="76"/>
        <v>0</v>
      </c>
      <c r="Q553" s="910">
        <f t="shared" si="77"/>
        <v>0</v>
      </c>
      <c r="R553" s="1344">
        <f t="shared" si="78"/>
        <v>3.36</v>
      </c>
      <c r="S553" s="1344">
        <f>(1/9)*cnst_fish!$C$7*(1/cnst_fish!$C$8)^(R553-1)</f>
        <v>32.307107923648097</v>
      </c>
      <c r="T553" s="1362">
        <f t="shared" si="79"/>
        <v>0</v>
      </c>
      <c r="W553" s="1612"/>
      <c r="X553" s="1612"/>
      <c r="Y553" s="1613"/>
      <c r="Z553" s="1614"/>
      <c r="AA553" s="1614"/>
      <c r="AB553" s="1615"/>
      <c r="AC553" s="1615"/>
      <c r="AD553" s="583"/>
      <c r="AE553" s="583"/>
    </row>
    <row r="554" spans="1:31" ht="14">
      <c r="A554" s="1384" t="s">
        <v>3077</v>
      </c>
      <c r="B554" s="19" t="s">
        <v>5495</v>
      </c>
      <c r="C554" s="1383">
        <v>2766</v>
      </c>
      <c r="D554" s="1236">
        <v>0</v>
      </c>
      <c r="E554" s="1236"/>
      <c r="F554" s="1344">
        <f>(1/S554)*cnst_fish!$C$6</f>
        <v>1.5103960722494616</v>
      </c>
      <c r="G554" s="1344">
        <f t="shared" si="81"/>
        <v>1</v>
      </c>
      <c r="H554" s="1344">
        <f t="shared" si="81"/>
        <v>0.367192066876738</v>
      </c>
      <c r="I554" s="1344">
        <f t="shared" si="74"/>
        <v>0</v>
      </c>
      <c r="J554" s="902">
        <f t="shared" si="75"/>
        <v>0</v>
      </c>
      <c r="L554" s="1460">
        <v>5628</v>
      </c>
      <c r="M554" s="1236"/>
      <c r="N554" s="1240" t="s">
        <v>1804</v>
      </c>
      <c r="O554" s="1241" t="s">
        <v>4851</v>
      </c>
      <c r="P554" s="910">
        <f t="shared" si="76"/>
        <v>0</v>
      </c>
      <c r="Q554" s="910">
        <f t="shared" si="77"/>
        <v>5628</v>
      </c>
      <c r="R554" s="1344">
        <f t="shared" si="78"/>
        <v>2.2999999999999998</v>
      </c>
      <c r="S554" s="1344">
        <f>(1/9)*cnst_fish!$C$7*(1/cnst_fish!$C$8)^(R554-1)</f>
        <v>2.8138314698279068</v>
      </c>
      <c r="T554" s="1362">
        <f t="shared" si="79"/>
        <v>1368.2218792482151</v>
      </c>
      <c r="W554" s="1612"/>
      <c r="X554" s="1612"/>
      <c r="Y554" s="1613"/>
      <c r="Z554" s="1614"/>
      <c r="AA554" s="1614"/>
      <c r="AB554" s="1615"/>
      <c r="AC554" s="1615"/>
      <c r="AD554" s="583"/>
      <c r="AE554" s="583"/>
    </row>
    <row r="555" spans="1:31" ht="14">
      <c r="A555" s="1384" t="s">
        <v>5686</v>
      </c>
      <c r="B555" s="19" t="s">
        <v>5687</v>
      </c>
      <c r="C555" s="1383">
        <v>2767</v>
      </c>
      <c r="D555" s="1236"/>
      <c r="E555" s="1236"/>
      <c r="F555" s="1344">
        <f>(1/S555)*cnst_fish!$C$6</f>
        <v>3.0136363636363641</v>
      </c>
      <c r="G555" s="1344">
        <f t="shared" si="81"/>
        <v>1</v>
      </c>
      <c r="H555" s="1344">
        <f t="shared" si="81"/>
        <v>0.367192066876738</v>
      </c>
      <c r="I555" s="1344">
        <f t="shared" si="74"/>
        <v>0</v>
      </c>
      <c r="J555" s="902">
        <f t="shared" si="75"/>
        <v>0</v>
      </c>
      <c r="L555" s="1460">
        <v>0</v>
      </c>
      <c r="M555" s="1236"/>
      <c r="N555" s="1240" t="s">
        <v>1804</v>
      </c>
      <c r="O555" s="1241" t="s">
        <v>4851</v>
      </c>
      <c r="P555" s="910">
        <f t="shared" si="76"/>
        <v>0</v>
      </c>
      <c r="Q555" s="910">
        <f t="shared" si="77"/>
        <v>0</v>
      </c>
      <c r="R555" s="1344">
        <f t="shared" si="78"/>
        <v>2</v>
      </c>
      <c r="S555" s="1344">
        <f>(1/9)*cnst_fish!$C$7*(1/cnst_fish!$C$8)^(R555-1)</f>
        <v>1.4102564102564099</v>
      </c>
      <c r="T555" s="1362">
        <f t="shared" si="79"/>
        <v>0</v>
      </c>
      <c r="W555" s="1612"/>
      <c r="X555" s="1612"/>
      <c r="Y555" s="1613"/>
      <c r="Z555" s="1614"/>
      <c r="AA555" s="1614"/>
      <c r="AB555" s="1615"/>
      <c r="AC555" s="1615"/>
      <c r="AD555" s="583"/>
      <c r="AE555" s="583"/>
    </row>
    <row r="556" spans="1:31" ht="14">
      <c r="A556" s="1384" t="s">
        <v>3485</v>
      </c>
      <c r="B556" s="19" t="s">
        <v>5015</v>
      </c>
      <c r="C556" s="1383">
        <v>2844</v>
      </c>
      <c r="D556" s="1236"/>
      <c r="E556" s="1236"/>
      <c r="F556" s="1344">
        <f>(1/S556)*cnst_fish!$C$6</f>
        <v>1.256292732912874E-2</v>
      </c>
      <c r="G556" s="1344">
        <f t="shared" si="81"/>
        <v>1</v>
      </c>
      <c r="H556" s="1344">
        <f t="shared" si="81"/>
        <v>0.367192066876738</v>
      </c>
      <c r="I556" s="1344">
        <f t="shared" si="74"/>
        <v>0</v>
      </c>
      <c r="J556" s="902">
        <f t="shared" si="75"/>
        <v>0</v>
      </c>
      <c r="L556" s="1460">
        <v>0</v>
      </c>
      <c r="M556" s="1236"/>
      <c r="N556" s="1240" t="s">
        <v>3927</v>
      </c>
      <c r="O556" s="1241" t="s">
        <v>4841</v>
      </c>
      <c r="P556" s="910">
        <f t="shared" si="76"/>
        <v>0</v>
      </c>
      <c r="Q556" s="910">
        <f t="shared" si="77"/>
        <v>0</v>
      </c>
      <c r="R556" s="1344">
        <f t="shared" si="78"/>
        <v>4.38</v>
      </c>
      <c r="S556" s="1344">
        <f>(1/9)*cnst_fish!$C$7*(1/cnst_fish!$C$8)^(R556-1)</f>
        <v>338.2969501181334</v>
      </c>
      <c r="T556" s="1362">
        <f t="shared" si="79"/>
        <v>0</v>
      </c>
      <c r="W556" s="1612"/>
      <c r="X556" s="1612"/>
      <c r="Y556" s="1613"/>
      <c r="Z556" s="1614"/>
      <c r="AA556" s="1614"/>
      <c r="AB556" s="1615"/>
      <c r="AC556" s="1615"/>
      <c r="AD556" s="583"/>
      <c r="AE556" s="583"/>
    </row>
    <row r="557" spans="1:31" ht="14">
      <c r="A557" s="1384" t="s">
        <v>4280</v>
      </c>
      <c r="B557" s="19" t="s">
        <v>3656</v>
      </c>
      <c r="C557" s="1383">
        <v>3620</v>
      </c>
      <c r="D557" s="1236"/>
      <c r="E557" s="1236"/>
      <c r="F557" s="1344">
        <f>(1/S557)*cnst_fish!$C$6</f>
        <v>1.5103960722494616</v>
      </c>
      <c r="G557" s="1344">
        <f t="shared" si="81"/>
        <v>1</v>
      </c>
      <c r="H557" s="1344">
        <f t="shared" si="81"/>
        <v>0.367192066876738</v>
      </c>
      <c r="I557" s="1344">
        <f t="shared" si="74"/>
        <v>0</v>
      </c>
      <c r="J557" s="902">
        <f t="shared" si="75"/>
        <v>0</v>
      </c>
      <c r="L557" s="1460">
        <v>0</v>
      </c>
      <c r="M557" s="1236"/>
      <c r="N557" s="1240" t="s">
        <v>1804</v>
      </c>
      <c r="O557" s="1241" t="s">
        <v>4851</v>
      </c>
      <c r="P557" s="910">
        <f t="shared" si="76"/>
        <v>0</v>
      </c>
      <c r="Q557" s="910">
        <f t="shared" si="77"/>
        <v>0</v>
      </c>
      <c r="R557" s="1344">
        <f t="shared" si="78"/>
        <v>2.2999999999999998</v>
      </c>
      <c r="S557" s="1344">
        <f>(1/9)*cnst_fish!$C$7*(1/cnst_fish!$C$8)^(R557-1)</f>
        <v>2.8138314698279068</v>
      </c>
      <c r="T557" s="1362">
        <f t="shared" si="79"/>
        <v>0</v>
      </c>
      <c r="W557" s="1612"/>
      <c r="X557" s="1612"/>
      <c r="Y557" s="1613"/>
      <c r="Z557" s="1614"/>
      <c r="AA557" s="1614"/>
      <c r="AB557" s="1615"/>
      <c r="AC557" s="1615"/>
      <c r="AD557" s="583"/>
      <c r="AE557" s="583"/>
    </row>
    <row r="558" spans="1:31" ht="14">
      <c r="A558" s="1384" t="s">
        <v>5436</v>
      </c>
      <c r="B558" s="19" t="s">
        <v>4177</v>
      </c>
      <c r="C558" s="1383">
        <v>3122</v>
      </c>
      <c r="D558" s="1236">
        <v>1</v>
      </c>
      <c r="E558" s="1236"/>
      <c r="F558" s="1344">
        <f>(1/S558)*cnst_fish!$C$6</f>
        <v>7.7462381998898044E-2</v>
      </c>
      <c r="G558" s="1344">
        <f t="shared" si="81"/>
        <v>1</v>
      </c>
      <c r="H558" s="1344">
        <f t="shared" si="81"/>
        <v>0.367192066876738</v>
      </c>
      <c r="I558" s="1344">
        <f t="shared" si="74"/>
        <v>4.7402630464160209</v>
      </c>
      <c r="J558" s="902">
        <f t="shared" si="75"/>
        <v>0</v>
      </c>
      <c r="L558" s="1460">
        <v>20904</v>
      </c>
      <c r="M558" s="1236"/>
      <c r="N558" s="1240" t="s">
        <v>1806</v>
      </c>
      <c r="O558" s="1241" t="s">
        <v>4859</v>
      </c>
      <c r="P558" s="910">
        <f t="shared" si="76"/>
        <v>1</v>
      </c>
      <c r="Q558" s="910">
        <f t="shared" si="77"/>
        <v>20904</v>
      </c>
      <c r="R558" s="1344">
        <f t="shared" si="78"/>
        <v>3.59</v>
      </c>
      <c r="S558" s="1344">
        <f>(1/9)*cnst_fish!$C$7*(1/cnst_fish!$C$8)^(R558-1)</f>
        <v>54.865340960731871</v>
      </c>
      <c r="T558" s="1362">
        <f t="shared" si="79"/>
        <v>99090.458722280513</v>
      </c>
      <c r="W558" s="1612"/>
      <c r="X558" s="1612"/>
      <c r="Y558" s="1613"/>
      <c r="Z558" s="1614"/>
      <c r="AA558" s="1614"/>
      <c r="AB558" s="1615"/>
      <c r="AC558" s="1615"/>
      <c r="AD558" s="583"/>
      <c r="AE558" s="583"/>
    </row>
    <row r="559" spans="1:31" ht="14">
      <c r="A559" s="1384" t="s">
        <v>1418</v>
      </c>
      <c r="B559" s="19" t="s">
        <v>5016</v>
      </c>
      <c r="C559" s="1383">
        <v>2575</v>
      </c>
      <c r="D559" s="1236">
        <v>47</v>
      </c>
      <c r="E559" s="1236"/>
      <c r="F559" s="1344">
        <f>(1/S559)*cnst_fish!$C$6</f>
        <v>7.5699122913220479E-2</v>
      </c>
      <c r="G559" s="1344">
        <f t="shared" si="81"/>
        <v>1</v>
      </c>
      <c r="H559" s="1344">
        <f t="shared" si="81"/>
        <v>0.367192066876738</v>
      </c>
      <c r="I559" s="1344">
        <f t="shared" si="74"/>
        <v>227.98186397735205</v>
      </c>
      <c r="J559" s="902">
        <f t="shared" si="75"/>
        <v>0</v>
      </c>
      <c r="L559" s="1460">
        <v>253501</v>
      </c>
      <c r="M559" s="1236"/>
      <c r="N559" s="1240" t="s">
        <v>3927</v>
      </c>
      <c r="O559" s="1241" t="s">
        <v>4841</v>
      </c>
      <c r="P559" s="910">
        <f t="shared" si="76"/>
        <v>47</v>
      </c>
      <c r="Q559" s="910">
        <f t="shared" si="77"/>
        <v>253501</v>
      </c>
      <c r="R559" s="1344">
        <f t="shared" si="78"/>
        <v>3.6</v>
      </c>
      <c r="S559" s="1344">
        <f>(1/9)*cnst_fish!$C$7*(1/cnst_fish!$C$8)^(R559-1)</f>
        <v>56.143318924211187</v>
      </c>
      <c r="T559" s="1362">
        <f t="shared" si="79"/>
        <v>1229651.7127685687</v>
      </c>
      <c r="W559" s="1612"/>
      <c r="X559" s="1612"/>
      <c r="Y559" s="1613"/>
      <c r="Z559" s="1614"/>
      <c r="AA559" s="1614"/>
      <c r="AB559" s="1615"/>
      <c r="AC559" s="1615"/>
      <c r="AD559" s="583"/>
      <c r="AE559" s="583"/>
    </row>
    <row r="560" spans="1:31" ht="14">
      <c r="A560" s="1384" t="s">
        <v>6577</v>
      </c>
      <c r="B560" s="19" t="s">
        <v>5724</v>
      </c>
      <c r="C560" s="1383">
        <v>2948</v>
      </c>
      <c r="D560" s="1236"/>
      <c r="E560" s="1236"/>
      <c r="F560" s="1344">
        <f>(1/S560)*cnst_fish!$C$6</f>
        <v>0.17341667202478855</v>
      </c>
      <c r="G560" s="1344">
        <f t="shared" si="81"/>
        <v>1</v>
      </c>
      <c r="H560" s="1344">
        <f t="shared" si="81"/>
        <v>0.367192066876738</v>
      </c>
      <c r="I560" s="1344">
        <f t="shared" si="74"/>
        <v>0</v>
      </c>
      <c r="J560" s="902">
        <f t="shared" si="75"/>
        <v>0</v>
      </c>
      <c r="L560" s="1460">
        <v>0</v>
      </c>
      <c r="M560" s="1236"/>
      <c r="N560" s="1240" t="s">
        <v>1806</v>
      </c>
      <c r="O560" s="1241" t="s">
        <v>4841</v>
      </c>
      <c r="P560" s="910">
        <f t="shared" si="76"/>
        <v>0</v>
      </c>
      <c r="Q560" s="910">
        <f t="shared" si="77"/>
        <v>0</v>
      </c>
      <c r="R560" s="1344">
        <f t="shared" si="78"/>
        <v>3.24</v>
      </c>
      <c r="S560" s="1344">
        <f>(1/9)*cnst_fish!$C$7*(1/cnst_fish!$C$8)^(R560-1)</f>
        <v>24.507447584927103</v>
      </c>
      <c r="T560" s="1362">
        <f t="shared" si="79"/>
        <v>0</v>
      </c>
      <c r="W560" s="1612"/>
      <c r="X560" s="1612"/>
      <c r="Y560" s="1613"/>
      <c r="Z560" s="1614"/>
      <c r="AA560" s="1614"/>
      <c r="AB560" s="1615"/>
      <c r="AC560" s="1615"/>
      <c r="AD560" s="583"/>
      <c r="AE560" s="583"/>
    </row>
    <row r="561" spans="1:31" ht="14">
      <c r="A561" s="1384" t="s">
        <v>1597</v>
      </c>
      <c r="B561" s="19" t="s">
        <v>6578</v>
      </c>
      <c r="C561" s="1383">
        <v>17054</v>
      </c>
      <c r="D561" s="1236"/>
      <c r="E561" s="1236"/>
      <c r="F561" s="1344">
        <f>(1/S561)*cnst_fish!$C$6</f>
        <v>0.19014759972289441</v>
      </c>
      <c r="G561" s="1344">
        <f t="shared" si="81"/>
        <v>1</v>
      </c>
      <c r="H561" s="1344">
        <f t="shared" si="81"/>
        <v>0.367192066876738</v>
      </c>
      <c r="I561" s="1344">
        <f t="shared" si="74"/>
        <v>0</v>
      </c>
      <c r="J561" s="902">
        <f t="shared" si="75"/>
        <v>0</v>
      </c>
      <c r="L561" s="1460">
        <v>855</v>
      </c>
      <c r="M561" s="1236"/>
      <c r="N561" s="1240" t="s">
        <v>2434</v>
      </c>
      <c r="O561" s="1241" t="s">
        <v>4835</v>
      </c>
      <c r="P561" s="910">
        <f t="shared" si="76"/>
        <v>0</v>
      </c>
      <c r="Q561" s="910">
        <f t="shared" si="77"/>
        <v>855</v>
      </c>
      <c r="R561" s="1344">
        <f t="shared" si="78"/>
        <v>3.2</v>
      </c>
      <c r="S561" s="1344">
        <f>(1/9)*cnst_fish!$C$7*(1/cnst_fish!$C$8)^(R561-1)</f>
        <v>22.351057842400341</v>
      </c>
      <c r="T561" s="1362">
        <f t="shared" si="79"/>
        <v>1651.0816735900687</v>
      </c>
      <c r="W561" s="1612"/>
      <c r="X561" s="1612"/>
      <c r="Y561" s="1613"/>
      <c r="Z561" s="1614"/>
      <c r="AA561" s="1614"/>
      <c r="AB561" s="1615"/>
      <c r="AC561" s="1615"/>
      <c r="AD561" s="583"/>
      <c r="AE561" s="583"/>
    </row>
    <row r="562" spans="1:31" ht="14">
      <c r="A562" s="1384" t="s">
        <v>2059</v>
      </c>
      <c r="B562" s="19" t="s">
        <v>2060</v>
      </c>
      <c r="C562" s="1383">
        <v>17055</v>
      </c>
      <c r="D562" s="1236"/>
      <c r="E562" s="1236"/>
      <c r="F562" s="1344">
        <f>(1/S562)*cnst_fish!$C$6</f>
        <v>6.7466914312309487E-2</v>
      </c>
      <c r="G562" s="1344">
        <f t="shared" si="81"/>
        <v>1</v>
      </c>
      <c r="H562" s="1344">
        <f t="shared" si="81"/>
        <v>0.367192066876738</v>
      </c>
      <c r="I562" s="1344">
        <f t="shared" si="74"/>
        <v>0</v>
      </c>
      <c r="J562" s="902">
        <f t="shared" si="75"/>
        <v>0</v>
      </c>
      <c r="L562" s="1460">
        <v>0</v>
      </c>
      <c r="M562" s="1236"/>
      <c r="N562" s="1240" t="s">
        <v>2434</v>
      </c>
      <c r="O562" s="1241" t="s">
        <v>4835</v>
      </c>
      <c r="P562" s="910">
        <f t="shared" si="76"/>
        <v>0</v>
      </c>
      <c r="Q562" s="910">
        <f t="shared" si="77"/>
        <v>0</v>
      </c>
      <c r="R562" s="1344">
        <f t="shared" si="78"/>
        <v>3.65</v>
      </c>
      <c r="S562" s="1344">
        <f>(1/9)*cnst_fish!$C$7*(1/cnst_fish!$C$8)^(R562-1)</f>
        <v>62.993839918725584</v>
      </c>
      <c r="T562" s="1362">
        <f t="shared" si="79"/>
        <v>0</v>
      </c>
      <c r="W562" s="1612"/>
      <c r="X562" s="1612"/>
      <c r="Y562" s="1613"/>
      <c r="Z562" s="1614"/>
      <c r="AA562" s="1614"/>
      <c r="AB562" s="1615"/>
      <c r="AC562" s="1615"/>
      <c r="AD562" s="583"/>
      <c r="AE562" s="583"/>
    </row>
    <row r="563" spans="1:31" ht="14">
      <c r="A563" s="1384" t="s">
        <v>2720</v>
      </c>
      <c r="B563" s="19" t="s">
        <v>3831</v>
      </c>
      <c r="C563" s="1383">
        <v>3572</v>
      </c>
      <c r="D563" s="1236"/>
      <c r="E563" s="1236"/>
      <c r="F563" s="1344">
        <f>(1/S563)*cnst_fish!$C$6</f>
        <v>0.19014759972289441</v>
      </c>
      <c r="G563" s="1344">
        <f t="shared" si="81"/>
        <v>1</v>
      </c>
      <c r="H563" s="1344">
        <f t="shared" si="81"/>
        <v>0.367192066876738</v>
      </c>
      <c r="I563" s="1344">
        <f t="shared" si="74"/>
        <v>0</v>
      </c>
      <c r="J563" s="902">
        <f t="shared" si="75"/>
        <v>0</v>
      </c>
      <c r="L563" s="1460">
        <v>5739</v>
      </c>
      <c r="M563" s="1236"/>
      <c r="N563" s="1240" t="s">
        <v>2434</v>
      </c>
      <c r="O563" s="1241" t="s">
        <v>4835</v>
      </c>
      <c r="P563" s="910">
        <f t="shared" si="76"/>
        <v>0</v>
      </c>
      <c r="Q563" s="910">
        <f t="shared" si="77"/>
        <v>5739</v>
      </c>
      <c r="R563" s="1344">
        <f t="shared" si="78"/>
        <v>3.2</v>
      </c>
      <c r="S563" s="1344">
        <f>(1/9)*cnst_fish!$C$7*(1/cnst_fish!$C$8)^(R563-1)</f>
        <v>22.351057842400341</v>
      </c>
      <c r="T563" s="1362">
        <f t="shared" si="79"/>
        <v>11082.523654658953</v>
      </c>
      <c r="W563" s="1612"/>
      <c r="X563" s="1612"/>
      <c r="Y563" s="1613"/>
      <c r="Z563" s="1614"/>
      <c r="AA563" s="1614"/>
      <c r="AB563" s="1615"/>
      <c r="AC563" s="1615"/>
      <c r="AD563" s="583"/>
      <c r="AE563" s="583"/>
    </row>
    <row r="564" spans="1:31" ht="14">
      <c r="A564" s="1384" t="s">
        <v>3560</v>
      </c>
      <c r="B564" s="19" t="s">
        <v>5286</v>
      </c>
      <c r="C564" s="1383">
        <v>2436</v>
      </c>
      <c r="D564" s="1236"/>
      <c r="E564" s="1236"/>
      <c r="F564" s="1344">
        <f>(1/S564)*cnst_fish!$C$6</f>
        <v>0.16184185499703521</v>
      </c>
      <c r="G564" s="1344">
        <f t="shared" si="81"/>
        <v>1</v>
      </c>
      <c r="H564" s="1344">
        <f t="shared" si="81"/>
        <v>0.367192066876738</v>
      </c>
      <c r="I564" s="1344">
        <f t="shared" si="74"/>
        <v>0</v>
      </c>
      <c r="J564" s="902">
        <f t="shared" si="75"/>
        <v>0</v>
      </c>
      <c r="L564" s="1460">
        <v>513</v>
      </c>
      <c r="M564" s="1236"/>
      <c r="N564" s="1240" t="s">
        <v>1806</v>
      </c>
      <c r="O564" s="1241" t="s">
        <v>4841</v>
      </c>
      <c r="P564" s="910">
        <f t="shared" si="76"/>
        <v>0</v>
      </c>
      <c r="Q564" s="910">
        <f t="shared" si="77"/>
        <v>513</v>
      </c>
      <c r="R564" s="1344">
        <f t="shared" si="78"/>
        <v>3.27</v>
      </c>
      <c r="S564" s="1344">
        <f>(1/9)*cnst_fish!$C$7*(1/cnst_fish!$C$8)^(R564-1)</f>
        <v>26.260203209348141</v>
      </c>
      <c r="T564" s="1362">
        <f t="shared" si="79"/>
        <v>1163.9110927838622</v>
      </c>
      <c r="W564" s="1612"/>
      <c r="X564" s="1612"/>
      <c r="Y564" s="1613"/>
      <c r="Z564" s="1614"/>
      <c r="AA564" s="1614"/>
      <c r="AB564" s="1615"/>
      <c r="AC564" s="1615"/>
      <c r="AD564" s="583"/>
      <c r="AE564" s="583"/>
    </row>
    <row r="565" spans="1:31" ht="14">
      <c r="A565" s="1384" t="s">
        <v>2718</v>
      </c>
      <c r="B565" s="19" t="s">
        <v>1716</v>
      </c>
      <c r="C565" s="1383">
        <v>3014</v>
      </c>
      <c r="D565" s="1236"/>
      <c r="E565" s="1236"/>
      <c r="F565" s="1344">
        <f>(1/S565)*cnst_fish!$C$6</f>
        <v>2.2860769647470379E-2</v>
      </c>
      <c r="G565" s="1344">
        <f t="shared" si="81"/>
        <v>1</v>
      </c>
      <c r="H565" s="1344">
        <f t="shared" si="81"/>
        <v>0.367192066876738</v>
      </c>
      <c r="I565" s="1344">
        <f t="shared" si="74"/>
        <v>0</v>
      </c>
      <c r="J565" s="902">
        <f t="shared" si="75"/>
        <v>0</v>
      </c>
      <c r="L565" s="1460">
        <v>27909</v>
      </c>
      <c r="M565" s="1236"/>
      <c r="N565" s="1240" t="s">
        <v>1806</v>
      </c>
      <c r="O565" s="1241" t="s">
        <v>4841</v>
      </c>
      <c r="P565" s="910">
        <f t="shared" si="76"/>
        <v>0</v>
      </c>
      <c r="Q565" s="910">
        <f t="shared" si="77"/>
        <v>27909</v>
      </c>
      <c r="R565" s="1344">
        <f t="shared" si="78"/>
        <v>4.12</v>
      </c>
      <c r="S565" s="1344">
        <f>(1/9)*cnst_fish!$C$7*(1/cnst_fish!$C$8)^(R565-1)</f>
        <v>185.90800159128838</v>
      </c>
      <c r="T565" s="1362">
        <f t="shared" si="79"/>
        <v>448277.26942241652</v>
      </c>
      <c r="W565" s="1612"/>
      <c r="X565" s="1612"/>
      <c r="Y565" s="1613"/>
      <c r="Z565" s="1614"/>
      <c r="AA565" s="1614"/>
      <c r="AB565" s="1615"/>
      <c r="AC565" s="1615"/>
      <c r="AD565" s="583"/>
      <c r="AE565" s="583"/>
    </row>
    <row r="566" spans="1:31" ht="14">
      <c r="A566" s="1384" t="s">
        <v>4541</v>
      </c>
      <c r="B566" s="19" t="s">
        <v>1717</v>
      </c>
      <c r="C566" s="1383">
        <v>2229</v>
      </c>
      <c r="D566" s="1236"/>
      <c r="E566" s="1236"/>
      <c r="F566" s="1344">
        <f>(1/S566)*cnst_fish!$C$6</f>
        <v>1.7341667202478851E-2</v>
      </c>
      <c r="G566" s="1344">
        <f t="shared" si="81"/>
        <v>1</v>
      </c>
      <c r="H566" s="1344">
        <f t="shared" si="81"/>
        <v>0.367192066876738</v>
      </c>
      <c r="I566" s="1344">
        <f t="shared" si="74"/>
        <v>0</v>
      </c>
      <c r="J566" s="902">
        <f t="shared" si="75"/>
        <v>0</v>
      </c>
      <c r="L566" s="1460">
        <v>488</v>
      </c>
      <c r="M566" s="1236">
        <v>267</v>
      </c>
      <c r="N566" s="1240" t="s">
        <v>1806</v>
      </c>
      <c r="O566" s="1241" t="s">
        <v>4841</v>
      </c>
      <c r="P566" s="910">
        <f t="shared" si="76"/>
        <v>0</v>
      </c>
      <c r="Q566" s="910">
        <f t="shared" si="77"/>
        <v>755</v>
      </c>
      <c r="R566" s="1344">
        <f t="shared" si="78"/>
        <v>4.24</v>
      </c>
      <c r="S566" s="1344">
        <f>(1/9)*cnst_fish!$C$7*(1/cnst_fish!$C$8)^(R566-1)</f>
        <v>245.0744758492711</v>
      </c>
      <c r="T566" s="1362">
        <f t="shared" si="79"/>
        <v>15986.352826117512</v>
      </c>
      <c r="W566" s="1612"/>
      <c r="X566" s="1612"/>
      <c r="Y566" s="1613"/>
      <c r="Z566" s="1614"/>
      <c r="AA566" s="1614"/>
      <c r="AB566" s="1615"/>
      <c r="AC566" s="1615"/>
      <c r="AD566" s="583"/>
      <c r="AE566" s="583"/>
    </row>
    <row r="567" spans="1:31" ht="14">
      <c r="A567" s="1384" t="s">
        <v>3839</v>
      </c>
      <c r="B567" s="19" t="s">
        <v>3216</v>
      </c>
      <c r="C567" s="1383">
        <v>2514</v>
      </c>
      <c r="D567" s="1236"/>
      <c r="E567" s="1236"/>
      <c r="F567" s="1344">
        <f>(1/S567)*cnst_fish!$C$6</f>
        <v>0.10692785320993656</v>
      </c>
      <c r="G567" s="1344">
        <f t="shared" si="81"/>
        <v>1</v>
      </c>
      <c r="H567" s="1344">
        <f t="shared" si="81"/>
        <v>0.367192066876738</v>
      </c>
      <c r="I567" s="1344">
        <f t="shared" si="74"/>
        <v>0</v>
      </c>
      <c r="J567" s="902">
        <f t="shared" si="75"/>
        <v>0</v>
      </c>
      <c r="L567" s="1460"/>
      <c r="M567" s="1236">
        <v>5022</v>
      </c>
      <c r="N567" s="1240" t="s">
        <v>1806</v>
      </c>
      <c r="O567" s="1241" t="s">
        <v>4845</v>
      </c>
      <c r="P567" s="910">
        <f t="shared" si="76"/>
        <v>0</v>
      </c>
      <c r="Q567" s="910">
        <f t="shared" si="77"/>
        <v>5022</v>
      </c>
      <c r="R567" s="1344">
        <f t="shared" si="78"/>
        <v>3.45</v>
      </c>
      <c r="S567" s="1344">
        <f>(1/9)*cnst_fish!$C$7*(1/cnst_fish!$C$8)^(R567-1)</f>
        <v>39.746425953729492</v>
      </c>
      <c r="T567" s="1362">
        <f t="shared" si="79"/>
        <v>17245.633429434791</v>
      </c>
      <c r="W567" s="1612"/>
      <c r="X567" s="1612"/>
      <c r="Y567" s="1613"/>
      <c r="Z567" s="1614"/>
      <c r="AA567" s="1614"/>
      <c r="AB567" s="1615"/>
      <c r="AC567" s="1615"/>
      <c r="AD567" s="583"/>
      <c r="AE567" s="583"/>
    </row>
    <row r="568" spans="1:31" ht="14">
      <c r="A568" s="1384" t="s">
        <v>5090</v>
      </c>
      <c r="B568" s="19" t="s">
        <v>5287</v>
      </c>
      <c r="C568" s="1383">
        <v>2267</v>
      </c>
      <c r="D568" s="1236"/>
      <c r="E568" s="1236"/>
      <c r="F568" s="1344">
        <f>(1/S568)*cnst_fish!$C$6</f>
        <v>1.3461419163458574E-2</v>
      </c>
      <c r="G568" s="1344">
        <f t="shared" ref="G568:H587" si="82">G$7</f>
        <v>1</v>
      </c>
      <c r="H568" s="1344">
        <f t="shared" si="82"/>
        <v>0.367192066876738</v>
      </c>
      <c r="I568" s="1344">
        <f t="shared" si="74"/>
        <v>0</v>
      </c>
      <c r="J568" s="902">
        <f t="shared" si="75"/>
        <v>0</v>
      </c>
      <c r="L568" s="1460">
        <v>7565</v>
      </c>
      <c r="M568" s="1236"/>
      <c r="N568" s="1240" t="s">
        <v>1806</v>
      </c>
      <c r="O568" s="1241" t="s">
        <v>4841</v>
      </c>
      <c r="P568" s="910">
        <f t="shared" si="76"/>
        <v>0</v>
      </c>
      <c r="Q568" s="910">
        <f t="shared" si="77"/>
        <v>7565</v>
      </c>
      <c r="R568" s="1344">
        <f t="shared" si="78"/>
        <v>4.3499999999999996</v>
      </c>
      <c r="S568" s="1344">
        <f>(1/9)*cnst_fish!$C$7*(1/cnst_fish!$C$8)^(R568-1)</f>
        <v>315.71708364425297</v>
      </c>
      <c r="T568" s="1362">
        <f t="shared" si="79"/>
        <v>206353.27911510001</v>
      </c>
      <c r="W568" s="1612"/>
      <c r="X568" s="1612"/>
      <c r="Y568" s="1613"/>
      <c r="Z568" s="1614"/>
      <c r="AA568" s="1614"/>
      <c r="AB568" s="1615"/>
      <c r="AC568" s="1615"/>
      <c r="AD568" s="583"/>
      <c r="AE568" s="583"/>
    </row>
    <row r="569" spans="1:31" ht="14">
      <c r="A569" s="1384" t="s">
        <v>133</v>
      </c>
      <c r="B569" s="19" t="s">
        <v>5288</v>
      </c>
      <c r="C569" s="1383">
        <v>12004</v>
      </c>
      <c r="D569" s="1236"/>
      <c r="E569" s="1236"/>
      <c r="F569" s="1344">
        <f>(1/S569)*cnst_fish!$C$6</f>
        <v>1.7341667202478851E-2</v>
      </c>
      <c r="G569" s="1344">
        <f t="shared" si="82"/>
        <v>1</v>
      </c>
      <c r="H569" s="1344">
        <f t="shared" si="82"/>
        <v>0.367192066876738</v>
      </c>
      <c r="I569" s="1344">
        <f t="shared" si="74"/>
        <v>0</v>
      </c>
      <c r="J569" s="902">
        <f t="shared" si="75"/>
        <v>0</v>
      </c>
      <c r="L569" s="1460">
        <v>2463</v>
      </c>
      <c r="M569" s="1236"/>
      <c r="N569" s="1240" t="s">
        <v>1806</v>
      </c>
      <c r="O569" s="1241" t="s">
        <v>4841</v>
      </c>
      <c r="P569" s="910">
        <f t="shared" si="76"/>
        <v>0</v>
      </c>
      <c r="Q569" s="910">
        <f t="shared" si="77"/>
        <v>2463</v>
      </c>
      <c r="R569" s="1344">
        <f t="shared" si="78"/>
        <v>4.24</v>
      </c>
      <c r="S569" s="1344">
        <f>(1/9)*cnst_fish!$C$7*(1/cnst_fish!$C$8)^(R569-1)</f>
        <v>245.0744758492711</v>
      </c>
      <c r="T569" s="1362">
        <f t="shared" si="79"/>
        <v>52151.505974473432</v>
      </c>
      <c r="W569" s="1612"/>
      <c r="X569" s="1612"/>
      <c r="Y569" s="1613"/>
      <c r="Z569" s="1614"/>
      <c r="AA569" s="1614"/>
      <c r="AB569" s="1615"/>
      <c r="AC569" s="1615"/>
      <c r="AD569" s="583"/>
      <c r="AE569" s="583"/>
    </row>
    <row r="570" spans="1:31" ht="14">
      <c r="A570" s="1384" t="s">
        <v>2579</v>
      </c>
      <c r="B570" s="19" t="s">
        <v>5289</v>
      </c>
      <c r="C570" s="1383">
        <v>2074</v>
      </c>
      <c r="D570" s="1236">
        <v>653</v>
      </c>
      <c r="E570" s="1236"/>
      <c r="F570" s="1344">
        <f>(1/S570)*cnst_fish!$C$6</f>
        <v>3.3813556145554591E-2</v>
      </c>
      <c r="G570" s="1344">
        <f t="shared" si="82"/>
        <v>1</v>
      </c>
      <c r="H570" s="1344">
        <f t="shared" si="82"/>
        <v>0.367192066876738</v>
      </c>
      <c r="I570" s="1344">
        <f t="shared" si="74"/>
        <v>7091.1328769551183</v>
      </c>
      <c r="J570" s="902">
        <f t="shared" si="75"/>
        <v>0</v>
      </c>
      <c r="L570" s="1460">
        <v>1536</v>
      </c>
      <c r="M570" s="1236"/>
      <c r="N570" s="1240" t="s">
        <v>1806</v>
      </c>
      <c r="O570" s="1241" t="s">
        <v>4841</v>
      </c>
      <c r="P570" s="910">
        <f t="shared" si="76"/>
        <v>653</v>
      </c>
      <c r="Q570" s="910">
        <f t="shared" si="77"/>
        <v>1536</v>
      </c>
      <c r="R570" s="1344">
        <f t="shared" si="78"/>
        <v>3.95</v>
      </c>
      <c r="S570" s="1344">
        <f>(1/9)*cnst_fish!$C$7*(1/cnst_fish!$C$8)^(R570-1)</f>
        <v>125.68923486501552</v>
      </c>
      <c r="T570" s="1362">
        <f t="shared" si="79"/>
        <v>16679.908267998562</v>
      </c>
      <c r="W570" s="1612"/>
      <c r="X570" s="1612"/>
      <c r="Y570" s="1613"/>
      <c r="Z570" s="1614"/>
      <c r="AA570" s="1614"/>
      <c r="AB570" s="1615"/>
      <c r="AC570" s="1615"/>
      <c r="AD570" s="583"/>
      <c r="AE570" s="583"/>
    </row>
    <row r="571" spans="1:31" ht="14">
      <c r="A571" s="1384" t="s">
        <v>5021</v>
      </c>
      <c r="B571" s="19" t="s">
        <v>4108</v>
      </c>
      <c r="C571" s="1383">
        <v>3132</v>
      </c>
      <c r="D571" s="1236"/>
      <c r="E571" s="1236"/>
      <c r="F571" s="1344">
        <f>(1/S571)*cnst_fish!$C$6</f>
        <v>0.10692785320993656</v>
      </c>
      <c r="G571" s="1344">
        <f t="shared" si="82"/>
        <v>1</v>
      </c>
      <c r="H571" s="1344">
        <f t="shared" si="82"/>
        <v>0.367192066876738</v>
      </c>
      <c r="I571" s="1344">
        <f t="shared" si="74"/>
        <v>0</v>
      </c>
      <c r="J571" s="902">
        <f t="shared" si="75"/>
        <v>0</v>
      </c>
      <c r="L571" s="1460">
        <v>144</v>
      </c>
      <c r="M571" s="1236"/>
      <c r="N571" s="1240" t="s">
        <v>1806</v>
      </c>
      <c r="O571" s="1241" t="s">
        <v>4841</v>
      </c>
      <c r="P571" s="910">
        <f t="shared" si="76"/>
        <v>0</v>
      </c>
      <c r="Q571" s="910">
        <f t="shared" si="77"/>
        <v>144</v>
      </c>
      <c r="R571" s="1344">
        <f t="shared" si="78"/>
        <v>3.45</v>
      </c>
      <c r="S571" s="1344">
        <f>(1/9)*cnst_fish!$C$7*(1/cnst_fish!$C$8)^(R571-1)</f>
        <v>39.746425953729492</v>
      </c>
      <c r="T571" s="1362">
        <f t="shared" si="79"/>
        <v>494.49844958952804</v>
      </c>
      <c r="W571" s="1612"/>
      <c r="X571" s="1612"/>
      <c r="Y571" s="1613"/>
      <c r="Z571" s="1614"/>
      <c r="AA571" s="1614"/>
      <c r="AB571" s="1615"/>
      <c r="AC571" s="1615"/>
      <c r="AD571" s="583"/>
      <c r="AE571" s="583"/>
    </row>
    <row r="572" spans="1:31" ht="14">
      <c r="A572" s="1384" t="s">
        <v>4824</v>
      </c>
      <c r="B572" s="19" t="s">
        <v>4668</v>
      </c>
      <c r="C572" s="1383">
        <v>2331</v>
      </c>
      <c r="D572" s="1236"/>
      <c r="E572" s="1236"/>
      <c r="F572" s="1344">
        <f>(1/S572)*cnst_fish!$C$6</f>
        <v>7.3976000504507963E-2</v>
      </c>
      <c r="G572" s="1344">
        <f t="shared" si="82"/>
        <v>1</v>
      </c>
      <c r="H572" s="1344">
        <f t="shared" si="82"/>
        <v>0.367192066876738</v>
      </c>
      <c r="I572" s="1344">
        <f t="shared" si="74"/>
        <v>0</v>
      </c>
      <c r="J572" s="902">
        <f t="shared" si="75"/>
        <v>0</v>
      </c>
      <c r="L572" s="1460">
        <v>3973</v>
      </c>
      <c r="M572" s="1236"/>
      <c r="N572" s="1240" t="s">
        <v>1806</v>
      </c>
      <c r="O572" s="1241" t="s">
        <v>4841</v>
      </c>
      <c r="P572" s="910">
        <f t="shared" si="76"/>
        <v>0</v>
      </c>
      <c r="Q572" s="910">
        <f t="shared" si="77"/>
        <v>3973</v>
      </c>
      <c r="R572" s="1344">
        <f t="shared" si="78"/>
        <v>3.61</v>
      </c>
      <c r="S572" s="1344">
        <f>(1/9)*cnst_fish!$C$7*(1/cnst_fish!$C$8)^(R572-1)</f>
        <v>57.451064818528707</v>
      </c>
      <c r="T572" s="1362">
        <f t="shared" si="79"/>
        <v>19720.640096140101</v>
      </c>
      <c r="W572" s="1612"/>
      <c r="X572" s="1612"/>
      <c r="Y572" s="1613"/>
      <c r="Z572" s="1614"/>
      <c r="AA572" s="1614"/>
      <c r="AB572" s="1615"/>
      <c r="AC572" s="1615"/>
      <c r="AD572" s="583"/>
      <c r="AE572" s="583"/>
    </row>
    <row r="573" spans="1:31" ht="14">
      <c r="A573" s="1384" t="s">
        <v>2104</v>
      </c>
      <c r="B573" s="19" t="s">
        <v>1718</v>
      </c>
      <c r="C573" s="1383">
        <v>12019</v>
      </c>
      <c r="D573" s="1236"/>
      <c r="E573" s="1236"/>
      <c r="F573" s="1344">
        <f>(1/S573)*cnst_fish!$C$6</f>
        <v>8.8938714421809756E-2</v>
      </c>
      <c r="G573" s="1344">
        <f t="shared" si="82"/>
        <v>1</v>
      </c>
      <c r="H573" s="1344">
        <f t="shared" si="82"/>
        <v>0.367192066876738</v>
      </c>
      <c r="I573" s="1344">
        <f t="shared" si="74"/>
        <v>0</v>
      </c>
      <c r="J573" s="902">
        <f t="shared" si="75"/>
        <v>0</v>
      </c>
      <c r="L573" s="1460">
        <v>0</v>
      </c>
      <c r="M573" s="1236"/>
      <c r="N573" s="1240" t="s">
        <v>1806</v>
      </c>
      <c r="O573" s="1241" t="s">
        <v>4841</v>
      </c>
      <c r="P573" s="910">
        <f t="shared" si="76"/>
        <v>0</v>
      </c>
      <c r="Q573" s="910">
        <f t="shared" si="77"/>
        <v>0</v>
      </c>
      <c r="R573" s="1344">
        <f t="shared" si="78"/>
        <v>3.53</v>
      </c>
      <c r="S573" s="1344">
        <f>(1/9)*cnst_fish!$C$7*(1/cnst_fish!$C$8)^(R573-1)</f>
        <v>47.785714327323419</v>
      </c>
      <c r="T573" s="1362">
        <f t="shared" si="79"/>
        <v>0</v>
      </c>
      <c r="W573" s="1612"/>
      <c r="X573" s="1612"/>
      <c r="Y573" s="1613"/>
      <c r="Z573" s="1614"/>
      <c r="AA573" s="1614"/>
      <c r="AB573" s="1615"/>
      <c r="AC573" s="1615"/>
      <c r="AD573" s="583"/>
      <c r="AE573" s="583"/>
    </row>
    <row r="574" spans="1:31" ht="14">
      <c r="A574" s="1384" t="s">
        <v>6503</v>
      </c>
      <c r="B574" s="19" t="s">
        <v>6502</v>
      </c>
      <c r="C574" s="1383">
        <v>12023</v>
      </c>
      <c r="D574" s="1236"/>
      <c r="E574" s="1236"/>
      <c r="F574" s="1344">
        <f>(1/S574)*cnst_fish!$C$6</f>
        <v>0.15103960722494611</v>
      </c>
      <c r="G574" s="1344">
        <f t="shared" si="82"/>
        <v>1</v>
      </c>
      <c r="H574" s="1344">
        <f t="shared" si="82"/>
        <v>0.367192066876738</v>
      </c>
      <c r="I574" s="1344">
        <f t="shared" si="74"/>
        <v>0</v>
      </c>
      <c r="J574" s="902">
        <f t="shared" si="75"/>
        <v>0</v>
      </c>
      <c r="L574" s="1460">
        <v>3058</v>
      </c>
      <c r="M574" s="1236"/>
      <c r="N574" s="1240" t="s">
        <v>104</v>
      </c>
      <c r="O574" s="1241" t="s">
        <v>4859</v>
      </c>
      <c r="P574" s="910">
        <f t="shared" si="76"/>
        <v>0</v>
      </c>
      <c r="Q574" s="910">
        <f t="shared" si="77"/>
        <v>3058</v>
      </c>
      <c r="R574" s="1344">
        <f t="shared" si="78"/>
        <v>3.3</v>
      </c>
      <c r="S574" s="1344">
        <f>(1/9)*cnst_fish!$C$7*(1/cnst_fish!$C$8)^(R574-1)</f>
        <v>28.138314698279075</v>
      </c>
      <c r="T574" s="1362">
        <f t="shared" si="79"/>
        <v>7434.2972756592817</v>
      </c>
      <c r="W574" s="1612"/>
      <c r="X574" s="1612"/>
      <c r="Y574" s="1613"/>
      <c r="Z574" s="1614"/>
      <c r="AA574" s="1614"/>
      <c r="AB574" s="1615"/>
      <c r="AC574" s="1615"/>
      <c r="AD574" s="583"/>
      <c r="AE574" s="583"/>
    </row>
    <row r="575" spans="1:31" ht="14">
      <c r="A575" s="1384" t="s">
        <v>6582</v>
      </c>
      <c r="B575" s="19" t="s">
        <v>6581</v>
      </c>
      <c r="C575" s="1383">
        <v>12025</v>
      </c>
      <c r="D575" s="1236"/>
      <c r="E575" s="1236"/>
      <c r="F575" s="1344">
        <f>(1/S575)*cnst_fish!$C$6</f>
        <v>0.23938164528281752</v>
      </c>
      <c r="G575" s="1344">
        <f t="shared" si="82"/>
        <v>1</v>
      </c>
      <c r="H575" s="1344">
        <f t="shared" si="82"/>
        <v>0.367192066876738</v>
      </c>
      <c r="I575" s="1344">
        <f t="shared" si="74"/>
        <v>0</v>
      </c>
      <c r="J575" s="902">
        <f t="shared" si="75"/>
        <v>0</v>
      </c>
      <c r="L575" s="1460"/>
      <c r="M575" s="1236">
        <v>76840</v>
      </c>
      <c r="N575" s="1240" t="s">
        <v>2440</v>
      </c>
      <c r="O575" s="1241" t="s">
        <v>4859</v>
      </c>
      <c r="P575" s="910">
        <f t="shared" si="76"/>
        <v>0</v>
      </c>
      <c r="Q575" s="910">
        <f t="shared" si="77"/>
        <v>76840</v>
      </c>
      <c r="R575" s="1344">
        <f t="shared" si="78"/>
        <v>3.1</v>
      </c>
      <c r="S575" s="1344">
        <f>(1/9)*cnst_fish!$C$7*(1/cnst_fish!$C$8)^(R575-1)</f>
        <v>17.754076320174157</v>
      </c>
      <c r="T575" s="1362">
        <f t="shared" si="79"/>
        <v>117866.34010921714</v>
      </c>
      <c r="W575" s="1612"/>
      <c r="X575" s="1612"/>
      <c r="Y575" s="1613"/>
      <c r="Z575" s="1614"/>
      <c r="AA575" s="1614"/>
      <c r="AB575" s="1615"/>
      <c r="AC575" s="1615"/>
      <c r="AD575" s="583"/>
      <c r="AE575" s="583"/>
    </row>
    <row r="576" spans="1:31" ht="14">
      <c r="A576" s="1384" t="s">
        <v>899</v>
      </c>
      <c r="B576" s="19" t="s">
        <v>4113</v>
      </c>
      <c r="C576" s="1383">
        <v>2105</v>
      </c>
      <c r="D576" s="1236"/>
      <c r="E576" s="1236"/>
      <c r="F576" s="1344">
        <f>(1/S576)*cnst_fish!$C$6</f>
        <v>0.15815788461163599</v>
      </c>
      <c r="G576" s="1344">
        <f t="shared" si="82"/>
        <v>1</v>
      </c>
      <c r="H576" s="1344">
        <f t="shared" si="82"/>
        <v>0.367192066876738</v>
      </c>
      <c r="I576" s="1344">
        <f t="shared" si="74"/>
        <v>0</v>
      </c>
      <c r="J576" s="902">
        <f t="shared" si="75"/>
        <v>0</v>
      </c>
      <c r="L576" s="1460">
        <v>257431</v>
      </c>
      <c r="M576" s="1236"/>
      <c r="N576" s="1240" t="s">
        <v>104</v>
      </c>
      <c r="O576" s="1241" t="s">
        <v>4859</v>
      </c>
      <c r="P576" s="910">
        <f t="shared" si="76"/>
        <v>0</v>
      </c>
      <c r="Q576" s="910">
        <f t="shared" si="77"/>
        <v>257431</v>
      </c>
      <c r="R576" s="1344">
        <f t="shared" si="78"/>
        <v>3.28</v>
      </c>
      <c r="S576" s="1344">
        <f>(1/9)*cnst_fish!$C$7*(1/cnst_fish!$C$8)^(R576-1)</f>
        <v>26.871881919994518</v>
      </c>
      <c r="T576" s="1362">
        <f t="shared" si="79"/>
        <v>597672.51692990225</v>
      </c>
      <c r="W576" s="1612"/>
      <c r="X576" s="1612"/>
      <c r="Y576" s="1613"/>
      <c r="Z576" s="1614"/>
      <c r="AA576" s="1614"/>
      <c r="AB576" s="1615"/>
      <c r="AC576" s="1615"/>
      <c r="AD576" s="583"/>
      <c r="AE576" s="583"/>
    </row>
    <row r="577" spans="1:31" ht="14">
      <c r="A577" s="1384" t="s">
        <v>1441</v>
      </c>
      <c r="B577" s="19" t="s">
        <v>4114</v>
      </c>
      <c r="C577" s="1383">
        <v>2916</v>
      </c>
      <c r="D577" s="1236"/>
      <c r="E577" s="1236"/>
      <c r="F577" s="1344">
        <f>(1/S577)*cnst_fish!$C$6</f>
        <v>0.9313026689802324</v>
      </c>
      <c r="G577" s="1344">
        <f t="shared" si="82"/>
        <v>1</v>
      </c>
      <c r="H577" s="1344">
        <f t="shared" si="82"/>
        <v>0.367192066876738</v>
      </c>
      <c r="I577" s="1344">
        <f t="shared" si="74"/>
        <v>0</v>
      </c>
      <c r="J577" s="902">
        <f t="shared" si="75"/>
        <v>0</v>
      </c>
      <c r="L577" s="1460">
        <v>18208</v>
      </c>
      <c r="M577" s="1236"/>
      <c r="N577" s="1240" t="s">
        <v>104</v>
      </c>
      <c r="O577" s="1241" t="s">
        <v>4859</v>
      </c>
      <c r="P577" s="910">
        <f t="shared" si="76"/>
        <v>0</v>
      </c>
      <c r="Q577" s="910">
        <f t="shared" si="77"/>
        <v>18208</v>
      </c>
      <c r="R577" s="1344">
        <f t="shared" si="78"/>
        <v>2.5099999999999998</v>
      </c>
      <c r="S577" s="1344">
        <f>(1/9)*cnst_fish!$C$7*(1/cnst_fish!$C$8)^(R577-1)</f>
        <v>4.5635002900332173</v>
      </c>
      <c r="T577" s="1362">
        <f t="shared" si="79"/>
        <v>7179.0121261142403</v>
      </c>
      <c r="W577" s="1612"/>
      <c r="X577" s="1612"/>
      <c r="Y577" s="1613"/>
      <c r="Z577" s="1614"/>
      <c r="AA577" s="1614"/>
      <c r="AB577" s="1615"/>
      <c r="AC577" s="1615"/>
      <c r="AD577" s="583"/>
      <c r="AE577" s="583"/>
    </row>
    <row r="578" spans="1:31" ht="14">
      <c r="A578" s="1384" t="s">
        <v>1284</v>
      </c>
      <c r="B578" s="19" t="s">
        <v>4115</v>
      </c>
      <c r="C578" s="1383">
        <v>2919</v>
      </c>
      <c r="D578" s="1236"/>
      <c r="E578" s="1236"/>
      <c r="F578" s="1344">
        <f>(1/S578)*cnst_fish!$C$6</f>
        <v>0.43560298545661363</v>
      </c>
      <c r="G578" s="1344">
        <f t="shared" si="82"/>
        <v>1</v>
      </c>
      <c r="H578" s="1344">
        <f t="shared" si="82"/>
        <v>0.367192066876738</v>
      </c>
      <c r="I578" s="1344">
        <f t="shared" si="74"/>
        <v>0</v>
      </c>
      <c r="J578" s="902">
        <f t="shared" si="75"/>
        <v>0</v>
      </c>
      <c r="L578" s="1460">
        <v>78801</v>
      </c>
      <c r="M578" s="1236"/>
      <c r="N578" s="1240" t="s">
        <v>104</v>
      </c>
      <c r="O578" s="1241" t="s">
        <v>4859</v>
      </c>
      <c r="P578" s="910">
        <f t="shared" si="76"/>
        <v>0</v>
      </c>
      <c r="Q578" s="910">
        <f t="shared" si="77"/>
        <v>78801</v>
      </c>
      <c r="R578" s="1344">
        <f t="shared" si="78"/>
        <v>2.84</v>
      </c>
      <c r="S578" s="1344">
        <f>(1/9)*cnst_fish!$C$7*(1/cnst_fish!$C$8)^(R578-1)</f>
        <v>9.7565906155234625</v>
      </c>
      <c r="T578" s="1362">
        <f t="shared" si="79"/>
        <v>66425.398879264088</v>
      </c>
      <c r="W578" s="1612"/>
      <c r="X578" s="1612"/>
      <c r="Y578" s="1613"/>
      <c r="Z578" s="1614"/>
      <c r="AA578" s="1614"/>
      <c r="AB578" s="1615"/>
      <c r="AC578" s="1615"/>
      <c r="AD578" s="583"/>
      <c r="AE578" s="583"/>
    </row>
    <row r="579" spans="1:31" ht="14">
      <c r="A579" s="1384" t="s">
        <v>4189</v>
      </c>
      <c r="B579" s="19" t="s">
        <v>4124</v>
      </c>
      <c r="C579" s="1383">
        <v>2106</v>
      </c>
      <c r="D579" s="1236"/>
      <c r="E579" s="1236"/>
      <c r="F579" s="1344">
        <f>(1/S579)*cnst_fish!$C$6</f>
        <v>0.23393265378401026</v>
      </c>
      <c r="G579" s="1344">
        <f t="shared" si="82"/>
        <v>1</v>
      </c>
      <c r="H579" s="1344">
        <f t="shared" si="82"/>
        <v>0.367192066876738</v>
      </c>
      <c r="I579" s="1344">
        <f t="shared" si="74"/>
        <v>0</v>
      </c>
      <c r="J579" s="902">
        <f t="shared" si="75"/>
        <v>0</v>
      </c>
      <c r="L579" s="1460">
        <v>406111</v>
      </c>
      <c r="M579" s="1236"/>
      <c r="N579" s="1240" t="s">
        <v>104</v>
      </c>
      <c r="O579" s="1241" t="s">
        <v>4859</v>
      </c>
      <c r="P579" s="910">
        <f t="shared" si="76"/>
        <v>0</v>
      </c>
      <c r="Q579" s="910">
        <f t="shared" si="77"/>
        <v>406111</v>
      </c>
      <c r="R579" s="1344">
        <f t="shared" si="78"/>
        <v>3.11</v>
      </c>
      <c r="S579" s="1344">
        <f>(1/9)*cnst_fish!$C$7*(1/cnst_fish!$C$8)^(R579-1)</f>
        <v>18.16762188285189</v>
      </c>
      <c r="T579" s="1362">
        <f t="shared" si="79"/>
        <v>637451.57018165558</v>
      </c>
      <c r="W579" s="1612"/>
      <c r="X579" s="1612"/>
      <c r="Y579" s="1613"/>
      <c r="Z579" s="1614"/>
      <c r="AA579" s="1614"/>
      <c r="AB579" s="1615"/>
      <c r="AC579" s="1615"/>
      <c r="AD579" s="583"/>
      <c r="AE579" s="583"/>
    </row>
    <row r="580" spans="1:31" ht="14">
      <c r="A580" s="1384" t="s">
        <v>419</v>
      </c>
      <c r="B580" s="19" t="s">
        <v>4125</v>
      </c>
      <c r="C580" s="1383">
        <v>2915</v>
      </c>
      <c r="D580" s="1236"/>
      <c r="E580" s="1236"/>
      <c r="F580" s="1344">
        <f>(1/S580)*cnst_fish!$C$6</f>
        <v>0.83002437741509261</v>
      </c>
      <c r="G580" s="1344">
        <f t="shared" si="82"/>
        <v>1</v>
      </c>
      <c r="H580" s="1344">
        <f t="shared" si="82"/>
        <v>0.367192066876738</v>
      </c>
      <c r="I580" s="1344">
        <f t="shared" si="74"/>
        <v>0</v>
      </c>
      <c r="J580" s="902">
        <f t="shared" si="75"/>
        <v>0</v>
      </c>
      <c r="L580" s="1460">
        <v>1329311</v>
      </c>
      <c r="M580" s="1236"/>
      <c r="N580" s="1240" t="s">
        <v>104</v>
      </c>
      <c r="O580" s="1241" t="s">
        <v>4859</v>
      </c>
      <c r="P580" s="910">
        <f t="shared" si="76"/>
        <v>0</v>
      </c>
      <c r="Q580" s="910">
        <f t="shared" si="77"/>
        <v>1329311</v>
      </c>
      <c r="R580" s="1344">
        <f t="shared" si="78"/>
        <v>2.56</v>
      </c>
      <c r="S580" s="1344">
        <f>(1/9)*cnst_fish!$C$7*(1/cnst_fish!$C$8)^(R580-1)</f>
        <v>5.1203315416296364</v>
      </c>
      <c r="T580" s="1362">
        <f t="shared" si="79"/>
        <v>588070.02166862856</v>
      </c>
      <c r="W580" s="1612"/>
      <c r="X580" s="1612"/>
      <c r="Y580" s="1613"/>
      <c r="Z580" s="1614"/>
      <c r="AA580" s="1614"/>
      <c r="AB580" s="1615"/>
      <c r="AC580" s="1615"/>
      <c r="AD580" s="583"/>
      <c r="AE580" s="583"/>
    </row>
    <row r="581" spans="1:31" ht="14">
      <c r="A581" s="1384" t="s">
        <v>2213</v>
      </c>
      <c r="B581" s="19" t="s">
        <v>4126</v>
      </c>
      <c r="C581" s="1383">
        <v>2107</v>
      </c>
      <c r="D581" s="1236">
        <v>6061</v>
      </c>
      <c r="E581" s="1236"/>
      <c r="F581" s="1344">
        <f>(1/S581)*cnst_fish!$C$6</f>
        <v>0.33043865638315079</v>
      </c>
      <c r="G581" s="1344">
        <f t="shared" si="82"/>
        <v>1</v>
      </c>
      <c r="H581" s="1344">
        <f t="shared" si="82"/>
        <v>0.367192066876738</v>
      </c>
      <c r="I581" s="1344">
        <f t="shared" si="74"/>
        <v>6735.1415288389699</v>
      </c>
      <c r="J581" s="902">
        <f t="shared" si="75"/>
        <v>0</v>
      </c>
      <c r="L581" s="1460">
        <v>143496</v>
      </c>
      <c r="M581" s="1236"/>
      <c r="N581" s="1240" t="s">
        <v>104</v>
      </c>
      <c r="O581" s="1241" t="s">
        <v>4859</v>
      </c>
      <c r="P581" s="910">
        <f t="shared" si="76"/>
        <v>6061</v>
      </c>
      <c r="Q581" s="910">
        <f t="shared" si="77"/>
        <v>143496</v>
      </c>
      <c r="R581" s="1344">
        <f t="shared" si="78"/>
        <v>2.96</v>
      </c>
      <c r="S581" s="1344">
        <f>(1/9)*cnst_fish!$C$7*(1/cnst_fish!$C$8)^(R581-1)</f>
        <v>12.861691324250007</v>
      </c>
      <c r="T581" s="1362">
        <f t="shared" si="79"/>
        <v>159456.50368293628</v>
      </c>
      <c r="W581" s="1612"/>
      <c r="X581" s="1612"/>
      <c r="Y581" s="1613"/>
      <c r="Z581" s="1614"/>
      <c r="AA581" s="1614"/>
      <c r="AB581" s="1615"/>
      <c r="AC581" s="1615"/>
      <c r="AD581" s="583"/>
      <c r="AE581" s="583"/>
    </row>
    <row r="582" spans="1:31" ht="14">
      <c r="A582" s="1384" t="s">
        <v>2755</v>
      </c>
      <c r="B582" s="19" t="s">
        <v>4127</v>
      </c>
      <c r="C582" s="1383">
        <v>2917</v>
      </c>
      <c r="D582" s="1236"/>
      <c r="E582" s="1236"/>
      <c r="F582" s="1344">
        <f>(1/S582)*cnst_fish!$C$6</f>
        <v>0.60129950673834842</v>
      </c>
      <c r="G582" s="1344">
        <f t="shared" si="82"/>
        <v>1</v>
      </c>
      <c r="H582" s="1344">
        <f t="shared" si="82"/>
        <v>0.367192066876738</v>
      </c>
      <c r="I582" s="1344">
        <f t="shared" si="74"/>
        <v>0</v>
      </c>
      <c r="J582" s="902">
        <f t="shared" si="75"/>
        <v>0</v>
      </c>
      <c r="L582" s="1460">
        <v>5674036</v>
      </c>
      <c r="M582" s="1236"/>
      <c r="N582" s="1240" t="s">
        <v>104</v>
      </c>
      <c r="O582" s="1241" t="s">
        <v>4859</v>
      </c>
      <c r="P582" s="910">
        <f t="shared" si="76"/>
        <v>0</v>
      </c>
      <c r="Q582" s="910">
        <f t="shared" si="77"/>
        <v>5674036</v>
      </c>
      <c r="R582" s="1344">
        <f t="shared" si="78"/>
        <v>2.7</v>
      </c>
      <c r="S582" s="1344">
        <f>(1/9)*cnst_fish!$C$7*(1/cnst_fish!$C$8)^(R582-1)</f>
        <v>7.0680250896153813</v>
      </c>
      <c r="T582" s="1362">
        <f t="shared" si="79"/>
        <v>3464930.5097128968</v>
      </c>
      <c r="W582" s="1612"/>
      <c r="X582" s="1612"/>
      <c r="Y582" s="1613"/>
      <c r="Z582" s="1614"/>
      <c r="AA582" s="1614"/>
      <c r="AB582" s="1615"/>
      <c r="AC582" s="1615"/>
      <c r="AD582" s="583"/>
      <c r="AE582" s="583"/>
    </row>
    <row r="583" spans="1:31" ht="14">
      <c r="A583" s="1384" t="s">
        <v>1730</v>
      </c>
      <c r="B583" s="19" t="s">
        <v>1099</v>
      </c>
      <c r="C583" s="1383">
        <v>3552</v>
      </c>
      <c r="D583" s="1236">
        <v>366</v>
      </c>
      <c r="E583" s="1236"/>
      <c r="F583" s="1344">
        <f>(1/S583)*cnst_fish!$C$6</f>
        <v>2.3938164528281742</v>
      </c>
      <c r="G583" s="1344">
        <f t="shared" si="82"/>
        <v>1</v>
      </c>
      <c r="H583" s="1344">
        <f t="shared" si="82"/>
        <v>0.367192066876738</v>
      </c>
      <c r="I583" s="1344">
        <f t="shared" ref="I583:I646" si="83">IF($F583=0,0,D583/$F583*$H583*$G583)</f>
        <v>56.141437376331986</v>
      </c>
      <c r="J583" s="902">
        <f t="shared" ref="J583:J646" si="84">IF($F583=0,0,E583/$F583*$H583*$G583)</f>
        <v>0</v>
      </c>
      <c r="L583" s="1460">
        <v>366</v>
      </c>
      <c r="M583" s="1236"/>
      <c r="N583" s="1240" t="s">
        <v>1804</v>
      </c>
      <c r="O583" s="1241" t="s">
        <v>4851</v>
      </c>
      <c r="P583" s="910">
        <f t="shared" ref="P583:P646" si="85">D583+E583</f>
        <v>366</v>
      </c>
      <c r="Q583" s="910">
        <f t="shared" ref="Q583:Q646" si="86">L583+M583</f>
        <v>366</v>
      </c>
      <c r="R583" s="1344">
        <f t="shared" ref="R583:R646" si="87">VLOOKUP(B583,constant_fish_trophic,3,FALSE)</f>
        <v>2.1</v>
      </c>
      <c r="S583" s="1344">
        <f>(1/9)*cnst_fish!$C$7*(1/cnst_fish!$C$8)^(R583-1)</f>
        <v>1.7754076320174161</v>
      </c>
      <c r="T583" s="1362">
        <f t="shared" ref="T583:T646" si="88">IF(F583=0,0,Q583/F583*H583*G583)</f>
        <v>56.141437376331986</v>
      </c>
      <c r="W583" s="1612"/>
      <c r="X583" s="1612"/>
      <c r="Y583" s="1613"/>
      <c r="Z583" s="1614"/>
      <c r="AA583" s="1614"/>
      <c r="AB583" s="1615"/>
      <c r="AC583" s="1615"/>
      <c r="AD583" s="583"/>
      <c r="AE583" s="583"/>
    </row>
    <row r="584" spans="1:31" ht="14">
      <c r="A584" s="1384" t="s">
        <v>3993</v>
      </c>
      <c r="B584" s="19" t="s">
        <v>3994</v>
      </c>
      <c r="C584" s="1383">
        <v>17530</v>
      </c>
      <c r="D584" s="1236"/>
      <c r="E584" s="1236"/>
      <c r="F584" s="1344">
        <f>(1/S584)*cnst_fish!$C$6</f>
        <v>0.14481532779905856</v>
      </c>
      <c r="G584" s="1344">
        <f t="shared" si="82"/>
        <v>1</v>
      </c>
      <c r="H584" s="1344">
        <f t="shared" si="82"/>
        <v>0.367192066876738</v>
      </c>
      <c r="I584" s="1344">
        <f t="shared" si="83"/>
        <v>0</v>
      </c>
      <c r="J584" s="902">
        <f t="shared" si="84"/>
        <v>0</v>
      </c>
      <c r="L584" s="1460">
        <v>387</v>
      </c>
      <c r="M584" s="1236"/>
      <c r="N584" s="1240" t="s">
        <v>1804</v>
      </c>
      <c r="O584" s="1241" t="s">
        <v>4851</v>
      </c>
      <c r="P584" s="910">
        <f t="shared" si="85"/>
        <v>0</v>
      </c>
      <c r="Q584" s="910">
        <f t="shared" si="86"/>
        <v>387</v>
      </c>
      <c r="R584" s="1344">
        <f t="shared" si="87"/>
        <v>3.3182763159269002</v>
      </c>
      <c r="S584" s="1344">
        <f>(1/9)*cnst_fish!$C$7*(1/cnst_fish!$C$8)^(R584-1)</f>
        <v>29.347722127157517</v>
      </c>
      <c r="T584" s="1362">
        <f t="shared" si="88"/>
        <v>981.27271498826383</v>
      </c>
      <c r="W584" s="1612"/>
      <c r="X584" s="1612"/>
      <c r="Y584" s="1613"/>
      <c r="Z584" s="1614"/>
      <c r="AA584" s="1614"/>
      <c r="AB584" s="1615"/>
      <c r="AC584" s="1615"/>
      <c r="AD584" s="583"/>
      <c r="AE584" s="583"/>
    </row>
    <row r="585" spans="1:31" ht="14">
      <c r="A585" s="1384" t="s">
        <v>6908</v>
      </c>
      <c r="B585" s="19" t="s">
        <v>6907</v>
      </c>
      <c r="C585" s="1383">
        <v>17532</v>
      </c>
      <c r="D585" s="1236"/>
      <c r="E585" s="1236"/>
      <c r="F585" s="1344">
        <f>(1/S585)*cnst_fish!$C$6</f>
        <v>3.0136363636363641</v>
      </c>
      <c r="G585" s="1344">
        <f t="shared" si="82"/>
        <v>1</v>
      </c>
      <c r="H585" s="1344">
        <f t="shared" si="82"/>
        <v>0.367192066876738</v>
      </c>
      <c r="I585" s="1344">
        <f t="shared" si="83"/>
        <v>0</v>
      </c>
      <c r="J585" s="902">
        <f t="shared" si="84"/>
        <v>0</v>
      </c>
      <c r="L585" s="1460">
        <v>767</v>
      </c>
      <c r="M585" s="1236"/>
      <c r="N585" s="1240" t="s">
        <v>1804</v>
      </c>
      <c r="O585" s="1241" t="s">
        <v>4851</v>
      </c>
      <c r="P585" s="910">
        <f t="shared" si="85"/>
        <v>0</v>
      </c>
      <c r="Q585" s="910">
        <f t="shared" si="86"/>
        <v>767</v>
      </c>
      <c r="R585" s="1344">
        <f t="shared" si="87"/>
        <v>2</v>
      </c>
      <c r="S585" s="1344">
        <f>(1/9)*cnst_fish!$C$7*(1/cnst_fish!$C$8)^(R585-1)</f>
        <v>1.4102564102564099</v>
      </c>
      <c r="T585" s="1362">
        <f t="shared" si="88"/>
        <v>93.453980942354093</v>
      </c>
      <c r="W585" s="1612"/>
      <c r="X585" s="1612"/>
      <c r="Y585" s="1613"/>
      <c r="Z585" s="1614"/>
      <c r="AA585" s="1614"/>
      <c r="AB585" s="1615"/>
      <c r="AC585" s="1615"/>
      <c r="AD585" s="583"/>
      <c r="AE585" s="583"/>
    </row>
    <row r="586" spans="1:31" ht="14">
      <c r="A586" s="1384" t="s">
        <v>1917</v>
      </c>
      <c r="B586" s="19" t="s">
        <v>1499</v>
      </c>
      <c r="C586" s="1383">
        <v>2546</v>
      </c>
      <c r="D586" s="1236">
        <v>2224</v>
      </c>
      <c r="E586" s="1236"/>
      <c r="F586" s="1344">
        <f>(1/S586)*cnst_fish!$C$6</f>
        <v>2.6859062362848789E-2</v>
      </c>
      <c r="G586" s="1344">
        <f t="shared" si="82"/>
        <v>1</v>
      </c>
      <c r="H586" s="1344">
        <f t="shared" si="82"/>
        <v>0.367192066876738</v>
      </c>
      <c r="I586" s="1344">
        <f t="shared" si="83"/>
        <v>30404.455140750841</v>
      </c>
      <c r="J586" s="902">
        <f t="shared" si="84"/>
        <v>0</v>
      </c>
      <c r="L586" s="1460">
        <v>2224</v>
      </c>
      <c r="M586" s="1236"/>
      <c r="N586" s="1240" t="s">
        <v>1809</v>
      </c>
      <c r="O586" s="1241" t="s">
        <v>4841</v>
      </c>
      <c r="P586" s="910">
        <f t="shared" si="85"/>
        <v>2224</v>
      </c>
      <c r="Q586" s="910">
        <f t="shared" si="86"/>
        <v>2224</v>
      </c>
      <c r="R586" s="1344">
        <f t="shared" si="87"/>
        <v>4.05</v>
      </c>
      <c r="S586" s="1344">
        <f>(1/9)*cnst_fish!$C$7*(1/cnst_fish!$C$8)^(R586-1)</f>
        <v>158.23337176053329</v>
      </c>
      <c r="T586" s="1362">
        <f t="shared" si="88"/>
        <v>30404.455140750841</v>
      </c>
      <c r="W586" s="1612"/>
      <c r="X586" s="1612"/>
      <c r="Y586" s="1613"/>
      <c r="Z586" s="1614"/>
      <c r="AA586" s="1614"/>
      <c r="AB586" s="1615"/>
      <c r="AC586" s="1615"/>
      <c r="AD586" s="583"/>
      <c r="AE586" s="583"/>
    </row>
    <row r="587" spans="1:31" ht="14">
      <c r="A587" s="1384" t="s">
        <v>131</v>
      </c>
      <c r="B587" s="19" t="s">
        <v>5290</v>
      </c>
      <c r="C587" s="1383">
        <v>3211</v>
      </c>
      <c r="D587" s="1236">
        <v>27</v>
      </c>
      <c r="E587" s="1236"/>
      <c r="F587" s="1344">
        <f>(1/S587)*cnst_fish!$C$6</f>
        <v>9.3130266898023228E-2</v>
      </c>
      <c r="G587" s="1344">
        <f t="shared" si="82"/>
        <v>1</v>
      </c>
      <c r="H587" s="1344">
        <f t="shared" si="82"/>
        <v>0.367192066876738</v>
      </c>
      <c r="I587" s="1344">
        <f t="shared" si="83"/>
        <v>106.45503482265188</v>
      </c>
      <c r="J587" s="902">
        <f t="shared" si="84"/>
        <v>0</v>
      </c>
      <c r="L587" s="1460">
        <v>271</v>
      </c>
      <c r="M587" s="1236"/>
      <c r="N587" s="1240" t="s">
        <v>1806</v>
      </c>
      <c r="O587" s="1241" t="s">
        <v>4841</v>
      </c>
      <c r="P587" s="910">
        <f t="shared" si="85"/>
        <v>27</v>
      </c>
      <c r="Q587" s="910">
        <f t="shared" si="86"/>
        <v>271</v>
      </c>
      <c r="R587" s="1344">
        <f t="shared" si="87"/>
        <v>3.51</v>
      </c>
      <c r="S587" s="1344">
        <f>(1/9)*cnst_fish!$C$7*(1/cnst_fish!$C$8)^(R587-1)</f>
        <v>45.635002900332182</v>
      </c>
      <c r="T587" s="1362">
        <f t="shared" si="88"/>
        <v>1068.4931272940244</v>
      </c>
      <c r="W587" s="1612"/>
      <c r="X587" s="1612"/>
      <c r="Y587" s="1613"/>
      <c r="Z587" s="1614"/>
      <c r="AA587" s="1614"/>
      <c r="AB587" s="1615"/>
      <c r="AC587" s="1615"/>
      <c r="AD587" s="583"/>
      <c r="AE587" s="583"/>
    </row>
    <row r="588" spans="1:31" ht="14">
      <c r="A588" s="1384" t="s">
        <v>2327</v>
      </c>
      <c r="B588" s="19" t="s">
        <v>4669</v>
      </c>
      <c r="C588" s="1383">
        <v>3092</v>
      </c>
      <c r="D588" s="1236"/>
      <c r="E588" s="1236"/>
      <c r="F588" s="1344">
        <f>(1/S588)*cnst_fish!$C$6</f>
        <v>0.12855555498429813</v>
      </c>
      <c r="G588" s="1344">
        <f t="shared" ref="G588:H607" si="89">G$7</f>
        <v>1</v>
      </c>
      <c r="H588" s="1344">
        <f t="shared" si="89"/>
        <v>0.367192066876738</v>
      </c>
      <c r="I588" s="1344">
        <f t="shared" si="83"/>
        <v>0</v>
      </c>
      <c r="J588" s="902">
        <f t="shared" si="84"/>
        <v>0</v>
      </c>
      <c r="L588" s="1460">
        <v>107</v>
      </c>
      <c r="M588" s="1236"/>
      <c r="N588" s="1240" t="s">
        <v>1806</v>
      </c>
      <c r="O588" s="1241" t="s">
        <v>4841</v>
      </c>
      <c r="P588" s="910">
        <f t="shared" si="85"/>
        <v>0</v>
      </c>
      <c r="Q588" s="910">
        <f t="shared" si="86"/>
        <v>107</v>
      </c>
      <c r="R588" s="1344">
        <f t="shared" si="87"/>
        <v>3.37</v>
      </c>
      <c r="S588" s="1344">
        <f>(1/9)*cnst_fish!$C$7*(1/cnst_fish!$C$8)^(R588-1)</f>
        <v>33.059637139127112</v>
      </c>
      <c r="T588" s="1362">
        <f t="shared" si="88"/>
        <v>305.62313048712537</v>
      </c>
      <c r="W588" s="1612"/>
      <c r="X588" s="1612"/>
      <c r="Y588" s="1613"/>
      <c r="Z588" s="1614"/>
      <c r="AA588" s="1614"/>
      <c r="AB588" s="1615"/>
      <c r="AC588" s="1615"/>
      <c r="AD588" s="583"/>
      <c r="AE588" s="583"/>
    </row>
    <row r="589" spans="1:31" ht="14">
      <c r="A589" s="1384" t="s">
        <v>4137</v>
      </c>
      <c r="B589" s="19" t="s">
        <v>2319</v>
      </c>
      <c r="C589" s="1383">
        <v>3093</v>
      </c>
      <c r="D589" s="1236"/>
      <c r="E589" s="1236"/>
      <c r="F589" s="1344">
        <f>(1/S589)*cnst_fish!$C$6</f>
        <v>0.14424170509541331</v>
      </c>
      <c r="G589" s="1344">
        <f t="shared" si="89"/>
        <v>1</v>
      </c>
      <c r="H589" s="1344">
        <f t="shared" si="89"/>
        <v>0.367192066876738</v>
      </c>
      <c r="I589" s="1344">
        <f t="shared" si="83"/>
        <v>0</v>
      </c>
      <c r="J589" s="902">
        <f t="shared" si="84"/>
        <v>0</v>
      </c>
      <c r="L589" s="1460">
        <v>601</v>
      </c>
      <c r="M589" s="1236"/>
      <c r="N589" s="1240" t="s">
        <v>1806</v>
      </c>
      <c r="O589" s="1241" t="s">
        <v>4841</v>
      </c>
      <c r="P589" s="910">
        <f t="shared" si="85"/>
        <v>0</v>
      </c>
      <c r="Q589" s="910">
        <f t="shared" si="86"/>
        <v>601</v>
      </c>
      <c r="R589" s="1344">
        <f t="shared" si="87"/>
        <v>3.32</v>
      </c>
      <c r="S589" s="1344">
        <f>(1/9)*cnst_fish!$C$7*(1/cnst_fish!$C$8)^(R589-1)</f>
        <v>29.464432614608246</v>
      </c>
      <c r="T589" s="1362">
        <f t="shared" si="88"/>
        <v>1529.9488594296777</v>
      </c>
      <c r="W589" s="1612"/>
      <c r="X589" s="1612"/>
      <c r="Y589" s="1613"/>
      <c r="Z589" s="1614"/>
      <c r="AA589" s="1614"/>
      <c r="AB589" s="1615"/>
      <c r="AC589" s="1615"/>
      <c r="AD589" s="583"/>
      <c r="AE589" s="583"/>
    </row>
    <row r="590" spans="1:31" ht="14">
      <c r="A590" s="1384" t="s">
        <v>6820</v>
      </c>
      <c r="B590" s="19" t="s">
        <v>6819</v>
      </c>
      <c r="C590" s="1383">
        <v>12051</v>
      </c>
      <c r="D590" s="1236">
        <v>4</v>
      </c>
      <c r="E590" s="1236"/>
      <c r="F590" s="1344">
        <f>(1/S590)*cnst_fish!$C$6</f>
        <v>3.0136363636363641</v>
      </c>
      <c r="G590" s="1344">
        <f t="shared" si="89"/>
        <v>1</v>
      </c>
      <c r="H590" s="1344">
        <f t="shared" si="89"/>
        <v>0.367192066876738</v>
      </c>
      <c r="I590" s="1344">
        <f t="shared" si="83"/>
        <v>0.48737408574891306</v>
      </c>
      <c r="J590" s="902">
        <f t="shared" si="84"/>
        <v>0</v>
      </c>
      <c r="L590" s="1460">
        <v>4</v>
      </c>
      <c r="M590" s="1236"/>
      <c r="N590" s="1240" t="s">
        <v>1806</v>
      </c>
      <c r="O590" s="1241" t="s">
        <v>4841</v>
      </c>
      <c r="P590" s="910">
        <f t="shared" si="85"/>
        <v>4</v>
      </c>
      <c r="Q590" s="910">
        <f t="shared" si="86"/>
        <v>4</v>
      </c>
      <c r="R590" s="1344">
        <f t="shared" si="87"/>
        <v>2</v>
      </c>
      <c r="S590" s="1344">
        <f>(1/9)*cnst_fish!$C$7*(1/cnst_fish!$C$8)^(R590-1)</f>
        <v>1.4102564102564099</v>
      </c>
      <c r="T590" s="1362">
        <f t="shared" si="88"/>
        <v>0.48737408574891306</v>
      </c>
      <c r="W590" s="1612"/>
      <c r="X590" s="1612"/>
      <c r="Y590" s="1613"/>
      <c r="Z590" s="1614"/>
      <c r="AA590" s="1614"/>
      <c r="AB590" s="1615"/>
      <c r="AC590" s="1615"/>
      <c r="AD590" s="583"/>
      <c r="AE590" s="583"/>
    </row>
    <row r="591" spans="1:31" ht="14">
      <c r="A591" s="1384" t="s">
        <v>4276</v>
      </c>
      <c r="B591" s="19" t="s">
        <v>2612</v>
      </c>
      <c r="C591" s="1383">
        <v>3072</v>
      </c>
      <c r="D591" s="1236"/>
      <c r="E591" s="1236"/>
      <c r="F591" s="1344">
        <f>(1/S591)*cnst_fish!$C$6</f>
        <v>2.8780003842373291E-2</v>
      </c>
      <c r="G591" s="1344">
        <f t="shared" si="89"/>
        <v>1</v>
      </c>
      <c r="H591" s="1344">
        <f t="shared" si="89"/>
        <v>0.367192066876738</v>
      </c>
      <c r="I591" s="1344">
        <f t="shared" si="83"/>
        <v>0</v>
      </c>
      <c r="J591" s="902">
        <f t="shared" si="84"/>
        <v>0</v>
      </c>
      <c r="L591" s="1460">
        <v>3802</v>
      </c>
      <c r="M591" s="1236"/>
      <c r="N591" s="1240" t="s">
        <v>1806</v>
      </c>
      <c r="O591" s="1241" t="s">
        <v>4841</v>
      </c>
      <c r="P591" s="910">
        <f t="shared" si="85"/>
        <v>0</v>
      </c>
      <c r="Q591" s="910">
        <f t="shared" si="86"/>
        <v>3802</v>
      </c>
      <c r="R591" s="1344">
        <f t="shared" si="87"/>
        <v>4.0199999999999996</v>
      </c>
      <c r="S591" s="1344">
        <f>(1/9)*cnst_fish!$C$7*(1/cnst_fish!$C$8)^(R591-1)</f>
        <v>147.67197472512677</v>
      </c>
      <c r="T591" s="1362">
        <f t="shared" si="88"/>
        <v>48508.132448888304</v>
      </c>
      <c r="W591" s="1612"/>
      <c r="X591" s="1612"/>
      <c r="Y591" s="1613"/>
      <c r="Z591" s="1614"/>
      <c r="AA591" s="1614"/>
      <c r="AB591" s="1615"/>
      <c r="AC591" s="1615"/>
      <c r="AD591" s="583"/>
      <c r="AE591" s="583"/>
    </row>
    <row r="592" spans="1:31" ht="14">
      <c r="A592" s="1384" t="s">
        <v>2190</v>
      </c>
      <c r="B592" s="19" t="s">
        <v>2613</v>
      </c>
      <c r="C592" s="1383">
        <v>3074</v>
      </c>
      <c r="D592" s="1236"/>
      <c r="E592" s="1236"/>
      <c r="F592" s="1344">
        <f>(1/S592)*cnst_fish!$C$6</f>
        <v>4.3560298545661361E-2</v>
      </c>
      <c r="G592" s="1344">
        <f t="shared" si="89"/>
        <v>1</v>
      </c>
      <c r="H592" s="1344">
        <f t="shared" si="89"/>
        <v>0.367192066876738</v>
      </c>
      <c r="I592" s="1344">
        <f t="shared" si="83"/>
        <v>0</v>
      </c>
      <c r="J592" s="902">
        <f t="shared" si="84"/>
        <v>0</v>
      </c>
      <c r="L592" s="1460">
        <v>2</v>
      </c>
      <c r="M592" s="1236"/>
      <c r="N592" s="1240" t="s">
        <v>1806</v>
      </c>
      <c r="O592" s="1241" t="s">
        <v>4841</v>
      </c>
      <c r="P592" s="910">
        <f t="shared" si="85"/>
        <v>0</v>
      </c>
      <c r="Q592" s="910">
        <f t="shared" si="86"/>
        <v>2</v>
      </c>
      <c r="R592" s="1344">
        <f t="shared" si="87"/>
        <v>3.84</v>
      </c>
      <c r="S592" s="1344">
        <f>(1/9)*cnst_fish!$C$7*(1/cnst_fish!$C$8)^(R592-1)</f>
        <v>97.565906155234643</v>
      </c>
      <c r="T592" s="1362">
        <f t="shared" si="88"/>
        <v>16.859024347219982</v>
      </c>
      <c r="W592" s="1612"/>
      <c r="X592" s="1612"/>
      <c r="Y592" s="1613"/>
      <c r="Z592" s="1614"/>
      <c r="AA592" s="1614"/>
      <c r="AB592" s="1615"/>
      <c r="AC592" s="1615"/>
      <c r="AD592" s="583"/>
      <c r="AE592" s="583"/>
    </row>
    <row r="593" spans="1:31" ht="14">
      <c r="A593" s="1384" t="s">
        <v>2769</v>
      </c>
      <c r="B593" s="19" t="s">
        <v>5621</v>
      </c>
      <c r="C593" s="1383">
        <v>3076</v>
      </c>
      <c r="D593" s="1236"/>
      <c r="E593" s="1236"/>
      <c r="F593" s="1344">
        <f>(1/S593)*cnst_fish!$C$6</f>
        <v>7.9266712664847111E-2</v>
      </c>
      <c r="G593" s="1344">
        <f t="shared" si="89"/>
        <v>1</v>
      </c>
      <c r="H593" s="1344">
        <f t="shared" si="89"/>
        <v>0.367192066876738</v>
      </c>
      <c r="I593" s="1344">
        <f t="shared" si="83"/>
        <v>0</v>
      </c>
      <c r="J593" s="902">
        <f t="shared" si="84"/>
        <v>0</v>
      </c>
      <c r="L593" s="1460">
        <v>573</v>
      </c>
      <c r="M593" s="1236"/>
      <c r="N593" s="1240" t="s">
        <v>1806</v>
      </c>
      <c r="O593" s="1241" t="s">
        <v>4841</v>
      </c>
      <c r="P593" s="910">
        <f t="shared" si="85"/>
        <v>0</v>
      </c>
      <c r="Q593" s="910">
        <f t="shared" si="86"/>
        <v>573</v>
      </c>
      <c r="R593" s="1344">
        <f t="shared" si="87"/>
        <v>3.58</v>
      </c>
      <c r="S593" s="1344">
        <f>(1/9)*cnst_fish!$C$7*(1/cnst_fish!$C$8)^(R593-1)</f>
        <v>53.616453327258682</v>
      </c>
      <c r="T593" s="1362">
        <f t="shared" si="88"/>
        <v>2654.3431315233374</v>
      </c>
      <c r="W593" s="1612"/>
      <c r="X593" s="1612"/>
      <c r="Y593" s="1613"/>
      <c r="Z593" s="1614"/>
      <c r="AA593" s="1614"/>
      <c r="AB593" s="1615"/>
      <c r="AC593" s="1615"/>
      <c r="AD593" s="583"/>
      <c r="AE593" s="583"/>
    </row>
    <row r="594" spans="1:31" ht="14">
      <c r="A594" s="1585" t="s">
        <v>8538</v>
      </c>
      <c r="B594" s="1586" t="s">
        <v>8539</v>
      </c>
      <c r="C594" s="1383">
        <v>12056</v>
      </c>
      <c r="D594" s="1236"/>
      <c r="E594" s="1236"/>
      <c r="F594" s="1344">
        <f>(1/S594)*cnst_fish!$C$6</f>
        <v>3.7939434000887833E-2</v>
      </c>
      <c r="G594" s="1344">
        <f t="shared" si="89"/>
        <v>1</v>
      </c>
      <c r="H594" s="1344">
        <f t="shared" si="89"/>
        <v>0.367192066876738</v>
      </c>
      <c r="I594" s="1344">
        <f t="shared" si="83"/>
        <v>0</v>
      </c>
      <c r="J594" s="902">
        <f t="shared" si="84"/>
        <v>0</v>
      </c>
      <c r="L594" s="1460">
        <v>2800</v>
      </c>
      <c r="M594" s="1236"/>
      <c r="N594" s="1240" t="s">
        <v>1806</v>
      </c>
      <c r="O594" s="1241" t="s">
        <v>4841</v>
      </c>
      <c r="P594" s="910">
        <f t="shared" si="85"/>
        <v>0</v>
      </c>
      <c r="Q594" s="910">
        <f t="shared" si="86"/>
        <v>2800</v>
      </c>
      <c r="R594" s="1344">
        <f t="shared" si="87"/>
        <v>3.9</v>
      </c>
      <c r="S594" s="1344">
        <f>(1/9)*cnst_fish!$C$7*(1/cnst_fish!$C$8)^(R594-1)</f>
        <v>112.02064848675771</v>
      </c>
      <c r="T594" s="1362">
        <f t="shared" si="88"/>
        <v>27099.449802830655</v>
      </c>
      <c r="W594" s="1616"/>
      <c r="X594" s="1616"/>
      <c r="Y594" s="1613"/>
      <c r="Z594" s="1614"/>
      <c r="AA594" s="1614"/>
      <c r="AB594" s="1615"/>
      <c r="AC594" s="1615"/>
      <c r="AD594" s="583"/>
      <c r="AE594" s="583"/>
    </row>
    <row r="595" spans="1:31" ht="14">
      <c r="A595" s="1384" t="s">
        <v>6943</v>
      </c>
      <c r="B595" s="19" t="s">
        <v>6942</v>
      </c>
      <c r="C595" s="1383">
        <v>18917</v>
      </c>
      <c r="D595" s="1236"/>
      <c r="E595" s="1236"/>
      <c r="F595" s="1344">
        <f>(1/S595)*cnst_fish!$C$6</f>
        <v>3.0136363636363641</v>
      </c>
      <c r="G595" s="1344">
        <f t="shared" si="89"/>
        <v>1</v>
      </c>
      <c r="H595" s="1344">
        <f t="shared" si="89"/>
        <v>0.367192066876738</v>
      </c>
      <c r="I595" s="1344">
        <f t="shared" si="83"/>
        <v>0</v>
      </c>
      <c r="J595" s="902">
        <f t="shared" si="84"/>
        <v>0</v>
      </c>
      <c r="L595" s="1460">
        <v>1</v>
      </c>
      <c r="M595" s="1236"/>
      <c r="N595" s="1240" t="s">
        <v>1806</v>
      </c>
      <c r="O595" s="1241" t="s">
        <v>4841</v>
      </c>
      <c r="P595" s="910">
        <f t="shared" si="85"/>
        <v>0</v>
      </c>
      <c r="Q595" s="910">
        <f t="shared" si="86"/>
        <v>1</v>
      </c>
      <c r="R595" s="1344">
        <f t="shared" si="87"/>
        <v>2</v>
      </c>
      <c r="S595" s="1344">
        <f>(1/9)*cnst_fish!$C$7*(1/cnst_fish!$C$8)^(R595-1)</f>
        <v>1.4102564102564099</v>
      </c>
      <c r="T595" s="1362">
        <f t="shared" si="88"/>
        <v>0.12184352143722826</v>
      </c>
      <c r="W595" s="1612"/>
      <c r="X595" s="1612"/>
      <c r="Y595" s="1613"/>
      <c r="Z595" s="1614"/>
      <c r="AA595" s="1614"/>
      <c r="AB595" s="1615"/>
      <c r="AC595" s="1615"/>
      <c r="AD595" s="583"/>
      <c r="AE595" s="583"/>
    </row>
    <row r="596" spans="1:31" ht="14">
      <c r="A596" s="1384" t="s">
        <v>209</v>
      </c>
      <c r="B596" s="19" t="s">
        <v>210</v>
      </c>
      <c r="C596" s="1383">
        <v>12058</v>
      </c>
      <c r="D596" s="1236"/>
      <c r="E596" s="1236"/>
      <c r="F596" s="1344">
        <f>(1/S596)*cnst_fish!$C$6</f>
        <v>5.1178888253733429E-2</v>
      </c>
      <c r="G596" s="1344">
        <f t="shared" si="89"/>
        <v>1</v>
      </c>
      <c r="H596" s="1344">
        <f t="shared" si="89"/>
        <v>0.367192066876738</v>
      </c>
      <c r="I596" s="1344">
        <f t="shared" si="83"/>
        <v>0</v>
      </c>
      <c r="J596" s="902">
        <f t="shared" si="84"/>
        <v>0</v>
      </c>
      <c r="L596" s="1460">
        <v>0</v>
      </c>
      <c r="M596" s="1236"/>
      <c r="N596" s="1240" t="s">
        <v>1806</v>
      </c>
      <c r="O596" s="1241" t="s">
        <v>4841</v>
      </c>
      <c r="P596" s="910">
        <f t="shared" si="85"/>
        <v>0</v>
      </c>
      <c r="Q596" s="910">
        <f t="shared" si="86"/>
        <v>0</v>
      </c>
      <c r="R596" s="1344">
        <f t="shared" si="87"/>
        <v>3.77</v>
      </c>
      <c r="S596" s="1344">
        <f>(1/9)*cnst_fish!$C$7*(1/cnst_fish!$C$8)^(R596-1)</f>
        <v>83.042053960403649</v>
      </c>
      <c r="T596" s="1362">
        <f t="shared" si="88"/>
        <v>0</v>
      </c>
      <c r="W596" s="1612"/>
      <c r="X596" s="1612"/>
      <c r="Y596" s="1613"/>
      <c r="Z596" s="1614"/>
      <c r="AA596" s="1614"/>
      <c r="AB596" s="1615"/>
      <c r="AC596" s="1615"/>
      <c r="AD596" s="583"/>
      <c r="AE596" s="583"/>
    </row>
    <row r="597" spans="1:31" ht="14">
      <c r="A597" s="1384" t="s">
        <v>3901</v>
      </c>
      <c r="B597" s="19" t="s">
        <v>5622</v>
      </c>
      <c r="C597" s="1383">
        <v>12059</v>
      </c>
      <c r="D597" s="1236"/>
      <c r="E597" s="1236"/>
      <c r="F597" s="1344">
        <f>(1/S597)*cnst_fish!$C$6</f>
        <v>3.0838329721915438E-2</v>
      </c>
      <c r="G597" s="1344">
        <f t="shared" si="89"/>
        <v>1</v>
      </c>
      <c r="H597" s="1344">
        <f t="shared" si="89"/>
        <v>0.367192066876738</v>
      </c>
      <c r="I597" s="1344">
        <f t="shared" si="83"/>
        <v>0</v>
      </c>
      <c r="J597" s="902">
        <f t="shared" si="84"/>
        <v>0</v>
      </c>
      <c r="L597" s="1460">
        <v>59</v>
      </c>
      <c r="M597" s="1236"/>
      <c r="N597" s="1240" t="s">
        <v>1806</v>
      </c>
      <c r="O597" s="1241" t="s">
        <v>4841</v>
      </c>
      <c r="P597" s="910">
        <f t="shared" si="85"/>
        <v>0</v>
      </c>
      <c r="Q597" s="910">
        <f t="shared" si="86"/>
        <v>59</v>
      </c>
      <c r="R597" s="1344">
        <f t="shared" si="87"/>
        <v>3.99</v>
      </c>
      <c r="S597" s="1344">
        <f>(1/9)*cnst_fish!$C$7*(1/cnst_fish!$C$8)^(R597-1)</f>
        <v>137.81550551940927</v>
      </c>
      <c r="T597" s="1362">
        <f t="shared" si="88"/>
        <v>702.51314325664202</v>
      </c>
      <c r="W597" s="1612"/>
      <c r="X597" s="1612"/>
      <c r="Y597" s="1613"/>
      <c r="Z597" s="1614"/>
      <c r="AA597" s="1614"/>
      <c r="AB597" s="1615"/>
      <c r="AC597" s="1615"/>
      <c r="AD597" s="583"/>
      <c r="AE597" s="583"/>
    </row>
    <row r="598" spans="1:31" ht="14">
      <c r="A598" s="1384" t="s">
        <v>1645</v>
      </c>
      <c r="B598" s="19" t="s">
        <v>5623</v>
      </c>
      <c r="C598" s="1383">
        <v>12061</v>
      </c>
      <c r="D598" s="1236"/>
      <c r="E598" s="1236"/>
      <c r="F598" s="1344">
        <f>(1/S598)*cnst_fish!$C$6</f>
        <v>3.7939434000887833E-2</v>
      </c>
      <c r="G598" s="1344">
        <f t="shared" si="89"/>
        <v>1</v>
      </c>
      <c r="H598" s="1344">
        <f t="shared" si="89"/>
        <v>0.367192066876738</v>
      </c>
      <c r="I598" s="1344">
        <f t="shared" si="83"/>
        <v>0</v>
      </c>
      <c r="J598" s="902">
        <f t="shared" si="84"/>
        <v>0</v>
      </c>
      <c r="L598" s="1460">
        <v>8572</v>
      </c>
      <c r="M598" s="1236"/>
      <c r="N598" s="1240" t="s">
        <v>1806</v>
      </c>
      <c r="O598" s="1241" t="s">
        <v>4841</v>
      </c>
      <c r="P598" s="910">
        <f t="shared" si="85"/>
        <v>0</v>
      </c>
      <c r="Q598" s="910">
        <f t="shared" si="86"/>
        <v>8572</v>
      </c>
      <c r="R598" s="1344">
        <f t="shared" si="87"/>
        <v>3.9</v>
      </c>
      <c r="S598" s="1344">
        <f>(1/9)*cnst_fish!$C$7*(1/cnst_fish!$C$8)^(R598-1)</f>
        <v>112.02064848675771</v>
      </c>
      <c r="T598" s="1362">
        <f t="shared" si="88"/>
        <v>82963.029896380132</v>
      </c>
      <c r="W598" s="1612"/>
      <c r="X598" s="1612"/>
      <c r="Y598" s="1613"/>
      <c r="Z598" s="1614"/>
      <c r="AA598" s="1614"/>
      <c r="AB598" s="1615"/>
      <c r="AC598" s="1615"/>
      <c r="AD598" s="583"/>
      <c r="AE598" s="583"/>
    </row>
    <row r="599" spans="1:31" ht="14">
      <c r="A599" s="1384" t="s">
        <v>6886</v>
      </c>
      <c r="B599" s="19" t="s">
        <v>6885</v>
      </c>
      <c r="C599" s="1383">
        <v>12066</v>
      </c>
      <c r="D599" s="1236">
        <v>19</v>
      </c>
      <c r="E599" s="1236"/>
      <c r="F599" s="1344">
        <f>(1/S599)*cnst_fish!$C$6</f>
        <v>3.0136363636363641</v>
      </c>
      <c r="G599" s="1344">
        <f t="shared" si="89"/>
        <v>1</v>
      </c>
      <c r="H599" s="1344">
        <f t="shared" si="89"/>
        <v>0.367192066876738</v>
      </c>
      <c r="I599" s="1344">
        <f t="shared" si="83"/>
        <v>2.3150269073073373</v>
      </c>
      <c r="J599" s="902">
        <f t="shared" si="84"/>
        <v>0</v>
      </c>
      <c r="L599" s="1460">
        <v>19</v>
      </c>
      <c r="M599" s="1236"/>
      <c r="N599" s="1240" t="s">
        <v>1806</v>
      </c>
      <c r="O599" s="1241" t="s">
        <v>4841</v>
      </c>
      <c r="P599" s="910">
        <f t="shared" si="85"/>
        <v>19</v>
      </c>
      <c r="Q599" s="910">
        <f t="shared" si="86"/>
        <v>19</v>
      </c>
      <c r="R599" s="1344">
        <f t="shared" si="87"/>
        <v>2</v>
      </c>
      <c r="S599" s="1344">
        <f>(1/9)*cnst_fish!$C$7*(1/cnst_fish!$C$8)^(R599-1)</f>
        <v>1.4102564102564099</v>
      </c>
      <c r="T599" s="1362">
        <f t="shared" si="88"/>
        <v>2.3150269073073373</v>
      </c>
      <c r="W599" s="1612"/>
      <c r="X599" s="1612"/>
      <c r="Y599" s="1613"/>
      <c r="Z599" s="1614"/>
      <c r="AA599" s="1614"/>
      <c r="AB599" s="1615"/>
      <c r="AC599" s="1615"/>
      <c r="AD599" s="583"/>
      <c r="AE599" s="583"/>
    </row>
    <row r="600" spans="1:31" ht="14">
      <c r="A600" s="1384" t="s">
        <v>263</v>
      </c>
      <c r="B600" s="19" t="s">
        <v>5624</v>
      </c>
      <c r="C600" s="1383">
        <v>12068</v>
      </c>
      <c r="D600" s="1236"/>
      <c r="E600" s="1236"/>
      <c r="F600" s="1344">
        <f>(1/S600)*cnst_fish!$C$6</f>
        <v>6.2963787943464855E-2</v>
      </c>
      <c r="G600" s="1344">
        <f t="shared" si="89"/>
        <v>1</v>
      </c>
      <c r="H600" s="1344">
        <f t="shared" si="89"/>
        <v>0.367192066876738</v>
      </c>
      <c r="I600" s="1344">
        <f t="shared" si="83"/>
        <v>0</v>
      </c>
      <c r="J600" s="902">
        <f t="shared" si="84"/>
        <v>0</v>
      </c>
      <c r="L600" s="1460"/>
      <c r="M600" s="1236"/>
      <c r="N600" s="1240" t="s">
        <v>1806</v>
      </c>
      <c r="O600" s="1241" t="s">
        <v>4841</v>
      </c>
      <c r="P600" s="910">
        <f t="shared" si="85"/>
        <v>0</v>
      </c>
      <c r="Q600" s="910">
        <f t="shared" si="86"/>
        <v>0</v>
      </c>
      <c r="R600" s="1344">
        <f t="shared" si="87"/>
        <v>3.68</v>
      </c>
      <c r="S600" s="1344">
        <f>(1/9)*cnst_fish!$C$7*(1/cnst_fish!$C$8)^(R600-1)</f>
        <v>67.499115583961881</v>
      </c>
      <c r="T600" s="1362">
        <f t="shared" si="88"/>
        <v>0</v>
      </c>
      <c r="W600" s="1612"/>
      <c r="X600" s="1612"/>
      <c r="Y600" s="1613"/>
      <c r="Z600" s="1614"/>
      <c r="AA600" s="1614"/>
      <c r="AB600" s="1615"/>
      <c r="AC600" s="1615"/>
      <c r="AD600" s="583"/>
      <c r="AE600" s="583"/>
    </row>
    <row r="601" spans="1:31" ht="14">
      <c r="A601" s="1384" t="s">
        <v>1038</v>
      </c>
      <c r="B601" s="19" t="s">
        <v>896</v>
      </c>
      <c r="C601" s="1383">
        <v>12070</v>
      </c>
      <c r="D601" s="1236">
        <v>359</v>
      </c>
      <c r="E601" s="1236"/>
      <c r="F601" s="1344">
        <f>(1/S601)*cnst_fish!$C$6</f>
        <v>4.5613232168782068E-2</v>
      </c>
      <c r="G601" s="1344">
        <f t="shared" si="89"/>
        <v>1</v>
      </c>
      <c r="H601" s="1344">
        <f t="shared" si="89"/>
        <v>0.367192066876738</v>
      </c>
      <c r="I601" s="1344">
        <f t="shared" si="83"/>
        <v>2889.9936650174195</v>
      </c>
      <c r="J601" s="902">
        <f t="shared" si="84"/>
        <v>0</v>
      </c>
      <c r="L601" s="1460">
        <v>359</v>
      </c>
      <c r="M601" s="1236"/>
      <c r="N601" s="1240" t="s">
        <v>1806</v>
      </c>
      <c r="O601" s="1241" t="s">
        <v>4841</v>
      </c>
      <c r="P601" s="910">
        <f t="shared" si="85"/>
        <v>359</v>
      </c>
      <c r="Q601" s="910">
        <f t="shared" si="86"/>
        <v>359</v>
      </c>
      <c r="R601" s="1344">
        <f t="shared" si="87"/>
        <v>3.82</v>
      </c>
      <c r="S601" s="1344">
        <f>(1/9)*cnst_fish!$C$7*(1/cnst_fish!$C$8)^(R601-1)</f>
        <v>93.174717026712301</v>
      </c>
      <c r="T601" s="1362">
        <f t="shared" si="88"/>
        <v>2889.9936650174195</v>
      </c>
      <c r="W601" s="1612"/>
      <c r="X601" s="1612"/>
      <c r="Y601" s="1613"/>
      <c r="Z601" s="1614"/>
      <c r="AA601" s="1614"/>
      <c r="AB601" s="1615"/>
      <c r="AC601" s="1615"/>
      <c r="AD601" s="583"/>
      <c r="AE601" s="583"/>
    </row>
    <row r="602" spans="1:31" ht="14">
      <c r="A602" s="1384" t="s">
        <v>749</v>
      </c>
      <c r="B602" s="19" t="s">
        <v>4667</v>
      </c>
      <c r="C602" s="1383">
        <v>18918</v>
      </c>
      <c r="D602" s="1236"/>
      <c r="E602" s="1236"/>
      <c r="F602" s="1344">
        <f>(1/S602)*cnst_fish!$C$6</f>
        <v>2.1831865524078106E-2</v>
      </c>
      <c r="G602" s="1344">
        <f t="shared" si="89"/>
        <v>1</v>
      </c>
      <c r="H602" s="1344">
        <f t="shared" si="89"/>
        <v>0.367192066876738</v>
      </c>
      <c r="I602" s="1344">
        <f t="shared" si="83"/>
        <v>0</v>
      </c>
      <c r="J602" s="902">
        <f t="shared" si="84"/>
        <v>0</v>
      </c>
      <c r="L602" s="1460">
        <v>49</v>
      </c>
      <c r="M602" s="1236"/>
      <c r="N602" s="1240" t="s">
        <v>1806</v>
      </c>
      <c r="O602" s="1241" t="s">
        <v>4841</v>
      </c>
      <c r="P602" s="910">
        <f t="shared" si="85"/>
        <v>0</v>
      </c>
      <c r="Q602" s="910">
        <f t="shared" si="86"/>
        <v>49</v>
      </c>
      <c r="R602" s="1344">
        <f t="shared" si="87"/>
        <v>4.1399999999999997</v>
      </c>
      <c r="S602" s="1344">
        <f>(1/9)*cnst_fish!$C$7*(1/cnst_fish!$C$8)^(R602-1)</f>
        <v>194.66957577732992</v>
      </c>
      <c r="T602" s="1362">
        <f t="shared" si="88"/>
        <v>824.13531070519571</v>
      </c>
      <c r="W602" s="1612"/>
      <c r="X602" s="1612"/>
      <c r="Y602" s="1613"/>
      <c r="Z602" s="1614"/>
      <c r="AA602" s="1614"/>
      <c r="AB602" s="1615"/>
      <c r="AC602" s="1615"/>
      <c r="AD602" s="583"/>
      <c r="AE602" s="583"/>
    </row>
    <row r="603" spans="1:31" ht="14">
      <c r="A603" s="1384" t="s">
        <v>2950</v>
      </c>
      <c r="B603" s="19" t="s">
        <v>5597</v>
      </c>
      <c r="C603" s="1383">
        <v>2281</v>
      </c>
      <c r="D603" s="1236"/>
      <c r="E603" s="1236"/>
      <c r="F603" s="1344">
        <f>(1/S603)*cnst_fish!$C$6</f>
        <v>3.460117504783787E-2</v>
      </c>
      <c r="G603" s="1344">
        <f t="shared" si="89"/>
        <v>1</v>
      </c>
      <c r="H603" s="1344">
        <f t="shared" si="89"/>
        <v>0.367192066876738</v>
      </c>
      <c r="I603" s="1344">
        <f t="shared" si="83"/>
        <v>0</v>
      </c>
      <c r="J603" s="902">
        <f t="shared" si="84"/>
        <v>0</v>
      </c>
      <c r="L603" s="1460">
        <v>91</v>
      </c>
      <c r="M603" s="1236"/>
      <c r="N603" s="1240" t="s">
        <v>1806</v>
      </c>
      <c r="O603" s="1241" t="s">
        <v>4841</v>
      </c>
      <c r="P603" s="910">
        <f t="shared" si="85"/>
        <v>0</v>
      </c>
      <c r="Q603" s="910">
        <f t="shared" si="86"/>
        <v>91</v>
      </c>
      <c r="R603" s="1344">
        <f t="shared" si="87"/>
        <v>3.94</v>
      </c>
      <c r="S603" s="1344">
        <f>(1/9)*cnst_fish!$C$7*(1/cnst_fish!$C$8)^(R603-1)</f>
        <v>122.82819858354985</v>
      </c>
      <c r="T603" s="1362">
        <f t="shared" si="88"/>
        <v>965.70356467911722</v>
      </c>
      <c r="W603" s="1612"/>
      <c r="X603" s="1612"/>
      <c r="Y603" s="1613"/>
      <c r="Z603" s="1614"/>
      <c r="AA603" s="1614"/>
      <c r="AB603" s="1615"/>
      <c r="AC603" s="1615"/>
      <c r="AD603" s="583"/>
      <c r="AE603" s="583"/>
    </row>
    <row r="604" spans="1:31" ht="14">
      <c r="A604" s="1384" t="s">
        <v>5437</v>
      </c>
      <c r="B604" s="19" t="s">
        <v>5598</v>
      </c>
      <c r="C604" s="1383">
        <v>12071</v>
      </c>
      <c r="D604" s="1236">
        <v>2</v>
      </c>
      <c r="E604" s="1236"/>
      <c r="F604" s="1344">
        <f>(1/S604)*cnst_fish!$C$6</f>
        <v>3.9727464439222634E-2</v>
      </c>
      <c r="G604" s="1344">
        <f t="shared" si="89"/>
        <v>1</v>
      </c>
      <c r="H604" s="1344">
        <f t="shared" si="89"/>
        <v>0.367192066876738</v>
      </c>
      <c r="I604" s="1344">
        <f t="shared" si="83"/>
        <v>18.485552604973801</v>
      </c>
      <c r="J604" s="902">
        <f t="shared" si="84"/>
        <v>0</v>
      </c>
      <c r="L604" s="1460">
        <v>219</v>
      </c>
      <c r="M604" s="1236"/>
      <c r="N604" s="1240" t="s">
        <v>1806</v>
      </c>
      <c r="O604" s="1241" t="s">
        <v>4841</v>
      </c>
      <c r="P604" s="910">
        <f t="shared" si="85"/>
        <v>2</v>
      </c>
      <c r="Q604" s="910">
        <f t="shared" si="86"/>
        <v>219</v>
      </c>
      <c r="R604" s="1344">
        <f t="shared" si="87"/>
        <v>3.88</v>
      </c>
      <c r="S604" s="1344">
        <f>(1/9)*cnst_fish!$C$7*(1/cnst_fish!$C$8)^(R604-1)</f>
        <v>106.97888878616692</v>
      </c>
      <c r="T604" s="1362">
        <f t="shared" si="88"/>
        <v>2024.1680102446312</v>
      </c>
      <c r="W604" s="1612"/>
      <c r="X604" s="1612"/>
      <c r="Y604" s="1613"/>
      <c r="Z604" s="1614"/>
      <c r="AA604" s="1614"/>
      <c r="AB604" s="1615"/>
      <c r="AC604" s="1615"/>
      <c r="AD604" s="583"/>
      <c r="AE604" s="583"/>
    </row>
    <row r="605" spans="1:31" ht="14">
      <c r="A605" s="1384" t="s">
        <v>374</v>
      </c>
      <c r="B605" s="19" t="s">
        <v>5599</v>
      </c>
      <c r="C605" s="1383">
        <v>3071</v>
      </c>
      <c r="D605" s="1236"/>
      <c r="E605" s="1236"/>
      <c r="F605" s="1344">
        <f>(1/S605)*cnst_fish!$C$6</f>
        <v>5.6116535073067304E-2</v>
      </c>
      <c r="G605" s="1344">
        <f t="shared" si="89"/>
        <v>1</v>
      </c>
      <c r="H605" s="1344">
        <f t="shared" si="89"/>
        <v>0.367192066876738</v>
      </c>
      <c r="I605" s="1344">
        <f t="shared" si="83"/>
        <v>0</v>
      </c>
      <c r="J605" s="902">
        <f t="shared" si="84"/>
        <v>0</v>
      </c>
      <c r="L605" s="1460">
        <v>1021</v>
      </c>
      <c r="M605" s="1236"/>
      <c r="N605" s="1240" t="s">
        <v>1806</v>
      </c>
      <c r="O605" s="1241" t="s">
        <v>4841</v>
      </c>
      <c r="P605" s="910">
        <f t="shared" si="85"/>
        <v>0</v>
      </c>
      <c r="Q605" s="910">
        <f t="shared" si="86"/>
        <v>1021</v>
      </c>
      <c r="R605" s="1344">
        <f t="shared" si="87"/>
        <v>3.73</v>
      </c>
      <c r="S605" s="1344">
        <f>(1/9)*cnst_fish!$C$7*(1/cnst_fish!$C$8)^(R605-1)</f>
        <v>75.735253334266432</v>
      </c>
      <c r="T605" s="1362">
        <f t="shared" si="88"/>
        <v>6680.7955942575891</v>
      </c>
      <c r="W605" s="1612"/>
      <c r="X605" s="1612"/>
      <c r="Y605" s="1613"/>
      <c r="Z605" s="1614"/>
      <c r="AA605" s="1614"/>
      <c r="AB605" s="1615"/>
      <c r="AC605" s="1615"/>
      <c r="AD605" s="583"/>
      <c r="AE605" s="583"/>
    </row>
    <row r="606" spans="1:31" ht="14">
      <c r="A606" s="1384" t="s">
        <v>3247</v>
      </c>
      <c r="B606" s="19" t="s">
        <v>3248</v>
      </c>
      <c r="C606" s="1383">
        <v>12081</v>
      </c>
      <c r="D606" s="1236"/>
      <c r="E606" s="1236"/>
      <c r="F606" s="1344">
        <f>(1/S606)*cnst_fish!$C$6</f>
        <v>4.8875458843134996E-2</v>
      </c>
      <c r="G606" s="1344">
        <f t="shared" si="89"/>
        <v>1</v>
      </c>
      <c r="H606" s="1344">
        <f t="shared" si="89"/>
        <v>0.367192066876738</v>
      </c>
      <c r="I606" s="1344">
        <f t="shared" si="83"/>
        <v>0</v>
      </c>
      <c r="J606" s="902">
        <f t="shared" si="84"/>
        <v>0</v>
      </c>
      <c r="L606" s="1460">
        <v>6818</v>
      </c>
      <c r="M606" s="1236"/>
      <c r="N606" s="1240" t="s">
        <v>1806</v>
      </c>
      <c r="O606" s="1241" t="s">
        <v>4841</v>
      </c>
      <c r="P606" s="910">
        <f t="shared" si="85"/>
        <v>0</v>
      </c>
      <c r="Q606" s="910">
        <f t="shared" si="86"/>
        <v>6818</v>
      </c>
      <c r="R606" s="1344">
        <f t="shared" si="87"/>
        <v>3.79</v>
      </c>
      <c r="S606" s="1344">
        <f>(1/9)*cnst_fish!$C$7*(1/cnst_fish!$C$8)^(R606-1)</f>
        <v>86.955705390721903</v>
      </c>
      <c r="T606" s="1362">
        <f t="shared" si="88"/>
        <v>51222.342894019523</v>
      </c>
      <c r="W606" s="1612"/>
      <c r="X606" s="1612"/>
      <c r="Y606" s="1613"/>
      <c r="Z606" s="1614"/>
      <c r="AA606" s="1614"/>
      <c r="AB606" s="1615"/>
      <c r="AC606" s="1615"/>
      <c r="AD606" s="583"/>
      <c r="AE606" s="583"/>
    </row>
    <row r="607" spans="1:31" ht="14">
      <c r="A607" s="1384" t="s">
        <v>2095</v>
      </c>
      <c r="B607" s="19" t="s">
        <v>5600</v>
      </c>
      <c r="C607" s="1383">
        <v>3075</v>
      </c>
      <c r="D607" s="1236">
        <v>2498</v>
      </c>
      <c r="E607" s="1236"/>
      <c r="F607" s="1344">
        <f>(1/S607)*cnst_fish!$C$6</f>
        <v>9.7519361156519699E-2</v>
      </c>
      <c r="G607" s="1344">
        <f t="shared" si="89"/>
        <v>1</v>
      </c>
      <c r="H607" s="1344">
        <f t="shared" si="89"/>
        <v>0.367192066876738</v>
      </c>
      <c r="I607" s="1344">
        <f t="shared" si="83"/>
        <v>9405.7812949153904</v>
      </c>
      <c r="J607" s="902">
        <f t="shared" si="84"/>
        <v>0</v>
      </c>
      <c r="L607" s="1460">
        <v>2597</v>
      </c>
      <c r="M607" s="1236"/>
      <c r="N607" s="1240" t="s">
        <v>1806</v>
      </c>
      <c r="O607" s="1241" t="s">
        <v>4841</v>
      </c>
      <c r="P607" s="910">
        <f t="shared" si="85"/>
        <v>2498</v>
      </c>
      <c r="Q607" s="910">
        <f t="shared" si="86"/>
        <v>2597</v>
      </c>
      <c r="R607" s="1344">
        <f t="shared" si="87"/>
        <v>3.49</v>
      </c>
      <c r="S607" s="1344">
        <f>(1/9)*cnst_fish!$C$7*(1/cnst_fish!$C$8)^(R607-1)</f>
        <v>43.581089432884006</v>
      </c>
      <c r="T607" s="1362">
        <f t="shared" si="88"/>
        <v>9778.5484479164406</v>
      </c>
      <c r="W607" s="1612"/>
      <c r="X607" s="1612"/>
      <c r="Y607" s="1613"/>
      <c r="Z607" s="1614"/>
      <c r="AA607" s="1614"/>
      <c r="AB607" s="1615"/>
      <c r="AC607" s="1615"/>
      <c r="AD607" s="583"/>
      <c r="AE607" s="583"/>
    </row>
    <row r="608" spans="1:31" ht="14">
      <c r="A608" s="1384" t="s">
        <v>230</v>
      </c>
      <c r="B608" s="19" t="s">
        <v>5601</v>
      </c>
      <c r="C608" s="1383">
        <v>12082</v>
      </c>
      <c r="D608" s="1236"/>
      <c r="E608" s="1236"/>
      <c r="F608" s="1344">
        <f>(1/S608)*cnst_fish!$C$6</f>
        <v>3.2291695426024204E-2</v>
      </c>
      <c r="G608" s="1344">
        <f t="shared" ref="G608:H627" si="90">G$7</f>
        <v>1</v>
      </c>
      <c r="H608" s="1344">
        <f t="shared" si="90"/>
        <v>0.367192066876738</v>
      </c>
      <c r="I608" s="1344">
        <f t="shared" si="83"/>
        <v>0</v>
      </c>
      <c r="J608" s="902">
        <f t="shared" si="84"/>
        <v>0</v>
      </c>
      <c r="L608" s="1460">
        <v>30</v>
      </c>
      <c r="M608" s="1236"/>
      <c r="N608" s="1240" t="s">
        <v>1806</v>
      </c>
      <c r="O608" s="1241" t="s">
        <v>4841</v>
      </c>
      <c r="P608" s="910">
        <f t="shared" si="85"/>
        <v>0</v>
      </c>
      <c r="Q608" s="910">
        <f t="shared" si="86"/>
        <v>30</v>
      </c>
      <c r="R608" s="1344">
        <f t="shared" si="87"/>
        <v>3.97</v>
      </c>
      <c r="S608" s="1344">
        <f>(1/9)*cnst_fish!$C$7*(1/cnst_fish!$C$8)^(R608-1)</f>
        <v>131.61278600983218</v>
      </c>
      <c r="T608" s="1362">
        <f t="shared" si="88"/>
        <v>341.13297121663135</v>
      </c>
      <c r="W608" s="1612"/>
      <c r="X608" s="1612"/>
      <c r="Y608" s="1613"/>
      <c r="Z608" s="1614"/>
      <c r="AA608" s="1614"/>
      <c r="AB608" s="1615"/>
      <c r="AC608" s="1615"/>
      <c r="AD608" s="583"/>
      <c r="AE608" s="583"/>
    </row>
    <row r="609" spans="1:31" ht="14">
      <c r="A609" s="1384" t="s">
        <v>2568</v>
      </c>
      <c r="B609" s="19" t="s">
        <v>1995</v>
      </c>
      <c r="C609" s="1383">
        <v>18921</v>
      </c>
      <c r="D609" s="1236"/>
      <c r="E609" s="1236"/>
      <c r="F609" s="1344">
        <f>(1/S609)*cnst_fish!$C$6</f>
        <v>4.1599762155986937E-2</v>
      </c>
      <c r="G609" s="1344">
        <f t="shared" si="90"/>
        <v>1</v>
      </c>
      <c r="H609" s="1344">
        <f t="shared" si="90"/>
        <v>0.367192066876738</v>
      </c>
      <c r="I609" s="1344">
        <f t="shared" si="83"/>
        <v>0</v>
      </c>
      <c r="J609" s="902">
        <f t="shared" si="84"/>
        <v>0</v>
      </c>
      <c r="L609" s="1460">
        <v>673</v>
      </c>
      <c r="M609" s="1236"/>
      <c r="N609" s="1240" t="s">
        <v>1806</v>
      </c>
      <c r="O609" s="1241" t="s">
        <v>4841</v>
      </c>
      <c r="P609" s="910">
        <f t="shared" si="85"/>
        <v>0</v>
      </c>
      <c r="Q609" s="910">
        <f t="shared" si="86"/>
        <v>673</v>
      </c>
      <c r="R609" s="1344">
        <f t="shared" si="87"/>
        <v>3.86</v>
      </c>
      <c r="S609" s="1344">
        <f>(1/9)*cnst_fish!$C$7*(1/cnst_fish!$C$8)^(R609-1)</f>
        <v>102.16404565160117</v>
      </c>
      <c r="T609" s="1362">
        <f t="shared" si="88"/>
        <v>5940.4248534262288</v>
      </c>
      <c r="W609" s="1612"/>
      <c r="X609" s="1612"/>
      <c r="Y609" s="1613"/>
      <c r="Z609" s="1614"/>
      <c r="AA609" s="1614"/>
      <c r="AB609" s="1615"/>
      <c r="AC609" s="1615"/>
      <c r="AD609" s="583"/>
      <c r="AE609" s="583"/>
    </row>
    <row r="610" spans="1:31" ht="14">
      <c r="A610" s="1384" t="s">
        <v>6729</v>
      </c>
      <c r="B610" s="19" t="s">
        <v>6728</v>
      </c>
      <c r="C610" s="1383">
        <v>12083</v>
      </c>
      <c r="D610" s="1236"/>
      <c r="E610" s="1236"/>
      <c r="F610" s="1344">
        <f>(1/S610)*cnst_fish!$C$6</f>
        <v>9.5299549485983424E-3</v>
      </c>
      <c r="G610" s="1344">
        <f t="shared" si="90"/>
        <v>1</v>
      </c>
      <c r="H610" s="1344">
        <f t="shared" si="90"/>
        <v>0.367192066876738</v>
      </c>
      <c r="I610" s="1344">
        <f t="shared" si="83"/>
        <v>0</v>
      </c>
      <c r="J610" s="902">
        <f t="shared" si="84"/>
        <v>0</v>
      </c>
      <c r="L610" s="1460">
        <v>2</v>
      </c>
      <c r="M610" s="1236"/>
      <c r="N610" s="1240" t="s">
        <v>1806</v>
      </c>
      <c r="O610" s="1241" t="s">
        <v>4841</v>
      </c>
      <c r="P610" s="910">
        <f t="shared" si="85"/>
        <v>0</v>
      </c>
      <c r="Q610" s="910">
        <f t="shared" si="86"/>
        <v>2</v>
      </c>
      <c r="R610" s="1344">
        <f t="shared" si="87"/>
        <v>4.5</v>
      </c>
      <c r="S610" s="1344">
        <f>(1/9)*cnst_fish!$C$7*(1/cnst_fish!$C$8)^(R610-1)</f>
        <v>445.96223412630997</v>
      </c>
      <c r="T610" s="1362">
        <f t="shared" si="88"/>
        <v>77.060609175438813</v>
      </c>
      <c r="W610" s="1612"/>
      <c r="X610" s="1612"/>
      <c r="Y610" s="1613"/>
      <c r="Z610" s="1614"/>
      <c r="AA610" s="1614"/>
      <c r="AB610" s="1615"/>
      <c r="AC610" s="1615"/>
      <c r="AD610" s="583"/>
      <c r="AE610" s="583"/>
    </row>
    <row r="611" spans="1:31" ht="14">
      <c r="A611" s="1384" t="s">
        <v>5392</v>
      </c>
      <c r="B611" s="19" t="s">
        <v>1996</v>
      </c>
      <c r="C611" s="1383">
        <v>12084</v>
      </c>
      <c r="D611" s="1236">
        <v>52</v>
      </c>
      <c r="E611" s="1236"/>
      <c r="F611" s="1344">
        <f>(1/S611)*cnst_fish!$C$6</f>
        <v>3.2291695426024204E-2</v>
      </c>
      <c r="G611" s="1344">
        <f t="shared" si="90"/>
        <v>1</v>
      </c>
      <c r="H611" s="1344">
        <f t="shared" si="90"/>
        <v>0.367192066876738</v>
      </c>
      <c r="I611" s="1344">
        <f t="shared" si="83"/>
        <v>591.29715010882762</v>
      </c>
      <c r="J611" s="902">
        <f t="shared" si="84"/>
        <v>0</v>
      </c>
      <c r="L611" s="1460">
        <v>52</v>
      </c>
      <c r="M611" s="1236"/>
      <c r="N611" s="1240" t="s">
        <v>1806</v>
      </c>
      <c r="O611" s="1241" t="s">
        <v>4841</v>
      </c>
      <c r="P611" s="910">
        <f t="shared" si="85"/>
        <v>52</v>
      </c>
      <c r="Q611" s="910">
        <f t="shared" si="86"/>
        <v>52</v>
      </c>
      <c r="R611" s="1344">
        <f t="shared" si="87"/>
        <v>3.97</v>
      </c>
      <c r="S611" s="1344">
        <f>(1/9)*cnst_fish!$C$7*(1/cnst_fish!$C$8)^(R611-1)</f>
        <v>131.61278600983218</v>
      </c>
      <c r="T611" s="1362">
        <f t="shared" si="88"/>
        <v>591.29715010882762</v>
      </c>
      <c r="W611" s="1612"/>
      <c r="X611" s="1612"/>
      <c r="Y611" s="1613"/>
      <c r="Z611" s="1614"/>
      <c r="AA611" s="1614"/>
      <c r="AB611" s="1615"/>
      <c r="AC611" s="1615"/>
      <c r="AD611" s="583"/>
      <c r="AE611" s="583"/>
    </row>
    <row r="612" spans="1:31" ht="14">
      <c r="A612" s="1384" t="s">
        <v>2091</v>
      </c>
      <c r="B612" s="19" t="s">
        <v>4944</v>
      </c>
      <c r="C612" s="1383">
        <v>12085</v>
      </c>
      <c r="D612" s="1236">
        <v>100</v>
      </c>
      <c r="E612" s="1236"/>
      <c r="F612" s="1344">
        <f>(1/S612)*cnst_fish!$C$6</f>
        <v>2.7484690295134888E-2</v>
      </c>
      <c r="G612" s="1344">
        <f t="shared" si="90"/>
        <v>1</v>
      </c>
      <c r="H612" s="1344">
        <f t="shared" si="90"/>
        <v>0.367192066876738</v>
      </c>
      <c r="I612" s="1344">
        <f t="shared" si="83"/>
        <v>1335.987645972257</v>
      </c>
      <c r="J612" s="902">
        <f t="shared" si="84"/>
        <v>0</v>
      </c>
      <c r="L612" s="1460">
        <v>100</v>
      </c>
      <c r="M612" s="1236"/>
      <c r="N612" s="1240" t="s">
        <v>1806</v>
      </c>
      <c r="O612" s="1241" t="s">
        <v>4841</v>
      </c>
      <c r="P612" s="910">
        <f t="shared" si="85"/>
        <v>100</v>
      </c>
      <c r="Q612" s="910">
        <f t="shared" si="86"/>
        <v>100</v>
      </c>
      <c r="R612" s="1344">
        <f t="shared" si="87"/>
        <v>4.04</v>
      </c>
      <c r="S612" s="1344">
        <f>(1/9)*cnst_fish!$C$7*(1/cnst_fish!$C$8)^(R612-1)</f>
        <v>154.63154048173138</v>
      </c>
      <c r="T612" s="1362">
        <f t="shared" si="88"/>
        <v>1335.987645972257</v>
      </c>
      <c r="W612" s="1612"/>
      <c r="X612" s="1612"/>
      <c r="Y612" s="1613"/>
      <c r="Z612" s="1614"/>
      <c r="AA612" s="1614"/>
      <c r="AB612" s="1615"/>
      <c r="AC612" s="1615"/>
      <c r="AD612" s="583"/>
      <c r="AE612" s="583"/>
    </row>
    <row r="613" spans="1:31" ht="14">
      <c r="A613" s="1384" t="s">
        <v>6863</v>
      </c>
      <c r="B613" s="19" t="s">
        <v>6862</v>
      </c>
      <c r="C613" s="1383">
        <v>18944</v>
      </c>
      <c r="D613" s="1236"/>
      <c r="E613" s="1236"/>
      <c r="F613" s="1344">
        <f>(1/S613)*cnst_fish!$C$6</f>
        <v>4.7762917572805388E-2</v>
      </c>
      <c r="G613" s="1344">
        <f t="shared" si="90"/>
        <v>1</v>
      </c>
      <c r="H613" s="1344">
        <f t="shared" si="90"/>
        <v>0.367192066876738</v>
      </c>
      <c r="I613" s="1344">
        <f t="shared" si="83"/>
        <v>0</v>
      </c>
      <c r="J613" s="902">
        <f t="shared" si="84"/>
        <v>0</v>
      </c>
      <c r="L613" s="1460">
        <v>448</v>
      </c>
      <c r="M613" s="1236"/>
      <c r="N613" s="1240" t="s">
        <v>1806</v>
      </c>
      <c r="O613" s="1241" t="s">
        <v>4841</v>
      </c>
      <c r="P613" s="910">
        <f t="shared" si="85"/>
        <v>0</v>
      </c>
      <c r="Q613" s="910">
        <f t="shared" si="86"/>
        <v>448</v>
      </c>
      <c r="R613" s="1344">
        <f t="shared" si="87"/>
        <v>3.8</v>
      </c>
      <c r="S613" s="1344">
        <f>(1/9)*cnst_fish!$C$7*(1/cnst_fish!$C$8)^(R613-1)</f>
        <v>88.981163965155432</v>
      </c>
      <c r="T613" s="1362">
        <f t="shared" si="88"/>
        <v>3444.1372998210772</v>
      </c>
      <c r="W613" s="1612"/>
      <c r="X613" s="1612"/>
      <c r="Y613" s="1613"/>
      <c r="Z613" s="1614"/>
      <c r="AA613" s="1614"/>
      <c r="AB613" s="1615"/>
      <c r="AC613" s="1615"/>
      <c r="AD613" s="583"/>
      <c r="AE613" s="583"/>
    </row>
    <row r="614" spans="1:31" ht="14">
      <c r="A614" s="1384" t="s">
        <v>3902</v>
      </c>
      <c r="B614" s="19" t="s">
        <v>1462</v>
      </c>
      <c r="C614" s="1383">
        <v>12086</v>
      </c>
      <c r="D614" s="1236"/>
      <c r="E614" s="1236"/>
      <c r="F614" s="1344">
        <f>(1/S614)*cnst_fish!$C$6</f>
        <v>3.460117504783787E-2</v>
      </c>
      <c r="G614" s="1344">
        <f t="shared" si="90"/>
        <v>1</v>
      </c>
      <c r="H614" s="1344">
        <f t="shared" si="90"/>
        <v>0.367192066876738</v>
      </c>
      <c r="I614" s="1344">
        <f t="shared" si="83"/>
        <v>0</v>
      </c>
      <c r="J614" s="902">
        <f t="shared" si="84"/>
        <v>0</v>
      </c>
      <c r="L614" s="1460"/>
      <c r="M614" s="1236"/>
      <c r="N614" s="1240" t="s">
        <v>1806</v>
      </c>
      <c r="O614" s="1241" t="s">
        <v>4841</v>
      </c>
      <c r="P614" s="910">
        <f t="shared" si="85"/>
        <v>0</v>
      </c>
      <c r="Q614" s="910">
        <f t="shared" si="86"/>
        <v>0</v>
      </c>
      <c r="R614" s="1344">
        <f t="shared" si="87"/>
        <v>3.94</v>
      </c>
      <c r="S614" s="1344">
        <f>(1/9)*cnst_fish!$C$7*(1/cnst_fish!$C$8)^(R614-1)</f>
        <v>122.82819858354985</v>
      </c>
      <c r="T614" s="1362">
        <f t="shared" si="88"/>
        <v>0</v>
      </c>
      <c r="W614" s="1612"/>
      <c r="X614" s="1612"/>
      <c r="Y614" s="1613"/>
      <c r="Z614" s="1614"/>
      <c r="AA614" s="1614"/>
      <c r="AB614" s="1615"/>
      <c r="AC614" s="1615"/>
      <c r="AD614" s="583"/>
      <c r="AE614" s="583"/>
    </row>
    <row r="615" spans="1:31" ht="14">
      <c r="A615" s="1384" t="s">
        <v>3795</v>
      </c>
      <c r="B615" s="19" t="s">
        <v>1463</v>
      </c>
      <c r="C615" s="1383">
        <v>2278</v>
      </c>
      <c r="D615" s="1236">
        <v>0</v>
      </c>
      <c r="E615" s="1236"/>
      <c r="F615" s="1344">
        <f>(1/S615)*cnst_fish!$C$6</f>
        <v>3.7939434000887833E-2</v>
      </c>
      <c r="G615" s="1344">
        <f t="shared" si="90"/>
        <v>1</v>
      </c>
      <c r="H615" s="1344">
        <f t="shared" si="90"/>
        <v>0.367192066876738</v>
      </c>
      <c r="I615" s="1344">
        <f t="shared" si="83"/>
        <v>0</v>
      </c>
      <c r="J615" s="902">
        <f t="shared" si="84"/>
        <v>0</v>
      </c>
      <c r="L615" s="1460">
        <v>146964</v>
      </c>
      <c r="M615" s="1236"/>
      <c r="N615" s="1240" t="s">
        <v>1806</v>
      </c>
      <c r="O615" s="1241" t="s">
        <v>4841</v>
      </c>
      <c r="P615" s="910">
        <f t="shared" si="85"/>
        <v>0</v>
      </c>
      <c r="Q615" s="910">
        <f t="shared" si="86"/>
        <v>146964</v>
      </c>
      <c r="R615" s="1344">
        <f t="shared" si="87"/>
        <v>3.9</v>
      </c>
      <c r="S615" s="1344">
        <f>(1/9)*cnst_fish!$C$7*(1/cnst_fish!$C$8)^(R615-1)</f>
        <v>112.02064848675771</v>
      </c>
      <c r="T615" s="1362">
        <f t="shared" si="88"/>
        <v>1422372.6931511443</v>
      </c>
      <c r="W615" s="1612"/>
      <c r="X615" s="1612"/>
      <c r="Y615" s="1613"/>
      <c r="Z615" s="1614"/>
      <c r="AA615" s="1614"/>
      <c r="AB615" s="1615"/>
      <c r="AC615" s="1615"/>
      <c r="AD615" s="583"/>
      <c r="AE615" s="583"/>
    </row>
    <row r="616" spans="1:31" ht="14">
      <c r="A616" s="1384" t="s">
        <v>834</v>
      </c>
      <c r="B616" s="19" t="s">
        <v>2548</v>
      </c>
      <c r="C616" s="1383">
        <v>2280</v>
      </c>
      <c r="D616" s="1236"/>
      <c r="E616" s="1236"/>
      <c r="F616" s="1344">
        <f>(1/S616)*cnst_fish!$C$6</f>
        <v>2.6247675460949162E-2</v>
      </c>
      <c r="G616" s="1344">
        <f t="shared" si="90"/>
        <v>1</v>
      </c>
      <c r="H616" s="1344">
        <f t="shared" si="90"/>
        <v>0.367192066876738</v>
      </c>
      <c r="I616" s="1344">
        <f t="shared" si="83"/>
        <v>0</v>
      </c>
      <c r="J616" s="902">
        <f t="shared" si="84"/>
        <v>0</v>
      </c>
      <c r="L616" s="1460">
        <v>105</v>
      </c>
      <c r="M616" s="1236"/>
      <c r="N616" s="1240" t="s">
        <v>1806</v>
      </c>
      <c r="O616" s="1241" t="s">
        <v>4841</v>
      </c>
      <c r="P616" s="910">
        <f t="shared" si="85"/>
        <v>0</v>
      </c>
      <c r="Q616" s="910">
        <f t="shared" si="86"/>
        <v>105</v>
      </c>
      <c r="R616" s="1344">
        <f t="shared" si="87"/>
        <v>4.0599999999999996</v>
      </c>
      <c r="S616" s="1344">
        <f>(1/9)*cnst_fish!$C$7*(1/cnst_fish!$C$8)^(R616-1)</f>
        <v>161.91910046750908</v>
      </c>
      <c r="T616" s="1362">
        <f t="shared" si="88"/>
        <v>1468.8983441379105</v>
      </c>
      <c r="W616" s="1612"/>
      <c r="X616" s="1612"/>
      <c r="Y616" s="1613"/>
      <c r="Z616" s="1614"/>
      <c r="AA616" s="1614"/>
      <c r="AB616" s="1615"/>
      <c r="AC616" s="1615"/>
      <c r="AD616" s="583"/>
      <c r="AE616" s="583"/>
    </row>
    <row r="617" spans="1:31" ht="14">
      <c r="A617" s="1384" t="s">
        <v>2566</v>
      </c>
      <c r="B617" s="19" t="s">
        <v>2549</v>
      </c>
      <c r="C617" s="1383">
        <v>18945</v>
      </c>
      <c r="D617" s="1236"/>
      <c r="E617" s="1236"/>
      <c r="F617" s="1344">
        <f>(1/S617)*cnst_fish!$C$6</f>
        <v>4.7762917572805388E-2</v>
      </c>
      <c r="G617" s="1344">
        <f t="shared" si="90"/>
        <v>1</v>
      </c>
      <c r="H617" s="1344">
        <f t="shared" si="90"/>
        <v>0.367192066876738</v>
      </c>
      <c r="I617" s="1344">
        <f t="shared" si="83"/>
        <v>0</v>
      </c>
      <c r="J617" s="902">
        <f t="shared" si="84"/>
        <v>0</v>
      </c>
      <c r="L617" s="1460">
        <v>48</v>
      </c>
      <c r="M617" s="1236"/>
      <c r="N617" s="1240" t="s">
        <v>1806</v>
      </c>
      <c r="O617" s="1241" t="s">
        <v>4841</v>
      </c>
      <c r="P617" s="910">
        <f t="shared" si="85"/>
        <v>0</v>
      </c>
      <c r="Q617" s="910">
        <f t="shared" si="86"/>
        <v>48</v>
      </c>
      <c r="R617" s="1344">
        <f t="shared" si="87"/>
        <v>3.8</v>
      </c>
      <c r="S617" s="1344">
        <f>(1/9)*cnst_fish!$C$7*(1/cnst_fish!$C$8)^(R617-1)</f>
        <v>88.981163965155432</v>
      </c>
      <c r="T617" s="1362">
        <f t="shared" si="88"/>
        <v>369.01471069511541</v>
      </c>
      <c r="W617" s="1612"/>
      <c r="X617" s="1612"/>
      <c r="Y617" s="1613"/>
      <c r="Z617" s="1614"/>
      <c r="AA617" s="1614"/>
      <c r="AB617" s="1615"/>
      <c r="AC617" s="1615"/>
      <c r="AD617" s="583"/>
      <c r="AE617" s="583"/>
    </row>
    <row r="618" spans="1:31" ht="14">
      <c r="A618" s="1384" t="s">
        <v>2770</v>
      </c>
      <c r="B618" s="19" t="s">
        <v>2550</v>
      </c>
      <c r="C618" s="1383">
        <v>3073</v>
      </c>
      <c r="D618" s="1236"/>
      <c r="E618" s="1236"/>
      <c r="F618" s="1344">
        <f>(1/S618)*cnst_fish!$C$6</f>
        <v>2.234039499920492E-2</v>
      </c>
      <c r="G618" s="1344">
        <f t="shared" si="90"/>
        <v>1</v>
      </c>
      <c r="H618" s="1344">
        <f t="shared" si="90"/>
        <v>0.367192066876738</v>
      </c>
      <c r="I618" s="1344">
        <f t="shared" si="83"/>
        <v>0</v>
      </c>
      <c r="J618" s="902">
        <f t="shared" si="84"/>
        <v>0</v>
      </c>
      <c r="L618" s="1460">
        <v>10880</v>
      </c>
      <c r="M618" s="1236"/>
      <c r="N618" s="1240" t="s">
        <v>1806</v>
      </c>
      <c r="O618" s="1241" t="s">
        <v>4841</v>
      </c>
      <c r="P618" s="910">
        <f t="shared" si="85"/>
        <v>0</v>
      </c>
      <c r="Q618" s="910">
        <f t="shared" si="86"/>
        <v>10880</v>
      </c>
      <c r="R618" s="1344">
        <f t="shared" si="87"/>
        <v>4.13</v>
      </c>
      <c r="S618" s="1344">
        <f>(1/9)*cnst_fish!$C$7*(1/cnst_fish!$C$8)^(R618-1)</f>
        <v>190.23835523728451</v>
      </c>
      <c r="T618" s="1362">
        <f t="shared" si="88"/>
        <v>178826.27803855261</v>
      </c>
      <c r="W618" s="1612"/>
      <c r="X618" s="1612"/>
      <c r="Y618" s="1613"/>
      <c r="Z618" s="1614"/>
      <c r="AA618" s="1614"/>
      <c r="AB618" s="1615"/>
      <c r="AC618" s="1615"/>
      <c r="AD618" s="583"/>
      <c r="AE618" s="583"/>
    </row>
    <row r="619" spans="1:31" ht="14">
      <c r="A619" s="1384" t="s">
        <v>6489</v>
      </c>
      <c r="B619" s="19" t="s">
        <v>6488</v>
      </c>
      <c r="C619" s="1383">
        <v>19221</v>
      </c>
      <c r="D619" s="1236"/>
      <c r="E619" s="1236"/>
      <c r="F619" s="1344">
        <f>(1/S619)*cnst_fish!$C$6</f>
        <v>3.0136363636363642E-3</v>
      </c>
      <c r="G619" s="1344">
        <f t="shared" si="90"/>
        <v>1</v>
      </c>
      <c r="H619" s="1344">
        <f t="shared" si="90"/>
        <v>0.367192066876738</v>
      </c>
      <c r="I619" s="1344">
        <f t="shared" si="83"/>
        <v>0</v>
      </c>
      <c r="J619" s="902">
        <f t="shared" si="84"/>
        <v>0</v>
      </c>
      <c r="L619" s="1460">
        <v>144</v>
      </c>
      <c r="M619" s="1236"/>
      <c r="N619" s="1240" t="s">
        <v>1806</v>
      </c>
      <c r="O619" s="1241" t="s">
        <v>4841</v>
      </c>
      <c r="P619" s="910">
        <f t="shared" si="85"/>
        <v>0</v>
      </c>
      <c r="Q619" s="910">
        <f t="shared" si="86"/>
        <v>144</v>
      </c>
      <c r="R619" s="1344">
        <f t="shared" si="87"/>
        <v>5</v>
      </c>
      <c r="S619" s="1344">
        <f>(1/9)*cnst_fish!$C$7*(1/cnst_fish!$C$8)^(R619-1)</f>
        <v>1410.2564102564099</v>
      </c>
      <c r="T619" s="1362">
        <f t="shared" si="88"/>
        <v>17545.467086960871</v>
      </c>
      <c r="W619" s="1612"/>
      <c r="X619" s="1612"/>
      <c r="Y619" s="1613"/>
      <c r="Z619" s="1614"/>
      <c r="AA619" s="1614"/>
      <c r="AB619" s="1615"/>
      <c r="AC619" s="1615"/>
      <c r="AD619" s="583"/>
      <c r="AE619" s="583"/>
    </row>
    <row r="620" spans="1:31" ht="14">
      <c r="A620" s="1384" t="s">
        <v>5249</v>
      </c>
      <c r="B620" s="19" t="s">
        <v>3843</v>
      </c>
      <c r="C620" s="1383">
        <v>3606</v>
      </c>
      <c r="D620" s="1236"/>
      <c r="E620" s="1236"/>
      <c r="F620" s="1344">
        <f>(1/S620)*cnst_fish!$C$6</f>
        <v>0.30136363636363639</v>
      </c>
      <c r="G620" s="1344">
        <f t="shared" si="90"/>
        <v>1</v>
      </c>
      <c r="H620" s="1344">
        <f t="shared" si="90"/>
        <v>0.367192066876738</v>
      </c>
      <c r="I620" s="1344">
        <f t="shared" si="83"/>
        <v>0</v>
      </c>
      <c r="J620" s="902">
        <f t="shared" si="84"/>
        <v>0</v>
      </c>
      <c r="L620" s="1460">
        <v>0</v>
      </c>
      <c r="M620" s="1236"/>
      <c r="N620" s="1240" t="s">
        <v>2429</v>
      </c>
      <c r="O620" s="1241"/>
      <c r="P620" s="910">
        <f t="shared" si="85"/>
        <v>0</v>
      </c>
      <c r="Q620" s="910">
        <f t="shared" si="86"/>
        <v>0</v>
      </c>
      <c r="R620" s="1344">
        <f t="shared" si="87"/>
        <v>3</v>
      </c>
      <c r="S620" s="1344">
        <f>(1/9)*cnst_fish!$C$7*(1/cnst_fish!$C$8)^(R620-1)</f>
        <v>14.1025641025641</v>
      </c>
      <c r="T620" s="1362">
        <f t="shared" si="88"/>
        <v>0</v>
      </c>
      <c r="W620" s="1612"/>
      <c r="X620" s="1612"/>
      <c r="Y620" s="1613"/>
      <c r="Z620" s="1614"/>
      <c r="AA620" s="1614"/>
      <c r="AB620" s="1615"/>
      <c r="AC620" s="1615"/>
      <c r="AD620" s="583"/>
      <c r="AE620" s="583"/>
    </row>
    <row r="621" spans="1:31" ht="14">
      <c r="A621" s="1384" t="s">
        <v>6853</v>
      </c>
      <c r="B621" s="19" t="s">
        <v>6852</v>
      </c>
      <c r="C621" s="1383">
        <v>12113</v>
      </c>
      <c r="D621" s="1236"/>
      <c r="E621" s="1236"/>
      <c r="F621" s="1344">
        <f>(1/S621)*cnst_fish!$C$6</f>
        <v>9.5299549485983424E-3</v>
      </c>
      <c r="G621" s="1344">
        <f t="shared" si="90"/>
        <v>1</v>
      </c>
      <c r="H621" s="1344">
        <f t="shared" si="90"/>
        <v>0.367192066876738</v>
      </c>
      <c r="I621" s="1344">
        <f t="shared" si="83"/>
        <v>0</v>
      </c>
      <c r="J621" s="902">
        <f t="shared" si="84"/>
        <v>0</v>
      </c>
      <c r="L621" s="1460">
        <v>0</v>
      </c>
      <c r="M621" s="1236"/>
      <c r="N621" s="1240" t="s">
        <v>1806</v>
      </c>
      <c r="O621" s="1241" t="s">
        <v>4841</v>
      </c>
      <c r="P621" s="910">
        <f t="shared" si="85"/>
        <v>0</v>
      </c>
      <c r="Q621" s="910">
        <f t="shared" si="86"/>
        <v>0</v>
      </c>
      <c r="R621" s="1344">
        <f t="shared" si="87"/>
        <v>4.5</v>
      </c>
      <c r="S621" s="1344">
        <f>(1/9)*cnst_fish!$C$7*(1/cnst_fish!$C$8)^(R621-1)</f>
        <v>445.96223412630997</v>
      </c>
      <c r="T621" s="1362">
        <f t="shared" si="88"/>
        <v>0</v>
      </c>
      <c r="W621" s="1612"/>
      <c r="X621" s="1612"/>
      <c r="Y621" s="1613"/>
      <c r="Z621" s="1614"/>
      <c r="AA621" s="1614"/>
      <c r="AB621" s="1615"/>
      <c r="AC621" s="1615"/>
      <c r="AD621" s="583"/>
      <c r="AE621" s="583"/>
    </row>
    <row r="622" spans="1:31" ht="14">
      <c r="A622" s="1384" t="s">
        <v>2714</v>
      </c>
      <c r="B622" s="19" t="s">
        <v>2451</v>
      </c>
      <c r="C622" s="1383">
        <v>18571</v>
      </c>
      <c r="D622" s="1236"/>
      <c r="E622" s="1236"/>
      <c r="F622" s="1344">
        <f>(1/S622)*cnst_fish!$C$6</f>
        <v>0.95299549485983426</v>
      </c>
      <c r="G622" s="1344">
        <f t="shared" si="90"/>
        <v>1</v>
      </c>
      <c r="H622" s="1344">
        <f t="shared" si="90"/>
        <v>0.367192066876738</v>
      </c>
      <c r="I622" s="1344">
        <f t="shared" si="83"/>
        <v>0</v>
      </c>
      <c r="J622" s="902">
        <f t="shared" si="84"/>
        <v>0</v>
      </c>
      <c r="L622" s="1460">
        <v>47</v>
      </c>
      <c r="M622" s="1236"/>
      <c r="N622" s="1240" t="s">
        <v>2430</v>
      </c>
      <c r="O622" s="1241" t="s">
        <v>4840</v>
      </c>
      <c r="P622" s="910">
        <f t="shared" si="85"/>
        <v>0</v>
      </c>
      <c r="Q622" s="910">
        <f t="shared" si="86"/>
        <v>47</v>
      </c>
      <c r="R622" s="1344">
        <f t="shared" si="87"/>
        <v>2.5</v>
      </c>
      <c r="S622" s="1344">
        <f>(1/9)*cnst_fish!$C$7*(1/cnst_fish!$C$8)^(R622-1)</f>
        <v>4.4596223412630991</v>
      </c>
      <c r="T622" s="1362">
        <f t="shared" si="88"/>
        <v>18.109243156228125</v>
      </c>
      <c r="W622" s="1612"/>
      <c r="X622" s="1612"/>
      <c r="Y622" s="1613"/>
      <c r="Z622" s="1614"/>
      <c r="AA622" s="1614"/>
      <c r="AB622" s="1615"/>
      <c r="AC622" s="1615"/>
      <c r="AD622" s="583"/>
      <c r="AE622" s="583"/>
    </row>
    <row r="623" spans="1:31" ht="14">
      <c r="A623" s="1384" t="s">
        <v>1247</v>
      </c>
      <c r="B623" s="19" t="s">
        <v>5465</v>
      </c>
      <c r="C623" s="1383">
        <v>3466</v>
      </c>
      <c r="D623" s="1236"/>
      <c r="E623" s="1236"/>
      <c r="F623" s="1344">
        <f>(1/S623)*cnst_fish!$C$6</f>
        <v>0.75699122913220485</v>
      </c>
      <c r="G623" s="1344">
        <f t="shared" si="90"/>
        <v>1</v>
      </c>
      <c r="H623" s="1344">
        <f t="shared" si="90"/>
        <v>0.367192066876738</v>
      </c>
      <c r="I623" s="1344">
        <f t="shared" si="83"/>
        <v>0</v>
      </c>
      <c r="J623" s="902">
        <f t="shared" si="84"/>
        <v>0</v>
      </c>
      <c r="L623" s="1460">
        <v>55</v>
      </c>
      <c r="M623" s="1236">
        <v>55578</v>
      </c>
      <c r="N623" s="1240" t="s">
        <v>2430</v>
      </c>
      <c r="O623" s="1241" t="s">
        <v>4840</v>
      </c>
      <c r="P623" s="910">
        <f t="shared" si="85"/>
        <v>0</v>
      </c>
      <c r="Q623" s="910">
        <f t="shared" si="86"/>
        <v>55633</v>
      </c>
      <c r="R623" s="1344">
        <f t="shared" si="87"/>
        <v>2.6</v>
      </c>
      <c r="S623" s="1344">
        <f>(1/9)*cnst_fish!$C$7*(1/cnst_fish!$C$8)^(R623-1)</f>
        <v>5.6143318924211183</v>
      </c>
      <c r="T623" s="1362">
        <f t="shared" si="88"/>
        <v>26985.776677983034</v>
      </c>
      <c r="W623" s="1612"/>
      <c r="X623" s="1612"/>
      <c r="Y623" s="1613"/>
      <c r="Z623" s="1614"/>
      <c r="AA623" s="1614"/>
      <c r="AB623" s="1615"/>
      <c r="AC623" s="1615"/>
      <c r="AD623" s="583"/>
      <c r="AE623" s="583"/>
    </row>
    <row r="624" spans="1:31" ht="14">
      <c r="A624" s="1384" t="s">
        <v>6807</v>
      </c>
      <c r="B624" s="19" t="s">
        <v>6806</v>
      </c>
      <c r="C624" s="1383">
        <v>16686</v>
      </c>
      <c r="D624" s="1236"/>
      <c r="E624" s="1236"/>
      <c r="F624" s="1344">
        <f>(1/S624)*cnst_fish!$C$6</f>
        <v>3.0136363636363641</v>
      </c>
      <c r="G624" s="1344">
        <f t="shared" si="90"/>
        <v>1</v>
      </c>
      <c r="H624" s="1344">
        <f t="shared" si="90"/>
        <v>0.367192066876738</v>
      </c>
      <c r="I624" s="1344">
        <f t="shared" si="83"/>
        <v>0</v>
      </c>
      <c r="J624" s="902">
        <f t="shared" si="84"/>
        <v>0</v>
      </c>
      <c r="L624" s="1460">
        <v>215</v>
      </c>
      <c r="M624" s="1236"/>
      <c r="N624" s="1240" t="s">
        <v>2441</v>
      </c>
      <c r="O624" s="1241" t="s">
        <v>4840</v>
      </c>
      <c r="P624" s="910">
        <f t="shared" si="85"/>
        <v>0</v>
      </c>
      <c r="Q624" s="910">
        <f t="shared" si="86"/>
        <v>215</v>
      </c>
      <c r="R624" s="1344">
        <f t="shared" si="87"/>
        <v>2</v>
      </c>
      <c r="S624" s="1344">
        <f>(1/9)*cnst_fish!$C$7*(1/cnst_fish!$C$8)^(R624-1)</f>
        <v>1.4102564102564099</v>
      </c>
      <c r="T624" s="1362">
        <f t="shared" si="88"/>
        <v>26.196357109004079</v>
      </c>
      <c r="W624" s="1612"/>
      <c r="X624" s="1612"/>
      <c r="Y624" s="1613"/>
      <c r="Z624" s="1614"/>
      <c r="AA624" s="1614"/>
      <c r="AB624" s="1615"/>
      <c r="AC624" s="1615"/>
      <c r="AD624" s="583"/>
      <c r="AE624" s="583"/>
    </row>
    <row r="625" spans="1:31" ht="14">
      <c r="A625" s="1384" t="s">
        <v>5408</v>
      </c>
      <c r="B625" s="19" t="s">
        <v>3217</v>
      </c>
      <c r="C625" s="1383">
        <v>2942</v>
      </c>
      <c r="D625" s="1236"/>
      <c r="E625" s="1236"/>
      <c r="F625" s="1344">
        <f>(1/S625)*cnst_fish!$C$6</f>
        <v>1.1997502458044018E-2</v>
      </c>
      <c r="G625" s="1344">
        <f t="shared" si="90"/>
        <v>1</v>
      </c>
      <c r="H625" s="1344">
        <f t="shared" si="90"/>
        <v>0.367192066876738</v>
      </c>
      <c r="I625" s="1344">
        <f t="shared" si="83"/>
        <v>0</v>
      </c>
      <c r="J625" s="902">
        <f t="shared" si="84"/>
        <v>0</v>
      </c>
      <c r="L625" s="1460">
        <v>1565</v>
      </c>
      <c r="M625" s="1236">
        <v>23402</v>
      </c>
      <c r="N625" s="1240" t="s">
        <v>1806</v>
      </c>
      <c r="O625" s="1241" t="s">
        <v>4845</v>
      </c>
      <c r="P625" s="910">
        <f t="shared" si="85"/>
        <v>0</v>
      </c>
      <c r="Q625" s="910">
        <f t="shared" si="86"/>
        <v>24967</v>
      </c>
      <c r="R625" s="1344">
        <f t="shared" si="87"/>
        <v>4.4000000000000004</v>
      </c>
      <c r="S625" s="1344">
        <f>(1/9)*cnst_fish!$C$7*(1/cnst_fish!$C$8)^(R625-1)</f>
        <v>354.24039418724885</v>
      </c>
      <c r="T625" s="1362">
        <f t="shared" si="88"/>
        <v>764132.73227252567</v>
      </c>
      <c r="W625" s="1612"/>
      <c r="X625" s="1612"/>
      <c r="Y625" s="1613"/>
      <c r="Z625" s="1614"/>
      <c r="AA625" s="1614"/>
      <c r="AB625" s="1615"/>
      <c r="AC625" s="1615"/>
      <c r="AD625" s="583"/>
      <c r="AE625" s="583"/>
    </row>
    <row r="626" spans="1:31" ht="14">
      <c r="A626" s="1384" t="s">
        <v>3997</v>
      </c>
      <c r="B626" s="19" t="s">
        <v>3998</v>
      </c>
      <c r="C626" s="1383">
        <v>12129</v>
      </c>
      <c r="D626" s="1236">
        <v>4</v>
      </c>
      <c r="E626" s="1236"/>
      <c r="F626" s="1344">
        <f>(1/S626)*cnst_fish!$C$6</f>
        <v>1.9910898001319833E-2</v>
      </c>
      <c r="G626" s="1344">
        <f t="shared" si="90"/>
        <v>1</v>
      </c>
      <c r="H626" s="1344">
        <f t="shared" si="90"/>
        <v>0.367192066876738</v>
      </c>
      <c r="I626" s="1344">
        <f t="shared" si="83"/>
        <v>73.767052968158026</v>
      </c>
      <c r="J626" s="902">
        <f t="shared" si="84"/>
        <v>0</v>
      </c>
      <c r="L626" s="1460">
        <v>42</v>
      </c>
      <c r="M626" s="1236"/>
      <c r="N626" s="1240" t="s">
        <v>1806</v>
      </c>
      <c r="O626" s="1241" t="s">
        <v>4841</v>
      </c>
      <c r="P626" s="910">
        <f t="shared" si="85"/>
        <v>4</v>
      </c>
      <c r="Q626" s="910">
        <f t="shared" si="86"/>
        <v>42</v>
      </c>
      <c r="R626" s="1344">
        <f t="shared" si="87"/>
        <v>4.18</v>
      </c>
      <c r="S626" s="1344">
        <f>(1/9)*cnst_fish!$C$7*(1/cnst_fish!$C$8)^(R626-1)</f>
        <v>213.4509452922857</v>
      </c>
      <c r="T626" s="1362">
        <f t="shared" si="88"/>
        <v>774.5540561656594</v>
      </c>
      <c r="W626" s="1612"/>
      <c r="X626" s="1612"/>
      <c r="Y626" s="1613"/>
      <c r="Z626" s="1614"/>
      <c r="AA626" s="1614"/>
      <c r="AB626" s="1615"/>
      <c r="AC626" s="1615"/>
      <c r="AD626" s="583"/>
      <c r="AE626" s="583"/>
    </row>
    <row r="627" spans="1:31" ht="14">
      <c r="A627" s="1384" t="s">
        <v>370</v>
      </c>
      <c r="B627" s="19" t="s">
        <v>4123</v>
      </c>
      <c r="C627" s="1383">
        <v>2095</v>
      </c>
      <c r="D627" s="1236"/>
      <c r="E627" s="1236"/>
      <c r="F627" s="1344">
        <f>(1/S627)*cnst_fish!$C$6</f>
        <v>0.95299549485983426</v>
      </c>
      <c r="G627" s="1344">
        <f t="shared" si="90"/>
        <v>1</v>
      </c>
      <c r="H627" s="1344">
        <f t="shared" si="90"/>
        <v>0.367192066876738</v>
      </c>
      <c r="I627" s="1344">
        <f t="shared" si="83"/>
        <v>0</v>
      </c>
      <c r="J627" s="902">
        <f t="shared" si="84"/>
        <v>0</v>
      </c>
      <c r="L627" s="1460">
        <v>401098</v>
      </c>
      <c r="M627" s="1236">
        <v>776</v>
      </c>
      <c r="N627" s="1240" t="s">
        <v>1806</v>
      </c>
      <c r="O627" s="1241" t="s">
        <v>4859</v>
      </c>
      <c r="P627" s="910">
        <f t="shared" si="85"/>
        <v>0</v>
      </c>
      <c r="Q627" s="910">
        <f t="shared" si="86"/>
        <v>401874</v>
      </c>
      <c r="R627" s="1344">
        <f t="shared" si="87"/>
        <v>2.5</v>
      </c>
      <c r="S627" s="1344">
        <f>(1/9)*cnst_fish!$C$7*(1/cnst_fish!$C$8)^(R627-1)</f>
        <v>4.4596223412630991</v>
      </c>
      <c r="T627" s="1362">
        <f t="shared" si="88"/>
        <v>154843.27625885152</v>
      </c>
      <c r="W627" s="1612"/>
      <c r="X627" s="1612"/>
      <c r="Y627" s="1613"/>
      <c r="Z627" s="1614"/>
      <c r="AA627" s="1614"/>
      <c r="AB627" s="1615"/>
      <c r="AC627" s="1615"/>
      <c r="AD627" s="583"/>
      <c r="AE627" s="583"/>
    </row>
    <row r="628" spans="1:31" ht="14">
      <c r="A628" s="1384" t="s">
        <v>1451</v>
      </c>
      <c r="B628" s="19" t="s">
        <v>2869</v>
      </c>
      <c r="C628" s="1383">
        <v>2103</v>
      </c>
      <c r="D628" s="1236"/>
      <c r="E628" s="1236"/>
      <c r="F628" s="1344">
        <f>(1/S628)*cnst_fish!$C$6</f>
        <v>2.565020542400799</v>
      </c>
      <c r="G628" s="1344">
        <f t="shared" ref="G628:H647" si="91">G$7</f>
        <v>1</v>
      </c>
      <c r="H628" s="1344">
        <f t="shared" si="91"/>
        <v>0.367192066876738</v>
      </c>
      <c r="I628" s="1344">
        <f t="shared" si="83"/>
        <v>0</v>
      </c>
      <c r="J628" s="902">
        <f t="shared" si="84"/>
        <v>0</v>
      </c>
      <c r="L628" s="1460">
        <v>11035</v>
      </c>
      <c r="M628" s="1236"/>
      <c r="N628" s="1240" t="s">
        <v>1806</v>
      </c>
      <c r="O628" s="1241" t="s">
        <v>4859</v>
      </c>
      <c r="P628" s="910">
        <f t="shared" si="85"/>
        <v>0</v>
      </c>
      <c r="Q628" s="910">
        <f t="shared" si="86"/>
        <v>11035</v>
      </c>
      <c r="R628" s="1344">
        <f t="shared" si="87"/>
        <v>2.0699999999999998</v>
      </c>
      <c r="S628" s="1344">
        <f>(1/9)*cnst_fish!$C$7*(1/cnst_fish!$C$8)^(R628-1)</f>
        <v>1.656906808248054</v>
      </c>
      <c r="T628" s="1362">
        <f t="shared" si="88"/>
        <v>1579.7005875798015</v>
      </c>
      <c r="W628" s="1612"/>
      <c r="X628" s="1612"/>
      <c r="Y628" s="1613"/>
      <c r="Z628" s="1614"/>
      <c r="AA628" s="1614"/>
      <c r="AB628" s="1615"/>
      <c r="AC628" s="1615"/>
      <c r="AD628" s="583"/>
      <c r="AE628" s="583"/>
    </row>
    <row r="629" spans="1:31" ht="14">
      <c r="A629" s="1384" t="s">
        <v>6617</v>
      </c>
      <c r="B629" s="19" t="s">
        <v>6616</v>
      </c>
      <c r="C629" s="1383">
        <v>2839</v>
      </c>
      <c r="D629" s="1236"/>
      <c r="E629" s="1236"/>
      <c r="F629" s="1344">
        <f>(1/S629)*cnst_fish!$C$6</f>
        <v>1.9014759972289439E-2</v>
      </c>
      <c r="G629" s="1344">
        <f t="shared" si="91"/>
        <v>1</v>
      </c>
      <c r="H629" s="1344">
        <f t="shared" si="91"/>
        <v>0.367192066876738</v>
      </c>
      <c r="I629" s="1344">
        <f t="shared" si="83"/>
        <v>0</v>
      </c>
      <c r="J629" s="902">
        <f t="shared" si="84"/>
        <v>0</v>
      </c>
      <c r="L629" s="1460">
        <v>0</v>
      </c>
      <c r="M629" s="1236"/>
      <c r="N629" s="1240" t="s">
        <v>3927</v>
      </c>
      <c r="O629" s="1241" t="s">
        <v>4841</v>
      </c>
      <c r="P629" s="910">
        <f t="shared" si="85"/>
        <v>0</v>
      </c>
      <c r="Q629" s="910">
        <f t="shared" si="86"/>
        <v>0</v>
      </c>
      <c r="R629" s="1344">
        <f t="shared" si="87"/>
        <v>4.2</v>
      </c>
      <c r="S629" s="1344">
        <f>(1/9)*cnst_fish!$C$7*(1/cnst_fish!$C$8)^(R629-1)</f>
        <v>223.51057842400343</v>
      </c>
      <c r="T629" s="1362">
        <f t="shared" si="88"/>
        <v>0</v>
      </c>
      <c r="W629" s="1612"/>
      <c r="X629" s="1612"/>
      <c r="Y629" s="1613"/>
      <c r="Z629" s="1614"/>
      <c r="AA629" s="1614"/>
      <c r="AB629" s="1615"/>
      <c r="AC629" s="1615"/>
      <c r="AD629" s="583"/>
      <c r="AE629" s="583"/>
    </row>
    <row r="630" spans="1:31" ht="14">
      <c r="A630" s="1384" t="s">
        <v>4523</v>
      </c>
      <c r="B630" s="19" t="s">
        <v>1698</v>
      </c>
      <c r="C630" s="1383">
        <v>2037</v>
      </c>
      <c r="D630" s="1236"/>
      <c r="E630" s="1236"/>
      <c r="F630" s="1344">
        <f>(1/S630)*cnst_fish!$C$6</f>
        <v>4.5613232168782068E-2</v>
      </c>
      <c r="G630" s="1344">
        <f t="shared" si="91"/>
        <v>1</v>
      </c>
      <c r="H630" s="1344">
        <f t="shared" si="91"/>
        <v>0.367192066876738</v>
      </c>
      <c r="I630" s="1344">
        <f t="shared" si="83"/>
        <v>0</v>
      </c>
      <c r="J630" s="902">
        <f t="shared" si="84"/>
        <v>0</v>
      </c>
      <c r="L630" s="1460">
        <v>21</v>
      </c>
      <c r="M630" s="1236"/>
      <c r="N630" s="1240" t="s">
        <v>3927</v>
      </c>
      <c r="O630" s="1241" t="s">
        <v>4841</v>
      </c>
      <c r="P630" s="910">
        <f t="shared" si="85"/>
        <v>0</v>
      </c>
      <c r="Q630" s="910">
        <f t="shared" si="86"/>
        <v>21</v>
      </c>
      <c r="R630" s="1344">
        <f t="shared" si="87"/>
        <v>3.82</v>
      </c>
      <c r="S630" s="1344">
        <f>(1/9)*cnst_fish!$C$7*(1/cnst_fish!$C$8)^(R630-1)</f>
        <v>93.174717026712301</v>
      </c>
      <c r="T630" s="1362">
        <f t="shared" si="88"/>
        <v>169.05255422107467</v>
      </c>
      <c r="W630" s="1612"/>
      <c r="X630" s="1612"/>
      <c r="Y630" s="1613"/>
      <c r="Z630" s="1614"/>
      <c r="AA630" s="1614"/>
      <c r="AB630" s="1615"/>
      <c r="AC630" s="1615"/>
      <c r="AD630" s="583"/>
      <c r="AE630" s="583"/>
    </row>
    <row r="631" spans="1:31" ht="14">
      <c r="A631" s="1384" t="s">
        <v>3425</v>
      </c>
      <c r="B631" s="19" t="s">
        <v>1699</v>
      </c>
      <c r="C631" s="1383">
        <v>2838</v>
      </c>
      <c r="D631" s="1236"/>
      <c r="E631" s="1236"/>
      <c r="F631" s="1344">
        <f>(1/S631)*cnst_fish!$C$6</f>
        <v>2.0374682394767439E-2</v>
      </c>
      <c r="G631" s="1344">
        <f t="shared" si="91"/>
        <v>1</v>
      </c>
      <c r="H631" s="1344">
        <f t="shared" si="91"/>
        <v>0.367192066876738</v>
      </c>
      <c r="I631" s="1344">
        <f t="shared" si="83"/>
        <v>0</v>
      </c>
      <c r="J631" s="902">
        <f t="shared" si="84"/>
        <v>0</v>
      </c>
      <c r="L631" s="1460">
        <v>91</v>
      </c>
      <c r="M631" s="1236"/>
      <c r="N631" s="1240" t="s">
        <v>3927</v>
      </c>
      <c r="O631" s="1241" t="s">
        <v>4841</v>
      </c>
      <c r="P631" s="910">
        <f t="shared" si="85"/>
        <v>0</v>
      </c>
      <c r="Q631" s="910">
        <f t="shared" si="86"/>
        <v>91</v>
      </c>
      <c r="R631" s="1344">
        <f t="shared" si="87"/>
        <v>4.17</v>
      </c>
      <c r="S631" s="1344">
        <f>(1/9)*cnst_fish!$C$7*(1/cnst_fish!$C$8)^(R631-1)</f>
        <v>208.59220858782425</v>
      </c>
      <c r="T631" s="1362">
        <f t="shared" si="88"/>
        <v>1639.9999488759911</v>
      </c>
      <c r="W631" s="1612"/>
      <c r="X631" s="1612"/>
      <c r="Y631" s="1613"/>
      <c r="Z631" s="1614"/>
      <c r="AA631" s="1614"/>
      <c r="AB631" s="1615"/>
      <c r="AC631" s="1615"/>
      <c r="AD631" s="583"/>
      <c r="AE631" s="583"/>
    </row>
    <row r="632" spans="1:31" ht="14">
      <c r="A632" s="1384" t="s">
        <v>2288</v>
      </c>
      <c r="B632" s="19" t="s">
        <v>2870</v>
      </c>
      <c r="C632" s="1383">
        <v>2902</v>
      </c>
      <c r="D632" s="1236">
        <v>2</v>
      </c>
      <c r="E632" s="1236"/>
      <c r="F632" s="1344">
        <f>(1/S632)*cnst_fish!$C$6</f>
        <v>9.7519361156519699E-2</v>
      </c>
      <c r="G632" s="1344">
        <f t="shared" si="91"/>
        <v>1</v>
      </c>
      <c r="H632" s="1344">
        <f t="shared" si="91"/>
        <v>0.367192066876738</v>
      </c>
      <c r="I632" s="1344">
        <f t="shared" si="83"/>
        <v>7.5306495555767734</v>
      </c>
      <c r="J632" s="902">
        <f t="shared" si="84"/>
        <v>0</v>
      </c>
      <c r="L632" s="1460">
        <v>123923</v>
      </c>
      <c r="M632" s="1236"/>
      <c r="N632" s="1240" t="s">
        <v>1806</v>
      </c>
      <c r="O632" s="1241" t="s">
        <v>4859</v>
      </c>
      <c r="P632" s="910">
        <f t="shared" si="85"/>
        <v>2</v>
      </c>
      <c r="Q632" s="910">
        <f t="shared" si="86"/>
        <v>123923</v>
      </c>
      <c r="R632" s="1344">
        <f t="shared" si="87"/>
        <v>3.49</v>
      </c>
      <c r="S632" s="1344">
        <f>(1/9)*cnst_fish!$C$7*(1/cnst_fish!$C$8)^(R632-1)</f>
        <v>43.581089432884006</v>
      </c>
      <c r="T632" s="1362">
        <f t="shared" si="88"/>
        <v>466610.34243787028</v>
      </c>
      <c r="W632" s="1612"/>
      <c r="X632" s="1612"/>
      <c r="Y632" s="1613"/>
      <c r="Z632" s="1614"/>
      <c r="AA632" s="1614"/>
      <c r="AB632" s="1615"/>
      <c r="AC632" s="1615"/>
      <c r="AD632" s="583"/>
      <c r="AE632" s="583"/>
    </row>
    <row r="633" spans="1:31" ht="14">
      <c r="A633" s="1384" t="s">
        <v>4927</v>
      </c>
      <c r="B633" s="19" t="s">
        <v>2871</v>
      </c>
      <c r="C633" s="1383">
        <v>2096</v>
      </c>
      <c r="D633" s="1236"/>
      <c r="E633" s="1236"/>
      <c r="F633" s="1344">
        <f>(1/S633)*cnst_fish!$C$6</f>
        <v>0.11997502458044032</v>
      </c>
      <c r="G633" s="1344">
        <f t="shared" si="91"/>
        <v>1</v>
      </c>
      <c r="H633" s="1344">
        <f t="shared" si="91"/>
        <v>0.367192066876738</v>
      </c>
      <c r="I633" s="1344">
        <f t="shared" si="83"/>
        <v>0</v>
      </c>
      <c r="J633" s="902">
        <f t="shared" si="84"/>
        <v>0</v>
      </c>
      <c r="L633" s="1460">
        <v>31534</v>
      </c>
      <c r="M633" s="1236"/>
      <c r="N633" s="1240" t="s">
        <v>1806</v>
      </c>
      <c r="O633" s="1241" t="s">
        <v>4859</v>
      </c>
      <c r="P633" s="910">
        <f t="shared" si="85"/>
        <v>0</v>
      </c>
      <c r="Q633" s="910">
        <f t="shared" si="86"/>
        <v>31534</v>
      </c>
      <c r="R633" s="1344">
        <f t="shared" si="87"/>
        <v>3.4</v>
      </c>
      <c r="S633" s="1344">
        <f>(1/9)*cnst_fish!$C$7*(1/cnst_fish!$C$8)^(R633-1)</f>
        <v>35.424039418724846</v>
      </c>
      <c r="T633" s="1362">
        <f t="shared" si="88"/>
        <v>96512.042213649198</v>
      </c>
      <c r="W633" s="1612"/>
      <c r="X633" s="1612"/>
      <c r="Y633" s="1613"/>
      <c r="Z633" s="1614"/>
      <c r="AA633" s="1614"/>
      <c r="AB633" s="1615"/>
      <c r="AC633" s="1615"/>
      <c r="AD633" s="583"/>
      <c r="AE633" s="583"/>
    </row>
    <row r="634" spans="1:31" ht="14">
      <c r="A634" s="1384" t="s">
        <v>221</v>
      </c>
      <c r="B634" s="19" t="s">
        <v>5466</v>
      </c>
      <c r="C634" s="1383">
        <v>3459</v>
      </c>
      <c r="D634" s="1236"/>
      <c r="E634" s="1236"/>
      <c r="F634" s="1344">
        <f>(1/S634)*cnst_fish!$C$6</f>
        <v>1.9014759972289452</v>
      </c>
      <c r="G634" s="1344">
        <f t="shared" si="91"/>
        <v>1</v>
      </c>
      <c r="H634" s="1344">
        <f t="shared" si="91"/>
        <v>0.367192066876738</v>
      </c>
      <c r="I634" s="1344">
        <f t="shared" si="83"/>
        <v>0</v>
      </c>
      <c r="J634" s="902">
        <f t="shared" si="84"/>
        <v>0</v>
      </c>
      <c r="L634" s="1460"/>
      <c r="M634" s="1236"/>
      <c r="N634" s="1240" t="s">
        <v>1805</v>
      </c>
      <c r="O634" s="1241" t="s">
        <v>4840</v>
      </c>
      <c r="P634" s="910">
        <f t="shared" si="85"/>
        <v>0</v>
      </c>
      <c r="Q634" s="910">
        <f t="shared" si="86"/>
        <v>0</v>
      </c>
      <c r="R634" s="1344">
        <f t="shared" si="87"/>
        <v>2.2000000000000002</v>
      </c>
      <c r="S634" s="1344">
        <f>(1/9)*cnst_fish!$C$7*(1/cnst_fish!$C$8)^(R634-1)</f>
        <v>2.2351057842400328</v>
      </c>
      <c r="T634" s="1362">
        <f t="shared" si="88"/>
        <v>0</v>
      </c>
      <c r="W634" s="1612"/>
      <c r="X634" s="1612"/>
      <c r="Y634" s="1613"/>
      <c r="Z634" s="1614"/>
      <c r="AA634" s="1614"/>
      <c r="AB634" s="1615"/>
      <c r="AC634" s="1615"/>
      <c r="AD634" s="583"/>
      <c r="AE634" s="583"/>
    </row>
    <row r="635" spans="1:31" ht="14">
      <c r="A635" s="1384" t="s">
        <v>6593</v>
      </c>
      <c r="B635" s="19" t="s">
        <v>6592</v>
      </c>
      <c r="C635" s="1383">
        <v>2455</v>
      </c>
      <c r="D635" s="1236"/>
      <c r="E635" s="1236"/>
      <c r="F635" s="1344">
        <f>(1/S635)*cnst_fish!$C$6</f>
        <v>3.0136363636363641</v>
      </c>
      <c r="G635" s="1344">
        <f t="shared" si="91"/>
        <v>1</v>
      </c>
      <c r="H635" s="1344">
        <f t="shared" si="91"/>
        <v>0.367192066876738</v>
      </c>
      <c r="I635" s="1344">
        <f t="shared" si="83"/>
        <v>0</v>
      </c>
      <c r="J635" s="902">
        <f t="shared" si="84"/>
        <v>0</v>
      </c>
      <c r="L635" s="1460">
        <v>455</v>
      </c>
      <c r="M635" s="1236"/>
      <c r="N635" s="1240" t="s">
        <v>1806</v>
      </c>
      <c r="O635" s="1241" t="s">
        <v>4841</v>
      </c>
      <c r="P635" s="910">
        <f t="shared" si="85"/>
        <v>0</v>
      </c>
      <c r="Q635" s="910">
        <f t="shared" si="86"/>
        <v>455</v>
      </c>
      <c r="R635" s="1344">
        <f t="shared" si="87"/>
        <v>2</v>
      </c>
      <c r="S635" s="1344">
        <f>(1/9)*cnst_fish!$C$7*(1/cnst_fish!$C$8)^(R635-1)</f>
        <v>1.4102564102564099</v>
      </c>
      <c r="T635" s="1362">
        <f t="shared" si="88"/>
        <v>55.438802253938867</v>
      </c>
      <c r="W635" s="1612"/>
      <c r="X635" s="1612"/>
      <c r="Y635" s="1613"/>
      <c r="Z635" s="1614"/>
      <c r="AA635" s="1614"/>
      <c r="AB635" s="1615"/>
      <c r="AC635" s="1615"/>
      <c r="AD635" s="583"/>
      <c r="AE635" s="583"/>
    </row>
    <row r="636" spans="1:31" ht="14">
      <c r="A636" s="1384" t="s">
        <v>1952</v>
      </c>
      <c r="B636" s="19" t="s">
        <v>1720</v>
      </c>
      <c r="C636" s="1383">
        <v>3393</v>
      </c>
      <c r="D636" s="1236">
        <v>0</v>
      </c>
      <c r="E636" s="1236"/>
      <c r="F636" s="1344">
        <f>(1/S636)*cnst_fish!$C$6</f>
        <v>1.9014759972289452</v>
      </c>
      <c r="G636" s="1344">
        <f t="shared" si="91"/>
        <v>1</v>
      </c>
      <c r="H636" s="1344">
        <f t="shared" si="91"/>
        <v>0.367192066876738</v>
      </c>
      <c r="I636" s="1344">
        <f t="shared" si="83"/>
        <v>0</v>
      </c>
      <c r="J636" s="902">
        <f t="shared" si="84"/>
        <v>0</v>
      </c>
      <c r="L636" s="1460">
        <v>239950</v>
      </c>
      <c r="M636" s="1236"/>
      <c r="N636" s="1240" t="s">
        <v>2441</v>
      </c>
      <c r="O636" s="1241" t="s">
        <v>4840</v>
      </c>
      <c r="P636" s="910">
        <f t="shared" si="85"/>
        <v>0</v>
      </c>
      <c r="Q636" s="910">
        <f t="shared" si="86"/>
        <v>239950</v>
      </c>
      <c r="R636" s="1344">
        <f t="shared" si="87"/>
        <v>2.2000000000000002</v>
      </c>
      <c r="S636" s="1344">
        <f>(1/9)*cnst_fish!$C$7*(1/cnst_fish!$C$8)^(R636-1)</f>
        <v>2.2351057842400328</v>
      </c>
      <c r="T636" s="1362">
        <f t="shared" si="88"/>
        <v>46336.496792741142</v>
      </c>
      <c r="W636" s="1612"/>
      <c r="X636" s="1612"/>
      <c r="Y636" s="1613"/>
      <c r="Z636" s="1614"/>
      <c r="AA636" s="1614"/>
      <c r="AB636" s="1615"/>
      <c r="AC636" s="1615"/>
      <c r="AD636" s="583"/>
      <c r="AE636" s="583"/>
    </row>
    <row r="637" spans="1:31" ht="14">
      <c r="A637" s="1384" t="s">
        <v>3254</v>
      </c>
      <c r="B637" s="19" t="s">
        <v>4260</v>
      </c>
      <c r="C637" s="1383">
        <v>3294</v>
      </c>
      <c r="D637" s="1236">
        <v>2</v>
      </c>
      <c r="E637" s="1236"/>
      <c r="F637" s="1344">
        <f>(1/S637)*cnst_fish!$C$6</f>
        <v>9.5299549485983424E-3</v>
      </c>
      <c r="G637" s="1344">
        <f t="shared" si="91"/>
        <v>1</v>
      </c>
      <c r="H637" s="1344">
        <f t="shared" si="91"/>
        <v>0.367192066876738</v>
      </c>
      <c r="I637" s="1344">
        <f t="shared" si="83"/>
        <v>77.060609175438813</v>
      </c>
      <c r="J637" s="902">
        <f t="shared" si="84"/>
        <v>0</v>
      </c>
      <c r="L637" s="1460">
        <v>341365</v>
      </c>
      <c r="M637" s="1236"/>
      <c r="N637" s="1240" t="s">
        <v>1806</v>
      </c>
      <c r="O637" s="1241" t="s">
        <v>4859</v>
      </c>
      <c r="P637" s="910">
        <f t="shared" si="85"/>
        <v>2</v>
      </c>
      <c r="Q637" s="910">
        <f t="shared" si="86"/>
        <v>341365</v>
      </c>
      <c r="R637" s="1344">
        <f t="shared" si="87"/>
        <v>4.5</v>
      </c>
      <c r="S637" s="1344">
        <f>(1/9)*cnst_fish!$C$7*(1/cnst_fish!$C$8)^(R637-1)</f>
        <v>445.96223412630997</v>
      </c>
      <c r="T637" s="1362">
        <f t="shared" si="88"/>
        <v>13152897.425586836</v>
      </c>
      <c r="W637" s="1612"/>
      <c r="X637" s="1612"/>
      <c r="Y637" s="1613"/>
      <c r="Z637" s="1614"/>
      <c r="AA637" s="1614"/>
      <c r="AB637" s="1615"/>
      <c r="AC637" s="1615"/>
      <c r="AD637" s="583"/>
      <c r="AE637" s="583"/>
    </row>
    <row r="638" spans="1:31" ht="14">
      <c r="A638" s="1384" t="s">
        <v>74</v>
      </c>
      <c r="B638" s="19" t="s">
        <v>4261</v>
      </c>
      <c r="C638" s="1383">
        <v>3293</v>
      </c>
      <c r="D638" s="1236">
        <v>286</v>
      </c>
      <c r="E638" s="1236"/>
      <c r="F638" s="1344">
        <f>(1/S638)*cnst_fish!$C$6</f>
        <v>9.7519361156519751E-3</v>
      </c>
      <c r="G638" s="1344">
        <f t="shared" si="91"/>
        <v>1</v>
      </c>
      <c r="H638" s="1344">
        <f t="shared" si="91"/>
        <v>0.367192066876738</v>
      </c>
      <c r="I638" s="1344">
        <f t="shared" si="83"/>
        <v>10768.828864474781</v>
      </c>
      <c r="J638" s="902">
        <f t="shared" si="84"/>
        <v>0</v>
      </c>
      <c r="L638" s="1460">
        <v>23514</v>
      </c>
      <c r="M638" s="1236"/>
      <c r="N638" s="1240" t="s">
        <v>1806</v>
      </c>
      <c r="O638" s="1241" t="s">
        <v>4859</v>
      </c>
      <c r="P638" s="910">
        <f t="shared" si="85"/>
        <v>286</v>
      </c>
      <c r="Q638" s="910">
        <f t="shared" si="86"/>
        <v>23514</v>
      </c>
      <c r="R638" s="1344">
        <f t="shared" si="87"/>
        <v>4.49</v>
      </c>
      <c r="S638" s="1344">
        <f>(1/9)*cnst_fish!$C$7*(1/cnst_fish!$C$8)^(R638-1)</f>
        <v>435.81089432883982</v>
      </c>
      <c r="T638" s="1362">
        <f t="shared" si="88"/>
        <v>885378.4682491608</v>
      </c>
      <c r="W638" s="1612"/>
      <c r="X638" s="1612"/>
      <c r="Y638" s="1613"/>
      <c r="Z638" s="1614"/>
      <c r="AA638" s="1614"/>
      <c r="AB638" s="1615"/>
      <c r="AC638" s="1615"/>
      <c r="AD638" s="583"/>
      <c r="AE638" s="583"/>
    </row>
    <row r="639" spans="1:31" ht="14">
      <c r="A639" s="1384" t="s">
        <v>3599</v>
      </c>
      <c r="B639" s="19" t="s">
        <v>4262</v>
      </c>
      <c r="C639" s="1383">
        <v>2493</v>
      </c>
      <c r="D639" s="1236">
        <v>0</v>
      </c>
      <c r="E639" s="1236"/>
      <c r="F639" s="1344">
        <f>(1/S639)*cnst_fish!$C$6</f>
        <v>4.4574948243432784E-2</v>
      </c>
      <c r="G639" s="1344">
        <f t="shared" si="91"/>
        <v>1</v>
      </c>
      <c r="H639" s="1344">
        <f t="shared" si="91"/>
        <v>0.367192066876738</v>
      </c>
      <c r="I639" s="1344">
        <f t="shared" si="83"/>
        <v>0</v>
      </c>
      <c r="J639" s="902">
        <f t="shared" si="84"/>
        <v>0</v>
      </c>
      <c r="L639" s="1460">
        <v>3233</v>
      </c>
      <c r="M639" s="1236"/>
      <c r="N639" s="1240" t="s">
        <v>2439</v>
      </c>
      <c r="O639" s="1241" t="s">
        <v>4859</v>
      </c>
      <c r="P639" s="910">
        <f t="shared" si="85"/>
        <v>0</v>
      </c>
      <c r="Q639" s="910">
        <f t="shared" si="86"/>
        <v>3233</v>
      </c>
      <c r="R639" s="1344">
        <f t="shared" si="87"/>
        <v>3.83</v>
      </c>
      <c r="S639" s="1344">
        <f>(1/9)*cnst_fish!$C$7*(1/cnst_fish!$C$8)^(R639-1)</f>
        <v>95.345034991176945</v>
      </c>
      <c r="T639" s="1362">
        <f t="shared" si="88"/>
        <v>26632.267652433984</v>
      </c>
      <c r="W639" s="1612"/>
      <c r="X639" s="1612"/>
      <c r="Y639" s="1613"/>
      <c r="Z639" s="1614"/>
      <c r="AA639" s="1614"/>
      <c r="AB639" s="1615"/>
      <c r="AC639" s="1615"/>
      <c r="AD639" s="583"/>
      <c r="AE639" s="583"/>
    </row>
    <row r="640" spans="1:31" ht="14">
      <c r="A640" s="1384" t="s">
        <v>4790</v>
      </c>
      <c r="B640" s="19" t="s">
        <v>2320</v>
      </c>
      <c r="C640" s="1383">
        <v>2532</v>
      </c>
      <c r="D640" s="1236"/>
      <c r="E640" s="1236"/>
      <c r="F640" s="1344">
        <f>(1/S640)*cnst_fish!$C$6</f>
        <v>8.1113071591070229E-2</v>
      </c>
      <c r="G640" s="1344">
        <f t="shared" si="91"/>
        <v>1</v>
      </c>
      <c r="H640" s="1344">
        <f t="shared" si="91"/>
        <v>0.367192066876738</v>
      </c>
      <c r="I640" s="1344">
        <f t="shared" si="83"/>
        <v>0</v>
      </c>
      <c r="J640" s="902">
        <f t="shared" si="84"/>
        <v>0</v>
      </c>
      <c r="L640" s="1460">
        <v>1834</v>
      </c>
      <c r="M640" s="1236"/>
      <c r="N640" s="1240" t="s">
        <v>1806</v>
      </c>
      <c r="O640" s="1241" t="s">
        <v>4841</v>
      </c>
      <c r="P640" s="910">
        <f t="shared" si="85"/>
        <v>0</v>
      </c>
      <c r="Q640" s="910">
        <f t="shared" si="86"/>
        <v>1834</v>
      </c>
      <c r="R640" s="1344">
        <f t="shared" si="87"/>
        <v>3.57</v>
      </c>
      <c r="S640" s="1344">
        <f>(1/9)*cnst_fish!$C$7*(1/cnst_fish!$C$8)^(R640-1)</f>
        <v>52.395993847037154</v>
      </c>
      <c r="T640" s="1362">
        <f t="shared" si="88"/>
        <v>8302.3640634276726</v>
      </c>
      <c r="W640" s="1612"/>
      <c r="X640" s="1612"/>
      <c r="Y640" s="1613"/>
      <c r="Z640" s="1614"/>
      <c r="AA640" s="1614"/>
      <c r="AB640" s="1615"/>
      <c r="AC640" s="1615"/>
      <c r="AD640" s="583"/>
      <c r="AE640" s="583"/>
    </row>
    <row r="641" spans="1:31" ht="14">
      <c r="A641" s="1384" t="s">
        <v>1105</v>
      </c>
      <c r="B641" s="19" t="s">
        <v>5370</v>
      </c>
      <c r="C641" s="1383">
        <v>2726</v>
      </c>
      <c r="D641" s="1236">
        <v>0</v>
      </c>
      <c r="E641" s="1236"/>
      <c r="F641" s="1344">
        <f>(1/S641)*cnst_fish!$C$6</f>
        <v>2.3938164528281742</v>
      </c>
      <c r="G641" s="1344">
        <f t="shared" si="91"/>
        <v>1</v>
      </c>
      <c r="H641" s="1344">
        <f t="shared" si="91"/>
        <v>0.367192066876738</v>
      </c>
      <c r="I641" s="1344">
        <f t="shared" si="83"/>
        <v>0</v>
      </c>
      <c r="J641" s="902">
        <f t="shared" si="84"/>
        <v>0</v>
      </c>
      <c r="L641" s="1460">
        <v>7395.36</v>
      </c>
      <c r="M641" s="1236"/>
      <c r="N641" s="1240" t="s">
        <v>1806</v>
      </c>
      <c r="O641" s="1241"/>
      <c r="P641" s="910">
        <f t="shared" si="85"/>
        <v>0</v>
      </c>
      <c r="Q641" s="910">
        <f t="shared" si="86"/>
        <v>7395.36</v>
      </c>
      <c r="R641" s="1344">
        <f t="shared" si="87"/>
        <v>2.1</v>
      </c>
      <c r="S641" s="1344">
        <f>(1/9)*cnst_fish!$C$7*(1/cnst_fish!$C$8)^(R641-1)</f>
        <v>1.7754076320174161</v>
      </c>
      <c r="T641" s="1362">
        <f t="shared" si="88"/>
        <v>1134.3883615175696</v>
      </c>
      <c r="W641" s="1612"/>
      <c r="X641" s="1612"/>
      <c r="Y641" s="1613"/>
      <c r="Z641" s="1614"/>
      <c r="AA641" s="1614"/>
      <c r="AB641" s="1615"/>
      <c r="AC641" s="1615"/>
      <c r="AD641" s="583"/>
      <c r="AE641" s="583"/>
    </row>
    <row r="642" spans="1:31" ht="14">
      <c r="A642" s="1384" t="s">
        <v>4213</v>
      </c>
      <c r="B642" s="19" t="s">
        <v>5371</v>
      </c>
      <c r="C642" s="1383">
        <v>3505</v>
      </c>
      <c r="D642" s="1236"/>
      <c r="E642" s="1236"/>
      <c r="F642" s="1344">
        <f>(1/S642)*cnst_fish!$C$6</f>
        <v>2.3938164528281742</v>
      </c>
      <c r="G642" s="1344">
        <f t="shared" si="91"/>
        <v>1</v>
      </c>
      <c r="H642" s="1344">
        <f t="shared" si="91"/>
        <v>0.367192066876738</v>
      </c>
      <c r="I642" s="1344">
        <f t="shared" si="83"/>
        <v>0</v>
      </c>
      <c r="J642" s="902">
        <f t="shared" si="84"/>
        <v>0</v>
      </c>
      <c r="L642" s="1460">
        <v>1482.47</v>
      </c>
      <c r="M642" s="1236"/>
      <c r="N642" s="1240" t="s">
        <v>1806</v>
      </c>
      <c r="O642" s="1241"/>
      <c r="P642" s="910">
        <f t="shared" si="85"/>
        <v>0</v>
      </c>
      <c r="Q642" s="910">
        <f t="shared" si="86"/>
        <v>1482.47</v>
      </c>
      <c r="R642" s="1344">
        <f t="shared" si="87"/>
        <v>2.1</v>
      </c>
      <c r="S642" s="1344">
        <f>(1/9)*cnst_fish!$C$7*(1/cnst_fish!$C$8)^(R642-1)</f>
        <v>1.7754076320174161</v>
      </c>
      <c r="T642" s="1362">
        <f t="shared" si="88"/>
        <v>227.39889799806249</v>
      </c>
      <c r="W642" s="1612"/>
      <c r="X642" s="1612"/>
      <c r="Y642" s="1613"/>
      <c r="Z642" s="1614"/>
      <c r="AA642" s="1614"/>
      <c r="AB642" s="1615"/>
      <c r="AC642" s="1615"/>
      <c r="AD642" s="583"/>
      <c r="AE642" s="583"/>
    </row>
    <row r="643" spans="1:31" ht="14">
      <c r="A643" s="1384" t="s">
        <v>6585</v>
      </c>
      <c r="B643" s="19" t="s">
        <v>3233</v>
      </c>
      <c r="C643" s="1383">
        <v>2655</v>
      </c>
      <c r="D643" s="1236"/>
      <c r="E643" s="1236"/>
      <c r="F643" s="1344">
        <f>(1/S643)*cnst_fish!$C$6</f>
        <v>2.3938164528281742</v>
      </c>
      <c r="G643" s="1344">
        <f t="shared" si="91"/>
        <v>1</v>
      </c>
      <c r="H643" s="1344">
        <f t="shared" si="91"/>
        <v>0.367192066876738</v>
      </c>
      <c r="I643" s="1344">
        <f t="shared" si="83"/>
        <v>0</v>
      </c>
      <c r="J643" s="902">
        <f t="shared" si="84"/>
        <v>0</v>
      </c>
      <c r="L643" s="1460">
        <v>1183.4000000000001</v>
      </c>
      <c r="M643" s="1236"/>
      <c r="N643" s="1240" t="s">
        <v>1806</v>
      </c>
      <c r="O643" s="1241"/>
      <c r="P643" s="910">
        <f t="shared" si="85"/>
        <v>0</v>
      </c>
      <c r="Q643" s="910">
        <f t="shared" si="86"/>
        <v>1183.4000000000001</v>
      </c>
      <c r="R643" s="1344">
        <f t="shared" si="87"/>
        <v>2.1</v>
      </c>
      <c r="S643" s="1344">
        <f>(1/9)*cnst_fish!$C$7*(1/cnst_fish!$C$8)^(R643-1)</f>
        <v>1.7754076320174161</v>
      </c>
      <c r="T643" s="1362">
        <f t="shared" si="88"/>
        <v>181.52398085014008</v>
      </c>
      <c r="W643" s="1612"/>
      <c r="X643" s="1612"/>
      <c r="Y643" s="1613"/>
      <c r="Z643" s="1614"/>
      <c r="AA643" s="1614"/>
      <c r="AB643" s="1615"/>
      <c r="AC643" s="1615"/>
      <c r="AD643" s="583"/>
      <c r="AE643" s="583"/>
    </row>
    <row r="644" spans="1:31" ht="14">
      <c r="A644" s="1384" t="s">
        <v>2208</v>
      </c>
      <c r="B644" s="19" t="s">
        <v>3234</v>
      </c>
      <c r="C644" s="1383">
        <v>3494</v>
      </c>
      <c r="D644" s="1236"/>
      <c r="E644" s="1236"/>
      <c r="F644" s="1344">
        <f>(1/S644)*cnst_fish!$C$6</f>
        <v>2.3938164528281742</v>
      </c>
      <c r="G644" s="1344">
        <f t="shared" si="91"/>
        <v>1</v>
      </c>
      <c r="H644" s="1344">
        <f t="shared" si="91"/>
        <v>0.367192066876738</v>
      </c>
      <c r="I644" s="1344">
        <f t="shared" si="83"/>
        <v>0</v>
      </c>
      <c r="J644" s="902">
        <f t="shared" si="84"/>
        <v>0</v>
      </c>
      <c r="L644" s="1460">
        <v>80</v>
      </c>
      <c r="M644" s="1236"/>
      <c r="N644" s="1240" t="s">
        <v>1806</v>
      </c>
      <c r="O644" s="1241"/>
      <c r="P644" s="910">
        <f t="shared" si="85"/>
        <v>0</v>
      </c>
      <c r="Q644" s="910">
        <f t="shared" si="86"/>
        <v>80</v>
      </c>
      <c r="R644" s="1344">
        <f t="shared" si="87"/>
        <v>2.1</v>
      </c>
      <c r="S644" s="1344">
        <f>(1/9)*cnst_fish!$C$7*(1/cnst_fish!$C$8)^(R644-1)</f>
        <v>1.7754076320174161</v>
      </c>
      <c r="T644" s="1362">
        <f t="shared" si="88"/>
        <v>12.271352431985132</v>
      </c>
      <c r="W644" s="1612"/>
      <c r="X644" s="1612"/>
      <c r="Y644" s="1613"/>
      <c r="Z644" s="1614"/>
      <c r="AA644" s="1614"/>
      <c r="AB644" s="1615"/>
      <c r="AC644" s="1615"/>
      <c r="AD644" s="583"/>
      <c r="AE644" s="583"/>
    </row>
    <row r="645" spans="1:31" ht="14">
      <c r="A645" s="1384" t="s">
        <v>2363</v>
      </c>
      <c r="B645" s="19" t="s">
        <v>3235</v>
      </c>
      <c r="C645" s="1383">
        <v>3504</v>
      </c>
      <c r="D645" s="1236"/>
      <c r="E645" s="1236">
        <v>0</v>
      </c>
      <c r="F645" s="1344">
        <f>(1/S645)*cnst_fish!$C$6</f>
        <v>2.3938164528281742</v>
      </c>
      <c r="G645" s="1344">
        <f t="shared" si="91"/>
        <v>1</v>
      </c>
      <c r="H645" s="1344">
        <f t="shared" si="91"/>
        <v>0.367192066876738</v>
      </c>
      <c r="I645" s="1344">
        <f t="shared" si="83"/>
        <v>0</v>
      </c>
      <c r="J645" s="902">
        <f t="shared" si="84"/>
        <v>0</v>
      </c>
      <c r="L645" s="1460"/>
      <c r="M645" s="1236">
        <v>0</v>
      </c>
      <c r="N645" s="1240" t="s">
        <v>2433</v>
      </c>
      <c r="O645" s="1241" t="s">
        <v>4851</v>
      </c>
      <c r="P645" s="910">
        <f t="shared" si="85"/>
        <v>0</v>
      </c>
      <c r="Q645" s="910">
        <f t="shared" si="86"/>
        <v>0</v>
      </c>
      <c r="R645" s="1344">
        <f t="shared" si="87"/>
        <v>2.1</v>
      </c>
      <c r="S645" s="1344">
        <f>(1/9)*cnst_fish!$C$7*(1/cnst_fish!$C$8)^(R645-1)</f>
        <v>1.7754076320174161</v>
      </c>
      <c r="T645" s="1362">
        <f t="shared" si="88"/>
        <v>0</v>
      </c>
      <c r="W645" s="1612"/>
      <c r="X645" s="1612"/>
      <c r="Y645" s="1613"/>
      <c r="Z645" s="1614"/>
      <c r="AA645" s="1614"/>
      <c r="AB645" s="1615"/>
      <c r="AC645" s="1615"/>
      <c r="AD645" s="583"/>
      <c r="AE645" s="583"/>
    </row>
    <row r="646" spans="1:31" ht="14">
      <c r="A646" s="1384" t="s">
        <v>4782</v>
      </c>
      <c r="B646" s="19" t="s">
        <v>4178</v>
      </c>
      <c r="C646" s="1383">
        <v>2211</v>
      </c>
      <c r="D646" s="1236"/>
      <c r="E646" s="1236"/>
      <c r="F646" s="1344">
        <f>(1/S646)*cnst_fish!$C$6</f>
        <v>8.8938714421809756E-2</v>
      </c>
      <c r="G646" s="1344">
        <f t="shared" si="91"/>
        <v>1</v>
      </c>
      <c r="H646" s="1344">
        <f t="shared" si="91"/>
        <v>0.367192066876738</v>
      </c>
      <c r="I646" s="1344">
        <f t="shared" si="83"/>
        <v>0</v>
      </c>
      <c r="J646" s="902">
        <f t="shared" si="84"/>
        <v>0</v>
      </c>
      <c r="L646" s="1460">
        <v>54106</v>
      </c>
      <c r="M646" s="1236"/>
      <c r="N646" s="1240" t="s">
        <v>1806</v>
      </c>
      <c r="O646" s="1241" t="s">
        <v>4859</v>
      </c>
      <c r="P646" s="910">
        <f t="shared" si="85"/>
        <v>0</v>
      </c>
      <c r="Q646" s="910">
        <f t="shared" si="86"/>
        <v>54106</v>
      </c>
      <c r="R646" s="1344">
        <f t="shared" si="87"/>
        <v>3.53</v>
      </c>
      <c r="S646" s="1344">
        <f>(1/9)*cnst_fish!$C$7*(1/cnst_fish!$C$8)^(R646-1)</f>
        <v>47.785714327323419</v>
      </c>
      <c r="T646" s="1362">
        <f t="shared" si="88"/>
        <v>223381.8433242485</v>
      </c>
      <c r="W646" s="1612"/>
      <c r="X646" s="1612"/>
      <c r="Y646" s="1613"/>
      <c r="Z646" s="1614"/>
      <c r="AA646" s="1614"/>
      <c r="AB646" s="1615"/>
      <c r="AC646" s="1615"/>
      <c r="AD646" s="583"/>
      <c r="AE646" s="583"/>
    </row>
    <row r="647" spans="1:31" ht="14">
      <c r="A647" s="1384" t="s">
        <v>1234</v>
      </c>
      <c r="B647" s="19" t="s">
        <v>5467</v>
      </c>
      <c r="C647" s="1383">
        <v>16424</v>
      </c>
      <c r="D647" s="1236"/>
      <c r="E647" s="1236"/>
      <c r="F647" s="1344">
        <f>(1/S647)*cnst_fish!$C$6</f>
        <v>1.1690719251973822</v>
      </c>
      <c r="G647" s="1344">
        <f t="shared" si="91"/>
        <v>1</v>
      </c>
      <c r="H647" s="1344">
        <f t="shared" si="91"/>
        <v>0.367192066876738</v>
      </c>
      <c r="I647" s="1344">
        <f t="shared" ref="I647:I710" si="92">IF($F647=0,0,D647/$F647*$H647*$G647)</f>
        <v>0</v>
      </c>
      <c r="J647" s="902">
        <f t="shared" ref="J647:J710" si="93">IF($F647=0,0,E647/$F647*$H647*$G647)</f>
        <v>0</v>
      </c>
      <c r="L647" s="1460"/>
      <c r="M647" s="1236">
        <v>142514</v>
      </c>
      <c r="N647" s="1240" t="s">
        <v>2441</v>
      </c>
      <c r="O647" s="1241" t="s">
        <v>4840</v>
      </c>
      <c r="P647" s="910">
        <f t="shared" ref="P647:P710" si="94">D647+E647</f>
        <v>0</v>
      </c>
      <c r="Q647" s="910">
        <f t="shared" ref="Q647:Q710" si="95">L647+M647</f>
        <v>142514</v>
      </c>
      <c r="R647" s="1344">
        <f t="shared" ref="R647:R710" si="96">VLOOKUP(B647,constant_fish_trophic,3,FALSE)</f>
        <v>2.4112496163562103</v>
      </c>
      <c r="S647" s="1344">
        <f>(1/9)*cnst_fish!$C$7*(1/cnst_fish!$C$8)^(R647-1)</f>
        <v>3.6353622975613278</v>
      </c>
      <c r="T647" s="1362">
        <f t="shared" ref="T647:T710" si="97">IF(F647=0,0,Q647/F647*H647*G647)</f>
        <v>44762.010866043347</v>
      </c>
      <c r="W647" s="1612"/>
      <c r="X647" s="1612"/>
      <c r="Y647" s="1613"/>
      <c r="Z647" s="1614"/>
      <c r="AA647" s="1614"/>
      <c r="AB647" s="1615"/>
      <c r="AC647" s="1615"/>
      <c r="AD647" s="583"/>
      <c r="AE647" s="583"/>
    </row>
    <row r="648" spans="1:31" ht="14">
      <c r="A648" s="1384" t="s">
        <v>6479</v>
      </c>
      <c r="B648" s="19" t="s">
        <v>6478</v>
      </c>
      <c r="C648" s="1383">
        <v>12224</v>
      </c>
      <c r="D648" s="1236"/>
      <c r="E648" s="1236"/>
      <c r="F648" s="1344">
        <f>(1/S648)*cnst_fish!$C$6</f>
        <v>3.0136363636363641</v>
      </c>
      <c r="G648" s="1344">
        <f t="shared" ref="G648:H667" si="98">G$7</f>
        <v>1</v>
      </c>
      <c r="H648" s="1344">
        <f t="shared" si="98"/>
        <v>0.367192066876738</v>
      </c>
      <c r="I648" s="1344">
        <f t="shared" si="92"/>
        <v>0</v>
      </c>
      <c r="J648" s="902">
        <f t="shared" si="93"/>
        <v>0</v>
      </c>
      <c r="L648" s="1460">
        <v>2</v>
      </c>
      <c r="M648" s="1236"/>
      <c r="N648" s="1240" t="s">
        <v>1806</v>
      </c>
      <c r="O648" s="1241" t="s">
        <v>4841</v>
      </c>
      <c r="P648" s="910">
        <f t="shared" si="94"/>
        <v>0</v>
      </c>
      <c r="Q648" s="910">
        <f t="shared" si="95"/>
        <v>2</v>
      </c>
      <c r="R648" s="1344">
        <f t="shared" si="96"/>
        <v>2</v>
      </c>
      <c r="S648" s="1344">
        <f>(1/9)*cnst_fish!$C$7*(1/cnst_fish!$C$8)^(R648-1)</f>
        <v>1.4102564102564099</v>
      </c>
      <c r="T648" s="1362">
        <f t="shared" si="97"/>
        <v>0.24368704287445653</v>
      </c>
      <c r="W648" s="1612"/>
      <c r="X648" s="1612"/>
      <c r="Y648" s="1613"/>
      <c r="Z648" s="1614"/>
      <c r="AA648" s="1614"/>
      <c r="AB648" s="1615"/>
      <c r="AC648" s="1615"/>
      <c r="AD648" s="583"/>
      <c r="AE648" s="583"/>
    </row>
    <row r="649" spans="1:31" ht="14">
      <c r="A649" s="1384" t="s">
        <v>2073</v>
      </c>
      <c r="B649" s="19" t="s">
        <v>2074</v>
      </c>
      <c r="C649" s="1383">
        <v>12225</v>
      </c>
      <c r="D649" s="1236"/>
      <c r="E649" s="1236"/>
      <c r="F649" s="1344">
        <f>(1/S649)*cnst_fish!$C$6</f>
        <v>9.5299549485983424E-3</v>
      </c>
      <c r="G649" s="1344">
        <f t="shared" si="98"/>
        <v>1</v>
      </c>
      <c r="H649" s="1344">
        <f t="shared" si="98"/>
        <v>0.367192066876738</v>
      </c>
      <c r="I649" s="1344">
        <f t="shared" si="92"/>
        <v>0</v>
      </c>
      <c r="J649" s="902">
        <f t="shared" si="93"/>
        <v>0</v>
      </c>
      <c r="L649" s="1460">
        <v>4854</v>
      </c>
      <c r="M649" s="1236"/>
      <c r="N649" s="1240" t="s">
        <v>1806</v>
      </c>
      <c r="O649" s="1241" t="s">
        <v>4841</v>
      </c>
      <c r="P649" s="910">
        <f t="shared" si="94"/>
        <v>0</v>
      </c>
      <c r="Q649" s="910">
        <f t="shared" si="95"/>
        <v>4854</v>
      </c>
      <c r="R649" s="1344">
        <f t="shared" si="96"/>
        <v>4.5</v>
      </c>
      <c r="S649" s="1344">
        <f>(1/9)*cnst_fish!$C$7*(1/cnst_fish!$C$8)^(R649-1)</f>
        <v>445.96223412630997</v>
      </c>
      <c r="T649" s="1362">
        <f t="shared" si="97"/>
        <v>187026.09846879001</v>
      </c>
      <c r="W649" s="1612"/>
      <c r="X649" s="1612"/>
      <c r="Y649" s="1613"/>
      <c r="Z649" s="1614"/>
      <c r="AA649" s="1614"/>
      <c r="AB649" s="1615"/>
      <c r="AC649" s="1615"/>
      <c r="AD649" s="583"/>
      <c r="AE649" s="583"/>
    </row>
    <row r="650" spans="1:31" ht="14">
      <c r="A650" s="1384" t="s">
        <v>2946</v>
      </c>
      <c r="B650" s="19" t="s">
        <v>2551</v>
      </c>
      <c r="C650" s="1383">
        <v>12227</v>
      </c>
      <c r="D650" s="1236"/>
      <c r="E650" s="1236"/>
      <c r="F650" s="1344">
        <f>(1/S650)*cnst_fish!$C$6</f>
        <v>0.10449387811364928</v>
      </c>
      <c r="G650" s="1344">
        <f t="shared" si="98"/>
        <v>1</v>
      </c>
      <c r="H650" s="1344">
        <f t="shared" si="98"/>
        <v>0.367192066876738</v>
      </c>
      <c r="I650" s="1344">
        <f t="shared" si="92"/>
        <v>0</v>
      </c>
      <c r="J650" s="902">
        <f t="shared" si="93"/>
        <v>0</v>
      </c>
      <c r="L650" s="1460">
        <v>0</v>
      </c>
      <c r="M650" s="1236"/>
      <c r="N650" s="1240" t="s">
        <v>1806</v>
      </c>
      <c r="O650" s="1241" t="s">
        <v>4841</v>
      </c>
      <c r="P650" s="910">
        <f t="shared" si="94"/>
        <v>0</v>
      </c>
      <c r="Q650" s="910">
        <f t="shared" si="95"/>
        <v>0</v>
      </c>
      <c r="R650" s="1344">
        <f t="shared" si="96"/>
        <v>3.46</v>
      </c>
      <c r="S650" s="1344">
        <f>(1/9)*cnst_fish!$C$7*(1/cnst_fish!$C$8)^(R650-1)</f>
        <v>40.672239146657276</v>
      </c>
      <c r="T650" s="1362">
        <f t="shared" si="97"/>
        <v>0</v>
      </c>
      <c r="W650" s="1612"/>
      <c r="X650" s="1612"/>
      <c r="Y650" s="1613"/>
      <c r="Z650" s="1614"/>
      <c r="AA650" s="1614"/>
      <c r="AB650" s="1615"/>
      <c r="AC650" s="1615"/>
      <c r="AD650" s="583"/>
      <c r="AE650" s="583"/>
    </row>
    <row r="651" spans="1:31" ht="14">
      <c r="A651" s="1384" t="s">
        <v>6591</v>
      </c>
      <c r="B651" s="19" t="s">
        <v>6590</v>
      </c>
      <c r="C651" s="1383">
        <v>6592</v>
      </c>
      <c r="D651" s="1236"/>
      <c r="E651" s="1236"/>
      <c r="F651" s="1344">
        <f>(1/S651)*cnst_fish!$C$6</f>
        <v>3.0136363636363641</v>
      </c>
      <c r="G651" s="1344">
        <f t="shared" si="98"/>
        <v>1</v>
      </c>
      <c r="H651" s="1344">
        <f t="shared" si="98"/>
        <v>0.367192066876738</v>
      </c>
      <c r="I651" s="1344">
        <f t="shared" si="92"/>
        <v>0</v>
      </c>
      <c r="J651" s="902">
        <f t="shared" si="93"/>
        <v>0</v>
      </c>
      <c r="L651" s="1460">
        <v>0</v>
      </c>
      <c r="M651" s="1236"/>
      <c r="N651" s="1240" t="s">
        <v>5367</v>
      </c>
      <c r="O651" s="1241"/>
      <c r="P651" s="910">
        <f t="shared" si="94"/>
        <v>0</v>
      </c>
      <c r="Q651" s="910">
        <f t="shared" si="95"/>
        <v>0</v>
      </c>
      <c r="R651" s="1344">
        <f t="shared" si="96"/>
        <v>2</v>
      </c>
      <c r="S651" s="1344">
        <f>(1/9)*cnst_fish!$C$7*(1/cnst_fish!$C$8)^(R651-1)</f>
        <v>1.4102564102564099</v>
      </c>
      <c r="T651" s="1362">
        <f t="shared" si="97"/>
        <v>0</v>
      </c>
      <c r="W651" s="1612"/>
      <c r="X651" s="1612"/>
      <c r="Y651" s="1613"/>
      <c r="Z651" s="1614"/>
      <c r="AA651" s="1614"/>
      <c r="AB651" s="1615"/>
      <c r="AC651" s="1615"/>
      <c r="AD651" s="583"/>
      <c r="AE651" s="583"/>
    </row>
    <row r="652" spans="1:31" ht="14">
      <c r="A652" s="1384" t="s">
        <v>4025</v>
      </c>
      <c r="B652" s="19" t="s">
        <v>4026</v>
      </c>
      <c r="C652" s="1383">
        <v>12251</v>
      </c>
      <c r="D652" s="1236"/>
      <c r="E652" s="1236"/>
      <c r="F652" s="1344">
        <f>(1/S652)*cnst_fish!$C$6</f>
        <v>0.10692785320993656</v>
      </c>
      <c r="G652" s="1344">
        <f t="shared" si="98"/>
        <v>1</v>
      </c>
      <c r="H652" s="1344">
        <f t="shared" si="98"/>
        <v>0.367192066876738</v>
      </c>
      <c r="I652" s="1344">
        <f t="shared" si="92"/>
        <v>0</v>
      </c>
      <c r="J652" s="902">
        <f t="shared" si="93"/>
        <v>0</v>
      </c>
      <c r="L652" s="1460">
        <v>886</v>
      </c>
      <c r="M652" s="1236"/>
      <c r="N652" s="1240" t="s">
        <v>1806</v>
      </c>
      <c r="O652" s="1241" t="s">
        <v>4841</v>
      </c>
      <c r="P652" s="910">
        <f t="shared" si="94"/>
        <v>0</v>
      </c>
      <c r="Q652" s="910">
        <f t="shared" si="95"/>
        <v>886</v>
      </c>
      <c r="R652" s="1344">
        <f t="shared" si="96"/>
        <v>3.45</v>
      </c>
      <c r="S652" s="1344">
        <f>(1/9)*cnst_fish!$C$7*(1/cnst_fish!$C$8)^(R652-1)</f>
        <v>39.746425953729492</v>
      </c>
      <c r="T652" s="1362">
        <f t="shared" si="97"/>
        <v>3042.5390717800128</v>
      </c>
      <c r="W652" s="1612"/>
      <c r="X652" s="1612"/>
      <c r="Y652" s="1613"/>
      <c r="Z652" s="1614"/>
      <c r="AA652" s="1614"/>
      <c r="AB652" s="1615"/>
      <c r="AC652" s="1615"/>
      <c r="AD652" s="583"/>
      <c r="AE652" s="583"/>
    </row>
    <row r="653" spans="1:31" ht="14">
      <c r="A653" s="1384" t="s">
        <v>3549</v>
      </c>
      <c r="B653" s="19" t="s">
        <v>1719</v>
      </c>
      <c r="C653" s="1383">
        <v>2214</v>
      </c>
      <c r="D653" s="1236">
        <v>10</v>
      </c>
      <c r="E653" s="1236"/>
      <c r="F653" s="1344">
        <f>(1/S653)*cnst_fish!$C$6</f>
        <v>6.4430402969999093E-2</v>
      </c>
      <c r="G653" s="1344">
        <f t="shared" si="98"/>
        <v>1</v>
      </c>
      <c r="H653" s="1344">
        <f t="shared" si="98"/>
        <v>0.367192066876738</v>
      </c>
      <c r="I653" s="1344">
        <f t="shared" si="92"/>
        <v>56.99049671437173</v>
      </c>
      <c r="J653" s="902">
        <f t="shared" si="93"/>
        <v>0</v>
      </c>
      <c r="L653" s="1460">
        <v>2332</v>
      </c>
      <c r="M653" s="1236"/>
      <c r="N653" s="1240" t="s">
        <v>1806</v>
      </c>
      <c r="O653" s="1241" t="s">
        <v>4841</v>
      </c>
      <c r="P653" s="910">
        <f t="shared" si="94"/>
        <v>10</v>
      </c>
      <c r="Q653" s="910">
        <f t="shared" si="95"/>
        <v>2332</v>
      </c>
      <c r="R653" s="1344">
        <f t="shared" si="96"/>
        <v>3.67</v>
      </c>
      <c r="S653" s="1344">
        <f>(1/9)*cnst_fish!$C$7*(1/cnst_fish!$C$8)^(R653-1)</f>
        <v>65.962648130245896</v>
      </c>
      <c r="T653" s="1362">
        <f t="shared" si="97"/>
        <v>13290.183833791489</v>
      </c>
      <c r="W653" s="1612"/>
      <c r="X653" s="1612"/>
      <c r="Y653" s="1613"/>
      <c r="Z653" s="1614"/>
      <c r="AA653" s="1614"/>
      <c r="AB653" s="1615"/>
      <c r="AC653" s="1615"/>
      <c r="AD653" s="583"/>
      <c r="AE653" s="583"/>
    </row>
    <row r="654" spans="1:31" ht="14">
      <c r="A654" s="1384" t="s">
        <v>1687</v>
      </c>
      <c r="B654" s="19" t="s">
        <v>1721</v>
      </c>
      <c r="C654" s="1383">
        <v>3011</v>
      </c>
      <c r="D654" s="1236">
        <v>309429</v>
      </c>
      <c r="E654" s="1236"/>
      <c r="F654" s="1344">
        <f>(1/S654)*cnst_fish!$C$6</f>
        <v>2.945037624971374E-2</v>
      </c>
      <c r="G654" s="1344">
        <f t="shared" si="98"/>
        <v>1</v>
      </c>
      <c r="H654" s="1344">
        <f t="shared" si="98"/>
        <v>0.367192066876738</v>
      </c>
      <c r="I654" s="1344">
        <f t="shared" si="92"/>
        <v>3858010.9502915628</v>
      </c>
      <c r="J654" s="902">
        <f t="shared" si="93"/>
        <v>0</v>
      </c>
      <c r="L654" s="1460">
        <v>464367</v>
      </c>
      <c r="M654" s="1236"/>
      <c r="N654" s="1240" t="s">
        <v>5366</v>
      </c>
      <c r="O654" s="1241" t="s">
        <v>4841</v>
      </c>
      <c r="P654" s="910">
        <f t="shared" si="94"/>
        <v>309429</v>
      </c>
      <c r="Q654" s="910">
        <f t="shared" si="95"/>
        <v>464367</v>
      </c>
      <c r="R654" s="1344">
        <f t="shared" si="96"/>
        <v>4.01</v>
      </c>
      <c r="S654" s="1344">
        <f>(1/9)*cnst_fish!$C$7*(1/cnst_fish!$C$8)^(R654-1)</f>
        <v>144.31055019343972</v>
      </c>
      <c r="T654" s="1362">
        <f t="shared" si="97"/>
        <v>5789803.0596810319</v>
      </c>
      <c r="W654" s="1612"/>
      <c r="X654" s="1612"/>
      <c r="Y654" s="1613"/>
      <c r="Z654" s="1614"/>
      <c r="AA654" s="1614"/>
      <c r="AB654" s="1615"/>
      <c r="AC654" s="1615"/>
      <c r="AD654" s="583"/>
      <c r="AE654" s="583"/>
    </row>
    <row r="655" spans="1:31" ht="14">
      <c r="A655" s="1384" t="s">
        <v>1392</v>
      </c>
      <c r="B655" s="19" t="s">
        <v>1722</v>
      </c>
      <c r="C655" s="1383">
        <v>2218</v>
      </c>
      <c r="D655" s="1236">
        <v>2263</v>
      </c>
      <c r="E655" s="1236"/>
      <c r="F655" s="1344">
        <f>(1/S655)*cnst_fish!$C$6</f>
        <v>1.1457525898206004E-2</v>
      </c>
      <c r="G655" s="1344">
        <f t="shared" si="98"/>
        <v>1</v>
      </c>
      <c r="H655" s="1344">
        <f t="shared" si="98"/>
        <v>0.367192066876738</v>
      </c>
      <c r="I655" s="1344">
        <f t="shared" si="92"/>
        <v>72524.876201429084</v>
      </c>
      <c r="J655" s="902">
        <f t="shared" si="93"/>
        <v>0</v>
      </c>
      <c r="L655" s="1460">
        <v>1359399</v>
      </c>
      <c r="M655" s="1236"/>
      <c r="N655" s="1240" t="s">
        <v>5366</v>
      </c>
      <c r="O655" s="1241" t="s">
        <v>4841</v>
      </c>
      <c r="P655" s="910">
        <f t="shared" si="94"/>
        <v>2263</v>
      </c>
      <c r="Q655" s="910">
        <f t="shared" si="95"/>
        <v>1359399</v>
      </c>
      <c r="R655" s="1344">
        <f t="shared" si="96"/>
        <v>4.42</v>
      </c>
      <c r="S655" s="1344">
        <f>(1/9)*cnst_fish!$C$7*(1/cnst_fish!$C$8)^(R655-1)</f>
        <v>370.93522962627179</v>
      </c>
      <c r="T655" s="1362">
        <f t="shared" si="97"/>
        <v>43566170.651058994</v>
      </c>
      <c r="W655" s="1612"/>
      <c r="X655" s="1612"/>
      <c r="Y655" s="1613"/>
      <c r="Z655" s="1614"/>
      <c r="AA655" s="1614"/>
      <c r="AB655" s="1615"/>
      <c r="AC655" s="1615"/>
      <c r="AD655" s="583"/>
      <c r="AE655" s="583"/>
    </row>
    <row r="656" spans="1:31" ht="14">
      <c r="A656" s="1384" t="s">
        <v>3773</v>
      </c>
      <c r="B656" s="19" t="s">
        <v>1723</v>
      </c>
      <c r="C656" s="1383">
        <v>2219</v>
      </c>
      <c r="D656" s="1236"/>
      <c r="E656" s="1236"/>
      <c r="F656" s="1344">
        <f>(1/S656)*cnst_fish!$C$6</f>
        <v>7.7462381998898044E-2</v>
      </c>
      <c r="G656" s="1344">
        <f t="shared" si="98"/>
        <v>1</v>
      </c>
      <c r="H656" s="1344">
        <f t="shared" si="98"/>
        <v>0.367192066876738</v>
      </c>
      <c r="I656" s="1344">
        <f t="shared" si="92"/>
        <v>0</v>
      </c>
      <c r="J656" s="902">
        <f t="shared" si="93"/>
        <v>0</v>
      </c>
      <c r="L656" s="1460">
        <v>62</v>
      </c>
      <c r="M656" s="1236"/>
      <c r="N656" s="1240" t="s">
        <v>5366</v>
      </c>
      <c r="O656" s="1241" t="s">
        <v>4841</v>
      </c>
      <c r="P656" s="910">
        <f t="shared" si="94"/>
        <v>0</v>
      </c>
      <c r="Q656" s="910">
        <f t="shared" si="95"/>
        <v>62</v>
      </c>
      <c r="R656" s="1344">
        <f t="shared" si="96"/>
        <v>3.59</v>
      </c>
      <c r="S656" s="1344">
        <f>(1/9)*cnst_fish!$C$7*(1/cnst_fish!$C$8)^(R656-1)</f>
        <v>54.865340960731871</v>
      </c>
      <c r="T656" s="1362">
        <f t="shared" si="97"/>
        <v>293.89630887779327</v>
      </c>
      <c r="W656" s="1612"/>
      <c r="X656" s="1612"/>
      <c r="Y656" s="1613"/>
      <c r="Z656" s="1614"/>
      <c r="AA656" s="1614"/>
      <c r="AB656" s="1615"/>
      <c r="AC656" s="1615"/>
      <c r="AD656" s="583"/>
      <c r="AE656" s="583"/>
    </row>
    <row r="657" spans="1:31" ht="14">
      <c r="A657" s="1384" t="s">
        <v>6916</v>
      </c>
      <c r="B657" s="19" t="s">
        <v>6915</v>
      </c>
      <c r="C657" s="1383">
        <v>2234</v>
      </c>
      <c r="D657" s="1236"/>
      <c r="E657" s="1236"/>
      <c r="F657" s="1344">
        <f>(1/S657)*cnst_fish!$C$6</f>
        <v>0.11997502458044032</v>
      </c>
      <c r="G657" s="1344">
        <f t="shared" si="98"/>
        <v>1</v>
      </c>
      <c r="H657" s="1344">
        <f t="shared" si="98"/>
        <v>0.367192066876738</v>
      </c>
      <c r="I657" s="1344">
        <f t="shared" si="92"/>
        <v>0</v>
      </c>
      <c r="J657" s="902">
        <f t="shared" si="93"/>
        <v>0</v>
      </c>
      <c r="L657" s="1460">
        <v>2</v>
      </c>
      <c r="M657" s="1236"/>
      <c r="N657" s="1240" t="s">
        <v>1806</v>
      </c>
      <c r="O657" s="1241" t="s">
        <v>4841</v>
      </c>
      <c r="P657" s="910">
        <f t="shared" si="94"/>
        <v>0</v>
      </c>
      <c r="Q657" s="910">
        <f t="shared" si="95"/>
        <v>2</v>
      </c>
      <c r="R657" s="1344">
        <f t="shared" si="96"/>
        <v>3.4</v>
      </c>
      <c r="S657" s="1344">
        <f>(1/9)*cnst_fish!$C$7*(1/cnst_fish!$C$8)^(R657-1)</f>
        <v>35.424039418724846</v>
      </c>
      <c r="T657" s="1362">
        <f t="shared" si="97"/>
        <v>6.1211417653104077</v>
      </c>
      <c r="W657" s="1612"/>
      <c r="X657" s="1612"/>
      <c r="Y657" s="1613"/>
      <c r="Z657" s="1614"/>
      <c r="AA657" s="1614"/>
      <c r="AB657" s="1615"/>
      <c r="AC657" s="1615"/>
      <c r="AD657" s="583"/>
      <c r="AE657" s="583"/>
    </row>
    <row r="658" spans="1:31" ht="14">
      <c r="A658" s="1384" t="s">
        <v>487</v>
      </c>
      <c r="B658" s="19" t="s">
        <v>4071</v>
      </c>
      <c r="C658" s="1383">
        <v>3018</v>
      </c>
      <c r="D658" s="1236"/>
      <c r="E658" s="1236"/>
      <c r="F658" s="1344">
        <f>(1/S658)*cnst_fish!$C$6</f>
        <v>0.11724405960509449</v>
      </c>
      <c r="G658" s="1344">
        <f t="shared" si="98"/>
        <v>1</v>
      </c>
      <c r="H658" s="1344">
        <f t="shared" si="98"/>
        <v>0.367192066876738</v>
      </c>
      <c r="I658" s="1344">
        <f t="shared" si="92"/>
        <v>0</v>
      </c>
      <c r="J658" s="902">
        <f t="shared" si="93"/>
        <v>0</v>
      </c>
      <c r="L658" s="1460">
        <v>150</v>
      </c>
      <c r="M658" s="1236"/>
      <c r="N658" s="1240" t="s">
        <v>1806</v>
      </c>
      <c r="O658" s="1241" t="s">
        <v>4841</v>
      </c>
      <c r="P658" s="910">
        <f t="shared" si="94"/>
        <v>0</v>
      </c>
      <c r="Q658" s="910">
        <f t="shared" si="95"/>
        <v>150</v>
      </c>
      <c r="R658" s="1344">
        <f t="shared" si="96"/>
        <v>3.41</v>
      </c>
      <c r="S658" s="1344">
        <f>(1/9)*cnst_fish!$C$7*(1/cnst_fish!$C$8)^(R658-1)</f>
        <v>36.24917129545836</v>
      </c>
      <c r="T658" s="1362">
        <f t="shared" si="97"/>
        <v>469.77911048993917</v>
      </c>
      <c r="W658" s="1612"/>
      <c r="X658" s="1612"/>
      <c r="Y658" s="1613"/>
      <c r="Z658" s="1614"/>
      <c r="AA658" s="1614"/>
      <c r="AB658" s="1615"/>
      <c r="AC658" s="1615"/>
      <c r="AD658" s="583"/>
      <c r="AE658" s="583"/>
    </row>
    <row r="659" spans="1:31" ht="14">
      <c r="A659" s="1384" t="s">
        <v>3964</v>
      </c>
      <c r="B659" s="19" t="s">
        <v>5302</v>
      </c>
      <c r="C659" s="1383">
        <v>3468</v>
      </c>
      <c r="D659" s="1236"/>
      <c r="E659" s="1236"/>
      <c r="F659" s="1344">
        <f>(1/S659)*cnst_fish!$C$6</f>
        <v>0.75699122913220485</v>
      </c>
      <c r="G659" s="1344">
        <f t="shared" si="98"/>
        <v>1</v>
      </c>
      <c r="H659" s="1344">
        <f t="shared" si="98"/>
        <v>0.367192066876738</v>
      </c>
      <c r="I659" s="1344">
        <f t="shared" si="92"/>
        <v>0</v>
      </c>
      <c r="J659" s="902">
        <f t="shared" si="93"/>
        <v>0</v>
      </c>
      <c r="L659" s="1460">
        <v>55</v>
      </c>
      <c r="M659" s="1236"/>
      <c r="N659" s="1240" t="s">
        <v>2441</v>
      </c>
      <c r="O659" s="1241" t="s">
        <v>4840</v>
      </c>
      <c r="P659" s="910">
        <f t="shared" si="94"/>
        <v>0</v>
      </c>
      <c r="Q659" s="910">
        <f t="shared" si="95"/>
        <v>55</v>
      </c>
      <c r="R659" s="1344">
        <f t="shared" si="96"/>
        <v>2.6</v>
      </c>
      <c r="S659" s="1344">
        <f>(1/9)*cnst_fish!$C$7*(1/cnst_fish!$C$8)^(R659-1)</f>
        <v>5.6143318924211183</v>
      </c>
      <c r="T659" s="1362">
        <f t="shared" si="97"/>
        <v>26.678728763307156</v>
      </c>
      <c r="W659" s="1612"/>
      <c r="X659" s="1612"/>
      <c r="Y659" s="1613"/>
      <c r="Z659" s="1614"/>
      <c r="AA659" s="1614"/>
      <c r="AB659" s="1615"/>
      <c r="AC659" s="1615"/>
      <c r="AD659" s="583"/>
      <c r="AE659" s="583"/>
    </row>
    <row r="660" spans="1:31" ht="14">
      <c r="A660" s="1384" t="s">
        <v>2737</v>
      </c>
      <c r="B660" s="19" t="s">
        <v>2552</v>
      </c>
      <c r="C660" s="1383">
        <v>2972</v>
      </c>
      <c r="D660" s="1236"/>
      <c r="E660" s="1236"/>
      <c r="F660" s="1344">
        <f>(1/S660)*cnst_fish!$C$6</f>
        <v>0.10211530705467774</v>
      </c>
      <c r="G660" s="1344">
        <f t="shared" si="98"/>
        <v>1</v>
      </c>
      <c r="H660" s="1344">
        <f t="shared" si="98"/>
        <v>0.367192066876738</v>
      </c>
      <c r="I660" s="1344">
        <f t="shared" si="92"/>
        <v>0</v>
      </c>
      <c r="J660" s="902">
        <f t="shared" si="93"/>
        <v>0</v>
      </c>
      <c r="L660" s="1460">
        <v>0</v>
      </c>
      <c r="M660" s="1236"/>
      <c r="N660" s="1240" t="s">
        <v>1806</v>
      </c>
      <c r="O660" s="1241" t="s">
        <v>4841</v>
      </c>
      <c r="P660" s="910">
        <f t="shared" si="94"/>
        <v>0</v>
      </c>
      <c r="Q660" s="910">
        <f t="shared" si="95"/>
        <v>0</v>
      </c>
      <c r="R660" s="1344">
        <f t="shared" si="96"/>
        <v>3.47</v>
      </c>
      <c r="S660" s="1344">
        <f>(1/9)*cnst_fish!$C$7*(1/cnst_fish!$C$8)^(R660-1)</f>
        <v>41.619617299141382</v>
      </c>
      <c r="T660" s="1362">
        <f t="shared" si="97"/>
        <v>0</v>
      </c>
      <c r="W660" s="1612"/>
      <c r="X660" s="1612"/>
      <c r="Y660" s="1613"/>
      <c r="Z660" s="1614"/>
      <c r="AA660" s="1614"/>
      <c r="AB660" s="1615"/>
      <c r="AC660" s="1615"/>
      <c r="AD660" s="583"/>
      <c r="AE660" s="583"/>
    </row>
    <row r="661" spans="1:31" ht="14">
      <c r="A661" s="1384" t="s">
        <v>5716</v>
      </c>
      <c r="B661" s="19" t="s">
        <v>1700</v>
      </c>
      <c r="C661" s="1383">
        <v>2818</v>
      </c>
      <c r="D661" s="1236">
        <v>20</v>
      </c>
      <c r="E661" s="1236"/>
      <c r="F661" s="1344">
        <f>(1/S661)*cnst_fish!$C$6</f>
        <v>8.6914222116951673E-3</v>
      </c>
      <c r="G661" s="1344">
        <f t="shared" si="98"/>
        <v>1</v>
      </c>
      <c r="H661" s="1344">
        <f t="shared" si="98"/>
        <v>0.367192066876738</v>
      </c>
      <c r="I661" s="1344">
        <f t="shared" si="92"/>
        <v>844.95277742380256</v>
      </c>
      <c r="J661" s="902">
        <f t="shared" si="93"/>
        <v>0</v>
      </c>
      <c r="L661" s="1460">
        <v>36</v>
      </c>
      <c r="M661" s="1236"/>
      <c r="N661" s="1240" t="s">
        <v>3927</v>
      </c>
      <c r="O661" s="1241" t="s">
        <v>4841</v>
      </c>
      <c r="P661" s="910">
        <f t="shared" si="94"/>
        <v>20</v>
      </c>
      <c r="Q661" s="910">
        <f t="shared" si="95"/>
        <v>36</v>
      </c>
      <c r="R661" s="1344">
        <f t="shared" si="96"/>
        <v>4.54</v>
      </c>
      <c r="S661" s="1344">
        <f>(1/9)*cnst_fish!$C$7*(1/cnst_fish!$C$8)^(R661-1)</f>
        <v>488.98786602280177</v>
      </c>
      <c r="T661" s="1362">
        <f t="shared" si="97"/>
        <v>1520.9149993628444</v>
      </c>
      <c r="W661" s="1612"/>
      <c r="X661" s="1612"/>
      <c r="Y661" s="1613"/>
      <c r="Z661" s="1614"/>
      <c r="AA661" s="1614"/>
      <c r="AB661" s="1615"/>
      <c r="AC661" s="1615"/>
      <c r="AD661" s="583"/>
      <c r="AE661" s="583"/>
    </row>
    <row r="662" spans="1:31" ht="14">
      <c r="A662" s="1384" t="s">
        <v>128</v>
      </c>
      <c r="B662" s="19" t="s">
        <v>2553</v>
      </c>
      <c r="C662" s="1383">
        <v>2268</v>
      </c>
      <c r="D662" s="1236"/>
      <c r="E662" s="1236"/>
      <c r="F662" s="1344">
        <f>(1/S662)*cnst_fish!$C$6</f>
        <v>8.1113071591070229E-2</v>
      </c>
      <c r="G662" s="1344">
        <f t="shared" si="98"/>
        <v>1</v>
      </c>
      <c r="H662" s="1344">
        <f t="shared" si="98"/>
        <v>0.367192066876738</v>
      </c>
      <c r="I662" s="1344">
        <f t="shared" si="92"/>
        <v>0</v>
      </c>
      <c r="J662" s="902">
        <f t="shared" si="93"/>
        <v>0</v>
      </c>
      <c r="L662" s="1460">
        <v>20755</v>
      </c>
      <c r="M662" s="1236"/>
      <c r="N662" s="1240" t="s">
        <v>1806</v>
      </c>
      <c r="O662" s="1241" t="s">
        <v>4841</v>
      </c>
      <c r="P662" s="910">
        <f t="shared" si="94"/>
        <v>0</v>
      </c>
      <c r="Q662" s="910">
        <f t="shared" si="95"/>
        <v>20755</v>
      </c>
      <c r="R662" s="1344">
        <f t="shared" si="96"/>
        <v>3.57</v>
      </c>
      <c r="S662" s="1344">
        <f>(1/9)*cnst_fish!$C$7*(1/cnst_fish!$C$8)^(R662-1)</f>
        <v>52.395993847037154</v>
      </c>
      <c r="T662" s="1362">
        <f t="shared" si="97"/>
        <v>93956.142931538358</v>
      </c>
      <c r="W662" s="1612"/>
      <c r="X662" s="1612"/>
      <c r="Y662" s="1613"/>
      <c r="Z662" s="1614"/>
      <c r="AA662" s="1614"/>
      <c r="AB662" s="1615"/>
      <c r="AC662" s="1615"/>
      <c r="AD662" s="583"/>
      <c r="AE662" s="583"/>
    </row>
    <row r="663" spans="1:31" ht="14">
      <c r="A663" s="1384" t="s">
        <v>1527</v>
      </c>
      <c r="B663" s="19" t="s">
        <v>1701</v>
      </c>
      <c r="C663" s="1383">
        <v>2828</v>
      </c>
      <c r="D663" s="1236">
        <v>1</v>
      </c>
      <c r="E663" s="1236"/>
      <c r="F663" s="1344">
        <f>(1/S663)*cnst_fish!$C$6</f>
        <v>1.8581931192461935E-2</v>
      </c>
      <c r="G663" s="1344">
        <f t="shared" si="98"/>
        <v>1</v>
      </c>
      <c r="H663" s="1344">
        <f t="shared" si="98"/>
        <v>0.367192066876738</v>
      </c>
      <c r="I663" s="1344">
        <f t="shared" si="92"/>
        <v>19.760705336466614</v>
      </c>
      <c r="J663" s="902">
        <f t="shared" si="93"/>
        <v>0</v>
      </c>
      <c r="L663" s="1460">
        <v>4330</v>
      </c>
      <c r="M663" s="1236"/>
      <c r="N663" s="1240" t="s">
        <v>3927</v>
      </c>
      <c r="O663" s="1241" t="s">
        <v>4841</v>
      </c>
      <c r="P663" s="910">
        <f t="shared" si="94"/>
        <v>1</v>
      </c>
      <c r="Q663" s="910">
        <f t="shared" si="95"/>
        <v>4330</v>
      </c>
      <c r="R663" s="1344">
        <f t="shared" si="96"/>
        <v>4.21</v>
      </c>
      <c r="S663" s="1344">
        <f>(1/9)*cnst_fish!$C$7*(1/cnst_fish!$C$8)^(R663-1)</f>
        <v>228.71680860190045</v>
      </c>
      <c r="T663" s="1362">
        <f t="shared" si="97"/>
        <v>85563.854106900442</v>
      </c>
      <c r="W663" s="1612"/>
      <c r="X663" s="1612"/>
      <c r="Y663" s="1613"/>
      <c r="Z663" s="1614"/>
      <c r="AA663" s="1614"/>
      <c r="AB663" s="1615"/>
      <c r="AC663" s="1615"/>
      <c r="AD663" s="583"/>
      <c r="AE663" s="583"/>
    </row>
    <row r="664" spans="1:31" ht="14">
      <c r="A664" s="1384" t="s">
        <v>2182</v>
      </c>
      <c r="B664" s="19" t="s">
        <v>1702</v>
      </c>
      <c r="C664" s="1383">
        <v>2803</v>
      </c>
      <c r="D664" s="1236"/>
      <c r="E664" s="1236"/>
      <c r="F664" s="1344">
        <f>(1/S664)*cnst_fish!$C$6</f>
        <v>1.7745606522761578E-2</v>
      </c>
      <c r="G664" s="1344">
        <f t="shared" si="98"/>
        <v>1</v>
      </c>
      <c r="H664" s="1344">
        <f t="shared" si="98"/>
        <v>0.367192066876738</v>
      </c>
      <c r="I664" s="1344">
        <f t="shared" si="92"/>
        <v>0</v>
      </c>
      <c r="J664" s="902">
        <f t="shared" si="93"/>
        <v>0</v>
      </c>
      <c r="L664" s="1460">
        <v>75</v>
      </c>
      <c r="M664" s="1236"/>
      <c r="N664" s="1240" t="s">
        <v>3927</v>
      </c>
      <c r="O664" s="1241" t="s">
        <v>4841</v>
      </c>
      <c r="P664" s="910">
        <f t="shared" si="94"/>
        <v>0</v>
      </c>
      <c r="Q664" s="910">
        <f t="shared" si="95"/>
        <v>75</v>
      </c>
      <c r="R664" s="1344">
        <f t="shared" si="96"/>
        <v>4.2300000000000004</v>
      </c>
      <c r="S664" s="1344">
        <f>(1/9)*cnst_fish!$C$7*(1/cnst_fish!$C$8)^(R664-1)</f>
        <v>239.49589970614389</v>
      </c>
      <c r="T664" s="1362">
        <f t="shared" si="97"/>
        <v>1551.8999015576987</v>
      </c>
      <c r="W664" s="1612"/>
      <c r="X664" s="1612"/>
      <c r="Y664" s="1613"/>
      <c r="Z664" s="1614"/>
      <c r="AA664" s="1614"/>
      <c r="AB664" s="1615"/>
      <c r="AC664" s="1615"/>
      <c r="AD664" s="583"/>
      <c r="AE664" s="583"/>
    </row>
    <row r="665" spans="1:31" ht="14">
      <c r="A665" s="1384" t="s">
        <v>2057</v>
      </c>
      <c r="B665" s="19" t="s">
        <v>2058</v>
      </c>
      <c r="C665" s="1383">
        <v>12273</v>
      </c>
      <c r="D665" s="1236"/>
      <c r="E665" s="1236"/>
      <c r="F665" s="1344">
        <f>(1/S665)*cnst_fish!$C$6</f>
        <v>3.2291695426024204E-2</v>
      </c>
      <c r="G665" s="1344">
        <f t="shared" si="98"/>
        <v>1</v>
      </c>
      <c r="H665" s="1344">
        <f t="shared" si="98"/>
        <v>0.367192066876738</v>
      </c>
      <c r="I665" s="1344">
        <f t="shared" si="92"/>
        <v>0</v>
      </c>
      <c r="J665" s="902">
        <f t="shared" si="93"/>
        <v>0</v>
      </c>
      <c r="L665" s="1460">
        <v>4</v>
      </c>
      <c r="M665" s="1236"/>
      <c r="N665" s="1240" t="s">
        <v>3927</v>
      </c>
      <c r="O665" s="1241" t="s">
        <v>4841</v>
      </c>
      <c r="P665" s="910">
        <f t="shared" si="94"/>
        <v>0</v>
      </c>
      <c r="Q665" s="910">
        <f t="shared" si="95"/>
        <v>4</v>
      </c>
      <c r="R665" s="1344">
        <f t="shared" si="96"/>
        <v>3.97</v>
      </c>
      <c r="S665" s="1344">
        <f>(1/9)*cnst_fish!$C$7*(1/cnst_fish!$C$8)^(R665-1)</f>
        <v>131.61278600983218</v>
      </c>
      <c r="T665" s="1362">
        <f t="shared" si="97"/>
        <v>45.484396162217507</v>
      </c>
      <c r="W665" s="1612"/>
      <c r="X665" s="1612"/>
      <c r="Y665" s="1613"/>
      <c r="Z665" s="1614"/>
      <c r="AA665" s="1614"/>
      <c r="AB665" s="1615"/>
      <c r="AC665" s="1615"/>
      <c r="AD665" s="583"/>
      <c r="AE665" s="583"/>
    </row>
    <row r="666" spans="1:31" ht="14">
      <c r="A666" s="1384" t="s">
        <v>6507</v>
      </c>
      <c r="B666" s="19" t="s">
        <v>6506</v>
      </c>
      <c r="C666" s="1383">
        <v>2489</v>
      </c>
      <c r="D666" s="1236"/>
      <c r="E666" s="1236"/>
      <c r="F666" s="1344">
        <f>(1/S666)*cnst_fish!$C$6</f>
        <v>1.1997502458044018E-2</v>
      </c>
      <c r="G666" s="1344">
        <f t="shared" si="98"/>
        <v>1</v>
      </c>
      <c r="H666" s="1344">
        <f t="shared" si="98"/>
        <v>0.367192066876738</v>
      </c>
      <c r="I666" s="1344">
        <f t="shared" si="92"/>
        <v>0</v>
      </c>
      <c r="J666" s="902">
        <f t="shared" si="93"/>
        <v>0</v>
      </c>
      <c r="L666" s="1460">
        <v>12</v>
      </c>
      <c r="M666" s="1236"/>
      <c r="N666" s="1240" t="s">
        <v>1806</v>
      </c>
      <c r="O666" s="1241" t="s">
        <v>4859</v>
      </c>
      <c r="P666" s="910">
        <f t="shared" si="94"/>
        <v>0</v>
      </c>
      <c r="Q666" s="910">
        <f t="shared" si="95"/>
        <v>12</v>
      </c>
      <c r="R666" s="1344">
        <f t="shared" si="96"/>
        <v>4.4000000000000004</v>
      </c>
      <c r="S666" s="1344">
        <f>(1/9)*cnst_fish!$C$7*(1/cnst_fish!$C$8)^(R666-1)</f>
        <v>354.24039418724885</v>
      </c>
      <c r="T666" s="1362">
        <f t="shared" si="97"/>
        <v>367.2685059186249</v>
      </c>
      <c r="W666" s="1612"/>
      <c r="X666" s="1612"/>
      <c r="Y666" s="1613"/>
      <c r="Z666" s="1614"/>
      <c r="AA666" s="1614"/>
      <c r="AB666" s="1615"/>
      <c r="AC666" s="1615"/>
      <c r="AD666" s="583"/>
      <c r="AE666" s="583"/>
    </row>
    <row r="667" spans="1:31" ht="14">
      <c r="A667" s="1384" t="s">
        <v>1219</v>
      </c>
      <c r="B667" s="19" t="s">
        <v>1573</v>
      </c>
      <c r="C667" s="1383">
        <v>12291</v>
      </c>
      <c r="D667" s="1236"/>
      <c r="E667" s="1236"/>
      <c r="F667" s="1344">
        <f>(1/S667)*cnst_fish!$C$6</f>
        <v>9.3130266898023228E-2</v>
      </c>
      <c r="G667" s="1344">
        <f t="shared" si="98"/>
        <v>1</v>
      </c>
      <c r="H667" s="1344">
        <f t="shared" si="98"/>
        <v>0.367192066876738</v>
      </c>
      <c r="I667" s="1344">
        <f t="shared" si="92"/>
        <v>0</v>
      </c>
      <c r="J667" s="902">
        <f t="shared" si="93"/>
        <v>0</v>
      </c>
      <c r="L667" s="1460">
        <v>81</v>
      </c>
      <c r="M667" s="1236">
        <v>124</v>
      </c>
      <c r="N667" s="1240" t="s">
        <v>1806</v>
      </c>
      <c r="O667" s="1241" t="s">
        <v>4845</v>
      </c>
      <c r="P667" s="910">
        <f t="shared" si="94"/>
        <v>0</v>
      </c>
      <c r="Q667" s="910">
        <f t="shared" si="95"/>
        <v>205</v>
      </c>
      <c r="R667" s="1344">
        <f t="shared" si="96"/>
        <v>3.51</v>
      </c>
      <c r="S667" s="1344">
        <f>(1/9)*cnst_fish!$C$7*(1/cnst_fish!$C$8)^(R667-1)</f>
        <v>45.635002900332182</v>
      </c>
      <c r="T667" s="1362">
        <f t="shared" si="97"/>
        <v>808.26970883865306</v>
      </c>
      <c r="W667" s="1612"/>
      <c r="X667" s="1612"/>
      <c r="Y667" s="1613"/>
      <c r="Z667" s="1614"/>
      <c r="AA667" s="1614"/>
      <c r="AB667" s="1615"/>
      <c r="AC667" s="1615"/>
      <c r="AD667" s="583"/>
      <c r="AE667" s="583"/>
    </row>
    <row r="668" spans="1:31" ht="14">
      <c r="A668" s="1384" t="s">
        <v>2404</v>
      </c>
      <c r="B668" s="19" t="s">
        <v>4490</v>
      </c>
      <c r="C668" s="1383">
        <v>3488</v>
      </c>
      <c r="D668" s="1236">
        <v>91</v>
      </c>
      <c r="E668" s="1236"/>
      <c r="F668" s="1344">
        <f>(1/S668)*cnst_fish!$C$6</f>
        <v>2.3938164528281742</v>
      </c>
      <c r="G668" s="1344">
        <f t="shared" ref="G668:H687" si="99">G$7</f>
        <v>1</v>
      </c>
      <c r="H668" s="1344">
        <f t="shared" si="99"/>
        <v>0.367192066876738</v>
      </c>
      <c r="I668" s="1344">
        <f t="shared" si="92"/>
        <v>13.958663391383089</v>
      </c>
      <c r="J668" s="902">
        <f t="shared" si="93"/>
        <v>0</v>
      </c>
      <c r="L668" s="1460">
        <v>36998</v>
      </c>
      <c r="M668" s="1236"/>
      <c r="N668" s="1240" t="s">
        <v>1804</v>
      </c>
      <c r="O668" s="1241" t="s">
        <v>4851</v>
      </c>
      <c r="P668" s="910">
        <f t="shared" si="94"/>
        <v>91</v>
      </c>
      <c r="Q668" s="910">
        <f t="shared" si="95"/>
        <v>36998</v>
      </c>
      <c r="R668" s="1344">
        <f t="shared" si="96"/>
        <v>2.1</v>
      </c>
      <c r="S668" s="1344">
        <f>(1/9)*cnst_fish!$C$7*(1/cnst_fish!$C$8)^(R668-1)</f>
        <v>1.7754076320174161</v>
      </c>
      <c r="T668" s="1362">
        <f t="shared" si="97"/>
        <v>5675.1937159823246</v>
      </c>
      <c r="W668" s="1612"/>
      <c r="X668" s="1612"/>
      <c r="Y668" s="1613"/>
      <c r="Z668" s="1614"/>
      <c r="AA668" s="1614"/>
      <c r="AB668" s="1615"/>
      <c r="AC668" s="1615"/>
      <c r="AD668" s="583"/>
      <c r="AE668" s="583"/>
    </row>
    <row r="669" spans="1:31" ht="14">
      <c r="A669" s="1384" t="s">
        <v>1077</v>
      </c>
      <c r="B669" s="19" t="s">
        <v>2029</v>
      </c>
      <c r="C669" s="1383">
        <v>2792</v>
      </c>
      <c r="D669" s="1236"/>
      <c r="E669" s="1236"/>
      <c r="F669" s="1344">
        <f>(1/S669)*cnst_fish!$C$6</f>
        <v>30.136363636363644</v>
      </c>
      <c r="G669" s="1344">
        <f t="shared" si="99"/>
        <v>1</v>
      </c>
      <c r="H669" s="1344">
        <f t="shared" si="99"/>
        <v>0.367192066876738</v>
      </c>
      <c r="I669" s="1344">
        <f t="shared" si="92"/>
        <v>0</v>
      </c>
      <c r="J669" s="902">
        <f t="shared" si="93"/>
        <v>0</v>
      </c>
      <c r="L669" s="1460">
        <v>1102</v>
      </c>
      <c r="M669" s="1236"/>
      <c r="N669" s="1240" t="s">
        <v>1808</v>
      </c>
      <c r="O669" s="1241" t="s">
        <v>4831</v>
      </c>
      <c r="P669" s="910">
        <f t="shared" si="94"/>
        <v>0</v>
      </c>
      <c r="Q669" s="910">
        <f t="shared" si="95"/>
        <v>1102</v>
      </c>
      <c r="R669" s="1344">
        <f t="shared" si="96"/>
        <v>1</v>
      </c>
      <c r="S669" s="1344">
        <f>(1/9)*cnst_fish!$C$7*(1/cnst_fish!$C$8)^(R669-1)</f>
        <v>0.141025641025641</v>
      </c>
      <c r="T669" s="1362">
        <f t="shared" si="97"/>
        <v>13.427156062382554</v>
      </c>
      <c r="W669" s="1612"/>
      <c r="X669" s="1612"/>
      <c r="Y669" s="1613"/>
      <c r="Z669" s="1614"/>
      <c r="AA669" s="1614"/>
      <c r="AB669" s="1615"/>
      <c r="AC669" s="1615"/>
      <c r="AD669" s="583"/>
      <c r="AE669" s="583"/>
    </row>
    <row r="670" spans="1:31" ht="14">
      <c r="A670" s="1384" t="s">
        <v>2289</v>
      </c>
      <c r="B670" s="19" t="s">
        <v>2321</v>
      </c>
      <c r="C670" s="1383">
        <v>3266</v>
      </c>
      <c r="D670" s="1236"/>
      <c r="E670" s="1236"/>
      <c r="F670" s="1344">
        <f>(1/S670)*cnst_fish!$C$6</f>
        <v>2.1334911593031029E-2</v>
      </c>
      <c r="G670" s="1344">
        <f t="shared" si="99"/>
        <v>1</v>
      </c>
      <c r="H670" s="1344">
        <f t="shared" si="99"/>
        <v>0.367192066876738</v>
      </c>
      <c r="I670" s="1344">
        <f t="shared" si="92"/>
        <v>0</v>
      </c>
      <c r="J670" s="902">
        <f t="shared" si="93"/>
        <v>0</v>
      </c>
      <c r="L670" s="1460">
        <v>309</v>
      </c>
      <c r="M670" s="1236"/>
      <c r="N670" s="1240" t="s">
        <v>1806</v>
      </c>
      <c r="O670" s="1241" t="s">
        <v>4841</v>
      </c>
      <c r="P670" s="910">
        <f t="shared" si="94"/>
        <v>0</v>
      </c>
      <c r="Q670" s="910">
        <f t="shared" si="95"/>
        <v>309</v>
      </c>
      <c r="R670" s="1344">
        <f t="shared" si="96"/>
        <v>4.1500000000000004</v>
      </c>
      <c r="S670" s="1344">
        <f>(1/9)*cnst_fish!$C$7*(1/cnst_fish!$C$8)^(R670-1)</f>
        <v>199.20401270320929</v>
      </c>
      <c r="T670" s="1362">
        <f t="shared" si="97"/>
        <v>5318.1541517132</v>
      </c>
      <c r="W670" s="1612"/>
      <c r="X670" s="1612"/>
      <c r="Y670" s="1613"/>
      <c r="Z670" s="1614"/>
      <c r="AA670" s="1614"/>
      <c r="AB670" s="1615"/>
      <c r="AC670" s="1615"/>
      <c r="AD670" s="583"/>
      <c r="AE670" s="583"/>
    </row>
    <row r="671" spans="1:31" ht="14">
      <c r="A671" s="1384" t="s">
        <v>2756</v>
      </c>
      <c r="B671" s="19" t="s">
        <v>2554</v>
      </c>
      <c r="C671" s="1383">
        <v>3159</v>
      </c>
      <c r="D671" s="1236">
        <v>3</v>
      </c>
      <c r="E671" s="1236"/>
      <c r="F671" s="1344">
        <f>(1/S671)*cnst_fish!$C$6</f>
        <v>0.11196720767792057</v>
      </c>
      <c r="G671" s="1344">
        <f t="shared" si="99"/>
        <v>1</v>
      </c>
      <c r="H671" s="1344">
        <f t="shared" si="99"/>
        <v>0.367192066876738</v>
      </c>
      <c r="I671" s="1344">
        <f t="shared" si="92"/>
        <v>9.8383823574394622</v>
      </c>
      <c r="J671" s="902">
        <f t="shared" si="93"/>
        <v>0</v>
      </c>
      <c r="L671" s="1460">
        <v>3</v>
      </c>
      <c r="M671" s="1236"/>
      <c r="N671" s="1240" t="s">
        <v>1806</v>
      </c>
      <c r="O671" s="1241" t="s">
        <v>4841</v>
      </c>
      <c r="P671" s="910">
        <f t="shared" si="94"/>
        <v>3</v>
      </c>
      <c r="Q671" s="910">
        <f t="shared" si="95"/>
        <v>3</v>
      </c>
      <c r="R671" s="1344">
        <f t="shared" si="96"/>
        <v>3.43</v>
      </c>
      <c r="S671" s="1344">
        <f>(1/9)*cnst_fish!$C$7*(1/cnst_fish!$C$8)^(R671-1)</f>
        <v>37.957542106661656</v>
      </c>
      <c r="T671" s="1362">
        <f t="shared" si="97"/>
        <v>9.8383823574394622</v>
      </c>
      <c r="W671" s="1612"/>
      <c r="X671" s="1612"/>
      <c r="Y671" s="1613"/>
      <c r="Z671" s="1614"/>
      <c r="AA671" s="1614"/>
      <c r="AB671" s="1615"/>
      <c r="AC671" s="1615"/>
      <c r="AD671" s="583"/>
      <c r="AE671" s="583"/>
    </row>
    <row r="672" spans="1:31" ht="14">
      <c r="A672" s="1384" t="s">
        <v>3565</v>
      </c>
      <c r="B672" s="19" t="s">
        <v>2322</v>
      </c>
      <c r="C672" s="1383">
        <v>3257</v>
      </c>
      <c r="D672" s="1236"/>
      <c r="E672" s="1236"/>
      <c r="F672" s="1344">
        <f>(1/S672)*cnst_fish!$C$6</f>
        <v>1.3774975896121007E-2</v>
      </c>
      <c r="G672" s="1344">
        <f t="shared" si="99"/>
        <v>1</v>
      </c>
      <c r="H672" s="1344">
        <f t="shared" si="99"/>
        <v>0.367192066876738</v>
      </c>
      <c r="I672" s="1344">
        <f t="shared" si="92"/>
        <v>0</v>
      </c>
      <c r="J672" s="902">
        <f t="shared" si="93"/>
        <v>0</v>
      </c>
      <c r="L672" s="1460">
        <v>28278</v>
      </c>
      <c r="M672" s="1236"/>
      <c r="N672" s="1240" t="s">
        <v>1806</v>
      </c>
      <c r="O672" s="1241" t="s">
        <v>4841</v>
      </c>
      <c r="P672" s="910">
        <f t="shared" si="94"/>
        <v>0</v>
      </c>
      <c r="Q672" s="910">
        <f t="shared" si="95"/>
        <v>28278</v>
      </c>
      <c r="R672" s="1344">
        <f t="shared" si="96"/>
        <v>4.34</v>
      </c>
      <c r="S672" s="1344">
        <f>(1/9)*cnst_fish!$C$7*(1/cnst_fish!$C$8)^(R672-1)</f>
        <v>308.53048542878304</v>
      </c>
      <c r="T672" s="1362">
        <f t="shared" si="97"/>
        <v>753791.32024937682</v>
      </c>
      <c r="W672" s="1612"/>
      <c r="X672" s="1612"/>
      <c r="Y672" s="1613"/>
      <c r="Z672" s="1614"/>
      <c r="AA672" s="1614"/>
      <c r="AB672" s="1615"/>
      <c r="AC672" s="1615"/>
      <c r="AD672" s="583"/>
      <c r="AE672" s="583"/>
    </row>
    <row r="673" spans="1:31" ht="14">
      <c r="A673" s="1384" t="s">
        <v>3675</v>
      </c>
      <c r="B673" s="19" t="s">
        <v>4791</v>
      </c>
      <c r="C673" s="1383">
        <v>3259</v>
      </c>
      <c r="D673" s="1236"/>
      <c r="E673" s="1236"/>
      <c r="F673" s="1344">
        <f>(1/S673)*cnst_fish!$C$6</f>
        <v>1.0941852286935309E-2</v>
      </c>
      <c r="G673" s="1344">
        <f t="shared" si="99"/>
        <v>1</v>
      </c>
      <c r="H673" s="1344">
        <f t="shared" si="99"/>
        <v>0.367192066876738</v>
      </c>
      <c r="I673" s="1344">
        <f t="shared" si="92"/>
        <v>0</v>
      </c>
      <c r="J673" s="902">
        <f t="shared" si="93"/>
        <v>0</v>
      </c>
      <c r="L673" s="1460">
        <v>8330</v>
      </c>
      <c r="M673" s="1236"/>
      <c r="N673" s="1240" t="s">
        <v>1806</v>
      </c>
      <c r="O673" s="1241" t="s">
        <v>4841</v>
      </c>
      <c r="P673" s="910">
        <f t="shared" si="94"/>
        <v>0</v>
      </c>
      <c r="Q673" s="910">
        <f t="shared" si="95"/>
        <v>8330</v>
      </c>
      <c r="R673" s="1344">
        <f t="shared" si="96"/>
        <v>4.4400000000000004</v>
      </c>
      <c r="S673" s="1344">
        <f>(1/9)*cnst_fish!$C$7*(1/cnst_fish!$C$8)^(R673-1)</f>
        <v>388.41686841948564</v>
      </c>
      <c r="T673" s="1362">
        <f t="shared" si="97"/>
        <v>279542.24174049217</v>
      </c>
      <c r="W673" s="1612"/>
      <c r="X673" s="1612"/>
      <c r="Y673" s="1613"/>
      <c r="Z673" s="1614"/>
      <c r="AA673" s="1614"/>
      <c r="AB673" s="1615"/>
      <c r="AC673" s="1615"/>
      <c r="AD673" s="583"/>
      <c r="AE673" s="583"/>
    </row>
    <row r="674" spans="1:31" ht="14">
      <c r="A674" s="1384" t="s">
        <v>2861</v>
      </c>
      <c r="B674" s="19" t="s">
        <v>4792</v>
      </c>
      <c r="C674" s="1383">
        <v>3258</v>
      </c>
      <c r="D674" s="1236"/>
      <c r="E674" s="1236"/>
      <c r="F674" s="1344">
        <f>(1/S674)*cnst_fish!$C$6</f>
        <v>1.6561163607618418E-2</v>
      </c>
      <c r="G674" s="1344">
        <f t="shared" si="99"/>
        <v>1</v>
      </c>
      <c r="H674" s="1344">
        <f t="shared" si="99"/>
        <v>0.367192066876738</v>
      </c>
      <c r="I674" s="1344">
        <f t="shared" si="92"/>
        <v>0</v>
      </c>
      <c r="J674" s="902">
        <f t="shared" si="93"/>
        <v>0</v>
      </c>
      <c r="L674" s="1460">
        <v>640</v>
      </c>
      <c r="M674" s="1236"/>
      <c r="N674" s="1240" t="s">
        <v>1806</v>
      </c>
      <c r="O674" s="1241" t="s">
        <v>4841</v>
      </c>
      <c r="P674" s="910">
        <f t="shared" si="94"/>
        <v>0</v>
      </c>
      <c r="Q674" s="910">
        <f t="shared" si="95"/>
        <v>640</v>
      </c>
      <c r="R674" s="1344">
        <f t="shared" si="96"/>
        <v>4.26</v>
      </c>
      <c r="S674" s="1344">
        <f>(1/9)*cnst_fish!$C$7*(1/cnst_fish!$C$8)^(R674-1)</f>
        <v>256.62448006038221</v>
      </c>
      <c r="T674" s="1362">
        <f t="shared" si="97"/>
        <v>14190.000676824844</v>
      </c>
      <c r="W674" s="1612"/>
      <c r="X674" s="1612"/>
      <c r="Y674" s="1613"/>
      <c r="Z674" s="1614"/>
      <c r="AA674" s="1614"/>
      <c r="AB674" s="1615"/>
      <c r="AC674" s="1615"/>
      <c r="AD674" s="583"/>
      <c r="AE674" s="583"/>
    </row>
    <row r="675" spans="1:31" ht="14">
      <c r="A675" s="1384" t="s">
        <v>4475</v>
      </c>
      <c r="B675" s="19" t="s">
        <v>4793</v>
      </c>
      <c r="C675" s="1383">
        <v>2460</v>
      </c>
      <c r="D675" s="1236"/>
      <c r="E675" s="1236"/>
      <c r="F675" s="1344">
        <f>(1/S675)*cnst_fish!$C$6</f>
        <v>2.4495756009854434E-2</v>
      </c>
      <c r="G675" s="1344">
        <f t="shared" si="99"/>
        <v>1</v>
      </c>
      <c r="H675" s="1344">
        <f t="shared" si="99"/>
        <v>0.367192066876738</v>
      </c>
      <c r="I675" s="1344">
        <f t="shared" si="92"/>
        <v>0</v>
      </c>
      <c r="J675" s="902">
        <f t="shared" si="93"/>
        <v>0</v>
      </c>
      <c r="L675" s="1460">
        <v>245</v>
      </c>
      <c r="M675" s="1236"/>
      <c r="N675" s="1240" t="s">
        <v>1806</v>
      </c>
      <c r="O675" s="1241" t="s">
        <v>4841</v>
      </c>
      <c r="P675" s="910">
        <f t="shared" si="94"/>
        <v>0</v>
      </c>
      <c r="Q675" s="910">
        <f t="shared" si="95"/>
        <v>245</v>
      </c>
      <c r="R675" s="1344">
        <f t="shared" si="96"/>
        <v>4.09</v>
      </c>
      <c r="S675" s="1344">
        <f>(1/9)*cnst_fish!$C$7*(1/cnst_fish!$C$8)^(R675-1)</f>
        <v>173.49944203764363</v>
      </c>
      <c r="T675" s="1362">
        <f t="shared" si="97"/>
        <v>3672.5568440757593</v>
      </c>
      <c r="W675" s="1612"/>
      <c r="X675" s="1612"/>
      <c r="Y675" s="1613"/>
      <c r="Z675" s="1614"/>
      <c r="AA675" s="1614"/>
      <c r="AB675" s="1615"/>
      <c r="AC675" s="1615"/>
      <c r="AD675" s="583"/>
      <c r="AE675" s="583"/>
    </row>
    <row r="676" spans="1:31" ht="14">
      <c r="A676" s="1384" t="s">
        <v>4923</v>
      </c>
      <c r="B676" s="19" t="s">
        <v>4794</v>
      </c>
      <c r="C676" s="1383">
        <v>2459</v>
      </c>
      <c r="D676" s="1236"/>
      <c r="E676" s="1236"/>
      <c r="F676" s="1344">
        <f>(1/S676)*cnst_fish!$C$6</f>
        <v>1.581578846116358E-2</v>
      </c>
      <c r="G676" s="1344">
        <f t="shared" si="99"/>
        <v>1</v>
      </c>
      <c r="H676" s="1344">
        <f t="shared" si="99"/>
        <v>0.367192066876738</v>
      </c>
      <c r="I676" s="1344">
        <f t="shared" si="92"/>
        <v>0</v>
      </c>
      <c r="J676" s="902">
        <f t="shared" si="93"/>
        <v>0</v>
      </c>
      <c r="L676" s="1460">
        <v>679</v>
      </c>
      <c r="M676" s="1236"/>
      <c r="N676" s="1240" t="s">
        <v>1806</v>
      </c>
      <c r="O676" s="1241" t="s">
        <v>4841</v>
      </c>
      <c r="P676" s="910">
        <f t="shared" si="94"/>
        <v>0</v>
      </c>
      <c r="Q676" s="910">
        <f t="shared" si="95"/>
        <v>679</v>
      </c>
      <c r="R676" s="1344">
        <f t="shared" si="96"/>
        <v>4.28</v>
      </c>
      <c r="S676" s="1344">
        <f>(1/9)*cnst_fish!$C$7*(1/cnst_fish!$C$8)^(R676-1)</f>
        <v>268.71881919994547</v>
      </c>
      <c r="T676" s="1362">
        <f t="shared" si="97"/>
        <v>15764.210176529017</v>
      </c>
      <c r="W676" s="1612"/>
      <c r="X676" s="1612"/>
      <c r="Y676" s="1613"/>
      <c r="Z676" s="1614"/>
      <c r="AA676" s="1614"/>
      <c r="AB676" s="1615"/>
      <c r="AC676" s="1615"/>
      <c r="AD676" s="583"/>
      <c r="AE676" s="583"/>
    </row>
    <row r="677" spans="1:31" ht="14">
      <c r="A677" s="1384" t="s">
        <v>2185</v>
      </c>
      <c r="B677" s="19" t="s">
        <v>2555</v>
      </c>
      <c r="C677" s="1383">
        <v>3249</v>
      </c>
      <c r="D677" s="1236"/>
      <c r="E677" s="1236"/>
      <c r="F677" s="1344">
        <f>(1/S677)*cnst_fish!$C$6</f>
        <v>0.16946922663690964</v>
      </c>
      <c r="G677" s="1344">
        <f t="shared" si="99"/>
        <v>1</v>
      </c>
      <c r="H677" s="1344">
        <f t="shared" si="99"/>
        <v>0.367192066876738</v>
      </c>
      <c r="I677" s="1344">
        <f t="shared" si="92"/>
        <v>0</v>
      </c>
      <c r="J677" s="902">
        <f t="shared" si="93"/>
        <v>0</v>
      </c>
      <c r="L677" s="1460">
        <v>3492</v>
      </c>
      <c r="M677" s="1236"/>
      <c r="N677" s="1240" t="s">
        <v>1806</v>
      </c>
      <c r="O677" s="1241" t="s">
        <v>4841</v>
      </c>
      <c r="P677" s="910">
        <f t="shared" si="94"/>
        <v>0</v>
      </c>
      <c r="Q677" s="910">
        <f t="shared" si="95"/>
        <v>3492</v>
      </c>
      <c r="R677" s="1344">
        <f t="shared" si="96"/>
        <v>3.25</v>
      </c>
      <c r="S677" s="1344">
        <f>(1/9)*cnst_fish!$C$7*(1/cnst_fish!$C$8)^(R677-1)</f>
        <v>25.078299372343796</v>
      </c>
      <c r="T677" s="1362">
        <f t="shared" si="97"/>
        <v>7566.1801436125997</v>
      </c>
      <c r="W677" s="1612"/>
      <c r="X677" s="1612"/>
      <c r="Y677" s="1613"/>
      <c r="Z677" s="1614"/>
      <c r="AA677" s="1614"/>
      <c r="AB677" s="1615"/>
      <c r="AC677" s="1615"/>
      <c r="AD677" s="583"/>
      <c r="AE677" s="583"/>
    </row>
    <row r="678" spans="1:31" ht="14">
      <c r="A678" s="1384" t="s">
        <v>2947</v>
      </c>
      <c r="B678" s="19" t="s">
        <v>137</v>
      </c>
      <c r="C678" s="1383">
        <v>18869</v>
      </c>
      <c r="D678" s="1236"/>
      <c r="E678" s="1236"/>
      <c r="F678" s="1344">
        <f>(1/S678)*cnst_fish!$C$6</f>
        <v>0.19457670629544385</v>
      </c>
      <c r="G678" s="1344">
        <f t="shared" si="99"/>
        <v>1</v>
      </c>
      <c r="H678" s="1344">
        <f t="shared" si="99"/>
        <v>0.367192066876738</v>
      </c>
      <c r="I678" s="1344">
        <f t="shared" si="92"/>
        <v>0</v>
      </c>
      <c r="J678" s="902">
        <f t="shared" si="93"/>
        <v>0</v>
      </c>
      <c r="L678" s="1460"/>
      <c r="M678" s="1236"/>
      <c r="N678" s="1240" t="s">
        <v>1806</v>
      </c>
      <c r="O678" s="1241" t="s">
        <v>4841</v>
      </c>
      <c r="P678" s="910">
        <f t="shared" si="94"/>
        <v>0</v>
      </c>
      <c r="Q678" s="910">
        <f t="shared" si="95"/>
        <v>0</v>
      </c>
      <c r="R678" s="1344">
        <f t="shared" si="96"/>
        <v>3.19</v>
      </c>
      <c r="S678" s="1344">
        <f>(1/9)*cnst_fish!$C$7*(1/cnst_fish!$C$8)^(R678-1)</f>
        <v>21.84228565132987</v>
      </c>
      <c r="T678" s="1362">
        <f t="shared" si="97"/>
        <v>0</v>
      </c>
      <c r="W678" s="1612"/>
      <c r="X678" s="1612"/>
      <c r="Y678" s="1613"/>
      <c r="Z678" s="1614"/>
      <c r="AA678" s="1614"/>
      <c r="AB678" s="1615"/>
      <c r="AC678" s="1615"/>
      <c r="AD678" s="583"/>
      <c r="AE678" s="583"/>
    </row>
    <row r="679" spans="1:31" ht="14">
      <c r="A679" s="1384" t="s">
        <v>704</v>
      </c>
      <c r="B679" s="19" t="s">
        <v>138</v>
      </c>
      <c r="C679" s="1383">
        <v>12319</v>
      </c>
      <c r="D679" s="1236"/>
      <c r="E679" s="1236"/>
      <c r="F679" s="1344">
        <f>(1/S679)*cnst_fish!$C$6</f>
        <v>9.5299549485983348E-2</v>
      </c>
      <c r="G679" s="1344">
        <f t="shared" si="99"/>
        <v>1</v>
      </c>
      <c r="H679" s="1344">
        <f t="shared" si="99"/>
        <v>0.367192066876738</v>
      </c>
      <c r="I679" s="1344">
        <f t="shared" si="92"/>
        <v>0</v>
      </c>
      <c r="J679" s="902">
        <f t="shared" si="93"/>
        <v>0</v>
      </c>
      <c r="L679" s="1460">
        <v>704</v>
      </c>
      <c r="M679" s="1236"/>
      <c r="N679" s="1240" t="s">
        <v>1806</v>
      </c>
      <c r="O679" s="1241" t="s">
        <v>4841</v>
      </c>
      <c r="P679" s="910">
        <f t="shared" si="94"/>
        <v>0</v>
      </c>
      <c r="Q679" s="910">
        <f t="shared" si="95"/>
        <v>704</v>
      </c>
      <c r="R679" s="1344">
        <f t="shared" si="96"/>
        <v>3.5</v>
      </c>
      <c r="S679" s="1344">
        <f>(1/9)*cnst_fish!$C$7*(1/cnst_fish!$C$8)^(R679-1)</f>
        <v>44.596223412631026</v>
      </c>
      <c r="T679" s="1362">
        <f t="shared" si="97"/>
        <v>2712.5334429754485</v>
      </c>
      <c r="W679" s="1612"/>
      <c r="X679" s="1612"/>
      <c r="Y679" s="1613"/>
      <c r="Z679" s="1614"/>
      <c r="AA679" s="1614"/>
      <c r="AB679" s="1615"/>
      <c r="AC679" s="1615"/>
      <c r="AD679" s="583"/>
      <c r="AE679" s="583"/>
    </row>
    <row r="680" spans="1:31" ht="14">
      <c r="A680" s="1384" t="s">
        <v>232</v>
      </c>
      <c r="B680" s="19" t="s">
        <v>5291</v>
      </c>
      <c r="C680" s="1383">
        <v>12320</v>
      </c>
      <c r="D680" s="1236"/>
      <c r="E680" s="1236"/>
      <c r="F680" s="1344">
        <f>(1/S680)*cnst_fish!$C$6</f>
        <v>0.25650205424007994</v>
      </c>
      <c r="G680" s="1344">
        <f t="shared" si="99"/>
        <v>1</v>
      </c>
      <c r="H680" s="1344">
        <f t="shared" si="99"/>
        <v>0.367192066876738</v>
      </c>
      <c r="I680" s="1344">
        <f t="shared" si="92"/>
        <v>0</v>
      </c>
      <c r="J680" s="902">
        <f t="shared" si="93"/>
        <v>0</v>
      </c>
      <c r="L680" s="1460">
        <v>623</v>
      </c>
      <c r="M680" s="1236"/>
      <c r="N680" s="1240" t="s">
        <v>1806</v>
      </c>
      <c r="O680" s="1241" t="s">
        <v>4841</v>
      </c>
      <c r="P680" s="910">
        <f t="shared" si="94"/>
        <v>0</v>
      </c>
      <c r="Q680" s="910">
        <f t="shared" si="95"/>
        <v>623</v>
      </c>
      <c r="R680" s="1344">
        <f t="shared" si="96"/>
        <v>3.07</v>
      </c>
      <c r="S680" s="1344">
        <f>(1/9)*cnst_fish!$C$7*(1/cnst_fish!$C$8)^(R680-1)</f>
        <v>16.569068082480538</v>
      </c>
      <c r="T680" s="1362">
        <f t="shared" si="97"/>
        <v>891.84727327794872</v>
      </c>
      <c r="W680" s="1612"/>
      <c r="X680" s="1612"/>
      <c r="Y680" s="1613"/>
      <c r="Z680" s="1614"/>
      <c r="AA680" s="1614"/>
      <c r="AB680" s="1615"/>
      <c r="AC680" s="1615"/>
      <c r="AD680" s="583"/>
      <c r="AE680" s="583"/>
    </row>
    <row r="681" spans="1:31" ht="14">
      <c r="A681" s="1384" t="s">
        <v>629</v>
      </c>
      <c r="B681" s="19" t="s">
        <v>5292</v>
      </c>
      <c r="C681" s="1383">
        <v>3250</v>
      </c>
      <c r="D681" s="1236">
        <v>141</v>
      </c>
      <c r="E681" s="1236"/>
      <c r="F681" s="1344">
        <f>(1/S681)*cnst_fish!$C$6</f>
        <v>0.15103960722494611</v>
      </c>
      <c r="G681" s="1344">
        <f t="shared" si="99"/>
        <v>1</v>
      </c>
      <c r="H681" s="1344">
        <f t="shared" si="99"/>
        <v>0.367192066876738</v>
      </c>
      <c r="I681" s="1344">
        <f t="shared" si="92"/>
        <v>342.78479917199434</v>
      </c>
      <c r="J681" s="902">
        <f t="shared" si="93"/>
        <v>0</v>
      </c>
      <c r="L681" s="1460">
        <v>7312</v>
      </c>
      <c r="M681" s="1236"/>
      <c r="N681" s="1240" t="s">
        <v>1806</v>
      </c>
      <c r="O681" s="1241" t="s">
        <v>4841</v>
      </c>
      <c r="P681" s="910">
        <f t="shared" si="94"/>
        <v>141</v>
      </c>
      <c r="Q681" s="910">
        <f t="shared" si="95"/>
        <v>7312</v>
      </c>
      <c r="R681" s="1344">
        <f t="shared" si="96"/>
        <v>3.3</v>
      </c>
      <c r="S681" s="1344">
        <f>(1/9)*cnst_fish!$C$7*(1/cnst_fish!$C$8)^(R681-1)</f>
        <v>28.138314698279075</v>
      </c>
      <c r="T681" s="1362">
        <f t="shared" si="97"/>
        <v>17776.187599614346</v>
      </c>
      <c r="W681" s="1612"/>
      <c r="X681" s="1612"/>
      <c r="Y681" s="1613"/>
      <c r="Z681" s="1614"/>
      <c r="AA681" s="1614"/>
      <c r="AB681" s="1615"/>
      <c r="AC681" s="1615"/>
      <c r="AD681" s="583"/>
      <c r="AE681" s="583"/>
    </row>
    <row r="682" spans="1:31" ht="14">
      <c r="A682" s="1384" t="s">
        <v>6710</v>
      </c>
      <c r="B682" s="19" t="s">
        <v>6709</v>
      </c>
      <c r="C682" s="1383">
        <v>16222</v>
      </c>
      <c r="D682" s="1236"/>
      <c r="E682" s="1236"/>
      <c r="F682" s="1344">
        <f>(1/S682)*cnst_fish!$C$6</f>
        <v>3.0136363636363641</v>
      </c>
      <c r="G682" s="1344">
        <f t="shared" si="99"/>
        <v>1</v>
      </c>
      <c r="H682" s="1344">
        <f t="shared" si="99"/>
        <v>0.367192066876738</v>
      </c>
      <c r="I682" s="1344">
        <f t="shared" si="92"/>
        <v>0</v>
      </c>
      <c r="J682" s="902">
        <f t="shared" si="93"/>
        <v>0</v>
      </c>
      <c r="L682" s="1460">
        <v>38</v>
      </c>
      <c r="M682" s="1236"/>
      <c r="N682" s="1240" t="s">
        <v>2430</v>
      </c>
      <c r="O682" s="1241" t="s">
        <v>4840</v>
      </c>
      <c r="P682" s="910">
        <f t="shared" si="94"/>
        <v>0</v>
      </c>
      <c r="Q682" s="910">
        <f t="shared" si="95"/>
        <v>38</v>
      </c>
      <c r="R682" s="1344">
        <f t="shared" si="96"/>
        <v>2</v>
      </c>
      <c r="S682" s="1344">
        <f>(1/9)*cnst_fish!$C$7*(1/cnst_fish!$C$8)^(R682-1)</f>
        <v>1.4102564102564099</v>
      </c>
      <c r="T682" s="1362">
        <f t="shared" si="97"/>
        <v>4.6300538146146746</v>
      </c>
      <c r="W682" s="1612"/>
      <c r="X682" s="1612"/>
      <c r="Y682" s="1613"/>
      <c r="Z682" s="1614"/>
      <c r="AA682" s="1614"/>
      <c r="AB682" s="1615"/>
      <c r="AC682" s="1615"/>
      <c r="AD682" s="583"/>
      <c r="AE682" s="583"/>
    </row>
    <row r="683" spans="1:31" ht="14">
      <c r="A683" s="1384" t="s">
        <v>245</v>
      </c>
      <c r="B683" s="19" t="s">
        <v>4218</v>
      </c>
      <c r="C683" s="1383">
        <v>18402</v>
      </c>
      <c r="D683" s="1236"/>
      <c r="E683" s="1236"/>
      <c r="F683" s="1344">
        <f>(1/S683)*cnst_fish!$C$6</f>
        <v>30.136363636363644</v>
      </c>
      <c r="G683" s="1344">
        <f t="shared" si="99"/>
        <v>1</v>
      </c>
      <c r="H683" s="1344">
        <f t="shared" si="99"/>
        <v>0.367192066876738</v>
      </c>
      <c r="I683" s="1344">
        <f t="shared" si="92"/>
        <v>0</v>
      </c>
      <c r="J683" s="902">
        <f t="shared" si="93"/>
        <v>0</v>
      </c>
      <c r="L683" s="1460">
        <v>40756</v>
      </c>
      <c r="M683" s="1236"/>
      <c r="N683" s="1240" t="s">
        <v>1808</v>
      </c>
      <c r="O683" s="1241" t="s">
        <v>4831</v>
      </c>
      <c r="P683" s="910">
        <f t="shared" si="94"/>
        <v>0</v>
      </c>
      <c r="Q683" s="910">
        <f t="shared" si="95"/>
        <v>40756</v>
      </c>
      <c r="R683" s="1344">
        <f t="shared" si="96"/>
        <v>1</v>
      </c>
      <c r="S683" s="1344">
        <f>(1/9)*cnst_fish!$C$7*(1/cnst_fish!$C$8)^(R683-1)</f>
        <v>0.141025641025641</v>
      </c>
      <c r="T683" s="1362">
        <f t="shared" si="97"/>
        <v>496.58545596956753</v>
      </c>
      <c r="W683" s="1612"/>
      <c r="X683" s="1612"/>
      <c r="Y683" s="1613"/>
      <c r="Z683" s="1614"/>
      <c r="AA683" s="1614"/>
      <c r="AB683" s="1615"/>
      <c r="AC683" s="1615"/>
      <c r="AD683" s="583"/>
      <c r="AE683" s="583"/>
    </row>
    <row r="684" spans="1:31" ht="14">
      <c r="A684" s="1384" t="s">
        <v>6607</v>
      </c>
      <c r="B684" s="19" t="s">
        <v>6606</v>
      </c>
      <c r="C684" s="1383">
        <v>19407</v>
      </c>
      <c r="D684" s="1236"/>
      <c r="E684" s="1236"/>
      <c r="F684" s="1344">
        <f>(1/S684)*cnst_fish!$C$6</f>
        <v>3.0136363636363641</v>
      </c>
      <c r="G684" s="1344">
        <f t="shared" si="99"/>
        <v>1</v>
      </c>
      <c r="H684" s="1344">
        <f t="shared" si="99"/>
        <v>0.367192066876738</v>
      </c>
      <c r="I684" s="1344">
        <f t="shared" si="92"/>
        <v>0</v>
      </c>
      <c r="J684" s="902">
        <f t="shared" si="93"/>
        <v>0</v>
      </c>
      <c r="L684" s="1460">
        <v>0</v>
      </c>
      <c r="M684" s="1236"/>
      <c r="N684" s="1240" t="s">
        <v>1808</v>
      </c>
      <c r="O684" s="1241" t="s">
        <v>4831</v>
      </c>
      <c r="P684" s="910">
        <f t="shared" si="94"/>
        <v>0</v>
      </c>
      <c r="Q684" s="910">
        <f t="shared" si="95"/>
        <v>0</v>
      </c>
      <c r="R684" s="1344">
        <f t="shared" si="96"/>
        <v>2</v>
      </c>
      <c r="S684" s="1344">
        <f>(1/9)*cnst_fish!$C$7*(1/cnst_fish!$C$8)^(R684-1)</f>
        <v>1.4102564102564099</v>
      </c>
      <c r="T684" s="1362">
        <f t="shared" si="97"/>
        <v>0</v>
      </c>
      <c r="W684" s="1612"/>
      <c r="X684" s="1612"/>
      <c r="Y684" s="1613"/>
      <c r="Z684" s="1614"/>
      <c r="AA684" s="1614"/>
      <c r="AB684" s="1615"/>
      <c r="AC684" s="1615"/>
      <c r="AD684" s="583"/>
      <c r="AE684" s="583"/>
    </row>
    <row r="685" spans="1:31" ht="14">
      <c r="A685" s="1384" t="s">
        <v>2652</v>
      </c>
      <c r="B685" s="19" t="s">
        <v>3855</v>
      </c>
      <c r="C685" s="1383">
        <v>2013</v>
      </c>
      <c r="D685" s="1236">
        <v>0</v>
      </c>
      <c r="E685" s="1236"/>
      <c r="F685" s="1344">
        <f>(1/S685)*cnst_fish!$C$6</f>
        <v>4.4574948243432784E-2</v>
      </c>
      <c r="G685" s="1344">
        <f t="shared" si="99"/>
        <v>1</v>
      </c>
      <c r="H685" s="1344">
        <f t="shared" si="99"/>
        <v>0.367192066876738</v>
      </c>
      <c r="I685" s="1344">
        <f t="shared" si="92"/>
        <v>0</v>
      </c>
      <c r="J685" s="902">
        <f t="shared" si="93"/>
        <v>0</v>
      </c>
      <c r="L685" s="1460">
        <v>266</v>
      </c>
      <c r="M685" s="1236"/>
      <c r="N685" s="1240" t="s">
        <v>3927</v>
      </c>
      <c r="O685" s="1241" t="s">
        <v>4841</v>
      </c>
      <c r="P685" s="910">
        <f t="shared" si="94"/>
        <v>0</v>
      </c>
      <c r="Q685" s="910">
        <f t="shared" si="95"/>
        <v>266</v>
      </c>
      <c r="R685" s="1344">
        <f t="shared" si="96"/>
        <v>3.83</v>
      </c>
      <c r="S685" s="1344">
        <f>(1/9)*cnst_fish!$C$7*(1/cnst_fish!$C$8)^(R685-1)</f>
        <v>95.345034991176945</v>
      </c>
      <c r="T685" s="1362">
        <f t="shared" si="97"/>
        <v>2191.2103914467798</v>
      </c>
      <c r="W685" s="1612"/>
      <c r="X685" s="1612"/>
      <c r="Y685" s="1613"/>
      <c r="Z685" s="1614"/>
      <c r="AA685" s="1614"/>
      <c r="AB685" s="1615"/>
      <c r="AC685" s="1615"/>
      <c r="AD685" s="583"/>
      <c r="AE685" s="583"/>
    </row>
    <row r="686" spans="1:31" ht="14">
      <c r="A686" s="1384" t="s">
        <v>4237</v>
      </c>
      <c r="B686" s="19" t="s">
        <v>5293</v>
      </c>
      <c r="C686" s="1383">
        <v>18706</v>
      </c>
      <c r="D686" s="1236">
        <v>0</v>
      </c>
      <c r="E686" s="1236"/>
      <c r="F686" s="1344">
        <f>(1/S686)*cnst_fish!$C$6</f>
        <v>1.8581931192461947</v>
      </c>
      <c r="G686" s="1344">
        <f t="shared" si="99"/>
        <v>1</v>
      </c>
      <c r="H686" s="1344">
        <f t="shared" si="99"/>
        <v>0.367192066876738</v>
      </c>
      <c r="I686" s="1344">
        <f t="shared" si="92"/>
        <v>0</v>
      </c>
      <c r="J686" s="902">
        <f t="shared" si="93"/>
        <v>0</v>
      </c>
      <c r="L686" s="1460">
        <v>0</v>
      </c>
      <c r="M686" s="1236"/>
      <c r="N686" s="1240" t="s">
        <v>1806</v>
      </c>
      <c r="O686" s="1241" t="s">
        <v>4841</v>
      </c>
      <c r="P686" s="910">
        <f t="shared" si="94"/>
        <v>0</v>
      </c>
      <c r="Q686" s="910">
        <f t="shared" si="95"/>
        <v>0</v>
      </c>
      <c r="R686" s="1344">
        <f t="shared" si="96"/>
        <v>2.21</v>
      </c>
      <c r="S686" s="1344">
        <f>(1/9)*cnst_fish!$C$7*(1/cnst_fish!$C$8)^(R686-1)</f>
        <v>2.2871680860190029</v>
      </c>
      <c r="T686" s="1362">
        <f t="shared" si="97"/>
        <v>0</v>
      </c>
      <c r="W686" s="1612"/>
      <c r="X686" s="1612"/>
      <c r="Y686" s="1613"/>
      <c r="Z686" s="1614"/>
      <c r="AA686" s="1614"/>
      <c r="AB686" s="1615"/>
      <c r="AC686" s="1615"/>
      <c r="AD686" s="583"/>
      <c r="AE686" s="583"/>
    </row>
    <row r="687" spans="1:31" ht="14">
      <c r="A687" s="1384" t="s">
        <v>594</v>
      </c>
      <c r="B687" s="19" t="s">
        <v>5294</v>
      </c>
      <c r="C687" s="1383">
        <v>18574</v>
      </c>
      <c r="D687" s="1236"/>
      <c r="E687" s="1236"/>
      <c r="F687" s="1344">
        <f>(1/S687)*cnst_fish!$C$6</f>
        <v>3.0136363636363641</v>
      </c>
      <c r="G687" s="1344">
        <f t="shared" si="99"/>
        <v>1</v>
      </c>
      <c r="H687" s="1344">
        <f t="shared" si="99"/>
        <v>0.367192066876738</v>
      </c>
      <c r="I687" s="1344">
        <f t="shared" si="92"/>
        <v>0</v>
      </c>
      <c r="J687" s="902">
        <f t="shared" si="93"/>
        <v>0</v>
      </c>
      <c r="L687" s="1460">
        <v>436</v>
      </c>
      <c r="M687" s="1236"/>
      <c r="N687" s="1240" t="s">
        <v>1806</v>
      </c>
      <c r="O687" s="1241" t="s">
        <v>4841</v>
      </c>
      <c r="P687" s="910">
        <f t="shared" si="94"/>
        <v>0</v>
      </c>
      <c r="Q687" s="910">
        <f t="shared" si="95"/>
        <v>436</v>
      </c>
      <c r="R687" s="1344">
        <f t="shared" si="96"/>
        <v>2</v>
      </c>
      <c r="S687" s="1344">
        <f>(1/9)*cnst_fish!$C$7*(1/cnst_fish!$C$8)^(R687-1)</f>
        <v>1.4102564102564099</v>
      </c>
      <c r="T687" s="1362">
        <f t="shared" si="97"/>
        <v>53.123775346631525</v>
      </c>
      <c r="W687" s="1612"/>
      <c r="X687" s="1612"/>
      <c r="Y687" s="1613"/>
      <c r="Z687" s="1614"/>
      <c r="AA687" s="1614"/>
      <c r="AB687" s="1615"/>
      <c r="AC687" s="1615"/>
      <c r="AD687" s="583"/>
      <c r="AE687" s="583"/>
    </row>
    <row r="688" spans="1:31" ht="14">
      <c r="A688" s="1384" t="s">
        <v>722</v>
      </c>
      <c r="B688" s="19" t="s">
        <v>641</v>
      </c>
      <c r="C688" s="1383">
        <v>2938</v>
      </c>
      <c r="D688" s="1236"/>
      <c r="E688" s="1236"/>
      <c r="F688" s="1344">
        <f>(1/S688)*cnst_fish!$C$6</f>
        <v>0.21831865524078092</v>
      </c>
      <c r="G688" s="1344">
        <f t="shared" ref="G688:H707" si="100">G$7</f>
        <v>1</v>
      </c>
      <c r="H688" s="1344">
        <f t="shared" si="100"/>
        <v>0.367192066876738</v>
      </c>
      <c r="I688" s="1344">
        <f t="shared" si="92"/>
        <v>0</v>
      </c>
      <c r="J688" s="902">
        <f t="shared" si="93"/>
        <v>0</v>
      </c>
      <c r="L688" s="1460">
        <v>3176</v>
      </c>
      <c r="M688" s="1236"/>
      <c r="N688" s="1240" t="s">
        <v>1806</v>
      </c>
      <c r="O688" s="1241" t="s">
        <v>4841</v>
      </c>
      <c r="P688" s="910">
        <f t="shared" si="94"/>
        <v>0</v>
      </c>
      <c r="Q688" s="910">
        <f t="shared" si="95"/>
        <v>3176</v>
      </c>
      <c r="R688" s="1344">
        <f t="shared" si="96"/>
        <v>3.14</v>
      </c>
      <c r="S688" s="1344">
        <f>(1/9)*cnst_fish!$C$7*(1/cnst_fish!$C$8)^(R688-1)</f>
        <v>19.466957577733005</v>
      </c>
      <c r="T688" s="1362">
        <f t="shared" si="97"/>
        <v>5341.742340407558</v>
      </c>
      <c r="W688" s="1612"/>
      <c r="X688" s="1612"/>
      <c r="Y688" s="1613"/>
      <c r="Z688" s="1614"/>
      <c r="AA688" s="1614"/>
      <c r="AB688" s="1615"/>
      <c r="AC688" s="1615"/>
      <c r="AD688" s="583"/>
      <c r="AE688" s="583"/>
    </row>
    <row r="689" spans="1:31" ht="14">
      <c r="A689" s="1384" t="s">
        <v>385</v>
      </c>
      <c r="B689" s="19" t="s">
        <v>386</v>
      </c>
      <c r="C689" s="1383">
        <v>17447</v>
      </c>
      <c r="D689" s="1236"/>
      <c r="E689" s="1236"/>
      <c r="F689" s="1344">
        <f>(1/S689)*cnst_fish!$C$6</f>
        <v>0.14481532779905856</v>
      </c>
      <c r="G689" s="1344">
        <f t="shared" si="100"/>
        <v>1</v>
      </c>
      <c r="H689" s="1344">
        <f t="shared" si="100"/>
        <v>0.367192066876738</v>
      </c>
      <c r="I689" s="1344">
        <f t="shared" si="92"/>
        <v>0</v>
      </c>
      <c r="J689" s="902">
        <f t="shared" si="93"/>
        <v>0</v>
      </c>
      <c r="L689" s="1460">
        <v>2550</v>
      </c>
      <c r="M689" s="1236"/>
      <c r="N689" s="1240" t="s">
        <v>1804</v>
      </c>
      <c r="O689" s="1241" t="s">
        <v>4851</v>
      </c>
      <c r="P689" s="910">
        <f t="shared" si="94"/>
        <v>0</v>
      </c>
      <c r="Q689" s="910">
        <f t="shared" si="95"/>
        <v>2550</v>
      </c>
      <c r="R689" s="1344">
        <f t="shared" si="96"/>
        <v>3.3182763159269002</v>
      </c>
      <c r="S689" s="1344">
        <f>(1/9)*cnst_fish!$C$7*(1/cnst_fish!$C$8)^(R689-1)</f>
        <v>29.347722127157517</v>
      </c>
      <c r="T689" s="1362">
        <f t="shared" si="97"/>
        <v>6465.7504475970873</v>
      </c>
      <c r="W689" s="1612"/>
      <c r="X689" s="1612"/>
      <c r="Y689" s="1613"/>
      <c r="Z689" s="1614"/>
      <c r="AA689" s="1614"/>
      <c r="AB689" s="1615"/>
      <c r="AC689" s="1615"/>
      <c r="AD689" s="583"/>
      <c r="AE689" s="583"/>
    </row>
    <row r="690" spans="1:31" ht="14">
      <c r="A690" s="1384" t="s">
        <v>922</v>
      </c>
      <c r="B690" s="19" t="s">
        <v>3790</v>
      </c>
      <c r="C690" s="1383">
        <v>3358</v>
      </c>
      <c r="D690" s="1236">
        <v>686</v>
      </c>
      <c r="E690" s="1236"/>
      <c r="F690" s="1344">
        <f>(1/S690)*cnst_fish!$C$6</f>
        <v>0.21831865524078092</v>
      </c>
      <c r="G690" s="1344">
        <f t="shared" si="100"/>
        <v>1</v>
      </c>
      <c r="H690" s="1344">
        <f t="shared" si="100"/>
        <v>0.367192066876738</v>
      </c>
      <c r="I690" s="1344">
        <f t="shared" si="92"/>
        <v>1153.7894349872747</v>
      </c>
      <c r="J690" s="902">
        <f t="shared" si="93"/>
        <v>0</v>
      </c>
      <c r="L690" s="1460">
        <v>7928</v>
      </c>
      <c r="M690" s="1236"/>
      <c r="N690" s="1240" t="s">
        <v>1807</v>
      </c>
      <c r="O690" s="1241" t="s">
        <v>4841</v>
      </c>
      <c r="P690" s="910">
        <f t="shared" si="94"/>
        <v>686</v>
      </c>
      <c r="Q690" s="910">
        <f t="shared" si="95"/>
        <v>7928</v>
      </c>
      <c r="R690" s="1344">
        <f t="shared" si="96"/>
        <v>3.14</v>
      </c>
      <c r="S690" s="1344">
        <f>(1/9)*cnst_fish!$C$7*(1/cnst_fish!$C$8)^(R690-1)</f>
        <v>19.466957577733005</v>
      </c>
      <c r="T690" s="1362">
        <f t="shared" si="97"/>
        <v>13334.172945450604</v>
      </c>
      <c r="W690" s="1612"/>
      <c r="X690" s="1612"/>
      <c r="Y690" s="1613"/>
      <c r="Z690" s="1614"/>
      <c r="AA690" s="1614"/>
      <c r="AB690" s="1615"/>
      <c r="AC690" s="1615"/>
      <c r="AD690" s="583"/>
      <c r="AE690" s="583"/>
    </row>
    <row r="691" spans="1:31" ht="14">
      <c r="A691" s="1384" t="s">
        <v>2820</v>
      </c>
      <c r="B691" s="19" t="s">
        <v>3791</v>
      </c>
      <c r="C691" s="1383">
        <v>2545</v>
      </c>
      <c r="D691" s="1236">
        <v>4813</v>
      </c>
      <c r="E691" s="1236"/>
      <c r="F691" s="1344">
        <f>(1/S691)*cnst_fish!$C$6</f>
        <v>0.17341667202478855</v>
      </c>
      <c r="G691" s="1344">
        <f t="shared" si="100"/>
        <v>1</v>
      </c>
      <c r="H691" s="1344">
        <f t="shared" si="100"/>
        <v>0.367192066876738</v>
      </c>
      <c r="I691" s="1344">
        <f t="shared" si="92"/>
        <v>10191.035251934249</v>
      </c>
      <c r="J691" s="902">
        <f t="shared" si="93"/>
        <v>0</v>
      </c>
      <c r="L691" s="1460">
        <v>4813</v>
      </c>
      <c r="M691" s="1236"/>
      <c r="N691" s="1240" t="s">
        <v>1809</v>
      </c>
      <c r="O691" s="1241" t="s">
        <v>4841</v>
      </c>
      <c r="P691" s="910">
        <f t="shared" si="94"/>
        <v>4813</v>
      </c>
      <c r="Q691" s="910">
        <f t="shared" si="95"/>
        <v>4813</v>
      </c>
      <c r="R691" s="1344">
        <f t="shared" si="96"/>
        <v>3.24</v>
      </c>
      <c r="S691" s="1344">
        <f>(1/9)*cnst_fish!$C$7*(1/cnst_fish!$C$8)^(R691-1)</f>
        <v>24.507447584927103</v>
      </c>
      <c r="T691" s="1362">
        <f t="shared" si="97"/>
        <v>10191.035251934249</v>
      </c>
      <c r="W691" s="1612"/>
      <c r="X691" s="1612"/>
      <c r="Y691" s="1613"/>
      <c r="Z691" s="1614"/>
      <c r="AA691" s="1614"/>
      <c r="AB691" s="1615"/>
      <c r="AC691" s="1615"/>
      <c r="AD691" s="583"/>
      <c r="AE691" s="583"/>
    </row>
    <row r="692" spans="1:31" ht="14">
      <c r="A692" s="1384" t="s">
        <v>4100</v>
      </c>
      <c r="B692" s="19" t="s">
        <v>707</v>
      </c>
      <c r="C692" s="1383">
        <v>2323</v>
      </c>
      <c r="D692" s="1236"/>
      <c r="E692" s="1236"/>
      <c r="F692" s="1344">
        <f>(1/S692)*cnst_fish!$C$6</f>
        <v>4.3560298545661361E-2</v>
      </c>
      <c r="G692" s="1344">
        <f t="shared" si="100"/>
        <v>1</v>
      </c>
      <c r="H692" s="1344">
        <f t="shared" si="100"/>
        <v>0.367192066876738</v>
      </c>
      <c r="I692" s="1344">
        <f t="shared" si="92"/>
        <v>0</v>
      </c>
      <c r="J692" s="902">
        <f t="shared" si="93"/>
        <v>0</v>
      </c>
      <c r="L692" s="1460">
        <v>1684</v>
      </c>
      <c r="M692" s="1236"/>
      <c r="N692" s="1240" t="s">
        <v>1806</v>
      </c>
      <c r="O692" s="1241" t="s">
        <v>4859</v>
      </c>
      <c r="P692" s="910">
        <f t="shared" si="94"/>
        <v>0</v>
      </c>
      <c r="Q692" s="910">
        <f t="shared" si="95"/>
        <v>1684</v>
      </c>
      <c r="R692" s="1344">
        <f t="shared" si="96"/>
        <v>3.84</v>
      </c>
      <c r="S692" s="1344">
        <f>(1/9)*cnst_fish!$C$7*(1/cnst_fish!$C$8)^(R692-1)</f>
        <v>97.565906155234643</v>
      </c>
      <c r="T692" s="1362">
        <f t="shared" si="97"/>
        <v>14195.298500359224</v>
      </c>
      <c r="W692" s="1612"/>
      <c r="X692" s="1612"/>
      <c r="Y692" s="1613"/>
      <c r="Z692" s="1614"/>
      <c r="AA692" s="1614"/>
      <c r="AB692" s="1615"/>
      <c r="AC692" s="1615"/>
      <c r="AD692" s="583"/>
      <c r="AE692" s="583"/>
    </row>
    <row r="693" spans="1:31" ht="14">
      <c r="A693" s="1384" t="s">
        <v>3803</v>
      </c>
      <c r="B693" s="19" t="s">
        <v>3218</v>
      </c>
      <c r="C693" s="1383">
        <v>2517</v>
      </c>
      <c r="D693" s="1236"/>
      <c r="E693" s="1236"/>
      <c r="F693" s="1344">
        <f>(1/S693)*cnst_fish!$C$6</f>
        <v>0.2037468239476744</v>
      </c>
      <c r="G693" s="1344">
        <f t="shared" si="100"/>
        <v>1</v>
      </c>
      <c r="H693" s="1344">
        <f t="shared" si="100"/>
        <v>0.367192066876738</v>
      </c>
      <c r="I693" s="1344">
        <f t="shared" si="92"/>
        <v>0</v>
      </c>
      <c r="J693" s="902">
        <f t="shared" si="93"/>
        <v>0</v>
      </c>
      <c r="L693" s="1460">
        <v>51434</v>
      </c>
      <c r="M693" s="1236"/>
      <c r="N693" s="1240" t="s">
        <v>1806</v>
      </c>
      <c r="O693" s="1241" t="s">
        <v>4841</v>
      </c>
      <c r="P693" s="910">
        <f t="shared" si="94"/>
        <v>0</v>
      </c>
      <c r="Q693" s="910">
        <f t="shared" si="95"/>
        <v>51434</v>
      </c>
      <c r="R693" s="1344">
        <f t="shared" si="96"/>
        <v>3.17</v>
      </c>
      <c r="S693" s="1344">
        <f>(1/9)*cnst_fish!$C$7*(1/cnst_fish!$C$8)^(R693-1)</f>
        <v>20.859220858782422</v>
      </c>
      <c r="T693" s="1362">
        <f t="shared" si="97"/>
        <v>92694.238868667831</v>
      </c>
      <c r="W693" s="1612"/>
      <c r="X693" s="1612"/>
      <c r="Y693" s="1613"/>
      <c r="Z693" s="1614"/>
      <c r="AA693" s="1614"/>
      <c r="AB693" s="1615"/>
      <c r="AC693" s="1615"/>
      <c r="AD693" s="583"/>
      <c r="AE693" s="583"/>
    </row>
    <row r="694" spans="1:31" ht="14">
      <c r="A694" s="1384" t="s">
        <v>5657</v>
      </c>
      <c r="B694" s="19" t="s">
        <v>3218</v>
      </c>
      <c r="C694" s="1383">
        <v>2516</v>
      </c>
      <c r="D694" s="1236"/>
      <c r="E694" s="1236"/>
      <c r="F694" s="1344">
        <f>(1/S694)*cnst_fish!$C$6</f>
        <v>0.2037468239476744</v>
      </c>
      <c r="G694" s="1344">
        <f t="shared" si="100"/>
        <v>1</v>
      </c>
      <c r="H694" s="1344">
        <f t="shared" si="100"/>
        <v>0.367192066876738</v>
      </c>
      <c r="I694" s="1344">
        <f t="shared" si="92"/>
        <v>0</v>
      </c>
      <c r="J694" s="902">
        <f t="shared" si="93"/>
        <v>0</v>
      </c>
      <c r="L694" s="1460"/>
      <c r="M694" s="1236">
        <v>6377</v>
      </c>
      <c r="N694" s="1240" t="s">
        <v>1806</v>
      </c>
      <c r="O694" s="1241" t="s">
        <v>4841</v>
      </c>
      <c r="P694" s="910">
        <f t="shared" si="94"/>
        <v>0</v>
      </c>
      <c r="Q694" s="910">
        <f t="shared" si="95"/>
        <v>6377</v>
      </c>
      <c r="R694" s="1344">
        <f t="shared" si="96"/>
        <v>3.17</v>
      </c>
      <c r="S694" s="1344">
        <f>(1/9)*cnst_fish!$C$7*(1/cnst_fish!$C$8)^(R694-1)</f>
        <v>20.859220858782422</v>
      </c>
      <c r="T694" s="1362">
        <f t="shared" si="97"/>
        <v>11492.61502635406</v>
      </c>
      <c r="W694" s="1612"/>
      <c r="X694" s="1612"/>
      <c r="Y694" s="1613"/>
      <c r="Z694" s="1614"/>
      <c r="AA694" s="1614"/>
      <c r="AB694" s="1615"/>
      <c r="AC694" s="1615"/>
      <c r="AD694" s="583"/>
      <c r="AE694" s="583"/>
    </row>
    <row r="695" spans="1:31" ht="14">
      <c r="A695" s="1384" t="s">
        <v>1967</v>
      </c>
      <c r="B695" s="19" t="s">
        <v>1968</v>
      </c>
      <c r="C695" s="1383">
        <v>12379</v>
      </c>
      <c r="D695" s="1236"/>
      <c r="E695" s="1236"/>
      <c r="F695" s="1344">
        <f>(1/S695)*cnst_fish!$C$6</f>
        <v>5.7423657091346926E-2</v>
      </c>
      <c r="G695" s="1344">
        <f t="shared" si="100"/>
        <v>1</v>
      </c>
      <c r="H695" s="1344">
        <f t="shared" si="100"/>
        <v>0.367192066876738</v>
      </c>
      <c r="I695" s="1344">
        <f t="shared" si="92"/>
        <v>0</v>
      </c>
      <c r="J695" s="902">
        <f t="shared" si="93"/>
        <v>0</v>
      </c>
      <c r="L695" s="1460"/>
      <c r="M695" s="1236">
        <v>891</v>
      </c>
      <c r="N695" s="1240" t="s">
        <v>1806</v>
      </c>
      <c r="O695" s="1241" t="s">
        <v>4845</v>
      </c>
      <c r="P695" s="910">
        <f t="shared" si="94"/>
        <v>0</v>
      </c>
      <c r="Q695" s="910">
        <f t="shared" si="95"/>
        <v>891</v>
      </c>
      <c r="R695" s="1344">
        <f t="shared" si="96"/>
        <v>3.72</v>
      </c>
      <c r="S695" s="1344">
        <f>(1/9)*cnst_fish!$C$7*(1/cnst_fish!$C$8)^(R695-1)</f>
        <v>74.011308496762837</v>
      </c>
      <c r="T695" s="1362">
        <f t="shared" si="97"/>
        <v>5697.4450628724235</v>
      </c>
      <c r="W695" s="1612"/>
      <c r="X695" s="1612"/>
      <c r="Y695" s="1613"/>
      <c r="Z695" s="1614"/>
      <c r="AA695" s="1614"/>
      <c r="AB695" s="1615"/>
      <c r="AC695" s="1615"/>
      <c r="AD695" s="583"/>
      <c r="AE695" s="583"/>
    </row>
    <row r="696" spans="1:31" ht="14">
      <c r="A696" s="1585" t="s">
        <v>8540</v>
      </c>
      <c r="B696" s="1586" t="s">
        <v>5295</v>
      </c>
      <c r="C696" s="1383">
        <v>2519</v>
      </c>
      <c r="D696" s="1236"/>
      <c r="E696" s="1236"/>
      <c r="F696" s="1344">
        <f>(1/S696)*cnst_fish!$C$6</f>
        <v>0.15103960722494611</v>
      </c>
      <c r="G696" s="1344">
        <f t="shared" si="100"/>
        <v>1</v>
      </c>
      <c r="H696" s="1344">
        <f t="shared" si="100"/>
        <v>0.367192066876738</v>
      </c>
      <c r="I696" s="1344">
        <f t="shared" si="92"/>
        <v>0</v>
      </c>
      <c r="J696" s="902">
        <f t="shared" si="93"/>
        <v>0</v>
      </c>
      <c r="L696" s="1460">
        <v>0</v>
      </c>
      <c r="M696" s="1236"/>
      <c r="N696" s="1240" t="s">
        <v>1806</v>
      </c>
      <c r="O696" s="1241" t="s">
        <v>4845</v>
      </c>
      <c r="P696" s="910">
        <f t="shared" si="94"/>
        <v>0</v>
      </c>
      <c r="Q696" s="910">
        <f t="shared" si="95"/>
        <v>0</v>
      </c>
      <c r="R696" s="1344">
        <f t="shared" si="96"/>
        <v>3.3</v>
      </c>
      <c r="S696" s="1344">
        <f>(1/9)*cnst_fish!$C$7*(1/cnst_fish!$C$8)^(R696-1)</f>
        <v>28.138314698279075</v>
      </c>
      <c r="T696" s="1362">
        <f t="shared" si="97"/>
        <v>0</v>
      </c>
      <c r="W696" s="1616"/>
      <c r="X696" s="1616"/>
      <c r="Y696" s="1613"/>
      <c r="Z696" s="1614"/>
      <c r="AA696" s="1614"/>
      <c r="AB696" s="1615"/>
      <c r="AC696" s="1615"/>
      <c r="AD696" s="583"/>
      <c r="AE696" s="583"/>
    </row>
    <row r="697" spans="1:31" ht="14">
      <c r="A697" s="1384" t="s">
        <v>6859</v>
      </c>
      <c r="B697" s="19" t="s">
        <v>6858</v>
      </c>
      <c r="C697" s="1383">
        <v>12393</v>
      </c>
      <c r="D697" s="1236"/>
      <c r="E697" s="1236"/>
      <c r="F697" s="1344">
        <f>(1/S697)*cnst_fish!$C$6</f>
        <v>3.0136363636363641</v>
      </c>
      <c r="G697" s="1344">
        <f t="shared" si="100"/>
        <v>1</v>
      </c>
      <c r="H697" s="1344">
        <f t="shared" si="100"/>
        <v>0.367192066876738</v>
      </c>
      <c r="I697" s="1344">
        <f t="shared" si="92"/>
        <v>0</v>
      </c>
      <c r="J697" s="902">
        <f t="shared" si="93"/>
        <v>0</v>
      </c>
      <c r="L697" s="1460">
        <v>0</v>
      </c>
      <c r="M697" s="1236"/>
      <c r="N697" s="1240" t="s">
        <v>3927</v>
      </c>
      <c r="O697" s="1241" t="s">
        <v>4841</v>
      </c>
      <c r="P697" s="910">
        <f t="shared" si="94"/>
        <v>0</v>
      </c>
      <c r="Q697" s="910">
        <f t="shared" si="95"/>
        <v>0</v>
      </c>
      <c r="R697" s="1344">
        <f t="shared" si="96"/>
        <v>2</v>
      </c>
      <c r="S697" s="1344">
        <f>(1/9)*cnst_fish!$C$7*(1/cnst_fish!$C$8)^(R697-1)</f>
        <v>1.4102564102564099</v>
      </c>
      <c r="T697" s="1362">
        <f t="shared" si="97"/>
        <v>0</v>
      </c>
      <c r="W697" s="1612"/>
      <c r="X697" s="1612"/>
      <c r="Y697" s="1613"/>
      <c r="Z697" s="1614"/>
      <c r="AA697" s="1614"/>
      <c r="AB697" s="1615"/>
      <c r="AC697" s="1615"/>
      <c r="AD697" s="583"/>
      <c r="AE697" s="583"/>
    </row>
    <row r="698" spans="1:31" ht="14">
      <c r="A698" s="1384" t="s">
        <v>1385</v>
      </c>
      <c r="B698" s="19" t="s">
        <v>1386</v>
      </c>
      <c r="C698" s="1383">
        <v>19051</v>
      </c>
      <c r="D698" s="1236"/>
      <c r="E698" s="1236"/>
      <c r="F698" s="1344">
        <f>(1/S698)*cnst_fish!$C$6</f>
        <v>0.14481532779905856</v>
      </c>
      <c r="G698" s="1344">
        <f t="shared" si="100"/>
        <v>1</v>
      </c>
      <c r="H698" s="1344">
        <f t="shared" si="100"/>
        <v>0.367192066876738</v>
      </c>
      <c r="I698" s="1344">
        <f t="shared" si="92"/>
        <v>0</v>
      </c>
      <c r="J698" s="902">
        <f t="shared" si="93"/>
        <v>0</v>
      </c>
      <c r="L698" s="1460">
        <v>0</v>
      </c>
      <c r="M698" s="1236"/>
      <c r="N698" s="1240" t="s">
        <v>5368</v>
      </c>
      <c r="O698" s="1241" t="s">
        <v>4835</v>
      </c>
      <c r="P698" s="910">
        <f t="shared" si="94"/>
        <v>0</v>
      </c>
      <c r="Q698" s="910">
        <f t="shared" si="95"/>
        <v>0</v>
      </c>
      <c r="R698" s="1344">
        <f t="shared" si="96"/>
        <v>3.3182763159269002</v>
      </c>
      <c r="S698" s="1344">
        <f>(1/9)*cnst_fish!$C$7*(1/cnst_fish!$C$8)^(R698-1)</f>
        <v>29.347722127157517</v>
      </c>
      <c r="T698" s="1362">
        <f t="shared" si="97"/>
        <v>0</v>
      </c>
      <c r="W698" s="1612"/>
      <c r="X698" s="1612"/>
      <c r="Y698" s="1613"/>
      <c r="Z698" s="1614"/>
      <c r="AA698" s="1614"/>
      <c r="AB698" s="1615"/>
      <c r="AC698" s="1615"/>
      <c r="AD698" s="583"/>
      <c r="AE698" s="583"/>
    </row>
    <row r="699" spans="1:31" ht="14">
      <c r="A699" s="1384" t="s">
        <v>6505</v>
      </c>
      <c r="B699" s="19" t="s">
        <v>6504</v>
      </c>
      <c r="C699" s="1383">
        <v>6595</v>
      </c>
      <c r="D699" s="1236"/>
      <c r="E699" s="1236"/>
      <c r="F699" s="1344">
        <f>(1/S699)*cnst_fish!$C$6</f>
        <v>3.0136363636363641</v>
      </c>
      <c r="G699" s="1344">
        <f t="shared" si="100"/>
        <v>1</v>
      </c>
      <c r="H699" s="1344">
        <f t="shared" si="100"/>
        <v>0.367192066876738</v>
      </c>
      <c r="I699" s="1344">
        <f t="shared" si="92"/>
        <v>0</v>
      </c>
      <c r="J699" s="902">
        <f t="shared" si="93"/>
        <v>0</v>
      </c>
      <c r="L699" s="1460">
        <v>0.6</v>
      </c>
      <c r="M699" s="1236"/>
      <c r="N699" s="1240" t="s">
        <v>5367</v>
      </c>
      <c r="O699" s="1241"/>
      <c r="P699" s="910">
        <f t="shared" si="94"/>
        <v>0</v>
      </c>
      <c r="Q699" s="910">
        <f t="shared" si="95"/>
        <v>0.6</v>
      </c>
      <c r="R699" s="1344">
        <f t="shared" si="96"/>
        <v>2</v>
      </c>
      <c r="S699" s="1344">
        <f>(1/9)*cnst_fish!$C$7*(1/cnst_fish!$C$8)^(R699-1)</f>
        <v>1.4102564102564099</v>
      </c>
      <c r="T699" s="1362">
        <f t="shared" si="97"/>
        <v>7.3106112862336967E-2</v>
      </c>
      <c r="W699" s="1612"/>
      <c r="X699" s="1612"/>
      <c r="Y699" s="1613"/>
      <c r="Z699" s="1614"/>
      <c r="AA699" s="1614"/>
      <c r="AB699" s="1615"/>
      <c r="AC699" s="1615"/>
      <c r="AD699" s="583"/>
      <c r="AE699" s="583"/>
    </row>
    <row r="700" spans="1:31" ht="14">
      <c r="A700" s="1384" t="s">
        <v>6615</v>
      </c>
      <c r="B700" s="19" t="s">
        <v>6614</v>
      </c>
      <c r="C700" s="1383">
        <v>18765</v>
      </c>
      <c r="D700" s="1236"/>
      <c r="E700" s="1236"/>
      <c r="F700" s="1344">
        <f>(1/S700)*cnst_fish!$C$6</f>
        <v>3.0136363636363641</v>
      </c>
      <c r="G700" s="1344">
        <f t="shared" si="100"/>
        <v>1</v>
      </c>
      <c r="H700" s="1344">
        <f t="shared" si="100"/>
        <v>0.367192066876738</v>
      </c>
      <c r="I700" s="1344">
        <f t="shared" si="92"/>
        <v>0</v>
      </c>
      <c r="J700" s="902">
        <f t="shared" si="93"/>
        <v>0</v>
      </c>
      <c r="L700" s="1460">
        <v>0.31</v>
      </c>
      <c r="M700" s="1236"/>
      <c r="N700" s="1240" t="s">
        <v>5367</v>
      </c>
      <c r="O700" s="1241"/>
      <c r="P700" s="910">
        <f t="shared" si="94"/>
        <v>0</v>
      </c>
      <c r="Q700" s="910">
        <f t="shared" si="95"/>
        <v>0.31</v>
      </c>
      <c r="R700" s="1344">
        <f t="shared" si="96"/>
        <v>2</v>
      </c>
      <c r="S700" s="1344">
        <f>(1/9)*cnst_fish!$C$7*(1/cnst_fish!$C$8)^(R700-1)</f>
        <v>1.4102564102564099</v>
      </c>
      <c r="T700" s="1362">
        <f t="shared" si="97"/>
        <v>3.7771491645540764E-2</v>
      </c>
      <c r="W700" s="1612"/>
      <c r="X700" s="1612"/>
      <c r="Y700" s="1613"/>
      <c r="Z700" s="1614"/>
      <c r="AA700" s="1614"/>
      <c r="AB700" s="1615"/>
      <c r="AC700" s="1615"/>
      <c r="AD700" s="583"/>
      <c r="AE700" s="583"/>
    </row>
    <row r="701" spans="1:31" ht="14">
      <c r="A701" s="1384" t="s">
        <v>4886</v>
      </c>
      <c r="B701" s="19" t="s">
        <v>4220</v>
      </c>
      <c r="C701" s="1383">
        <v>3636</v>
      </c>
      <c r="D701" s="1236"/>
      <c r="E701" s="1236"/>
      <c r="F701" s="1344">
        <f>(1/S701)*cnst_fish!$C$6</f>
        <v>30.136363636363644</v>
      </c>
      <c r="G701" s="1344">
        <f t="shared" si="100"/>
        <v>1</v>
      </c>
      <c r="H701" s="1344">
        <f t="shared" si="100"/>
        <v>0.367192066876738</v>
      </c>
      <c r="I701" s="1344">
        <f t="shared" si="92"/>
        <v>0</v>
      </c>
      <c r="J701" s="902">
        <f t="shared" si="93"/>
        <v>0</v>
      </c>
      <c r="L701" s="1460">
        <v>46053</v>
      </c>
      <c r="M701" s="1236"/>
      <c r="N701" s="1240" t="s">
        <v>1808</v>
      </c>
      <c r="O701" s="1241" t="s">
        <v>4831</v>
      </c>
      <c r="P701" s="910">
        <f t="shared" si="94"/>
        <v>0</v>
      </c>
      <c r="Q701" s="910">
        <f t="shared" si="95"/>
        <v>46053</v>
      </c>
      <c r="R701" s="1344">
        <f t="shared" si="96"/>
        <v>1</v>
      </c>
      <c r="S701" s="1344">
        <f>(1/9)*cnst_fish!$C$7*(1/cnst_fish!$C$8)^(R701-1)</f>
        <v>0.141025641025641</v>
      </c>
      <c r="T701" s="1362">
        <f t="shared" si="97"/>
        <v>561.12596927486732</v>
      </c>
      <c r="W701" s="1612"/>
      <c r="X701" s="1612"/>
      <c r="Y701" s="1613"/>
      <c r="Z701" s="1614"/>
      <c r="AA701" s="1614"/>
      <c r="AB701" s="1615"/>
      <c r="AC701" s="1615"/>
      <c r="AD701" s="583"/>
      <c r="AE701" s="583"/>
    </row>
    <row r="702" spans="1:31" ht="14">
      <c r="A702" s="1384" t="s">
        <v>1674</v>
      </c>
      <c r="B702" s="19" t="s">
        <v>4956</v>
      </c>
      <c r="C702" s="1383">
        <v>18986</v>
      </c>
      <c r="D702" s="1236"/>
      <c r="E702" s="1236"/>
      <c r="F702" s="1344">
        <f>(1/S702)*cnst_fish!$C$6</f>
        <v>4.3560298545661361E-2</v>
      </c>
      <c r="G702" s="1344">
        <f t="shared" si="100"/>
        <v>1</v>
      </c>
      <c r="H702" s="1344">
        <f t="shared" si="100"/>
        <v>0.367192066876738</v>
      </c>
      <c r="I702" s="1344">
        <f t="shared" si="92"/>
        <v>0</v>
      </c>
      <c r="J702" s="902">
        <f t="shared" si="93"/>
        <v>0</v>
      </c>
      <c r="L702" s="1460">
        <v>60</v>
      </c>
      <c r="M702" s="1236"/>
      <c r="N702" s="1240" t="s">
        <v>1806</v>
      </c>
      <c r="O702" s="1241" t="s">
        <v>4841</v>
      </c>
      <c r="P702" s="910">
        <f t="shared" si="94"/>
        <v>0</v>
      </c>
      <c r="Q702" s="910">
        <f t="shared" si="95"/>
        <v>60</v>
      </c>
      <c r="R702" s="1344">
        <f t="shared" si="96"/>
        <v>3.84</v>
      </c>
      <c r="S702" s="1344">
        <f>(1/9)*cnst_fish!$C$7*(1/cnst_fish!$C$8)^(R702-1)</f>
        <v>97.565906155234643</v>
      </c>
      <c r="T702" s="1362">
        <f t="shared" si="97"/>
        <v>505.77073041659946</v>
      </c>
      <c r="W702" s="1612"/>
      <c r="X702" s="1612"/>
      <c r="Y702" s="1613"/>
      <c r="Z702" s="1614"/>
      <c r="AA702" s="1614"/>
      <c r="AB702" s="1615"/>
      <c r="AC702" s="1615"/>
      <c r="AD702" s="583"/>
      <c r="AE702" s="583"/>
    </row>
    <row r="703" spans="1:31" ht="14">
      <c r="A703" s="1384" t="s">
        <v>2942</v>
      </c>
      <c r="B703" s="19" t="s">
        <v>3219</v>
      </c>
      <c r="C703" s="1383">
        <v>12441</v>
      </c>
      <c r="D703" s="1236"/>
      <c r="E703" s="1236"/>
      <c r="F703" s="1344">
        <f>(1/S703)*cnst_fish!$C$6</f>
        <v>5.8761225892708345E-2</v>
      </c>
      <c r="G703" s="1344">
        <f t="shared" si="100"/>
        <v>1</v>
      </c>
      <c r="H703" s="1344">
        <f t="shared" si="100"/>
        <v>0.367192066876738</v>
      </c>
      <c r="I703" s="1344">
        <f t="shared" si="92"/>
        <v>0</v>
      </c>
      <c r="J703" s="902">
        <f t="shared" si="93"/>
        <v>0</v>
      </c>
      <c r="L703" s="1460"/>
      <c r="M703" s="1236">
        <v>12072</v>
      </c>
      <c r="N703" s="1240" t="s">
        <v>1806</v>
      </c>
      <c r="O703" s="1241" t="s">
        <v>4845</v>
      </c>
      <c r="P703" s="910">
        <f t="shared" si="94"/>
        <v>0</v>
      </c>
      <c r="Q703" s="910">
        <f t="shared" si="95"/>
        <v>12072</v>
      </c>
      <c r="R703" s="1344">
        <f t="shared" si="96"/>
        <v>3.71</v>
      </c>
      <c r="S703" s="1344">
        <f>(1/9)*cnst_fish!$C$7*(1/cnst_fish!$C$8)^(R703-1)</f>
        <v>72.326605434679692</v>
      </c>
      <c r="T703" s="1362">
        <f t="shared" si="97"/>
        <v>75436.52406826384</v>
      </c>
      <c r="W703" s="1612"/>
      <c r="X703" s="1612"/>
      <c r="Y703" s="1613"/>
      <c r="Z703" s="1614"/>
      <c r="AA703" s="1614"/>
      <c r="AB703" s="1615"/>
      <c r="AC703" s="1615"/>
      <c r="AD703" s="583"/>
      <c r="AE703" s="583"/>
    </row>
    <row r="704" spans="1:31" ht="14">
      <c r="A704" s="1384" t="s">
        <v>889</v>
      </c>
      <c r="B704" s="19" t="s">
        <v>3220</v>
      </c>
      <c r="C704" s="1383">
        <v>2301</v>
      </c>
      <c r="D704" s="1236"/>
      <c r="E704" s="1236"/>
      <c r="F704" s="1344">
        <f>(1/S704)*cnst_fish!$C$6</f>
        <v>0.13461419163458563</v>
      </c>
      <c r="G704" s="1344">
        <f t="shared" si="100"/>
        <v>1</v>
      </c>
      <c r="H704" s="1344">
        <f t="shared" si="100"/>
        <v>0.367192066876738</v>
      </c>
      <c r="I704" s="1344">
        <f t="shared" si="92"/>
        <v>0</v>
      </c>
      <c r="J704" s="902">
        <f t="shared" si="93"/>
        <v>0</v>
      </c>
      <c r="L704" s="1460">
        <v>284</v>
      </c>
      <c r="M704" s="1236">
        <v>19</v>
      </c>
      <c r="N704" s="1240" t="s">
        <v>1806</v>
      </c>
      <c r="O704" s="1241" t="s">
        <v>4845</v>
      </c>
      <c r="P704" s="910">
        <f t="shared" si="94"/>
        <v>0</v>
      </c>
      <c r="Q704" s="910">
        <f t="shared" si="95"/>
        <v>303</v>
      </c>
      <c r="R704" s="1344">
        <f t="shared" si="96"/>
        <v>3.35</v>
      </c>
      <c r="S704" s="1344">
        <f>(1/9)*cnst_fish!$C$7*(1/cnst_fish!$C$8)^(R704-1)</f>
        <v>31.571708364425319</v>
      </c>
      <c r="T704" s="1362">
        <f t="shared" si="97"/>
        <v>826.50421112855713</v>
      </c>
      <c r="W704" s="1612"/>
      <c r="X704" s="1612"/>
      <c r="Y704" s="1613"/>
      <c r="Z704" s="1614"/>
      <c r="AA704" s="1614"/>
      <c r="AB704" s="1615"/>
      <c r="AC704" s="1615"/>
      <c r="AD704" s="583"/>
      <c r="AE704" s="583"/>
    </row>
    <row r="705" spans="1:31" ht="14">
      <c r="A705" s="1384" t="s">
        <v>5583</v>
      </c>
      <c r="B705" s="19" t="s">
        <v>4957</v>
      </c>
      <c r="C705" s="1383">
        <v>3170</v>
      </c>
      <c r="D705" s="1236"/>
      <c r="E705" s="1236"/>
      <c r="F705" s="1344">
        <f>(1/S705)*cnst_fish!$C$6</f>
        <v>0.13461419163458563</v>
      </c>
      <c r="G705" s="1344">
        <f t="shared" si="100"/>
        <v>1</v>
      </c>
      <c r="H705" s="1344">
        <f t="shared" si="100"/>
        <v>0.367192066876738</v>
      </c>
      <c r="I705" s="1344">
        <f t="shared" si="92"/>
        <v>0</v>
      </c>
      <c r="J705" s="902">
        <f t="shared" si="93"/>
        <v>0</v>
      </c>
      <c r="L705" s="1460">
        <v>220</v>
      </c>
      <c r="M705" s="1236"/>
      <c r="N705" s="1240" t="s">
        <v>1806</v>
      </c>
      <c r="O705" s="1241" t="s">
        <v>4841</v>
      </c>
      <c r="P705" s="910">
        <f t="shared" si="94"/>
        <v>0</v>
      </c>
      <c r="Q705" s="910">
        <f t="shared" si="95"/>
        <v>220</v>
      </c>
      <c r="R705" s="1344">
        <f t="shared" si="96"/>
        <v>3.35</v>
      </c>
      <c r="S705" s="1344">
        <f>(1/9)*cnst_fish!$C$7*(1/cnst_fish!$C$8)^(R705-1)</f>
        <v>31.571708364425319</v>
      </c>
      <c r="T705" s="1362">
        <f t="shared" si="97"/>
        <v>600.10206748608107</v>
      </c>
      <c r="W705" s="1612"/>
      <c r="X705" s="1612"/>
      <c r="Y705" s="1613"/>
      <c r="Z705" s="1614"/>
      <c r="AA705" s="1614"/>
      <c r="AB705" s="1615"/>
      <c r="AC705" s="1615"/>
      <c r="AD705" s="583"/>
      <c r="AE705" s="583"/>
    </row>
    <row r="706" spans="1:31" ht="14">
      <c r="A706" s="1384" t="s">
        <v>6624</v>
      </c>
      <c r="B706" s="19" t="s">
        <v>2878</v>
      </c>
      <c r="C706" s="1383">
        <v>2782</v>
      </c>
      <c r="D706" s="1236"/>
      <c r="E706" s="1236"/>
      <c r="F706" s="1344">
        <f>(1/S706)*cnst_fish!$C$6</f>
        <v>30.136363636363644</v>
      </c>
      <c r="G706" s="1344">
        <f t="shared" si="100"/>
        <v>1</v>
      </c>
      <c r="H706" s="1344">
        <f t="shared" si="100"/>
        <v>0.367192066876738</v>
      </c>
      <c r="I706" s="1344">
        <f t="shared" si="92"/>
        <v>0</v>
      </c>
      <c r="J706" s="902">
        <f t="shared" si="93"/>
        <v>0</v>
      </c>
      <c r="L706" s="1460">
        <v>52</v>
      </c>
      <c r="M706" s="1236"/>
      <c r="N706" s="1240" t="s">
        <v>2429</v>
      </c>
      <c r="O706" s="1241" t="s">
        <v>4831</v>
      </c>
      <c r="P706" s="910">
        <f t="shared" si="94"/>
        <v>0</v>
      </c>
      <c r="Q706" s="910">
        <f t="shared" si="95"/>
        <v>52</v>
      </c>
      <c r="R706" s="1344">
        <f t="shared" si="96"/>
        <v>1</v>
      </c>
      <c r="S706" s="1344">
        <f>(1/9)*cnst_fish!$C$7*(1/cnst_fish!$C$8)^(R706-1)</f>
        <v>0.141025641025641</v>
      </c>
      <c r="T706" s="1362">
        <f t="shared" si="97"/>
        <v>0.63358631147358702</v>
      </c>
      <c r="W706" s="1612"/>
      <c r="X706" s="1612"/>
      <c r="Y706" s="1613"/>
      <c r="Z706" s="1614"/>
      <c r="AA706" s="1614"/>
      <c r="AB706" s="1615"/>
      <c r="AC706" s="1615"/>
      <c r="AD706" s="583"/>
      <c r="AE706" s="583"/>
    </row>
    <row r="707" spans="1:31" ht="14">
      <c r="A707" s="1384" t="s">
        <v>2209</v>
      </c>
      <c r="B707" s="19" t="s">
        <v>4263</v>
      </c>
      <c r="C707" s="1383">
        <v>2475</v>
      </c>
      <c r="D707" s="1236"/>
      <c r="E707" s="1236"/>
      <c r="F707" s="1344">
        <f>(1/S707)*cnst_fish!$C$6</f>
        <v>9.5299549485983424E-3</v>
      </c>
      <c r="G707" s="1344">
        <f t="shared" si="100"/>
        <v>1</v>
      </c>
      <c r="H707" s="1344">
        <f t="shared" si="100"/>
        <v>0.367192066876738</v>
      </c>
      <c r="I707" s="1344">
        <f t="shared" si="92"/>
        <v>0</v>
      </c>
      <c r="J707" s="902">
        <f t="shared" si="93"/>
        <v>0</v>
      </c>
      <c r="L707" s="1460">
        <v>1691</v>
      </c>
      <c r="M707" s="1236"/>
      <c r="N707" s="1240" t="s">
        <v>2969</v>
      </c>
      <c r="O707" s="1241" t="s">
        <v>4859</v>
      </c>
      <c r="P707" s="910">
        <f t="shared" si="94"/>
        <v>0</v>
      </c>
      <c r="Q707" s="910">
        <f t="shared" si="95"/>
        <v>1691</v>
      </c>
      <c r="R707" s="1344">
        <f t="shared" si="96"/>
        <v>4.5</v>
      </c>
      <c r="S707" s="1344">
        <f>(1/9)*cnst_fish!$C$7*(1/cnst_fish!$C$8)^(R707-1)</f>
        <v>445.96223412630997</v>
      </c>
      <c r="T707" s="1362">
        <f t="shared" si="97"/>
        <v>65154.745057833519</v>
      </c>
      <c r="W707" s="1612"/>
      <c r="X707" s="1612"/>
      <c r="Y707" s="1613"/>
      <c r="Z707" s="1614"/>
      <c r="AA707" s="1614"/>
      <c r="AB707" s="1615"/>
      <c r="AC707" s="1615"/>
      <c r="AD707" s="583"/>
      <c r="AE707" s="583"/>
    </row>
    <row r="708" spans="1:31" ht="14">
      <c r="A708" s="1384" t="s">
        <v>5673</v>
      </c>
      <c r="B708" s="19" t="s">
        <v>5674</v>
      </c>
      <c r="C708" s="1383">
        <v>2144</v>
      </c>
      <c r="D708" s="1236"/>
      <c r="E708" s="1236"/>
      <c r="F708" s="1344">
        <f>(1/S708)*cnst_fish!$C$6</f>
        <v>0.12562927329128742</v>
      </c>
      <c r="G708" s="1344">
        <f t="shared" ref="G708:H727" si="101">G$7</f>
        <v>1</v>
      </c>
      <c r="H708" s="1344">
        <f t="shared" si="101"/>
        <v>0.367192066876738</v>
      </c>
      <c r="I708" s="1344">
        <f t="shared" si="92"/>
        <v>0</v>
      </c>
      <c r="J708" s="902">
        <f t="shared" si="93"/>
        <v>0</v>
      </c>
      <c r="L708" s="1460">
        <v>0</v>
      </c>
      <c r="M708" s="1236"/>
      <c r="N708" s="1240" t="s">
        <v>1806</v>
      </c>
      <c r="O708" s="1241" t="s">
        <v>4841</v>
      </c>
      <c r="P708" s="910">
        <f t="shared" si="94"/>
        <v>0</v>
      </c>
      <c r="Q708" s="910">
        <f t="shared" si="95"/>
        <v>0</v>
      </c>
      <c r="R708" s="1344">
        <f t="shared" si="96"/>
        <v>3.38</v>
      </c>
      <c r="S708" s="1344">
        <f>(1/9)*cnst_fish!$C$7*(1/cnst_fish!$C$8)^(R708-1)</f>
        <v>33.829695011813328</v>
      </c>
      <c r="T708" s="1362">
        <f t="shared" si="97"/>
        <v>0</v>
      </c>
      <c r="W708" s="1612"/>
      <c r="X708" s="1612"/>
      <c r="Y708" s="1613"/>
      <c r="Z708" s="1614"/>
      <c r="AA708" s="1614"/>
      <c r="AB708" s="1615"/>
      <c r="AC708" s="1615"/>
      <c r="AD708" s="583"/>
      <c r="AE708" s="583"/>
    </row>
    <row r="709" spans="1:31" ht="14">
      <c r="A709" s="1384" t="s">
        <v>2917</v>
      </c>
      <c r="B709" s="19" t="s">
        <v>3856</v>
      </c>
      <c r="C709" s="1383">
        <v>12485</v>
      </c>
      <c r="D709" s="1236"/>
      <c r="E709" s="1236"/>
      <c r="F709" s="1344">
        <f>(1/S709)*cnst_fish!$C$6</f>
        <v>9.5299549485983424E-3</v>
      </c>
      <c r="G709" s="1344">
        <f t="shared" si="101"/>
        <v>1</v>
      </c>
      <c r="H709" s="1344">
        <f t="shared" si="101"/>
        <v>0.367192066876738</v>
      </c>
      <c r="I709" s="1344">
        <f t="shared" si="92"/>
        <v>0</v>
      </c>
      <c r="J709" s="902">
        <f t="shared" si="93"/>
        <v>0</v>
      </c>
      <c r="L709" s="1460">
        <v>75</v>
      </c>
      <c r="M709" s="1236"/>
      <c r="N709" s="1240" t="s">
        <v>1806</v>
      </c>
      <c r="O709" s="1241" t="s">
        <v>4841</v>
      </c>
      <c r="P709" s="910">
        <f t="shared" si="94"/>
        <v>0</v>
      </c>
      <c r="Q709" s="910">
        <f t="shared" si="95"/>
        <v>75</v>
      </c>
      <c r="R709" s="1344">
        <f t="shared" si="96"/>
        <v>4.5</v>
      </c>
      <c r="S709" s="1344">
        <f>(1/9)*cnst_fish!$C$7*(1/cnst_fish!$C$8)^(R709-1)</f>
        <v>445.96223412630997</v>
      </c>
      <c r="T709" s="1362">
        <f t="shared" si="97"/>
        <v>2889.7728440789556</v>
      </c>
      <c r="W709" s="1612"/>
      <c r="X709" s="1612"/>
      <c r="Y709" s="1613"/>
      <c r="Z709" s="1614"/>
      <c r="AA709" s="1614"/>
      <c r="AB709" s="1615"/>
      <c r="AC709" s="1615"/>
      <c r="AD709" s="583"/>
      <c r="AE709" s="583"/>
    </row>
    <row r="710" spans="1:31" ht="14">
      <c r="A710" s="1384" t="s">
        <v>6511</v>
      </c>
      <c r="B710" s="19" t="s">
        <v>6510</v>
      </c>
      <c r="C710" s="1383">
        <v>12489</v>
      </c>
      <c r="D710" s="1236"/>
      <c r="E710" s="1236"/>
      <c r="F710" s="1344">
        <f>(1/S710)*cnst_fish!$C$6</f>
        <v>3.0136363636363641</v>
      </c>
      <c r="G710" s="1344">
        <f t="shared" si="101"/>
        <v>1</v>
      </c>
      <c r="H710" s="1344">
        <f t="shared" si="101"/>
        <v>0.367192066876738</v>
      </c>
      <c r="I710" s="1344">
        <f t="shared" si="92"/>
        <v>0</v>
      </c>
      <c r="J710" s="902">
        <f t="shared" si="93"/>
        <v>0</v>
      </c>
      <c r="L710" s="1460"/>
      <c r="M710" s="1236"/>
      <c r="N710" s="1240" t="s">
        <v>1806</v>
      </c>
      <c r="O710" s="1241" t="s">
        <v>4841</v>
      </c>
      <c r="P710" s="910">
        <f t="shared" si="94"/>
        <v>0</v>
      </c>
      <c r="Q710" s="910">
        <f t="shared" si="95"/>
        <v>0</v>
      </c>
      <c r="R710" s="1344">
        <f t="shared" si="96"/>
        <v>2</v>
      </c>
      <c r="S710" s="1344">
        <f>(1/9)*cnst_fish!$C$7*(1/cnst_fish!$C$8)^(R710-1)</f>
        <v>1.4102564102564099</v>
      </c>
      <c r="T710" s="1362">
        <f t="shared" si="97"/>
        <v>0</v>
      </c>
      <c r="W710" s="1612"/>
      <c r="X710" s="1612"/>
      <c r="Y710" s="1613"/>
      <c r="Z710" s="1614"/>
      <c r="AA710" s="1614"/>
      <c r="AB710" s="1615"/>
      <c r="AC710" s="1615"/>
      <c r="AD710" s="583"/>
      <c r="AE710" s="583"/>
    </row>
    <row r="711" spans="1:31" ht="14">
      <c r="A711" s="1384" t="s">
        <v>2235</v>
      </c>
      <c r="B711" s="19" t="s">
        <v>2518</v>
      </c>
      <c r="C711" s="1383">
        <v>3142</v>
      </c>
      <c r="D711" s="1236">
        <v>277</v>
      </c>
      <c r="E711" s="1236"/>
      <c r="F711" s="1344">
        <f>(1/S711)*cnst_fish!$C$6</f>
        <v>9.3130266898023228E-2</v>
      </c>
      <c r="G711" s="1344">
        <f t="shared" si="101"/>
        <v>1</v>
      </c>
      <c r="H711" s="1344">
        <f t="shared" si="101"/>
        <v>0.367192066876738</v>
      </c>
      <c r="I711" s="1344">
        <f t="shared" ref="I711:I774" si="102">IF($F711=0,0,D711/$F711*$H711*$G711)</f>
        <v>1092.1498016990581</v>
      </c>
      <c r="J711" s="902">
        <f t="shared" ref="J711:J774" si="103">IF($F711=0,0,E711/$F711*$H711*$G711)</f>
        <v>0</v>
      </c>
      <c r="L711" s="1460">
        <v>65187</v>
      </c>
      <c r="M711" s="1236"/>
      <c r="N711" s="1240" t="s">
        <v>1806</v>
      </c>
      <c r="O711" s="1241" t="s">
        <v>4841</v>
      </c>
      <c r="P711" s="910">
        <f t="shared" ref="P711:P774" si="104">D711+E711</f>
        <v>277</v>
      </c>
      <c r="Q711" s="910">
        <f t="shared" ref="Q711:Q774" si="105">L711+M711</f>
        <v>65187</v>
      </c>
      <c r="R711" s="1344">
        <f t="shared" ref="R711:R774" si="106">VLOOKUP(B711,constant_fish_trophic,3,FALSE)</f>
        <v>3.51</v>
      </c>
      <c r="S711" s="1344">
        <f>(1/9)*cnst_fish!$C$7*(1/cnst_fish!$C$8)^(R711-1)</f>
        <v>45.635002900332182</v>
      </c>
      <c r="T711" s="1362">
        <f t="shared" ref="T711:T774" si="107">IF(F711=0,0,Q711/F711*H711*G711)</f>
        <v>257017.93907348919</v>
      </c>
      <c r="W711" s="1612"/>
      <c r="X711" s="1612"/>
      <c r="Y711" s="1613"/>
      <c r="Z711" s="1614"/>
      <c r="AA711" s="1614"/>
      <c r="AB711" s="1615"/>
      <c r="AC711" s="1615"/>
      <c r="AD711" s="583"/>
      <c r="AE711" s="583"/>
    </row>
    <row r="712" spans="1:31" ht="14">
      <c r="A712" s="1384" t="s">
        <v>32</v>
      </c>
      <c r="B712" s="19" t="s">
        <v>33</v>
      </c>
      <c r="C712" s="1383">
        <v>12499</v>
      </c>
      <c r="D712" s="1236">
        <v>11</v>
      </c>
      <c r="E712" s="1236"/>
      <c r="F712" s="1344">
        <f>(1/S712)*cnst_fish!$C$6</f>
        <v>0.19910898001319816</v>
      </c>
      <c r="G712" s="1344">
        <f t="shared" si="101"/>
        <v>1</v>
      </c>
      <c r="H712" s="1344">
        <f t="shared" si="101"/>
        <v>0.367192066876738</v>
      </c>
      <c r="I712" s="1344">
        <f t="shared" si="102"/>
        <v>20.285939566243478</v>
      </c>
      <c r="J712" s="902">
        <f t="shared" si="103"/>
        <v>0</v>
      </c>
      <c r="L712" s="1460">
        <v>11</v>
      </c>
      <c r="M712" s="1236"/>
      <c r="N712" s="1240" t="s">
        <v>1806</v>
      </c>
      <c r="O712" s="1241" t="s">
        <v>4841</v>
      </c>
      <c r="P712" s="910">
        <f t="shared" si="104"/>
        <v>11</v>
      </c>
      <c r="Q712" s="910">
        <f t="shared" si="105"/>
        <v>11</v>
      </c>
      <c r="R712" s="1344">
        <f t="shared" si="106"/>
        <v>3.18</v>
      </c>
      <c r="S712" s="1344">
        <f>(1/9)*cnst_fish!$C$7*(1/cnst_fish!$C$8)^(R712-1)</f>
        <v>21.345094529228586</v>
      </c>
      <c r="T712" s="1362">
        <f t="shared" si="107"/>
        <v>20.285939566243478</v>
      </c>
      <c r="W712" s="1612"/>
      <c r="X712" s="1612"/>
      <c r="Y712" s="1613"/>
      <c r="Z712" s="1614"/>
      <c r="AA712" s="1614"/>
      <c r="AB712" s="1615"/>
      <c r="AC712" s="1615"/>
      <c r="AD712" s="583"/>
      <c r="AE712" s="583"/>
    </row>
    <row r="713" spans="1:31" ht="14">
      <c r="A713" s="1384" t="s">
        <v>30</v>
      </c>
      <c r="B713" s="19" t="s">
        <v>31</v>
      </c>
      <c r="C713" s="1383">
        <v>12509</v>
      </c>
      <c r="D713" s="1236">
        <v>10</v>
      </c>
      <c r="E713" s="1236"/>
      <c r="F713" s="1344">
        <f>(1/S713)*cnst_fish!$C$6</f>
        <v>7.5699122913220479E-2</v>
      </c>
      <c r="G713" s="1344">
        <f t="shared" si="101"/>
        <v>1</v>
      </c>
      <c r="H713" s="1344">
        <f t="shared" si="101"/>
        <v>0.367192066876738</v>
      </c>
      <c r="I713" s="1344">
        <f t="shared" si="102"/>
        <v>48.506779569649375</v>
      </c>
      <c r="J713" s="902">
        <f t="shared" si="103"/>
        <v>0</v>
      </c>
      <c r="L713" s="1460">
        <v>1427</v>
      </c>
      <c r="M713" s="1236"/>
      <c r="N713" s="1240" t="s">
        <v>1806</v>
      </c>
      <c r="O713" s="1241" t="s">
        <v>4841</v>
      </c>
      <c r="P713" s="910">
        <f t="shared" si="104"/>
        <v>10</v>
      </c>
      <c r="Q713" s="910">
        <f t="shared" si="105"/>
        <v>1427</v>
      </c>
      <c r="R713" s="1344">
        <f t="shared" si="106"/>
        <v>3.6</v>
      </c>
      <c r="S713" s="1344">
        <f>(1/9)*cnst_fish!$C$7*(1/cnst_fish!$C$8)^(R713-1)</f>
        <v>56.143318924211187</v>
      </c>
      <c r="T713" s="1362">
        <f t="shared" si="107"/>
        <v>6921.9174445889657</v>
      </c>
      <c r="W713" s="1612"/>
      <c r="X713" s="1612"/>
      <c r="Y713" s="1613"/>
      <c r="Z713" s="1614"/>
      <c r="AA713" s="1614"/>
      <c r="AB713" s="1615"/>
      <c r="AC713" s="1615"/>
      <c r="AD713" s="583"/>
      <c r="AE713" s="583"/>
    </row>
    <row r="714" spans="1:31" ht="14">
      <c r="A714" s="1384" t="s">
        <v>6626</v>
      </c>
      <c r="B714" s="19" t="s">
        <v>6625</v>
      </c>
      <c r="C714" s="1383">
        <v>19016</v>
      </c>
      <c r="D714" s="1236"/>
      <c r="E714" s="1236"/>
      <c r="F714" s="1344">
        <f>(1/S714)*cnst_fish!$C$6</f>
        <v>3.0136363636363641</v>
      </c>
      <c r="G714" s="1344">
        <f t="shared" si="101"/>
        <v>1</v>
      </c>
      <c r="H714" s="1344">
        <f t="shared" si="101"/>
        <v>0.367192066876738</v>
      </c>
      <c r="I714" s="1344">
        <f t="shared" si="102"/>
        <v>0</v>
      </c>
      <c r="J714" s="902">
        <f t="shared" si="103"/>
        <v>0</v>
      </c>
      <c r="L714" s="1460">
        <v>3</v>
      </c>
      <c r="M714" s="1236"/>
      <c r="N714" s="1240" t="s">
        <v>1806</v>
      </c>
      <c r="O714" s="1241" t="s">
        <v>4841</v>
      </c>
      <c r="P714" s="910">
        <f t="shared" si="104"/>
        <v>0</v>
      </c>
      <c r="Q714" s="910">
        <f t="shared" si="105"/>
        <v>3</v>
      </c>
      <c r="R714" s="1344">
        <f t="shared" si="106"/>
        <v>2</v>
      </c>
      <c r="S714" s="1344">
        <f>(1/9)*cnst_fish!$C$7*(1/cnst_fish!$C$8)^(R714-1)</f>
        <v>1.4102564102564099</v>
      </c>
      <c r="T714" s="1362">
        <f t="shared" si="107"/>
        <v>0.36553056431168479</v>
      </c>
      <c r="W714" s="1612"/>
      <c r="X714" s="1612"/>
      <c r="Y714" s="1613"/>
      <c r="Z714" s="1614"/>
      <c r="AA714" s="1614"/>
      <c r="AB714" s="1615"/>
      <c r="AC714" s="1615"/>
      <c r="AD714" s="583"/>
      <c r="AE714" s="583"/>
    </row>
    <row r="715" spans="1:31" ht="14">
      <c r="A715" s="1384" t="s">
        <v>5653</v>
      </c>
      <c r="B715" s="19" t="s">
        <v>5654</v>
      </c>
      <c r="C715" s="1383">
        <v>12517</v>
      </c>
      <c r="D715" s="1236"/>
      <c r="E715" s="1236"/>
      <c r="F715" s="1344">
        <f>(1/S715)*cnst_fish!$C$6</f>
        <v>9.5299549485983348E-2</v>
      </c>
      <c r="G715" s="1344">
        <f t="shared" si="101"/>
        <v>1</v>
      </c>
      <c r="H715" s="1344">
        <f t="shared" si="101"/>
        <v>0.367192066876738</v>
      </c>
      <c r="I715" s="1344">
        <f t="shared" si="102"/>
        <v>0</v>
      </c>
      <c r="J715" s="902">
        <f t="shared" si="103"/>
        <v>0</v>
      </c>
      <c r="L715" s="1460">
        <v>0</v>
      </c>
      <c r="M715" s="1236"/>
      <c r="N715" s="1240" t="s">
        <v>3927</v>
      </c>
      <c r="O715" s="1241" t="s">
        <v>4841</v>
      </c>
      <c r="P715" s="910">
        <f t="shared" si="104"/>
        <v>0</v>
      </c>
      <c r="Q715" s="910">
        <f t="shared" si="105"/>
        <v>0</v>
      </c>
      <c r="R715" s="1344">
        <f t="shared" si="106"/>
        <v>3.5</v>
      </c>
      <c r="S715" s="1344">
        <f>(1/9)*cnst_fish!$C$7*(1/cnst_fish!$C$8)^(R715-1)</f>
        <v>44.596223412631026</v>
      </c>
      <c r="T715" s="1362">
        <f t="shared" si="107"/>
        <v>0</v>
      </c>
      <c r="W715" s="1612"/>
      <c r="X715" s="1612"/>
      <c r="Y715" s="1613"/>
      <c r="Z715" s="1614"/>
      <c r="AA715" s="1614"/>
      <c r="AB715" s="1615"/>
      <c r="AC715" s="1615"/>
      <c r="AD715" s="583"/>
      <c r="AE715" s="583"/>
    </row>
    <row r="716" spans="1:31" ht="14">
      <c r="A716" s="1585" t="s">
        <v>8541</v>
      </c>
      <c r="B716" s="1586" t="s">
        <v>8542</v>
      </c>
      <c r="C716" s="1383">
        <v>12525</v>
      </c>
      <c r="D716" s="1236"/>
      <c r="E716" s="1236"/>
      <c r="F716" s="1344">
        <f>(1/S716)*cnst_fish!$C$6</f>
        <v>0.11997502458044032</v>
      </c>
      <c r="G716" s="1344">
        <f t="shared" si="101"/>
        <v>1</v>
      </c>
      <c r="H716" s="1344">
        <f t="shared" si="101"/>
        <v>0.367192066876738</v>
      </c>
      <c r="I716" s="1344">
        <f t="shared" si="102"/>
        <v>0</v>
      </c>
      <c r="J716" s="902">
        <f t="shared" si="103"/>
        <v>0</v>
      </c>
      <c r="L716" s="1460">
        <v>14</v>
      </c>
      <c r="M716" s="1236"/>
      <c r="N716" s="1240" t="s">
        <v>5366</v>
      </c>
      <c r="O716" s="1241" t="s">
        <v>4841</v>
      </c>
      <c r="P716" s="910">
        <f t="shared" si="104"/>
        <v>0</v>
      </c>
      <c r="Q716" s="910">
        <f t="shared" si="105"/>
        <v>14</v>
      </c>
      <c r="R716" s="1344">
        <f t="shared" si="106"/>
        <v>3.4</v>
      </c>
      <c r="S716" s="1344">
        <f>(1/9)*cnst_fish!$C$7*(1/cnst_fish!$C$8)^(R716-1)</f>
        <v>35.424039418724846</v>
      </c>
      <c r="T716" s="1362">
        <f t="shared" si="107"/>
        <v>42.847992357172856</v>
      </c>
      <c r="W716" s="1616"/>
      <c r="X716" s="1616"/>
      <c r="Y716" s="1613"/>
      <c r="Z716" s="1614"/>
      <c r="AA716" s="1614"/>
      <c r="AB716" s="1615"/>
      <c r="AC716" s="1615"/>
      <c r="AD716" s="583"/>
      <c r="AE716" s="583"/>
    </row>
    <row r="717" spans="1:31" ht="14">
      <c r="A717" s="1384" t="s">
        <v>4599</v>
      </c>
      <c r="B717" s="19" t="s">
        <v>4491</v>
      </c>
      <c r="C717" s="1383">
        <v>3491</v>
      </c>
      <c r="D717" s="1236"/>
      <c r="E717" s="1236"/>
      <c r="F717" s="1344">
        <f>(1/S717)*cnst_fish!$C$6</f>
        <v>2.3938164528281742</v>
      </c>
      <c r="G717" s="1344">
        <f t="shared" si="101"/>
        <v>1</v>
      </c>
      <c r="H717" s="1344">
        <f t="shared" si="101"/>
        <v>0.367192066876738</v>
      </c>
      <c r="I717" s="1344">
        <f t="shared" si="102"/>
        <v>0</v>
      </c>
      <c r="J717" s="902">
        <f t="shared" si="103"/>
        <v>0</v>
      </c>
      <c r="L717" s="1460">
        <v>1395</v>
      </c>
      <c r="M717" s="1236"/>
      <c r="N717" s="1240" t="s">
        <v>1804</v>
      </c>
      <c r="O717" s="1241" t="s">
        <v>4851</v>
      </c>
      <c r="P717" s="910">
        <f t="shared" si="104"/>
        <v>0</v>
      </c>
      <c r="Q717" s="910">
        <f t="shared" si="105"/>
        <v>1395</v>
      </c>
      <c r="R717" s="1344">
        <f t="shared" si="106"/>
        <v>2.1</v>
      </c>
      <c r="S717" s="1344">
        <f>(1/9)*cnst_fish!$C$7*(1/cnst_fish!$C$8)^(R717-1)</f>
        <v>1.7754076320174161</v>
      </c>
      <c r="T717" s="1362">
        <f t="shared" si="107"/>
        <v>213.98170803274076</v>
      </c>
      <c r="W717" s="1612"/>
      <c r="X717" s="1612"/>
      <c r="Y717" s="1613"/>
      <c r="Z717" s="1614"/>
      <c r="AA717" s="1614"/>
      <c r="AB717" s="1615"/>
      <c r="AC717" s="1615"/>
      <c r="AD717" s="583"/>
      <c r="AE717" s="583"/>
    </row>
    <row r="718" spans="1:31" ht="14">
      <c r="A718" s="1384" t="s">
        <v>5475</v>
      </c>
      <c r="B718" s="19" t="s">
        <v>4492</v>
      </c>
      <c r="C718" s="1383">
        <v>2653</v>
      </c>
      <c r="D718" s="1236"/>
      <c r="E718" s="1236"/>
      <c r="F718" s="1344">
        <f>(1/S718)*cnst_fish!$C$6</f>
        <v>2.3938164528281742</v>
      </c>
      <c r="G718" s="1344">
        <f t="shared" si="101"/>
        <v>1</v>
      </c>
      <c r="H718" s="1344">
        <f t="shared" si="101"/>
        <v>0.367192066876738</v>
      </c>
      <c r="I718" s="1344">
        <f t="shared" si="102"/>
        <v>0</v>
      </c>
      <c r="J718" s="902">
        <f t="shared" si="103"/>
        <v>0</v>
      </c>
      <c r="L718" s="1460">
        <v>156</v>
      </c>
      <c r="M718" s="1236"/>
      <c r="N718" s="1240" t="s">
        <v>1804</v>
      </c>
      <c r="O718" s="1241" t="s">
        <v>4851</v>
      </c>
      <c r="P718" s="910">
        <f t="shared" si="104"/>
        <v>0</v>
      </c>
      <c r="Q718" s="910">
        <f t="shared" si="105"/>
        <v>156</v>
      </c>
      <c r="R718" s="1344">
        <f t="shared" si="106"/>
        <v>2.1</v>
      </c>
      <c r="S718" s="1344">
        <f>(1/9)*cnst_fish!$C$7*(1/cnst_fish!$C$8)^(R718-1)</f>
        <v>1.7754076320174161</v>
      </c>
      <c r="T718" s="1362">
        <f t="shared" si="107"/>
        <v>23.929137242371009</v>
      </c>
      <c r="W718" s="1612"/>
      <c r="X718" s="1612"/>
      <c r="Y718" s="1613"/>
      <c r="Z718" s="1614"/>
      <c r="AA718" s="1614"/>
      <c r="AB718" s="1615"/>
      <c r="AC718" s="1615"/>
      <c r="AD718" s="583"/>
      <c r="AE718" s="583"/>
    </row>
    <row r="719" spans="1:31" ht="14">
      <c r="A719" s="1384" t="s">
        <v>5055</v>
      </c>
      <c r="B719" s="19" t="s">
        <v>4493</v>
      </c>
      <c r="C719" s="1383">
        <v>3492</v>
      </c>
      <c r="D719" s="1236"/>
      <c r="E719" s="1236"/>
      <c r="F719" s="1344">
        <f>(1/S719)*cnst_fish!$C$6</f>
        <v>2.3938164528281742</v>
      </c>
      <c r="G719" s="1344">
        <f t="shared" si="101"/>
        <v>1</v>
      </c>
      <c r="H719" s="1344">
        <f t="shared" si="101"/>
        <v>0.367192066876738</v>
      </c>
      <c r="I719" s="1344">
        <f t="shared" si="102"/>
        <v>0</v>
      </c>
      <c r="J719" s="902">
        <f t="shared" si="103"/>
        <v>0</v>
      </c>
      <c r="L719" s="1460">
        <v>4529</v>
      </c>
      <c r="M719" s="1236"/>
      <c r="N719" s="1240" t="s">
        <v>1804</v>
      </c>
      <c r="O719" s="1241" t="s">
        <v>4851</v>
      </c>
      <c r="P719" s="910">
        <f t="shared" si="104"/>
        <v>0</v>
      </c>
      <c r="Q719" s="910">
        <f t="shared" si="105"/>
        <v>4529</v>
      </c>
      <c r="R719" s="1344">
        <f t="shared" si="106"/>
        <v>2.1</v>
      </c>
      <c r="S719" s="1344">
        <f>(1/9)*cnst_fish!$C$7*(1/cnst_fish!$C$8)^(R719-1)</f>
        <v>1.7754076320174161</v>
      </c>
      <c r="T719" s="1362">
        <f t="shared" si="107"/>
        <v>694.71193955575836</v>
      </c>
      <c r="W719" s="1612"/>
      <c r="X719" s="1612"/>
      <c r="Y719" s="1613"/>
      <c r="Z719" s="1614"/>
      <c r="AA719" s="1614"/>
      <c r="AB719" s="1615"/>
      <c r="AC719" s="1615"/>
      <c r="AD719" s="583"/>
      <c r="AE719" s="583"/>
    </row>
    <row r="720" spans="1:31" ht="14">
      <c r="A720" s="1384" t="s">
        <v>3021</v>
      </c>
      <c r="B720" s="19" t="s">
        <v>5528</v>
      </c>
      <c r="C720" s="1383">
        <v>2651</v>
      </c>
      <c r="D720" s="1236">
        <v>0</v>
      </c>
      <c r="E720" s="1236"/>
      <c r="F720" s="1344">
        <f>(1/S720)*cnst_fish!$C$6</f>
        <v>2.3938164528281742</v>
      </c>
      <c r="G720" s="1344">
        <f t="shared" si="101"/>
        <v>1</v>
      </c>
      <c r="H720" s="1344">
        <f t="shared" si="101"/>
        <v>0.367192066876738</v>
      </c>
      <c r="I720" s="1344">
        <f t="shared" si="102"/>
        <v>0</v>
      </c>
      <c r="J720" s="902">
        <f t="shared" si="103"/>
        <v>0</v>
      </c>
      <c r="L720" s="1460">
        <v>1677</v>
      </c>
      <c r="M720" s="1236"/>
      <c r="N720" s="1240" t="s">
        <v>1804</v>
      </c>
      <c r="O720" s="1241" t="s">
        <v>4851</v>
      </c>
      <c r="P720" s="910">
        <f t="shared" si="104"/>
        <v>0</v>
      </c>
      <c r="Q720" s="910">
        <f t="shared" si="105"/>
        <v>1677</v>
      </c>
      <c r="R720" s="1344">
        <f t="shared" si="106"/>
        <v>2.1</v>
      </c>
      <c r="S720" s="1344">
        <f>(1/9)*cnst_fish!$C$7*(1/cnst_fish!$C$8)^(R720-1)</f>
        <v>1.7754076320174161</v>
      </c>
      <c r="T720" s="1362">
        <f t="shared" si="107"/>
        <v>257.23822535548834</v>
      </c>
      <c r="W720" s="1612"/>
      <c r="X720" s="1612"/>
      <c r="Y720" s="1613"/>
      <c r="Z720" s="1614"/>
      <c r="AA720" s="1614"/>
      <c r="AB720" s="1615"/>
      <c r="AC720" s="1615"/>
      <c r="AD720" s="583"/>
      <c r="AE720" s="583"/>
    </row>
    <row r="721" spans="1:31" ht="14">
      <c r="A721" s="1384" t="s">
        <v>1340</v>
      </c>
      <c r="B721" s="19" t="s">
        <v>375</v>
      </c>
      <c r="C721" s="1383">
        <v>3493</v>
      </c>
      <c r="D721" s="1236"/>
      <c r="E721" s="1236"/>
      <c r="F721" s="1344">
        <f>(1/S721)*cnst_fish!$C$6</f>
        <v>2.3938164528281742</v>
      </c>
      <c r="G721" s="1344">
        <f t="shared" si="101"/>
        <v>1</v>
      </c>
      <c r="H721" s="1344">
        <f t="shared" si="101"/>
        <v>0.367192066876738</v>
      </c>
      <c r="I721" s="1344">
        <f t="shared" si="102"/>
        <v>0</v>
      </c>
      <c r="J721" s="902">
        <f t="shared" si="103"/>
        <v>0</v>
      </c>
      <c r="L721" s="1460">
        <v>37</v>
      </c>
      <c r="M721" s="1236"/>
      <c r="N721" s="1240" t="s">
        <v>1804</v>
      </c>
      <c r="O721" s="1241" t="s">
        <v>4851</v>
      </c>
      <c r="P721" s="910">
        <f t="shared" si="104"/>
        <v>0</v>
      </c>
      <c r="Q721" s="910">
        <f t="shared" si="105"/>
        <v>37</v>
      </c>
      <c r="R721" s="1344">
        <f t="shared" si="106"/>
        <v>2.1</v>
      </c>
      <c r="S721" s="1344">
        <f>(1/9)*cnst_fish!$C$7*(1/cnst_fish!$C$8)^(R721-1)</f>
        <v>1.7754076320174161</v>
      </c>
      <c r="T721" s="1362">
        <f t="shared" si="107"/>
        <v>5.6755004997931238</v>
      </c>
      <c r="W721" s="1612"/>
      <c r="X721" s="1612"/>
      <c r="Y721" s="1613"/>
      <c r="Z721" s="1614"/>
      <c r="AA721" s="1614"/>
      <c r="AB721" s="1615"/>
      <c r="AC721" s="1615"/>
      <c r="AD721" s="583"/>
      <c r="AE721" s="583"/>
    </row>
    <row r="722" spans="1:31" ht="14">
      <c r="A722" s="1384" t="s">
        <v>2165</v>
      </c>
      <c r="B722" s="19" t="s">
        <v>778</v>
      </c>
      <c r="C722" s="1383">
        <v>16661</v>
      </c>
      <c r="D722" s="1236"/>
      <c r="E722" s="1236"/>
      <c r="F722" s="1344">
        <f>(1/S722)*cnst_fish!$C$6</f>
        <v>1.0179208487545861</v>
      </c>
      <c r="G722" s="1344">
        <f t="shared" si="101"/>
        <v>1</v>
      </c>
      <c r="H722" s="1344">
        <f t="shared" si="101"/>
        <v>0.367192066876738</v>
      </c>
      <c r="I722" s="1344">
        <f t="shared" si="102"/>
        <v>0</v>
      </c>
      <c r="J722" s="902">
        <f t="shared" si="103"/>
        <v>0</v>
      </c>
      <c r="L722" s="1460">
        <v>93</v>
      </c>
      <c r="M722" s="1236"/>
      <c r="N722" s="1240" t="s">
        <v>2441</v>
      </c>
      <c r="O722" s="1241" t="s">
        <v>4840</v>
      </c>
      <c r="P722" s="910">
        <f t="shared" si="104"/>
        <v>0</v>
      </c>
      <c r="Q722" s="910">
        <f t="shared" si="105"/>
        <v>93</v>
      </c>
      <c r="R722" s="1344">
        <f t="shared" si="106"/>
        <v>2.4713768380352099</v>
      </c>
      <c r="S722" s="1344">
        <f>(1/9)*cnst_fish!$C$7*(1/cnst_fish!$C$8)^(R722-1)</f>
        <v>4.1751772794513675</v>
      </c>
      <c r="T722" s="1362">
        <f t="shared" si="107"/>
        <v>33.547659684264602</v>
      </c>
      <c r="W722" s="1612"/>
      <c r="X722" s="1612"/>
      <c r="Y722" s="1613"/>
      <c r="Z722" s="1614"/>
      <c r="AA722" s="1614"/>
      <c r="AB722" s="1615"/>
      <c r="AC722" s="1615"/>
      <c r="AD722" s="583"/>
      <c r="AE722" s="583"/>
    </row>
    <row r="723" spans="1:31" ht="14">
      <c r="A723" s="1384" t="s">
        <v>1558</v>
      </c>
      <c r="B723" s="19" t="s">
        <v>2467</v>
      </c>
      <c r="C723" s="1383">
        <v>3440</v>
      </c>
      <c r="D723" s="1236"/>
      <c r="E723" s="1236"/>
      <c r="F723" s="1344">
        <f>(1/S723)*cnst_fish!$C$6</f>
        <v>1.9014759972289452</v>
      </c>
      <c r="G723" s="1344">
        <f t="shared" si="101"/>
        <v>1</v>
      </c>
      <c r="H723" s="1344">
        <f t="shared" si="101"/>
        <v>0.367192066876738</v>
      </c>
      <c r="I723" s="1344">
        <f t="shared" si="102"/>
        <v>0</v>
      </c>
      <c r="J723" s="902">
        <f t="shared" si="103"/>
        <v>0</v>
      </c>
      <c r="L723" s="1460">
        <v>0</v>
      </c>
      <c r="M723" s="1236"/>
      <c r="N723" s="1240" t="s">
        <v>2441</v>
      </c>
      <c r="O723" s="1241" t="s">
        <v>4840</v>
      </c>
      <c r="P723" s="910">
        <f t="shared" si="104"/>
        <v>0</v>
      </c>
      <c r="Q723" s="910">
        <f t="shared" si="105"/>
        <v>0</v>
      </c>
      <c r="R723" s="1344">
        <f t="shared" si="106"/>
        <v>2.2000000000000002</v>
      </c>
      <c r="S723" s="1344">
        <f>(1/9)*cnst_fish!$C$7*(1/cnst_fish!$C$8)^(R723-1)</f>
        <v>2.2351057842400328</v>
      </c>
      <c r="T723" s="1362">
        <f t="shared" si="107"/>
        <v>0</v>
      </c>
      <c r="W723" s="1612"/>
      <c r="X723" s="1612"/>
      <c r="Y723" s="1613"/>
      <c r="Z723" s="1614"/>
      <c r="AA723" s="1614"/>
      <c r="AB723" s="1615"/>
      <c r="AC723" s="1615"/>
      <c r="AD723" s="583"/>
      <c r="AE723" s="583"/>
    </row>
    <row r="724" spans="1:31" ht="14">
      <c r="A724" s="1384" t="s">
        <v>4925</v>
      </c>
      <c r="B724" s="19" t="s">
        <v>2469</v>
      </c>
      <c r="C724" s="1383">
        <v>2612</v>
      </c>
      <c r="D724" s="1236"/>
      <c r="E724" s="1236"/>
      <c r="F724" s="1344">
        <f>(1/S724)*cnst_fish!$C$6</f>
        <v>1.9014759972289452</v>
      </c>
      <c r="G724" s="1344">
        <f t="shared" si="101"/>
        <v>1</v>
      </c>
      <c r="H724" s="1344">
        <f t="shared" si="101"/>
        <v>0.367192066876738</v>
      </c>
      <c r="I724" s="1344">
        <f t="shared" si="102"/>
        <v>0</v>
      </c>
      <c r="J724" s="902">
        <f t="shared" si="103"/>
        <v>0</v>
      </c>
      <c r="L724" s="1460">
        <v>1918</v>
      </c>
      <c r="M724" s="1236"/>
      <c r="N724" s="1240" t="s">
        <v>2441</v>
      </c>
      <c r="O724" s="1241" t="s">
        <v>4840</v>
      </c>
      <c r="P724" s="910">
        <f t="shared" si="104"/>
        <v>0</v>
      </c>
      <c r="Q724" s="910">
        <f t="shared" si="105"/>
        <v>1918</v>
      </c>
      <c r="R724" s="1344">
        <f t="shared" si="106"/>
        <v>2.2000000000000002</v>
      </c>
      <c r="S724" s="1344">
        <f>(1/9)*cnst_fish!$C$7*(1/cnst_fish!$C$8)^(R724-1)</f>
        <v>2.2351057842400328</v>
      </c>
      <c r="T724" s="1362">
        <f t="shared" si="107"/>
        <v>370.38299999365495</v>
      </c>
      <c r="W724" s="1612"/>
      <c r="X724" s="1612"/>
      <c r="Y724" s="1613"/>
      <c r="Z724" s="1614"/>
      <c r="AA724" s="1614"/>
      <c r="AB724" s="1615"/>
      <c r="AC724" s="1615"/>
      <c r="AD724" s="583"/>
      <c r="AE724" s="583"/>
    </row>
    <row r="725" spans="1:31" ht="14">
      <c r="A725" s="1384" t="s">
        <v>5197</v>
      </c>
      <c r="B725" s="19" t="s">
        <v>2047</v>
      </c>
      <c r="C725" s="1383">
        <v>12540</v>
      </c>
      <c r="D725" s="1236"/>
      <c r="E725" s="1236"/>
      <c r="F725" s="1344">
        <f>(1/S725)*cnst_fish!$C$6</f>
        <v>3.3813556145554591E-2</v>
      </c>
      <c r="G725" s="1344">
        <f t="shared" si="101"/>
        <v>1</v>
      </c>
      <c r="H725" s="1344">
        <f t="shared" si="101"/>
        <v>0.367192066876738</v>
      </c>
      <c r="I725" s="1344">
        <f t="shared" si="102"/>
        <v>0</v>
      </c>
      <c r="J725" s="902">
        <f t="shared" si="103"/>
        <v>0</v>
      </c>
      <c r="L725" s="1460">
        <v>1</v>
      </c>
      <c r="M725" s="1236"/>
      <c r="N725" s="1240" t="s">
        <v>1806</v>
      </c>
      <c r="O725" s="1241" t="s">
        <v>4841</v>
      </c>
      <c r="P725" s="910">
        <f t="shared" si="104"/>
        <v>0</v>
      </c>
      <c r="Q725" s="910">
        <f t="shared" si="105"/>
        <v>1</v>
      </c>
      <c r="R725" s="1344">
        <f t="shared" si="106"/>
        <v>3.95</v>
      </c>
      <c r="S725" s="1344">
        <f>(1/9)*cnst_fish!$C$7*(1/cnst_fish!$C$8)^(R725-1)</f>
        <v>125.68923486501552</v>
      </c>
      <c r="T725" s="1362">
        <f t="shared" si="107"/>
        <v>10.859315278644896</v>
      </c>
      <c r="W725" s="1612"/>
      <c r="X725" s="1612"/>
      <c r="Y725" s="1613"/>
      <c r="Z725" s="1614"/>
      <c r="AA725" s="1614"/>
      <c r="AB725" s="1615"/>
      <c r="AC725" s="1615"/>
      <c r="AD725" s="583"/>
      <c r="AE725" s="583"/>
    </row>
    <row r="726" spans="1:31" ht="14">
      <c r="A726" s="1384" t="s">
        <v>1977</v>
      </c>
      <c r="B726" s="19" t="s">
        <v>761</v>
      </c>
      <c r="C726" s="1383">
        <v>12545</v>
      </c>
      <c r="D726" s="1236"/>
      <c r="E726" s="1236"/>
      <c r="F726" s="1344">
        <f>(1/S726)*cnst_fish!$C$6</f>
        <v>1.7745606522761578E-2</v>
      </c>
      <c r="G726" s="1344">
        <f t="shared" si="101"/>
        <v>1</v>
      </c>
      <c r="H726" s="1344">
        <f t="shared" si="101"/>
        <v>0.367192066876738</v>
      </c>
      <c r="I726" s="1344">
        <f t="shared" si="102"/>
        <v>0</v>
      </c>
      <c r="J726" s="902">
        <f t="shared" si="103"/>
        <v>0</v>
      </c>
      <c r="L726" s="1460"/>
      <c r="M726" s="1236">
        <v>1116</v>
      </c>
      <c r="N726" s="1240" t="s">
        <v>1806</v>
      </c>
      <c r="O726" s="1241" t="s">
        <v>4845</v>
      </c>
      <c r="P726" s="910">
        <f t="shared" si="104"/>
        <v>0</v>
      </c>
      <c r="Q726" s="910">
        <f t="shared" si="105"/>
        <v>1116</v>
      </c>
      <c r="R726" s="1344">
        <f t="shared" si="106"/>
        <v>4.2300000000000004</v>
      </c>
      <c r="S726" s="1344">
        <f>(1/9)*cnst_fish!$C$7*(1/cnst_fish!$C$8)^(R726-1)</f>
        <v>239.49589970614389</v>
      </c>
      <c r="T726" s="1362">
        <f t="shared" si="107"/>
        <v>23092.270535178559</v>
      </c>
      <c r="W726" s="1612"/>
      <c r="X726" s="1612"/>
      <c r="Y726" s="1613"/>
      <c r="Z726" s="1614"/>
      <c r="AA726" s="1614"/>
      <c r="AB726" s="1615"/>
      <c r="AC726" s="1615"/>
      <c r="AD726" s="583"/>
      <c r="AE726" s="583"/>
    </row>
    <row r="727" spans="1:31" ht="14">
      <c r="A727" s="1384" t="s">
        <v>2473</v>
      </c>
      <c r="B727" s="19" t="s">
        <v>5363</v>
      </c>
      <c r="C727" s="1383">
        <v>3223</v>
      </c>
      <c r="D727" s="1236"/>
      <c r="E727" s="1236"/>
      <c r="F727" s="1344">
        <f>(1/S727)*cnst_fish!$C$6</f>
        <v>0.19910898001319816</v>
      </c>
      <c r="G727" s="1344">
        <f t="shared" si="101"/>
        <v>1</v>
      </c>
      <c r="H727" s="1344">
        <f t="shared" si="101"/>
        <v>0.367192066876738</v>
      </c>
      <c r="I727" s="1344">
        <f t="shared" si="102"/>
        <v>0</v>
      </c>
      <c r="J727" s="902">
        <f t="shared" si="103"/>
        <v>0</v>
      </c>
      <c r="L727" s="1460"/>
      <c r="M727" s="1236">
        <v>17029</v>
      </c>
      <c r="N727" s="1240" t="s">
        <v>1806</v>
      </c>
      <c r="O727" s="1241" t="s">
        <v>4845</v>
      </c>
      <c r="P727" s="910">
        <f t="shared" si="104"/>
        <v>0</v>
      </c>
      <c r="Q727" s="910">
        <f t="shared" si="105"/>
        <v>17029</v>
      </c>
      <c r="R727" s="1344">
        <f t="shared" si="106"/>
        <v>3.18</v>
      </c>
      <c r="S727" s="1344">
        <f>(1/9)*cnst_fish!$C$7*(1/cnst_fish!$C$8)^(R727-1)</f>
        <v>21.345094529228586</v>
      </c>
      <c r="T727" s="1362">
        <f t="shared" si="107"/>
        <v>31404.478624869109</v>
      </c>
      <c r="W727" s="1612"/>
      <c r="X727" s="1612"/>
      <c r="Y727" s="1613"/>
      <c r="Z727" s="1614"/>
      <c r="AA727" s="1614"/>
      <c r="AB727" s="1615"/>
      <c r="AC727" s="1615"/>
      <c r="AD727" s="583"/>
      <c r="AE727" s="583"/>
    </row>
    <row r="728" spans="1:31" ht="14">
      <c r="A728" s="1384" t="s">
        <v>2098</v>
      </c>
      <c r="B728" s="19" t="s">
        <v>2872</v>
      </c>
      <c r="C728" s="1383">
        <v>2903</v>
      </c>
      <c r="D728" s="1236"/>
      <c r="E728" s="1236"/>
      <c r="F728" s="1344">
        <f>(1/S728)*cnst_fish!$C$6</f>
        <v>0.15103960722494611</v>
      </c>
      <c r="G728" s="1344">
        <f t="shared" ref="G728:H747" si="108">G$7</f>
        <v>1</v>
      </c>
      <c r="H728" s="1344">
        <f t="shared" si="108"/>
        <v>0.367192066876738</v>
      </c>
      <c r="I728" s="1344">
        <f t="shared" si="102"/>
        <v>0</v>
      </c>
      <c r="J728" s="902">
        <f t="shared" si="103"/>
        <v>0</v>
      </c>
      <c r="L728" s="1460">
        <v>1071</v>
      </c>
      <c r="M728" s="1236"/>
      <c r="N728" s="1240" t="s">
        <v>2440</v>
      </c>
      <c r="O728" s="1241" t="s">
        <v>4859</v>
      </c>
      <c r="P728" s="910">
        <f t="shared" si="104"/>
        <v>0</v>
      </c>
      <c r="Q728" s="910">
        <f t="shared" si="105"/>
        <v>1071</v>
      </c>
      <c r="R728" s="1344">
        <f t="shared" si="106"/>
        <v>3.3</v>
      </c>
      <c r="S728" s="1344">
        <f>(1/9)*cnst_fish!$C$7*(1/cnst_fish!$C$8)^(R728-1)</f>
        <v>28.138314698279075</v>
      </c>
      <c r="T728" s="1362">
        <f t="shared" si="107"/>
        <v>2603.705814987276</v>
      </c>
      <c r="W728" s="1612"/>
      <c r="X728" s="1612"/>
      <c r="Y728" s="1613"/>
      <c r="Z728" s="1614"/>
      <c r="AA728" s="1614"/>
      <c r="AB728" s="1615"/>
      <c r="AC728" s="1615"/>
      <c r="AD728" s="583"/>
      <c r="AE728" s="583"/>
    </row>
    <row r="729" spans="1:31" ht="14">
      <c r="A729" s="1384" t="s">
        <v>2075</v>
      </c>
      <c r="B729" s="19" t="s">
        <v>2076</v>
      </c>
      <c r="C729" s="1383">
        <v>12563</v>
      </c>
      <c r="D729" s="1236"/>
      <c r="E729" s="1236"/>
      <c r="F729" s="1344">
        <f>(1/S729)*cnst_fish!$C$6</f>
        <v>0.23938164528281752</v>
      </c>
      <c r="G729" s="1344">
        <f t="shared" si="108"/>
        <v>1</v>
      </c>
      <c r="H729" s="1344">
        <f t="shared" si="108"/>
        <v>0.367192066876738</v>
      </c>
      <c r="I729" s="1344">
        <f t="shared" si="102"/>
        <v>0</v>
      </c>
      <c r="J729" s="902">
        <f t="shared" si="103"/>
        <v>0</v>
      </c>
      <c r="L729" s="1460"/>
      <c r="M729" s="1236"/>
      <c r="N729" s="1240" t="s">
        <v>1806</v>
      </c>
      <c r="O729" s="1241" t="s">
        <v>4859</v>
      </c>
      <c r="P729" s="910">
        <f t="shared" si="104"/>
        <v>0</v>
      </c>
      <c r="Q729" s="910">
        <f t="shared" si="105"/>
        <v>0</v>
      </c>
      <c r="R729" s="1344">
        <f t="shared" si="106"/>
        <v>3.1</v>
      </c>
      <c r="S729" s="1344">
        <f>(1/9)*cnst_fish!$C$7*(1/cnst_fish!$C$8)^(R729-1)</f>
        <v>17.754076320174157</v>
      </c>
      <c r="T729" s="1362">
        <f t="shared" si="107"/>
        <v>0</v>
      </c>
      <c r="W729" s="1612"/>
      <c r="X729" s="1612"/>
      <c r="Y729" s="1613"/>
      <c r="Z729" s="1614"/>
      <c r="AA729" s="1614"/>
      <c r="AB729" s="1615"/>
      <c r="AC729" s="1615"/>
      <c r="AD729" s="583"/>
      <c r="AE729" s="583"/>
    </row>
    <row r="730" spans="1:31" ht="14">
      <c r="A730" s="1384" t="s">
        <v>4281</v>
      </c>
      <c r="B730" s="19" t="s">
        <v>3507</v>
      </c>
      <c r="C730" s="1383">
        <v>2949</v>
      </c>
      <c r="D730" s="1236"/>
      <c r="E730" s="1236"/>
      <c r="F730" s="1344">
        <f>(1/S730)*cnst_fish!$C$6</f>
        <v>1.9014759972289439E-2</v>
      </c>
      <c r="G730" s="1344">
        <f t="shared" si="108"/>
        <v>1</v>
      </c>
      <c r="H730" s="1344">
        <f t="shared" si="108"/>
        <v>0.367192066876738</v>
      </c>
      <c r="I730" s="1344">
        <f t="shared" si="102"/>
        <v>0</v>
      </c>
      <c r="J730" s="902">
        <f t="shared" si="103"/>
        <v>0</v>
      </c>
      <c r="L730" s="1460">
        <v>276439</v>
      </c>
      <c r="M730" s="1236">
        <v>680</v>
      </c>
      <c r="N730" s="1240" t="s">
        <v>1806</v>
      </c>
      <c r="O730" s="1241" t="s">
        <v>4841</v>
      </c>
      <c r="P730" s="910">
        <f t="shared" si="104"/>
        <v>0</v>
      </c>
      <c r="Q730" s="910">
        <f t="shared" si="105"/>
        <v>277119</v>
      </c>
      <c r="R730" s="1344">
        <f t="shared" si="106"/>
        <v>4.2</v>
      </c>
      <c r="S730" s="1344">
        <f>(1/9)*cnst_fish!$C$7*(1/cnst_fish!$C$8)^(R730-1)</f>
        <v>223.51057842400343</v>
      </c>
      <c r="T730" s="1362">
        <f t="shared" si="107"/>
        <v>5351416.4012117693</v>
      </c>
      <c r="W730" s="1612"/>
      <c r="X730" s="1612"/>
      <c r="Y730" s="1613"/>
      <c r="Z730" s="1614"/>
      <c r="AA730" s="1614"/>
      <c r="AB730" s="1615"/>
      <c r="AC730" s="1615"/>
      <c r="AD730" s="583"/>
      <c r="AE730" s="583"/>
    </row>
    <row r="731" spans="1:31" ht="14">
      <c r="A731" s="1384" t="s">
        <v>1931</v>
      </c>
      <c r="B731" s="19" t="s">
        <v>642</v>
      </c>
      <c r="C731" s="1383">
        <v>2528</v>
      </c>
      <c r="D731" s="1236">
        <v>10</v>
      </c>
      <c r="E731" s="1236"/>
      <c r="F731" s="1344">
        <f>(1/S731)*cnst_fish!$C$6</f>
        <v>4.6675700833589753E-2</v>
      </c>
      <c r="G731" s="1344">
        <f t="shared" si="108"/>
        <v>1</v>
      </c>
      <c r="H731" s="1344">
        <f t="shared" si="108"/>
        <v>0.367192066876738</v>
      </c>
      <c r="I731" s="1344">
        <f t="shared" si="102"/>
        <v>78.668784896421201</v>
      </c>
      <c r="J731" s="902">
        <f t="shared" si="103"/>
        <v>0</v>
      </c>
      <c r="L731" s="1460">
        <v>5121</v>
      </c>
      <c r="M731" s="1236"/>
      <c r="N731" s="1240" t="s">
        <v>1806</v>
      </c>
      <c r="O731" s="1241" t="s">
        <v>4841</v>
      </c>
      <c r="P731" s="910">
        <f t="shared" si="104"/>
        <v>10</v>
      </c>
      <c r="Q731" s="910">
        <f t="shared" si="105"/>
        <v>5121</v>
      </c>
      <c r="R731" s="1344">
        <f t="shared" si="106"/>
        <v>3.81</v>
      </c>
      <c r="S731" s="1344">
        <f>(1/9)*cnst_fish!$C$7*(1/cnst_fish!$C$8)^(R731-1)</f>
        <v>91.053801530528389</v>
      </c>
      <c r="T731" s="1362">
        <f t="shared" si="107"/>
        <v>40286.284745457298</v>
      </c>
      <c r="W731" s="1612"/>
      <c r="X731" s="1612"/>
      <c r="Y731" s="1613"/>
      <c r="Z731" s="1614"/>
      <c r="AA731" s="1614"/>
      <c r="AB731" s="1615"/>
      <c r="AC731" s="1615"/>
      <c r="AD731" s="583"/>
      <c r="AE731" s="583"/>
    </row>
    <row r="732" spans="1:31" ht="14">
      <c r="A732" s="1384" t="s">
        <v>3798</v>
      </c>
      <c r="B732" s="19" t="s">
        <v>3221</v>
      </c>
      <c r="C732" s="1383">
        <v>3322</v>
      </c>
      <c r="D732" s="1236"/>
      <c r="E732" s="1236"/>
      <c r="F732" s="1344">
        <f>(1/S732)*cnst_fish!$C$6</f>
        <v>0.45613232168782086</v>
      </c>
      <c r="G732" s="1344">
        <f t="shared" si="108"/>
        <v>1</v>
      </c>
      <c r="H732" s="1344">
        <f t="shared" si="108"/>
        <v>0.367192066876738</v>
      </c>
      <c r="I732" s="1344">
        <f t="shared" si="102"/>
        <v>0</v>
      </c>
      <c r="J732" s="902">
        <f t="shared" si="103"/>
        <v>0</v>
      </c>
      <c r="L732" s="1460"/>
      <c r="M732" s="1236">
        <v>14701</v>
      </c>
      <c r="N732" s="1240" t="s">
        <v>1806</v>
      </c>
      <c r="O732" s="1241" t="s">
        <v>4845</v>
      </c>
      <c r="P732" s="910">
        <f t="shared" si="104"/>
        <v>0</v>
      </c>
      <c r="Q732" s="910">
        <f t="shared" si="105"/>
        <v>14701</v>
      </c>
      <c r="R732" s="1344">
        <f t="shared" si="106"/>
        <v>2.82</v>
      </c>
      <c r="S732" s="1344">
        <f>(1/9)*cnst_fish!$C$7*(1/cnst_fish!$C$8)^(R732-1)</f>
        <v>9.3174717026712273</v>
      </c>
      <c r="T732" s="1362">
        <f t="shared" si="107"/>
        <v>11834.48380763818</v>
      </c>
      <c r="W732" s="1612"/>
      <c r="X732" s="1612"/>
      <c r="Y732" s="1613"/>
      <c r="Z732" s="1614"/>
      <c r="AA732" s="1614"/>
      <c r="AB732" s="1615"/>
      <c r="AC732" s="1615"/>
      <c r="AD732" s="583"/>
      <c r="AE732" s="583"/>
    </row>
    <row r="733" spans="1:31" ht="14">
      <c r="A733" s="1384" t="s">
        <v>3908</v>
      </c>
      <c r="B733" s="19" t="s">
        <v>6428</v>
      </c>
      <c r="C733" s="1383">
        <v>2974</v>
      </c>
      <c r="D733" s="1236"/>
      <c r="E733" s="1236"/>
      <c r="F733" s="1344">
        <f>(1/S733)*cnst_fish!$C$6</f>
        <v>7.5699122913220479E-2</v>
      </c>
      <c r="G733" s="1344">
        <f t="shared" si="108"/>
        <v>1</v>
      </c>
      <c r="H733" s="1344">
        <f t="shared" si="108"/>
        <v>0.367192066876738</v>
      </c>
      <c r="I733" s="1344">
        <f t="shared" si="102"/>
        <v>0</v>
      </c>
      <c r="J733" s="902">
        <f t="shared" si="103"/>
        <v>0</v>
      </c>
      <c r="L733" s="1460"/>
      <c r="M733" s="1236">
        <v>23718</v>
      </c>
      <c r="N733" s="1240" t="s">
        <v>1806</v>
      </c>
      <c r="O733" s="1241" t="s">
        <v>4845</v>
      </c>
      <c r="P733" s="910">
        <f t="shared" si="104"/>
        <v>0</v>
      </c>
      <c r="Q733" s="910">
        <f t="shared" si="105"/>
        <v>23718</v>
      </c>
      <c r="R733" s="1344">
        <f t="shared" si="106"/>
        <v>3.6</v>
      </c>
      <c r="S733" s="1344">
        <f>(1/9)*cnst_fish!$C$7*(1/cnst_fish!$C$8)^(R733-1)</f>
        <v>56.143318924211187</v>
      </c>
      <c r="T733" s="1362">
        <f t="shared" si="107"/>
        <v>115048.37978329438</v>
      </c>
      <c r="W733" s="1612"/>
      <c r="X733" s="1612"/>
      <c r="Y733" s="1613"/>
      <c r="Z733" s="1614"/>
      <c r="AA733" s="1614"/>
      <c r="AB733" s="1615"/>
      <c r="AC733" s="1615"/>
      <c r="AD733" s="583"/>
      <c r="AE733" s="583"/>
    </row>
    <row r="734" spans="1:31" ht="14">
      <c r="A734" s="1384" t="s">
        <v>6628</v>
      </c>
      <c r="B734" s="19" t="s">
        <v>6627</v>
      </c>
      <c r="C734" s="1383">
        <v>12583</v>
      </c>
      <c r="D734" s="1236"/>
      <c r="E734" s="1236"/>
      <c r="F734" s="1344">
        <f>(1/S734)*cnst_fish!$C$6</f>
        <v>3.0136363636363641</v>
      </c>
      <c r="G734" s="1344">
        <f t="shared" si="108"/>
        <v>1</v>
      </c>
      <c r="H734" s="1344">
        <f t="shared" si="108"/>
        <v>0.367192066876738</v>
      </c>
      <c r="I734" s="1344">
        <f t="shared" si="102"/>
        <v>0</v>
      </c>
      <c r="J734" s="902">
        <f t="shared" si="103"/>
        <v>0</v>
      </c>
      <c r="L734" s="1460"/>
      <c r="M734" s="1236">
        <v>106</v>
      </c>
      <c r="N734" s="1240" t="s">
        <v>1806</v>
      </c>
      <c r="O734" s="1241" t="s">
        <v>4845</v>
      </c>
      <c r="P734" s="910">
        <f t="shared" si="104"/>
        <v>0</v>
      </c>
      <c r="Q734" s="910">
        <f t="shared" si="105"/>
        <v>106</v>
      </c>
      <c r="R734" s="1344">
        <f t="shared" si="106"/>
        <v>2</v>
      </c>
      <c r="S734" s="1344">
        <f>(1/9)*cnst_fish!$C$7*(1/cnst_fish!$C$8)^(R734-1)</f>
        <v>1.4102564102564099</v>
      </c>
      <c r="T734" s="1362">
        <f t="shared" si="107"/>
        <v>12.915413272346198</v>
      </c>
      <c r="W734" s="1612"/>
      <c r="X734" s="1612"/>
      <c r="Y734" s="1613"/>
      <c r="Z734" s="1614"/>
      <c r="AA734" s="1614"/>
      <c r="AB734" s="1615"/>
      <c r="AC734" s="1615"/>
      <c r="AD734" s="583"/>
      <c r="AE734" s="583"/>
    </row>
    <row r="735" spans="1:31" ht="14">
      <c r="A735" s="1384" t="s">
        <v>6442</v>
      </c>
      <c r="B735" s="19" t="s">
        <v>6441</v>
      </c>
      <c r="C735" s="1383">
        <v>12591</v>
      </c>
      <c r="D735" s="1236"/>
      <c r="E735" s="1236"/>
      <c r="F735" s="1344">
        <f>(1/S735)*cnst_fish!$C$6</f>
        <v>0.19014759972289441</v>
      </c>
      <c r="G735" s="1344">
        <f t="shared" si="108"/>
        <v>1</v>
      </c>
      <c r="H735" s="1344">
        <f t="shared" si="108"/>
        <v>0.367192066876738</v>
      </c>
      <c r="I735" s="1344">
        <f t="shared" si="102"/>
        <v>0</v>
      </c>
      <c r="J735" s="902">
        <f t="shared" si="103"/>
        <v>0</v>
      </c>
      <c r="L735" s="1460"/>
      <c r="M735" s="1236">
        <v>8</v>
      </c>
      <c r="N735" s="1240" t="s">
        <v>1806</v>
      </c>
      <c r="O735" s="1241" t="s">
        <v>4845</v>
      </c>
      <c r="P735" s="910">
        <f t="shared" si="104"/>
        <v>0</v>
      </c>
      <c r="Q735" s="910">
        <f t="shared" si="105"/>
        <v>8</v>
      </c>
      <c r="R735" s="1344">
        <f t="shared" si="106"/>
        <v>3.2</v>
      </c>
      <c r="S735" s="1344">
        <f>(1/9)*cnst_fish!$C$7*(1/cnst_fish!$C$8)^(R735-1)</f>
        <v>22.351057842400341</v>
      </c>
      <c r="T735" s="1362">
        <f t="shared" si="107"/>
        <v>15.448717413708245</v>
      </c>
      <c r="W735" s="1612"/>
      <c r="X735" s="1612"/>
      <c r="Y735" s="1613"/>
      <c r="Z735" s="1614"/>
      <c r="AA735" s="1614"/>
      <c r="AB735" s="1615"/>
      <c r="AC735" s="1615"/>
      <c r="AD735" s="583"/>
      <c r="AE735" s="583"/>
    </row>
    <row r="736" spans="1:31" ht="14">
      <c r="A736" s="1384" t="s">
        <v>6437</v>
      </c>
      <c r="B736" s="19" t="s">
        <v>6436</v>
      </c>
      <c r="C736" s="1383">
        <v>2213</v>
      </c>
      <c r="D736" s="1236"/>
      <c r="E736" s="1236"/>
      <c r="F736" s="1344">
        <f>(1/S736)*cnst_fish!$C$6</f>
        <v>7.5699122913220479E-2</v>
      </c>
      <c r="G736" s="1344">
        <f t="shared" si="108"/>
        <v>1</v>
      </c>
      <c r="H736" s="1344">
        <f t="shared" si="108"/>
        <v>0.367192066876738</v>
      </c>
      <c r="I736" s="1344">
        <f t="shared" si="102"/>
        <v>0</v>
      </c>
      <c r="J736" s="902">
        <f t="shared" si="103"/>
        <v>0</v>
      </c>
      <c r="L736" s="1460">
        <v>77</v>
      </c>
      <c r="M736" s="1236"/>
      <c r="N736" s="1240" t="s">
        <v>1806</v>
      </c>
      <c r="O736" s="1241" t="s">
        <v>4859</v>
      </c>
      <c r="P736" s="910">
        <f t="shared" si="104"/>
        <v>0</v>
      </c>
      <c r="Q736" s="910">
        <f t="shared" si="105"/>
        <v>77</v>
      </c>
      <c r="R736" s="1344">
        <f t="shared" si="106"/>
        <v>3.6</v>
      </c>
      <c r="S736" s="1344">
        <f>(1/9)*cnst_fish!$C$7*(1/cnst_fish!$C$8)^(R736-1)</f>
        <v>56.143318924211187</v>
      </c>
      <c r="T736" s="1362">
        <f t="shared" si="107"/>
        <v>373.50220268630017</v>
      </c>
      <c r="W736" s="1612"/>
      <c r="X736" s="1612"/>
      <c r="Y736" s="1613"/>
      <c r="Z736" s="1614"/>
      <c r="AA736" s="1614"/>
      <c r="AB736" s="1615"/>
      <c r="AC736" s="1615"/>
      <c r="AD736" s="583"/>
      <c r="AE736" s="583"/>
    </row>
    <row r="737" spans="1:31" ht="14">
      <c r="A737" s="1384" t="s">
        <v>2695</v>
      </c>
      <c r="B737" s="19" t="s">
        <v>708</v>
      </c>
      <c r="C737" s="1383">
        <v>3003</v>
      </c>
      <c r="D737" s="1236">
        <v>392</v>
      </c>
      <c r="E737" s="1236"/>
      <c r="F737" s="1344">
        <f>(1/S737)*cnst_fish!$C$6</f>
        <v>0.99790878883162693</v>
      </c>
      <c r="G737" s="1344">
        <f t="shared" si="108"/>
        <v>1</v>
      </c>
      <c r="H737" s="1344">
        <f t="shared" si="108"/>
        <v>0.367192066876738</v>
      </c>
      <c r="I737" s="1344">
        <f t="shared" si="102"/>
        <v>144.24092845620541</v>
      </c>
      <c r="J737" s="902">
        <f t="shared" si="103"/>
        <v>0</v>
      </c>
      <c r="L737" s="1460">
        <v>1409</v>
      </c>
      <c r="M737" s="1236"/>
      <c r="N737" s="1240" t="s">
        <v>1806</v>
      </c>
      <c r="O737" s="1241" t="s">
        <v>4859</v>
      </c>
      <c r="P737" s="910">
        <f t="shared" si="104"/>
        <v>392</v>
      </c>
      <c r="Q737" s="910">
        <f t="shared" si="105"/>
        <v>1409</v>
      </c>
      <c r="R737" s="1344">
        <f t="shared" si="106"/>
        <v>2.48</v>
      </c>
      <c r="S737" s="1344">
        <f>(1/9)*cnst_fish!$C$7*(1/cnst_fish!$C$8)^(R737-1)</f>
        <v>4.2589062723618172</v>
      </c>
      <c r="T737" s="1362">
        <f t="shared" si="107"/>
        <v>518.45782702753422</v>
      </c>
      <c r="W737" s="1612"/>
      <c r="X737" s="1612"/>
      <c r="Y737" s="1613"/>
      <c r="Z737" s="1614"/>
      <c r="AA737" s="1614"/>
      <c r="AB737" s="1615"/>
      <c r="AC737" s="1615"/>
      <c r="AD737" s="583"/>
      <c r="AE737" s="583"/>
    </row>
    <row r="738" spans="1:31" ht="14">
      <c r="A738" s="1384" t="s">
        <v>5543</v>
      </c>
      <c r="B738" s="19" t="s">
        <v>4185</v>
      </c>
      <c r="C738" s="1383">
        <v>2212</v>
      </c>
      <c r="D738" s="1236"/>
      <c r="E738" s="1236"/>
      <c r="F738" s="1344">
        <f>(1/S738)*cnst_fish!$C$6</f>
        <v>0.26247675460949144</v>
      </c>
      <c r="G738" s="1344">
        <f t="shared" si="108"/>
        <v>1</v>
      </c>
      <c r="H738" s="1344">
        <f t="shared" si="108"/>
        <v>0.367192066876738</v>
      </c>
      <c r="I738" s="1344">
        <f t="shared" si="102"/>
        <v>0</v>
      </c>
      <c r="J738" s="902">
        <f t="shared" si="103"/>
        <v>0</v>
      </c>
      <c r="L738" s="1460"/>
      <c r="M738" s="1236"/>
      <c r="N738" s="1240" t="s">
        <v>1806</v>
      </c>
      <c r="O738" s="1241" t="s">
        <v>4859</v>
      </c>
      <c r="P738" s="910">
        <f t="shared" si="104"/>
        <v>0</v>
      </c>
      <c r="Q738" s="910">
        <f t="shared" si="105"/>
        <v>0</v>
      </c>
      <c r="R738" s="1344">
        <f t="shared" si="106"/>
        <v>3.06</v>
      </c>
      <c r="S738" s="1344">
        <f>(1/9)*cnst_fish!$C$7*(1/cnst_fish!$C$8)^(R738-1)</f>
        <v>16.19191004675092</v>
      </c>
      <c r="T738" s="1362">
        <f t="shared" si="107"/>
        <v>0</v>
      </c>
      <c r="W738" s="1612"/>
      <c r="X738" s="1612"/>
      <c r="Y738" s="1613"/>
      <c r="Z738" s="1614"/>
      <c r="AA738" s="1614"/>
      <c r="AB738" s="1615"/>
      <c r="AC738" s="1615"/>
      <c r="AD738" s="583"/>
      <c r="AE738" s="583"/>
    </row>
    <row r="739" spans="1:31" ht="14">
      <c r="A739" s="1384" t="s">
        <v>6792</v>
      </c>
      <c r="B739" s="19" t="s">
        <v>6791</v>
      </c>
      <c r="C739" s="1383">
        <v>12623</v>
      </c>
      <c r="D739" s="1236"/>
      <c r="E739" s="1236"/>
      <c r="F739" s="1344">
        <f>(1/S739)*cnst_fish!$C$6</f>
        <v>3.0136363636363641</v>
      </c>
      <c r="G739" s="1344">
        <f t="shared" si="108"/>
        <v>1</v>
      </c>
      <c r="H739" s="1344">
        <f t="shared" si="108"/>
        <v>0.367192066876738</v>
      </c>
      <c r="I739" s="1344">
        <f t="shared" si="102"/>
        <v>0</v>
      </c>
      <c r="J739" s="902">
        <f t="shared" si="103"/>
        <v>0</v>
      </c>
      <c r="L739" s="1460"/>
      <c r="M739" s="1236">
        <v>12</v>
      </c>
      <c r="N739" s="1240" t="s">
        <v>1806</v>
      </c>
      <c r="O739" s="1241" t="s">
        <v>4845</v>
      </c>
      <c r="P739" s="910">
        <f t="shared" si="104"/>
        <v>0</v>
      </c>
      <c r="Q739" s="910">
        <f t="shared" si="105"/>
        <v>12</v>
      </c>
      <c r="R739" s="1344">
        <f t="shared" si="106"/>
        <v>2</v>
      </c>
      <c r="S739" s="1344">
        <f>(1/9)*cnst_fish!$C$7*(1/cnst_fish!$C$8)^(R739-1)</f>
        <v>1.4102564102564099</v>
      </c>
      <c r="T739" s="1362">
        <f t="shared" si="107"/>
        <v>1.4621222572467392</v>
      </c>
      <c r="W739" s="1612"/>
      <c r="X739" s="1612"/>
      <c r="Y739" s="1613"/>
      <c r="Z739" s="1614"/>
      <c r="AA739" s="1614"/>
      <c r="AB739" s="1615"/>
      <c r="AC739" s="1615"/>
      <c r="AD739" s="583"/>
      <c r="AE739" s="583"/>
    </row>
    <row r="740" spans="1:31" ht="14">
      <c r="A740" s="1384" t="s">
        <v>6652</v>
      </c>
      <c r="B740" s="19" t="s">
        <v>6651</v>
      </c>
      <c r="C740" s="1383">
        <v>12629</v>
      </c>
      <c r="D740" s="1236"/>
      <c r="E740" s="1236"/>
      <c r="F740" s="1344">
        <f>(1/S740)*cnst_fish!$C$6</f>
        <v>1.1997502458044018E-2</v>
      </c>
      <c r="G740" s="1344">
        <f t="shared" si="108"/>
        <v>1</v>
      </c>
      <c r="H740" s="1344">
        <f t="shared" si="108"/>
        <v>0.367192066876738</v>
      </c>
      <c r="I740" s="1344">
        <f t="shared" si="102"/>
        <v>0</v>
      </c>
      <c r="J740" s="902">
        <f t="shared" si="103"/>
        <v>0</v>
      </c>
      <c r="L740" s="1460"/>
      <c r="M740" s="1236"/>
      <c r="N740" s="1240" t="s">
        <v>1806</v>
      </c>
      <c r="O740" s="1241" t="s">
        <v>4841</v>
      </c>
      <c r="P740" s="910">
        <f t="shared" si="104"/>
        <v>0</v>
      </c>
      <c r="Q740" s="910">
        <f t="shared" si="105"/>
        <v>0</v>
      </c>
      <c r="R740" s="1344">
        <f t="shared" si="106"/>
        <v>4.4000000000000004</v>
      </c>
      <c r="S740" s="1344">
        <f>(1/9)*cnst_fish!$C$7*(1/cnst_fish!$C$8)^(R740-1)</f>
        <v>354.24039418724885</v>
      </c>
      <c r="T740" s="1362">
        <f t="shared" si="107"/>
        <v>0</v>
      </c>
      <c r="W740" s="1612"/>
      <c r="X740" s="1612"/>
      <c r="Y740" s="1613"/>
      <c r="Z740" s="1614"/>
      <c r="AA740" s="1614"/>
      <c r="AB740" s="1615"/>
      <c r="AC740" s="1615"/>
      <c r="AD740" s="583"/>
      <c r="AE740" s="583"/>
    </row>
    <row r="741" spans="1:31" ht="14">
      <c r="A741" s="1384" t="s">
        <v>929</v>
      </c>
      <c r="B741" s="19" t="s">
        <v>3222</v>
      </c>
      <c r="C741" s="1383">
        <v>12635</v>
      </c>
      <c r="D741" s="1236"/>
      <c r="E741" s="1236"/>
      <c r="F741" s="1344">
        <f>(1/S741)*cnst_fish!$C$6</f>
        <v>9.5299549485983424E-3</v>
      </c>
      <c r="G741" s="1344">
        <f t="shared" si="108"/>
        <v>1</v>
      </c>
      <c r="H741" s="1344">
        <f t="shared" si="108"/>
        <v>0.367192066876738</v>
      </c>
      <c r="I741" s="1344">
        <f t="shared" si="102"/>
        <v>0</v>
      </c>
      <c r="J741" s="902">
        <f t="shared" si="103"/>
        <v>0</v>
      </c>
      <c r="L741" s="1460"/>
      <c r="M741" s="1236">
        <v>2996</v>
      </c>
      <c r="N741" s="1240" t="s">
        <v>1806</v>
      </c>
      <c r="O741" s="1241" t="s">
        <v>4845</v>
      </c>
      <c r="P741" s="910">
        <f t="shared" si="104"/>
        <v>0</v>
      </c>
      <c r="Q741" s="910">
        <f t="shared" si="105"/>
        <v>2996</v>
      </c>
      <c r="R741" s="1344">
        <f t="shared" si="106"/>
        <v>4.5</v>
      </c>
      <c r="S741" s="1344">
        <f>(1/9)*cnst_fish!$C$7*(1/cnst_fish!$C$8)^(R741-1)</f>
        <v>445.96223412630997</v>
      </c>
      <c r="T741" s="1362">
        <f t="shared" si="107"/>
        <v>115436.79254480735</v>
      </c>
      <c r="W741" s="1612"/>
      <c r="X741" s="1612"/>
      <c r="Y741" s="1613"/>
      <c r="Z741" s="1614"/>
      <c r="AA741" s="1614"/>
      <c r="AB741" s="1615"/>
      <c r="AC741" s="1615"/>
      <c r="AD741" s="583"/>
      <c r="AE741" s="583"/>
    </row>
    <row r="742" spans="1:31" ht="14">
      <c r="A742" s="1384" t="s">
        <v>6839</v>
      </c>
      <c r="B742" s="19" t="s">
        <v>6838</v>
      </c>
      <c r="C742" s="1383">
        <v>12637</v>
      </c>
      <c r="D742" s="1236"/>
      <c r="E742" s="1236"/>
      <c r="F742" s="1344">
        <f>(1/S742)*cnst_fish!$C$6</f>
        <v>1.9014759972289439E-2</v>
      </c>
      <c r="G742" s="1344">
        <f t="shared" si="108"/>
        <v>1</v>
      </c>
      <c r="H742" s="1344">
        <f t="shared" si="108"/>
        <v>0.367192066876738</v>
      </c>
      <c r="I742" s="1344">
        <f t="shared" si="102"/>
        <v>0</v>
      </c>
      <c r="J742" s="902">
        <f t="shared" si="103"/>
        <v>0</v>
      </c>
      <c r="L742" s="1460">
        <v>0</v>
      </c>
      <c r="M742" s="1236"/>
      <c r="N742" s="1240" t="s">
        <v>3927</v>
      </c>
      <c r="O742" s="1241" t="s">
        <v>4841</v>
      </c>
      <c r="P742" s="910">
        <f t="shared" si="104"/>
        <v>0</v>
      </c>
      <c r="Q742" s="910">
        <f t="shared" si="105"/>
        <v>0</v>
      </c>
      <c r="R742" s="1344">
        <f t="shared" si="106"/>
        <v>4.2</v>
      </c>
      <c r="S742" s="1344">
        <f>(1/9)*cnst_fish!$C$7*(1/cnst_fish!$C$8)^(R742-1)</f>
        <v>223.51057842400343</v>
      </c>
      <c r="T742" s="1362">
        <f t="shared" si="107"/>
        <v>0</v>
      </c>
      <c r="W742" s="1612"/>
      <c r="X742" s="1612"/>
      <c r="Y742" s="1613"/>
      <c r="Z742" s="1614"/>
      <c r="AA742" s="1614"/>
      <c r="AB742" s="1615"/>
      <c r="AC742" s="1615"/>
      <c r="AD742" s="583"/>
      <c r="AE742" s="583"/>
    </row>
    <row r="743" spans="1:31" ht="14">
      <c r="A743" s="1384" t="s">
        <v>3141</v>
      </c>
      <c r="B743" s="19" t="s">
        <v>984</v>
      </c>
      <c r="C743" s="1383">
        <v>2912</v>
      </c>
      <c r="D743" s="1236"/>
      <c r="E743" s="1236"/>
      <c r="F743" s="1344">
        <f>(1/S743)*cnst_fish!$C$6</f>
        <v>8.1113071591070229E-2</v>
      </c>
      <c r="G743" s="1344">
        <f t="shared" si="108"/>
        <v>1</v>
      </c>
      <c r="H743" s="1344">
        <f t="shared" si="108"/>
        <v>0.367192066876738</v>
      </c>
      <c r="I743" s="1344">
        <f t="shared" si="102"/>
        <v>0</v>
      </c>
      <c r="J743" s="902">
        <f t="shared" si="103"/>
        <v>0</v>
      </c>
      <c r="L743" s="1460">
        <v>15</v>
      </c>
      <c r="M743" s="1236"/>
      <c r="N743" s="1240" t="s">
        <v>1806</v>
      </c>
      <c r="O743" s="1241" t="s">
        <v>4859</v>
      </c>
      <c r="P743" s="910">
        <f t="shared" si="104"/>
        <v>0</v>
      </c>
      <c r="Q743" s="910">
        <f t="shared" si="105"/>
        <v>15</v>
      </c>
      <c r="R743" s="1344">
        <f t="shared" si="106"/>
        <v>3.57</v>
      </c>
      <c r="S743" s="1344">
        <f>(1/9)*cnst_fish!$C$7*(1/cnst_fish!$C$8)^(R743-1)</f>
        <v>52.395993847037154</v>
      </c>
      <c r="T743" s="1362">
        <f t="shared" si="107"/>
        <v>67.903740976780298</v>
      </c>
      <c r="W743" s="1612"/>
      <c r="X743" s="1612"/>
      <c r="Y743" s="1613"/>
      <c r="Z743" s="1614"/>
      <c r="AA743" s="1614"/>
      <c r="AB743" s="1615"/>
      <c r="AC743" s="1615"/>
      <c r="AD743" s="583"/>
      <c r="AE743" s="583"/>
    </row>
    <row r="744" spans="1:31" ht="14">
      <c r="A744" s="1585" t="s">
        <v>4405</v>
      </c>
      <c r="B744" s="1586" t="s">
        <v>8543</v>
      </c>
      <c r="C744" s="1383">
        <v>2983</v>
      </c>
      <c r="D744" s="1236"/>
      <c r="E744" s="1236"/>
      <c r="F744" s="1344">
        <f>(1/S744)*cnst_fish!$C$6</f>
        <v>6.0129950673834844E-2</v>
      </c>
      <c r="G744" s="1344">
        <f t="shared" si="108"/>
        <v>1</v>
      </c>
      <c r="H744" s="1344">
        <f t="shared" si="108"/>
        <v>0.367192066876738</v>
      </c>
      <c r="I744" s="1344">
        <f t="shared" si="102"/>
        <v>0</v>
      </c>
      <c r="J744" s="902">
        <f t="shared" si="103"/>
        <v>0</v>
      </c>
      <c r="L744" s="1460"/>
      <c r="M744" s="1236"/>
      <c r="N744" s="1240" t="s">
        <v>1806</v>
      </c>
      <c r="O744" s="1241" t="s">
        <v>4845</v>
      </c>
      <c r="P744" s="910">
        <f t="shared" si="104"/>
        <v>0</v>
      </c>
      <c r="Q744" s="910">
        <f t="shared" si="105"/>
        <v>0</v>
      </c>
      <c r="R744" s="1344">
        <f t="shared" si="106"/>
        <v>3.7</v>
      </c>
      <c r="S744" s="1344">
        <f>(1/9)*cnst_fish!$C$7*(1/cnst_fish!$C$8)^(R744-1)</f>
        <v>70.680250896153822</v>
      </c>
      <c r="T744" s="1362">
        <f t="shared" si="107"/>
        <v>0</v>
      </c>
      <c r="W744" s="1616"/>
      <c r="X744" s="1616"/>
      <c r="Y744" s="1613"/>
      <c r="Z744" s="1614"/>
      <c r="AA744" s="1614"/>
      <c r="AB744" s="1615"/>
      <c r="AC744" s="1615"/>
      <c r="AD744" s="583"/>
      <c r="AE744" s="583"/>
    </row>
    <row r="745" spans="1:31" ht="14">
      <c r="A745" s="1384" t="s">
        <v>2166</v>
      </c>
      <c r="B745" s="19" t="s">
        <v>2470</v>
      </c>
      <c r="C745" s="1383">
        <v>2605</v>
      </c>
      <c r="D745" s="1236"/>
      <c r="E745" s="1236"/>
      <c r="F745" s="1344">
        <f>(1/S745)*cnst_fish!$C$6</f>
        <v>1.5103960722494616</v>
      </c>
      <c r="G745" s="1344">
        <f t="shared" si="108"/>
        <v>1</v>
      </c>
      <c r="H745" s="1344">
        <f t="shared" si="108"/>
        <v>0.367192066876738</v>
      </c>
      <c r="I745" s="1344">
        <f t="shared" si="102"/>
        <v>0</v>
      </c>
      <c r="J745" s="902">
        <f t="shared" si="103"/>
        <v>0</v>
      </c>
      <c r="L745" s="1460">
        <v>4583</v>
      </c>
      <c r="M745" s="1236"/>
      <c r="N745" s="1240" t="s">
        <v>2441</v>
      </c>
      <c r="O745" s="1241" t="s">
        <v>4840</v>
      </c>
      <c r="P745" s="910">
        <f t="shared" si="104"/>
        <v>0</v>
      </c>
      <c r="Q745" s="910">
        <f t="shared" si="105"/>
        <v>4583</v>
      </c>
      <c r="R745" s="1344">
        <f t="shared" si="106"/>
        <v>2.2999999999999998</v>
      </c>
      <c r="S745" s="1344">
        <f>(1/9)*cnst_fish!$C$7*(1/cnst_fish!$C$8)^(R745-1)</f>
        <v>2.8138314698279068</v>
      </c>
      <c r="T745" s="1362">
        <f t="shared" si="107"/>
        <v>1114.1721522023047</v>
      </c>
      <c r="W745" s="1612"/>
      <c r="X745" s="1612"/>
      <c r="Y745" s="1613"/>
      <c r="Z745" s="1614"/>
      <c r="AA745" s="1614"/>
      <c r="AB745" s="1615"/>
      <c r="AC745" s="1615"/>
      <c r="AD745" s="583"/>
      <c r="AE745" s="583"/>
    </row>
    <row r="746" spans="1:31" ht="14">
      <c r="A746" s="1585" t="s">
        <v>8544</v>
      </c>
      <c r="B746" s="1586" t="s">
        <v>8545</v>
      </c>
      <c r="C746" s="1383">
        <v>20406</v>
      </c>
      <c r="D746" s="1236"/>
      <c r="E746" s="1236"/>
      <c r="F746" s="1344">
        <f>(1/S746)*cnst_fish!$C$6</f>
        <v>1.2276960190187576</v>
      </c>
      <c r="G746" s="1344">
        <f t="shared" si="108"/>
        <v>1</v>
      </c>
      <c r="H746" s="1344">
        <f t="shared" si="108"/>
        <v>0.367192066876738</v>
      </c>
      <c r="I746" s="1344">
        <f t="shared" si="102"/>
        <v>0</v>
      </c>
      <c r="J746" s="902">
        <f t="shared" si="103"/>
        <v>0</v>
      </c>
      <c r="L746" s="1460">
        <v>2</v>
      </c>
      <c r="M746" s="1236"/>
      <c r="N746" s="1240" t="s">
        <v>2441</v>
      </c>
      <c r="O746" s="1241" t="s">
        <v>4840</v>
      </c>
      <c r="P746" s="910">
        <f t="shared" si="104"/>
        <v>0</v>
      </c>
      <c r="Q746" s="910">
        <f t="shared" si="105"/>
        <v>2</v>
      </c>
      <c r="R746" s="1344">
        <f t="shared" si="106"/>
        <v>2.39</v>
      </c>
      <c r="S746" s="1344">
        <f>(1/9)*cnst_fish!$C$7*(1/cnst_fish!$C$8)^(R746-1)</f>
        <v>3.4617689836583772</v>
      </c>
      <c r="T746" s="1362">
        <f t="shared" si="107"/>
        <v>0.59818075678084903</v>
      </c>
      <c r="W746" s="1616"/>
      <c r="X746" s="1616"/>
      <c r="Y746" s="1613"/>
      <c r="Z746" s="1614"/>
      <c r="AA746" s="1614"/>
      <c r="AB746" s="1615"/>
      <c r="AC746" s="1615"/>
      <c r="AD746" s="583"/>
      <c r="AE746" s="583"/>
    </row>
    <row r="747" spans="1:31" ht="14">
      <c r="A747" s="1384" t="s">
        <v>3465</v>
      </c>
      <c r="B747" s="19" t="s">
        <v>2471</v>
      </c>
      <c r="C747" s="1383">
        <v>16508</v>
      </c>
      <c r="D747" s="1236"/>
      <c r="E747" s="1236"/>
      <c r="F747" s="1344">
        <f>(1/S747)*cnst_fish!$C$6</f>
        <v>1.0179208487545861</v>
      </c>
      <c r="G747" s="1344">
        <f t="shared" si="108"/>
        <v>1</v>
      </c>
      <c r="H747" s="1344">
        <f t="shared" si="108"/>
        <v>0.367192066876738</v>
      </c>
      <c r="I747" s="1344">
        <f t="shared" si="102"/>
        <v>0</v>
      </c>
      <c r="J747" s="902">
        <f t="shared" si="103"/>
        <v>0</v>
      </c>
      <c r="L747" s="1460"/>
      <c r="M747" s="1236"/>
      <c r="N747" s="1240" t="s">
        <v>2441</v>
      </c>
      <c r="O747" s="1241" t="s">
        <v>4840</v>
      </c>
      <c r="P747" s="910">
        <f t="shared" si="104"/>
        <v>0</v>
      </c>
      <c r="Q747" s="910">
        <f t="shared" si="105"/>
        <v>0</v>
      </c>
      <c r="R747" s="1344">
        <f t="shared" si="106"/>
        <v>2.4713768380352099</v>
      </c>
      <c r="S747" s="1344">
        <f>(1/9)*cnst_fish!$C$7*(1/cnst_fish!$C$8)^(R747-1)</f>
        <v>4.1751772794513675</v>
      </c>
      <c r="T747" s="1362">
        <f t="shared" si="107"/>
        <v>0</v>
      </c>
      <c r="W747" s="1612"/>
      <c r="X747" s="1612"/>
      <c r="Y747" s="1613"/>
      <c r="Z747" s="1614"/>
      <c r="AA747" s="1614"/>
      <c r="AB747" s="1615"/>
      <c r="AC747" s="1615"/>
      <c r="AD747" s="583"/>
      <c r="AE747" s="583"/>
    </row>
    <row r="748" spans="1:31" ht="14">
      <c r="A748" s="1384" t="s">
        <v>4142</v>
      </c>
      <c r="B748" s="19" t="s">
        <v>6406</v>
      </c>
      <c r="C748" s="1383">
        <v>2141</v>
      </c>
      <c r="D748" s="1236"/>
      <c r="E748" s="1236"/>
      <c r="F748" s="1344">
        <f>(1/S748)*cnst_fish!$C$6</f>
        <v>3.0136363636363641</v>
      </c>
      <c r="G748" s="1344">
        <f t="shared" ref="G748:H767" si="109">G$7</f>
        <v>1</v>
      </c>
      <c r="H748" s="1344">
        <f t="shared" si="109"/>
        <v>0.367192066876738</v>
      </c>
      <c r="I748" s="1344">
        <f t="shared" si="102"/>
        <v>0</v>
      </c>
      <c r="J748" s="902">
        <f t="shared" si="103"/>
        <v>0</v>
      </c>
      <c r="L748" s="1460"/>
      <c r="M748" s="1236">
        <v>21858</v>
      </c>
      <c r="N748" s="1240" t="s">
        <v>1806</v>
      </c>
      <c r="O748" s="1241" t="s">
        <v>4845</v>
      </c>
      <c r="P748" s="910">
        <f t="shared" si="104"/>
        <v>0</v>
      </c>
      <c r="Q748" s="910">
        <f t="shared" si="105"/>
        <v>21858</v>
      </c>
      <c r="R748" s="1344">
        <f t="shared" si="106"/>
        <v>2</v>
      </c>
      <c r="S748" s="1344">
        <f>(1/9)*cnst_fish!$C$7*(1/cnst_fish!$C$8)^(R748-1)</f>
        <v>1.4102564102564099</v>
      </c>
      <c r="T748" s="1362">
        <f t="shared" si="107"/>
        <v>2663.255691574936</v>
      </c>
      <c r="W748" s="1612"/>
      <c r="X748" s="1612"/>
      <c r="Y748" s="1613"/>
      <c r="Z748" s="1614"/>
      <c r="AA748" s="1614"/>
      <c r="AB748" s="1615"/>
      <c r="AC748" s="1615"/>
      <c r="AD748" s="583"/>
      <c r="AE748" s="583"/>
    </row>
    <row r="749" spans="1:31" ht="14">
      <c r="A749" s="1384" t="s">
        <v>2373</v>
      </c>
      <c r="B749" s="19" t="s">
        <v>2374</v>
      </c>
      <c r="C749" s="1383">
        <v>19139</v>
      </c>
      <c r="D749" s="1236">
        <v>22</v>
      </c>
      <c r="E749" s="1236"/>
      <c r="F749" s="1344">
        <f>(1/S749)*cnst_fish!$C$6</f>
        <v>7.7462381998898044E-2</v>
      </c>
      <c r="G749" s="1344">
        <f t="shared" si="109"/>
        <v>1</v>
      </c>
      <c r="H749" s="1344">
        <f t="shared" si="109"/>
        <v>0.367192066876738</v>
      </c>
      <c r="I749" s="1344">
        <f t="shared" si="102"/>
        <v>104.28578702115247</v>
      </c>
      <c r="J749" s="902">
        <f t="shared" si="103"/>
        <v>0</v>
      </c>
      <c r="L749" s="1460">
        <v>22</v>
      </c>
      <c r="M749" s="1236"/>
      <c r="N749" s="1240" t="s">
        <v>1806</v>
      </c>
      <c r="O749" s="1241" t="s">
        <v>4841</v>
      </c>
      <c r="P749" s="910">
        <f t="shared" si="104"/>
        <v>22</v>
      </c>
      <c r="Q749" s="910">
        <f t="shared" si="105"/>
        <v>22</v>
      </c>
      <c r="R749" s="1344">
        <f t="shared" si="106"/>
        <v>3.59</v>
      </c>
      <c r="S749" s="1344">
        <f>(1/9)*cnst_fish!$C$7*(1/cnst_fish!$C$8)^(R749-1)</f>
        <v>54.865340960731871</v>
      </c>
      <c r="T749" s="1362">
        <f t="shared" si="107"/>
        <v>104.28578702115247</v>
      </c>
      <c r="W749" s="1612"/>
      <c r="X749" s="1612"/>
      <c r="Y749" s="1613"/>
      <c r="Z749" s="1614"/>
      <c r="AA749" s="1614"/>
      <c r="AB749" s="1615"/>
      <c r="AC749" s="1615"/>
      <c r="AD749" s="583"/>
      <c r="AE749" s="583"/>
    </row>
    <row r="750" spans="1:31" ht="14">
      <c r="A750" s="1384" t="s">
        <v>2938</v>
      </c>
      <c r="B750" s="19" t="s">
        <v>3857</v>
      </c>
      <c r="C750" s="1383">
        <v>2003</v>
      </c>
      <c r="D750" s="1236"/>
      <c r="E750" s="1236"/>
      <c r="F750" s="1344">
        <f>(1/S750)*cnst_fish!$C$6</f>
        <v>1.581578846116358E-2</v>
      </c>
      <c r="G750" s="1344">
        <f t="shared" si="109"/>
        <v>1</v>
      </c>
      <c r="H750" s="1344">
        <f t="shared" si="109"/>
        <v>0.367192066876738</v>
      </c>
      <c r="I750" s="1344">
        <f t="shared" si="102"/>
        <v>0</v>
      </c>
      <c r="J750" s="902">
        <f t="shared" si="103"/>
        <v>0</v>
      </c>
      <c r="L750" s="1460">
        <v>64</v>
      </c>
      <c r="M750" s="1236"/>
      <c r="N750" s="1240" t="s">
        <v>3927</v>
      </c>
      <c r="O750" s="1241" t="s">
        <v>4841</v>
      </c>
      <c r="P750" s="910">
        <f t="shared" si="104"/>
        <v>0</v>
      </c>
      <c r="Q750" s="910">
        <f t="shared" si="105"/>
        <v>64</v>
      </c>
      <c r="R750" s="1344">
        <f t="shared" si="106"/>
        <v>4.28</v>
      </c>
      <c r="S750" s="1344">
        <f>(1/9)*cnst_fish!$C$7*(1/cnst_fish!$C$8)^(R750-1)</f>
        <v>268.71881919994547</v>
      </c>
      <c r="T750" s="1362">
        <f t="shared" si="107"/>
        <v>1485.8754805564904</v>
      </c>
      <c r="W750" s="1612"/>
      <c r="X750" s="1612"/>
      <c r="Y750" s="1613"/>
      <c r="Z750" s="1614"/>
      <c r="AA750" s="1614"/>
      <c r="AB750" s="1615"/>
      <c r="AC750" s="1615"/>
      <c r="AD750" s="583"/>
      <c r="AE750" s="583"/>
    </row>
    <row r="751" spans="1:31" ht="14">
      <c r="A751" s="1384" t="s">
        <v>3473</v>
      </c>
      <c r="B751" s="19" t="s">
        <v>3858</v>
      </c>
      <c r="C751" s="1383">
        <v>12686</v>
      </c>
      <c r="D751" s="1236"/>
      <c r="E751" s="1236"/>
      <c r="F751" s="1344">
        <f>(1/S751)*cnst_fish!$C$6</f>
        <v>5.6116535073067304E-2</v>
      </c>
      <c r="G751" s="1344">
        <f t="shared" si="109"/>
        <v>1</v>
      </c>
      <c r="H751" s="1344">
        <f t="shared" si="109"/>
        <v>0.367192066876738</v>
      </c>
      <c r="I751" s="1344">
        <f t="shared" si="102"/>
        <v>0</v>
      </c>
      <c r="J751" s="902">
        <f t="shared" si="103"/>
        <v>0</v>
      </c>
      <c r="L751" s="1460">
        <v>42</v>
      </c>
      <c r="M751" s="1236"/>
      <c r="N751" s="1240" t="s">
        <v>1806</v>
      </c>
      <c r="O751" s="1241" t="s">
        <v>4841</v>
      </c>
      <c r="P751" s="910">
        <f t="shared" si="104"/>
        <v>0</v>
      </c>
      <c r="Q751" s="910">
        <f t="shared" si="105"/>
        <v>42</v>
      </c>
      <c r="R751" s="1344">
        <f t="shared" si="106"/>
        <v>3.73</v>
      </c>
      <c r="S751" s="1344">
        <f>(1/9)*cnst_fish!$C$7*(1/cnst_fish!$C$8)^(R751-1)</f>
        <v>75.735253334266432</v>
      </c>
      <c r="T751" s="1362">
        <f t="shared" si="107"/>
        <v>274.82214981275092</v>
      </c>
      <c r="W751" s="1612"/>
      <c r="X751" s="1612"/>
      <c r="Y751" s="1613"/>
      <c r="Z751" s="1614"/>
      <c r="AA751" s="1614"/>
      <c r="AB751" s="1615"/>
      <c r="AC751" s="1615"/>
      <c r="AD751" s="583"/>
      <c r="AE751" s="583"/>
    </row>
    <row r="752" spans="1:31" ht="14">
      <c r="A752" s="1384" t="s">
        <v>4318</v>
      </c>
      <c r="B752" s="19" t="s">
        <v>3792</v>
      </c>
      <c r="C752" s="1383">
        <v>2547</v>
      </c>
      <c r="D752" s="1236">
        <v>18235</v>
      </c>
      <c r="E752" s="1236"/>
      <c r="F752" s="1344">
        <f>(1/S752)*cnst_fish!$C$6</f>
        <v>6.9038420626592392E-2</v>
      </c>
      <c r="G752" s="1344">
        <f t="shared" si="109"/>
        <v>1</v>
      </c>
      <c r="H752" s="1344">
        <f t="shared" si="109"/>
        <v>0.367192066876738</v>
      </c>
      <c r="I752" s="1344">
        <f t="shared" si="102"/>
        <v>96985.812808675881</v>
      </c>
      <c r="J752" s="902">
        <f t="shared" si="103"/>
        <v>0</v>
      </c>
      <c r="L752" s="1460">
        <v>18235</v>
      </c>
      <c r="M752" s="1236"/>
      <c r="N752" s="1240" t="s">
        <v>1809</v>
      </c>
      <c r="O752" s="1241" t="s">
        <v>4841</v>
      </c>
      <c r="P752" s="910">
        <f t="shared" si="104"/>
        <v>18235</v>
      </c>
      <c r="Q752" s="910">
        <f t="shared" si="105"/>
        <v>18235</v>
      </c>
      <c r="R752" s="1344">
        <f t="shared" si="106"/>
        <v>3.64</v>
      </c>
      <c r="S752" s="1344">
        <f>(1/9)*cnst_fish!$C$7*(1/cnst_fish!$C$8)^(R752-1)</f>
        <v>61.559925059510611</v>
      </c>
      <c r="T752" s="1362">
        <f t="shared" si="107"/>
        <v>96985.812808675881</v>
      </c>
      <c r="W752" s="1612"/>
      <c r="X752" s="1612"/>
      <c r="Y752" s="1613"/>
      <c r="Z752" s="1614"/>
      <c r="AA752" s="1614"/>
      <c r="AB752" s="1615"/>
      <c r="AC752" s="1615"/>
      <c r="AD752" s="583"/>
      <c r="AE752" s="583"/>
    </row>
    <row r="753" spans="1:31" ht="14">
      <c r="A753" s="1384" t="s">
        <v>1729</v>
      </c>
      <c r="B753" s="19" t="s">
        <v>3793</v>
      </c>
      <c r="C753" s="1383">
        <v>3359</v>
      </c>
      <c r="D753" s="1236">
        <v>1318</v>
      </c>
      <c r="E753" s="1236"/>
      <c r="F753" s="1344">
        <f>(1/S753)*cnst_fish!$C$6</f>
        <v>6.7466914312309487E-2</v>
      </c>
      <c r="G753" s="1344">
        <f t="shared" si="109"/>
        <v>1</v>
      </c>
      <c r="H753" s="1344">
        <f t="shared" si="109"/>
        <v>0.367192066876738</v>
      </c>
      <c r="I753" s="1344">
        <f t="shared" si="102"/>
        <v>7173.2811419721511</v>
      </c>
      <c r="J753" s="902">
        <f t="shared" si="103"/>
        <v>0</v>
      </c>
      <c r="L753" s="1460">
        <v>7597</v>
      </c>
      <c r="M753" s="1236"/>
      <c r="N753" s="1240" t="s">
        <v>1806</v>
      </c>
      <c r="O753" s="1241" t="s">
        <v>4841</v>
      </c>
      <c r="P753" s="910">
        <f t="shared" si="104"/>
        <v>1318</v>
      </c>
      <c r="Q753" s="910">
        <f t="shared" si="105"/>
        <v>7597</v>
      </c>
      <c r="R753" s="1344">
        <f t="shared" si="106"/>
        <v>3.65</v>
      </c>
      <c r="S753" s="1344">
        <f>(1/9)*cnst_fish!$C$7*(1/cnst_fish!$C$8)^(R753-1)</f>
        <v>62.993839918725584</v>
      </c>
      <c r="T753" s="1362">
        <f t="shared" si="107"/>
        <v>41347.053744736295</v>
      </c>
      <c r="W753" s="1612"/>
      <c r="X753" s="1612"/>
      <c r="Y753" s="1613"/>
      <c r="Z753" s="1614"/>
      <c r="AA753" s="1614"/>
      <c r="AB753" s="1615"/>
      <c r="AC753" s="1615"/>
      <c r="AD753" s="583"/>
      <c r="AE753" s="583"/>
    </row>
    <row r="754" spans="1:31" ht="14">
      <c r="A754" s="1384" t="s">
        <v>1548</v>
      </c>
      <c r="B754" s="19" t="s">
        <v>3794</v>
      </c>
      <c r="C754" s="1383">
        <v>3353</v>
      </c>
      <c r="D754" s="1236">
        <v>35</v>
      </c>
      <c r="E754" s="1236"/>
      <c r="F754" s="1344">
        <f>(1/S754)*cnst_fish!$C$6</f>
        <v>8.8938714421809562E-3</v>
      </c>
      <c r="G754" s="1344">
        <f t="shared" si="109"/>
        <v>1</v>
      </c>
      <c r="H754" s="1344">
        <f t="shared" si="109"/>
        <v>0.367192066876738</v>
      </c>
      <c r="I754" s="1344">
        <f t="shared" si="102"/>
        <v>1445.0087820849285</v>
      </c>
      <c r="J754" s="902">
        <f t="shared" si="103"/>
        <v>0</v>
      </c>
      <c r="L754" s="1460">
        <v>5762</v>
      </c>
      <c r="M754" s="1236"/>
      <c r="N754" s="1240" t="s">
        <v>3929</v>
      </c>
      <c r="O754" s="1241" t="s">
        <v>4841</v>
      </c>
      <c r="P754" s="910">
        <f t="shared" si="104"/>
        <v>35</v>
      </c>
      <c r="Q754" s="910">
        <f t="shared" si="105"/>
        <v>5762</v>
      </c>
      <c r="R754" s="1344">
        <f t="shared" si="106"/>
        <v>4.53</v>
      </c>
      <c r="S754" s="1344">
        <f>(1/9)*cnst_fish!$C$7*(1/cnst_fish!$C$8)^(R754-1)</f>
        <v>477.85714327323512</v>
      </c>
      <c r="T754" s="1362">
        <f t="shared" si="107"/>
        <v>237889.73149638166</v>
      </c>
      <c r="W754" s="1612"/>
      <c r="X754" s="1612"/>
      <c r="Y754" s="1613"/>
      <c r="Z754" s="1614"/>
      <c r="AA754" s="1614"/>
      <c r="AB754" s="1615"/>
      <c r="AC754" s="1615"/>
      <c r="AD754" s="583"/>
      <c r="AE754" s="583"/>
    </row>
    <row r="755" spans="1:31" ht="14">
      <c r="A755" s="1384" t="s">
        <v>1688</v>
      </c>
      <c r="B755" s="19" t="s">
        <v>3744</v>
      </c>
      <c r="C755" s="1383">
        <v>2542</v>
      </c>
      <c r="D755" s="1236">
        <v>13592</v>
      </c>
      <c r="E755" s="1236"/>
      <c r="F755" s="1344">
        <f>(1/S755)*cnst_fish!$C$6</f>
        <v>2.234039499920492E-2</v>
      </c>
      <c r="G755" s="1344">
        <f t="shared" si="109"/>
        <v>1</v>
      </c>
      <c r="H755" s="1344">
        <f t="shared" si="109"/>
        <v>0.367192066876738</v>
      </c>
      <c r="I755" s="1344">
        <f t="shared" si="102"/>
        <v>223401.35763786829</v>
      </c>
      <c r="J755" s="902">
        <f t="shared" si="103"/>
        <v>0</v>
      </c>
      <c r="L755" s="1460">
        <v>21340</v>
      </c>
      <c r="M755" s="1236"/>
      <c r="N755" s="1240" t="s">
        <v>3929</v>
      </c>
      <c r="O755" s="1241" t="s">
        <v>4841</v>
      </c>
      <c r="P755" s="910">
        <f t="shared" si="104"/>
        <v>13592</v>
      </c>
      <c r="Q755" s="910">
        <f t="shared" si="105"/>
        <v>21340</v>
      </c>
      <c r="R755" s="1344">
        <f t="shared" si="106"/>
        <v>4.13</v>
      </c>
      <c r="S755" s="1344">
        <f>(1/9)*cnst_fish!$C$7*(1/cnst_fish!$C$8)^(R755-1)</f>
        <v>190.23835523728451</v>
      </c>
      <c r="T755" s="1362">
        <f t="shared" si="107"/>
        <v>350749.33578517579</v>
      </c>
      <c r="W755" s="1612"/>
      <c r="X755" s="1612"/>
      <c r="Y755" s="1613"/>
      <c r="Z755" s="1614"/>
      <c r="AA755" s="1614"/>
      <c r="AB755" s="1615"/>
      <c r="AC755" s="1615"/>
      <c r="AD755" s="583"/>
      <c r="AE755" s="583"/>
    </row>
    <row r="756" spans="1:31" ht="14">
      <c r="A756" s="1384" t="s">
        <v>6842</v>
      </c>
      <c r="B756" s="19" t="s">
        <v>6841</v>
      </c>
      <c r="C756" s="1383">
        <v>18282</v>
      </c>
      <c r="D756" s="1236">
        <v>39.130000000000003</v>
      </c>
      <c r="E756" s="1236"/>
      <c r="F756" s="1344">
        <f>(1/S756)*cnst_fish!$C$6</f>
        <v>3.0136363636363641</v>
      </c>
      <c r="G756" s="1344">
        <f t="shared" si="109"/>
        <v>1</v>
      </c>
      <c r="H756" s="1344">
        <f t="shared" si="109"/>
        <v>0.367192066876738</v>
      </c>
      <c r="I756" s="1344">
        <f t="shared" si="102"/>
        <v>4.7677369938387422</v>
      </c>
      <c r="J756" s="902">
        <f t="shared" si="103"/>
        <v>0</v>
      </c>
      <c r="L756" s="1460">
        <v>39.130000000000003</v>
      </c>
      <c r="M756" s="1236"/>
      <c r="N756" s="1240" t="s">
        <v>1513</v>
      </c>
      <c r="O756" s="1241"/>
      <c r="P756" s="910">
        <f t="shared" si="104"/>
        <v>39.130000000000003</v>
      </c>
      <c r="Q756" s="910">
        <f t="shared" si="105"/>
        <v>39.130000000000003</v>
      </c>
      <c r="R756" s="1344">
        <f t="shared" si="106"/>
        <v>2</v>
      </c>
      <c r="S756" s="1344">
        <f>(1/9)*cnst_fish!$C$7*(1/cnst_fish!$C$8)^(R756-1)</f>
        <v>1.4102564102564099</v>
      </c>
      <c r="T756" s="1362">
        <f t="shared" si="107"/>
        <v>4.7677369938387422</v>
      </c>
      <c r="W756" s="1612"/>
      <c r="X756" s="1612"/>
      <c r="Y756" s="1613"/>
      <c r="Z756" s="1614"/>
      <c r="AA756" s="1614"/>
      <c r="AB756" s="1615"/>
      <c r="AC756" s="1615"/>
      <c r="AD756" s="583"/>
      <c r="AE756" s="583"/>
    </row>
    <row r="757" spans="1:31" ht="14">
      <c r="A757" s="1384" t="s">
        <v>173</v>
      </c>
      <c r="B757" s="19" t="s">
        <v>3508</v>
      </c>
      <c r="C757" s="1383">
        <v>3042</v>
      </c>
      <c r="D757" s="1236">
        <v>25</v>
      </c>
      <c r="E757" s="1236"/>
      <c r="F757" s="1344">
        <f>(1/S757)*cnst_fish!$C$6</f>
        <v>6.2963787943464855E-2</v>
      </c>
      <c r="G757" s="1344">
        <f t="shared" si="109"/>
        <v>1</v>
      </c>
      <c r="H757" s="1344">
        <f t="shared" si="109"/>
        <v>0.367192066876738</v>
      </c>
      <c r="I757" s="1344">
        <f t="shared" si="102"/>
        <v>145.79493978604</v>
      </c>
      <c r="J757" s="902">
        <f t="shared" si="103"/>
        <v>0</v>
      </c>
      <c r="L757" s="1460">
        <v>730</v>
      </c>
      <c r="M757" s="1236"/>
      <c r="N757" s="1240" t="s">
        <v>1806</v>
      </c>
      <c r="O757" s="1241" t="s">
        <v>4841</v>
      </c>
      <c r="P757" s="910">
        <f t="shared" si="104"/>
        <v>25</v>
      </c>
      <c r="Q757" s="910">
        <f t="shared" si="105"/>
        <v>730</v>
      </c>
      <c r="R757" s="1344">
        <f t="shared" si="106"/>
        <v>3.68</v>
      </c>
      <c r="S757" s="1344">
        <f>(1/9)*cnst_fish!$C$7*(1/cnst_fish!$C$8)^(R757-1)</f>
        <v>67.499115583961881</v>
      </c>
      <c r="T757" s="1362">
        <f t="shared" si="107"/>
        <v>4257.2122417523678</v>
      </c>
      <c r="W757" s="1612"/>
      <c r="X757" s="1612"/>
      <c r="Y757" s="1613"/>
      <c r="Z757" s="1614"/>
      <c r="AA757" s="1614"/>
      <c r="AB757" s="1615"/>
      <c r="AC757" s="1615"/>
      <c r="AD757" s="583"/>
      <c r="AE757" s="583"/>
    </row>
    <row r="758" spans="1:31" ht="14">
      <c r="A758" s="1384" t="s">
        <v>36</v>
      </c>
      <c r="B758" s="19" t="s">
        <v>37</v>
      </c>
      <c r="C758" s="1383">
        <v>18371</v>
      </c>
      <c r="D758" s="1236"/>
      <c r="E758" s="1236"/>
      <c r="F758" s="1344">
        <f>(1/S758)*cnst_fish!$C$6</f>
        <v>0.14481532779905856</v>
      </c>
      <c r="G758" s="1344">
        <f t="shared" si="109"/>
        <v>1</v>
      </c>
      <c r="H758" s="1344">
        <f t="shared" si="109"/>
        <v>0.367192066876738</v>
      </c>
      <c r="I758" s="1344">
        <f t="shared" si="102"/>
        <v>0</v>
      </c>
      <c r="J758" s="902">
        <f t="shared" si="103"/>
        <v>0</v>
      </c>
      <c r="L758" s="1460">
        <v>122</v>
      </c>
      <c r="M758" s="1236"/>
      <c r="N758" s="1240" t="s">
        <v>1806</v>
      </c>
      <c r="O758" s="1241"/>
      <c r="P758" s="910">
        <f t="shared" si="104"/>
        <v>0</v>
      </c>
      <c r="Q758" s="910">
        <f t="shared" si="105"/>
        <v>122</v>
      </c>
      <c r="R758" s="1344">
        <f t="shared" si="106"/>
        <v>3.3182763159269002</v>
      </c>
      <c r="S758" s="1344">
        <f>(1/9)*cnst_fish!$C$7*(1/cnst_fish!$C$8)^(R758-1)</f>
        <v>29.347722127157517</v>
      </c>
      <c r="T758" s="1362">
        <f t="shared" si="107"/>
        <v>309.34178612033122</v>
      </c>
      <c r="W758" s="1612"/>
      <c r="X758" s="1612"/>
      <c r="Y758" s="1613"/>
      <c r="Z758" s="1614"/>
      <c r="AA758" s="1614"/>
      <c r="AB758" s="1615"/>
      <c r="AC758" s="1615"/>
      <c r="AD758" s="583"/>
      <c r="AE758" s="583"/>
    </row>
    <row r="759" spans="1:31" ht="14">
      <c r="A759" s="1384" t="s">
        <v>3704</v>
      </c>
      <c r="B759" s="19" t="s">
        <v>3705</v>
      </c>
      <c r="C759" s="1383">
        <v>18367</v>
      </c>
      <c r="D759" s="1236"/>
      <c r="E759" s="1236"/>
      <c r="F759" s="1344">
        <f>(1/S759)*cnst_fish!$C$6</f>
        <v>0.14481532779905856</v>
      </c>
      <c r="G759" s="1344">
        <f t="shared" si="109"/>
        <v>1</v>
      </c>
      <c r="H759" s="1344">
        <f t="shared" si="109"/>
        <v>0.367192066876738</v>
      </c>
      <c r="I759" s="1344">
        <f t="shared" si="102"/>
        <v>0</v>
      </c>
      <c r="J759" s="902">
        <f t="shared" si="103"/>
        <v>0</v>
      </c>
      <c r="L759" s="1460">
        <v>11</v>
      </c>
      <c r="M759" s="1236"/>
      <c r="N759" s="1240" t="s">
        <v>1806</v>
      </c>
      <c r="O759" s="1241"/>
      <c r="P759" s="910">
        <f t="shared" si="104"/>
        <v>0</v>
      </c>
      <c r="Q759" s="910">
        <f t="shared" si="105"/>
        <v>11</v>
      </c>
      <c r="R759" s="1344">
        <f t="shared" si="106"/>
        <v>3.3182763159269002</v>
      </c>
      <c r="S759" s="1344">
        <f>(1/9)*cnst_fish!$C$7*(1/cnst_fish!$C$8)^(R759-1)</f>
        <v>29.347722127157517</v>
      </c>
      <c r="T759" s="1362">
        <f t="shared" si="107"/>
        <v>27.89147251904626</v>
      </c>
      <c r="W759" s="1612"/>
      <c r="X759" s="1612"/>
      <c r="Y759" s="1613"/>
      <c r="Z759" s="1614"/>
      <c r="AA759" s="1614"/>
      <c r="AB759" s="1615"/>
      <c r="AC759" s="1615"/>
      <c r="AD759" s="583"/>
      <c r="AE759" s="583"/>
    </row>
    <row r="760" spans="1:31" ht="14">
      <c r="A760" s="1384" t="s">
        <v>4011</v>
      </c>
      <c r="B760" s="19" t="s">
        <v>4012</v>
      </c>
      <c r="C760" s="1383">
        <v>18366</v>
      </c>
      <c r="D760" s="1236"/>
      <c r="E760" s="1236"/>
      <c r="F760" s="1344">
        <f>(1/S760)*cnst_fish!$C$6</f>
        <v>0.14481532779905856</v>
      </c>
      <c r="G760" s="1344">
        <f t="shared" si="109"/>
        <v>1</v>
      </c>
      <c r="H760" s="1344">
        <f t="shared" si="109"/>
        <v>0.367192066876738</v>
      </c>
      <c r="I760" s="1344">
        <f t="shared" si="102"/>
        <v>0</v>
      </c>
      <c r="J760" s="902">
        <f t="shared" si="103"/>
        <v>0</v>
      </c>
      <c r="L760" s="1460">
        <v>1</v>
      </c>
      <c r="M760" s="1236"/>
      <c r="N760" s="1240" t="s">
        <v>1806</v>
      </c>
      <c r="O760" s="1241"/>
      <c r="P760" s="910">
        <f t="shared" si="104"/>
        <v>0</v>
      </c>
      <c r="Q760" s="910">
        <f t="shared" si="105"/>
        <v>1</v>
      </c>
      <c r="R760" s="1344">
        <f t="shared" si="106"/>
        <v>3.3182763159269002</v>
      </c>
      <c r="S760" s="1344">
        <f>(1/9)*cnst_fish!$C$7*(1/cnst_fish!$C$8)^(R760-1)</f>
        <v>29.347722127157517</v>
      </c>
      <c r="T760" s="1362">
        <f t="shared" si="107"/>
        <v>2.5355884108223874</v>
      </c>
      <c r="W760" s="1612"/>
      <c r="X760" s="1612"/>
      <c r="Y760" s="1613"/>
      <c r="Z760" s="1614"/>
      <c r="AA760" s="1614"/>
      <c r="AB760" s="1615"/>
      <c r="AC760" s="1615"/>
      <c r="AD760" s="583"/>
      <c r="AE760" s="583"/>
    </row>
    <row r="761" spans="1:31" ht="14">
      <c r="A761" s="1384" t="s">
        <v>725</v>
      </c>
      <c r="B761" s="19" t="s">
        <v>6631</v>
      </c>
      <c r="C761" s="1383">
        <v>2770</v>
      </c>
      <c r="D761" s="1236">
        <v>1695</v>
      </c>
      <c r="E761" s="1236"/>
      <c r="F761" s="1344">
        <f>(1/S761)*cnst_fish!$C$6</f>
        <v>1.5103960722494616</v>
      </c>
      <c r="G761" s="1344">
        <f t="shared" si="109"/>
        <v>1</v>
      </c>
      <c r="H761" s="1344">
        <f t="shared" si="109"/>
        <v>0.367192066876738</v>
      </c>
      <c r="I761" s="1344">
        <f t="shared" si="102"/>
        <v>412.07108836633353</v>
      </c>
      <c r="J761" s="902">
        <f t="shared" si="103"/>
        <v>0</v>
      </c>
      <c r="L761" s="1460">
        <v>25716</v>
      </c>
      <c r="M761" s="1236"/>
      <c r="N761" s="1240" t="s">
        <v>1806</v>
      </c>
      <c r="O761" s="1241"/>
      <c r="P761" s="910">
        <f t="shared" si="104"/>
        <v>1695</v>
      </c>
      <c r="Q761" s="910">
        <f t="shared" si="105"/>
        <v>25716</v>
      </c>
      <c r="R761" s="1344">
        <f t="shared" si="106"/>
        <v>2.2999999999999998</v>
      </c>
      <c r="S761" s="1344">
        <f>(1/9)*cnst_fish!$C$7*(1/cnst_fish!$C$8)^(R761-1)</f>
        <v>2.8138314698279068</v>
      </c>
      <c r="T761" s="1362">
        <f t="shared" si="107"/>
        <v>6251.8112734092219</v>
      </c>
      <c r="W761" s="1612"/>
      <c r="X761" s="1612"/>
      <c r="Y761" s="1613"/>
      <c r="Z761" s="1614"/>
      <c r="AA761" s="1614"/>
      <c r="AB761" s="1615"/>
      <c r="AC761" s="1615"/>
      <c r="AD761" s="583"/>
      <c r="AE761" s="583"/>
    </row>
    <row r="762" spans="1:31" ht="14">
      <c r="A762" s="1384" t="s">
        <v>216</v>
      </c>
      <c r="B762" s="19" t="s">
        <v>217</v>
      </c>
      <c r="C762" s="1383">
        <v>19141</v>
      </c>
      <c r="D762" s="1236"/>
      <c r="E762" s="1236"/>
      <c r="F762" s="1344">
        <f>(1/S762)*cnst_fish!$C$6</f>
        <v>0.14481532779905856</v>
      </c>
      <c r="G762" s="1344">
        <f t="shared" si="109"/>
        <v>1</v>
      </c>
      <c r="H762" s="1344">
        <f t="shared" si="109"/>
        <v>0.367192066876738</v>
      </c>
      <c r="I762" s="1344">
        <f t="shared" si="102"/>
        <v>0</v>
      </c>
      <c r="J762" s="902">
        <f t="shared" si="103"/>
        <v>0</v>
      </c>
      <c r="L762" s="1460">
        <v>167</v>
      </c>
      <c r="M762" s="1236"/>
      <c r="N762" s="1240" t="s">
        <v>2430</v>
      </c>
      <c r="O762" s="1241" t="s">
        <v>4840</v>
      </c>
      <c r="P762" s="910">
        <f t="shared" si="104"/>
        <v>0</v>
      </c>
      <c r="Q762" s="910">
        <f t="shared" si="105"/>
        <v>167</v>
      </c>
      <c r="R762" s="1344">
        <f t="shared" si="106"/>
        <v>3.3182763159269002</v>
      </c>
      <c r="S762" s="1344">
        <f>(1/9)*cnst_fish!$C$7*(1/cnst_fish!$C$8)^(R762-1)</f>
        <v>29.347722127157517</v>
      </c>
      <c r="T762" s="1362">
        <f t="shared" si="107"/>
        <v>423.44326460733868</v>
      </c>
      <c r="W762" s="1612"/>
      <c r="X762" s="1612"/>
      <c r="Y762" s="1613"/>
      <c r="Z762" s="1614"/>
      <c r="AA762" s="1614"/>
      <c r="AB762" s="1615"/>
      <c r="AC762" s="1615"/>
      <c r="AD762" s="583"/>
      <c r="AE762" s="583"/>
    </row>
    <row r="763" spans="1:31" ht="14">
      <c r="A763" s="1384" t="s">
        <v>4647</v>
      </c>
      <c r="B763" s="19" t="s">
        <v>180</v>
      </c>
      <c r="C763" s="1383">
        <v>3482</v>
      </c>
      <c r="D763" s="1236">
        <v>67732</v>
      </c>
      <c r="E763" s="1236"/>
      <c r="F763" s="1344">
        <f>(1/S763)*cnst_fish!$C$6</f>
        <v>0.11997502458044032</v>
      </c>
      <c r="G763" s="1344">
        <f t="shared" si="109"/>
        <v>1</v>
      </c>
      <c r="H763" s="1344">
        <f t="shared" si="109"/>
        <v>0.367192066876738</v>
      </c>
      <c r="I763" s="1344">
        <f t="shared" si="102"/>
        <v>207298.58702400228</v>
      </c>
      <c r="J763" s="902">
        <f t="shared" si="103"/>
        <v>0</v>
      </c>
      <c r="L763" s="1460">
        <v>142418</v>
      </c>
      <c r="M763" s="1236"/>
      <c r="N763" s="1240" t="s">
        <v>3932</v>
      </c>
      <c r="O763" s="1241" t="s">
        <v>4840</v>
      </c>
      <c r="P763" s="910">
        <f t="shared" si="104"/>
        <v>67732</v>
      </c>
      <c r="Q763" s="910">
        <f t="shared" si="105"/>
        <v>142418</v>
      </c>
      <c r="R763" s="1344">
        <f t="shared" si="106"/>
        <v>3.4</v>
      </c>
      <c r="S763" s="1344">
        <f>(1/9)*cnst_fish!$C$7*(1/cnst_fish!$C$8)^(R763-1)</f>
        <v>35.424039418724846</v>
      </c>
      <c r="T763" s="1362">
        <f t="shared" si="107"/>
        <v>435880.38396598882</v>
      </c>
      <c r="W763" s="1612"/>
      <c r="X763" s="1612"/>
      <c r="Y763" s="1613"/>
      <c r="Z763" s="1614"/>
      <c r="AA763" s="1614"/>
      <c r="AB763" s="1615"/>
      <c r="AC763" s="1615"/>
      <c r="AD763" s="583"/>
      <c r="AE763" s="583"/>
    </row>
    <row r="764" spans="1:31" ht="14">
      <c r="A764" s="1384" t="s">
        <v>4102</v>
      </c>
      <c r="B764" s="19" t="s">
        <v>1334</v>
      </c>
      <c r="C764" s="1383">
        <v>2648</v>
      </c>
      <c r="D764" s="1236"/>
      <c r="E764" s="1236"/>
      <c r="F764" s="1344">
        <f>(1/S764)*cnst_fish!$C$6</f>
        <v>0.75699122913220485</v>
      </c>
      <c r="G764" s="1344">
        <f t="shared" si="109"/>
        <v>1</v>
      </c>
      <c r="H764" s="1344">
        <f t="shared" si="109"/>
        <v>0.367192066876738</v>
      </c>
      <c r="I764" s="1344">
        <f t="shared" si="102"/>
        <v>0</v>
      </c>
      <c r="J764" s="902">
        <f t="shared" si="103"/>
        <v>0</v>
      </c>
      <c r="L764" s="1460">
        <v>4571</v>
      </c>
      <c r="M764" s="1236"/>
      <c r="N764" s="1240" t="s">
        <v>3932</v>
      </c>
      <c r="O764" s="1241" t="s">
        <v>4840</v>
      </c>
      <c r="P764" s="910">
        <f t="shared" si="104"/>
        <v>0</v>
      </c>
      <c r="Q764" s="910">
        <f t="shared" si="105"/>
        <v>4571</v>
      </c>
      <c r="R764" s="1344">
        <f t="shared" si="106"/>
        <v>2.6</v>
      </c>
      <c r="S764" s="1344">
        <f>(1/9)*cnst_fish!$C$7*(1/cnst_fish!$C$8)^(R764-1)</f>
        <v>5.6143318924211183</v>
      </c>
      <c r="T764" s="1362">
        <f t="shared" si="107"/>
        <v>2217.244894128673</v>
      </c>
      <c r="W764" s="1612"/>
      <c r="X764" s="1612"/>
      <c r="Y764" s="1613"/>
      <c r="Z764" s="1614"/>
      <c r="AA764" s="1614"/>
      <c r="AB764" s="1615"/>
      <c r="AC764" s="1615"/>
      <c r="AD764" s="583"/>
      <c r="AE764" s="583"/>
    </row>
    <row r="765" spans="1:31" ht="14">
      <c r="A765" s="1384" t="s">
        <v>6412</v>
      </c>
      <c r="B765" s="19" t="s">
        <v>6411</v>
      </c>
      <c r="C765" s="1383">
        <v>12737</v>
      </c>
      <c r="D765" s="1236"/>
      <c r="E765" s="1236"/>
      <c r="F765" s="1344">
        <f>(1/S765)*cnst_fish!$C$6</f>
        <v>0.11997502458044032</v>
      </c>
      <c r="G765" s="1344">
        <f t="shared" si="109"/>
        <v>1</v>
      </c>
      <c r="H765" s="1344">
        <f t="shared" si="109"/>
        <v>0.367192066876738</v>
      </c>
      <c r="I765" s="1344">
        <f t="shared" si="102"/>
        <v>0</v>
      </c>
      <c r="J765" s="902">
        <f t="shared" si="103"/>
        <v>0</v>
      </c>
      <c r="L765" s="1460"/>
      <c r="M765" s="1236">
        <v>301</v>
      </c>
      <c r="N765" s="1240" t="s">
        <v>1806</v>
      </c>
      <c r="O765" s="1241" t="s">
        <v>4845</v>
      </c>
      <c r="P765" s="910">
        <f t="shared" si="104"/>
        <v>0</v>
      </c>
      <c r="Q765" s="910">
        <f t="shared" si="105"/>
        <v>301</v>
      </c>
      <c r="R765" s="1344">
        <f t="shared" si="106"/>
        <v>3.4</v>
      </c>
      <c r="S765" s="1344">
        <f>(1/9)*cnst_fish!$C$7*(1/cnst_fish!$C$8)^(R765-1)</f>
        <v>35.424039418724846</v>
      </c>
      <c r="T765" s="1362">
        <f t="shared" si="107"/>
        <v>921.23183567921637</v>
      </c>
      <c r="W765" s="1612"/>
      <c r="X765" s="1612"/>
      <c r="Y765" s="1613"/>
      <c r="Z765" s="1614"/>
      <c r="AA765" s="1614"/>
      <c r="AB765" s="1615"/>
      <c r="AC765" s="1615"/>
      <c r="AD765" s="583"/>
      <c r="AE765" s="583"/>
    </row>
    <row r="766" spans="1:31" ht="14">
      <c r="A766" s="1384" t="s">
        <v>6633</v>
      </c>
      <c r="B766" s="19" t="s">
        <v>6632</v>
      </c>
      <c r="C766" s="1383">
        <v>12738</v>
      </c>
      <c r="D766" s="1236"/>
      <c r="E766" s="1236"/>
      <c r="F766" s="1344">
        <f>(1/S766)*cnst_fish!$C$6</f>
        <v>6.0129950673834844E-2</v>
      </c>
      <c r="G766" s="1344">
        <f t="shared" si="109"/>
        <v>1</v>
      </c>
      <c r="H766" s="1344">
        <f t="shared" si="109"/>
        <v>0.367192066876738</v>
      </c>
      <c r="I766" s="1344">
        <f t="shared" si="102"/>
        <v>0</v>
      </c>
      <c r="J766" s="902">
        <f t="shared" si="103"/>
        <v>0</v>
      </c>
      <c r="L766" s="1460"/>
      <c r="M766" s="1236">
        <v>9413</v>
      </c>
      <c r="N766" s="1240" t="s">
        <v>1806</v>
      </c>
      <c r="O766" s="1241" t="s">
        <v>4845</v>
      </c>
      <c r="P766" s="910">
        <f t="shared" si="104"/>
        <v>0</v>
      </c>
      <c r="Q766" s="910">
        <f t="shared" si="105"/>
        <v>9413</v>
      </c>
      <c r="R766" s="1344">
        <f t="shared" si="106"/>
        <v>3.7</v>
      </c>
      <c r="S766" s="1344">
        <f>(1/9)*cnst_fish!$C$7*(1/cnst_fish!$C$8)^(R766-1)</f>
        <v>70.680250896153822</v>
      </c>
      <c r="T766" s="1362">
        <f t="shared" si="107"/>
        <v>57481.818740535833</v>
      </c>
      <c r="W766" s="1612"/>
      <c r="X766" s="1612"/>
      <c r="Y766" s="1613"/>
      <c r="Z766" s="1614"/>
      <c r="AA766" s="1614"/>
      <c r="AB766" s="1615"/>
      <c r="AC766" s="1615"/>
      <c r="AD766" s="583"/>
      <c r="AE766" s="583"/>
    </row>
    <row r="767" spans="1:31" ht="14">
      <c r="A767" s="1384" t="s">
        <v>6919</v>
      </c>
      <c r="B767" s="19" t="s">
        <v>6918</v>
      </c>
      <c r="C767" s="1383">
        <v>6820</v>
      </c>
      <c r="D767" s="1236"/>
      <c r="E767" s="1236"/>
      <c r="F767" s="1344">
        <f>(1/S767)*cnst_fish!$C$6</f>
        <v>3.0136363636363641</v>
      </c>
      <c r="G767" s="1344">
        <f t="shared" si="109"/>
        <v>1</v>
      </c>
      <c r="H767" s="1344">
        <f t="shared" si="109"/>
        <v>0.367192066876738</v>
      </c>
      <c r="I767" s="1344">
        <f t="shared" si="102"/>
        <v>0</v>
      </c>
      <c r="J767" s="902">
        <f t="shared" si="103"/>
        <v>0</v>
      </c>
      <c r="L767" s="1460"/>
      <c r="M767" s="1236">
        <v>111</v>
      </c>
      <c r="N767" s="1240" t="s">
        <v>1806</v>
      </c>
      <c r="O767" s="1241" t="s">
        <v>4845</v>
      </c>
      <c r="P767" s="910">
        <f t="shared" si="104"/>
        <v>0</v>
      </c>
      <c r="Q767" s="910">
        <f t="shared" si="105"/>
        <v>111</v>
      </c>
      <c r="R767" s="1344">
        <f t="shared" si="106"/>
        <v>2</v>
      </c>
      <c r="S767" s="1344">
        <f>(1/9)*cnst_fish!$C$7*(1/cnst_fish!$C$8)^(R767-1)</f>
        <v>1.4102564102564099</v>
      </c>
      <c r="T767" s="1362">
        <f t="shared" si="107"/>
        <v>13.52463087953234</v>
      </c>
      <c r="W767" s="1612"/>
      <c r="X767" s="1612"/>
      <c r="Y767" s="1613"/>
      <c r="Z767" s="1614"/>
      <c r="AA767" s="1614"/>
      <c r="AB767" s="1615"/>
      <c r="AC767" s="1615"/>
      <c r="AD767" s="583"/>
      <c r="AE767" s="583"/>
    </row>
    <row r="768" spans="1:31" ht="14">
      <c r="A768" s="1384" t="s">
        <v>6635</v>
      </c>
      <c r="B768" s="19" t="s">
        <v>6634</v>
      </c>
      <c r="C768" s="1383">
        <v>19224</v>
      </c>
      <c r="D768" s="1236"/>
      <c r="E768" s="1236"/>
      <c r="F768" s="1344">
        <f>(1/S768)*cnst_fish!$C$6</f>
        <v>3.0136363636363641</v>
      </c>
      <c r="G768" s="1344">
        <f t="shared" ref="G768:H787" si="110">G$7</f>
        <v>1</v>
      </c>
      <c r="H768" s="1344">
        <f t="shared" si="110"/>
        <v>0.367192066876738</v>
      </c>
      <c r="I768" s="1344">
        <f t="shared" si="102"/>
        <v>0</v>
      </c>
      <c r="J768" s="902">
        <f t="shared" si="103"/>
        <v>0</v>
      </c>
      <c r="L768" s="1460"/>
      <c r="M768" s="1236">
        <v>48</v>
      </c>
      <c r="N768" s="1240" t="s">
        <v>1806</v>
      </c>
      <c r="O768" s="1241" t="s">
        <v>4845</v>
      </c>
      <c r="P768" s="910">
        <f t="shared" si="104"/>
        <v>0</v>
      </c>
      <c r="Q768" s="910">
        <f t="shared" si="105"/>
        <v>48</v>
      </c>
      <c r="R768" s="1344">
        <f t="shared" si="106"/>
        <v>2</v>
      </c>
      <c r="S768" s="1344">
        <f>(1/9)*cnst_fish!$C$7*(1/cnst_fish!$C$8)^(R768-1)</f>
        <v>1.4102564102564099</v>
      </c>
      <c r="T768" s="1362">
        <f t="shared" si="107"/>
        <v>5.8484890289869567</v>
      </c>
      <c r="W768" s="1612"/>
      <c r="X768" s="1612"/>
      <c r="Y768" s="1613"/>
      <c r="Z768" s="1614"/>
      <c r="AA768" s="1614"/>
      <c r="AB768" s="1615"/>
      <c r="AC768" s="1615"/>
      <c r="AD768" s="583"/>
      <c r="AE768" s="583"/>
    </row>
    <row r="769" spans="1:31" ht="14">
      <c r="A769" s="1384" t="s">
        <v>2051</v>
      </c>
      <c r="B769" s="19" t="s">
        <v>6636</v>
      </c>
      <c r="C769" s="1383">
        <v>12745</v>
      </c>
      <c r="D769" s="1236"/>
      <c r="E769" s="1236"/>
      <c r="F769" s="1344">
        <f>(1/S769)*cnst_fish!$C$6</f>
        <v>6.2963787943464855E-2</v>
      </c>
      <c r="G769" s="1344">
        <f t="shared" si="110"/>
        <v>1</v>
      </c>
      <c r="H769" s="1344">
        <f t="shared" si="110"/>
        <v>0.367192066876738</v>
      </c>
      <c r="I769" s="1344">
        <f t="shared" si="102"/>
        <v>0</v>
      </c>
      <c r="J769" s="902">
        <f t="shared" si="103"/>
        <v>0</v>
      </c>
      <c r="L769" s="1460">
        <v>312</v>
      </c>
      <c r="M769" s="1236"/>
      <c r="N769" s="1240" t="s">
        <v>1806</v>
      </c>
      <c r="O769" s="1241" t="s">
        <v>4841</v>
      </c>
      <c r="P769" s="910">
        <f t="shared" si="104"/>
        <v>0</v>
      </c>
      <c r="Q769" s="910">
        <f t="shared" si="105"/>
        <v>312</v>
      </c>
      <c r="R769" s="1344">
        <f t="shared" si="106"/>
        <v>3.68</v>
      </c>
      <c r="S769" s="1344">
        <f>(1/9)*cnst_fish!$C$7*(1/cnst_fish!$C$8)^(R769-1)</f>
        <v>67.499115583961881</v>
      </c>
      <c r="T769" s="1362">
        <f t="shared" si="107"/>
        <v>1819.5208485297794</v>
      </c>
      <c r="W769" s="1612"/>
      <c r="X769" s="1612"/>
      <c r="Y769" s="1613"/>
      <c r="Z769" s="1614"/>
      <c r="AA769" s="1614"/>
      <c r="AB769" s="1615"/>
      <c r="AC769" s="1615"/>
      <c r="AD769" s="583"/>
      <c r="AE769" s="583"/>
    </row>
    <row r="770" spans="1:31" ht="14">
      <c r="A770" s="1384" t="s">
        <v>3920</v>
      </c>
      <c r="B770" s="19" t="s">
        <v>643</v>
      </c>
      <c r="C770" s="1383">
        <v>2249</v>
      </c>
      <c r="D770" s="1236"/>
      <c r="E770" s="1236"/>
      <c r="F770" s="1344">
        <f>(1/S770)*cnst_fish!$C$6</f>
        <v>1.5103960722494611E-2</v>
      </c>
      <c r="G770" s="1344">
        <f t="shared" si="110"/>
        <v>1</v>
      </c>
      <c r="H770" s="1344">
        <f t="shared" si="110"/>
        <v>0.367192066876738</v>
      </c>
      <c r="I770" s="1344">
        <f t="shared" si="102"/>
        <v>0</v>
      </c>
      <c r="J770" s="902">
        <f t="shared" si="103"/>
        <v>0</v>
      </c>
      <c r="L770" s="1460">
        <v>7143</v>
      </c>
      <c r="M770" s="1236"/>
      <c r="N770" s="1240" t="s">
        <v>1806</v>
      </c>
      <c r="O770" s="1241" t="s">
        <v>4841</v>
      </c>
      <c r="P770" s="910">
        <f t="shared" si="104"/>
        <v>0</v>
      </c>
      <c r="Q770" s="910">
        <f t="shared" si="105"/>
        <v>7143</v>
      </c>
      <c r="R770" s="1344">
        <f t="shared" si="106"/>
        <v>4.3</v>
      </c>
      <c r="S770" s="1344">
        <f>(1/9)*cnst_fish!$C$7*(1/cnst_fish!$C$8)^(R770-1)</f>
        <v>281.38314698279078</v>
      </c>
      <c r="T770" s="1362">
        <f t="shared" si="107"/>
        <v>173653.32060181245</v>
      </c>
      <c r="W770" s="1612"/>
      <c r="X770" s="1612"/>
      <c r="Y770" s="1613"/>
      <c r="Z770" s="1614"/>
      <c r="AA770" s="1614"/>
      <c r="AB770" s="1615"/>
      <c r="AC770" s="1615"/>
      <c r="AD770" s="583"/>
      <c r="AE770" s="583"/>
    </row>
    <row r="771" spans="1:31" ht="14">
      <c r="A771" s="1384" t="s">
        <v>4519</v>
      </c>
      <c r="B771" s="19" t="s">
        <v>4520</v>
      </c>
      <c r="C771" s="1383">
        <v>12747</v>
      </c>
      <c r="D771" s="1236"/>
      <c r="E771" s="1236"/>
      <c r="F771" s="1344">
        <f>(1/S771)*cnst_fish!$C$6</f>
        <v>9.7519361156519699E-2</v>
      </c>
      <c r="G771" s="1344">
        <f t="shared" si="110"/>
        <v>1</v>
      </c>
      <c r="H771" s="1344">
        <f t="shared" si="110"/>
        <v>0.367192066876738</v>
      </c>
      <c r="I771" s="1344">
        <f t="shared" si="102"/>
        <v>0</v>
      </c>
      <c r="J771" s="902">
        <f t="shared" si="103"/>
        <v>0</v>
      </c>
      <c r="L771" s="1460">
        <v>34</v>
      </c>
      <c r="M771" s="1236"/>
      <c r="N771" s="1240" t="s">
        <v>1806</v>
      </c>
      <c r="O771" s="1241" t="s">
        <v>4841</v>
      </c>
      <c r="P771" s="910">
        <f t="shared" si="104"/>
        <v>0</v>
      </c>
      <c r="Q771" s="910">
        <f t="shared" si="105"/>
        <v>34</v>
      </c>
      <c r="R771" s="1344">
        <f t="shared" si="106"/>
        <v>3.49</v>
      </c>
      <c r="S771" s="1344">
        <f>(1/9)*cnst_fish!$C$7*(1/cnst_fish!$C$8)^(R771-1)</f>
        <v>43.581089432884006</v>
      </c>
      <c r="T771" s="1362">
        <f t="shared" si="107"/>
        <v>128.02104244480515</v>
      </c>
      <c r="W771" s="1612"/>
      <c r="X771" s="1612"/>
      <c r="Y771" s="1613"/>
      <c r="Z771" s="1614"/>
      <c r="AA771" s="1614"/>
      <c r="AB771" s="1615"/>
      <c r="AC771" s="1615"/>
      <c r="AD771" s="583"/>
      <c r="AE771" s="583"/>
    </row>
    <row r="772" spans="1:31" ht="14">
      <c r="A772" s="1384" t="s">
        <v>5407</v>
      </c>
      <c r="B772" s="19" t="s">
        <v>3973</v>
      </c>
      <c r="C772" s="1383">
        <v>12757</v>
      </c>
      <c r="D772" s="1236"/>
      <c r="E772" s="1236"/>
      <c r="F772" s="1344">
        <f>(1/S772)*cnst_fish!$C$6</f>
        <v>2.0374682394767439E-2</v>
      </c>
      <c r="G772" s="1344">
        <f t="shared" si="110"/>
        <v>1</v>
      </c>
      <c r="H772" s="1344">
        <f t="shared" si="110"/>
        <v>0.367192066876738</v>
      </c>
      <c r="I772" s="1344">
        <f t="shared" si="102"/>
        <v>0</v>
      </c>
      <c r="J772" s="902">
        <f t="shared" si="103"/>
        <v>0</v>
      </c>
      <c r="L772" s="1460"/>
      <c r="M772" s="1236">
        <v>7</v>
      </c>
      <c r="N772" s="1240" t="s">
        <v>3933</v>
      </c>
      <c r="O772" s="1241" t="s">
        <v>4845</v>
      </c>
      <c r="P772" s="910">
        <f t="shared" si="104"/>
        <v>0</v>
      </c>
      <c r="Q772" s="910">
        <f t="shared" si="105"/>
        <v>7</v>
      </c>
      <c r="R772" s="1344">
        <f t="shared" si="106"/>
        <v>4.17</v>
      </c>
      <c r="S772" s="1344">
        <f>(1/9)*cnst_fish!$C$7*(1/cnst_fish!$C$8)^(R772-1)</f>
        <v>208.59220858782425</v>
      </c>
      <c r="T772" s="1362">
        <f t="shared" si="107"/>
        <v>126.15384222123009</v>
      </c>
      <c r="W772" s="1612"/>
      <c r="X772" s="1612"/>
      <c r="Y772" s="1613"/>
      <c r="Z772" s="1614"/>
      <c r="AA772" s="1614"/>
      <c r="AB772" s="1615"/>
      <c r="AC772" s="1615"/>
      <c r="AD772" s="583"/>
      <c r="AE772" s="583"/>
    </row>
    <row r="773" spans="1:31" ht="14">
      <c r="A773" s="1384" t="s">
        <v>4586</v>
      </c>
      <c r="B773" s="19" t="s">
        <v>1129</v>
      </c>
      <c r="C773" s="1383">
        <v>2072</v>
      </c>
      <c r="D773" s="1236"/>
      <c r="E773" s="1236"/>
      <c r="F773" s="1344">
        <f>(1/S773)*cnst_fish!$C$6</f>
        <v>2.6247675460949162E-2</v>
      </c>
      <c r="G773" s="1344">
        <f t="shared" si="110"/>
        <v>1</v>
      </c>
      <c r="H773" s="1344">
        <f t="shared" si="110"/>
        <v>0.367192066876738</v>
      </c>
      <c r="I773" s="1344">
        <f t="shared" si="102"/>
        <v>0</v>
      </c>
      <c r="J773" s="902">
        <f t="shared" si="103"/>
        <v>0</v>
      </c>
      <c r="L773" s="1460">
        <v>0</v>
      </c>
      <c r="M773" s="1236">
        <v>1</v>
      </c>
      <c r="N773" s="1240" t="s">
        <v>1806</v>
      </c>
      <c r="O773" s="1241" t="s">
        <v>4845</v>
      </c>
      <c r="P773" s="910">
        <f t="shared" si="104"/>
        <v>0</v>
      </c>
      <c r="Q773" s="910">
        <f t="shared" si="105"/>
        <v>1</v>
      </c>
      <c r="R773" s="1344">
        <f t="shared" si="106"/>
        <v>4.0599999999999996</v>
      </c>
      <c r="S773" s="1344">
        <f>(1/9)*cnst_fish!$C$7*(1/cnst_fish!$C$8)^(R773-1)</f>
        <v>161.91910046750908</v>
      </c>
      <c r="T773" s="1362">
        <f t="shared" si="107"/>
        <v>13.989508039408671</v>
      </c>
      <c r="W773" s="1612"/>
      <c r="X773" s="1612"/>
      <c r="Y773" s="1613"/>
      <c r="Z773" s="1614"/>
      <c r="AA773" s="1614"/>
      <c r="AB773" s="1615"/>
      <c r="AC773" s="1615"/>
      <c r="AD773" s="583"/>
      <c r="AE773" s="583"/>
    </row>
    <row r="774" spans="1:31" ht="14">
      <c r="A774" s="1384" t="s">
        <v>6580</v>
      </c>
      <c r="B774" s="19" t="s">
        <v>6579</v>
      </c>
      <c r="C774" s="1383">
        <v>12762</v>
      </c>
      <c r="D774" s="1236"/>
      <c r="E774" s="1236"/>
      <c r="F774" s="1344">
        <f>(1/S774)*cnst_fish!$C$6</f>
        <v>3.0136363636363641</v>
      </c>
      <c r="G774" s="1344">
        <f t="shared" si="110"/>
        <v>1</v>
      </c>
      <c r="H774" s="1344">
        <f t="shared" si="110"/>
        <v>0.367192066876738</v>
      </c>
      <c r="I774" s="1344">
        <f t="shared" si="102"/>
        <v>0</v>
      </c>
      <c r="J774" s="902">
        <f t="shared" si="103"/>
        <v>0</v>
      </c>
      <c r="L774" s="1460"/>
      <c r="M774" s="1236">
        <v>775</v>
      </c>
      <c r="N774" s="1240" t="s">
        <v>1806</v>
      </c>
      <c r="O774" s="1241" t="s">
        <v>4845</v>
      </c>
      <c r="P774" s="910">
        <f t="shared" si="104"/>
        <v>0</v>
      </c>
      <c r="Q774" s="910">
        <f t="shared" si="105"/>
        <v>775</v>
      </c>
      <c r="R774" s="1344">
        <f t="shared" si="106"/>
        <v>2</v>
      </c>
      <c r="S774" s="1344">
        <f>(1/9)*cnst_fish!$C$7*(1/cnst_fish!$C$8)^(R774-1)</f>
        <v>1.4102564102564099</v>
      </c>
      <c r="T774" s="1362">
        <f t="shared" si="107"/>
        <v>94.428729113851915</v>
      </c>
      <c r="W774" s="1612"/>
      <c r="X774" s="1612"/>
      <c r="Y774" s="1613"/>
      <c r="Z774" s="1614"/>
      <c r="AA774" s="1614"/>
      <c r="AB774" s="1615"/>
      <c r="AC774" s="1615"/>
      <c r="AD774" s="583"/>
      <c r="AE774" s="583"/>
    </row>
    <row r="775" spans="1:31" ht="14">
      <c r="A775" s="1384" t="s">
        <v>2093</v>
      </c>
      <c r="B775" s="19" t="s">
        <v>3859</v>
      </c>
      <c r="C775" s="1383">
        <v>2066</v>
      </c>
      <c r="D775" s="1236">
        <v>0</v>
      </c>
      <c r="E775" s="1236"/>
      <c r="F775" s="1344">
        <f>(1/S775)*cnst_fish!$C$6</f>
        <v>6.2963787943464855E-2</v>
      </c>
      <c r="G775" s="1344">
        <f t="shared" si="110"/>
        <v>1</v>
      </c>
      <c r="H775" s="1344">
        <f t="shared" si="110"/>
        <v>0.367192066876738</v>
      </c>
      <c r="I775" s="1344">
        <f t="shared" ref="I775:I838" si="111">IF($F775=0,0,D775/$F775*$H775*$G775)</f>
        <v>0</v>
      </c>
      <c r="J775" s="902">
        <f t="shared" ref="J775:J838" si="112">IF($F775=0,0,E775/$F775*$H775*$G775)</f>
        <v>0</v>
      </c>
      <c r="L775" s="1460">
        <v>0</v>
      </c>
      <c r="M775" s="1236"/>
      <c r="N775" s="1240" t="s">
        <v>1806</v>
      </c>
      <c r="O775" s="1241" t="s">
        <v>4841</v>
      </c>
      <c r="P775" s="910">
        <f t="shared" ref="P775:P838" si="113">D775+E775</f>
        <v>0</v>
      </c>
      <c r="Q775" s="910">
        <f t="shared" ref="Q775:Q838" si="114">L775+M775</f>
        <v>0</v>
      </c>
      <c r="R775" s="1344">
        <f t="shared" ref="R775:R838" si="115">VLOOKUP(B775,constant_fish_trophic,3,FALSE)</f>
        <v>3.68</v>
      </c>
      <c r="S775" s="1344">
        <f>(1/9)*cnst_fish!$C$7*(1/cnst_fish!$C$8)^(R775-1)</f>
        <v>67.499115583961881</v>
      </c>
      <c r="T775" s="1362">
        <f t="shared" ref="T775:T838" si="116">IF(F775=0,0,Q775/F775*H775*G775)</f>
        <v>0</v>
      </c>
      <c r="W775" s="1612"/>
      <c r="X775" s="1612"/>
      <c r="Y775" s="1613"/>
      <c r="Z775" s="1614"/>
      <c r="AA775" s="1614"/>
      <c r="AB775" s="1615"/>
      <c r="AC775" s="1615"/>
      <c r="AD775" s="583"/>
      <c r="AE775" s="583"/>
    </row>
    <row r="776" spans="1:31" ht="14">
      <c r="A776" s="1384" t="s">
        <v>3941</v>
      </c>
      <c r="B776" s="19" t="s">
        <v>5005</v>
      </c>
      <c r="C776" s="1383">
        <v>2871</v>
      </c>
      <c r="D776" s="1236"/>
      <c r="E776" s="1236"/>
      <c r="F776" s="1344">
        <f>(1/S776)*cnst_fish!$C$6</f>
        <v>9.1010363210297068E-2</v>
      </c>
      <c r="G776" s="1344">
        <f t="shared" si="110"/>
        <v>1</v>
      </c>
      <c r="H776" s="1344">
        <f t="shared" si="110"/>
        <v>0.367192066876738</v>
      </c>
      <c r="I776" s="1344">
        <f t="shared" si="111"/>
        <v>0</v>
      </c>
      <c r="J776" s="902">
        <f t="shared" si="112"/>
        <v>0</v>
      </c>
      <c r="L776" s="1460">
        <v>1584</v>
      </c>
      <c r="M776" s="1236"/>
      <c r="N776" s="1240" t="s">
        <v>3927</v>
      </c>
      <c r="O776" s="1241" t="s">
        <v>4841</v>
      </c>
      <c r="P776" s="910">
        <f t="shared" si="113"/>
        <v>0</v>
      </c>
      <c r="Q776" s="910">
        <f t="shared" si="114"/>
        <v>1584</v>
      </c>
      <c r="R776" s="1344">
        <f t="shared" si="115"/>
        <v>3.52</v>
      </c>
      <c r="S776" s="1344">
        <f>(1/9)*cnst_fish!$C$7*(1/cnst_fish!$C$8)^(R776-1)</f>
        <v>46.69797867062185</v>
      </c>
      <c r="T776" s="1362">
        <f t="shared" si="116"/>
        <v>6390.8352127853732</v>
      </c>
      <c r="W776" s="1612"/>
      <c r="X776" s="1612"/>
      <c r="Y776" s="1613"/>
      <c r="Z776" s="1614"/>
      <c r="AA776" s="1614"/>
      <c r="AB776" s="1615"/>
      <c r="AC776" s="1615"/>
      <c r="AD776" s="583"/>
      <c r="AE776" s="583"/>
    </row>
    <row r="777" spans="1:31" ht="14">
      <c r="A777" s="1384" t="s">
        <v>1138</v>
      </c>
      <c r="B777" s="19" t="s">
        <v>5006</v>
      </c>
      <c r="C777" s="1383">
        <v>2870</v>
      </c>
      <c r="D777" s="1236"/>
      <c r="E777" s="1236"/>
      <c r="F777" s="1344">
        <f>(1/S777)*cnst_fish!$C$6</f>
        <v>5.1178888253733429E-2</v>
      </c>
      <c r="G777" s="1344">
        <f t="shared" si="110"/>
        <v>1</v>
      </c>
      <c r="H777" s="1344">
        <f t="shared" si="110"/>
        <v>0.367192066876738</v>
      </c>
      <c r="I777" s="1344">
        <f t="shared" si="111"/>
        <v>0</v>
      </c>
      <c r="J777" s="902">
        <f t="shared" si="112"/>
        <v>0</v>
      </c>
      <c r="L777" s="1460">
        <v>815</v>
      </c>
      <c r="M777" s="1236"/>
      <c r="N777" s="1240" t="s">
        <v>1806</v>
      </c>
      <c r="O777" s="1241" t="s">
        <v>4841</v>
      </c>
      <c r="P777" s="910">
        <f t="shared" si="113"/>
        <v>0</v>
      </c>
      <c r="Q777" s="910">
        <f t="shared" si="114"/>
        <v>815</v>
      </c>
      <c r="R777" s="1344">
        <f t="shared" si="115"/>
        <v>3.77</v>
      </c>
      <c r="S777" s="1344">
        <f>(1/9)*cnst_fish!$C$7*(1/cnst_fish!$C$8)^(R777-1)</f>
        <v>83.042053960403649</v>
      </c>
      <c r="T777" s="1362">
        <f t="shared" si="116"/>
        <v>5847.3629403763134</v>
      </c>
      <c r="W777" s="1612"/>
      <c r="X777" s="1612"/>
      <c r="Y777" s="1613"/>
      <c r="Z777" s="1614"/>
      <c r="AA777" s="1614"/>
      <c r="AB777" s="1615"/>
      <c r="AC777" s="1615"/>
      <c r="AD777" s="583"/>
      <c r="AE777" s="583"/>
    </row>
    <row r="778" spans="1:31" ht="14">
      <c r="A778" s="1384" t="s">
        <v>4822</v>
      </c>
      <c r="B778" s="19" t="s">
        <v>644</v>
      </c>
      <c r="C778" s="1383">
        <v>3319</v>
      </c>
      <c r="D778" s="1236"/>
      <c r="E778" s="1236"/>
      <c r="F778" s="1344">
        <f>(1/S778)*cnst_fish!$C$6</f>
        <v>3.3813556145554591E-2</v>
      </c>
      <c r="G778" s="1344">
        <f t="shared" si="110"/>
        <v>1</v>
      </c>
      <c r="H778" s="1344">
        <f t="shared" si="110"/>
        <v>0.367192066876738</v>
      </c>
      <c r="I778" s="1344">
        <f t="shared" si="111"/>
        <v>0</v>
      </c>
      <c r="J778" s="902">
        <f t="shared" si="112"/>
        <v>0</v>
      </c>
      <c r="L778" s="1460">
        <v>1285</v>
      </c>
      <c r="M778" s="1236"/>
      <c r="N778" s="1240" t="s">
        <v>1806</v>
      </c>
      <c r="O778" s="1241" t="s">
        <v>4841</v>
      </c>
      <c r="P778" s="910">
        <f t="shared" si="113"/>
        <v>0</v>
      </c>
      <c r="Q778" s="910">
        <f t="shared" si="114"/>
        <v>1285</v>
      </c>
      <c r="R778" s="1344">
        <f t="shared" si="115"/>
        <v>3.95</v>
      </c>
      <c r="S778" s="1344">
        <f>(1/9)*cnst_fish!$C$7*(1/cnst_fish!$C$8)^(R778-1)</f>
        <v>125.68923486501552</v>
      </c>
      <c r="T778" s="1362">
        <f t="shared" si="116"/>
        <v>13954.220133058692</v>
      </c>
      <c r="W778" s="1612"/>
      <c r="X778" s="1612"/>
      <c r="Y778" s="1613"/>
      <c r="Z778" s="1614"/>
      <c r="AA778" s="1614"/>
      <c r="AB778" s="1615"/>
      <c r="AC778" s="1615"/>
      <c r="AD778" s="583"/>
      <c r="AE778" s="583"/>
    </row>
    <row r="779" spans="1:31" ht="14">
      <c r="A779" s="1384" t="s">
        <v>1679</v>
      </c>
      <c r="B779" s="19" t="s">
        <v>645</v>
      </c>
      <c r="C779" s="1383">
        <v>18704</v>
      </c>
      <c r="D779" s="1236">
        <v>10</v>
      </c>
      <c r="E779" s="1236"/>
      <c r="F779" s="1344">
        <f>(1/S779)*cnst_fish!$C$6</f>
        <v>4.5613232168782068E-2</v>
      </c>
      <c r="G779" s="1344">
        <f t="shared" si="110"/>
        <v>1</v>
      </c>
      <c r="H779" s="1344">
        <f t="shared" si="110"/>
        <v>0.367192066876738</v>
      </c>
      <c r="I779" s="1344">
        <f t="shared" si="111"/>
        <v>80.501216295749842</v>
      </c>
      <c r="J779" s="902">
        <f t="shared" si="112"/>
        <v>0</v>
      </c>
      <c r="L779" s="1460">
        <v>10</v>
      </c>
      <c r="M779" s="1236"/>
      <c r="N779" s="1240" t="s">
        <v>1806</v>
      </c>
      <c r="O779" s="1241" t="s">
        <v>4841</v>
      </c>
      <c r="P779" s="910">
        <f t="shared" si="113"/>
        <v>10</v>
      </c>
      <c r="Q779" s="910">
        <f t="shared" si="114"/>
        <v>10</v>
      </c>
      <c r="R779" s="1344">
        <f t="shared" si="115"/>
        <v>3.82</v>
      </c>
      <c r="S779" s="1344">
        <f>(1/9)*cnst_fish!$C$7*(1/cnst_fish!$C$8)^(R779-1)</f>
        <v>93.174717026712301</v>
      </c>
      <c r="T779" s="1362">
        <f t="shared" si="116"/>
        <v>80.501216295749842</v>
      </c>
      <c r="W779" s="1612"/>
      <c r="X779" s="1612"/>
      <c r="Y779" s="1613"/>
      <c r="Z779" s="1614"/>
      <c r="AA779" s="1614"/>
      <c r="AB779" s="1615"/>
      <c r="AC779" s="1615"/>
      <c r="AD779" s="583"/>
      <c r="AE779" s="583"/>
    </row>
    <row r="780" spans="1:31" ht="14">
      <c r="A780" s="1384" t="s">
        <v>344</v>
      </c>
      <c r="B780" s="19" t="s">
        <v>345</v>
      </c>
      <c r="C780" s="1383">
        <v>18705</v>
      </c>
      <c r="D780" s="1236">
        <v>12</v>
      </c>
      <c r="E780" s="1236"/>
      <c r="F780" s="1344">
        <f>(1/S780)*cnst_fish!$C$6</f>
        <v>3.5407139951132149E-2</v>
      </c>
      <c r="G780" s="1344">
        <f t="shared" si="110"/>
        <v>1</v>
      </c>
      <c r="H780" s="1344">
        <f t="shared" si="110"/>
        <v>0.367192066876738</v>
      </c>
      <c r="I780" s="1344">
        <f t="shared" si="111"/>
        <v>124.44678696450217</v>
      </c>
      <c r="J780" s="902">
        <f t="shared" si="112"/>
        <v>0</v>
      </c>
      <c r="L780" s="1460">
        <v>12</v>
      </c>
      <c r="M780" s="1236"/>
      <c r="N780" s="1240" t="s">
        <v>1806</v>
      </c>
      <c r="O780" s="1241" t="s">
        <v>4841</v>
      </c>
      <c r="P780" s="910">
        <f t="shared" si="113"/>
        <v>12</v>
      </c>
      <c r="Q780" s="910">
        <f t="shared" si="114"/>
        <v>12</v>
      </c>
      <c r="R780" s="1344">
        <f t="shared" si="115"/>
        <v>3.93</v>
      </c>
      <c r="S780" s="1344">
        <f>(1/9)*cnst_fish!$C$7*(1/cnst_fish!$C$8)^(R780-1)</f>
        <v>120.03228743879681</v>
      </c>
      <c r="T780" s="1362">
        <f t="shared" si="116"/>
        <v>124.44678696450217</v>
      </c>
      <c r="W780" s="1612"/>
      <c r="X780" s="1612"/>
      <c r="Y780" s="1613"/>
      <c r="Z780" s="1614"/>
      <c r="AA780" s="1614"/>
      <c r="AB780" s="1615"/>
      <c r="AC780" s="1615"/>
      <c r="AD780" s="583"/>
      <c r="AE780" s="583"/>
    </row>
    <row r="781" spans="1:31" ht="14">
      <c r="A781" s="1384" t="s">
        <v>6650</v>
      </c>
      <c r="B781" s="19" t="s">
        <v>6649</v>
      </c>
      <c r="C781" s="1383">
        <v>19145</v>
      </c>
      <c r="D781" s="1236"/>
      <c r="E781" s="1236"/>
      <c r="F781" s="1344">
        <f>(1/S781)*cnst_fish!$C$6</f>
        <v>3.0136363636363641</v>
      </c>
      <c r="G781" s="1344">
        <f t="shared" si="110"/>
        <v>1</v>
      </c>
      <c r="H781" s="1344">
        <f t="shared" si="110"/>
        <v>0.367192066876738</v>
      </c>
      <c r="I781" s="1344">
        <f t="shared" si="111"/>
        <v>0</v>
      </c>
      <c r="J781" s="902">
        <f t="shared" si="112"/>
        <v>0</v>
      </c>
      <c r="L781" s="1460"/>
      <c r="M781" s="1236">
        <v>1234</v>
      </c>
      <c r="N781" s="1240" t="s">
        <v>1806</v>
      </c>
      <c r="O781" s="1241" t="s">
        <v>4845</v>
      </c>
      <c r="P781" s="910">
        <f t="shared" si="113"/>
        <v>0</v>
      </c>
      <c r="Q781" s="910">
        <f t="shared" si="114"/>
        <v>1234</v>
      </c>
      <c r="R781" s="1344">
        <f t="shared" si="115"/>
        <v>2</v>
      </c>
      <c r="S781" s="1344">
        <f>(1/9)*cnst_fish!$C$7*(1/cnst_fish!$C$8)^(R781-1)</f>
        <v>1.4102564102564099</v>
      </c>
      <c r="T781" s="1362">
        <f t="shared" si="116"/>
        <v>150.35490545353969</v>
      </c>
      <c r="W781" s="1612"/>
      <c r="X781" s="1612"/>
      <c r="Y781" s="1613"/>
      <c r="Z781" s="1614"/>
      <c r="AA781" s="1614"/>
      <c r="AB781" s="1615"/>
      <c r="AC781" s="1615"/>
      <c r="AD781" s="583"/>
      <c r="AE781" s="583"/>
    </row>
    <row r="782" spans="1:31" ht="14">
      <c r="A782" s="1384" t="s">
        <v>3846</v>
      </c>
      <c r="B782" s="19" t="s">
        <v>2107</v>
      </c>
      <c r="C782" s="1383">
        <v>2129</v>
      </c>
      <c r="D782" s="1236"/>
      <c r="E782" s="1236"/>
      <c r="F782" s="1344">
        <f>(1/S782)*cnst_fish!$C$6</f>
        <v>0.18581931192461937</v>
      </c>
      <c r="G782" s="1344">
        <f t="shared" si="110"/>
        <v>1</v>
      </c>
      <c r="H782" s="1344">
        <f t="shared" si="110"/>
        <v>0.367192066876738</v>
      </c>
      <c r="I782" s="1344">
        <f t="shared" si="111"/>
        <v>0</v>
      </c>
      <c r="J782" s="902">
        <f t="shared" si="112"/>
        <v>0</v>
      </c>
      <c r="L782" s="1460"/>
      <c r="M782" s="1236">
        <v>3065</v>
      </c>
      <c r="N782" s="1240" t="s">
        <v>1806</v>
      </c>
      <c r="O782" s="1241" t="s">
        <v>4845</v>
      </c>
      <c r="P782" s="910">
        <f t="shared" si="113"/>
        <v>0</v>
      </c>
      <c r="Q782" s="910">
        <f t="shared" si="114"/>
        <v>3065</v>
      </c>
      <c r="R782" s="1344">
        <f t="shared" si="115"/>
        <v>3.21</v>
      </c>
      <c r="S782" s="1344">
        <f>(1/9)*cnst_fish!$C$7*(1/cnst_fish!$C$8)^(R782-1)</f>
        <v>22.87168086019004</v>
      </c>
      <c r="T782" s="1362">
        <f t="shared" si="116"/>
        <v>6056.6561856270164</v>
      </c>
      <c r="W782" s="1612"/>
      <c r="X782" s="1612"/>
      <c r="Y782" s="1613"/>
      <c r="Z782" s="1614"/>
      <c r="AA782" s="1614"/>
      <c r="AB782" s="1615"/>
      <c r="AC782" s="1615"/>
      <c r="AD782" s="583"/>
      <c r="AE782" s="583"/>
    </row>
    <row r="783" spans="1:31" ht="14">
      <c r="A783" s="1384" t="s">
        <v>1107</v>
      </c>
      <c r="B783" s="19" t="s">
        <v>2108</v>
      </c>
      <c r="C783" s="1383">
        <v>2937</v>
      </c>
      <c r="D783" s="1236"/>
      <c r="E783" s="1236"/>
      <c r="F783" s="1344">
        <f>(1/S783)*cnst_fish!$C$6</f>
        <v>0.11196720767792057</v>
      </c>
      <c r="G783" s="1344">
        <f t="shared" si="110"/>
        <v>1</v>
      </c>
      <c r="H783" s="1344">
        <f t="shared" si="110"/>
        <v>0.367192066876738</v>
      </c>
      <c r="I783" s="1344">
        <f t="shared" si="111"/>
        <v>0</v>
      </c>
      <c r="J783" s="902">
        <f t="shared" si="112"/>
        <v>0</v>
      </c>
      <c r="L783" s="1460">
        <v>0</v>
      </c>
      <c r="M783" s="1236"/>
      <c r="N783" s="1240" t="s">
        <v>1806</v>
      </c>
      <c r="O783" s="1241" t="s">
        <v>4845</v>
      </c>
      <c r="P783" s="910">
        <f t="shared" si="113"/>
        <v>0</v>
      </c>
      <c r="Q783" s="910">
        <f t="shared" si="114"/>
        <v>0</v>
      </c>
      <c r="R783" s="1344">
        <f t="shared" si="115"/>
        <v>3.43</v>
      </c>
      <c r="S783" s="1344">
        <f>(1/9)*cnst_fish!$C$7*(1/cnst_fish!$C$8)^(R783-1)</f>
        <v>37.957542106661656</v>
      </c>
      <c r="T783" s="1362">
        <f t="shared" si="116"/>
        <v>0</v>
      </c>
      <c r="W783" s="1612"/>
      <c r="X783" s="1612"/>
      <c r="Y783" s="1613"/>
      <c r="Z783" s="1614"/>
      <c r="AA783" s="1614"/>
      <c r="AB783" s="1615"/>
      <c r="AC783" s="1615"/>
      <c r="AD783" s="583"/>
      <c r="AE783" s="583"/>
    </row>
    <row r="784" spans="1:31" ht="14">
      <c r="A784" s="1384" t="s">
        <v>2672</v>
      </c>
      <c r="B784" s="19" t="s">
        <v>4994</v>
      </c>
      <c r="C784" s="1383">
        <v>2967</v>
      </c>
      <c r="D784" s="1236"/>
      <c r="E784" s="1236"/>
      <c r="F784" s="1344">
        <f>(1/S784)*cnst_fish!$C$6</f>
        <v>3.0136363636363641</v>
      </c>
      <c r="G784" s="1344">
        <f t="shared" si="110"/>
        <v>1</v>
      </c>
      <c r="H784" s="1344">
        <f t="shared" si="110"/>
        <v>0.367192066876738</v>
      </c>
      <c r="I784" s="1344">
        <f t="shared" si="111"/>
        <v>0</v>
      </c>
      <c r="J784" s="902">
        <f t="shared" si="112"/>
        <v>0</v>
      </c>
      <c r="L784" s="1460">
        <v>0</v>
      </c>
      <c r="M784" s="1236">
        <v>17971</v>
      </c>
      <c r="N784" s="1240" t="s">
        <v>5365</v>
      </c>
      <c r="O784" s="1241" t="s">
        <v>4845</v>
      </c>
      <c r="P784" s="910">
        <f t="shared" si="113"/>
        <v>0</v>
      </c>
      <c r="Q784" s="910">
        <f t="shared" si="114"/>
        <v>17971</v>
      </c>
      <c r="R784" s="1344">
        <f t="shared" si="115"/>
        <v>2</v>
      </c>
      <c r="S784" s="1344">
        <f>(1/9)*cnst_fish!$C$7*(1/cnst_fish!$C$8)^(R784-1)</f>
        <v>1.4102564102564099</v>
      </c>
      <c r="T784" s="1362">
        <f t="shared" si="116"/>
        <v>2189.6499237484295</v>
      </c>
      <c r="W784" s="1612"/>
      <c r="X784" s="1612"/>
      <c r="Y784" s="1613"/>
      <c r="Z784" s="1614"/>
      <c r="AA784" s="1614"/>
      <c r="AB784" s="1615"/>
      <c r="AC784" s="1615"/>
      <c r="AD784" s="583"/>
      <c r="AE784" s="583"/>
    </row>
    <row r="785" spans="1:31" ht="14">
      <c r="A785" s="1384" t="s">
        <v>1308</v>
      </c>
      <c r="B785" s="19" t="s">
        <v>4995</v>
      </c>
      <c r="C785" s="1383">
        <v>2965</v>
      </c>
      <c r="D785" s="1236"/>
      <c r="E785" s="1236"/>
      <c r="F785" s="1344">
        <f>(1/S785)*cnst_fish!$C$6</f>
        <v>1.4095836303336922</v>
      </c>
      <c r="G785" s="1344">
        <f t="shared" si="110"/>
        <v>1</v>
      </c>
      <c r="H785" s="1344">
        <f t="shared" si="110"/>
        <v>0.367192066876738</v>
      </c>
      <c r="I785" s="1344">
        <f t="shared" si="111"/>
        <v>0</v>
      </c>
      <c r="J785" s="902">
        <f t="shared" si="112"/>
        <v>0</v>
      </c>
      <c r="L785" s="1460"/>
      <c r="M785" s="1236">
        <v>1978</v>
      </c>
      <c r="N785" s="1240" t="s">
        <v>5365</v>
      </c>
      <c r="O785" s="1241" t="s">
        <v>4845</v>
      </c>
      <c r="P785" s="910">
        <f t="shared" si="113"/>
        <v>0</v>
      </c>
      <c r="Q785" s="910">
        <f t="shared" si="114"/>
        <v>1978</v>
      </c>
      <c r="R785" s="1344">
        <f t="shared" si="115"/>
        <v>2.33</v>
      </c>
      <c r="S785" s="1344">
        <f>(1/9)*cnst_fish!$C$7*(1/cnst_fish!$C$8)^(R785-1)</f>
        <v>3.0150747416057131</v>
      </c>
      <c r="T785" s="1362">
        <f t="shared" si="116"/>
        <v>515.26272911544004</v>
      </c>
      <c r="W785" s="1612"/>
      <c r="X785" s="1612"/>
      <c r="Y785" s="1613"/>
      <c r="Z785" s="1614"/>
      <c r="AA785" s="1614"/>
      <c r="AB785" s="1615"/>
      <c r="AC785" s="1615"/>
      <c r="AD785" s="583"/>
      <c r="AE785" s="583"/>
    </row>
    <row r="786" spans="1:31" ht="14">
      <c r="A786" s="1384" t="s">
        <v>6630</v>
      </c>
      <c r="B786" s="19" t="s">
        <v>6629</v>
      </c>
      <c r="C786" s="1383">
        <v>12795</v>
      </c>
      <c r="D786" s="1236"/>
      <c r="E786" s="1236"/>
      <c r="F786" s="1344">
        <f>(1/S786)*cnst_fish!$C$6</f>
        <v>0.37939434000887845</v>
      </c>
      <c r="G786" s="1344">
        <f t="shared" si="110"/>
        <v>1</v>
      </c>
      <c r="H786" s="1344">
        <f t="shared" si="110"/>
        <v>0.367192066876738</v>
      </c>
      <c r="I786" s="1344">
        <f t="shared" si="111"/>
        <v>0</v>
      </c>
      <c r="J786" s="902">
        <f t="shared" si="112"/>
        <v>0</v>
      </c>
      <c r="L786" s="1460">
        <v>62</v>
      </c>
      <c r="M786" s="1236"/>
      <c r="N786" s="1240" t="s">
        <v>1806</v>
      </c>
      <c r="O786" s="1241" t="s">
        <v>4845</v>
      </c>
      <c r="P786" s="910">
        <f t="shared" si="113"/>
        <v>0</v>
      </c>
      <c r="Q786" s="910">
        <f t="shared" si="114"/>
        <v>62</v>
      </c>
      <c r="R786" s="1344">
        <f t="shared" si="115"/>
        <v>2.9</v>
      </c>
      <c r="S786" s="1344">
        <f>(1/9)*cnst_fish!$C$7*(1/cnst_fish!$C$8)^(R786-1)</f>
        <v>11.20206484867577</v>
      </c>
      <c r="T786" s="1362">
        <f t="shared" si="116"/>
        <v>60.005924563410716</v>
      </c>
      <c r="W786" s="1612"/>
      <c r="X786" s="1612"/>
      <c r="Y786" s="1613"/>
      <c r="Z786" s="1614"/>
      <c r="AA786" s="1614"/>
      <c r="AB786" s="1615"/>
      <c r="AC786" s="1615"/>
      <c r="AD786" s="583"/>
      <c r="AE786" s="583"/>
    </row>
    <row r="787" spans="1:31" ht="14">
      <c r="A787" s="1585" t="s">
        <v>8546</v>
      </c>
      <c r="B787" s="1586" t="s">
        <v>8547</v>
      </c>
      <c r="C787" s="1383">
        <v>6804</v>
      </c>
      <c r="D787" s="1236"/>
      <c r="E787" s="1236"/>
      <c r="F787" s="1344">
        <f>(1/S787)*cnst_fish!$C$6</f>
        <v>0.2133491159303107</v>
      </c>
      <c r="G787" s="1344">
        <f t="shared" si="110"/>
        <v>1</v>
      </c>
      <c r="H787" s="1344">
        <f t="shared" si="110"/>
        <v>0.367192066876738</v>
      </c>
      <c r="I787" s="1344">
        <f t="shared" si="111"/>
        <v>0</v>
      </c>
      <c r="J787" s="902">
        <f t="shared" si="112"/>
        <v>0</v>
      </c>
      <c r="L787" s="1460"/>
      <c r="M787" s="1236">
        <v>9175</v>
      </c>
      <c r="N787" s="1240" t="s">
        <v>1806</v>
      </c>
      <c r="O787" s="1241" t="s">
        <v>4845</v>
      </c>
      <c r="P787" s="910">
        <f t="shared" si="113"/>
        <v>0</v>
      </c>
      <c r="Q787" s="910">
        <f t="shared" si="114"/>
        <v>9175</v>
      </c>
      <c r="R787" s="1344">
        <f t="shared" si="115"/>
        <v>3.15</v>
      </c>
      <c r="S787" s="1344">
        <f>(1/9)*cnst_fish!$C$7*(1/cnst_fish!$C$8)^(R787-1)</f>
        <v>19.920401270320887</v>
      </c>
      <c r="T787" s="1362">
        <f t="shared" si="116"/>
        <v>15790.959333970393</v>
      </c>
      <c r="W787" s="1616"/>
      <c r="X787" s="1616"/>
      <c r="Y787" s="1613"/>
      <c r="Z787" s="1614"/>
      <c r="AA787" s="1614"/>
      <c r="AB787" s="1615"/>
      <c r="AC787" s="1615"/>
      <c r="AD787" s="583"/>
      <c r="AE787" s="583"/>
    </row>
    <row r="788" spans="1:31" ht="14">
      <c r="A788" s="1384" t="s">
        <v>2995</v>
      </c>
      <c r="B788" s="19" t="s">
        <v>3509</v>
      </c>
      <c r="C788" s="1383">
        <v>2462</v>
      </c>
      <c r="D788" s="1236"/>
      <c r="E788" s="1236"/>
      <c r="F788" s="1344">
        <f>(1/S788)*cnst_fish!$C$6</f>
        <v>0.14760152601876345</v>
      </c>
      <c r="G788" s="1344">
        <f t="shared" ref="G788:H807" si="117">G$7</f>
        <v>1</v>
      </c>
      <c r="H788" s="1344">
        <f t="shared" si="117"/>
        <v>0.367192066876738</v>
      </c>
      <c r="I788" s="1344">
        <f t="shared" si="111"/>
        <v>0</v>
      </c>
      <c r="J788" s="902">
        <f t="shared" si="112"/>
        <v>0</v>
      </c>
      <c r="L788" s="1460">
        <v>0</v>
      </c>
      <c r="M788" s="1236"/>
      <c r="N788" s="1240" t="s">
        <v>1806</v>
      </c>
      <c r="O788" s="1241" t="s">
        <v>4841</v>
      </c>
      <c r="P788" s="910">
        <f t="shared" si="113"/>
        <v>0</v>
      </c>
      <c r="Q788" s="910">
        <f t="shared" si="114"/>
        <v>0</v>
      </c>
      <c r="R788" s="1344">
        <f t="shared" si="115"/>
        <v>3.31</v>
      </c>
      <c r="S788" s="1344">
        <f>(1/9)*cnst_fish!$C$7*(1/cnst_fish!$C$8)^(R788-1)</f>
        <v>28.793740245339542</v>
      </c>
      <c r="T788" s="1362">
        <f t="shared" si="116"/>
        <v>0</v>
      </c>
      <c r="W788" s="1612"/>
      <c r="X788" s="1612"/>
      <c r="Y788" s="1613"/>
      <c r="Z788" s="1614"/>
      <c r="AA788" s="1614"/>
      <c r="AB788" s="1615"/>
      <c r="AC788" s="1615"/>
      <c r="AD788" s="583"/>
      <c r="AE788" s="583"/>
    </row>
    <row r="789" spans="1:31" ht="14">
      <c r="A789" s="1384" t="s">
        <v>2993</v>
      </c>
      <c r="B789" s="19" t="s">
        <v>4186</v>
      </c>
      <c r="C789" s="1383">
        <v>3002</v>
      </c>
      <c r="D789" s="1236"/>
      <c r="E789" s="1236"/>
      <c r="F789" s="1344">
        <f>(1/S789)*cnst_fish!$C$6</f>
        <v>0.11997502458044032</v>
      </c>
      <c r="G789" s="1344">
        <f t="shared" si="117"/>
        <v>1</v>
      </c>
      <c r="H789" s="1344">
        <f t="shared" si="117"/>
        <v>0.367192066876738</v>
      </c>
      <c r="I789" s="1344">
        <f t="shared" si="111"/>
        <v>0</v>
      </c>
      <c r="J789" s="902">
        <f t="shared" si="112"/>
        <v>0</v>
      </c>
      <c r="L789" s="1460">
        <v>672</v>
      </c>
      <c r="M789" s="1236"/>
      <c r="N789" s="1240" t="s">
        <v>1806</v>
      </c>
      <c r="O789" s="1241" t="s">
        <v>4859</v>
      </c>
      <c r="P789" s="910">
        <f t="shared" si="113"/>
        <v>0</v>
      </c>
      <c r="Q789" s="910">
        <f t="shared" si="114"/>
        <v>672</v>
      </c>
      <c r="R789" s="1344">
        <f t="shared" si="115"/>
        <v>3.4</v>
      </c>
      <c r="S789" s="1344">
        <f>(1/9)*cnst_fish!$C$7*(1/cnst_fish!$C$8)^(R789-1)</f>
        <v>35.424039418724846</v>
      </c>
      <c r="T789" s="1362">
        <f t="shared" si="116"/>
        <v>2056.7036331442969</v>
      </c>
      <c r="W789" s="1612"/>
      <c r="X789" s="1612"/>
      <c r="Y789" s="1613"/>
      <c r="Z789" s="1614"/>
      <c r="AA789" s="1614"/>
      <c r="AB789" s="1615"/>
      <c r="AC789" s="1615"/>
      <c r="AD789" s="583"/>
      <c r="AE789" s="583"/>
    </row>
    <row r="790" spans="1:31" ht="14">
      <c r="A790" s="1585" t="s">
        <v>8548</v>
      </c>
      <c r="B790" s="1586" t="s">
        <v>8549</v>
      </c>
      <c r="C790" s="1383">
        <v>16312</v>
      </c>
      <c r="D790" s="1236"/>
      <c r="E790" s="1236"/>
      <c r="F790" s="1344">
        <f>(1/S790)*cnst_fish!$C$6</f>
        <v>0.33043865638315079</v>
      </c>
      <c r="G790" s="1344">
        <f t="shared" si="117"/>
        <v>1</v>
      </c>
      <c r="H790" s="1344">
        <f t="shared" si="117"/>
        <v>0.367192066876738</v>
      </c>
      <c r="I790" s="1344">
        <f t="shared" si="111"/>
        <v>0</v>
      </c>
      <c r="J790" s="902">
        <f t="shared" si="112"/>
        <v>0</v>
      </c>
      <c r="L790" s="1460">
        <v>1</v>
      </c>
      <c r="M790" s="1236"/>
      <c r="N790" s="1240" t="s">
        <v>3932</v>
      </c>
      <c r="O790" s="1241" t="s">
        <v>4840</v>
      </c>
      <c r="P790" s="910">
        <f t="shared" si="113"/>
        <v>0</v>
      </c>
      <c r="Q790" s="910">
        <f t="shared" si="114"/>
        <v>1</v>
      </c>
      <c r="R790" s="1344">
        <f t="shared" si="115"/>
        <v>2.96</v>
      </c>
      <c r="S790" s="1344">
        <f>(1/9)*cnst_fish!$C$7*(1/cnst_fish!$C$8)^(R790-1)</f>
        <v>12.861691324250007</v>
      </c>
      <c r="T790" s="1362">
        <f t="shared" si="116"/>
        <v>1.1112261225604636</v>
      </c>
      <c r="W790" s="1616"/>
      <c r="X790" s="1616"/>
      <c r="Y790" s="1613"/>
      <c r="Z790" s="1614"/>
      <c r="AA790" s="1614"/>
      <c r="AB790" s="1615"/>
      <c r="AC790" s="1615"/>
      <c r="AD790" s="583"/>
      <c r="AE790" s="583"/>
    </row>
    <row r="791" spans="1:31" ht="14">
      <c r="A791" s="1384" t="s">
        <v>4527</v>
      </c>
      <c r="B791" s="19" t="s">
        <v>1335</v>
      </c>
      <c r="C791" s="1383">
        <v>16315</v>
      </c>
      <c r="D791" s="1236"/>
      <c r="E791" s="1236"/>
      <c r="F791" s="1344">
        <f>(1/S791)*cnst_fish!$C$6</f>
        <v>0.3314045734418738</v>
      </c>
      <c r="G791" s="1344">
        <f t="shared" si="117"/>
        <v>1</v>
      </c>
      <c r="H791" s="1344">
        <f t="shared" si="117"/>
        <v>0.367192066876738</v>
      </c>
      <c r="I791" s="1344">
        <f t="shared" si="111"/>
        <v>0</v>
      </c>
      <c r="J791" s="902">
        <f t="shared" si="112"/>
        <v>0</v>
      </c>
      <c r="L791" s="1460">
        <v>1422</v>
      </c>
      <c r="M791" s="1236"/>
      <c r="N791" s="1240" t="s">
        <v>3932</v>
      </c>
      <c r="O791" s="1241" t="s">
        <v>4840</v>
      </c>
      <c r="P791" s="910">
        <f t="shared" si="113"/>
        <v>0</v>
      </c>
      <c r="Q791" s="910">
        <f t="shared" si="114"/>
        <v>1422</v>
      </c>
      <c r="R791" s="1344">
        <f t="shared" si="115"/>
        <v>2.9587323501170402</v>
      </c>
      <c r="S791" s="1344">
        <f>(1/9)*cnst_fish!$C$7*(1/cnst_fish!$C$8)^(R791-1)</f>
        <v>12.824204433453367</v>
      </c>
      <c r="T791" s="1362">
        <f t="shared" si="116"/>
        <v>1575.5579763907592</v>
      </c>
      <c r="W791" s="1612"/>
      <c r="X791" s="1612"/>
      <c r="Y791" s="1613"/>
      <c r="Z791" s="1614"/>
      <c r="AA791" s="1614"/>
      <c r="AB791" s="1615"/>
      <c r="AC791" s="1615"/>
      <c r="AD791" s="583"/>
      <c r="AE791" s="583"/>
    </row>
    <row r="792" spans="1:31" ht="14">
      <c r="A792" s="1384" t="s">
        <v>5450</v>
      </c>
      <c r="B792" s="19" t="s">
        <v>3224</v>
      </c>
      <c r="C792" s="1383">
        <v>2977</v>
      </c>
      <c r="D792" s="1236"/>
      <c r="E792" s="1236">
        <v>2195</v>
      </c>
      <c r="F792" s="1344">
        <f>(1/S792)*cnst_fish!$C$6</f>
        <v>0.11724405960509449</v>
      </c>
      <c r="G792" s="1344">
        <f t="shared" si="117"/>
        <v>1</v>
      </c>
      <c r="H792" s="1344">
        <f t="shared" si="117"/>
        <v>0.367192066876738</v>
      </c>
      <c r="I792" s="1344">
        <f t="shared" si="111"/>
        <v>0</v>
      </c>
      <c r="J792" s="902">
        <f t="shared" si="112"/>
        <v>6874.4343168361111</v>
      </c>
      <c r="L792" s="1460"/>
      <c r="M792" s="1236">
        <v>2195</v>
      </c>
      <c r="N792" s="1240" t="s">
        <v>1806</v>
      </c>
      <c r="O792" s="1241" t="s">
        <v>4845</v>
      </c>
      <c r="P792" s="910">
        <f t="shared" si="113"/>
        <v>2195</v>
      </c>
      <c r="Q792" s="910">
        <f t="shared" si="114"/>
        <v>2195</v>
      </c>
      <c r="R792" s="1344">
        <f t="shared" si="115"/>
        <v>3.41</v>
      </c>
      <c r="S792" s="1344">
        <f>(1/9)*cnst_fish!$C$7*(1/cnst_fish!$C$8)^(R792-1)</f>
        <v>36.24917129545836</v>
      </c>
      <c r="T792" s="1362">
        <f t="shared" si="116"/>
        <v>6874.4343168361111</v>
      </c>
      <c r="W792" s="1612"/>
      <c r="X792" s="1612"/>
      <c r="Y792" s="1613"/>
      <c r="Z792" s="1614"/>
      <c r="AA792" s="1614"/>
      <c r="AB792" s="1615"/>
      <c r="AC792" s="1615"/>
      <c r="AD792" s="583"/>
      <c r="AE792" s="583"/>
    </row>
    <row r="793" spans="1:31" ht="14">
      <c r="A793" s="1384" t="s">
        <v>2383</v>
      </c>
      <c r="B793" s="19" t="s">
        <v>311</v>
      </c>
      <c r="C793" s="1383">
        <v>2188</v>
      </c>
      <c r="D793" s="1236"/>
      <c r="E793" s="1236">
        <v>797</v>
      </c>
      <c r="F793" s="1344">
        <f>(1/S793)*cnst_fish!$C$6</f>
        <v>4.0652835961739346E-2</v>
      </c>
      <c r="G793" s="1344">
        <f t="shared" si="117"/>
        <v>1</v>
      </c>
      <c r="H793" s="1344">
        <f t="shared" si="117"/>
        <v>0.367192066876738</v>
      </c>
      <c r="I793" s="1344">
        <f t="shared" si="111"/>
        <v>0</v>
      </c>
      <c r="J793" s="902">
        <f t="shared" si="112"/>
        <v>7198.8108671235477</v>
      </c>
      <c r="L793" s="1460"/>
      <c r="M793" s="1236">
        <v>797</v>
      </c>
      <c r="N793" s="1240" t="s">
        <v>1806</v>
      </c>
      <c r="O793" s="1241" t="s">
        <v>4845</v>
      </c>
      <c r="P793" s="910">
        <f t="shared" si="113"/>
        <v>797</v>
      </c>
      <c r="Q793" s="910">
        <f t="shared" si="114"/>
        <v>797</v>
      </c>
      <c r="R793" s="1344">
        <f t="shared" si="115"/>
        <v>3.87</v>
      </c>
      <c r="S793" s="1344">
        <f>(1/9)*cnst_fish!$C$7*(1/cnst_fish!$C$8)^(R793-1)</f>
        <v>104.54375197833461</v>
      </c>
      <c r="T793" s="1362">
        <f t="shared" si="116"/>
        <v>7198.8108671235477</v>
      </c>
      <c r="W793" s="1612"/>
      <c r="X793" s="1612"/>
      <c r="Y793" s="1613"/>
      <c r="Z793" s="1614"/>
      <c r="AA793" s="1614"/>
      <c r="AB793" s="1615"/>
      <c r="AC793" s="1615"/>
      <c r="AD793" s="583"/>
      <c r="AE793" s="583"/>
    </row>
    <row r="794" spans="1:31" ht="14">
      <c r="A794" s="1384" t="s">
        <v>1309</v>
      </c>
      <c r="B794" s="19" t="s">
        <v>312</v>
      </c>
      <c r="C794" s="1383">
        <v>2976</v>
      </c>
      <c r="D794" s="1236"/>
      <c r="E794" s="1236">
        <v>807</v>
      </c>
      <c r="F794" s="1344">
        <f>(1/S794)*cnst_fish!$C$6</f>
        <v>7.9266712664847111E-2</v>
      </c>
      <c r="G794" s="1344">
        <f t="shared" si="117"/>
        <v>1</v>
      </c>
      <c r="H794" s="1344">
        <f t="shared" si="117"/>
        <v>0.367192066876738</v>
      </c>
      <c r="I794" s="1344">
        <f t="shared" si="111"/>
        <v>0</v>
      </c>
      <c r="J794" s="902">
        <f t="shared" si="112"/>
        <v>3738.3157192658523</v>
      </c>
      <c r="L794" s="1460"/>
      <c r="M794" s="1236">
        <v>10205</v>
      </c>
      <c r="N794" s="1240" t="s">
        <v>1806</v>
      </c>
      <c r="O794" s="1241" t="s">
        <v>4845</v>
      </c>
      <c r="P794" s="910">
        <f t="shared" si="113"/>
        <v>807</v>
      </c>
      <c r="Q794" s="910">
        <f t="shared" si="114"/>
        <v>10205</v>
      </c>
      <c r="R794" s="1344">
        <f t="shared" si="115"/>
        <v>3.58</v>
      </c>
      <c r="S794" s="1344">
        <f>(1/9)*cnst_fish!$C$7*(1/cnst_fish!$C$8)^(R794-1)</f>
        <v>53.616453327258682</v>
      </c>
      <c r="T794" s="1362">
        <f t="shared" si="116"/>
        <v>47273.248965437451</v>
      </c>
      <c r="W794" s="1612"/>
      <c r="X794" s="1612"/>
      <c r="Y794" s="1613"/>
      <c r="Z794" s="1614"/>
      <c r="AA794" s="1614"/>
      <c r="AB794" s="1615"/>
      <c r="AC794" s="1615"/>
      <c r="AD794" s="583"/>
      <c r="AE794" s="583"/>
    </row>
    <row r="795" spans="1:31" ht="14">
      <c r="A795" s="1384" t="s">
        <v>2640</v>
      </c>
      <c r="B795" s="19" t="s">
        <v>4996</v>
      </c>
      <c r="C795" s="1383">
        <v>2954</v>
      </c>
      <c r="D795" s="1236"/>
      <c r="E795" s="1236">
        <v>1475</v>
      </c>
      <c r="F795" s="1344">
        <f>(1/S795)*cnst_fish!$C$6</f>
        <v>0.23393265378401026</v>
      </c>
      <c r="G795" s="1344">
        <f t="shared" si="117"/>
        <v>1</v>
      </c>
      <c r="H795" s="1344">
        <f t="shared" si="117"/>
        <v>0.367192066876738</v>
      </c>
      <c r="I795" s="1344">
        <f t="shared" si="111"/>
        <v>0</v>
      </c>
      <c r="J795" s="902">
        <f t="shared" si="112"/>
        <v>2315.2317125562763</v>
      </c>
      <c r="L795" s="1460"/>
      <c r="M795" s="1236">
        <v>1475</v>
      </c>
      <c r="N795" s="1240" t="s">
        <v>1806</v>
      </c>
      <c r="O795" s="1241" t="s">
        <v>4845</v>
      </c>
      <c r="P795" s="910">
        <f t="shared" si="113"/>
        <v>1475</v>
      </c>
      <c r="Q795" s="910">
        <f t="shared" si="114"/>
        <v>1475</v>
      </c>
      <c r="R795" s="1344">
        <f t="shared" si="115"/>
        <v>3.11</v>
      </c>
      <c r="S795" s="1344">
        <f>(1/9)*cnst_fish!$C$7*(1/cnst_fish!$C$8)^(R795-1)</f>
        <v>18.16762188285189</v>
      </c>
      <c r="T795" s="1362">
        <f t="shared" si="116"/>
        <v>2315.2317125562763</v>
      </c>
      <c r="W795" s="1612"/>
      <c r="X795" s="1612"/>
      <c r="Y795" s="1613"/>
      <c r="Z795" s="1614"/>
      <c r="AA795" s="1614"/>
      <c r="AB795" s="1615"/>
      <c r="AC795" s="1615"/>
      <c r="AD795" s="583"/>
      <c r="AE795" s="583"/>
    </row>
    <row r="796" spans="1:31" ht="14">
      <c r="A796" s="1384" t="s">
        <v>132</v>
      </c>
      <c r="B796" s="19" t="s">
        <v>219</v>
      </c>
      <c r="C796" s="1383">
        <v>2112</v>
      </c>
      <c r="D796" s="1236"/>
      <c r="E796" s="1236"/>
      <c r="F796" s="1344">
        <f>(1/S796)*cnst_fish!$C$6</f>
        <v>0.10941852286935322</v>
      </c>
      <c r="G796" s="1344">
        <f t="shared" si="117"/>
        <v>1</v>
      </c>
      <c r="H796" s="1344">
        <f t="shared" si="117"/>
        <v>0.367192066876738</v>
      </c>
      <c r="I796" s="1344">
        <f t="shared" si="111"/>
        <v>0</v>
      </c>
      <c r="J796" s="902">
        <f t="shared" si="112"/>
        <v>0</v>
      </c>
      <c r="L796" s="1460">
        <v>21001</v>
      </c>
      <c r="M796" s="1236"/>
      <c r="N796" s="1240" t="s">
        <v>1806</v>
      </c>
      <c r="O796" s="1241" t="s">
        <v>4845</v>
      </c>
      <c r="P796" s="910">
        <f t="shared" si="113"/>
        <v>0</v>
      </c>
      <c r="Q796" s="910">
        <f t="shared" si="114"/>
        <v>21001</v>
      </c>
      <c r="R796" s="1344">
        <f t="shared" si="115"/>
        <v>3.44</v>
      </c>
      <c r="S796" s="1344">
        <f>(1/9)*cnst_fish!$C$7*(1/cnst_fish!$C$8)^(R796-1)</f>
        <v>38.841686841948523</v>
      </c>
      <c r="T796" s="1362">
        <f t="shared" si="116"/>
        <v>70476.189901465434</v>
      </c>
      <c r="W796" s="1612"/>
      <c r="X796" s="1612"/>
      <c r="Y796" s="1613"/>
      <c r="Z796" s="1614"/>
      <c r="AA796" s="1614"/>
      <c r="AB796" s="1615"/>
      <c r="AC796" s="1615"/>
      <c r="AD796" s="583"/>
      <c r="AE796" s="583"/>
    </row>
    <row r="797" spans="1:31" ht="14">
      <c r="A797" s="1384" t="s">
        <v>418</v>
      </c>
      <c r="B797" s="19" t="s">
        <v>220</v>
      </c>
      <c r="C797" s="1383">
        <v>2924</v>
      </c>
      <c r="D797" s="1236"/>
      <c r="E797" s="1236"/>
      <c r="F797" s="1344">
        <f>(1/S797)*cnst_fish!$C$6</f>
        <v>4.8875458843134996E-2</v>
      </c>
      <c r="G797" s="1344">
        <f t="shared" si="117"/>
        <v>1</v>
      </c>
      <c r="H797" s="1344">
        <f t="shared" si="117"/>
        <v>0.367192066876738</v>
      </c>
      <c r="I797" s="1344">
        <f t="shared" si="111"/>
        <v>0</v>
      </c>
      <c r="J797" s="902">
        <f t="shared" si="112"/>
        <v>0</v>
      </c>
      <c r="L797" s="1460">
        <v>84053</v>
      </c>
      <c r="M797" s="1236"/>
      <c r="N797" s="1240" t="s">
        <v>1806</v>
      </c>
      <c r="O797" s="1241" t="s">
        <v>4845</v>
      </c>
      <c r="P797" s="910">
        <f t="shared" si="113"/>
        <v>0</v>
      </c>
      <c r="Q797" s="910">
        <f t="shared" si="114"/>
        <v>84053</v>
      </c>
      <c r="R797" s="1344">
        <f t="shared" si="115"/>
        <v>3.79</v>
      </c>
      <c r="S797" s="1344">
        <f>(1/9)*cnst_fish!$C$7*(1/cnst_fish!$C$8)^(R797-1)</f>
        <v>86.955705390721903</v>
      </c>
      <c r="T797" s="1362">
        <f t="shared" si="116"/>
        <v>631474.27211367316</v>
      </c>
      <c r="W797" s="1612"/>
      <c r="X797" s="1612"/>
      <c r="Y797" s="1613"/>
      <c r="Z797" s="1614"/>
      <c r="AA797" s="1614"/>
      <c r="AB797" s="1615"/>
      <c r="AC797" s="1615"/>
      <c r="AD797" s="583"/>
      <c r="AE797" s="583"/>
    </row>
    <row r="798" spans="1:31" ht="14">
      <c r="A798" s="1384" t="s">
        <v>3669</v>
      </c>
      <c r="B798" s="19" t="s">
        <v>4615</v>
      </c>
      <c r="C798" s="1383">
        <v>3565</v>
      </c>
      <c r="D798" s="1236"/>
      <c r="E798" s="1236"/>
      <c r="F798" s="1344">
        <f>(1/S798)*cnst_fish!$C$6</f>
        <v>4.7762917572805388E-2</v>
      </c>
      <c r="G798" s="1344">
        <f t="shared" si="117"/>
        <v>1</v>
      </c>
      <c r="H798" s="1344">
        <f t="shared" si="117"/>
        <v>0.367192066876738</v>
      </c>
      <c r="I798" s="1344">
        <f t="shared" si="111"/>
        <v>0</v>
      </c>
      <c r="J798" s="902">
        <f t="shared" si="112"/>
        <v>0</v>
      </c>
      <c r="L798" s="1460">
        <v>525402</v>
      </c>
      <c r="M798" s="1236"/>
      <c r="N798" s="1240" t="s">
        <v>5368</v>
      </c>
      <c r="O798" s="1241" t="s">
        <v>4835</v>
      </c>
      <c r="P798" s="910">
        <f t="shared" si="113"/>
        <v>0</v>
      </c>
      <c r="Q798" s="910">
        <f t="shared" si="114"/>
        <v>525402</v>
      </c>
      <c r="R798" s="1344">
        <f t="shared" si="115"/>
        <v>3.8</v>
      </c>
      <c r="S798" s="1344">
        <f>(1/9)*cnst_fish!$C$7*(1/cnst_fish!$C$8)^(R798-1)</f>
        <v>88.981163965155432</v>
      </c>
      <c r="T798" s="1362">
        <f t="shared" si="116"/>
        <v>4039188.8964298959</v>
      </c>
      <c r="W798" s="1612"/>
      <c r="X798" s="1612"/>
      <c r="Y798" s="1613"/>
      <c r="Z798" s="1614"/>
      <c r="AA798" s="1614"/>
      <c r="AB798" s="1615"/>
      <c r="AC798" s="1615"/>
      <c r="AD798" s="583"/>
      <c r="AE798" s="583"/>
    </row>
    <row r="799" spans="1:31" ht="14">
      <c r="A799" s="1384" t="s">
        <v>2939</v>
      </c>
      <c r="B799" s="19" t="s">
        <v>4616</v>
      </c>
      <c r="C799" s="1383">
        <v>3564</v>
      </c>
      <c r="D799" s="1236"/>
      <c r="E799" s="1236"/>
      <c r="F799" s="1344">
        <f>(1/S799)*cnst_fish!$C$6</f>
        <v>2.1334911593031029E-2</v>
      </c>
      <c r="G799" s="1344">
        <f t="shared" si="117"/>
        <v>1</v>
      </c>
      <c r="H799" s="1344">
        <f t="shared" si="117"/>
        <v>0.367192066876738</v>
      </c>
      <c r="I799" s="1344">
        <f t="shared" si="111"/>
        <v>0</v>
      </c>
      <c r="J799" s="902">
        <f t="shared" si="112"/>
        <v>0</v>
      </c>
      <c r="L799" s="1460">
        <v>3983</v>
      </c>
      <c r="M799" s="1236"/>
      <c r="N799" s="1240" t="s">
        <v>5368</v>
      </c>
      <c r="O799" s="1241" t="s">
        <v>4835</v>
      </c>
      <c r="P799" s="910">
        <f t="shared" si="113"/>
        <v>0</v>
      </c>
      <c r="Q799" s="910">
        <f t="shared" si="114"/>
        <v>3983</v>
      </c>
      <c r="R799" s="1344">
        <f t="shared" si="115"/>
        <v>4.1500000000000004</v>
      </c>
      <c r="S799" s="1344">
        <f>(1/9)*cnst_fish!$C$7*(1/cnst_fish!$C$8)^(R799-1)</f>
        <v>199.20401270320929</v>
      </c>
      <c r="T799" s="1362">
        <f t="shared" si="116"/>
        <v>68550.834907034543</v>
      </c>
      <c r="W799" s="1612"/>
      <c r="X799" s="1612"/>
      <c r="Y799" s="1613"/>
      <c r="Z799" s="1614"/>
      <c r="AA799" s="1614"/>
      <c r="AB799" s="1615"/>
      <c r="AC799" s="1615"/>
      <c r="AD799" s="583"/>
      <c r="AE799" s="583"/>
    </row>
    <row r="800" spans="1:31" ht="14">
      <c r="A800" s="1384" t="s">
        <v>1983</v>
      </c>
      <c r="B800" s="19" t="s">
        <v>4617</v>
      </c>
      <c r="C800" s="1383">
        <v>2720</v>
      </c>
      <c r="D800" s="1236">
        <v>3792</v>
      </c>
      <c r="E800" s="1236"/>
      <c r="F800" s="1344">
        <f>(1/S800)*cnst_fish!$C$6</f>
        <v>3.1556646698079359E-2</v>
      </c>
      <c r="G800" s="1344">
        <f t="shared" si="117"/>
        <v>1</v>
      </c>
      <c r="H800" s="1344">
        <f t="shared" si="117"/>
        <v>0.367192066876738</v>
      </c>
      <c r="I800" s="1344">
        <f t="shared" si="111"/>
        <v>44123.582930671022</v>
      </c>
      <c r="J800" s="902">
        <f t="shared" si="112"/>
        <v>0</v>
      </c>
      <c r="L800" s="1460">
        <v>12772</v>
      </c>
      <c r="M800" s="1236"/>
      <c r="N800" s="1240" t="s">
        <v>5368</v>
      </c>
      <c r="O800" s="1241" t="s">
        <v>4835</v>
      </c>
      <c r="P800" s="910">
        <f t="shared" si="113"/>
        <v>3792</v>
      </c>
      <c r="Q800" s="910">
        <f t="shared" si="114"/>
        <v>12772</v>
      </c>
      <c r="R800" s="1344">
        <f t="shared" si="115"/>
        <v>3.98</v>
      </c>
      <c r="S800" s="1344">
        <f>(1/9)*cnst_fish!$C$7*(1/cnst_fish!$C$8)^(R800-1)</f>
        <v>134.67844161840773</v>
      </c>
      <c r="T800" s="1362">
        <f t="shared" si="116"/>
        <v>148614.55727598374</v>
      </c>
      <c r="W800" s="1612"/>
      <c r="X800" s="1612"/>
      <c r="Y800" s="1613"/>
      <c r="Z800" s="1614"/>
      <c r="AA800" s="1614"/>
      <c r="AB800" s="1615"/>
      <c r="AC800" s="1615"/>
      <c r="AD800" s="583"/>
      <c r="AE800" s="583"/>
    </row>
    <row r="801" spans="1:31" ht="14">
      <c r="A801" s="1384" t="s">
        <v>3061</v>
      </c>
      <c r="B801" s="19" t="s">
        <v>850</v>
      </c>
      <c r="C801" s="1383">
        <v>3625</v>
      </c>
      <c r="D801" s="1236"/>
      <c r="E801" s="1236"/>
      <c r="F801" s="1344">
        <f>(1/S801)*cnst_fish!$C$6</f>
        <v>1.5103960722494616</v>
      </c>
      <c r="G801" s="1344">
        <f t="shared" si="117"/>
        <v>1</v>
      </c>
      <c r="H801" s="1344">
        <f t="shared" si="117"/>
        <v>0.367192066876738</v>
      </c>
      <c r="I801" s="1344">
        <f t="shared" si="111"/>
        <v>0</v>
      </c>
      <c r="J801" s="902">
        <f t="shared" si="112"/>
        <v>0</v>
      </c>
      <c r="L801" s="1460">
        <v>13187</v>
      </c>
      <c r="M801" s="1236">
        <v>35246</v>
      </c>
      <c r="N801" s="1240" t="s">
        <v>1806</v>
      </c>
      <c r="O801" s="1241"/>
      <c r="P801" s="910">
        <f t="shared" si="113"/>
        <v>0</v>
      </c>
      <c r="Q801" s="910">
        <f t="shared" si="114"/>
        <v>48433</v>
      </c>
      <c r="R801" s="1344">
        <f t="shared" si="115"/>
        <v>2.2999999999999998</v>
      </c>
      <c r="S801" s="1344">
        <f>(1/9)*cnst_fish!$C$7*(1/cnst_fish!$C$8)^(R801-1)</f>
        <v>2.8138314698279068</v>
      </c>
      <c r="T801" s="1362">
        <f t="shared" si="116"/>
        <v>11774.536296664677</v>
      </c>
      <c r="W801" s="1612"/>
      <c r="X801" s="1612"/>
      <c r="Y801" s="1613"/>
      <c r="Z801" s="1614"/>
      <c r="AA801" s="1614"/>
      <c r="AB801" s="1615"/>
      <c r="AC801" s="1615"/>
      <c r="AD801" s="583"/>
      <c r="AE801" s="583"/>
    </row>
    <row r="802" spans="1:31" ht="14">
      <c r="A802" s="1384" t="s">
        <v>4478</v>
      </c>
      <c r="B802" s="19" t="s">
        <v>3129</v>
      </c>
      <c r="C802" s="1383">
        <v>3143</v>
      </c>
      <c r="D802" s="1236"/>
      <c r="E802" s="1236"/>
      <c r="F802" s="1344">
        <f>(1/S802)*cnst_fish!$C$6</f>
        <v>0.37075827047664034</v>
      </c>
      <c r="G802" s="1344">
        <f t="shared" si="117"/>
        <v>1</v>
      </c>
      <c r="H802" s="1344">
        <f t="shared" si="117"/>
        <v>0.367192066876738</v>
      </c>
      <c r="I802" s="1344">
        <f t="shared" si="111"/>
        <v>0</v>
      </c>
      <c r="J802" s="902">
        <f t="shared" si="112"/>
        <v>0</v>
      </c>
      <c r="L802" s="1460">
        <v>2300</v>
      </c>
      <c r="M802" s="1236"/>
      <c r="N802" s="1240" t="s">
        <v>1806</v>
      </c>
      <c r="O802" s="1241" t="s">
        <v>4841</v>
      </c>
      <c r="P802" s="910">
        <f t="shared" si="113"/>
        <v>0</v>
      </c>
      <c r="Q802" s="910">
        <f t="shared" si="114"/>
        <v>2300</v>
      </c>
      <c r="R802" s="1344">
        <f t="shared" si="115"/>
        <v>2.91</v>
      </c>
      <c r="S802" s="1344">
        <f>(1/9)*cnst_fish!$C$7*(1/cnst_fish!$C$8)^(R802-1)</f>
        <v>11.462994458724479</v>
      </c>
      <c r="T802" s="1362">
        <f t="shared" si="116"/>
        <v>2277.8770456846969</v>
      </c>
      <c r="W802" s="1612"/>
      <c r="X802" s="1612"/>
      <c r="Y802" s="1613"/>
      <c r="Z802" s="1614"/>
      <c r="AA802" s="1614"/>
      <c r="AB802" s="1615"/>
      <c r="AC802" s="1615"/>
      <c r="AD802" s="583"/>
      <c r="AE802" s="583"/>
    </row>
    <row r="803" spans="1:31" ht="14">
      <c r="A803" s="1384" t="s">
        <v>6463</v>
      </c>
      <c r="B803" s="19" t="s">
        <v>6462</v>
      </c>
      <c r="C803" s="1383">
        <v>12890</v>
      </c>
      <c r="D803" s="1236"/>
      <c r="E803" s="1236"/>
      <c r="F803" s="1344">
        <f>(1/S803)*cnst_fish!$C$6</f>
        <v>3.0136363636363641</v>
      </c>
      <c r="G803" s="1344">
        <f t="shared" si="117"/>
        <v>1</v>
      </c>
      <c r="H803" s="1344">
        <f t="shared" si="117"/>
        <v>0.367192066876738</v>
      </c>
      <c r="I803" s="1344">
        <f t="shared" si="111"/>
        <v>0</v>
      </c>
      <c r="J803" s="902">
        <f t="shared" si="112"/>
        <v>0</v>
      </c>
      <c r="L803" s="1460">
        <v>75</v>
      </c>
      <c r="M803" s="1236"/>
      <c r="N803" s="1240" t="s">
        <v>1806</v>
      </c>
      <c r="O803" s="1241" t="s">
        <v>4841</v>
      </c>
      <c r="P803" s="910">
        <f t="shared" si="113"/>
        <v>0</v>
      </c>
      <c r="Q803" s="910">
        <f t="shared" si="114"/>
        <v>75</v>
      </c>
      <c r="R803" s="1344">
        <f t="shared" si="115"/>
        <v>2</v>
      </c>
      <c r="S803" s="1344">
        <f>(1/9)*cnst_fish!$C$7*(1/cnst_fish!$C$8)^(R803-1)</f>
        <v>1.4102564102564099</v>
      </c>
      <c r="T803" s="1362">
        <f t="shared" si="116"/>
        <v>9.1382641077921214</v>
      </c>
      <c r="W803" s="1612"/>
      <c r="X803" s="1612"/>
      <c r="Y803" s="1613"/>
      <c r="Z803" s="1614"/>
      <c r="AA803" s="1614"/>
      <c r="AB803" s="1615"/>
      <c r="AC803" s="1615"/>
      <c r="AD803" s="583"/>
      <c r="AE803" s="583"/>
    </row>
    <row r="804" spans="1:31" ht="14">
      <c r="A804" s="1585" t="s">
        <v>8550</v>
      </c>
      <c r="B804" s="1586" t="s">
        <v>8551</v>
      </c>
      <c r="C804" s="1383">
        <v>12892</v>
      </c>
      <c r="D804" s="1236">
        <v>0</v>
      </c>
      <c r="E804" s="1236"/>
      <c r="F804" s="1344">
        <f>(1/S804)*cnst_fish!$C$6</f>
        <v>7.5699122913220479E-2</v>
      </c>
      <c r="G804" s="1344">
        <f t="shared" si="117"/>
        <v>1</v>
      </c>
      <c r="H804" s="1344">
        <f t="shared" si="117"/>
        <v>0.367192066876738</v>
      </c>
      <c r="I804" s="1344">
        <f t="shared" si="111"/>
        <v>0</v>
      </c>
      <c r="J804" s="902">
        <f t="shared" si="112"/>
        <v>0</v>
      </c>
      <c r="L804" s="1460">
        <v>0</v>
      </c>
      <c r="M804" s="1236"/>
      <c r="N804" s="1240" t="s">
        <v>1809</v>
      </c>
      <c r="O804" s="1241" t="s">
        <v>4841</v>
      </c>
      <c r="P804" s="910">
        <f t="shared" si="113"/>
        <v>0</v>
      </c>
      <c r="Q804" s="910">
        <f t="shared" si="114"/>
        <v>0</v>
      </c>
      <c r="R804" s="1344">
        <f t="shared" si="115"/>
        <v>3.6</v>
      </c>
      <c r="S804" s="1344">
        <f>(1/9)*cnst_fish!$C$7*(1/cnst_fish!$C$8)^(R804-1)</f>
        <v>56.143318924211187</v>
      </c>
      <c r="T804" s="1362">
        <f t="shared" si="116"/>
        <v>0</v>
      </c>
      <c r="W804" s="1616"/>
      <c r="X804" s="1616"/>
      <c r="Y804" s="1613"/>
      <c r="Z804" s="1617"/>
      <c r="AA804" s="1617"/>
      <c r="AB804" s="1615"/>
      <c r="AC804" s="1615"/>
      <c r="AD804" s="583"/>
      <c r="AE804" s="583"/>
    </row>
    <row r="805" spans="1:31" ht="14">
      <c r="A805" s="1384" t="s">
        <v>4558</v>
      </c>
      <c r="B805" s="19" t="s">
        <v>4264</v>
      </c>
      <c r="C805" s="1383">
        <v>3300</v>
      </c>
      <c r="D805" s="1236">
        <v>215</v>
      </c>
      <c r="E805" s="1236"/>
      <c r="F805" s="1344">
        <f>(1/S805)*cnst_fish!$C$6</f>
        <v>1.0211530705467781E-2</v>
      </c>
      <c r="G805" s="1344">
        <f t="shared" si="117"/>
        <v>1</v>
      </c>
      <c r="H805" s="1344">
        <f t="shared" si="117"/>
        <v>0.367192066876738</v>
      </c>
      <c r="I805" s="1344">
        <f t="shared" si="111"/>
        <v>7731.0930805140451</v>
      </c>
      <c r="J805" s="902">
        <f t="shared" si="112"/>
        <v>0</v>
      </c>
      <c r="L805" s="1460">
        <v>13822</v>
      </c>
      <c r="M805" s="1236"/>
      <c r="N805" s="1240" t="s">
        <v>1806</v>
      </c>
      <c r="O805" s="1241" t="s">
        <v>4859</v>
      </c>
      <c r="P805" s="910">
        <f t="shared" si="113"/>
        <v>215</v>
      </c>
      <c r="Q805" s="910">
        <f t="shared" si="114"/>
        <v>13822</v>
      </c>
      <c r="R805" s="1344">
        <f t="shared" si="115"/>
        <v>4.47</v>
      </c>
      <c r="S805" s="1344">
        <f>(1/9)*cnst_fish!$C$7*(1/cnst_fish!$C$8)^(R805-1)</f>
        <v>416.19617299141356</v>
      </c>
      <c r="T805" s="1362">
        <f t="shared" si="116"/>
        <v>497019.38864588435</v>
      </c>
      <c r="W805" s="1612"/>
      <c r="X805" s="1612"/>
      <c r="Y805" s="1613"/>
      <c r="Z805" s="1614"/>
      <c r="AA805" s="1614"/>
      <c r="AB805" s="1615"/>
      <c r="AC805" s="1615"/>
      <c r="AD805" s="583"/>
      <c r="AE805" s="583"/>
    </row>
    <row r="806" spans="1:31" ht="14">
      <c r="A806" s="1384" t="s">
        <v>3086</v>
      </c>
      <c r="B806" s="19" t="s">
        <v>2529</v>
      </c>
      <c r="C806" s="1383">
        <v>2499</v>
      </c>
      <c r="D806" s="1236">
        <v>0</v>
      </c>
      <c r="E806" s="1236"/>
      <c r="F806" s="1344">
        <f>(1/S806)*cnst_fish!$C$6</f>
        <v>9.5299549485983424E-3</v>
      </c>
      <c r="G806" s="1344">
        <f t="shared" si="117"/>
        <v>1</v>
      </c>
      <c r="H806" s="1344">
        <f t="shared" si="117"/>
        <v>0.367192066876738</v>
      </c>
      <c r="I806" s="1344">
        <f t="shared" si="111"/>
        <v>0</v>
      </c>
      <c r="J806" s="902">
        <f t="shared" si="112"/>
        <v>0</v>
      </c>
      <c r="L806" s="1460">
        <v>2083</v>
      </c>
      <c r="M806" s="1236"/>
      <c r="N806" s="1240" t="s">
        <v>1806</v>
      </c>
      <c r="O806" s="1241" t="s">
        <v>4859</v>
      </c>
      <c r="P806" s="910">
        <f t="shared" si="113"/>
        <v>0</v>
      </c>
      <c r="Q806" s="910">
        <f t="shared" si="114"/>
        <v>2083</v>
      </c>
      <c r="R806" s="1344">
        <f t="shared" si="115"/>
        <v>4.5</v>
      </c>
      <c r="S806" s="1344">
        <f>(1/9)*cnst_fish!$C$7*(1/cnst_fish!$C$8)^(R806-1)</f>
        <v>445.96223412630997</v>
      </c>
      <c r="T806" s="1362">
        <f t="shared" si="116"/>
        <v>80258.624456219521</v>
      </c>
      <c r="W806" s="1612"/>
      <c r="X806" s="1612"/>
      <c r="Y806" s="1613"/>
      <c r="Z806" s="1614"/>
      <c r="AA806" s="1614"/>
      <c r="AB806" s="1615"/>
      <c r="AC806" s="1615"/>
      <c r="AD806" s="583"/>
      <c r="AE806" s="583"/>
    </row>
    <row r="807" spans="1:31" ht="14">
      <c r="A807" s="1384" t="s">
        <v>5218</v>
      </c>
      <c r="B807" s="19" t="s">
        <v>2530</v>
      </c>
      <c r="C807" s="1383">
        <v>3301</v>
      </c>
      <c r="D807" s="1236">
        <v>5</v>
      </c>
      <c r="E807" s="1236"/>
      <c r="F807" s="1344">
        <f>(1/S807)*cnst_fish!$C$6</f>
        <v>9.5299549485983424E-3</v>
      </c>
      <c r="G807" s="1344">
        <f t="shared" si="117"/>
        <v>1</v>
      </c>
      <c r="H807" s="1344">
        <f t="shared" si="117"/>
        <v>0.367192066876738</v>
      </c>
      <c r="I807" s="1344">
        <f t="shared" si="111"/>
        <v>192.65152293859703</v>
      </c>
      <c r="J807" s="902">
        <f t="shared" si="112"/>
        <v>0</v>
      </c>
      <c r="L807" s="1460">
        <v>31618</v>
      </c>
      <c r="M807" s="1236"/>
      <c r="N807" s="1240" t="s">
        <v>1806</v>
      </c>
      <c r="O807" s="1241" t="s">
        <v>4859</v>
      </c>
      <c r="P807" s="910">
        <f t="shared" si="113"/>
        <v>5</v>
      </c>
      <c r="Q807" s="910">
        <f t="shared" si="114"/>
        <v>31618</v>
      </c>
      <c r="R807" s="1344">
        <f t="shared" si="115"/>
        <v>4.5</v>
      </c>
      <c r="S807" s="1344">
        <f>(1/9)*cnst_fish!$C$7*(1/cnst_fish!$C$8)^(R807-1)</f>
        <v>445.96223412630997</v>
      </c>
      <c r="T807" s="1362">
        <f t="shared" si="116"/>
        <v>1218251.1704545121</v>
      </c>
      <c r="W807" s="1612"/>
      <c r="X807" s="1612"/>
      <c r="Y807" s="1613"/>
      <c r="Z807" s="1614"/>
      <c r="AA807" s="1614"/>
      <c r="AB807" s="1615"/>
      <c r="AC807" s="1615"/>
      <c r="AD807" s="583"/>
      <c r="AE807" s="583"/>
    </row>
    <row r="808" spans="1:31" ht="14">
      <c r="A808" s="1384" t="s">
        <v>130</v>
      </c>
      <c r="B808" s="19" t="s">
        <v>5007</v>
      </c>
      <c r="C808" s="1383">
        <v>2011</v>
      </c>
      <c r="D808" s="1236">
        <v>161</v>
      </c>
      <c r="E808" s="1236"/>
      <c r="F808" s="1344">
        <f>(1/S808)*cnst_fish!$C$6</f>
        <v>9.5299549485983424E-3</v>
      </c>
      <c r="G808" s="1344">
        <f t="shared" ref="G808:H827" si="118">G$7</f>
        <v>1</v>
      </c>
      <c r="H808" s="1344">
        <f t="shared" si="118"/>
        <v>0.367192066876738</v>
      </c>
      <c r="I808" s="1344">
        <f t="shared" si="111"/>
        <v>6203.3790386228247</v>
      </c>
      <c r="J808" s="902">
        <f t="shared" si="112"/>
        <v>0</v>
      </c>
      <c r="L808" s="1460">
        <v>10819</v>
      </c>
      <c r="M808" s="1236"/>
      <c r="N808" s="1240" t="s">
        <v>1806</v>
      </c>
      <c r="O808" s="1241" t="s">
        <v>4841</v>
      </c>
      <c r="P808" s="910">
        <f t="shared" si="113"/>
        <v>161</v>
      </c>
      <c r="Q808" s="910">
        <f t="shared" si="114"/>
        <v>10819</v>
      </c>
      <c r="R808" s="1344">
        <f t="shared" si="115"/>
        <v>4.5</v>
      </c>
      <c r="S808" s="1344">
        <f>(1/9)*cnst_fish!$C$7*(1/cnst_fish!$C$8)^(R808-1)</f>
        <v>445.96223412630997</v>
      </c>
      <c r="T808" s="1362">
        <f t="shared" si="116"/>
        <v>416859.36533453624</v>
      </c>
      <c r="W808" s="1612"/>
      <c r="X808" s="1612"/>
      <c r="Y808" s="1613"/>
      <c r="Z808" s="1614"/>
      <c r="AA808" s="1614"/>
      <c r="AB808" s="1615"/>
      <c r="AC808" s="1615"/>
      <c r="AD808" s="583"/>
      <c r="AE808" s="583"/>
    </row>
    <row r="809" spans="1:31" ht="14">
      <c r="A809" s="1384" t="s">
        <v>4518</v>
      </c>
      <c r="B809" s="19" t="s">
        <v>5008</v>
      </c>
      <c r="C809" s="1383">
        <v>2797</v>
      </c>
      <c r="D809" s="1236">
        <v>0</v>
      </c>
      <c r="E809" s="1236"/>
      <c r="F809" s="1344">
        <f>(1/S809)*cnst_fish!$C$6</f>
        <v>9.5299549485983424E-3</v>
      </c>
      <c r="G809" s="1344">
        <f t="shared" si="118"/>
        <v>1</v>
      </c>
      <c r="H809" s="1344">
        <f t="shared" si="118"/>
        <v>0.367192066876738</v>
      </c>
      <c r="I809" s="1344">
        <f t="shared" si="111"/>
        <v>0</v>
      </c>
      <c r="J809" s="902">
        <f t="shared" si="112"/>
        <v>0</v>
      </c>
      <c r="L809" s="1460">
        <v>20</v>
      </c>
      <c r="M809" s="1236"/>
      <c r="N809" s="1240" t="s">
        <v>1806</v>
      </c>
      <c r="O809" s="1241" t="s">
        <v>4841</v>
      </c>
      <c r="P809" s="910">
        <f t="shared" si="113"/>
        <v>0</v>
      </c>
      <c r="Q809" s="910">
        <f t="shared" si="114"/>
        <v>20</v>
      </c>
      <c r="R809" s="1344">
        <f t="shared" si="115"/>
        <v>4.5</v>
      </c>
      <c r="S809" s="1344">
        <f>(1/9)*cnst_fish!$C$7*(1/cnst_fish!$C$8)^(R809-1)</f>
        <v>445.96223412630997</v>
      </c>
      <c r="T809" s="1362">
        <f t="shared" si="116"/>
        <v>770.6060917543881</v>
      </c>
      <c r="W809" s="1612"/>
      <c r="X809" s="1612"/>
      <c r="Y809" s="1613"/>
      <c r="Z809" s="1614"/>
      <c r="AA809" s="1614"/>
      <c r="AB809" s="1615"/>
      <c r="AC809" s="1615"/>
      <c r="AD809" s="583"/>
      <c r="AE809" s="583"/>
    </row>
    <row r="810" spans="1:31" ht="14">
      <c r="A810" s="1384" t="s">
        <v>4275</v>
      </c>
      <c r="B810" s="19" t="s">
        <v>5009</v>
      </c>
      <c r="C810" s="1383">
        <v>2010</v>
      </c>
      <c r="D810" s="1236">
        <v>44</v>
      </c>
      <c r="E810" s="1236"/>
      <c r="F810" s="1344">
        <f>(1/S810)*cnst_fish!$C$6</f>
        <v>9.5299549485983424E-3</v>
      </c>
      <c r="G810" s="1344">
        <f t="shared" si="118"/>
        <v>1</v>
      </c>
      <c r="H810" s="1344">
        <f t="shared" si="118"/>
        <v>0.367192066876738</v>
      </c>
      <c r="I810" s="1344">
        <f t="shared" si="111"/>
        <v>1695.333401859654</v>
      </c>
      <c r="J810" s="902">
        <f t="shared" si="112"/>
        <v>0</v>
      </c>
      <c r="L810" s="1460">
        <v>44</v>
      </c>
      <c r="M810" s="1236"/>
      <c r="N810" s="1240" t="s">
        <v>3927</v>
      </c>
      <c r="O810" s="1241" t="s">
        <v>4841</v>
      </c>
      <c r="P810" s="910">
        <f t="shared" si="113"/>
        <v>44</v>
      </c>
      <c r="Q810" s="910">
        <f t="shared" si="114"/>
        <v>44</v>
      </c>
      <c r="R810" s="1344">
        <f t="shared" si="115"/>
        <v>4.5</v>
      </c>
      <c r="S810" s="1344">
        <f>(1/9)*cnst_fish!$C$7*(1/cnst_fish!$C$8)^(R810-1)</f>
        <v>445.96223412630997</v>
      </c>
      <c r="T810" s="1362">
        <f t="shared" si="116"/>
        <v>1695.333401859654</v>
      </c>
      <c r="W810" s="1612"/>
      <c r="X810" s="1612"/>
      <c r="Y810" s="1613"/>
      <c r="Z810" s="1614"/>
      <c r="AA810" s="1614"/>
      <c r="AB810" s="1615"/>
      <c r="AC810" s="1615"/>
      <c r="AD810" s="583"/>
      <c r="AE810" s="583"/>
    </row>
    <row r="811" spans="1:31" ht="14">
      <c r="A811" s="1384" t="s">
        <v>5700</v>
      </c>
      <c r="B811" s="19" t="s">
        <v>2279</v>
      </c>
      <c r="C811" s="1383">
        <v>3450</v>
      </c>
      <c r="D811" s="1236"/>
      <c r="E811" s="1236"/>
      <c r="F811" s="1344">
        <f>(1/S811)*cnst_fish!$C$6</f>
        <v>0.75699122913220485</v>
      </c>
      <c r="G811" s="1344">
        <f t="shared" si="118"/>
        <v>1</v>
      </c>
      <c r="H811" s="1344">
        <f t="shared" si="118"/>
        <v>0.367192066876738</v>
      </c>
      <c r="I811" s="1344">
        <f t="shared" si="111"/>
        <v>0</v>
      </c>
      <c r="J811" s="902">
        <f t="shared" si="112"/>
        <v>0</v>
      </c>
      <c r="L811" s="1460">
        <v>2784</v>
      </c>
      <c r="M811" s="1236"/>
      <c r="N811" s="1240" t="s">
        <v>2431</v>
      </c>
      <c r="O811" s="1241" t="s">
        <v>4840</v>
      </c>
      <c r="P811" s="910">
        <f t="shared" si="113"/>
        <v>0</v>
      </c>
      <c r="Q811" s="910">
        <f t="shared" si="114"/>
        <v>2784</v>
      </c>
      <c r="R811" s="1344">
        <f t="shared" si="115"/>
        <v>2.6</v>
      </c>
      <c r="S811" s="1344">
        <f>(1/9)*cnst_fish!$C$7*(1/cnst_fish!$C$8)^(R811-1)</f>
        <v>5.6143318924211183</v>
      </c>
      <c r="T811" s="1362">
        <f t="shared" si="116"/>
        <v>1350.4287432190386</v>
      </c>
      <c r="W811" s="1612"/>
      <c r="X811" s="1612"/>
      <c r="Y811" s="1613"/>
      <c r="Z811" s="1614"/>
      <c r="AA811" s="1614"/>
      <c r="AB811" s="1615"/>
      <c r="AC811" s="1615"/>
      <c r="AD811" s="583"/>
      <c r="AE811" s="583"/>
    </row>
    <row r="812" spans="1:31" ht="14">
      <c r="A812" s="1384" t="s">
        <v>2408</v>
      </c>
      <c r="B812" s="19" t="s">
        <v>2280</v>
      </c>
      <c r="C812" s="1383">
        <v>3448</v>
      </c>
      <c r="D812" s="1236"/>
      <c r="E812" s="1236"/>
      <c r="F812" s="1344">
        <f>(1/S812)*cnst_fish!$C$6</f>
        <v>0.75699122913220485</v>
      </c>
      <c r="G812" s="1344">
        <f t="shared" si="118"/>
        <v>1</v>
      </c>
      <c r="H812" s="1344">
        <f t="shared" si="118"/>
        <v>0.367192066876738</v>
      </c>
      <c r="I812" s="1344">
        <f t="shared" si="111"/>
        <v>0</v>
      </c>
      <c r="J812" s="902">
        <f t="shared" si="112"/>
        <v>0</v>
      </c>
      <c r="L812" s="1460">
        <v>88</v>
      </c>
      <c r="M812" s="1236"/>
      <c r="N812" s="1240" t="s">
        <v>2431</v>
      </c>
      <c r="O812" s="1241" t="s">
        <v>4840</v>
      </c>
      <c r="P812" s="910">
        <f t="shared" si="113"/>
        <v>0</v>
      </c>
      <c r="Q812" s="910">
        <f t="shared" si="114"/>
        <v>88</v>
      </c>
      <c r="R812" s="1344">
        <f t="shared" si="115"/>
        <v>2.6</v>
      </c>
      <c r="S812" s="1344">
        <f>(1/9)*cnst_fish!$C$7*(1/cnst_fish!$C$8)^(R812-1)</f>
        <v>5.6143318924211183</v>
      </c>
      <c r="T812" s="1362">
        <f t="shared" si="116"/>
        <v>42.685966021291442</v>
      </c>
      <c r="W812" s="1612"/>
      <c r="X812" s="1612"/>
      <c r="Y812" s="1613"/>
      <c r="Z812" s="1614"/>
      <c r="AA812" s="1614"/>
      <c r="AB812" s="1615"/>
      <c r="AC812" s="1615"/>
      <c r="AD812" s="583"/>
      <c r="AE812" s="583"/>
    </row>
    <row r="813" spans="1:31" ht="14">
      <c r="A813" s="1384" t="s">
        <v>1283</v>
      </c>
      <c r="B813" s="19" t="s">
        <v>2281</v>
      </c>
      <c r="C813" s="1383">
        <v>3447</v>
      </c>
      <c r="D813" s="1236"/>
      <c r="E813" s="1236"/>
      <c r="F813" s="1344">
        <f>(1/S813)*cnst_fish!$C$6</f>
        <v>0.75699122913220485</v>
      </c>
      <c r="G813" s="1344">
        <f t="shared" si="118"/>
        <v>1</v>
      </c>
      <c r="H813" s="1344">
        <f t="shared" si="118"/>
        <v>0.367192066876738</v>
      </c>
      <c r="I813" s="1344">
        <f t="shared" si="111"/>
        <v>0</v>
      </c>
      <c r="J813" s="902">
        <f t="shared" si="112"/>
        <v>0</v>
      </c>
      <c r="L813" s="1460">
        <v>2039</v>
      </c>
      <c r="M813" s="1236"/>
      <c r="N813" s="1240" t="s">
        <v>2431</v>
      </c>
      <c r="O813" s="1241" t="s">
        <v>4840</v>
      </c>
      <c r="P813" s="910">
        <f t="shared" si="113"/>
        <v>0</v>
      </c>
      <c r="Q813" s="910">
        <f t="shared" si="114"/>
        <v>2039</v>
      </c>
      <c r="R813" s="1344">
        <f t="shared" si="115"/>
        <v>2.6</v>
      </c>
      <c r="S813" s="1344">
        <f>(1/9)*cnst_fish!$C$7*(1/cnst_fish!$C$8)^(R813-1)</f>
        <v>5.6143318924211183</v>
      </c>
      <c r="T813" s="1362">
        <f t="shared" si="116"/>
        <v>989.05323542515077</v>
      </c>
      <c r="W813" s="1612"/>
      <c r="X813" s="1612"/>
      <c r="Y813" s="1613"/>
      <c r="Z813" s="1614"/>
      <c r="AA813" s="1614"/>
      <c r="AB813" s="1615"/>
      <c r="AC813" s="1615"/>
      <c r="AD813" s="583"/>
      <c r="AE813" s="583"/>
    </row>
    <row r="814" spans="1:31" ht="14">
      <c r="A814" s="1384" t="s">
        <v>3054</v>
      </c>
      <c r="B814" s="19" t="s">
        <v>3903</v>
      </c>
      <c r="C814" s="1383">
        <v>16285</v>
      </c>
      <c r="D814" s="1236"/>
      <c r="E814" s="1236"/>
      <c r="F814" s="1344">
        <f>(1/S814)*cnst_fish!$C$6</f>
        <v>0.3314045734418738</v>
      </c>
      <c r="G814" s="1344">
        <f t="shared" si="118"/>
        <v>1</v>
      </c>
      <c r="H814" s="1344">
        <f t="shared" si="118"/>
        <v>0.367192066876738</v>
      </c>
      <c r="I814" s="1344">
        <f t="shared" si="111"/>
        <v>0</v>
      </c>
      <c r="J814" s="902">
        <f t="shared" si="112"/>
        <v>0</v>
      </c>
      <c r="L814" s="1460">
        <v>2955</v>
      </c>
      <c r="M814" s="1236"/>
      <c r="N814" s="1240" t="s">
        <v>2431</v>
      </c>
      <c r="O814" s="1241" t="s">
        <v>4840</v>
      </c>
      <c r="P814" s="910">
        <f t="shared" si="113"/>
        <v>0</v>
      </c>
      <c r="Q814" s="910">
        <f t="shared" si="114"/>
        <v>2955</v>
      </c>
      <c r="R814" s="1344">
        <f t="shared" si="115"/>
        <v>2.9587323501170402</v>
      </c>
      <c r="S814" s="1344">
        <f>(1/9)*cnst_fish!$C$7*(1/cnst_fish!$C$8)^(R814-1)</f>
        <v>12.824204433453367</v>
      </c>
      <c r="T814" s="1362">
        <f t="shared" si="116"/>
        <v>3274.102545875312</v>
      </c>
      <c r="W814" s="1612"/>
      <c r="X814" s="1612"/>
      <c r="Y814" s="1613"/>
      <c r="Z814" s="1614"/>
      <c r="AA814" s="1614"/>
      <c r="AB814" s="1615"/>
      <c r="AC814" s="1615"/>
      <c r="AD814" s="583"/>
      <c r="AE814" s="583"/>
    </row>
    <row r="815" spans="1:31" ht="14">
      <c r="A815" s="1384" t="s">
        <v>4813</v>
      </c>
      <c r="B815" s="19" t="s">
        <v>3904</v>
      </c>
      <c r="C815" s="1383">
        <v>16284</v>
      </c>
      <c r="D815" s="1236"/>
      <c r="E815" s="1236"/>
      <c r="F815" s="1344">
        <f>(1/S815)*cnst_fish!$C$6</f>
        <v>0.3314045734418738</v>
      </c>
      <c r="G815" s="1344">
        <f t="shared" si="118"/>
        <v>1</v>
      </c>
      <c r="H815" s="1344">
        <f t="shared" si="118"/>
        <v>0.367192066876738</v>
      </c>
      <c r="I815" s="1344">
        <f t="shared" si="111"/>
        <v>0</v>
      </c>
      <c r="J815" s="902">
        <f t="shared" si="112"/>
        <v>0</v>
      </c>
      <c r="L815" s="1460">
        <v>370</v>
      </c>
      <c r="M815" s="1236"/>
      <c r="N815" s="1240" t="s">
        <v>2431</v>
      </c>
      <c r="O815" s="1241" t="s">
        <v>4840</v>
      </c>
      <c r="P815" s="910">
        <f t="shared" si="113"/>
        <v>0</v>
      </c>
      <c r="Q815" s="910">
        <f t="shared" si="114"/>
        <v>370</v>
      </c>
      <c r="R815" s="1344">
        <f t="shared" si="115"/>
        <v>2.9587323501170402</v>
      </c>
      <c r="S815" s="1344">
        <f>(1/9)*cnst_fish!$C$7*(1/cnst_fish!$C$8)^(R815-1)</f>
        <v>12.824204433453367</v>
      </c>
      <c r="T815" s="1362">
        <f t="shared" si="116"/>
        <v>409.95531031264483</v>
      </c>
      <c r="W815" s="1612"/>
      <c r="X815" s="1612"/>
      <c r="Y815" s="1613"/>
      <c r="Z815" s="1614"/>
      <c r="AA815" s="1614"/>
      <c r="AB815" s="1615"/>
      <c r="AC815" s="1615"/>
      <c r="AD815" s="583"/>
      <c r="AE815" s="583"/>
    </row>
    <row r="816" spans="1:31" ht="14">
      <c r="A816" s="1384" t="s">
        <v>264</v>
      </c>
      <c r="B816" s="19" t="s">
        <v>5332</v>
      </c>
      <c r="C816" s="1383">
        <v>3449</v>
      </c>
      <c r="D816" s="1236"/>
      <c r="E816" s="1236"/>
      <c r="F816" s="1344">
        <f>(1/S816)*cnst_fish!$C$6</f>
        <v>0.75699122913220485</v>
      </c>
      <c r="G816" s="1344">
        <f t="shared" si="118"/>
        <v>1</v>
      </c>
      <c r="H816" s="1344">
        <f t="shared" si="118"/>
        <v>0.367192066876738</v>
      </c>
      <c r="I816" s="1344">
        <f t="shared" si="111"/>
        <v>0</v>
      </c>
      <c r="J816" s="902">
        <f t="shared" si="112"/>
        <v>0</v>
      </c>
      <c r="L816" s="1460">
        <v>380</v>
      </c>
      <c r="M816" s="1236"/>
      <c r="N816" s="1240" t="s">
        <v>2431</v>
      </c>
      <c r="O816" s="1241" t="s">
        <v>4840</v>
      </c>
      <c r="P816" s="910">
        <f t="shared" si="113"/>
        <v>0</v>
      </c>
      <c r="Q816" s="910">
        <f t="shared" si="114"/>
        <v>380</v>
      </c>
      <c r="R816" s="1344">
        <f t="shared" si="115"/>
        <v>2.6</v>
      </c>
      <c r="S816" s="1344">
        <f>(1/9)*cnst_fish!$C$7*(1/cnst_fish!$C$8)^(R816-1)</f>
        <v>5.6143318924211183</v>
      </c>
      <c r="T816" s="1362">
        <f t="shared" si="116"/>
        <v>184.32576236466761</v>
      </c>
      <c r="W816" s="1612"/>
      <c r="X816" s="1612"/>
      <c r="Y816" s="1613"/>
      <c r="Z816" s="1614"/>
      <c r="AA816" s="1614"/>
      <c r="AB816" s="1615"/>
      <c r="AC816" s="1615"/>
      <c r="AD816" s="583"/>
      <c r="AE816" s="583"/>
    </row>
    <row r="817" spans="1:31" ht="14">
      <c r="A817" s="1384" t="s">
        <v>5540</v>
      </c>
      <c r="B817" s="19" t="s">
        <v>5333</v>
      </c>
      <c r="C817" s="1383">
        <v>2617</v>
      </c>
      <c r="D817" s="1236"/>
      <c r="E817" s="1236"/>
      <c r="F817" s="1344">
        <f>(1/S817)*cnst_fish!$C$6</f>
        <v>0.75699122913220485</v>
      </c>
      <c r="G817" s="1344">
        <f t="shared" si="118"/>
        <v>1</v>
      </c>
      <c r="H817" s="1344">
        <f t="shared" si="118"/>
        <v>0.367192066876738</v>
      </c>
      <c r="I817" s="1344">
        <f t="shared" si="111"/>
        <v>0</v>
      </c>
      <c r="J817" s="902">
        <f t="shared" si="112"/>
        <v>0</v>
      </c>
      <c r="L817" s="1460">
        <v>174</v>
      </c>
      <c r="M817" s="1236"/>
      <c r="N817" s="1240" t="s">
        <v>2431</v>
      </c>
      <c r="O817" s="1241" t="s">
        <v>4840</v>
      </c>
      <c r="P817" s="910">
        <f t="shared" si="113"/>
        <v>0</v>
      </c>
      <c r="Q817" s="910">
        <f t="shared" si="114"/>
        <v>174</v>
      </c>
      <c r="R817" s="1344">
        <f t="shared" si="115"/>
        <v>2.6</v>
      </c>
      <c r="S817" s="1344">
        <f>(1/9)*cnst_fish!$C$7*(1/cnst_fish!$C$8)^(R817-1)</f>
        <v>5.6143318924211183</v>
      </c>
      <c r="T817" s="1362">
        <f t="shared" si="116"/>
        <v>84.401796451189909</v>
      </c>
      <c r="W817" s="1612"/>
      <c r="X817" s="1612"/>
      <c r="Y817" s="1613"/>
      <c r="Z817" s="1614"/>
      <c r="AA817" s="1614"/>
      <c r="AB817" s="1615"/>
      <c r="AC817" s="1615"/>
      <c r="AD817" s="583"/>
      <c r="AE817" s="583"/>
    </row>
    <row r="818" spans="1:31" ht="14">
      <c r="A818" s="1384" t="s">
        <v>2211</v>
      </c>
      <c r="B818" s="19" t="s">
        <v>3130</v>
      </c>
      <c r="C818" s="1383">
        <v>2259</v>
      </c>
      <c r="D818" s="1236"/>
      <c r="E818" s="1236"/>
      <c r="F818" s="1344">
        <f>(1/S818)*cnst_fish!$C$6</f>
        <v>1.2855555498429809</v>
      </c>
      <c r="G818" s="1344">
        <f t="shared" si="118"/>
        <v>1</v>
      </c>
      <c r="H818" s="1344">
        <f t="shared" si="118"/>
        <v>0.367192066876738</v>
      </c>
      <c r="I818" s="1344">
        <f t="shared" si="111"/>
        <v>0</v>
      </c>
      <c r="J818" s="902">
        <f t="shared" si="112"/>
        <v>0</v>
      </c>
      <c r="L818" s="1460">
        <v>248</v>
      </c>
      <c r="M818" s="1236"/>
      <c r="N818" s="1240" t="s">
        <v>1806</v>
      </c>
      <c r="O818" s="1241" t="s">
        <v>4841</v>
      </c>
      <c r="P818" s="910">
        <f t="shared" si="113"/>
        <v>0</v>
      </c>
      <c r="Q818" s="910">
        <f t="shared" si="114"/>
        <v>248</v>
      </c>
      <c r="R818" s="1344">
        <f t="shared" si="115"/>
        <v>2.37</v>
      </c>
      <c r="S818" s="1344">
        <f>(1/9)*cnst_fish!$C$7*(1/cnst_fish!$C$8)^(R818-1)</f>
        <v>3.3059637139127123</v>
      </c>
      <c r="T818" s="1362">
        <f t="shared" si="116"/>
        <v>70.836015290473924</v>
      </c>
      <c r="W818" s="1612"/>
      <c r="X818" s="1612"/>
      <c r="Y818" s="1613"/>
      <c r="Z818" s="1614"/>
      <c r="AA818" s="1614"/>
      <c r="AB818" s="1615"/>
      <c r="AC818" s="1615"/>
      <c r="AD818" s="583"/>
      <c r="AE818" s="583"/>
    </row>
    <row r="819" spans="1:31" ht="14">
      <c r="A819" s="1384" t="s">
        <v>3948</v>
      </c>
      <c r="B819" s="19" t="s">
        <v>646</v>
      </c>
      <c r="C819" s="1383">
        <v>3234</v>
      </c>
      <c r="D819" s="1236"/>
      <c r="E819" s="1236"/>
      <c r="F819" s="1344">
        <f>(1/S819)*cnst_fish!$C$6</f>
        <v>8.1113071591070122E-3</v>
      </c>
      <c r="G819" s="1344">
        <f t="shared" si="118"/>
        <v>1</v>
      </c>
      <c r="H819" s="1344">
        <f t="shared" si="118"/>
        <v>0.367192066876738</v>
      </c>
      <c r="I819" s="1344">
        <f t="shared" si="111"/>
        <v>0</v>
      </c>
      <c r="J819" s="902">
        <f t="shared" si="112"/>
        <v>0</v>
      </c>
      <c r="L819" s="1460">
        <v>2910</v>
      </c>
      <c r="M819" s="1236"/>
      <c r="N819" s="1240" t="s">
        <v>1806</v>
      </c>
      <c r="O819" s="1241" t="s">
        <v>4841</v>
      </c>
      <c r="P819" s="910">
        <f t="shared" si="113"/>
        <v>0</v>
      </c>
      <c r="Q819" s="910">
        <f t="shared" si="114"/>
        <v>2910</v>
      </c>
      <c r="R819" s="1344">
        <f t="shared" si="115"/>
        <v>4.57</v>
      </c>
      <c r="S819" s="1344">
        <f>(1/9)*cnst_fish!$C$7*(1/cnst_fish!$C$8)^(R819-1)</f>
        <v>523.95993847037221</v>
      </c>
      <c r="T819" s="1362">
        <f t="shared" si="116"/>
        <v>131733.25749495398</v>
      </c>
      <c r="W819" s="1612"/>
      <c r="X819" s="1612"/>
      <c r="Y819" s="1613"/>
      <c r="Z819" s="1614"/>
      <c r="AA819" s="1614"/>
      <c r="AB819" s="1615"/>
      <c r="AC819" s="1615"/>
      <c r="AD819" s="583"/>
      <c r="AE819" s="583"/>
    </row>
    <row r="820" spans="1:31" ht="14">
      <c r="A820" s="1384" t="s">
        <v>2997</v>
      </c>
      <c r="B820" s="19" t="s">
        <v>2531</v>
      </c>
      <c r="C820" s="1383">
        <v>2494</v>
      </c>
      <c r="D820" s="1236">
        <v>231189</v>
      </c>
      <c r="E820" s="1236"/>
      <c r="F820" s="1344">
        <f>(1/S820)*cnst_fish!$C$6</f>
        <v>1.3461419163458574E-2</v>
      </c>
      <c r="G820" s="1344">
        <f t="shared" si="118"/>
        <v>1</v>
      </c>
      <c r="H820" s="1344">
        <f t="shared" si="118"/>
        <v>0.367192066876738</v>
      </c>
      <c r="I820" s="1344">
        <f t="shared" si="111"/>
        <v>6306227.1309108855</v>
      </c>
      <c r="J820" s="902">
        <f t="shared" si="112"/>
        <v>0</v>
      </c>
      <c r="L820" s="1460">
        <v>2974181</v>
      </c>
      <c r="M820" s="1236"/>
      <c r="N820" s="1240" t="s">
        <v>2439</v>
      </c>
      <c r="O820" s="1241" t="s">
        <v>4859</v>
      </c>
      <c r="P820" s="910">
        <f t="shared" si="113"/>
        <v>231189</v>
      </c>
      <c r="Q820" s="910">
        <f t="shared" si="114"/>
        <v>2974181</v>
      </c>
      <c r="R820" s="1344">
        <f t="shared" si="115"/>
        <v>4.3499999999999996</v>
      </c>
      <c r="S820" s="1344">
        <f>(1/9)*cnst_fish!$C$7*(1/cnst_fish!$C$8)^(R820-1)</f>
        <v>315.71708364425297</v>
      </c>
      <c r="T820" s="1362">
        <f t="shared" si="116"/>
        <v>81127825.780809954</v>
      </c>
      <c r="W820" s="1612"/>
      <c r="X820" s="1612"/>
      <c r="Y820" s="1613"/>
      <c r="Z820" s="1614"/>
      <c r="AA820" s="1614"/>
      <c r="AB820" s="1615"/>
      <c r="AC820" s="1615"/>
      <c r="AD820" s="583"/>
      <c r="AE820" s="583"/>
    </row>
    <row r="821" spans="1:31" ht="14">
      <c r="A821" s="1384" t="s">
        <v>1078</v>
      </c>
      <c r="B821" s="19" t="s">
        <v>884</v>
      </c>
      <c r="C821" s="1383">
        <v>2908</v>
      </c>
      <c r="D821" s="1236"/>
      <c r="E821" s="1236"/>
      <c r="F821" s="1344">
        <f>(1/S821)*cnst_fish!$C$6</f>
        <v>0.40652835961739353</v>
      </c>
      <c r="G821" s="1344">
        <f t="shared" si="118"/>
        <v>1</v>
      </c>
      <c r="H821" s="1344">
        <f t="shared" si="118"/>
        <v>0.367192066876738</v>
      </c>
      <c r="I821" s="1344">
        <f t="shared" si="111"/>
        <v>0</v>
      </c>
      <c r="J821" s="902">
        <f t="shared" si="112"/>
        <v>0</v>
      </c>
      <c r="L821" s="1460">
        <v>6548</v>
      </c>
      <c r="M821" s="1236"/>
      <c r="N821" s="1240" t="s">
        <v>1806</v>
      </c>
      <c r="O821" s="1241" t="s">
        <v>4845</v>
      </c>
      <c r="P821" s="910">
        <f t="shared" si="113"/>
        <v>0</v>
      </c>
      <c r="Q821" s="910">
        <f t="shared" si="114"/>
        <v>6548</v>
      </c>
      <c r="R821" s="1344">
        <f t="shared" si="115"/>
        <v>2.87</v>
      </c>
      <c r="S821" s="1344">
        <f>(1/9)*cnst_fish!$C$7*(1/cnst_fish!$C$8)^(R821-1)</f>
        <v>10.454375197833459</v>
      </c>
      <c r="T821" s="1362">
        <f t="shared" si="116"/>
        <v>5914.4057161762839</v>
      </c>
      <c r="W821" s="1612"/>
      <c r="X821" s="1612"/>
      <c r="Y821" s="1613"/>
      <c r="Z821" s="1614"/>
      <c r="AA821" s="1614"/>
      <c r="AB821" s="1615"/>
      <c r="AC821" s="1615"/>
      <c r="AD821" s="583"/>
      <c r="AE821" s="583"/>
    </row>
    <row r="822" spans="1:31" ht="14">
      <c r="A822" s="1384" t="s">
        <v>4292</v>
      </c>
      <c r="B822" s="19" t="s">
        <v>313</v>
      </c>
      <c r="C822" s="1383">
        <v>2185</v>
      </c>
      <c r="D822" s="1236"/>
      <c r="E822" s="1236"/>
      <c r="F822" s="1344">
        <f>(1/S822)*cnst_fish!$C$6</f>
        <v>3.304386563831508E-2</v>
      </c>
      <c r="G822" s="1344">
        <f t="shared" si="118"/>
        <v>1</v>
      </c>
      <c r="H822" s="1344">
        <f t="shared" si="118"/>
        <v>0.367192066876738</v>
      </c>
      <c r="I822" s="1344">
        <f t="shared" si="111"/>
        <v>0</v>
      </c>
      <c r="J822" s="902">
        <f t="shared" si="112"/>
        <v>0</v>
      </c>
      <c r="L822" s="1460"/>
      <c r="M822" s="1236">
        <v>15270</v>
      </c>
      <c r="N822" s="1240" t="s">
        <v>1806</v>
      </c>
      <c r="O822" s="1241" t="s">
        <v>4845</v>
      </c>
      <c r="P822" s="910">
        <f t="shared" si="113"/>
        <v>0</v>
      </c>
      <c r="Q822" s="910">
        <f t="shared" si="114"/>
        <v>15270</v>
      </c>
      <c r="R822" s="1344">
        <f t="shared" si="115"/>
        <v>3.96</v>
      </c>
      <c r="S822" s="1344">
        <f>(1/9)*cnst_fish!$C$7*(1/cnst_fish!$C$8)^(R822-1)</f>
        <v>128.61691324250009</v>
      </c>
      <c r="T822" s="1362">
        <f t="shared" si="116"/>
        <v>169684.22891498278</v>
      </c>
      <c r="W822" s="1612"/>
      <c r="X822" s="1612"/>
      <c r="Y822" s="1613"/>
      <c r="Z822" s="1614"/>
      <c r="AA822" s="1614"/>
      <c r="AB822" s="1615"/>
      <c r="AC822" s="1615"/>
      <c r="AD822" s="583"/>
      <c r="AE822" s="583"/>
    </row>
    <row r="823" spans="1:31" ht="14">
      <c r="A823" s="1384" t="s">
        <v>1947</v>
      </c>
      <c r="B823" s="19" t="s">
        <v>4888</v>
      </c>
      <c r="C823" s="1383">
        <v>18985</v>
      </c>
      <c r="D823" s="1236">
        <v>13</v>
      </c>
      <c r="E823" s="1236"/>
      <c r="F823" s="1344">
        <f>(1/S823)*cnst_fish!$C$6</f>
        <v>0.57423657091346914</v>
      </c>
      <c r="G823" s="1344">
        <f t="shared" si="118"/>
        <v>1</v>
      </c>
      <c r="H823" s="1344">
        <f t="shared" si="118"/>
        <v>0.367192066876738</v>
      </c>
      <c r="I823" s="1344">
        <f t="shared" si="111"/>
        <v>8.3127705743368718</v>
      </c>
      <c r="J823" s="902">
        <f t="shared" si="112"/>
        <v>0</v>
      </c>
      <c r="L823" s="1460">
        <v>69</v>
      </c>
      <c r="M823" s="1236"/>
      <c r="N823" s="1240" t="s">
        <v>1806</v>
      </c>
      <c r="O823" s="1241" t="s">
        <v>4841</v>
      </c>
      <c r="P823" s="910">
        <f t="shared" si="113"/>
        <v>13</v>
      </c>
      <c r="Q823" s="910">
        <f t="shared" si="114"/>
        <v>69</v>
      </c>
      <c r="R823" s="1344">
        <f t="shared" si="115"/>
        <v>2.72</v>
      </c>
      <c r="S823" s="1344">
        <f>(1/9)*cnst_fish!$C$7*(1/cnst_fish!$C$8)^(R823-1)</f>
        <v>7.4011308496762851</v>
      </c>
      <c r="T823" s="1362">
        <f t="shared" si="116"/>
        <v>44.121628433018778</v>
      </c>
      <c r="W823" s="1612"/>
      <c r="X823" s="1612"/>
      <c r="Y823" s="1613"/>
      <c r="Z823" s="1614"/>
      <c r="AA823" s="1614"/>
      <c r="AB823" s="1615"/>
      <c r="AC823" s="1615"/>
      <c r="AD823" s="583"/>
      <c r="AE823" s="583"/>
    </row>
    <row r="824" spans="1:31" ht="14">
      <c r="A824" s="1384" t="s">
        <v>3449</v>
      </c>
      <c r="B824" s="19" t="s">
        <v>4997</v>
      </c>
      <c r="C824" s="1383">
        <v>2963</v>
      </c>
      <c r="D824" s="1236"/>
      <c r="E824" s="1236"/>
      <c r="F824" s="1344">
        <f>(1/S824)*cnst_fish!$C$6</f>
        <v>1.945767062954439</v>
      </c>
      <c r="G824" s="1344">
        <f t="shared" si="118"/>
        <v>1</v>
      </c>
      <c r="H824" s="1344">
        <f t="shared" si="118"/>
        <v>0.367192066876738</v>
      </c>
      <c r="I824" s="1344">
        <f t="shared" si="111"/>
        <v>0</v>
      </c>
      <c r="J824" s="902">
        <f t="shared" si="112"/>
        <v>0</v>
      </c>
      <c r="L824" s="1460"/>
      <c r="M824" s="1236">
        <v>1011</v>
      </c>
      <c r="N824" s="1240" t="s">
        <v>1806</v>
      </c>
      <c r="O824" s="1241" t="s">
        <v>4845</v>
      </c>
      <c r="P824" s="910">
        <f t="shared" si="113"/>
        <v>0</v>
      </c>
      <c r="Q824" s="910">
        <f t="shared" si="114"/>
        <v>1011</v>
      </c>
      <c r="R824" s="1344">
        <f t="shared" si="115"/>
        <v>2.19</v>
      </c>
      <c r="S824" s="1344">
        <f>(1/9)*cnst_fish!$C$7*(1/cnst_fish!$C$8)^(R824-1)</f>
        <v>2.1842285651329867</v>
      </c>
      <c r="T824" s="1362">
        <f t="shared" si="116"/>
        <v>190.78911688879515</v>
      </c>
      <c r="W824" s="1612"/>
      <c r="X824" s="1612"/>
      <c r="Y824" s="1613"/>
      <c r="Z824" s="1614"/>
      <c r="AA824" s="1614"/>
      <c r="AB824" s="1615"/>
      <c r="AC824" s="1615"/>
      <c r="AD824" s="583"/>
      <c r="AE824" s="583"/>
    </row>
    <row r="825" spans="1:31" ht="14">
      <c r="A825" s="1384" t="s">
        <v>2596</v>
      </c>
      <c r="B825" s="19" t="s">
        <v>5257</v>
      </c>
      <c r="C825" s="1383">
        <v>19128</v>
      </c>
      <c r="D825" s="1236"/>
      <c r="E825" s="1236"/>
      <c r="F825" s="1344">
        <f>(1/S825)*cnst_fish!$C$6</f>
        <v>1.3774975896121009</v>
      </c>
      <c r="G825" s="1344">
        <f t="shared" si="118"/>
        <v>1</v>
      </c>
      <c r="H825" s="1344">
        <f t="shared" si="118"/>
        <v>0.367192066876738</v>
      </c>
      <c r="I825" s="1344">
        <f t="shared" si="111"/>
        <v>0</v>
      </c>
      <c r="J825" s="902">
        <f t="shared" si="112"/>
        <v>0</v>
      </c>
      <c r="L825" s="1460"/>
      <c r="M825" s="1236">
        <v>1227</v>
      </c>
      <c r="N825" s="1240" t="s">
        <v>1806</v>
      </c>
      <c r="O825" s="1241" t="s">
        <v>4845</v>
      </c>
      <c r="P825" s="910">
        <f t="shared" si="113"/>
        <v>0</v>
      </c>
      <c r="Q825" s="910">
        <f t="shared" si="114"/>
        <v>1227</v>
      </c>
      <c r="R825" s="1344">
        <f t="shared" si="115"/>
        <v>2.34</v>
      </c>
      <c r="S825" s="1344">
        <f>(1/9)*cnst_fish!$C$7*(1/cnst_fish!$C$8)^(R825-1)</f>
        <v>3.0853048542878301</v>
      </c>
      <c r="T825" s="1362">
        <f t="shared" si="116"/>
        <v>327.07474006152671</v>
      </c>
      <c r="W825" s="1612"/>
      <c r="X825" s="1612"/>
      <c r="Y825" s="1613"/>
      <c r="Z825" s="1614"/>
      <c r="AA825" s="1614"/>
      <c r="AB825" s="1615"/>
      <c r="AC825" s="1615"/>
      <c r="AD825" s="583"/>
      <c r="AE825" s="583"/>
    </row>
    <row r="826" spans="1:31" ht="14">
      <c r="A826" s="1384" t="s">
        <v>4882</v>
      </c>
      <c r="B826" s="19" t="s">
        <v>4889</v>
      </c>
      <c r="C826" s="1383">
        <v>3224</v>
      </c>
      <c r="D826" s="1236"/>
      <c r="E826" s="1236"/>
      <c r="F826" s="1344">
        <f>(1/S826)*cnst_fish!$C$6</f>
        <v>0.11196720767792057</v>
      </c>
      <c r="G826" s="1344">
        <f t="shared" si="118"/>
        <v>1</v>
      </c>
      <c r="H826" s="1344">
        <f t="shared" si="118"/>
        <v>0.367192066876738</v>
      </c>
      <c r="I826" s="1344">
        <f t="shared" si="111"/>
        <v>0</v>
      </c>
      <c r="J826" s="902">
        <f t="shared" si="112"/>
        <v>0</v>
      </c>
      <c r="L826" s="1460">
        <v>19939</v>
      </c>
      <c r="M826" s="1236"/>
      <c r="N826" s="1240" t="s">
        <v>1806</v>
      </c>
      <c r="O826" s="1241" t="s">
        <v>4841</v>
      </c>
      <c r="P826" s="910">
        <f t="shared" si="113"/>
        <v>0</v>
      </c>
      <c r="Q826" s="910">
        <f t="shared" si="114"/>
        <v>19939</v>
      </c>
      <c r="R826" s="1344">
        <f t="shared" si="115"/>
        <v>3.43</v>
      </c>
      <c r="S826" s="1344">
        <f>(1/9)*cnst_fish!$C$7*(1/cnst_fish!$C$8)^(R826-1)</f>
        <v>37.957542106661656</v>
      </c>
      <c r="T826" s="1362">
        <f t="shared" si="116"/>
        <v>65389.168608328473</v>
      </c>
      <c r="W826" s="1612"/>
      <c r="X826" s="1612"/>
      <c r="Y826" s="1613"/>
      <c r="Z826" s="1614"/>
      <c r="AA826" s="1614"/>
      <c r="AB826" s="1615"/>
      <c r="AC826" s="1615"/>
      <c r="AD826" s="583"/>
      <c r="AE826" s="583"/>
    </row>
    <row r="827" spans="1:31" ht="14">
      <c r="A827" s="1384" t="s">
        <v>2752</v>
      </c>
      <c r="B827" s="19" t="s">
        <v>4890</v>
      </c>
      <c r="C827" s="1383">
        <v>13004</v>
      </c>
      <c r="D827" s="1236"/>
      <c r="E827" s="1236"/>
      <c r="F827" s="1344">
        <f>(1/S827)*cnst_fish!$C$6</f>
        <v>0.25650205424007994</v>
      </c>
      <c r="G827" s="1344">
        <f t="shared" si="118"/>
        <v>1</v>
      </c>
      <c r="H827" s="1344">
        <f t="shared" si="118"/>
        <v>0.367192066876738</v>
      </c>
      <c r="I827" s="1344">
        <f t="shared" si="111"/>
        <v>0</v>
      </c>
      <c r="J827" s="902">
        <f t="shared" si="112"/>
        <v>0</v>
      </c>
      <c r="L827" s="1460">
        <v>372</v>
      </c>
      <c r="M827" s="1236"/>
      <c r="N827" s="1240" t="s">
        <v>1806</v>
      </c>
      <c r="O827" s="1241" t="s">
        <v>4841</v>
      </c>
      <c r="P827" s="910">
        <f t="shared" si="113"/>
        <v>0</v>
      </c>
      <c r="Q827" s="910">
        <f t="shared" si="114"/>
        <v>372</v>
      </c>
      <c r="R827" s="1344">
        <f t="shared" si="115"/>
        <v>3.07</v>
      </c>
      <c r="S827" s="1344">
        <f>(1/9)*cnst_fish!$C$7*(1/cnst_fish!$C$8)^(R827-1)</f>
        <v>16.569068082480538</v>
      </c>
      <c r="T827" s="1362">
        <f t="shared" si="116"/>
        <v>532.53159816917639</v>
      </c>
      <c r="W827" s="1612"/>
      <c r="X827" s="1612"/>
      <c r="Y827" s="1613"/>
      <c r="Z827" s="1614"/>
      <c r="AA827" s="1614"/>
      <c r="AB827" s="1615"/>
      <c r="AC827" s="1615"/>
      <c r="AD827" s="583"/>
      <c r="AE827" s="583"/>
    </row>
    <row r="828" spans="1:31" ht="14">
      <c r="A828" s="1384" t="s">
        <v>6493</v>
      </c>
      <c r="B828" s="19" t="s">
        <v>6492</v>
      </c>
      <c r="C828" s="1383">
        <v>17808</v>
      </c>
      <c r="D828" s="1236"/>
      <c r="E828" s="1236"/>
      <c r="F828" s="1344">
        <f>(1/S828)*cnst_fish!$C$6</f>
        <v>3.0136363636363641</v>
      </c>
      <c r="G828" s="1344">
        <f t="shared" ref="G828:H847" si="119">G$7</f>
        <v>1</v>
      </c>
      <c r="H828" s="1344">
        <f t="shared" si="119"/>
        <v>0.367192066876738</v>
      </c>
      <c r="I828" s="1344">
        <f t="shared" si="111"/>
        <v>0</v>
      </c>
      <c r="J828" s="902">
        <f t="shared" si="112"/>
        <v>0</v>
      </c>
      <c r="L828" s="1460">
        <v>0</v>
      </c>
      <c r="M828" s="1236"/>
      <c r="N828" s="1240" t="s">
        <v>1806</v>
      </c>
      <c r="O828" s="1241" t="s">
        <v>4841</v>
      </c>
      <c r="P828" s="910">
        <f t="shared" si="113"/>
        <v>0</v>
      </c>
      <c r="Q828" s="910">
        <f t="shared" si="114"/>
        <v>0</v>
      </c>
      <c r="R828" s="1344">
        <f t="shared" si="115"/>
        <v>2</v>
      </c>
      <c r="S828" s="1344">
        <f>(1/9)*cnst_fish!$C$7*(1/cnst_fish!$C$8)^(R828-1)</f>
        <v>1.4102564102564099</v>
      </c>
      <c r="T828" s="1362">
        <f t="shared" si="116"/>
        <v>0</v>
      </c>
      <c r="W828" s="1612"/>
      <c r="X828" s="1612"/>
      <c r="Y828" s="1613"/>
      <c r="Z828" s="1614"/>
      <c r="AA828" s="1614"/>
      <c r="AB828" s="1615"/>
      <c r="AC828" s="1615"/>
      <c r="AD828" s="583"/>
      <c r="AE828" s="583"/>
    </row>
    <row r="829" spans="1:31" ht="14">
      <c r="A829" s="1384" t="s">
        <v>2371</v>
      </c>
      <c r="B829" s="19" t="s">
        <v>2372</v>
      </c>
      <c r="C829" s="1383">
        <v>13007</v>
      </c>
      <c r="D829" s="1236">
        <v>26</v>
      </c>
      <c r="E829" s="1236"/>
      <c r="F829" s="1344">
        <f>(1/S829)*cnst_fish!$C$6</f>
        <v>3.5407139951132149E-2</v>
      </c>
      <c r="G829" s="1344">
        <f t="shared" si="119"/>
        <v>1</v>
      </c>
      <c r="H829" s="1344">
        <f t="shared" si="119"/>
        <v>0.367192066876738</v>
      </c>
      <c r="I829" s="1344">
        <f t="shared" si="111"/>
        <v>269.63470508975468</v>
      </c>
      <c r="J829" s="902">
        <f t="shared" si="112"/>
        <v>0</v>
      </c>
      <c r="L829" s="1460">
        <v>979</v>
      </c>
      <c r="M829" s="1236"/>
      <c r="N829" s="1240" t="s">
        <v>1806</v>
      </c>
      <c r="O829" s="1241" t="s">
        <v>4841</v>
      </c>
      <c r="P829" s="910">
        <f t="shared" si="113"/>
        <v>26</v>
      </c>
      <c r="Q829" s="910">
        <f t="shared" si="114"/>
        <v>979</v>
      </c>
      <c r="R829" s="1344">
        <f t="shared" si="115"/>
        <v>3.93</v>
      </c>
      <c r="S829" s="1344">
        <f>(1/9)*cnst_fish!$C$7*(1/cnst_fish!$C$8)^(R829-1)</f>
        <v>120.03228743879681</v>
      </c>
      <c r="T829" s="1362">
        <f t="shared" si="116"/>
        <v>10152.7837031873</v>
      </c>
      <c r="W829" s="1612"/>
      <c r="X829" s="1612"/>
      <c r="Y829" s="1613"/>
      <c r="Z829" s="1614"/>
      <c r="AA829" s="1614"/>
      <c r="AB829" s="1615"/>
      <c r="AC829" s="1615"/>
      <c r="AD829" s="583"/>
      <c r="AE829" s="583"/>
    </row>
    <row r="830" spans="1:31" ht="14">
      <c r="A830" s="1384" t="s">
        <v>1227</v>
      </c>
      <c r="B830" s="19" t="s">
        <v>4183</v>
      </c>
      <c r="C830" s="1383">
        <v>3101</v>
      </c>
      <c r="D830" s="1236"/>
      <c r="E830" s="1236"/>
      <c r="F830" s="1344">
        <f>(1/S830)*cnst_fish!$C$6</f>
        <v>3.2291695426024204E-2</v>
      </c>
      <c r="G830" s="1344">
        <f t="shared" si="119"/>
        <v>1</v>
      </c>
      <c r="H830" s="1344">
        <f t="shared" si="119"/>
        <v>0.367192066876738</v>
      </c>
      <c r="I830" s="1344">
        <f t="shared" si="111"/>
        <v>0</v>
      </c>
      <c r="J830" s="902">
        <f t="shared" si="112"/>
        <v>0</v>
      </c>
      <c r="L830" s="1460">
        <v>42593</v>
      </c>
      <c r="M830" s="1236"/>
      <c r="N830" s="1240" t="s">
        <v>1806</v>
      </c>
      <c r="O830" s="1241" t="s">
        <v>4859</v>
      </c>
      <c r="P830" s="910">
        <f t="shared" si="113"/>
        <v>0</v>
      </c>
      <c r="Q830" s="910">
        <f t="shared" si="114"/>
        <v>42593</v>
      </c>
      <c r="R830" s="1344">
        <f t="shared" si="115"/>
        <v>3.97</v>
      </c>
      <c r="S830" s="1344">
        <f>(1/9)*cnst_fish!$C$7*(1/cnst_fish!$C$8)^(R830-1)</f>
        <v>131.61278600983218</v>
      </c>
      <c r="T830" s="1362">
        <f t="shared" si="116"/>
        <v>484329.22143433255</v>
      </c>
      <c r="W830" s="1612"/>
      <c r="X830" s="1612"/>
      <c r="Y830" s="1613"/>
      <c r="Z830" s="1614"/>
      <c r="AA830" s="1614"/>
      <c r="AB830" s="1615"/>
      <c r="AC830" s="1615"/>
      <c r="AD830" s="583"/>
      <c r="AE830" s="583"/>
    </row>
    <row r="831" spans="1:31" ht="14">
      <c r="A831" s="1384" t="s">
        <v>6657</v>
      </c>
      <c r="B831" s="19" t="s">
        <v>5721</v>
      </c>
      <c r="C831" s="1383">
        <v>13017</v>
      </c>
      <c r="D831" s="1236"/>
      <c r="E831" s="1236"/>
      <c r="F831" s="1344">
        <f>(1/S831)*cnst_fish!$C$6</f>
        <v>7.3976000504507963E-2</v>
      </c>
      <c r="G831" s="1344">
        <f t="shared" si="119"/>
        <v>1</v>
      </c>
      <c r="H831" s="1344">
        <f t="shared" si="119"/>
        <v>0.367192066876738</v>
      </c>
      <c r="I831" s="1344">
        <f t="shared" si="111"/>
        <v>0</v>
      </c>
      <c r="J831" s="902">
        <f t="shared" si="112"/>
        <v>0</v>
      </c>
      <c r="L831" s="1460">
        <v>0</v>
      </c>
      <c r="M831" s="1236"/>
      <c r="N831" s="1240" t="s">
        <v>1806</v>
      </c>
      <c r="O831" s="1241" t="s">
        <v>4841</v>
      </c>
      <c r="P831" s="910">
        <f t="shared" si="113"/>
        <v>0</v>
      </c>
      <c r="Q831" s="910">
        <f t="shared" si="114"/>
        <v>0</v>
      </c>
      <c r="R831" s="1344">
        <f t="shared" si="115"/>
        <v>3.61</v>
      </c>
      <c r="S831" s="1344">
        <f>(1/9)*cnst_fish!$C$7*(1/cnst_fish!$C$8)^(R831-1)</f>
        <v>57.451064818528707</v>
      </c>
      <c r="T831" s="1362">
        <f t="shared" si="116"/>
        <v>0</v>
      </c>
      <c r="W831" s="1612"/>
      <c r="X831" s="1612"/>
      <c r="Y831" s="1613"/>
      <c r="Z831" s="1614"/>
      <c r="AA831" s="1614"/>
      <c r="AB831" s="1615"/>
      <c r="AC831" s="1615"/>
      <c r="AD831" s="583"/>
      <c r="AE831" s="583"/>
    </row>
    <row r="832" spans="1:31" ht="14">
      <c r="A832" s="1384" t="s">
        <v>6851</v>
      </c>
      <c r="B832" s="19" t="s">
        <v>6850</v>
      </c>
      <c r="C832" s="1383">
        <v>18933</v>
      </c>
      <c r="D832" s="1236"/>
      <c r="E832" s="1236"/>
      <c r="F832" s="1344">
        <f>(1/S832)*cnst_fish!$C$6</f>
        <v>7.5699122913220479E-2</v>
      </c>
      <c r="G832" s="1344">
        <f t="shared" si="119"/>
        <v>1</v>
      </c>
      <c r="H832" s="1344">
        <f t="shared" si="119"/>
        <v>0.367192066876738</v>
      </c>
      <c r="I832" s="1344">
        <f t="shared" si="111"/>
        <v>0</v>
      </c>
      <c r="J832" s="902">
        <f t="shared" si="112"/>
        <v>0</v>
      </c>
      <c r="L832" s="1460">
        <v>20</v>
      </c>
      <c r="M832" s="1236"/>
      <c r="N832" s="1240" t="s">
        <v>1806</v>
      </c>
      <c r="O832" s="1241" t="s">
        <v>4841</v>
      </c>
      <c r="P832" s="910">
        <f t="shared" si="113"/>
        <v>0</v>
      </c>
      <c r="Q832" s="910">
        <f t="shared" si="114"/>
        <v>20</v>
      </c>
      <c r="R832" s="1344">
        <f t="shared" si="115"/>
        <v>3.6</v>
      </c>
      <c r="S832" s="1344">
        <f>(1/9)*cnst_fish!$C$7*(1/cnst_fish!$C$8)^(R832-1)</f>
        <v>56.143318924211187</v>
      </c>
      <c r="T832" s="1362">
        <f t="shared" si="116"/>
        <v>97.013559139298749</v>
      </c>
      <c r="W832" s="1612"/>
      <c r="X832" s="1612"/>
      <c r="Y832" s="1613"/>
      <c r="Z832" s="1614"/>
      <c r="AA832" s="1614"/>
      <c r="AB832" s="1615"/>
      <c r="AC832" s="1615"/>
      <c r="AD832" s="583"/>
      <c r="AE832" s="583"/>
    </row>
    <row r="833" spans="1:31" ht="14">
      <c r="A833" s="1384" t="s">
        <v>6789</v>
      </c>
      <c r="B833" s="19" t="s">
        <v>6788</v>
      </c>
      <c r="C833" s="1383">
        <v>13026</v>
      </c>
      <c r="D833" s="1236">
        <v>61</v>
      </c>
      <c r="E833" s="1236"/>
      <c r="F833" s="1344">
        <f>(1/S833)*cnst_fish!$C$6</f>
        <v>3.0136363636363641</v>
      </c>
      <c r="G833" s="1344">
        <f t="shared" si="119"/>
        <v>1</v>
      </c>
      <c r="H833" s="1344">
        <f t="shared" si="119"/>
        <v>0.367192066876738</v>
      </c>
      <c r="I833" s="1344">
        <f t="shared" si="111"/>
        <v>7.4324548076709247</v>
      </c>
      <c r="J833" s="902">
        <f t="shared" si="112"/>
        <v>0</v>
      </c>
      <c r="L833" s="1460">
        <v>61</v>
      </c>
      <c r="M833" s="1236"/>
      <c r="N833" s="1240" t="s">
        <v>1806</v>
      </c>
      <c r="O833" s="1241" t="s">
        <v>4841</v>
      </c>
      <c r="P833" s="910">
        <f t="shared" si="113"/>
        <v>61</v>
      </c>
      <c r="Q833" s="910">
        <f t="shared" si="114"/>
        <v>61</v>
      </c>
      <c r="R833" s="1344">
        <f t="shared" si="115"/>
        <v>2</v>
      </c>
      <c r="S833" s="1344">
        <f>(1/9)*cnst_fish!$C$7*(1/cnst_fish!$C$8)^(R833-1)</f>
        <v>1.4102564102564099</v>
      </c>
      <c r="T833" s="1362">
        <f t="shared" si="116"/>
        <v>7.4324548076709247</v>
      </c>
      <c r="W833" s="1612"/>
      <c r="X833" s="1612"/>
      <c r="Y833" s="1613"/>
      <c r="Z833" s="1614"/>
      <c r="AA833" s="1614"/>
      <c r="AB833" s="1615"/>
      <c r="AC833" s="1615"/>
      <c r="AD833" s="583"/>
      <c r="AE833" s="583"/>
    </row>
    <row r="834" spans="1:31" ht="14">
      <c r="A834" s="1384" t="s">
        <v>1226</v>
      </c>
      <c r="B834" s="19" t="s">
        <v>3869</v>
      </c>
      <c r="C834" s="1383">
        <v>18539</v>
      </c>
      <c r="D834" s="1236"/>
      <c r="E834" s="1236"/>
      <c r="F834" s="1344">
        <f>(1/S834)*cnst_fish!$C$6</f>
        <v>30.136363636363644</v>
      </c>
      <c r="G834" s="1344">
        <f t="shared" si="119"/>
        <v>1</v>
      </c>
      <c r="H834" s="1344">
        <f t="shared" si="119"/>
        <v>0.367192066876738</v>
      </c>
      <c r="I834" s="1344">
        <f t="shared" si="111"/>
        <v>0</v>
      </c>
      <c r="J834" s="902">
        <f t="shared" si="112"/>
        <v>0</v>
      </c>
      <c r="L834" s="1460">
        <v>53590</v>
      </c>
      <c r="M834" s="1236"/>
      <c r="N834" s="1240" t="s">
        <v>1808</v>
      </c>
      <c r="O834" s="1241" t="s">
        <v>4831</v>
      </c>
      <c r="P834" s="910">
        <f t="shared" si="113"/>
        <v>0</v>
      </c>
      <c r="Q834" s="910">
        <f t="shared" si="114"/>
        <v>53590</v>
      </c>
      <c r="R834" s="1344">
        <f t="shared" si="115"/>
        <v>1</v>
      </c>
      <c r="S834" s="1344">
        <f>(1/9)*cnst_fish!$C$7*(1/cnst_fish!$C$8)^(R834-1)</f>
        <v>0.141025641025641</v>
      </c>
      <c r="T834" s="1362">
        <f t="shared" si="116"/>
        <v>652.95943138210623</v>
      </c>
      <c r="W834" s="1612"/>
      <c r="X834" s="1612"/>
      <c r="Y834" s="1613"/>
      <c r="Z834" s="1614"/>
      <c r="AA834" s="1614"/>
      <c r="AB834" s="1615"/>
      <c r="AC834" s="1615"/>
      <c r="AD834" s="583"/>
      <c r="AE834" s="583"/>
    </row>
    <row r="835" spans="1:31" ht="14">
      <c r="A835" s="1384" t="s">
        <v>4670</v>
      </c>
      <c r="B835" s="19" t="s">
        <v>5587</v>
      </c>
      <c r="C835" s="1383">
        <v>3629</v>
      </c>
      <c r="D835" s="1236"/>
      <c r="E835" s="1236"/>
      <c r="F835" s="1344">
        <f>(1/S835)*cnst_fish!$C$6</f>
        <v>30.136363636363644</v>
      </c>
      <c r="G835" s="1344">
        <f t="shared" si="119"/>
        <v>1</v>
      </c>
      <c r="H835" s="1344">
        <f t="shared" si="119"/>
        <v>0.367192066876738</v>
      </c>
      <c r="I835" s="1344">
        <f t="shared" si="111"/>
        <v>0</v>
      </c>
      <c r="J835" s="902">
        <f t="shared" si="112"/>
        <v>0</v>
      </c>
      <c r="L835" s="1460">
        <v>21384</v>
      </c>
      <c r="M835" s="1236"/>
      <c r="N835" s="1240" t="s">
        <v>1808</v>
      </c>
      <c r="O835" s="1241" t="s">
        <v>4831</v>
      </c>
      <c r="P835" s="910">
        <f t="shared" si="113"/>
        <v>0</v>
      </c>
      <c r="Q835" s="910">
        <f t="shared" si="114"/>
        <v>21384</v>
      </c>
      <c r="R835" s="1344">
        <f t="shared" si="115"/>
        <v>1</v>
      </c>
      <c r="S835" s="1344">
        <f>(1/9)*cnst_fish!$C$7*(1/cnst_fish!$C$8)^(R835-1)</f>
        <v>0.141025641025641</v>
      </c>
      <c r="T835" s="1362">
        <f t="shared" si="116"/>
        <v>260.55018624136892</v>
      </c>
      <c r="W835" s="1612"/>
      <c r="X835" s="1612"/>
      <c r="Y835" s="1613"/>
      <c r="Z835" s="1614"/>
      <c r="AA835" s="1614"/>
      <c r="AB835" s="1615"/>
      <c r="AC835" s="1615"/>
      <c r="AD835" s="583"/>
      <c r="AE835" s="583"/>
    </row>
    <row r="836" spans="1:31" ht="14">
      <c r="A836" s="1384" t="s">
        <v>5325</v>
      </c>
      <c r="B836" s="19" t="s">
        <v>5588</v>
      </c>
      <c r="C836" s="1383">
        <v>2776</v>
      </c>
      <c r="D836" s="1236"/>
      <c r="E836" s="1236"/>
      <c r="F836" s="1344">
        <f>(1/S836)*cnst_fish!$C$6</f>
        <v>30.136363636363644</v>
      </c>
      <c r="G836" s="1344">
        <f t="shared" si="119"/>
        <v>1</v>
      </c>
      <c r="H836" s="1344">
        <f t="shared" si="119"/>
        <v>0.367192066876738</v>
      </c>
      <c r="I836" s="1344">
        <f t="shared" si="111"/>
        <v>0</v>
      </c>
      <c r="J836" s="902">
        <f t="shared" si="112"/>
        <v>0</v>
      </c>
      <c r="L836" s="1460">
        <v>56948</v>
      </c>
      <c r="M836" s="1236"/>
      <c r="N836" s="1240" t="s">
        <v>1808</v>
      </c>
      <c r="O836" s="1241" t="s">
        <v>4831</v>
      </c>
      <c r="P836" s="910">
        <f t="shared" si="113"/>
        <v>0</v>
      </c>
      <c r="Q836" s="910">
        <f t="shared" si="114"/>
        <v>56948</v>
      </c>
      <c r="R836" s="1344">
        <f t="shared" si="115"/>
        <v>1</v>
      </c>
      <c r="S836" s="1344">
        <f>(1/9)*cnst_fish!$C$7*(1/cnst_fish!$C$8)^(R836-1)</f>
        <v>0.141025641025641</v>
      </c>
      <c r="T836" s="1362">
        <f t="shared" si="116"/>
        <v>693.87448588072755</v>
      </c>
      <c r="W836" s="1612"/>
      <c r="X836" s="1612"/>
      <c r="Y836" s="1613"/>
      <c r="Z836" s="1614"/>
      <c r="AA836" s="1614"/>
      <c r="AB836" s="1615"/>
      <c r="AC836" s="1615"/>
      <c r="AD836" s="583"/>
      <c r="AE836" s="583"/>
    </row>
    <row r="837" spans="1:31" ht="14">
      <c r="A837" s="1384" t="s">
        <v>1422</v>
      </c>
      <c r="B837" s="19" t="s">
        <v>2488</v>
      </c>
      <c r="C837" s="1383">
        <v>2798</v>
      </c>
      <c r="D837" s="1236">
        <v>0</v>
      </c>
      <c r="E837" s="1236"/>
      <c r="F837" s="1344">
        <f>(1/S837)*cnst_fish!$C$6</f>
        <v>9.5299549485983424E-3</v>
      </c>
      <c r="G837" s="1344">
        <f t="shared" si="119"/>
        <v>1</v>
      </c>
      <c r="H837" s="1344">
        <f t="shared" si="119"/>
        <v>0.367192066876738</v>
      </c>
      <c r="I837" s="1344">
        <f t="shared" si="111"/>
        <v>0</v>
      </c>
      <c r="J837" s="902">
        <f t="shared" si="112"/>
        <v>0</v>
      </c>
      <c r="L837" s="1460">
        <v>143</v>
      </c>
      <c r="M837" s="1236"/>
      <c r="N837" s="1240" t="s">
        <v>1806</v>
      </c>
      <c r="O837" s="1241" t="s">
        <v>4841</v>
      </c>
      <c r="P837" s="910">
        <f t="shared" si="113"/>
        <v>0</v>
      </c>
      <c r="Q837" s="910">
        <f t="shared" si="114"/>
        <v>143</v>
      </c>
      <c r="R837" s="1344">
        <f t="shared" si="115"/>
        <v>4.5</v>
      </c>
      <c r="S837" s="1344">
        <f>(1/9)*cnst_fish!$C$7*(1/cnst_fish!$C$8)^(R837-1)</f>
        <v>445.96223412630997</v>
      </c>
      <c r="T837" s="1362">
        <f t="shared" si="116"/>
        <v>5509.8335560438754</v>
      </c>
      <c r="W837" s="1612"/>
      <c r="X837" s="1612"/>
      <c r="Y837" s="1613"/>
      <c r="Z837" s="1614"/>
      <c r="AA837" s="1614"/>
      <c r="AB837" s="1615"/>
      <c r="AC837" s="1615"/>
      <c r="AD837" s="583"/>
      <c r="AE837" s="583"/>
    </row>
    <row r="838" spans="1:31" ht="14">
      <c r="A838" s="1384" t="s">
        <v>2048</v>
      </c>
      <c r="B838" s="19" t="s">
        <v>2049</v>
      </c>
      <c r="C838" s="1383">
        <v>2796</v>
      </c>
      <c r="D838" s="1236"/>
      <c r="E838" s="1236"/>
      <c r="F838" s="1344">
        <f>(1/S838)*cnst_fish!$C$6</f>
        <v>9.3130266898023197E-3</v>
      </c>
      <c r="G838" s="1344">
        <f t="shared" si="119"/>
        <v>1</v>
      </c>
      <c r="H838" s="1344">
        <f t="shared" si="119"/>
        <v>0.367192066876738</v>
      </c>
      <c r="I838" s="1344">
        <f t="shared" si="111"/>
        <v>0</v>
      </c>
      <c r="J838" s="902">
        <f t="shared" si="112"/>
        <v>0</v>
      </c>
      <c r="L838" s="1460">
        <v>1283</v>
      </c>
      <c r="M838" s="1236"/>
      <c r="N838" s="1240" t="s">
        <v>3927</v>
      </c>
      <c r="O838" s="1241" t="s">
        <v>4841</v>
      </c>
      <c r="P838" s="910">
        <f t="shared" si="113"/>
        <v>0</v>
      </c>
      <c r="Q838" s="910">
        <f t="shared" si="114"/>
        <v>1283</v>
      </c>
      <c r="R838" s="1344">
        <f t="shared" si="115"/>
        <v>4.51</v>
      </c>
      <c r="S838" s="1344">
        <f>(1/9)*cnst_fish!$C$7*(1/cnst_fish!$C$8)^(R838-1)</f>
        <v>456.35002900332194</v>
      </c>
      <c r="T838" s="1362">
        <f t="shared" si="116"/>
        <v>50585.85543609719</v>
      </c>
      <c r="W838" s="1612"/>
      <c r="X838" s="1612"/>
      <c r="Y838" s="1613"/>
      <c r="Z838" s="1614"/>
      <c r="AA838" s="1614"/>
      <c r="AB838" s="1615"/>
      <c r="AC838" s="1615"/>
      <c r="AD838" s="583"/>
      <c r="AE838" s="583"/>
    </row>
    <row r="839" spans="1:31" ht="14">
      <c r="A839" s="1384" t="s">
        <v>788</v>
      </c>
      <c r="B839" s="19" t="s">
        <v>647</v>
      </c>
      <c r="C839" s="1383">
        <v>2142</v>
      </c>
      <c r="D839" s="1236"/>
      <c r="E839" s="1236"/>
      <c r="F839" s="1344">
        <f>(1/S839)*cnst_fish!$C$6</f>
        <v>0.2037468239476744</v>
      </c>
      <c r="G839" s="1344">
        <f t="shared" si="119"/>
        <v>1</v>
      </c>
      <c r="H839" s="1344">
        <f t="shared" si="119"/>
        <v>0.367192066876738</v>
      </c>
      <c r="I839" s="1344">
        <f t="shared" ref="I839:I902" si="120">IF($F839=0,0,D839/$F839*$H839*$G839)</f>
        <v>0</v>
      </c>
      <c r="J839" s="902">
        <f t="shared" ref="J839:J902" si="121">IF($F839=0,0,E839/$F839*$H839*$G839)</f>
        <v>0</v>
      </c>
      <c r="L839" s="1460">
        <v>0</v>
      </c>
      <c r="M839" s="1236"/>
      <c r="N839" s="1240" t="s">
        <v>1806</v>
      </c>
      <c r="O839" s="1241" t="s">
        <v>4841</v>
      </c>
      <c r="P839" s="910">
        <f t="shared" ref="P839:P902" si="122">D839+E839</f>
        <v>0</v>
      </c>
      <c r="Q839" s="910">
        <f t="shared" ref="Q839:Q902" si="123">L839+M839</f>
        <v>0</v>
      </c>
      <c r="R839" s="1344">
        <f t="shared" ref="R839:R902" si="124">VLOOKUP(B839,constant_fish_trophic,3,FALSE)</f>
        <v>3.17</v>
      </c>
      <c r="S839" s="1344">
        <f>(1/9)*cnst_fish!$C$7*(1/cnst_fish!$C$8)^(R839-1)</f>
        <v>20.859220858782422</v>
      </c>
      <c r="T839" s="1362">
        <f t="shared" ref="T839:T902" si="125">IF(F839=0,0,Q839/F839*H839*G839)</f>
        <v>0</v>
      </c>
      <c r="W839" s="1612"/>
      <c r="X839" s="1612"/>
      <c r="Y839" s="1613"/>
      <c r="Z839" s="1614"/>
      <c r="AA839" s="1614"/>
      <c r="AB839" s="1615"/>
      <c r="AC839" s="1615"/>
      <c r="AD839" s="583"/>
      <c r="AE839" s="583"/>
    </row>
    <row r="840" spans="1:31" ht="14">
      <c r="A840" s="1384" t="s">
        <v>5665</v>
      </c>
      <c r="B840" s="19" t="s">
        <v>5666</v>
      </c>
      <c r="C840" s="1383">
        <v>13036</v>
      </c>
      <c r="D840" s="1236"/>
      <c r="E840" s="1236"/>
      <c r="F840" s="1344">
        <f>(1/S840)*cnst_fish!$C$6</f>
        <v>0.19457670629544385</v>
      </c>
      <c r="G840" s="1344">
        <f t="shared" si="119"/>
        <v>1</v>
      </c>
      <c r="H840" s="1344">
        <f t="shared" si="119"/>
        <v>0.367192066876738</v>
      </c>
      <c r="I840" s="1344">
        <f t="shared" si="120"/>
        <v>0</v>
      </c>
      <c r="J840" s="902">
        <f t="shared" si="121"/>
        <v>0</v>
      </c>
      <c r="L840" s="1460">
        <v>0</v>
      </c>
      <c r="M840" s="1236"/>
      <c r="N840" s="1240" t="s">
        <v>1806</v>
      </c>
      <c r="O840" s="1241" t="s">
        <v>4841</v>
      </c>
      <c r="P840" s="910">
        <f t="shared" si="122"/>
        <v>0</v>
      </c>
      <c r="Q840" s="910">
        <f t="shared" si="123"/>
        <v>0</v>
      </c>
      <c r="R840" s="1344">
        <f t="shared" si="124"/>
        <v>3.19</v>
      </c>
      <c r="S840" s="1344">
        <f>(1/9)*cnst_fish!$C$7*(1/cnst_fish!$C$8)^(R840-1)</f>
        <v>21.84228565132987</v>
      </c>
      <c r="T840" s="1362">
        <f t="shared" si="125"/>
        <v>0</v>
      </c>
      <c r="W840" s="1612"/>
      <c r="X840" s="1612"/>
      <c r="Y840" s="1613"/>
      <c r="Z840" s="1614"/>
      <c r="AA840" s="1614"/>
      <c r="AB840" s="1615"/>
      <c r="AC840" s="1615"/>
      <c r="AD840" s="583"/>
      <c r="AE840" s="583"/>
    </row>
    <row r="841" spans="1:31" ht="14">
      <c r="A841" s="1384" t="s">
        <v>893</v>
      </c>
      <c r="B841" s="19" t="s">
        <v>1574</v>
      </c>
      <c r="C841" s="1383">
        <v>2002</v>
      </c>
      <c r="D841" s="1236"/>
      <c r="E841" s="1236"/>
      <c r="F841" s="1344">
        <f>(1/S841)*cnst_fish!$C$6</f>
        <v>9.5299549485983424E-3</v>
      </c>
      <c r="G841" s="1344">
        <f t="shared" si="119"/>
        <v>1</v>
      </c>
      <c r="H841" s="1344">
        <f t="shared" si="119"/>
        <v>0.367192066876738</v>
      </c>
      <c r="I841" s="1344">
        <f t="shared" si="120"/>
        <v>0</v>
      </c>
      <c r="J841" s="902">
        <f t="shared" si="121"/>
        <v>0</v>
      </c>
      <c r="L841" s="1460">
        <v>0</v>
      </c>
      <c r="M841" s="1236">
        <v>126</v>
      </c>
      <c r="N841" s="1240" t="s">
        <v>1806</v>
      </c>
      <c r="O841" s="1241" t="s">
        <v>4845</v>
      </c>
      <c r="P841" s="910">
        <f t="shared" si="122"/>
        <v>0</v>
      </c>
      <c r="Q841" s="910">
        <f t="shared" si="123"/>
        <v>126</v>
      </c>
      <c r="R841" s="1344">
        <f t="shared" si="124"/>
        <v>4.5</v>
      </c>
      <c r="S841" s="1344">
        <f>(1/9)*cnst_fish!$C$7*(1/cnst_fish!$C$8)^(R841-1)</f>
        <v>445.96223412630997</v>
      </c>
      <c r="T841" s="1362">
        <f t="shared" si="125"/>
        <v>4854.8183780526451</v>
      </c>
      <c r="W841" s="1612"/>
      <c r="X841" s="1612"/>
      <c r="Y841" s="1613"/>
      <c r="Z841" s="1614"/>
      <c r="AA841" s="1614"/>
      <c r="AB841" s="1615"/>
      <c r="AC841" s="1615"/>
      <c r="AD841" s="583"/>
      <c r="AE841" s="583"/>
    </row>
    <row r="842" spans="1:31" ht="14">
      <c r="A842" s="1384" t="s">
        <v>170</v>
      </c>
      <c r="B842" s="19" t="s">
        <v>4184</v>
      </c>
      <c r="C842" s="1383">
        <v>2247</v>
      </c>
      <c r="D842" s="1236">
        <v>978</v>
      </c>
      <c r="E842" s="1236"/>
      <c r="F842" s="1344">
        <f>(1/S842)*cnst_fish!$C$6</f>
        <v>1.8158954798513597E-2</v>
      </c>
      <c r="G842" s="1344">
        <f t="shared" si="119"/>
        <v>1</v>
      </c>
      <c r="H842" s="1344">
        <f t="shared" si="119"/>
        <v>0.367192066876738</v>
      </c>
      <c r="I842" s="1344">
        <f t="shared" si="120"/>
        <v>19776.1294848779</v>
      </c>
      <c r="J842" s="902">
        <f t="shared" si="121"/>
        <v>0</v>
      </c>
      <c r="L842" s="1460">
        <v>1306</v>
      </c>
      <c r="M842" s="1236"/>
      <c r="N842" s="1240" t="s">
        <v>1806</v>
      </c>
      <c r="O842" s="1241" t="s">
        <v>4859</v>
      </c>
      <c r="P842" s="910">
        <f t="shared" si="122"/>
        <v>978</v>
      </c>
      <c r="Q842" s="910">
        <f t="shared" si="123"/>
        <v>1306</v>
      </c>
      <c r="R842" s="1344">
        <f t="shared" si="124"/>
        <v>4.22</v>
      </c>
      <c r="S842" s="1344">
        <f>(1/9)*cnst_fish!$C$7*(1/cnst_fish!$C$8)^(R842-1)</f>
        <v>234.0443074591432</v>
      </c>
      <c r="T842" s="1362">
        <f t="shared" si="125"/>
        <v>26408.614629090531</v>
      </c>
      <c r="W842" s="1612"/>
      <c r="X842" s="1612"/>
      <c r="Y842" s="1613"/>
      <c r="Z842" s="1614"/>
      <c r="AA842" s="1614"/>
      <c r="AB842" s="1615"/>
      <c r="AC842" s="1615"/>
      <c r="AD842" s="583"/>
      <c r="AE842" s="583"/>
    </row>
    <row r="843" spans="1:31" ht="14">
      <c r="A843" s="1384" t="s">
        <v>5690</v>
      </c>
      <c r="B843" s="19" t="s">
        <v>5691</v>
      </c>
      <c r="C843" s="1383">
        <v>13048</v>
      </c>
      <c r="D843" s="1236"/>
      <c r="E843" s="1236"/>
      <c r="F843" s="1344">
        <f>(1/S843)*cnst_fish!$C$6</f>
        <v>1.2276960190187586E-2</v>
      </c>
      <c r="G843" s="1344">
        <f t="shared" si="119"/>
        <v>1</v>
      </c>
      <c r="H843" s="1344">
        <f t="shared" si="119"/>
        <v>0.367192066876738</v>
      </c>
      <c r="I843" s="1344">
        <f t="shared" si="120"/>
        <v>0</v>
      </c>
      <c r="J843" s="902">
        <f t="shared" si="121"/>
        <v>0</v>
      </c>
      <c r="L843" s="1460">
        <v>0</v>
      </c>
      <c r="M843" s="1236"/>
      <c r="N843" s="1240" t="s">
        <v>1806</v>
      </c>
      <c r="O843" s="1241" t="s">
        <v>4859</v>
      </c>
      <c r="P843" s="910">
        <f t="shared" si="122"/>
        <v>0</v>
      </c>
      <c r="Q843" s="910">
        <f t="shared" si="123"/>
        <v>0</v>
      </c>
      <c r="R843" s="1344">
        <f t="shared" si="124"/>
        <v>4.3899999999999997</v>
      </c>
      <c r="S843" s="1344">
        <f>(1/9)*cnst_fish!$C$7*(1/cnst_fish!$C$8)^(R843-1)</f>
        <v>346.17689836583742</v>
      </c>
      <c r="T843" s="1362">
        <f t="shared" si="125"/>
        <v>0</v>
      </c>
      <c r="W843" s="1612"/>
      <c r="X843" s="1612"/>
      <c r="Y843" s="1613"/>
      <c r="Z843" s="1614"/>
      <c r="AA843" s="1614"/>
      <c r="AB843" s="1615"/>
      <c r="AC843" s="1615"/>
      <c r="AD843" s="583"/>
      <c r="AE843" s="583"/>
    </row>
    <row r="844" spans="1:31" ht="14">
      <c r="A844" s="1384" t="s">
        <v>5328</v>
      </c>
      <c r="B844" s="19" t="s">
        <v>3709</v>
      </c>
      <c r="C844" s="1383">
        <v>3163</v>
      </c>
      <c r="D844" s="1236"/>
      <c r="E844" s="1236"/>
      <c r="F844" s="1344">
        <f>(1/S844)*cnst_fish!$C$6</f>
        <v>5.7423657091346926E-2</v>
      </c>
      <c r="G844" s="1344">
        <f t="shared" si="119"/>
        <v>1</v>
      </c>
      <c r="H844" s="1344">
        <f t="shared" si="119"/>
        <v>0.367192066876738</v>
      </c>
      <c r="I844" s="1344">
        <f t="shared" si="120"/>
        <v>0</v>
      </c>
      <c r="J844" s="902">
        <f t="shared" si="121"/>
        <v>0</v>
      </c>
      <c r="L844" s="1460">
        <v>91260</v>
      </c>
      <c r="M844" s="1236"/>
      <c r="N844" s="1240" t="s">
        <v>1806</v>
      </c>
      <c r="O844" s="1241" t="s">
        <v>4841</v>
      </c>
      <c r="P844" s="910">
        <f t="shared" si="122"/>
        <v>0</v>
      </c>
      <c r="Q844" s="910">
        <f t="shared" si="123"/>
        <v>91260</v>
      </c>
      <c r="R844" s="1344">
        <f t="shared" si="124"/>
        <v>3.72</v>
      </c>
      <c r="S844" s="1344">
        <f>(1/9)*cnst_fish!$C$7*(1/cnst_fish!$C$8)^(R844-1)</f>
        <v>74.011308496762837</v>
      </c>
      <c r="T844" s="1362">
        <f t="shared" si="125"/>
        <v>583556.49431844824</v>
      </c>
      <c r="W844" s="1612"/>
      <c r="X844" s="1612"/>
      <c r="Y844" s="1613"/>
      <c r="Z844" s="1614"/>
      <c r="AA844" s="1614"/>
      <c r="AB844" s="1615"/>
      <c r="AC844" s="1615"/>
      <c r="AD844" s="583"/>
      <c r="AE844" s="583"/>
    </row>
    <row r="845" spans="1:31" ht="14">
      <c r="A845" s="1384" t="s">
        <v>5581</v>
      </c>
      <c r="B845" s="19" t="s">
        <v>3710</v>
      </c>
      <c r="C845" s="1383">
        <v>2362</v>
      </c>
      <c r="D845" s="1236"/>
      <c r="E845" s="1236"/>
      <c r="F845" s="1344">
        <f>(1/S845)*cnst_fish!$C$6</f>
        <v>6.9038420626592392E-2</v>
      </c>
      <c r="G845" s="1344">
        <f t="shared" si="119"/>
        <v>1</v>
      </c>
      <c r="H845" s="1344">
        <f t="shared" si="119"/>
        <v>0.367192066876738</v>
      </c>
      <c r="I845" s="1344">
        <f t="shared" si="120"/>
        <v>0</v>
      </c>
      <c r="J845" s="902">
        <f t="shared" si="121"/>
        <v>0</v>
      </c>
      <c r="L845" s="1460">
        <v>399600</v>
      </c>
      <c r="M845" s="1236"/>
      <c r="N845" s="1240" t="s">
        <v>1806</v>
      </c>
      <c r="O845" s="1241" t="s">
        <v>4841</v>
      </c>
      <c r="P845" s="910">
        <f t="shared" si="122"/>
        <v>0</v>
      </c>
      <c r="Q845" s="910">
        <f t="shared" si="123"/>
        <v>399600</v>
      </c>
      <c r="R845" s="1344">
        <f t="shared" si="124"/>
        <v>3.64</v>
      </c>
      <c r="S845" s="1344">
        <f>(1/9)*cnst_fish!$C$7*(1/cnst_fish!$C$8)^(R845-1)</f>
        <v>61.559925059510611</v>
      </c>
      <c r="T845" s="1362">
        <f t="shared" si="125"/>
        <v>2125337.5814832398</v>
      </c>
      <c r="W845" s="1612"/>
      <c r="X845" s="1612"/>
      <c r="Y845" s="1613"/>
      <c r="Z845" s="1614"/>
      <c r="AA845" s="1614"/>
      <c r="AB845" s="1615"/>
      <c r="AC845" s="1615"/>
      <c r="AD845" s="583"/>
      <c r="AE845" s="583"/>
    </row>
    <row r="846" spans="1:31" ht="14">
      <c r="A846" s="1384" t="s">
        <v>6844</v>
      </c>
      <c r="B846" s="19" t="s">
        <v>6843</v>
      </c>
      <c r="C846" s="1383">
        <v>13055</v>
      </c>
      <c r="D846" s="1236"/>
      <c r="E846" s="1236"/>
      <c r="F846" s="1344">
        <f>(1/S846)*cnst_fish!$C$6</f>
        <v>3.0136363636363641</v>
      </c>
      <c r="G846" s="1344">
        <f t="shared" si="119"/>
        <v>1</v>
      </c>
      <c r="H846" s="1344">
        <f t="shared" si="119"/>
        <v>0.367192066876738</v>
      </c>
      <c r="I846" s="1344">
        <f t="shared" si="120"/>
        <v>0</v>
      </c>
      <c r="J846" s="902">
        <f t="shared" si="121"/>
        <v>0</v>
      </c>
      <c r="L846" s="1460">
        <v>202</v>
      </c>
      <c r="M846" s="1236"/>
      <c r="N846" s="1240" t="s">
        <v>1806</v>
      </c>
      <c r="O846" s="1241" t="s">
        <v>4841</v>
      </c>
      <c r="P846" s="910">
        <f t="shared" si="122"/>
        <v>0</v>
      </c>
      <c r="Q846" s="910">
        <f t="shared" si="123"/>
        <v>202</v>
      </c>
      <c r="R846" s="1344">
        <f t="shared" si="124"/>
        <v>2</v>
      </c>
      <c r="S846" s="1344">
        <f>(1/9)*cnst_fish!$C$7*(1/cnst_fish!$C$8)^(R846-1)</f>
        <v>1.4102564102564099</v>
      </c>
      <c r="T846" s="1362">
        <f t="shared" si="125"/>
        <v>24.612391330320111</v>
      </c>
      <c r="W846" s="1612"/>
      <c r="X846" s="1612"/>
      <c r="Y846" s="1613"/>
      <c r="Z846" s="1614"/>
      <c r="AA846" s="1614"/>
      <c r="AB846" s="1615"/>
      <c r="AC846" s="1615"/>
      <c r="AD846" s="583"/>
      <c r="AE846" s="583"/>
    </row>
    <row r="847" spans="1:31" ht="14">
      <c r="A847" s="1384" t="s">
        <v>4594</v>
      </c>
      <c r="B847" s="19" t="s">
        <v>3711</v>
      </c>
      <c r="C847" s="1383">
        <v>2286</v>
      </c>
      <c r="D847" s="1236"/>
      <c r="E847" s="1236"/>
      <c r="F847" s="1344">
        <f>(1/S847)*cnst_fish!$C$6</f>
        <v>0.13154999853419541</v>
      </c>
      <c r="G847" s="1344">
        <f t="shared" si="119"/>
        <v>1</v>
      </c>
      <c r="H847" s="1344">
        <f t="shared" si="119"/>
        <v>0.367192066876738</v>
      </c>
      <c r="I847" s="1344">
        <f t="shared" si="120"/>
        <v>0</v>
      </c>
      <c r="J847" s="902">
        <f t="shared" si="121"/>
        <v>0</v>
      </c>
      <c r="L847" s="1460">
        <v>9209</v>
      </c>
      <c r="M847" s="1236"/>
      <c r="N847" s="1240" t="s">
        <v>2438</v>
      </c>
      <c r="O847" s="1241" t="s">
        <v>4841</v>
      </c>
      <c r="P847" s="910">
        <f t="shared" si="122"/>
        <v>0</v>
      </c>
      <c r="Q847" s="910">
        <f t="shared" si="123"/>
        <v>9209</v>
      </c>
      <c r="R847" s="1344">
        <f t="shared" si="124"/>
        <v>3.36</v>
      </c>
      <c r="S847" s="1344">
        <f>(1/9)*cnst_fish!$C$7*(1/cnst_fish!$C$8)^(R847-1)</f>
        <v>32.307107923648097</v>
      </c>
      <c r="T847" s="1362">
        <f t="shared" si="125"/>
        <v>25704.840604683795</v>
      </c>
      <c r="W847" s="1612"/>
      <c r="X847" s="1612"/>
      <c r="Y847" s="1613"/>
      <c r="Z847" s="1614"/>
      <c r="AA847" s="1614"/>
      <c r="AB847" s="1615"/>
      <c r="AC847" s="1615"/>
      <c r="AD847" s="583"/>
      <c r="AE847" s="583"/>
    </row>
    <row r="848" spans="1:31" ht="14">
      <c r="A848" s="1384" t="s">
        <v>6910</v>
      </c>
      <c r="B848" s="19" t="s">
        <v>6909</v>
      </c>
      <c r="C848" s="1383">
        <v>13059</v>
      </c>
      <c r="D848" s="1236"/>
      <c r="E848" s="1236"/>
      <c r="F848" s="1344">
        <f>(1/S848)*cnst_fish!$C$6</f>
        <v>3.0136363636363641</v>
      </c>
      <c r="G848" s="1344">
        <f t="shared" ref="G848:H867" si="126">G$7</f>
        <v>1</v>
      </c>
      <c r="H848" s="1344">
        <f t="shared" si="126"/>
        <v>0.367192066876738</v>
      </c>
      <c r="I848" s="1344">
        <f t="shared" si="120"/>
        <v>0</v>
      </c>
      <c r="J848" s="902">
        <f t="shared" si="121"/>
        <v>0</v>
      </c>
      <c r="L848" s="1460"/>
      <c r="M848" s="1236">
        <v>6</v>
      </c>
      <c r="N848" s="1240" t="s">
        <v>1806</v>
      </c>
      <c r="O848" s="1241" t="s">
        <v>4845</v>
      </c>
      <c r="P848" s="910">
        <f t="shared" si="122"/>
        <v>0</v>
      </c>
      <c r="Q848" s="910">
        <f t="shared" si="123"/>
        <v>6</v>
      </c>
      <c r="R848" s="1344">
        <f t="shared" si="124"/>
        <v>2</v>
      </c>
      <c r="S848" s="1344">
        <f>(1/9)*cnst_fish!$C$7*(1/cnst_fish!$C$8)^(R848-1)</f>
        <v>1.4102564102564099</v>
      </c>
      <c r="T848" s="1362">
        <f t="shared" si="125"/>
        <v>0.73106112862336958</v>
      </c>
      <c r="W848" s="1612"/>
      <c r="X848" s="1612"/>
      <c r="Y848" s="1613"/>
      <c r="Z848" s="1614"/>
      <c r="AA848" s="1614"/>
      <c r="AB848" s="1615"/>
      <c r="AC848" s="1615"/>
      <c r="AD848" s="583"/>
      <c r="AE848" s="583"/>
    </row>
    <row r="849" spans="1:31" ht="14">
      <c r="A849" s="1384" t="s">
        <v>5633</v>
      </c>
      <c r="B849" s="19" t="s">
        <v>1436</v>
      </c>
      <c r="C849" s="1383">
        <v>3068</v>
      </c>
      <c r="D849" s="1236"/>
      <c r="E849" s="1236"/>
      <c r="F849" s="1344">
        <f>(1/S849)*cnst_fish!$C$6</f>
        <v>1.3461419163458574E-2</v>
      </c>
      <c r="G849" s="1344">
        <f t="shared" si="126"/>
        <v>1</v>
      </c>
      <c r="H849" s="1344">
        <f t="shared" si="126"/>
        <v>0.367192066876738</v>
      </c>
      <c r="I849" s="1344">
        <f t="shared" si="120"/>
        <v>0</v>
      </c>
      <c r="J849" s="902">
        <f t="shared" si="121"/>
        <v>0</v>
      </c>
      <c r="L849" s="1460">
        <v>100930</v>
      </c>
      <c r="M849" s="1236">
        <v>350</v>
      </c>
      <c r="N849" s="1240" t="s">
        <v>1806</v>
      </c>
      <c r="O849" s="1241" t="s">
        <v>4845</v>
      </c>
      <c r="P849" s="910">
        <f t="shared" si="122"/>
        <v>0</v>
      </c>
      <c r="Q849" s="910">
        <f t="shared" si="123"/>
        <v>101280</v>
      </c>
      <c r="R849" s="1344">
        <f t="shared" si="124"/>
        <v>4.3499999999999996</v>
      </c>
      <c r="S849" s="1344">
        <f>(1/9)*cnst_fish!$C$7*(1/cnst_fish!$C$8)^(R849-1)</f>
        <v>315.71708364425297</v>
      </c>
      <c r="T849" s="1362">
        <f t="shared" si="125"/>
        <v>2762651.6997722839</v>
      </c>
      <c r="W849" s="1612"/>
      <c r="X849" s="1612"/>
      <c r="Y849" s="1613"/>
      <c r="Z849" s="1614"/>
      <c r="AA849" s="1614"/>
      <c r="AB849" s="1615"/>
      <c r="AC849" s="1615"/>
      <c r="AD849" s="583"/>
      <c r="AE849" s="583"/>
    </row>
    <row r="850" spans="1:31" ht="14">
      <c r="A850" s="1384" t="s">
        <v>6459</v>
      </c>
      <c r="B850" s="19" t="s">
        <v>6458</v>
      </c>
      <c r="C850" s="1383">
        <v>13061</v>
      </c>
      <c r="D850" s="1236"/>
      <c r="E850" s="1236"/>
      <c r="F850" s="1344">
        <f>(1/S850)*cnst_fish!$C$6</f>
        <v>3.0136363636363641</v>
      </c>
      <c r="G850" s="1344">
        <f t="shared" si="126"/>
        <v>1</v>
      </c>
      <c r="H850" s="1344">
        <f t="shared" si="126"/>
        <v>0.367192066876738</v>
      </c>
      <c r="I850" s="1344">
        <f t="shared" si="120"/>
        <v>0</v>
      </c>
      <c r="J850" s="902">
        <f t="shared" si="121"/>
        <v>0</v>
      </c>
      <c r="L850" s="1460"/>
      <c r="M850" s="1236">
        <v>12</v>
      </c>
      <c r="N850" s="1240" t="s">
        <v>1806</v>
      </c>
      <c r="O850" s="1241" t="s">
        <v>4845</v>
      </c>
      <c r="P850" s="910">
        <f t="shared" si="122"/>
        <v>0</v>
      </c>
      <c r="Q850" s="910">
        <f t="shared" si="123"/>
        <v>12</v>
      </c>
      <c r="R850" s="1344">
        <f t="shared" si="124"/>
        <v>2</v>
      </c>
      <c r="S850" s="1344">
        <f>(1/9)*cnst_fish!$C$7*(1/cnst_fish!$C$8)^(R850-1)</f>
        <v>1.4102564102564099</v>
      </c>
      <c r="T850" s="1362">
        <f t="shared" si="125"/>
        <v>1.4621222572467392</v>
      </c>
      <c r="W850" s="1612"/>
      <c r="X850" s="1612"/>
      <c r="Y850" s="1613"/>
      <c r="Z850" s="1614"/>
      <c r="AA850" s="1614"/>
      <c r="AB850" s="1615"/>
      <c r="AC850" s="1615"/>
      <c r="AD850" s="583"/>
      <c r="AE850" s="583"/>
    </row>
    <row r="851" spans="1:31" ht="14">
      <c r="A851" s="1384" t="s">
        <v>6595</v>
      </c>
      <c r="B851" s="19" t="s">
        <v>6594</v>
      </c>
      <c r="C851" s="1383">
        <v>13062</v>
      </c>
      <c r="D851" s="1236"/>
      <c r="E851" s="1236"/>
      <c r="F851" s="1344">
        <f>(1/S851)*cnst_fish!$C$6</f>
        <v>3.0136363636363641</v>
      </c>
      <c r="G851" s="1344">
        <f t="shared" si="126"/>
        <v>1</v>
      </c>
      <c r="H851" s="1344">
        <f t="shared" si="126"/>
        <v>0.367192066876738</v>
      </c>
      <c r="I851" s="1344">
        <f t="shared" si="120"/>
        <v>0</v>
      </c>
      <c r="J851" s="902">
        <f t="shared" si="121"/>
        <v>0</v>
      </c>
      <c r="L851" s="1460"/>
      <c r="M851" s="1236">
        <v>6</v>
      </c>
      <c r="N851" s="1240" t="s">
        <v>1806</v>
      </c>
      <c r="O851" s="1241" t="s">
        <v>4845</v>
      </c>
      <c r="P851" s="910">
        <f t="shared" si="122"/>
        <v>0</v>
      </c>
      <c r="Q851" s="910">
        <f t="shared" si="123"/>
        <v>6</v>
      </c>
      <c r="R851" s="1344">
        <f t="shared" si="124"/>
        <v>2</v>
      </c>
      <c r="S851" s="1344">
        <f>(1/9)*cnst_fish!$C$7*(1/cnst_fish!$C$8)^(R851-1)</f>
        <v>1.4102564102564099</v>
      </c>
      <c r="T851" s="1362">
        <f t="shared" si="125"/>
        <v>0.73106112862336958</v>
      </c>
      <c r="W851" s="1612"/>
      <c r="X851" s="1612"/>
      <c r="Y851" s="1613"/>
      <c r="Z851" s="1614"/>
      <c r="AA851" s="1614"/>
      <c r="AB851" s="1615"/>
      <c r="AC851" s="1615"/>
      <c r="AD851" s="583"/>
      <c r="AE851" s="583"/>
    </row>
    <row r="852" spans="1:31" ht="14">
      <c r="A852" s="1384" t="s">
        <v>931</v>
      </c>
      <c r="B852" s="19" t="s">
        <v>314</v>
      </c>
      <c r="C852" s="1383">
        <v>2275</v>
      </c>
      <c r="D852" s="1236"/>
      <c r="E852" s="1236"/>
      <c r="F852" s="1344">
        <f>(1/S852)*cnst_fish!$C$6</f>
        <v>9.979087888316248E-3</v>
      </c>
      <c r="G852" s="1344">
        <f t="shared" si="126"/>
        <v>1</v>
      </c>
      <c r="H852" s="1344">
        <f t="shared" si="126"/>
        <v>0.367192066876738</v>
      </c>
      <c r="I852" s="1344">
        <f t="shared" si="120"/>
        <v>0</v>
      </c>
      <c r="J852" s="902">
        <f t="shared" si="121"/>
        <v>0</v>
      </c>
      <c r="L852" s="1460"/>
      <c r="M852" s="1236">
        <v>261222</v>
      </c>
      <c r="N852" s="1240" t="s">
        <v>1806</v>
      </c>
      <c r="O852" s="1241" t="s">
        <v>4845</v>
      </c>
      <c r="P852" s="910">
        <f t="shared" si="122"/>
        <v>0</v>
      </c>
      <c r="Q852" s="910">
        <f t="shared" si="123"/>
        <v>261222</v>
      </c>
      <c r="R852" s="1344">
        <f t="shared" si="124"/>
        <v>4.4800000000000004</v>
      </c>
      <c r="S852" s="1344">
        <f>(1/9)*cnst_fish!$C$7*(1/cnst_fish!$C$8)^(R852-1)</f>
        <v>425.89062723618264</v>
      </c>
      <c r="T852" s="1362">
        <f t="shared" si="125"/>
        <v>9611965.2584660631</v>
      </c>
      <c r="W852" s="1612"/>
      <c r="X852" s="1612"/>
      <c r="Y852" s="1613"/>
      <c r="Z852" s="1614"/>
      <c r="AA852" s="1614"/>
      <c r="AB852" s="1615"/>
      <c r="AC852" s="1615"/>
      <c r="AD852" s="583"/>
      <c r="AE852" s="583"/>
    </row>
    <row r="853" spans="1:31" ht="14">
      <c r="A853" s="1384" t="s">
        <v>4571</v>
      </c>
      <c r="B853" s="19" t="s">
        <v>315</v>
      </c>
      <c r="C853" s="1383">
        <v>3067</v>
      </c>
      <c r="D853" s="1236"/>
      <c r="E853" s="1236"/>
      <c r="F853" s="1344">
        <f>(1/S853)*cnst_fish!$C$6</f>
        <v>1.5455777163012491E-2</v>
      </c>
      <c r="G853" s="1344">
        <f t="shared" si="126"/>
        <v>1</v>
      </c>
      <c r="H853" s="1344">
        <f t="shared" si="126"/>
        <v>0.367192066876738</v>
      </c>
      <c r="I853" s="1344">
        <f t="shared" si="120"/>
        <v>0</v>
      </c>
      <c r="J853" s="902">
        <f t="shared" si="121"/>
        <v>0</v>
      </c>
      <c r="L853" s="1460"/>
      <c r="M853" s="1236">
        <v>20510</v>
      </c>
      <c r="N853" s="1240" t="s">
        <v>1806</v>
      </c>
      <c r="O853" s="1241" t="s">
        <v>4845</v>
      </c>
      <c r="P853" s="910">
        <f t="shared" si="122"/>
        <v>0</v>
      </c>
      <c r="Q853" s="910">
        <f t="shared" si="123"/>
        <v>20510</v>
      </c>
      <c r="R853" s="1344">
        <f t="shared" si="124"/>
        <v>4.29</v>
      </c>
      <c r="S853" s="1344">
        <f>(1/9)*cnst_fish!$C$7*(1/cnst_fish!$C$8)^(R853-1)</f>
        <v>274.97808458126286</v>
      </c>
      <c r="T853" s="1362">
        <f t="shared" si="125"/>
        <v>487268.23712655058</v>
      </c>
      <c r="W853" s="1612"/>
      <c r="X853" s="1612"/>
      <c r="Y853" s="1613"/>
      <c r="Z853" s="1614"/>
      <c r="AA853" s="1614"/>
      <c r="AB853" s="1615"/>
      <c r="AC853" s="1615"/>
      <c r="AD853" s="583"/>
      <c r="AE853" s="583"/>
    </row>
    <row r="854" spans="1:31" ht="14">
      <c r="A854" s="1384" t="s">
        <v>6855</v>
      </c>
      <c r="B854" s="19" t="s">
        <v>6854</v>
      </c>
      <c r="C854" s="1383">
        <v>19632</v>
      </c>
      <c r="D854" s="1236"/>
      <c r="E854" s="1236"/>
      <c r="F854" s="1344">
        <f>(1/S854)*cnst_fish!$C$6</f>
        <v>3.0136363636363641</v>
      </c>
      <c r="G854" s="1344">
        <f t="shared" si="126"/>
        <v>1</v>
      </c>
      <c r="H854" s="1344">
        <f t="shared" si="126"/>
        <v>0.367192066876738</v>
      </c>
      <c r="I854" s="1344">
        <f t="shared" si="120"/>
        <v>0</v>
      </c>
      <c r="J854" s="902">
        <f t="shared" si="121"/>
        <v>0</v>
      </c>
      <c r="L854" s="1460"/>
      <c r="M854" s="1236">
        <v>2518</v>
      </c>
      <c r="N854" s="1240" t="s">
        <v>1806</v>
      </c>
      <c r="O854" s="1241" t="s">
        <v>4845</v>
      </c>
      <c r="P854" s="910">
        <f t="shared" si="122"/>
        <v>0</v>
      </c>
      <c r="Q854" s="910">
        <f t="shared" si="123"/>
        <v>2518</v>
      </c>
      <c r="R854" s="1344">
        <f t="shared" si="124"/>
        <v>2</v>
      </c>
      <c r="S854" s="1344">
        <f>(1/9)*cnst_fish!$C$7*(1/cnst_fish!$C$8)^(R854-1)</f>
        <v>1.4102564102564099</v>
      </c>
      <c r="T854" s="1362">
        <f t="shared" si="125"/>
        <v>306.80198697894082</v>
      </c>
      <c r="W854" s="1612"/>
      <c r="X854" s="1612"/>
      <c r="Y854" s="1613"/>
      <c r="Z854" s="1614"/>
      <c r="AA854" s="1614"/>
      <c r="AB854" s="1615"/>
      <c r="AC854" s="1615"/>
      <c r="AD854" s="583"/>
      <c r="AE854" s="583"/>
    </row>
    <row r="855" spans="1:31" ht="14">
      <c r="A855" s="1384" t="s">
        <v>4877</v>
      </c>
      <c r="B855" s="19" t="s">
        <v>5402</v>
      </c>
      <c r="C855" s="1383">
        <v>3229</v>
      </c>
      <c r="D855" s="1236"/>
      <c r="E855" s="1236"/>
      <c r="F855" s="1344">
        <f>(1/S855)*cnst_fish!$C$6</f>
        <v>6.7466914312309487E-2</v>
      </c>
      <c r="G855" s="1344">
        <f t="shared" si="126"/>
        <v>1</v>
      </c>
      <c r="H855" s="1344">
        <f t="shared" si="126"/>
        <v>0.367192066876738</v>
      </c>
      <c r="I855" s="1344">
        <f t="shared" si="120"/>
        <v>0</v>
      </c>
      <c r="J855" s="902">
        <f t="shared" si="121"/>
        <v>0</v>
      </c>
      <c r="L855" s="1460">
        <v>702</v>
      </c>
      <c r="M855" s="1236"/>
      <c r="N855" s="1240" t="s">
        <v>1806</v>
      </c>
      <c r="O855" s="1241" t="s">
        <v>4841</v>
      </c>
      <c r="P855" s="910">
        <f t="shared" si="122"/>
        <v>0</v>
      </c>
      <c r="Q855" s="910">
        <f t="shared" si="123"/>
        <v>702</v>
      </c>
      <c r="R855" s="1344">
        <f t="shared" si="124"/>
        <v>3.65</v>
      </c>
      <c r="S855" s="1344">
        <f>(1/9)*cnst_fish!$C$7*(1/cnst_fish!$C$8)^(R855-1)</f>
        <v>62.993839918725584</v>
      </c>
      <c r="T855" s="1362">
        <f t="shared" si="125"/>
        <v>3820.6702288804631</v>
      </c>
      <c r="W855" s="1612"/>
      <c r="X855" s="1612"/>
      <c r="Y855" s="1613"/>
      <c r="Z855" s="1614"/>
      <c r="AA855" s="1614"/>
      <c r="AB855" s="1615"/>
      <c r="AC855" s="1615"/>
      <c r="AD855" s="583"/>
      <c r="AE855" s="583"/>
    </row>
    <row r="856" spans="1:31" ht="14">
      <c r="A856" s="1384" t="s">
        <v>3829</v>
      </c>
      <c r="B856" s="19" t="s">
        <v>3712</v>
      </c>
      <c r="C856" s="1383">
        <v>3141</v>
      </c>
      <c r="D856" s="1236"/>
      <c r="E856" s="1236"/>
      <c r="F856" s="1344">
        <f>(1/S856)*cnst_fish!$C$6</f>
        <v>0.22340394999204924</v>
      </c>
      <c r="G856" s="1344">
        <f t="shared" si="126"/>
        <v>1</v>
      </c>
      <c r="H856" s="1344">
        <f t="shared" si="126"/>
        <v>0.367192066876738</v>
      </c>
      <c r="I856" s="1344">
        <f t="shared" si="120"/>
        <v>0</v>
      </c>
      <c r="J856" s="902">
        <f t="shared" si="121"/>
        <v>0</v>
      </c>
      <c r="L856" s="1460">
        <v>199538</v>
      </c>
      <c r="M856" s="1236"/>
      <c r="N856" s="1240" t="s">
        <v>1806</v>
      </c>
      <c r="O856" s="1241" t="s">
        <v>4841</v>
      </c>
      <c r="P856" s="910">
        <f t="shared" si="122"/>
        <v>0</v>
      </c>
      <c r="Q856" s="910">
        <f t="shared" si="123"/>
        <v>199538</v>
      </c>
      <c r="R856" s="1344">
        <f t="shared" si="124"/>
        <v>3.13</v>
      </c>
      <c r="S856" s="1344">
        <f>(1/9)*cnst_fish!$C$7*(1/cnst_fish!$C$8)^(R856-1)</f>
        <v>19.023835523728447</v>
      </c>
      <c r="T856" s="1362">
        <f t="shared" si="125"/>
        <v>327965.42157405056</v>
      </c>
      <c r="W856" s="1612"/>
      <c r="X856" s="1612"/>
      <c r="Y856" s="1613"/>
      <c r="Z856" s="1614"/>
      <c r="AA856" s="1614"/>
      <c r="AB856" s="1615"/>
      <c r="AC856" s="1615"/>
      <c r="AD856" s="583"/>
      <c r="AE856" s="583"/>
    </row>
    <row r="857" spans="1:31" ht="14">
      <c r="A857" s="1384" t="s">
        <v>72</v>
      </c>
      <c r="B857" s="19" t="s">
        <v>3713</v>
      </c>
      <c r="C857" s="1383">
        <v>2337</v>
      </c>
      <c r="D857" s="1236"/>
      <c r="E857" s="1236"/>
      <c r="F857" s="1344">
        <f>(1/S857)*cnst_fish!$C$6</f>
        <v>0.2133491159303107</v>
      </c>
      <c r="G857" s="1344">
        <f t="shared" si="126"/>
        <v>1</v>
      </c>
      <c r="H857" s="1344">
        <f t="shared" si="126"/>
        <v>0.367192066876738</v>
      </c>
      <c r="I857" s="1344">
        <f t="shared" si="120"/>
        <v>0</v>
      </c>
      <c r="J857" s="902">
        <f t="shared" si="121"/>
        <v>0</v>
      </c>
      <c r="L857" s="1460">
        <v>2815</v>
      </c>
      <c r="M857" s="1236"/>
      <c r="N857" s="1240" t="s">
        <v>1806</v>
      </c>
      <c r="O857" s="1241" t="s">
        <v>4841</v>
      </c>
      <c r="P857" s="910">
        <f t="shared" si="122"/>
        <v>0</v>
      </c>
      <c r="Q857" s="910">
        <f t="shared" si="123"/>
        <v>2815</v>
      </c>
      <c r="R857" s="1344">
        <f t="shared" si="124"/>
        <v>3.15</v>
      </c>
      <c r="S857" s="1344">
        <f>(1/9)*cnst_fish!$C$7*(1/cnst_fish!$C$8)^(R857-1)</f>
        <v>19.920401270320887</v>
      </c>
      <c r="T857" s="1362">
        <f t="shared" si="125"/>
        <v>4844.8556430655754</v>
      </c>
      <c r="W857" s="1612"/>
      <c r="X857" s="1612"/>
      <c r="Y857" s="1613"/>
      <c r="Z857" s="1614"/>
      <c r="AA857" s="1614"/>
      <c r="AB857" s="1615"/>
      <c r="AC857" s="1615"/>
      <c r="AD857" s="583"/>
      <c r="AE857" s="583"/>
    </row>
    <row r="858" spans="1:31" ht="14">
      <c r="A858" s="1384" t="s">
        <v>2092</v>
      </c>
      <c r="B858" s="19" t="s">
        <v>3714</v>
      </c>
      <c r="C858" s="1383">
        <v>3164</v>
      </c>
      <c r="D858" s="1236">
        <v>1661</v>
      </c>
      <c r="E858" s="1236"/>
      <c r="F858" s="1344">
        <f>(1/S858)*cnst_fish!$C$6</f>
        <v>3.460117504783787E-2</v>
      </c>
      <c r="G858" s="1344">
        <f t="shared" si="126"/>
        <v>1</v>
      </c>
      <c r="H858" s="1344">
        <f t="shared" si="126"/>
        <v>0.367192066876738</v>
      </c>
      <c r="I858" s="1344">
        <f t="shared" si="120"/>
        <v>17626.743087164985</v>
      </c>
      <c r="J858" s="902">
        <f t="shared" si="121"/>
        <v>0</v>
      </c>
      <c r="L858" s="1460">
        <v>1661</v>
      </c>
      <c r="M858" s="1236"/>
      <c r="N858" s="1240" t="s">
        <v>1806</v>
      </c>
      <c r="O858" s="1241" t="s">
        <v>4841</v>
      </c>
      <c r="P858" s="910">
        <f t="shared" si="122"/>
        <v>1661</v>
      </c>
      <c r="Q858" s="910">
        <f t="shared" si="123"/>
        <v>1661</v>
      </c>
      <c r="R858" s="1344">
        <f t="shared" si="124"/>
        <v>3.94</v>
      </c>
      <c r="S858" s="1344">
        <f>(1/9)*cnst_fish!$C$7*(1/cnst_fish!$C$8)^(R858-1)</f>
        <v>122.82819858354985</v>
      </c>
      <c r="T858" s="1362">
        <f t="shared" si="125"/>
        <v>17626.743087164985</v>
      </c>
      <c r="W858" s="1612"/>
      <c r="X858" s="1612"/>
      <c r="Y858" s="1613"/>
      <c r="Z858" s="1614"/>
      <c r="AA858" s="1614"/>
      <c r="AB858" s="1615"/>
      <c r="AC858" s="1615"/>
      <c r="AD858" s="583"/>
      <c r="AE858" s="583"/>
    </row>
    <row r="859" spans="1:31" ht="14">
      <c r="A859" s="1384" t="s">
        <v>6665</v>
      </c>
      <c r="B859" s="19" t="s">
        <v>2419</v>
      </c>
      <c r="C859" s="1383">
        <v>3390</v>
      </c>
      <c r="D859" s="1236"/>
      <c r="E859" s="1236"/>
      <c r="F859" s="1344">
        <f>(1/S859)*cnst_fish!$C$6</f>
        <v>0.75699122913220485</v>
      </c>
      <c r="G859" s="1344">
        <f t="shared" si="126"/>
        <v>1</v>
      </c>
      <c r="H859" s="1344">
        <f t="shared" si="126"/>
        <v>0.367192066876738</v>
      </c>
      <c r="I859" s="1344">
        <f t="shared" si="120"/>
        <v>0</v>
      </c>
      <c r="J859" s="902">
        <f t="shared" si="121"/>
        <v>0</v>
      </c>
      <c r="L859" s="1460">
        <v>0</v>
      </c>
      <c r="M859" s="1236"/>
      <c r="N859" s="1240" t="s">
        <v>1804</v>
      </c>
      <c r="O859" s="1241" t="s">
        <v>4851</v>
      </c>
      <c r="P859" s="910">
        <f t="shared" si="122"/>
        <v>0</v>
      </c>
      <c r="Q859" s="910">
        <f t="shared" si="123"/>
        <v>0</v>
      </c>
      <c r="R859" s="1344">
        <f t="shared" si="124"/>
        <v>2.6</v>
      </c>
      <c r="S859" s="1344">
        <f>(1/9)*cnst_fish!$C$7*(1/cnst_fish!$C$8)^(R859-1)</f>
        <v>5.6143318924211183</v>
      </c>
      <c r="T859" s="1362">
        <f t="shared" si="125"/>
        <v>0</v>
      </c>
      <c r="W859" s="1612"/>
      <c r="X859" s="1612"/>
      <c r="Y859" s="1613"/>
      <c r="Z859" s="1614"/>
      <c r="AA859" s="1614"/>
      <c r="AB859" s="1615"/>
      <c r="AC859" s="1615"/>
      <c r="AD859" s="583"/>
      <c r="AE859" s="583"/>
    </row>
    <row r="860" spans="1:31" ht="14">
      <c r="A860" s="1384" t="s">
        <v>3078</v>
      </c>
      <c r="B860" s="19" t="s">
        <v>5403</v>
      </c>
      <c r="C860" s="1383">
        <v>3267</v>
      </c>
      <c r="D860" s="1236">
        <v>64</v>
      </c>
      <c r="E860" s="1236"/>
      <c r="F860" s="1344">
        <f>(1/S860)*cnst_fish!$C$6</f>
        <v>1.3774975896121007E-2</v>
      </c>
      <c r="G860" s="1344">
        <f t="shared" si="126"/>
        <v>1</v>
      </c>
      <c r="H860" s="1344">
        <f t="shared" si="126"/>
        <v>0.367192066876738</v>
      </c>
      <c r="I860" s="1344">
        <f t="shared" si="120"/>
        <v>1706.0133140943533</v>
      </c>
      <c r="J860" s="902">
        <f t="shared" si="121"/>
        <v>0</v>
      </c>
      <c r="L860" s="1460">
        <v>1429</v>
      </c>
      <c r="M860" s="1236"/>
      <c r="N860" s="1240" t="s">
        <v>1806</v>
      </c>
      <c r="O860" s="1241" t="s">
        <v>4841</v>
      </c>
      <c r="P860" s="910">
        <f t="shared" si="122"/>
        <v>64</v>
      </c>
      <c r="Q860" s="910">
        <f t="shared" si="123"/>
        <v>1429</v>
      </c>
      <c r="R860" s="1344">
        <f t="shared" si="124"/>
        <v>4.34</v>
      </c>
      <c r="S860" s="1344">
        <f>(1/9)*cnst_fish!$C$7*(1/cnst_fish!$C$8)^(R860-1)</f>
        <v>308.53048542878304</v>
      </c>
      <c r="T860" s="1362">
        <f t="shared" si="125"/>
        <v>38092.078528762977</v>
      </c>
      <c r="W860" s="1612"/>
      <c r="X860" s="1612"/>
      <c r="Y860" s="1613"/>
      <c r="Z860" s="1614"/>
      <c r="AA860" s="1614"/>
      <c r="AB860" s="1615"/>
      <c r="AC860" s="1615"/>
      <c r="AD860" s="583"/>
      <c r="AE860" s="583"/>
    </row>
    <row r="861" spans="1:31" ht="14">
      <c r="A861" s="1384" t="s">
        <v>3441</v>
      </c>
      <c r="B861" s="19" t="s">
        <v>3715</v>
      </c>
      <c r="C861" s="1383">
        <v>13101</v>
      </c>
      <c r="D861" s="1236"/>
      <c r="E861" s="1236"/>
      <c r="F861" s="1344">
        <f>(1/S861)*cnst_fish!$C$6</f>
        <v>7.7462381998898044E-2</v>
      </c>
      <c r="G861" s="1344">
        <f t="shared" si="126"/>
        <v>1</v>
      </c>
      <c r="H861" s="1344">
        <f t="shared" si="126"/>
        <v>0.367192066876738</v>
      </c>
      <c r="I861" s="1344">
        <f t="shared" si="120"/>
        <v>0</v>
      </c>
      <c r="J861" s="902">
        <f t="shared" si="121"/>
        <v>0</v>
      </c>
      <c r="L861" s="1460">
        <v>20</v>
      </c>
      <c r="M861" s="1236"/>
      <c r="N861" s="1240" t="s">
        <v>1806</v>
      </c>
      <c r="O861" s="1241" t="s">
        <v>4841</v>
      </c>
      <c r="P861" s="910">
        <f t="shared" si="122"/>
        <v>0</v>
      </c>
      <c r="Q861" s="910">
        <f t="shared" si="123"/>
        <v>20</v>
      </c>
      <c r="R861" s="1344">
        <f t="shared" si="124"/>
        <v>3.59</v>
      </c>
      <c r="S861" s="1344">
        <f>(1/9)*cnst_fish!$C$7*(1/cnst_fish!$C$8)^(R861-1)</f>
        <v>54.865340960731871</v>
      </c>
      <c r="T861" s="1362">
        <f t="shared" si="125"/>
        <v>94.805260928320422</v>
      </c>
      <c r="W861" s="1612"/>
      <c r="X861" s="1612"/>
      <c r="Y861" s="1613"/>
      <c r="Z861" s="1614"/>
      <c r="AA861" s="1614"/>
      <c r="AB861" s="1615"/>
      <c r="AC861" s="1615"/>
      <c r="AD861" s="583"/>
      <c r="AE861" s="583"/>
    </row>
    <row r="862" spans="1:31" ht="14">
      <c r="A862" s="1384" t="s">
        <v>162</v>
      </c>
      <c r="B862" s="19" t="s">
        <v>3745</v>
      </c>
      <c r="C862" s="1383">
        <v>3362</v>
      </c>
      <c r="D862" s="1236">
        <v>60647</v>
      </c>
      <c r="E862" s="1236"/>
      <c r="F862" s="1344">
        <f>(1/S862)*cnst_fish!$C$6</f>
        <v>0.18581931192461937</v>
      </c>
      <c r="G862" s="1344">
        <f t="shared" si="126"/>
        <v>1</v>
      </c>
      <c r="H862" s="1344">
        <f t="shared" si="126"/>
        <v>0.367192066876738</v>
      </c>
      <c r="I862" s="1344">
        <f t="shared" si="120"/>
        <v>119842.74965406906</v>
      </c>
      <c r="J862" s="902">
        <f t="shared" si="121"/>
        <v>0</v>
      </c>
      <c r="L862" s="1460">
        <v>60647</v>
      </c>
      <c r="M862" s="1236"/>
      <c r="N862" s="1240" t="s">
        <v>1809</v>
      </c>
      <c r="O862" s="1241" t="s">
        <v>4841</v>
      </c>
      <c r="P862" s="910">
        <f t="shared" si="122"/>
        <v>60647</v>
      </c>
      <c r="Q862" s="910">
        <f t="shared" si="123"/>
        <v>60647</v>
      </c>
      <c r="R862" s="1344">
        <f t="shared" si="124"/>
        <v>3.21</v>
      </c>
      <c r="S862" s="1344">
        <f>(1/9)*cnst_fish!$C$7*(1/cnst_fish!$C$8)^(R862-1)</f>
        <v>22.87168086019004</v>
      </c>
      <c r="T862" s="1362">
        <f t="shared" si="125"/>
        <v>119842.74965406906</v>
      </c>
      <c r="W862" s="1612"/>
      <c r="X862" s="1612"/>
      <c r="Y862" s="1613"/>
      <c r="Z862" s="1614"/>
      <c r="AA862" s="1614"/>
      <c r="AB862" s="1615"/>
      <c r="AC862" s="1615"/>
      <c r="AD862" s="583"/>
      <c r="AE862" s="583"/>
    </row>
    <row r="863" spans="1:31" ht="14">
      <c r="A863" s="1384" t="s">
        <v>3644</v>
      </c>
      <c r="B863" s="19" t="s">
        <v>5404</v>
      </c>
      <c r="C863" s="1383">
        <v>3270</v>
      </c>
      <c r="D863" s="1236"/>
      <c r="E863" s="1236"/>
      <c r="F863" s="1344">
        <f>(1/S863)*cnst_fish!$C$6</f>
        <v>4.2568745094767511E-2</v>
      </c>
      <c r="G863" s="1344">
        <f t="shared" si="126"/>
        <v>1</v>
      </c>
      <c r="H863" s="1344">
        <f t="shared" si="126"/>
        <v>0.367192066876738</v>
      </c>
      <c r="I863" s="1344">
        <f t="shared" si="120"/>
        <v>0</v>
      </c>
      <c r="J863" s="902">
        <f t="shared" si="121"/>
        <v>0</v>
      </c>
      <c r="L863" s="1460">
        <v>11910</v>
      </c>
      <c r="M863" s="1236"/>
      <c r="N863" s="1240" t="s">
        <v>1806</v>
      </c>
      <c r="O863" s="1241" t="s">
        <v>4841</v>
      </c>
      <c r="P863" s="910">
        <f t="shared" si="122"/>
        <v>0</v>
      </c>
      <c r="Q863" s="910">
        <f t="shared" si="123"/>
        <v>11910</v>
      </c>
      <c r="R863" s="1344">
        <f t="shared" si="124"/>
        <v>3.85</v>
      </c>
      <c r="S863" s="1344">
        <f>(1/9)*cnst_fish!$C$7*(1/cnst_fish!$C$8)^(R863-1)</f>
        <v>99.838508054173388</v>
      </c>
      <c r="T863" s="1362">
        <f t="shared" si="125"/>
        <v>102734.00136100099</v>
      </c>
      <c r="W863" s="1612"/>
      <c r="X863" s="1612"/>
      <c r="Y863" s="1613"/>
      <c r="Z863" s="1614"/>
      <c r="AA863" s="1614"/>
      <c r="AB863" s="1615"/>
      <c r="AC863" s="1615"/>
      <c r="AD863" s="583"/>
      <c r="AE863" s="583"/>
    </row>
    <row r="864" spans="1:31" ht="14">
      <c r="A864" s="1384" t="s">
        <v>3487</v>
      </c>
      <c r="B864" s="19" t="s">
        <v>3746</v>
      </c>
      <c r="C864" s="1383">
        <v>2561</v>
      </c>
      <c r="D864" s="1236"/>
      <c r="E864" s="1236"/>
      <c r="F864" s="1344">
        <f>(1/S864)*cnst_fish!$C$6</f>
        <v>6.1530557150722649E-2</v>
      </c>
      <c r="G864" s="1344">
        <f t="shared" si="126"/>
        <v>1</v>
      </c>
      <c r="H864" s="1344">
        <f t="shared" si="126"/>
        <v>0.367192066876738</v>
      </c>
      <c r="I864" s="1344">
        <f t="shared" si="120"/>
        <v>0</v>
      </c>
      <c r="J864" s="902">
        <f t="shared" si="121"/>
        <v>0</v>
      </c>
      <c r="L864" s="1460">
        <v>21</v>
      </c>
      <c r="M864" s="1236"/>
      <c r="N864" s="1240" t="s">
        <v>1806</v>
      </c>
      <c r="O864" s="1241" t="s">
        <v>4841</v>
      </c>
      <c r="P864" s="910">
        <f t="shared" si="122"/>
        <v>0</v>
      </c>
      <c r="Q864" s="910">
        <f t="shared" si="123"/>
        <v>21</v>
      </c>
      <c r="R864" s="1344">
        <f t="shared" si="124"/>
        <v>3.69</v>
      </c>
      <c r="S864" s="1344">
        <f>(1/9)*cnst_fish!$C$7*(1/cnst_fish!$C$8)^(R864-1)</f>
        <v>69.071371962216759</v>
      </c>
      <c r="T864" s="1362">
        <f t="shared" si="125"/>
        <v>125.32038976216121</v>
      </c>
      <c r="W864" s="1612"/>
      <c r="X864" s="1612"/>
      <c r="Y864" s="1613"/>
      <c r="Z864" s="1614"/>
      <c r="AA864" s="1614"/>
      <c r="AB864" s="1615"/>
      <c r="AC864" s="1615"/>
      <c r="AD864" s="583"/>
      <c r="AE864" s="583"/>
    </row>
    <row r="865" spans="1:31" ht="14">
      <c r="A865" s="1384" t="s">
        <v>4521</v>
      </c>
      <c r="B865" s="19" t="s">
        <v>3747</v>
      </c>
      <c r="C865" s="1383">
        <v>2559</v>
      </c>
      <c r="D865" s="1236"/>
      <c r="E865" s="1236"/>
      <c r="F865" s="1344">
        <f>(1/S865)*cnst_fish!$C$6</f>
        <v>3.304386563831508E-2</v>
      </c>
      <c r="G865" s="1344">
        <f t="shared" si="126"/>
        <v>1</v>
      </c>
      <c r="H865" s="1344">
        <f t="shared" si="126"/>
        <v>0.367192066876738</v>
      </c>
      <c r="I865" s="1344">
        <f t="shared" si="120"/>
        <v>0</v>
      </c>
      <c r="J865" s="902">
        <f t="shared" si="121"/>
        <v>0</v>
      </c>
      <c r="L865" s="1460">
        <v>6044</v>
      </c>
      <c r="M865" s="1236"/>
      <c r="N865" s="1240" t="s">
        <v>1806</v>
      </c>
      <c r="O865" s="1241" t="s">
        <v>4841</v>
      </c>
      <c r="P865" s="910">
        <f t="shared" si="122"/>
        <v>0</v>
      </c>
      <c r="Q865" s="910">
        <f t="shared" si="123"/>
        <v>6044</v>
      </c>
      <c r="R865" s="1344">
        <f t="shared" si="124"/>
        <v>3.96</v>
      </c>
      <c r="S865" s="1344">
        <f>(1/9)*cnst_fish!$C$7*(1/cnst_fish!$C$8)^(R865-1)</f>
        <v>128.61691324250009</v>
      </c>
      <c r="T865" s="1362">
        <f t="shared" si="125"/>
        <v>67162.50684755441</v>
      </c>
      <c r="W865" s="1612"/>
      <c r="X865" s="1612"/>
      <c r="Y865" s="1613"/>
      <c r="Z865" s="1614"/>
      <c r="AA865" s="1614"/>
      <c r="AB865" s="1615"/>
      <c r="AC865" s="1615"/>
      <c r="AD865" s="583"/>
      <c r="AE865" s="583"/>
    </row>
    <row r="866" spans="1:31" ht="14">
      <c r="A866" s="1384" t="s">
        <v>2133</v>
      </c>
      <c r="B866" s="19" t="s">
        <v>3748</v>
      </c>
      <c r="C866" s="1383">
        <v>2560</v>
      </c>
      <c r="D866" s="1236"/>
      <c r="E866" s="1236"/>
      <c r="F866" s="1344">
        <f>(1/S866)*cnst_fish!$C$6</f>
        <v>1.7341667202478851E-2</v>
      </c>
      <c r="G866" s="1344">
        <f t="shared" si="126"/>
        <v>1</v>
      </c>
      <c r="H866" s="1344">
        <f t="shared" si="126"/>
        <v>0.367192066876738</v>
      </c>
      <c r="I866" s="1344">
        <f t="shared" si="120"/>
        <v>0</v>
      </c>
      <c r="J866" s="902">
        <f t="shared" si="121"/>
        <v>0</v>
      </c>
      <c r="L866" s="1460">
        <v>14592</v>
      </c>
      <c r="M866" s="1236"/>
      <c r="N866" s="1240" t="s">
        <v>1806</v>
      </c>
      <c r="O866" s="1241" t="s">
        <v>4841</v>
      </c>
      <c r="P866" s="910">
        <f t="shared" si="122"/>
        <v>0</v>
      </c>
      <c r="Q866" s="910">
        <f t="shared" si="123"/>
        <v>14592</v>
      </c>
      <c r="R866" s="1344">
        <f t="shared" si="124"/>
        <v>4.24</v>
      </c>
      <c r="S866" s="1344">
        <f>(1/9)*cnst_fish!$C$7*(1/cnst_fish!$C$8)^(R866-1)</f>
        <v>245.0744758492711</v>
      </c>
      <c r="T866" s="1362">
        <f t="shared" si="125"/>
        <v>308970.67607775726</v>
      </c>
      <c r="W866" s="1612"/>
      <c r="X866" s="1612"/>
      <c r="Y866" s="1613"/>
      <c r="Z866" s="1614"/>
      <c r="AA866" s="1614"/>
      <c r="AB866" s="1615"/>
      <c r="AC866" s="1615"/>
      <c r="AD866" s="583"/>
      <c r="AE866" s="583"/>
    </row>
    <row r="867" spans="1:31" ht="14">
      <c r="A867" s="1384" t="s">
        <v>3461</v>
      </c>
      <c r="B867" s="19" t="s">
        <v>3065</v>
      </c>
      <c r="C867" s="1383">
        <v>13106</v>
      </c>
      <c r="D867" s="1236"/>
      <c r="E867" s="1236"/>
      <c r="F867" s="1344">
        <f>(1/S867)*cnst_fish!$C$6</f>
        <v>2.3938164528281767E-2</v>
      </c>
      <c r="G867" s="1344">
        <f t="shared" si="126"/>
        <v>1</v>
      </c>
      <c r="H867" s="1344">
        <f t="shared" si="126"/>
        <v>0.367192066876738</v>
      </c>
      <c r="I867" s="1344">
        <f t="shared" si="120"/>
        <v>0</v>
      </c>
      <c r="J867" s="902">
        <f t="shared" si="121"/>
        <v>0</v>
      </c>
      <c r="L867" s="1460">
        <v>2848</v>
      </c>
      <c r="M867" s="1236"/>
      <c r="N867" s="1240" t="s">
        <v>1806</v>
      </c>
      <c r="O867" s="1241" t="s">
        <v>4841</v>
      </c>
      <c r="P867" s="910">
        <f t="shared" si="122"/>
        <v>0</v>
      </c>
      <c r="Q867" s="910">
        <f t="shared" si="123"/>
        <v>2848</v>
      </c>
      <c r="R867" s="1344">
        <f t="shared" si="124"/>
        <v>4.0999999999999996</v>
      </c>
      <c r="S867" s="1344">
        <f>(1/9)*cnst_fish!$C$7*(1/cnst_fish!$C$8)^(R867-1)</f>
        <v>177.54076320174144</v>
      </c>
      <c r="T867" s="1362">
        <f t="shared" si="125"/>
        <v>43686.014657867025</v>
      </c>
      <c r="W867" s="1612"/>
      <c r="X867" s="1612"/>
      <c r="Y867" s="1613"/>
      <c r="Z867" s="1614"/>
      <c r="AA867" s="1614"/>
      <c r="AB867" s="1615"/>
      <c r="AC867" s="1615"/>
      <c r="AD867" s="583"/>
      <c r="AE867" s="583"/>
    </row>
    <row r="868" spans="1:31" ht="14">
      <c r="A868" s="1384" t="s">
        <v>5701</v>
      </c>
      <c r="B868" s="19" t="s">
        <v>5702</v>
      </c>
      <c r="C868" s="1383">
        <v>13108</v>
      </c>
      <c r="D868" s="1236"/>
      <c r="E868" s="1236"/>
      <c r="F868" s="1344">
        <f>(1/S868)*cnst_fish!$C$6</f>
        <v>0.11457525898206007</v>
      </c>
      <c r="G868" s="1344">
        <f t="shared" ref="G868:H887" si="127">G$7</f>
        <v>1</v>
      </c>
      <c r="H868" s="1344">
        <f t="shared" si="127"/>
        <v>0.367192066876738</v>
      </c>
      <c r="I868" s="1344">
        <f t="shared" si="120"/>
        <v>0</v>
      </c>
      <c r="J868" s="902">
        <f t="shared" si="121"/>
        <v>0</v>
      </c>
      <c r="L868" s="1460">
        <v>5</v>
      </c>
      <c r="M868" s="1236"/>
      <c r="N868" s="1240" t="s">
        <v>1806</v>
      </c>
      <c r="O868" s="1241" t="s">
        <v>4841</v>
      </c>
      <c r="P868" s="910">
        <f t="shared" si="122"/>
        <v>0</v>
      </c>
      <c r="Q868" s="910">
        <f t="shared" si="123"/>
        <v>5</v>
      </c>
      <c r="R868" s="1344">
        <f t="shared" si="124"/>
        <v>3.42</v>
      </c>
      <c r="S868" s="1344">
        <f>(1/9)*cnst_fish!$C$7*(1/cnst_fish!$C$8)^(R868-1)</f>
        <v>37.093522962627169</v>
      </c>
      <c r="T868" s="1362">
        <f t="shared" si="125"/>
        <v>16.024055722808015</v>
      </c>
      <c r="W868" s="1612"/>
      <c r="X868" s="1612"/>
      <c r="Y868" s="1613"/>
      <c r="Z868" s="1614"/>
      <c r="AA868" s="1614"/>
      <c r="AB868" s="1615"/>
      <c r="AC868" s="1615"/>
      <c r="AD868" s="583"/>
      <c r="AE868" s="583"/>
    </row>
    <row r="869" spans="1:31" ht="14">
      <c r="A869" s="1384" t="s">
        <v>1973</v>
      </c>
      <c r="B869" s="19" t="s">
        <v>1974</v>
      </c>
      <c r="C869" s="1383">
        <v>19140</v>
      </c>
      <c r="D869" s="1236"/>
      <c r="E869" s="1236">
        <v>199</v>
      </c>
      <c r="F869" s="1344">
        <f>(1/S869)*cnst_fish!$C$6</f>
        <v>2.5066335465503211E-2</v>
      </c>
      <c r="G869" s="1344">
        <f t="shared" si="127"/>
        <v>1</v>
      </c>
      <c r="H869" s="1344">
        <f t="shared" si="127"/>
        <v>0.367192066876738</v>
      </c>
      <c r="I869" s="1344">
        <f t="shared" si="120"/>
        <v>0</v>
      </c>
      <c r="J869" s="902">
        <f t="shared" si="121"/>
        <v>2915.1138350092269</v>
      </c>
      <c r="L869" s="1460"/>
      <c r="M869" s="1236">
        <v>199</v>
      </c>
      <c r="N869" s="1240" t="s">
        <v>1806</v>
      </c>
      <c r="O869" s="1241" t="s">
        <v>4845</v>
      </c>
      <c r="P869" s="910">
        <f t="shared" si="122"/>
        <v>199</v>
      </c>
      <c r="Q869" s="910">
        <f t="shared" si="123"/>
        <v>199</v>
      </c>
      <c r="R869" s="1344">
        <f t="shared" si="124"/>
        <v>4.08</v>
      </c>
      <c r="S869" s="1344">
        <f>(1/9)*cnst_fish!$C$7*(1/cnst_fish!$C$8)^(R869-1)</f>
        <v>169.55011257425062</v>
      </c>
      <c r="T869" s="1362">
        <f t="shared" si="125"/>
        <v>2915.1138350092269</v>
      </c>
      <c r="W869" s="1612"/>
      <c r="X869" s="1612"/>
      <c r="Y869" s="1613"/>
      <c r="Z869" s="1614"/>
      <c r="AA869" s="1614"/>
      <c r="AB869" s="1615"/>
      <c r="AC869" s="1615"/>
      <c r="AD869" s="583"/>
      <c r="AE869" s="583"/>
    </row>
    <row r="870" spans="1:31" ht="14">
      <c r="A870" s="1384" t="s">
        <v>6667</v>
      </c>
      <c r="B870" s="19" t="s">
        <v>6666</v>
      </c>
      <c r="C870" s="1383">
        <v>13121</v>
      </c>
      <c r="D870" s="1236"/>
      <c r="E870" s="1236"/>
      <c r="F870" s="1344">
        <f>(1/S870)*cnst_fish!$C$6</f>
        <v>1.5103960722494616</v>
      </c>
      <c r="G870" s="1344">
        <f t="shared" si="127"/>
        <v>1</v>
      </c>
      <c r="H870" s="1344">
        <f t="shared" si="127"/>
        <v>0.367192066876738</v>
      </c>
      <c r="I870" s="1344">
        <f t="shared" si="120"/>
        <v>0</v>
      </c>
      <c r="J870" s="902">
        <f t="shared" si="121"/>
        <v>0</v>
      </c>
      <c r="L870" s="1460"/>
      <c r="M870" s="1236">
        <v>1295</v>
      </c>
      <c r="N870" s="1240" t="s">
        <v>1806</v>
      </c>
      <c r="O870" s="1241" t="s">
        <v>4845</v>
      </c>
      <c r="P870" s="910">
        <f t="shared" si="122"/>
        <v>0</v>
      </c>
      <c r="Q870" s="910">
        <f t="shared" si="123"/>
        <v>1295</v>
      </c>
      <c r="R870" s="1344">
        <f t="shared" si="124"/>
        <v>2.2999999999999998</v>
      </c>
      <c r="S870" s="1344">
        <f>(1/9)*cnst_fish!$C$7*(1/cnst_fish!$C$8)^(R870-1)</f>
        <v>2.8138314698279068</v>
      </c>
      <c r="T870" s="1362">
        <f t="shared" si="125"/>
        <v>314.82717370761168</v>
      </c>
      <c r="W870" s="1612"/>
      <c r="X870" s="1612"/>
      <c r="Y870" s="1613"/>
      <c r="Z870" s="1614"/>
      <c r="AA870" s="1614"/>
      <c r="AB870" s="1615"/>
      <c r="AC870" s="1615"/>
      <c r="AD870" s="583"/>
      <c r="AE870" s="583"/>
    </row>
    <row r="871" spans="1:31" ht="14">
      <c r="A871" s="1384" t="s">
        <v>6669</v>
      </c>
      <c r="B871" s="19" t="s">
        <v>6668</v>
      </c>
      <c r="C871" s="1383">
        <v>13125</v>
      </c>
      <c r="D871" s="1236"/>
      <c r="E871" s="1236"/>
      <c r="F871" s="1344">
        <f>(1/S871)*cnst_fish!$C$6</f>
        <v>3.0136363636363641</v>
      </c>
      <c r="G871" s="1344">
        <f t="shared" si="127"/>
        <v>1</v>
      </c>
      <c r="H871" s="1344">
        <f t="shared" si="127"/>
        <v>0.367192066876738</v>
      </c>
      <c r="I871" s="1344">
        <f t="shared" si="120"/>
        <v>0</v>
      </c>
      <c r="J871" s="902">
        <f t="shared" si="121"/>
        <v>0</v>
      </c>
      <c r="L871" s="1460"/>
      <c r="M871" s="1236">
        <v>202</v>
      </c>
      <c r="N871" s="1240" t="s">
        <v>1806</v>
      </c>
      <c r="O871" s="1241" t="s">
        <v>4845</v>
      </c>
      <c r="P871" s="910">
        <f t="shared" si="122"/>
        <v>0</v>
      </c>
      <c r="Q871" s="910">
        <f t="shared" si="123"/>
        <v>202</v>
      </c>
      <c r="R871" s="1344">
        <f t="shared" si="124"/>
        <v>2</v>
      </c>
      <c r="S871" s="1344">
        <f>(1/9)*cnst_fish!$C$7*(1/cnst_fish!$C$8)^(R871-1)</f>
        <v>1.4102564102564099</v>
      </c>
      <c r="T871" s="1362">
        <f t="shared" si="125"/>
        <v>24.612391330320111</v>
      </c>
      <c r="W871" s="1612"/>
      <c r="X871" s="1612"/>
      <c r="Y871" s="1613"/>
      <c r="Z871" s="1614"/>
      <c r="AA871" s="1614"/>
      <c r="AB871" s="1615"/>
      <c r="AC871" s="1615"/>
      <c r="AD871" s="583"/>
      <c r="AE871" s="583"/>
    </row>
    <row r="872" spans="1:31" ht="14">
      <c r="A872" s="1384" t="s">
        <v>1069</v>
      </c>
      <c r="B872" s="19" t="s">
        <v>4998</v>
      </c>
      <c r="C872" s="1383">
        <v>2969</v>
      </c>
      <c r="D872" s="1236"/>
      <c r="E872" s="1236"/>
      <c r="F872" s="1344">
        <f>(1/S872)*cnst_fish!$C$6</f>
        <v>0.52370997702765276</v>
      </c>
      <c r="G872" s="1344">
        <f t="shared" si="127"/>
        <v>1</v>
      </c>
      <c r="H872" s="1344">
        <f t="shared" si="127"/>
        <v>0.367192066876738</v>
      </c>
      <c r="I872" s="1344">
        <f t="shared" si="120"/>
        <v>0</v>
      </c>
      <c r="J872" s="902">
        <f t="shared" si="121"/>
        <v>0</v>
      </c>
      <c r="L872" s="1460"/>
      <c r="M872" s="1236">
        <v>3837</v>
      </c>
      <c r="N872" s="1240" t="s">
        <v>5365</v>
      </c>
      <c r="O872" s="1241" t="s">
        <v>4845</v>
      </c>
      <c r="P872" s="910">
        <f t="shared" si="122"/>
        <v>0</v>
      </c>
      <c r="Q872" s="910">
        <f t="shared" si="123"/>
        <v>3837</v>
      </c>
      <c r="R872" s="1344">
        <f t="shared" si="124"/>
        <v>2.76</v>
      </c>
      <c r="S872" s="1344">
        <f>(1/9)*cnst_fish!$C$7*(1/cnst_fish!$C$8)^(R872-1)</f>
        <v>8.1151786034727245</v>
      </c>
      <c r="T872" s="1362">
        <f t="shared" si="125"/>
        <v>2690.2599194356203</v>
      </c>
      <c r="W872" s="1612"/>
      <c r="X872" s="1612"/>
      <c r="Y872" s="1613"/>
      <c r="Z872" s="1614"/>
      <c r="AA872" s="1614"/>
      <c r="AB872" s="1615"/>
      <c r="AC872" s="1615"/>
      <c r="AD872" s="583"/>
      <c r="AE872" s="583"/>
    </row>
    <row r="873" spans="1:31" ht="14">
      <c r="A873" s="1384" t="s">
        <v>6446</v>
      </c>
      <c r="B873" s="19" t="s">
        <v>6445</v>
      </c>
      <c r="C873" s="1383">
        <v>13132</v>
      </c>
      <c r="D873" s="1236"/>
      <c r="E873" s="1236"/>
      <c r="F873" s="1344">
        <f>(1/S873)*cnst_fish!$C$6</f>
        <v>4.7762917572805388E-2</v>
      </c>
      <c r="G873" s="1344">
        <f t="shared" si="127"/>
        <v>1</v>
      </c>
      <c r="H873" s="1344">
        <f t="shared" si="127"/>
        <v>0.367192066876738</v>
      </c>
      <c r="I873" s="1344">
        <f t="shared" si="120"/>
        <v>0</v>
      </c>
      <c r="J873" s="902">
        <f t="shared" si="121"/>
        <v>0</v>
      </c>
      <c r="L873" s="1460">
        <v>24</v>
      </c>
      <c r="M873" s="1236"/>
      <c r="N873" s="1240" t="s">
        <v>1806</v>
      </c>
      <c r="O873" s="1241" t="s">
        <v>4841</v>
      </c>
      <c r="P873" s="910">
        <f t="shared" si="122"/>
        <v>0</v>
      </c>
      <c r="Q873" s="910">
        <f t="shared" si="123"/>
        <v>24</v>
      </c>
      <c r="R873" s="1344">
        <f t="shared" si="124"/>
        <v>3.8</v>
      </c>
      <c r="S873" s="1344">
        <f>(1/9)*cnst_fish!$C$7*(1/cnst_fish!$C$8)^(R873-1)</f>
        <v>88.981163965155432</v>
      </c>
      <c r="T873" s="1362">
        <f t="shared" si="125"/>
        <v>184.50735534755771</v>
      </c>
      <c r="W873" s="1612"/>
      <c r="X873" s="1612"/>
      <c r="Y873" s="1613"/>
      <c r="Z873" s="1614"/>
      <c r="AA873" s="1614"/>
      <c r="AB873" s="1615"/>
      <c r="AC873" s="1615"/>
      <c r="AD873" s="583"/>
      <c r="AE873" s="583"/>
    </row>
    <row r="874" spans="1:31" ht="14">
      <c r="A874" s="1384" t="s">
        <v>6640</v>
      </c>
      <c r="B874" s="19" t="s">
        <v>6639</v>
      </c>
      <c r="C874" s="1383">
        <v>14482</v>
      </c>
      <c r="D874" s="1236"/>
      <c r="E874" s="1236"/>
      <c r="F874" s="1344">
        <f>(1/S874)*cnst_fish!$C$6</f>
        <v>3.7939434000887833E-2</v>
      </c>
      <c r="G874" s="1344">
        <f t="shared" si="127"/>
        <v>1</v>
      </c>
      <c r="H874" s="1344">
        <f t="shared" si="127"/>
        <v>0.367192066876738</v>
      </c>
      <c r="I874" s="1344">
        <f t="shared" si="120"/>
        <v>0</v>
      </c>
      <c r="J874" s="902">
        <f t="shared" si="121"/>
        <v>0</v>
      </c>
      <c r="L874" s="1460">
        <v>6646</v>
      </c>
      <c r="M874" s="1236"/>
      <c r="N874" s="1240" t="s">
        <v>1806</v>
      </c>
      <c r="O874" s="1241" t="s">
        <v>4841</v>
      </c>
      <c r="P874" s="910">
        <f t="shared" si="122"/>
        <v>0</v>
      </c>
      <c r="Q874" s="910">
        <f t="shared" si="123"/>
        <v>6646</v>
      </c>
      <c r="R874" s="1344">
        <f t="shared" si="124"/>
        <v>3.9</v>
      </c>
      <c r="S874" s="1344">
        <f>(1/9)*cnst_fish!$C$7*(1/cnst_fish!$C$8)^(R874-1)</f>
        <v>112.02064848675771</v>
      </c>
      <c r="T874" s="1362">
        <f t="shared" si="125"/>
        <v>64322.479782004477</v>
      </c>
      <c r="W874" s="1612"/>
      <c r="X874" s="1612"/>
      <c r="Y874" s="1613"/>
      <c r="Z874" s="1614"/>
      <c r="AA874" s="1614"/>
      <c r="AB874" s="1615"/>
      <c r="AC874" s="1615"/>
      <c r="AD874" s="583"/>
      <c r="AE874" s="583"/>
    </row>
    <row r="875" spans="1:31" ht="14">
      <c r="A875" s="1384" t="s">
        <v>2164</v>
      </c>
      <c r="B875" s="19" t="s">
        <v>5589</v>
      </c>
      <c r="C875" s="1383">
        <v>2779</v>
      </c>
      <c r="D875" s="1236"/>
      <c r="E875" s="1236"/>
      <c r="F875" s="1344">
        <f>(1/S875)*cnst_fish!$C$6</f>
        <v>30.136363636363644</v>
      </c>
      <c r="G875" s="1344">
        <f t="shared" si="127"/>
        <v>1</v>
      </c>
      <c r="H875" s="1344">
        <f t="shared" si="127"/>
        <v>0.367192066876738</v>
      </c>
      <c r="I875" s="1344">
        <f t="shared" si="120"/>
        <v>0</v>
      </c>
      <c r="J875" s="902">
        <f t="shared" si="121"/>
        <v>0</v>
      </c>
      <c r="L875" s="1460">
        <v>313341</v>
      </c>
      <c r="M875" s="1236"/>
      <c r="N875" s="1240" t="s">
        <v>1808</v>
      </c>
      <c r="O875" s="1241" t="s">
        <v>4831</v>
      </c>
      <c r="P875" s="910">
        <f t="shared" si="122"/>
        <v>0</v>
      </c>
      <c r="Q875" s="910">
        <f t="shared" si="123"/>
        <v>313341</v>
      </c>
      <c r="R875" s="1344">
        <f t="shared" si="124"/>
        <v>1</v>
      </c>
      <c r="S875" s="1344">
        <f>(1/9)*cnst_fish!$C$7*(1/cnst_fish!$C$8)^(R875-1)</f>
        <v>0.141025641025641</v>
      </c>
      <c r="T875" s="1362">
        <f t="shared" si="125"/>
        <v>3817.8570850662541</v>
      </c>
      <c r="W875" s="1612"/>
      <c r="X875" s="1612"/>
      <c r="Y875" s="1613"/>
      <c r="Z875" s="1614"/>
      <c r="AA875" s="1614"/>
      <c r="AB875" s="1615"/>
      <c r="AC875" s="1615"/>
      <c r="AD875" s="583"/>
      <c r="AE875" s="583"/>
    </row>
    <row r="876" spans="1:31" ht="14">
      <c r="A876" s="1384" t="s">
        <v>6672</v>
      </c>
      <c r="B876" s="19" t="s">
        <v>5590</v>
      </c>
      <c r="C876" s="1383">
        <v>2778</v>
      </c>
      <c r="D876" s="1236"/>
      <c r="E876" s="1236"/>
      <c r="F876" s="1344">
        <f>(1/S876)*cnst_fish!$C$6</f>
        <v>30.136363636363644</v>
      </c>
      <c r="G876" s="1344">
        <f t="shared" si="127"/>
        <v>1</v>
      </c>
      <c r="H876" s="1344">
        <f t="shared" si="127"/>
        <v>0.367192066876738</v>
      </c>
      <c r="I876" s="1344">
        <f t="shared" si="120"/>
        <v>0</v>
      </c>
      <c r="J876" s="902">
        <f t="shared" si="121"/>
        <v>0</v>
      </c>
      <c r="L876" s="1460">
        <v>0</v>
      </c>
      <c r="M876" s="1236"/>
      <c r="N876" s="1240" t="s">
        <v>1808</v>
      </c>
      <c r="O876" s="1241" t="s">
        <v>4831</v>
      </c>
      <c r="P876" s="910">
        <f t="shared" si="122"/>
        <v>0</v>
      </c>
      <c r="Q876" s="910">
        <f t="shared" si="123"/>
        <v>0</v>
      </c>
      <c r="R876" s="1344">
        <f t="shared" si="124"/>
        <v>1</v>
      </c>
      <c r="S876" s="1344">
        <f>(1/9)*cnst_fish!$C$7*(1/cnst_fish!$C$8)^(R876-1)</f>
        <v>0.141025641025641</v>
      </c>
      <c r="T876" s="1362">
        <f t="shared" si="125"/>
        <v>0</v>
      </c>
      <c r="W876" s="1612"/>
      <c r="X876" s="1612"/>
      <c r="Y876" s="1613"/>
      <c r="Z876" s="1614"/>
      <c r="AA876" s="1614"/>
      <c r="AB876" s="1615"/>
      <c r="AC876" s="1615"/>
      <c r="AD876" s="583"/>
      <c r="AE876" s="583"/>
    </row>
    <row r="877" spans="1:31" ht="14">
      <c r="A877" s="1384" t="s">
        <v>6673</v>
      </c>
      <c r="B877" s="19" t="s">
        <v>5591</v>
      </c>
      <c r="C877" s="1383">
        <v>18544</v>
      </c>
      <c r="D877" s="1236"/>
      <c r="E877" s="1236"/>
      <c r="F877" s="1344">
        <f>(1/S877)*cnst_fish!$C$6</f>
        <v>30.136363636363644</v>
      </c>
      <c r="G877" s="1344">
        <f t="shared" si="127"/>
        <v>1</v>
      </c>
      <c r="H877" s="1344">
        <f t="shared" si="127"/>
        <v>0.367192066876738</v>
      </c>
      <c r="I877" s="1344">
        <f t="shared" si="120"/>
        <v>0</v>
      </c>
      <c r="J877" s="902">
        <f t="shared" si="121"/>
        <v>0</v>
      </c>
      <c r="L877" s="1460">
        <v>38724</v>
      </c>
      <c r="M877" s="1236"/>
      <c r="N877" s="1240" t="s">
        <v>1808</v>
      </c>
      <c r="O877" s="1241" t="s">
        <v>4831</v>
      </c>
      <c r="P877" s="910">
        <f t="shared" si="122"/>
        <v>0</v>
      </c>
      <c r="Q877" s="910">
        <f t="shared" si="123"/>
        <v>38724</v>
      </c>
      <c r="R877" s="1344">
        <f t="shared" si="124"/>
        <v>1</v>
      </c>
      <c r="S877" s="1344">
        <f>(1/9)*cnst_fish!$C$7*(1/cnst_fish!$C$8)^(R877-1)</f>
        <v>0.141025641025641</v>
      </c>
      <c r="T877" s="1362">
        <f t="shared" si="125"/>
        <v>471.82685241352272</v>
      </c>
      <c r="W877" s="1612"/>
      <c r="X877" s="1612"/>
      <c r="Y877" s="1613"/>
      <c r="Z877" s="1614"/>
      <c r="AA877" s="1614"/>
      <c r="AB877" s="1615"/>
      <c r="AC877" s="1615"/>
      <c r="AD877" s="583"/>
      <c r="AE877" s="583"/>
    </row>
    <row r="878" spans="1:31" ht="14">
      <c r="A878" s="1384" t="s">
        <v>5217</v>
      </c>
      <c r="B878" s="19" t="s">
        <v>3716</v>
      </c>
      <c r="C878" s="1383">
        <v>2366</v>
      </c>
      <c r="D878" s="1236">
        <v>2</v>
      </c>
      <c r="E878" s="1236"/>
      <c r="F878" s="1344">
        <f>(1/S878)*cnst_fish!$C$6</f>
        <v>7.9266712664847111E-2</v>
      </c>
      <c r="G878" s="1344">
        <f t="shared" si="127"/>
        <v>1</v>
      </c>
      <c r="H878" s="1344">
        <f t="shared" si="127"/>
        <v>0.367192066876738</v>
      </c>
      <c r="I878" s="1344">
        <f t="shared" si="120"/>
        <v>9.2647229721582463</v>
      </c>
      <c r="J878" s="902">
        <f t="shared" si="121"/>
        <v>0</v>
      </c>
      <c r="L878" s="1460">
        <v>86482</v>
      </c>
      <c r="M878" s="1236"/>
      <c r="N878" s="1240" t="s">
        <v>1806</v>
      </c>
      <c r="O878" s="1241" t="s">
        <v>4841</v>
      </c>
      <c r="P878" s="910">
        <f t="shared" si="122"/>
        <v>2</v>
      </c>
      <c r="Q878" s="910">
        <f t="shared" si="123"/>
        <v>86482</v>
      </c>
      <c r="R878" s="1344">
        <f t="shared" si="124"/>
        <v>3.58</v>
      </c>
      <c r="S878" s="1344">
        <f>(1/9)*cnst_fish!$C$7*(1/cnst_fish!$C$8)^(R878-1)</f>
        <v>53.616453327258682</v>
      </c>
      <c r="T878" s="1362">
        <f t="shared" si="125"/>
        <v>400615.88603909477</v>
      </c>
      <c r="W878" s="1612"/>
      <c r="X878" s="1612"/>
      <c r="Y878" s="1613"/>
      <c r="Z878" s="1614"/>
      <c r="AA878" s="1614"/>
      <c r="AB878" s="1615"/>
      <c r="AC878" s="1615"/>
      <c r="AD878" s="583"/>
      <c r="AE878" s="583"/>
    </row>
    <row r="879" spans="1:31" ht="14">
      <c r="A879" s="1384" t="s">
        <v>122</v>
      </c>
      <c r="B879" s="19" t="s">
        <v>3717</v>
      </c>
      <c r="C879" s="1383">
        <v>3171</v>
      </c>
      <c r="D879" s="1236"/>
      <c r="E879" s="1236"/>
      <c r="F879" s="1344">
        <f>(1/S879)*cnst_fish!$C$6</f>
        <v>8.6914222116951781E-2</v>
      </c>
      <c r="G879" s="1344">
        <f t="shared" si="127"/>
        <v>1</v>
      </c>
      <c r="H879" s="1344">
        <f t="shared" si="127"/>
        <v>0.367192066876738</v>
      </c>
      <c r="I879" s="1344">
        <f t="shared" si="120"/>
        <v>0</v>
      </c>
      <c r="J879" s="902">
        <f t="shared" si="121"/>
        <v>0</v>
      </c>
      <c r="L879" s="1460">
        <v>95</v>
      </c>
      <c r="M879" s="1236"/>
      <c r="N879" s="1240" t="s">
        <v>1806</v>
      </c>
      <c r="O879" s="1241" t="s">
        <v>4841</v>
      </c>
      <c r="P879" s="910">
        <f t="shared" si="122"/>
        <v>0</v>
      </c>
      <c r="Q879" s="910">
        <f t="shared" si="123"/>
        <v>95</v>
      </c>
      <c r="R879" s="1344">
        <f t="shared" si="124"/>
        <v>3.54</v>
      </c>
      <c r="S879" s="1344">
        <f>(1/9)*cnst_fish!$C$7*(1/cnst_fish!$C$8)^(R879-1)</f>
        <v>48.898786602280119</v>
      </c>
      <c r="T879" s="1362">
        <f t="shared" si="125"/>
        <v>401.3525692763057</v>
      </c>
      <c r="W879" s="1612"/>
      <c r="X879" s="1612"/>
      <c r="Y879" s="1613"/>
      <c r="Z879" s="1614"/>
      <c r="AA879" s="1614"/>
      <c r="AB879" s="1615"/>
      <c r="AC879" s="1615"/>
      <c r="AD879" s="583"/>
      <c r="AE879" s="583"/>
    </row>
    <row r="880" spans="1:31" ht="14">
      <c r="A880" s="1384" t="s">
        <v>705</v>
      </c>
      <c r="B880" s="19" t="s">
        <v>3718</v>
      </c>
      <c r="C880" s="1383">
        <v>18953</v>
      </c>
      <c r="D880" s="1236"/>
      <c r="E880" s="1236"/>
      <c r="F880" s="1344">
        <f>(1/S880)*cnst_fish!$C$6</f>
        <v>0.10211530705467774</v>
      </c>
      <c r="G880" s="1344">
        <f t="shared" si="127"/>
        <v>1</v>
      </c>
      <c r="H880" s="1344">
        <f t="shared" si="127"/>
        <v>0.367192066876738</v>
      </c>
      <c r="I880" s="1344">
        <f t="shared" si="120"/>
        <v>0</v>
      </c>
      <c r="J880" s="902">
        <f t="shared" si="121"/>
        <v>0</v>
      </c>
      <c r="L880" s="1460">
        <v>1388</v>
      </c>
      <c r="M880" s="1236"/>
      <c r="N880" s="1240" t="s">
        <v>1806</v>
      </c>
      <c r="O880" s="1241" t="s">
        <v>4841</v>
      </c>
      <c r="P880" s="910">
        <f t="shared" si="122"/>
        <v>0</v>
      </c>
      <c r="Q880" s="910">
        <f t="shared" si="123"/>
        <v>1388</v>
      </c>
      <c r="R880" s="1344">
        <f t="shared" si="124"/>
        <v>3.47</v>
      </c>
      <c r="S880" s="1344">
        <f>(1/9)*cnst_fish!$C$7*(1/cnst_fish!$C$8)^(R880-1)</f>
        <v>41.619617299141382</v>
      </c>
      <c r="T880" s="1362">
        <f t="shared" si="125"/>
        <v>4991.0498584900006</v>
      </c>
      <c r="W880" s="1612"/>
      <c r="X880" s="1612"/>
      <c r="Y880" s="1613"/>
      <c r="Z880" s="1614"/>
      <c r="AA880" s="1614"/>
      <c r="AB880" s="1615"/>
      <c r="AC880" s="1615"/>
      <c r="AD880" s="583"/>
      <c r="AE880" s="583"/>
    </row>
    <row r="881" spans="1:31" ht="14">
      <c r="A881" s="1384" t="s">
        <v>2567</v>
      </c>
      <c r="B881" s="19" t="s">
        <v>3719</v>
      </c>
      <c r="C881" s="1383">
        <v>13164</v>
      </c>
      <c r="D881" s="1236"/>
      <c r="E881" s="1236"/>
      <c r="F881" s="1344">
        <f>(1/S881)*cnst_fish!$C$6</f>
        <v>8.3002437741509269E-2</v>
      </c>
      <c r="G881" s="1344">
        <f t="shared" si="127"/>
        <v>1</v>
      </c>
      <c r="H881" s="1344">
        <f t="shared" si="127"/>
        <v>0.367192066876738</v>
      </c>
      <c r="I881" s="1344">
        <f t="shared" si="120"/>
        <v>0</v>
      </c>
      <c r="J881" s="902">
        <f t="shared" si="121"/>
        <v>0</v>
      </c>
      <c r="L881" s="1460">
        <v>53</v>
      </c>
      <c r="M881" s="1236"/>
      <c r="N881" s="1240" t="s">
        <v>1806</v>
      </c>
      <c r="O881" s="1241" t="s">
        <v>4841</v>
      </c>
      <c r="P881" s="910">
        <f t="shared" si="122"/>
        <v>0</v>
      </c>
      <c r="Q881" s="910">
        <f t="shared" si="123"/>
        <v>53</v>
      </c>
      <c r="R881" s="1344">
        <f t="shared" si="124"/>
        <v>3.56</v>
      </c>
      <c r="S881" s="1344">
        <f>(1/9)*cnst_fish!$C$7*(1/cnst_fish!$C$8)^(R881-1)</f>
        <v>51.203315416296356</v>
      </c>
      <c r="T881" s="1362">
        <f t="shared" si="125"/>
        <v>234.46515637377041</v>
      </c>
      <c r="W881" s="1612"/>
      <c r="X881" s="1612"/>
      <c r="Y881" s="1613"/>
      <c r="Z881" s="1614"/>
      <c r="AA881" s="1614"/>
      <c r="AB881" s="1615"/>
      <c r="AC881" s="1615"/>
      <c r="AD881" s="583"/>
      <c r="AE881" s="583"/>
    </row>
    <row r="882" spans="1:31" ht="14">
      <c r="A882" s="1384" t="s">
        <v>2250</v>
      </c>
      <c r="B882" s="19" t="s">
        <v>3979</v>
      </c>
      <c r="C882" s="1383">
        <v>13166</v>
      </c>
      <c r="D882" s="1236"/>
      <c r="E882" s="1236"/>
      <c r="F882" s="1344">
        <f>(1/S882)*cnst_fish!$C$6</f>
        <v>1.8581931192461935E-2</v>
      </c>
      <c r="G882" s="1344">
        <f t="shared" si="127"/>
        <v>1</v>
      </c>
      <c r="H882" s="1344">
        <f t="shared" si="127"/>
        <v>0.367192066876738</v>
      </c>
      <c r="I882" s="1344">
        <f t="shared" si="120"/>
        <v>0</v>
      </c>
      <c r="J882" s="902">
        <f t="shared" si="121"/>
        <v>0</v>
      </c>
      <c r="L882" s="1460">
        <v>10831</v>
      </c>
      <c r="M882" s="1236"/>
      <c r="N882" s="1240" t="s">
        <v>1806</v>
      </c>
      <c r="O882" s="1241" t="s">
        <v>4841</v>
      </c>
      <c r="P882" s="910">
        <f t="shared" si="122"/>
        <v>0</v>
      </c>
      <c r="Q882" s="910">
        <f t="shared" si="123"/>
        <v>10831</v>
      </c>
      <c r="R882" s="1344">
        <f t="shared" si="124"/>
        <v>4.21</v>
      </c>
      <c r="S882" s="1344">
        <f>(1/9)*cnst_fish!$C$7*(1/cnst_fish!$C$8)^(R882-1)</f>
        <v>228.71680860190045</v>
      </c>
      <c r="T882" s="1362">
        <f t="shared" si="125"/>
        <v>214028.19949926989</v>
      </c>
      <c r="W882" s="1612"/>
      <c r="X882" s="1612"/>
      <c r="Y882" s="1613"/>
      <c r="Z882" s="1614"/>
      <c r="AA882" s="1614"/>
      <c r="AB882" s="1615"/>
      <c r="AC882" s="1615"/>
      <c r="AD882" s="583"/>
      <c r="AE882" s="583"/>
    </row>
    <row r="883" spans="1:31" ht="14">
      <c r="A883" s="1384" t="s">
        <v>703</v>
      </c>
      <c r="B883" s="19" t="s">
        <v>3980</v>
      </c>
      <c r="C883" s="1383">
        <v>13167</v>
      </c>
      <c r="D883" s="1236"/>
      <c r="E883" s="1236"/>
      <c r="F883" s="1344">
        <f>(1/S883)*cnst_fish!$C$6</f>
        <v>0.11196720767792057</v>
      </c>
      <c r="G883" s="1344">
        <f t="shared" si="127"/>
        <v>1</v>
      </c>
      <c r="H883" s="1344">
        <f t="shared" si="127"/>
        <v>0.367192066876738</v>
      </c>
      <c r="I883" s="1344">
        <f t="shared" si="120"/>
        <v>0</v>
      </c>
      <c r="J883" s="902">
        <f t="shared" si="121"/>
        <v>0</v>
      </c>
      <c r="L883" s="1460">
        <v>785</v>
      </c>
      <c r="M883" s="1236"/>
      <c r="N883" s="1240" t="s">
        <v>1806</v>
      </c>
      <c r="O883" s="1241" t="s">
        <v>4841</v>
      </c>
      <c r="P883" s="910">
        <f t="shared" si="122"/>
        <v>0</v>
      </c>
      <c r="Q883" s="910">
        <f t="shared" si="123"/>
        <v>785</v>
      </c>
      <c r="R883" s="1344">
        <f t="shared" si="124"/>
        <v>3.43</v>
      </c>
      <c r="S883" s="1344">
        <f>(1/9)*cnst_fish!$C$7*(1/cnst_fish!$C$8)^(R883-1)</f>
        <v>37.957542106661656</v>
      </c>
      <c r="T883" s="1362">
        <f t="shared" si="125"/>
        <v>2574.3767168633262</v>
      </c>
      <c r="W883" s="1612"/>
      <c r="X883" s="1612"/>
      <c r="Y883" s="1613"/>
      <c r="Z883" s="1614"/>
      <c r="AA883" s="1614"/>
      <c r="AB883" s="1615"/>
      <c r="AC883" s="1615"/>
      <c r="AD883" s="583"/>
      <c r="AE883" s="583"/>
    </row>
    <row r="884" spans="1:31" ht="14">
      <c r="A884" s="1384" t="s">
        <v>1313</v>
      </c>
      <c r="B884" s="19" t="s">
        <v>4910</v>
      </c>
      <c r="C884" s="1383">
        <v>13168</v>
      </c>
      <c r="D884" s="1236"/>
      <c r="E884" s="1236"/>
      <c r="F884" s="1344">
        <f>(1/S884)*cnst_fish!$C$6</f>
        <v>4.8875458843134996E-2</v>
      </c>
      <c r="G884" s="1344">
        <f t="shared" si="127"/>
        <v>1</v>
      </c>
      <c r="H884" s="1344">
        <f t="shared" si="127"/>
        <v>0.367192066876738</v>
      </c>
      <c r="I884" s="1344">
        <f t="shared" si="120"/>
        <v>0</v>
      </c>
      <c r="J884" s="902">
        <f t="shared" si="121"/>
        <v>0</v>
      </c>
      <c r="L884" s="1460">
        <v>208</v>
      </c>
      <c r="M884" s="1236"/>
      <c r="N884" s="1240" t="s">
        <v>1806</v>
      </c>
      <c r="O884" s="1241" t="s">
        <v>4841</v>
      </c>
      <c r="P884" s="910">
        <f t="shared" si="122"/>
        <v>0</v>
      </c>
      <c r="Q884" s="910">
        <f t="shared" si="123"/>
        <v>208</v>
      </c>
      <c r="R884" s="1344">
        <f t="shared" si="124"/>
        <v>3.79</v>
      </c>
      <c r="S884" s="1344">
        <f>(1/9)*cnst_fish!$C$7*(1/cnst_fish!$C$8)^(R884-1)</f>
        <v>86.955705390721903</v>
      </c>
      <c r="T884" s="1362">
        <f t="shared" si="125"/>
        <v>1562.6646116098655</v>
      </c>
      <c r="W884" s="1612"/>
      <c r="X884" s="1612"/>
      <c r="Y884" s="1613"/>
      <c r="Z884" s="1614"/>
      <c r="AA884" s="1614"/>
      <c r="AB884" s="1615"/>
      <c r="AC884" s="1615"/>
      <c r="AD884" s="583"/>
      <c r="AE884" s="583"/>
    </row>
    <row r="885" spans="1:31" ht="14">
      <c r="A885" s="1384" t="s">
        <v>4432</v>
      </c>
      <c r="B885" s="19" t="s">
        <v>6925</v>
      </c>
      <c r="C885" s="1383">
        <v>13169</v>
      </c>
      <c r="D885" s="1236"/>
      <c r="E885" s="1236"/>
      <c r="F885" s="1344">
        <f>(1/S885)*cnst_fish!$C$6</f>
        <v>9.5299549485983348E-2</v>
      </c>
      <c r="G885" s="1344">
        <f t="shared" si="127"/>
        <v>1</v>
      </c>
      <c r="H885" s="1344">
        <f t="shared" si="127"/>
        <v>0.367192066876738</v>
      </c>
      <c r="I885" s="1344">
        <f t="shared" si="120"/>
        <v>0</v>
      </c>
      <c r="J885" s="902">
        <f t="shared" si="121"/>
        <v>0</v>
      </c>
      <c r="L885" s="1460">
        <v>32</v>
      </c>
      <c r="M885" s="1236"/>
      <c r="N885" s="1240" t="s">
        <v>1806</v>
      </c>
      <c r="O885" s="1241" t="s">
        <v>4841</v>
      </c>
      <c r="P885" s="910">
        <f t="shared" si="122"/>
        <v>0</v>
      </c>
      <c r="Q885" s="910">
        <f t="shared" si="123"/>
        <v>32</v>
      </c>
      <c r="R885" s="1344">
        <f t="shared" si="124"/>
        <v>3.5</v>
      </c>
      <c r="S885" s="1344">
        <f>(1/9)*cnst_fish!$C$7*(1/cnst_fish!$C$8)^(R885-1)</f>
        <v>44.596223412631026</v>
      </c>
      <c r="T885" s="1362">
        <f t="shared" si="125"/>
        <v>123.29697468070221</v>
      </c>
      <c r="W885" s="1612"/>
      <c r="X885" s="1612"/>
      <c r="Y885" s="1613"/>
      <c r="Z885" s="1614"/>
      <c r="AA885" s="1614"/>
      <c r="AB885" s="1615"/>
      <c r="AC885" s="1615"/>
      <c r="AD885" s="583"/>
      <c r="AE885" s="583"/>
    </row>
    <row r="886" spans="1:31" ht="14">
      <c r="A886" s="1384" t="s">
        <v>4322</v>
      </c>
      <c r="B886" s="19" t="s">
        <v>4911</v>
      </c>
      <c r="C886" s="1383">
        <v>13170</v>
      </c>
      <c r="D886" s="1236"/>
      <c r="E886" s="1236"/>
      <c r="F886" s="1344">
        <f>(1/S886)*cnst_fish!$C$6</f>
        <v>0.14424170509541331</v>
      </c>
      <c r="G886" s="1344">
        <f t="shared" si="127"/>
        <v>1</v>
      </c>
      <c r="H886" s="1344">
        <f t="shared" si="127"/>
        <v>0.367192066876738</v>
      </c>
      <c r="I886" s="1344">
        <f t="shared" si="120"/>
        <v>0</v>
      </c>
      <c r="J886" s="902">
        <f t="shared" si="121"/>
        <v>0</v>
      </c>
      <c r="L886" s="1460">
        <v>16733</v>
      </c>
      <c r="M886" s="1236"/>
      <c r="N886" s="1240" t="s">
        <v>1806</v>
      </c>
      <c r="O886" s="1241" t="s">
        <v>4841</v>
      </c>
      <c r="P886" s="910">
        <f t="shared" si="122"/>
        <v>0</v>
      </c>
      <c r="Q886" s="910">
        <f t="shared" si="123"/>
        <v>16733</v>
      </c>
      <c r="R886" s="1344">
        <f t="shared" si="124"/>
        <v>3.32</v>
      </c>
      <c r="S886" s="1344">
        <f>(1/9)*cnst_fish!$C$7*(1/cnst_fish!$C$8)^(R886-1)</f>
        <v>29.464432614608246</v>
      </c>
      <c r="T886" s="1362">
        <f t="shared" si="125"/>
        <v>42596.729226017967</v>
      </c>
      <c r="W886" s="1612"/>
      <c r="X886" s="1612"/>
      <c r="Y886" s="1613"/>
      <c r="Z886" s="1614"/>
      <c r="AA886" s="1614"/>
      <c r="AB886" s="1615"/>
      <c r="AC886" s="1615"/>
      <c r="AD886" s="583"/>
      <c r="AE886" s="583"/>
    </row>
    <row r="887" spans="1:31" ht="14">
      <c r="A887" s="1384" t="s">
        <v>2660</v>
      </c>
      <c r="B887" s="19" t="s">
        <v>4912</v>
      </c>
      <c r="C887" s="1383">
        <v>18909</v>
      </c>
      <c r="D887" s="1236"/>
      <c r="E887" s="1236"/>
      <c r="F887" s="1344">
        <f>(1/S887)*cnst_fish!$C$6</f>
        <v>0.12276960190187568</v>
      </c>
      <c r="G887" s="1344">
        <f t="shared" si="127"/>
        <v>1</v>
      </c>
      <c r="H887" s="1344">
        <f t="shared" si="127"/>
        <v>0.367192066876738</v>
      </c>
      <c r="I887" s="1344">
        <f t="shared" si="120"/>
        <v>0</v>
      </c>
      <c r="J887" s="902">
        <f t="shared" si="121"/>
        <v>0</v>
      </c>
      <c r="L887" s="1460">
        <v>375</v>
      </c>
      <c r="M887" s="1236"/>
      <c r="N887" s="1240" t="s">
        <v>1806</v>
      </c>
      <c r="O887" s="1241" t="s">
        <v>4841</v>
      </c>
      <c r="P887" s="910">
        <f t="shared" si="122"/>
        <v>0</v>
      </c>
      <c r="Q887" s="910">
        <f t="shared" si="123"/>
        <v>375</v>
      </c>
      <c r="R887" s="1344">
        <f t="shared" si="124"/>
        <v>3.39</v>
      </c>
      <c r="S887" s="1344">
        <f>(1/9)*cnst_fish!$C$7*(1/cnst_fish!$C$8)^(R887-1)</f>
        <v>34.617689836583793</v>
      </c>
      <c r="T887" s="1362">
        <f t="shared" si="125"/>
        <v>1121.5889189640927</v>
      </c>
      <c r="W887" s="1612"/>
      <c r="X887" s="1612"/>
      <c r="Y887" s="1613"/>
      <c r="Z887" s="1614"/>
      <c r="AA887" s="1614"/>
      <c r="AB887" s="1615"/>
      <c r="AC887" s="1615"/>
      <c r="AD887" s="583"/>
      <c r="AE887" s="583"/>
    </row>
    <row r="888" spans="1:31" ht="14">
      <c r="A888" s="1384" t="s">
        <v>2571</v>
      </c>
      <c r="B888" s="19" t="s">
        <v>4913</v>
      </c>
      <c r="C888" s="1383">
        <v>18911</v>
      </c>
      <c r="D888" s="1236"/>
      <c r="E888" s="1236"/>
      <c r="F888" s="1344">
        <f>(1/S888)*cnst_fish!$C$6</f>
        <v>6.4430402969999093E-2</v>
      </c>
      <c r="G888" s="1344">
        <f t="shared" ref="G888:H907" si="128">G$7</f>
        <v>1</v>
      </c>
      <c r="H888" s="1344">
        <f t="shared" si="128"/>
        <v>0.367192066876738</v>
      </c>
      <c r="I888" s="1344">
        <f t="shared" si="120"/>
        <v>0</v>
      </c>
      <c r="J888" s="902">
        <f t="shared" si="121"/>
        <v>0</v>
      </c>
      <c r="L888" s="1460">
        <v>36</v>
      </c>
      <c r="M888" s="1236"/>
      <c r="N888" s="1240" t="s">
        <v>1806</v>
      </c>
      <c r="O888" s="1241" t="s">
        <v>4841</v>
      </c>
      <c r="P888" s="910">
        <f t="shared" si="122"/>
        <v>0</v>
      </c>
      <c r="Q888" s="910">
        <f t="shared" si="123"/>
        <v>36</v>
      </c>
      <c r="R888" s="1344">
        <f t="shared" si="124"/>
        <v>3.67</v>
      </c>
      <c r="S888" s="1344">
        <f>(1/9)*cnst_fish!$C$7*(1/cnst_fish!$C$8)^(R888-1)</f>
        <v>65.962648130245896</v>
      </c>
      <c r="T888" s="1362">
        <f t="shared" si="125"/>
        <v>205.16578817173823</v>
      </c>
      <c r="W888" s="1612"/>
      <c r="X888" s="1612"/>
      <c r="Y888" s="1613"/>
      <c r="Z888" s="1614"/>
      <c r="AA888" s="1614"/>
      <c r="AB888" s="1615"/>
      <c r="AC888" s="1615"/>
      <c r="AD888" s="583"/>
      <c r="AE888" s="583"/>
    </row>
    <row r="889" spans="1:31" ht="14">
      <c r="A889" s="1384" t="s">
        <v>3610</v>
      </c>
      <c r="B889" s="19" t="s">
        <v>2478</v>
      </c>
      <c r="C889" s="1383">
        <v>13179</v>
      </c>
      <c r="D889" s="1236"/>
      <c r="E889" s="1236"/>
      <c r="F889" s="1344">
        <f>(1/S889)*cnst_fish!$C$6</f>
        <v>0.28124890974018413</v>
      </c>
      <c r="G889" s="1344">
        <f t="shared" si="128"/>
        <v>1</v>
      </c>
      <c r="H889" s="1344">
        <f t="shared" si="128"/>
        <v>0.367192066876738</v>
      </c>
      <c r="I889" s="1344">
        <f t="shared" si="120"/>
        <v>0</v>
      </c>
      <c r="J889" s="902">
        <f t="shared" si="121"/>
        <v>0</v>
      </c>
      <c r="L889" s="1460"/>
      <c r="M889" s="1236">
        <v>136</v>
      </c>
      <c r="N889" s="1240" t="s">
        <v>1806</v>
      </c>
      <c r="O889" s="1241" t="s">
        <v>4845</v>
      </c>
      <c r="P889" s="910">
        <f t="shared" si="122"/>
        <v>0</v>
      </c>
      <c r="Q889" s="910">
        <f t="shared" si="123"/>
        <v>136</v>
      </c>
      <c r="R889" s="1344">
        <f t="shared" si="124"/>
        <v>3.03</v>
      </c>
      <c r="S889" s="1344">
        <f>(1/9)*cnst_fish!$C$7*(1/cnst_fish!$C$8)^(R889-1)</f>
        <v>15.111169689248294</v>
      </c>
      <c r="T889" s="1362">
        <f t="shared" si="125"/>
        <v>177.55845219584626</v>
      </c>
      <c r="W889" s="1612"/>
      <c r="X889" s="1612"/>
      <c r="Y889" s="1613"/>
      <c r="Z889" s="1614"/>
      <c r="AA889" s="1614"/>
      <c r="AB889" s="1615"/>
      <c r="AC889" s="1615"/>
      <c r="AD889" s="583"/>
      <c r="AE889" s="583"/>
    </row>
    <row r="890" spans="1:31" ht="14">
      <c r="A890" s="1384" t="s">
        <v>1220</v>
      </c>
      <c r="B890" s="19" t="s">
        <v>2479</v>
      </c>
      <c r="C890" s="1383">
        <v>2160</v>
      </c>
      <c r="D890" s="1236"/>
      <c r="E890" s="1236"/>
      <c r="F890" s="1344">
        <f>(1/S890)*cnst_fish!$C$6</f>
        <v>4.8875458843134996E-2</v>
      </c>
      <c r="G890" s="1344">
        <f t="shared" si="128"/>
        <v>1</v>
      </c>
      <c r="H890" s="1344">
        <f t="shared" si="128"/>
        <v>0.367192066876738</v>
      </c>
      <c r="I890" s="1344">
        <f t="shared" si="120"/>
        <v>0</v>
      </c>
      <c r="J890" s="902">
        <f t="shared" si="121"/>
        <v>0</v>
      </c>
      <c r="L890" s="1460">
        <v>65</v>
      </c>
      <c r="M890" s="1236">
        <v>5979</v>
      </c>
      <c r="N890" s="1240" t="s">
        <v>1806</v>
      </c>
      <c r="O890" s="1241" t="s">
        <v>4845</v>
      </c>
      <c r="P890" s="910">
        <f t="shared" si="122"/>
        <v>0</v>
      </c>
      <c r="Q890" s="910">
        <f t="shared" si="123"/>
        <v>6044</v>
      </c>
      <c r="R890" s="1344">
        <f t="shared" si="124"/>
        <v>3.79</v>
      </c>
      <c r="S890" s="1344">
        <f>(1/9)*cnst_fish!$C$7*(1/cnst_fish!$C$8)^(R890-1)</f>
        <v>86.955705390721903</v>
      </c>
      <c r="T890" s="1362">
        <f t="shared" si="125"/>
        <v>45407.427464278968</v>
      </c>
      <c r="W890" s="1612"/>
      <c r="X890" s="1612"/>
      <c r="Y890" s="1613"/>
      <c r="Z890" s="1614"/>
      <c r="AA890" s="1614"/>
      <c r="AB890" s="1615"/>
      <c r="AC890" s="1615"/>
      <c r="AD890" s="583"/>
      <c r="AE890" s="583"/>
    </row>
    <row r="891" spans="1:31" ht="14">
      <c r="A891" s="1384" t="s">
        <v>4544</v>
      </c>
      <c r="B891" s="19" t="s">
        <v>2480</v>
      </c>
      <c r="C891" s="1383">
        <v>2962</v>
      </c>
      <c r="D891" s="1236"/>
      <c r="E891" s="1236"/>
      <c r="F891" s="1344">
        <f>(1/S891)*cnst_fish!$C$6</f>
        <v>0.8111307159107024</v>
      </c>
      <c r="G891" s="1344">
        <f t="shared" si="128"/>
        <v>1</v>
      </c>
      <c r="H891" s="1344">
        <f t="shared" si="128"/>
        <v>0.367192066876738</v>
      </c>
      <c r="I891" s="1344">
        <f t="shared" si="120"/>
        <v>0</v>
      </c>
      <c r="J891" s="902">
        <f t="shared" si="121"/>
        <v>0</v>
      </c>
      <c r="L891" s="1460"/>
      <c r="M891" s="1236">
        <v>5</v>
      </c>
      <c r="N891" s="1240" t="s">
        <v>1806</v>
      </c>
      <c r="O891" s="1241" t="s">
        <v>4845</v>
      </c>
      <c r="P891" s="910">
        <f t="shared" si="122"/>
        <v>0</v>
      </c>
      <c r="Q891" s="910">
        <f t="shared" si="123"/>
        <v>5</v>
      </c>
      <c r="R891" s="1344">
        <f t="shared" si="124"/>
        <v>2.57</v>
      </c>
      <c r="S891" s="1344">
        <f>(1/9)*cnst_fish!$C$7*(1/cnst_fish!$C$8)^(R891-1)</f>
        <v>5.2395993847037152</v>
      </c>
      <c r="T891" s="1362">
        <f t="shared" si="125"/>
        <v>2.2634580325593432</v>
      </c>
      <c r="W891" s="1612"/>
      <c r="X891" s="1612"/>
      <c r="Y891" s="1613"/>
      <c r="Z891" s="1614"/>
      <c r="AA891" s="1614"/>
      <c r="AB891" s="1615"/>
      <c r="AC891" s="1615"/>
      <c r="AD891" s="583"/>
      <c r="AE891" s="583"/>
    </row>
    <row r="892" spans="1:31" ht="14">
      <c r="A892" s="1384" t="s">
        <v>952</v>
      </c>
      <c r="B892" s="19" t="s">
        <v>2481</v>
      </c>
      <c r="C892" s="1383">
        <v>2961</v>
      </c>
      <c r="D892" s="1236"/>
      <c r="E892" s="1236"/>
      <c r="F892" s="1344">
        <f>(1/S892)*cnst_fish!$C$6</f>
        <v>0.14760152601876345</v>
      </c>
      <c r="G892" s="1344">
        <f t="shared" si="128"/>
        <v>1</v>
      </c>
      <c r="H892" s="1344">
        <f t="shared" si="128"/>
        <v>0.367192066876738</v>
      </c>
      <c r="I892" s="1344">
        <f t="shared" si="120"/>
        <v>0</v>
      </c>
      <c r="J892" s="902">
        <f t="shared" si="121"/>
        <v>0</v>
      </c>
      <c r="L892" s="1460"/>
      <c r="M892" s="1236">
        <v>14</v>
      </c>
      <c r="N892" s="1240" t="s">
        <v>1806</v>
      </c>
      <c r="O892" s="1241" t="s">
        <v>4845</v>
      </c>
      <c r="P892" s="910">
        <f t="shared" si="122"/>
        <v>0</v>
      </c>
      <c r="Q892" s="910">
        <f t="shared" si="123"/>
        <v>14</v>
      </c>
      <c r="R892" s="1344">
        <f t="shared" si="124"/>
        <v>3.31</v>
      </c>
      <c r="S892" s="1344">
        <f>(1/9)*cnst_fish!$C$7*(1/cnst_fish!$C$8)^(R892-1)</f>
        <v>28.793740245339542</v>
      </c>
      <c r="T892" s="1362">
        <f t="shared" si="125"/>
        <v>34.828155744276216</v>
      </c>
      <c r="W892" s="1612"/>
      <c r="X892" s="1612"/>
      <c r="Y892" s="1613"/>
      <c r="Z892" s="1614"/>
      <c r="AA892" s="1614"/>
      <c r="AB892" s="1615"/>
      <c r="AC892" s="1615"/>
      <c r="AD892" s="583"/>
      <c r="AE892" s="583"/>
    </row>
    <row r="893" spans="1:31" ht="14">
      <c r="A893" s="1384" t="s">
        <v>6794</v>
      </c>
      <c r="B893" s="19" t="s">
        <v>6793</v>
      </c>
      <c r="C893" s="1383">
        <v>6815</v>
      </c>
      <c r="D893" s="1236"/>
      <c r="E893" s="1236"/>
      <c r="F893" s="1344">
        <f>(1/S893)*cnst_fish!$C$6</f>
        <v>3.0136363636363641</v>
      </c>
      <c r="G893" s="1344">
        <f t="shared" si="128"/>
        <v>1</v>
      </c>
      <c r="H893" s="1344">
        <f t="shared" si="128"/>
        <v>0.367192066876738</v>
      </c>
      <c r="I893" s="1344">
        <f t="shared" si="120"/>
        <v>0</v>
      </c>
      <c r="J893" s="902">
        <f t="shared" si="121"/>
        <v>0</v>
      </c>
      <c r="L893" s="1460">
        <v>0</v>
      </c>
      <c r="M893" s="1236"/>
      <c r="N893" s="1240" t="s">
        <v>2430</v>
      </c>
      <c r="O893" s="1241" t="s">
        <v>4840</v>
      </c>
      <c r="P893" s="910">
        <f t="shared" si="122"/>
        <v>0</v>
      </c>
      <c r="Q893" s="910">
        <f t="shared" si="123"/>
        <v>0</v>
      </c>
      <c r="R893" s="1344">
        <f t="shared" si="124"/>
        <v>2</v>
      </c>
      <c r="S893" s="1344">
        <f>(1/9)*cnst_fish!$C$7*(1/cnst_fish!$C$8)^(R893-1)</f>
        <v>1.4102564102564099</v>
      </c>
      <c r="T893" s="1362">
        <f t="shared" si="125"/>
        <v>0</v>
      </c>
      <c r="W893" s="1612"/>
      <c r="X893" s="1612"/>
      <c r="Y893" s="1613"/>
      <c r="Z893" s="1614"/>
      <c r="AA893" s="1614"/>
      <c r="AB893" s="1615"/>
      <c r="AC893" s="1615"/>
      <c r="AD893" s="583"/>
      <c r="AE893" s="583"/>
    </row>
    <row r="894" spans="1:31" ht="14">
      <c r="A894" s="1384" t="s">
        <v>3420</v>
      </c>
      <c r="B894" s="19" t="s">
        <v>3123</v>
      </c>
      <c r="C894" s="1383">
        <v>2322</v>
      </c>
      <c r="D894" s="1236"/>
      <c r="E894" s="1236"/>
      <c r="F894" s="1344">
        <f>(1/S894)*cnst_fish!$C$6</f>
        <v>9.5299549485983424E-3</v>
      </c>
      <c r="G894" s="1344">
        <f t="shared" si="128"/>
        <v>1</v>
      </c>
      <c r="H894" s="1344">
        <f t="shared" si="128"/>
        <v>0.367192066876738</v>
      </c>
      <c r="I894" s="1344">
        <f t="shared" si="120"/>
        <v>0</v>
      </c>
      <c r="J894" s="902">
        <f t="shared" si="121"/>
        <v>0</v>
      </c>
      <c r="L894" s="1460">
        <v>1456</v>
      </c>
      <c r="M894" s="1236"/>
      <c r="N894" s="1240" t="s">
        <v>1806</v>
      </c>
      <c r="O894" s="1241" t="s">
        <v>4859</v>
      </c>
      <c r="P894" s="910">
        <f t="shared" si="122"/>
        <v>0</v>
      </c>
      <c r="Q894" s="910">
        <f t="shared" si="123"/>
        <v>1456</v>
      </c>
      <c r="R894" s="1344">
        <f t="shared" si="124"/>
        <v>4.5</v>
      </c>
      <c r="S894" s="1344">
        <f>(1/9)*cnst_fish!$C$7*(1/cnst_fish!$C$8)^(R894-1)</f>
        <v>445.96223412630997</v>
      </c>
      <c r="T894" s="1362">
        <f t="shared" si="125"/>
        <v>56100.123479719463</v>
      </c>
      <c r="W894" s="1612"/>
      <c r="X894" s="1612"/>
      <c r="Y894" s="1613"/>
      <c r="Z894" s="1614"/>
      <c r="AA894" s="1614"/>
      <c r="AB894" s="1615"/>
      <c r="AC894" s="1615"/>
      <c r="AD894" s="583"/>
      <c r="AE894" s="583"/>
    </row>
    <row r="895" spans="1:31" ht="14">
      <c r="A895" s="1384" t="s">
        <v>2077</v>
      </c>
      <c r="B895" s="19" t="s">
        <v>2078</v>
      </c>
      <c r="C895" s="1383">
        <v>13193</v>
      </c>
      <c r="D895" s="1236"/>
      <c r="E895" s="1236"/>
      <c r="F895" s="1344">
        <f>(1/S895)*cnst_fish!$C$6</f>
        <v>9.7519361156519699E-2</v>
      </c>
      <c r="G895" s="1344">
        <f t="shared" si="128"/>
        <v>1</v>
      </c>
      <c r="H895" s="1344">
        <f t="shared" si="128"/>
        <v>0.367192066876738</v>
      </c>
      <c r="I895" s="1344">
        <f t="shared" si="120"/>
        <v>0</v>
      </c>
      <c r="J895" s="902">
        <f t="shared" si="121"/>
        <v>0</v>
      </c>
      <c r="L895" s="1460"/>
      <c r="M895" s="1236"/>
      <c r="N895" s="1240" t="s">
        <v>1806</v>
      </c>
      <c r="O895" s="1241" t="s">
        <v>4859</v>
      </c>
      <c r="P895" s="910">
        <f t="shared" si="122"/>
        <v>0</v>
      </c>
      <c r="Q895" s="910">
        <f t="shared" si="123"/>
        <v>0</v>
      </c>
      <c r="R895" s="1344">
        <f t="shared" si="124"/>
        <v>3.49</v>
      </c>
      <c r="S895" s="1344">
        <f>(1/9)*cnst_fish!$C$7*(1/cnst_fish!$C$8)^(R895-1)</f>
        <v>43.581089432884006</v>
      </c>
      <c r="T895" s="1362">
        <f t="shared" si="125"/>
        <v>0</v>
      </c>
      <c r="W895" s="1612"/>
      <c r="X895" s="1612"/>
      <c r="Y895" s="1613"/>
      <c r="Z895" s="1614"/>
      <c r="AA895" s="1614"/>
      <c r="AB895" s="1615"/>
      <c r="AC895" s="1615"/>
      <c r="AD895" s="583"/>
      <c r="AE895" s="583"/>
    </row>
    <row r="896" spans="1:31" ht="14">
      <c r="A896" s="1384" t="s">
        <v>169</v>
      </c>
      <c r="B896" s="19" t="s">
        <v>3749</v>
      </c>
      <c r="C896" s="1383">
        <v>3360</v>
      </c>
      <c r="D896" s="1236">
        <v>158783</v>
      </c>
      <c r="E896" s="1236"/>
      <c r="F896" s="1344">
        <f>(1/S896)*cnst_fish!$C$6</f>
        <v>0.17341667202478855</v>
      </c>
      <c r="G896" s="1344">
        <f t="shared" si="128"/>
        <v>1</v>
      </c>
      <c r="H896" s="1344">
        <f t="shared" si="128"/>
        <v>0.367192066876738</v>
      </c>
      <c r="I896" s="1344">
        <f t="shared" si="120"/>
        <v>336206.76301846578</v>
      </c>
      <c r="J896" s="902">
        <f t="shared" si="121"/>
        <v>0</v>
      </c>
      <c r="L896" s="1460">
        <v>158783</v>
      </c>
      <c r="M896" s="1236"/>
      <c r="N896" s="1240" t="s">
        <v>1809</v>
      </c>
      <c r="O896" s="1241" t="s">
        <v>4841</v>
      </c>
      <c r="P896" s="910">
        <f t="shared" si="122"/>
        <v>158783</v>
      </c>
      <c r="Q896" s="910">
        <f t="shared" si="123"/>
        <v>158783</v>
      </c>
      <c r="R896" s="1344">
        <f t="shared" si="124"/>
        <v>3.24</v>
      </c>
      <c r="S896" s="1344">
        <f>(1/9)*cnst_fish!$C$7*(1/cnst_fish!$C$8)^(R896-1)</f>
        <v>24.507447584927103</v>
      </c>
      <c r="T896" s="1362">
        <f t="shared" si="125"/>
        <v>336206.76301846578</v>
      </c>
      <c r="W896" s="1612"/>
      <c r="X896" s="1612"/>
      <c r="Y896" s="1613"/>
      <c r="Z896" s="1614"/>
      <c r="AA896" s="1614"/>
      <c r="AB896" s="1615"/>
      <c r="AC896" s="1615"/>
      <c r="AD896" s="583"/>
      <c r="AE896" s="583"/>
    </row>
    <row r="897" spans="1:31" ht="14">
      <c r="A897" s="1384" t="s">
        <v>5176</v>
      </c>
      <c r="B897" s="19" t="s">
        <v>1276</v>
      </c>
      <c r="C897" s="1383">
        <v>2548</v>
      </c>
      <c r="D897" s="1236">
        <v>1282</v>
      </c>
      <c r="E897" s="1236"/>
      <c r="F897" s="1344">
        <f>(1/S897)*cnst_fish!$C$6</f>
        <v>0.18158954798513588</v>
      </c>
      <c r="G897" s="1344">
        <f t="shared" si="128"/>
        <v>1</v>
      </c>
      <c r="H897" s="1344">
        <f t="shared" si="128"/>
        <v>0.367192066876738</v>
      </c>
      <c r="I897" s="1344">
        <f t="shared" si="120"/>
        <v>2592.3310838050593</v>
      </c>
      <c r="J897" s="902">
        <f t="shared" si="121"/>
        <v>0</v>
      </c>
      <c r="L897" s="1460">
        <v>10529</v>
      </c>
      <c r="M897" s="1236"/>
      <c r="N897" s="1240" t="s">
        <v>1807</v>
      </c>
      <c r="O897" s="1241" t="s">
        <v>4841</v>
      </c>
      <c r="P897" s="910">
        <f t="shared" si="122"/>
        <v>1282</v>
      </c>
      <c r="Q897" s="910">
        <f t="shared" si="123"/>
        <v>10529</v>
      </c>
      <c r="R897" s="1344">
        <f t="shared" si="124"/>
        <v>3.22</v>
      </c>
      <c r="S897" s="1344">
        <f>(1/9)*cnst_fish!$C$7*(1/cnst_fish!$C$8)^(R897-1)</f>
        <v>23.404430745914333</v>
      </c>
      <c r="T897" s="1362">
        <f t="shared" si="125"/>
        <v>21290.681732748417</v>
      </c>
      <c r="W897" s="1612"/>
      <c r="X897" s="1612"/>
      <c r="Y897" s="1613"/>
      <c r="Z897" s="1614"/>
      <c r="AA897" s="1614"/>
      <c r="AB897" s="1615"/>
      <c r="AC897" s="1615"/>
      <c r="AD897" s="583"/>
      <c r="AE897" s="583"/>
    </row>
    <row r="898" spans="1:31" ht="14">
      <c r="A898" s="1384" t="s">
        <v>4786</v>
      </c>
      <c r="B898" s="19" t="s">
        <v>1277</v>
      </c>
      <c r="C898" s="1383">
        <v>3361</v>
      </c>
      <c r="D898" s="1236"/>
      <c r="E898" s="1236"/>
      <c r="F898" s="1344">
        <f>(1/S898)*cnst_fish!$C$6</f>
        <v>0.15455777163012493</v>
      </c>
      <c r="G898" s="1344">
        <f t="shared" si="128"/>
        <v>1</v>
      </c>
      <c r="H898" s="1344">
        <f t="shared" si="128"/>
        <v>0.367192066876738</v>
      </c>
      <c r="I898" s="1344">
        <f t="shared" si="120"/>
        <v>0</v>
      </c>
      <c r="J898" s="902">
        <f t="shared" si="121"/>
        <v>0</v>
      </c>
      <c r="L898" s="1460">
        <v>9926</v>
      </c>
      <c r="M898" s="1236"/>
      <c r="N898" s="1240" t="s">
        <v>1806</v>
      </c>
      <c r="O898" s="1241" t="s">
        <v>4841</v>
      </c>
      <c r="P898" s="910">
        <f t="shared" si="122"/>
        <v>0</v>
      </c>
      <c r="Q898" s="910">
        <f t="shared" si="123"/>
        <v>9926</v>
      </c>
      <c r="R898" s="1344">
        <f t="shared" si="124"/>
        <v>3.29</v>
      </c>
      <c r="S898" s="1344">
        <f>(1/9)*cnst_fish!$C$7*(1/cnst_fish!$C$8)^(R898-1)</f>
        <v>27.497808458126283</v>
      </c>
      <c r="T898" s="1362">
        <f t="shared" si="125"/>
        <v>23581.787039093811</v>
      </c>
      <c r="W898" s="1612"/>
      <c r="X898" s="1612"/>
      <c r="Y898" s="1613"/>
      <c r="Z898" s="1614"/>
      <c r="AA898" s="1614"/>
      <c r="AB898" s="1615"/>
      <c r="AC898" s="1615"/>
      <c r="AD898" s="583"/>
      <c r="AE898" s="583"/>
    </row>
    <row r="899" spans="1:31" ht="14">
      <c r="A899" s="1384" t="s">
        <v>6661</v>
      </c>
      <c r="B899" s="19" t="s">
        <v>6660</v>
      </c>
      <c r="C899" s="1383">
        <v>2104</v>
      </c>
      <c r="D899" s="1236"/>
      <c r="E899" s="1236"/>
      <c r="F899" s="1344">
        <f>(1/S899)*cnst_fish!$C$6</f>
        <v>0.30136363636363639</v>
      </c>
      <c r="G899" s="1344">
        <f t="shared" si="128"/>
        <v>1</v>
      </c>
      <c r="H899" s="1344">
        <f t="shared" si="128"/>
        <v>0.367192066876738</v>
      </c>
      <c r="I899" s="1344">
        <f t="shared" si="120"/>
        <v>0</v>
      </c>
      <c r="J899" s="902">
        <f t="shared" si="121"/>
        <v>0</v>
      </c>
      <c r="L899" s="1460"/>
      <c r="M899" s="1236">
        <v>16331</v>
      </c>
      <c r="N899" s="1240" t="s">
        <v>2440</v>
      </c>
      <c r="O899" s="1241" t="s">
        <v>4859</v>
      </c>
      <c r="P899" s="910">
        <f t="shared" si="122"/>
        <v>0</v>
      </c>
      <c r="Q899" s="910">
        <f t="shared" si="123"/>
        <v>16331</v>
      </c>
      <c r="R899" s="1344">
        <f t="shared" si="124"/>
        <v>3</v>
      </c>
      <c r="S899" s="1344">
        <f>(1/9)*cnst_fish!$C$7*(1/cnst_fish!$C$8)^(R899-1)</f>
        <v>14.1025641025641</v>
      </c>
      <c r="T899" s="1362">
        <f t="shared" si="125"/>
        <v>19898.265485913751</v>
      </c>
      <c r="W899" s="1612"/>
      <c r="X899" s="1612"/>
      <c r="Y899" s="1613"/>
      <c r="Z899" s="1614"/>
      <c r="AA899" s="1614"/>
      <c r="AB899" s="1615"/>
      <c r="AC899" s="1615"/>
      <c r="AD899" s="583"/>
      <c r="AE899" s="583"/>
    </row>
    <row r="900" spans="1:31" ht="14">
      <c r="A900" s="1384" t="s">
        <v>6675</v>
      </c>
      <c r="B900" s="19" t="s">
        <v>6674</v>
      </c>
      <c r="C900" s="1383">
        <v>13199</v>
      </c>
      <c r="D900" s="1236"/>
      <c r="E900" s="1236"/>
      <c r="F900" s="1344">
        <f>(1/S900)*cnst_fish!$C$6</f>
        <v>0.23938164528281752</v>
      </c>
      <c r="G900" s="1344">
        <f t="shared" si="128"/>
        <v>1</v>
      </c>
      <c r="H900" s="1344">
        <f t="shared" si="128"/>
        <v>0.367192066876738</v>
      </c>
      <c r="I900" s="1344">
        <f t="shared" si="120"/>
        <v>0</v>
      </c>
      <c r="J900" s="902">
        <f t="shared" si="121"/>
        <v>0</v>
      </c>
      <c r="L900" s="1460"/>
      <c r="M900" s="1236">
        <v>35</v>
      </c>
      <c r="N900" s="1240" t="s">
        <v>2440</v>
      </c>
      <c r="O900" s="1241" t="s">
        <v>4859</v>
      </c>
      <c r="P900" s="910">
        <f t="shared" si="122"/>
        <v>0</v>
      </c>
      <c r="Q900" s="910">
        <f t="shared" si="123"/>
        <v>35</v>
      </c>
      <c r="R900" s="1344">
        <f t="shared" si="124"/>
        <v>3.1</v>
      </c>
      <c r="S900" s="1344">
        <f>(1/9)*cnst_fish!$C$7*(1/cnst_fish!$C$8)^(R900-1)</f>
        <v>17.754076320174157</v>
      </c>
      <c r="T900" s="1362">
        <f t="shared" si="125"/>
        <v>53.687166889934929</v>
      </c>
      <c r="W900" s="1612"/>
      <c r="X900" s="1612"/>
      <c r="Y900" s="1613"/>
      <c r="Z900" s="1614"/>
      <c r="AA900" s="1614"/>
      <c r="AB900" s="1615"/>
      <c r="AC900" s="1615"/>
      <c r="AD900" s="583"/>
      <c r="AE900" s="583"/>
    </row>
    <row r="901" spans="1:31" ht="14">
      <c r="A901" s="1384" t="s">
        <v>941</v>
      </c>
      <c r="B901" s="19" t="s">
        <v>5492</v>
      </c>
      <c r="C901" s="1383">
        <v>3616</v>
      </c>
      <c r="D901" s="1236">
        <v>1133</v>
      </c>
      <c r="E901" s="1236"/>
      <c r="F901" s="1344">
        <f>(1/S901)*cnst_fish!$C$6</f>
        <v>1.5103960722494616</v>
      </c>
      <c r="G901" s="1344">
        <f t="shared" si="128"/>
        <v>1</v>
      </c>
      <c r="H901" s="1344">
        <f t="shared" si="128"/>
        <v>0.367192066876738</v>
      </c>
      <c r="I901" s="1344">
        <f t="shared" si="120"/>
        <v>275.44338827082942</v>
      </c>
      <c r="J901" s="902">
        <f t="shared" si="121"/>
        <v>0</v>
      </c>
      <c r="L901" s="1460">
        <v>1133</v>
      </c>
      <c r="M901" s="1236"/>
      <c r="N901" s="1240" t="s">
        <v>2430</v>
      </c>
      <c r="O901" s="1241" t="s">
        <v>4840</v>
      </c>
      <c r="P901" s="910">
        <f t="shared" si="122"/>
        <v>1133</v>
      </c>
      <c r="Q901" s="910">
        <f t="shared" si="123"/>
        <v>1133</v>
      </c>
      <c r="R901" s="1344">
        <f t="shared" si="124"/>
        <v>2.2999999999999998</v>
      </c>
      <c r="S901" s="1344">
        <f>(1/9)*cnst_fish!$C$7*(1/cnst_fish!$C$8)^(R901-1)</f>
        <v>2.8138314698279068</v>
      </c>
      <c r="T901" s="1362">
        <f t="shared" si="125"/>
        <v>275.44338827082942</v>
      </c>
      <c r="W901" s="1612"/>
      <c r="X901" s="1612"/>
      <c r="Y901" s="1613"/>
      <c r="Z901" s="1614"/>
      <c r="AA901" s="1614"/>
      <c r="AB901" s="1615"/>
      <c r="AC901" s="1615"/>
      <c r="AD901" s="583"/>
      <c r="AE901" s="583"/>
    </row>
    <row r="902" spans="1:31" ht="14">
      <c r="A902" s="1585" t="s">
        <v>8552</v>
      </c>
      <c r="B902" s="1586" t="s">
        <v>8553</v>
      </c>
      <c r="C902" s="1383">
        <v>19305</v>
      </c>
      <c r="D902" s="1236"/>
      <c r="E902" s="1236"/>
      <c r="F902" s="1344">
        <f>(1/S902)*cnst_fish!$C$6</f>
        <v>0.11997502458044032</v>
      </c>
      <c r="G902" s="1344">
        <f t="shared" si="128"/>
        <v>1</v>
      </c>
      <c r="H902" s="1344">
        <f t="shared" si="128"/>
        <v>0.367192066876738</v>
      </c>
      <c r="I902" s="1344">
        <f t="shared" si="120"/>
        <v>0</v>
      </c>
      <c r="J902" s="902">
        <f t="shared" si="121"/>
        <v>0</v>
      </c>
      <c r="L902" s="1460">
        <v>3797</v>
      </c>
      <c r="M902" s="1236"/>
      <c r="N902" s="1240" t="s">
        <v>1806</v>
      </c>
      <c r="O902" s="1241" t="s">
        <v>4841</v>
      </c>
      <c r="P902" s="910">
        <f t="shared" si="122"/>
        <v>0</v>
      </c>
      <c r="Q902" s="910">
        <f t="shared" si="123"/>
        <v>3797</v>
      </c>
      <c r="R902" s="1344">
        <f t="shared" si="124"/>
        <v>3.4</v>
      </c>
      <c r="S902" s="1344">
        <f>(1/9)*cnst_fish!$C$7*(1/cnst_fish!$C$8)^(R902-1)</f>
        <v>35.424039418724846</v>
      </c>
      <c r="T902" s="1362">
        <f t="shared" si="125"/>
        <v>11620.987641441809</v>
      </c>
      <c r="W902" s="1616"/>
      <c r="X902" s="1616"/>
      <c r="Y902" s="1613"/>
      <c r="Z902" s="1614"/>
      <c r="AA902" s="1614"/>
      <c r="AB902" s="1615"/>
      <c r="AC902" s="1615"/>
      <c r="AD902" s="583"/>
      <c r="AE902" s="583"/>
    </row>
    <row r="903" spans="1:31" ht="14">
      <c r="A903" s="1384" t="s">
        <v>2713</v>
      </c>
      <c r="B903" s="19" t="s">
        <v>5303</v>
      </c>
      <c r="C903" s="1383">
        <v>18570</v>
      </c>
      <c r="D903" s="1236"/>
      <c r="E903" s="1236"/>
      <c r="F903" s="1344">
        <f>(1/S903)*cnst_fish!$C$6</f>
        <v>1.5103960722494616</v>
      </c>
      <c r="G903" s="1344">
        <f t="shared" si="128"/>
        <v>1</v>
      </c>
      <c r="H903" s="1344">
        <f t="shared" si="128"/>
        <v>0.367192066876738</v>
      </c>
      <c r="I903" s="1344">
        <f t="shared" ref="I903:I966" si="129">IF($F903=0,0,D903/$F903*$H903*$G903)</f>
        <v>0</v>
      </c>
      <c r="J903" s="902">
        <f t="shared" ref="J903:J966" si="130">IF($F903=0,0,E903/$F903*$H903*$G903)</f>
        <v>0</v>
      </c>
      <c r="L903" s="1460">
        <v>3220</v>
      </c>
      <c r="M903" s="1236"/>
      <c r="N903" s="1240" t="s">
        <v>2430</v>
      </c>
      <c r="O903" s="1241" t="s">
        <v>4840</v>
      </c>
      <c r="P903" s="910">
        <f t="shared" ref="P903:P966" si="131">D903+E903</f>
        <v>0</v>
      </c>
      <c r="Q903" s="910">
        <f t="shared" ref="Q903:Q966" si="132">L903+M903</f>
        <v>3220</v>
      </c>
      <c r="R903" s="1344">
        <f t="shared" ref="R903:R966" si="133">VLOOKUP(B903,constant_fish_trophic,3,FALSE)</f>
        <v>2.2999999999999998</v>
      </c>
      <c r="S903" s="1344">
        <f>(1/9)*cnst_fish!$C$7*(1/cnst_fish!$C$8)^(R903-1)</f>
        <v>2.8138314698279068</v>
      </c>
      <c r="T903" s="1362">
        <f t="shared" ref="T903:T966" si="134">IF(F903=0,0,Q903/F903*H903*G903)</f>
        <v>782.81351300271024</v>
      </c>
      <c r="W903" s="1612"/>
      <c r="X903" s="1612"/>
      <c r="Y903" s="1613"/>
      <c r="Z903" s="1614"/>
      <c r="AA903" s="1614"/>
      <c r="AB903" s="1615"/>
      <c r="AC903" s="1615"/>
      <c r="AD903" s="583"/>
      <c r="AE903" s="583"/>
    </row>
    <row r="904" spans="1:31" ht="14">
      <c r="A904" s="1384" t="s">
        <v>2599</v>
      </c>
      <c r="B904" s="19" t="s">
        <v>5304</v>
      </c>
      <c r="C904" s="1383">
        <v>2641</v>
      </c>
      <c r="D904" s="1236"/>
      <c r="E904" s="1236"/>
      <c r="F904" s="1344">
        <f>(1/S904)*cnst_fish!$C$6</f>
        <v>1.5103960722494616</v>
      </c>
      <c r="G904" s="1344">
        <f t="shared" si="128"/>
        <v>1</v>
      </c>
      <c r="H904" s="1344">
        <f t="shared" si="128"/>
        <v>0.367192066876738</v>
      </c>
      <c r="I904" s="1344">
        <f t="shared" si="129"/>
        <v>0</v>
      </c>
      <c r="J904" s="902">
        <f t="shared" si="130"/>
        <v>0</v>
      </c>
      <c r="L904" s="1460">
        <v>0</v>
      </c>
      <c r="M904" s="1236"/>
      <c r="N904" s="1240" t="s">
        <v>2430</v>
      </c>
      <c r="O904" s="1241" t="s">
        <v>4840</v>
      </c>
      <c r="P904" s="910">
        <f t="shared" si="131"/>
        <v>0</v>
      </c>
      <c r="Q904" s="910">
        <f t="shared" si="132"/>
        <v>0</v>
      </c>
      <c r="R904" s="1344">
        <f t="shared" si="133"/>
        <v>2.2999999999999998</v>
      </c>
      <c r="S904" s="1344">
        <f>(1/9)*cnst_fish!$C$7*(1/cnst_fish!$C$8)^(R904-1)</f>
        <v>2.8138314698279068</v>
      </c>
      <c r="T904" s="1362">
        <f t="shared" si="134"/>
        <v>0</v>
      </c>
      <c r="W904" s="1612"/>
      <c r="X904" s="1612"/>
      <c r="Y904" s="1613"/>
      <c r="Z904" s="1614"/>
      <c r="AA904" s="1614"/>
      <c r="AB904" s="1615"/>
      <c r="AC904" s="1615"/>
      <c r="AD904" s="583"/>
      <c r="AE904" s="583"/>
    </row>
    <row r="905" spans="1:31" ht="14">
      <c r="A905" s="1384" t="s">
        <v>1524</v>
      </c>
      <c r="B905" s="19" t="s">
        <v>2789</v>
      </c>
      <c r="C905" s="1383">
        <v>3471</v>
      </c>
      <c r="D905" s="1236"/>
      <c r="E905" s="1236"/>
      <c r="F905" s="1344">
        <f>(1/S905)*cnst_fish!$C$6</f>
        <v>1.5103960722494616</v>
      </c>
      <c r="G905" s="1344">
        <f t="shared" si="128"/>
        <v>1</v>
      </c>
      <c r="H905" s="1344">
        <f t="shared" si="128"/>
        <v>0.367192066876738</v>
      </c>
      <c r="I905" s="1344">
        <f t="shared" si="129"/>
        <v>0</v>
      </c>
      <c r="J905" s="902">
        <f t="shared" si="130"/>
        <v>0</v>
      </c>
      <c r="L905" s="1460">
        <v>9820</v>
      </c>
      <c r="M905" s="1236"/>
      <c r="N905" s="1240" t="s">
        <v>2430</v>
      </c>
      <c r="O905" s="1241" t="s">
        <v>4840</v>
      </c>
      <c r="P905" s="910">
        <f t="shared" si="131"/>
        <v>0</v>
      </c>
      <c r="Q905" s="910">
        <f t="shared" si="132"/>
        <v>9820</v>
      </c>
      <c r="R905" s="1344">
        <f t="shared" si="133"/>
        <v>2.2999999999999998</v>
      </c>
      <c r="S905" s="1344">
        <f>(1/9)*cnst_fish!$C$7*(1/cnst_fish!$C$8)^(R905-1)</f>
        <v>2.8138314698279068</v>
      </c>
      <c r="T905" s="1362">
        <f t="shared" si="134"/>
        <v>2387.3381048716192</v>
      </c>
      <c r="W905" s="1612"/>
      <c r="X905" s="1612"/>
      <c r="Y905" s="1613"/>
      <c r="Z905" s="1614"/>
      <c r="AA905" s="1614"/>
      <c r="AB905" s="1615"/>
      <c r="AC905" s="1615"/>
      <c r="AD905" s="583"/>
      <c r="AE905" s="583"/>
    </row>
    <row r="906" spans="1:31" ht="14">
      <c r="A906" s="1384" t="s">
        <v>5663</v>
      </c>
      <c r="B906" s="19" t="s">
        <v>5664</v>
      </c>
      <c r="C906" s="1383">
        <v>3470</v>
      </c>
      <c r="D906" s="1236"/>
      <c r="E906" s="1236"/>
      <c r="F906" s="1344">
        <f>(1/S906)*cnst_fish!$C$6</f>
        <v>3.0136363636363641</v>
      </c>
      <c r="G906" s="1344">
        <f t="shared" si="128"/>
        <v>1</v>
      </c>
      <c r="H906" s="1344">
        <f t="shared" si="128"/>
        <v>0.367192066876738</v>
      </c>
      <c r="I906" s="1344">
        <f t="shared" si="129"/>
        <v>0</v>
      </c>
      <c r="J906" s="902">
        <f t="shared" si="130"/>
        <v>0</v>
      </c>
      <c r="L906" s="1460">
        <v>0</v>
      </c>
      <c r="M906" s="1236"/>
      <c r="N906" s="1240" t="s">
        <v>2430</v>
      </c>
      <c r="O906" s="1241" t="s">
        <v>4840</v>
      </c>
      <c r="P906" s="910">
        <f t="shared" si="131"/>
        <v>0</v>
      </c>
      <c r="Q906" s="910">
        <f t="shared" si="132"/>
        <v>0</v>
      </c>
      <c r="R906" s="1344">
        <f t="shared" si="133"/>
        <v>2</v>
      </c>
      <c r="S906" s="1344">
        <f>(1/9)*cnst_fish!$C$7*(1/cnst_fish!$C$8)^(R906-1)</f>
        <v>1.4102564102564099</v>
      </c>
      <c r="T906" s="1362">
        <f t="shared" si="134"/>
        <v>0</v>
      </c>
      <c r="W906" s="1612"/>
      <c r="X906" s="1612"/>
      <c r="Y906" s="1613"/>
      <c r="Z906" s="1614"/>
      <c r="AA906" s="1614"/>
      <c r="AB906" s="1615"/>
      <c r="AC906" s="1615"/>
      <c r="AD906" s="583"/>
      <c r="AE906" s="583"/>
    </row>
    <row r="907" spans="1:31" ht="14">
      <c r="A907" s="1384" t="s">
        <v>2410</v>
      </c>
      <c r="B907" s="19" t="s">
        <v>5305</v>
      </c>
      <c r="C907" s="1383">
        <v>3469</v>
      </c>
      <c r="D907" s="1236"/>
      <c r="E907" s="1236"/>
      <c r="F907" s="1344">
        <f>(1/S907)*cnst_fish!$C$6</f>
        <v>1.5103960722494616</v>
      </c>
      <c r="G907" s="1344">
        <f t="shared" si="128"/>
        <v>1</v>
      </c>
      <c r="H907" s="1344">
        <f t="shared" si="128"/>
        <v>0.367192066876738</v>
      </c>
      <c r="I907" s="1344">
        <f t="shared" si="129"/>
        <v>0</v>
      </c>
      <c r="J907" s="902">
        <f t="shared" si="130"/>
        <v>0</v>
      </c>
      <c r="L907" s="1460">
        <v>0</v>
      </c>
      <c r="M907" s="1236"/>
      <c r="N907" s="1240" t="s">
        <v>2430</v>
      </c>
      <c r="O907" s="1241" t="s">
        <v>4840</v>
      </c>
      <c r="P907" s="910">
        <f t="shared" si="131"/>
        <v>0</v>
      </c>
      <c r="Q907" s="910">
        <f t="shared" si="132"/>
        <v>0</v>
      </c>
      <c r="R907" s="1344">
        <f t="shared" si="133"/>
        <v>2.2999999999999998</v>
      </c>
      <c r="S907" s="1344">
        <f>(1/9)*cnst_fish!$C$7*(1/cnst_fish!$C$8)^(R907-1)</f>
        <v>2.8138314698279068</v>
      </c>
      <c r="T907" s="1362">
        <f t="shared" si="134"/>
        <v>0</v>
      </c>
      <c r="W907" s="1612"/>
      <c r="X907" s="1612"/>
      <c r="Y907" s="1613"/>
      <c r="Z907" s="1614"/>
      <c r="AA907" s="1614"/>
      <c r="AB907" s="1615"/>
      <c r="AC907" s="1615"/>
      <c r="AD907" s="583"/>
      <c r="AE907" s="583"/>
    </row>
    <row r="908" spans="1:31" ht="14">
      <c r="A908" s="1384" t="s">
        <v>2600</v>
      </c>
      <c r="B908" s="19" t="s">
        <v>5227</v>
      </c>
      <c r="C908" s="1383">
        <v>2391</v>
      </c>
      <c r="D908" s="1236"/>
      <c r="E908" s="1236"/>
      <c r="F908" s="1344">
        <f>(1/S908)*cnst_fish!$C$6</f>
        <v>0.36231878188697486</v>
      </c>
      <c r="G908" s="1344">
        <f t="shared" ref="G908:H927" si="135">G$7</f>
        <v>1</v>
      </c>
      <c r="H908" s="1344">
        <f t="shared" si="135"/>
        <v>0.367192066876738</v>
      </c>
      <c r="I908" s="1344">
        <f t="shared" si="129"/>
        <v>0</v>
      </c>
      <c r="J908" s="902">
        <f t="shared" si="130"/>
        <v>0</v>
      </c>
      <c r="L908" s="1460">
        <v>0</v>
      </c>
      <c r="M908" s="1236"/>
      <c r="N908" s="1240" t="s">
        <v>1806</v>
      </c>
      <c r="O908" s="1241" t="s">
        <v>4841</v>
      </c>
      <c r="P908" s="910">
        <f t="shared" si="131"/>
        <v>0</v>
      </c>
      <c r="Q908" s="910">
        <f t="shared" si="132"/>
        <v>0</v>
      </c>
      <c r="R908" s="1344">
        <f t="shared" si="133"/>
        <v>2.92</v>
      </c>
      <c r="S908" s="1344">
        <f>(1/9)*cnst_fish!$C$7*(1/cnst_fish!$C$8)^(R908-1)</f>
        <v>11.730001900165874</v>
      </c>
      <c r="T908" s="1362">
        <f t="shared" si="134"/>
        <v>0</v>
      </c>
      <c r="W908" s="1612"/>
      <c r="X908" s="1612"/>
      <c r="Y908" s="1613"/>
      <c r="Z908" s="1614"/>
      <c r="AA908" s="1614"/>
      <c r="AB908" s="1615"/>
      <c r="AC908" s="1615"/>
      <c r="AD908" s="583"/>
      <c r="AE908" s="583"/>
    </row>
    <row r="909" spans="1:31" ht="14">
      <c r="A909" s="1384" t="s">
        <v>2240</v>
      </c>
      <c r="B909" s="19" t="s">
        <v>4511</v>
      </c>
      <c r="C909" s="1383">
        <v>2392</v>
      </c>
      <c r="D909" s="1236"/>
      <c r="E909" s="1236"/>
      <c r="F909" s="1344">
        <f>(1/S909)*cnst_fish!$C$6</f>
        <v>0.11457525898206007</v>
      </c>
      <c r="G909" s="1344">
        <f t="shared" si="135"/>
        <v>1</v>
      </c>
      <c r="H909" s="1344">
        <f t="shared" si="135"/>
        <v>0.367192066876738</v>
      </c>
      <c r="I909" s="1344">
        <f t="shared" si="129"/>
        <v>0</v>
      </c>
      <c r="J909" s="902">
        <f t="shared" si="130"/>
        <v>0</v>
      </c>
      <c r="L909" s="1460">
        <v>3513</v>
      </c>
      <c r="M909" s="1236"/>
      <c r="N909" s="1240" t="s">
        <v>1806</v>
      </c>
      <c r="O909" s="1241" t="s">
        <v>4841</v>
      </c>
      <c r="P909" s="910">
        <f t="shared" si="131"/>
        <v>0</v>
      </c>
      <c r="Q909" s="910">
        <f t="shared" si="132"/>
        <v>3513</v>
      </c>
      <c r="R909" s="1344">
        <f t="shared" si="133"/>
        <v>3.42</v>
      </c>
      <c r="S909" s="1344">
        <f>(1/9)*cnst_fish!$C$7*(1/cnst_fish!$C$8)^(R909-1)</f>
        <v>37.093522962627169</v>
      </c>
      <c r="T909" s="1362">
        <f t="shared" si="134"/>
        <v>11258.501550844911</v>
      </c>
      <c r="W909" s="1612"/>
      <c r="X909" s="1612"/>
      <c r="Y909" s="1613"/>
      <c r="Z909" s="1614"/>
      <c r="AA909" s="1614"/>
      <c r="AB909" s="1615"/>
      <c r="AC909" s="1615"/>
      <c r="AD909" s="583"/>
      <c r="AE909" s="583"/>
    </row>
    <row r="910" spans="1:31" ht="14">
      <c r="A910" s="1384" t="s">
        <v>1285</v>
      </c>
      <c r="B910" s="19" t="s">
        <v>4512</v>
      </c>
      <c r="C910" s="1383">
        <v>2390</v>
      </c>
      <c r="D910" s="1236"/>
      <c r="E910" s="1236"/>
      <c r="F910" s="1344">
        <f>(1/S910)*cnst_fish!$C$6</f>
        <v>0.17341667202478855</v>
      </c>
      <c r="G910" s="1344">
        <f t="shared" si="135"/>
        <v>1</v>
      </c>
      <c r="H910" s="1344">
        <f t="shared" si="135"/>
        <v>0.367192066876738</v>
      </c>
      <c r="I910" s="1344">
        <f t="shared" si="129"/>
        <v>0</v>
      </c>
      <c r="J910" s="902">
        <f t="shared" si="130"/>
        <v>0</v>
      </c>
      <c r="L910" s="1460"/>
      <c r="M910" s="1236"/>
      <c r="N910" s="1240" t="s">
        <v>1806</v>
      </c>
      <c r="O910" s="1241" t="s">
        <v>4841</v>
      </c>
      <c r="P910" s="910">
        <f t="shared" si="131"/>
        <v>0</v>
      </c>
      <c r="Q910" s="910">
        <f t="shared" si="132"/>
        <v>0</v>
      </c>
      <c r="R910" s="1344">
        <f t="shared" si="133"/>
        <v>3.24</v>
      </c>
      <c r="S910" s="1344">
        <f>(1/9)*cnst_fish!$C$7*(1/cnst_fish!$C$8)^(R910-1)</f>
        <v>24.507447584927103</v>
      </c>
      <c r="T910" s="1362">
        <f t="shared" si="134"/>
        <v>0</v>
      </c>
      <c r="W910" s="1612"/>
      <c r="X910" s="1612"/>
      <c r="Y910" s="1613"/>
      <c r="Z910" s="1614"/>
      <c r="AA910" s="1614"/>
      <c r="AB910" s="1615"/>
      <c r="AC910" s="1615"/>
      <c r="AD910" s="583"/>
      <c r="AE910" s="583"/>
    </row>
    <row r="911" spans="1:31" ht="14">
      <c r="A911" s="1384" t="s">
        <v>1594</v>
      </c>
      <c r="B911" s="19" t="s">
        <v>376</v>
      </c>
      <c r="C911" s="1383">
        <v>3499</v>
      </c>
      <c r="D911" s="1236"/>
      <c r="E911" s="1236"/>
      <c r="F911" s="1344">
        <f>(1/S911)*cnst_fish!$C$6</f>
        <v>2.3938164528281742</v>
      </c>
      <c r="G911" s="1344">
        <f t="shared" si="135"/>
        <v>1</v>
      </c>
      <c r="H911" s="1344">
        <f t="shared" si="135"/>
        <v>0.367192066876738</v>
      </c>
      <c r="I911" s="1344">
        <f t="shared" si="129"/>
        <v>0</v>
      </c>
      <c r="J911" s="902">
        <f t="shared" si="130"/>
        <v>0</v>
      </c>
      <c r="L911" s="1460">
        <v>249</v>
      </c>
      <c r="M911" s="1236"/>
      <c r="N911" s="1240" t="s">
        <v>1804</v>
      </c>
      <c r="O911" s="1241" t="s">
        <v>4851</v>
      </c>
      <c r="P911" s="910">
        <f t="shared" si="131"/>
        <v>0</v>
      </c>
      <c r="Q911" s="910">
        <f t="shared" si="132"/>
        <v>249</v>
      </c>
      <c r="R911" s="1344">
        <f t="shared" si="133"/>
        <v>2.1</v>
      </c>
      <c r="S911" s="1344">
        <f>(1/9)*cnst_fish!$C$7*(1/cnst_fish!$C$8)^(R911-1)</f>
        <v>1.7754076320174161</v>
      </c>
      <c r="T911" s="1362">
        <f t="shared" si="134"/>
        <v>38.194584444553726</v>
      </c>
      <c r="W911" s="1612"/>
      <c r="X911" s="1612"/>
      <c r="Y911" s="1613"/>
      <c r="Z911" s="1614"/>
      <c r="AA911" s="1614"/>
      <c r="AB911" s="1615"/>
      <c r="AC911" s="1615"/>
      <c r="AD911" s="583"/>
      <c r="AE911" s="583"/>
    </row>
    <row r="912" spans="1:31" ht="14">
      <c r="A912" s="1384" t="s">
        <v>3292</v>
      </c>
      <c r="B912" s="19" t="s">
        <v>377</v>
      </c>
      <c r="C912" s="1383">
        <v>2660</v>
      </c>
      <c r="D912" s="1236">
        <v>645</v>
      </c>
      <c r="E912" s="1236"/>
      <c r="F912" s="1344">
        <f>(1/S912)*cnst_fish!$C$6</f>
        <v>2.3938164528281742</v>
      </c>
      <c r="G912" s="1344">
        <f t="shared" si="135"/>
        <v>1</v>
      </c>
      <c r="H912" s="1344">
        <f t="shared" si="135"/>
        <v>0.367192066876738</v>
      </c>
      <c r="I912" s="1344">
        <f t="shared" si="129"/>
        <v>98.937778982880118</v>
      </c>
      <c r="J912" s="902">
        <f t="shared" si="130"/>
        <v>0</v>
      </c>
      <c r="L912" s="1460">
        <v>768</v>
      </c>
      <c r="M912" s="1236"/>
      <c r="N912" s="1240" t="s">
        <v>1804</v>
      </c>
      <c r="O912" s="1241" t="s">
        <v>4851</v>
      </c>
      <c r="P912" s="910">
        <f t="shared" si="131"/>
        <v>645</v>
      </c>
      <c r="Q912" s="910">
        <f t="shared" si="132"/>
        <v>768</v>
      </c>
      <c r="R912" s="1344">
        <f t="shared" si="133"/>
        <v>2.1</v>
      </c>
      <c r="S912" s="1344">
        <f>(1/9)*cnst_fish!$C$7*(1/cnst_fish!$C$8)^(R912-1)</f>
        <v>1.7754076320174161</v>
      </c>
      <c r="T912" s="1362">
        <f t="shared" si="134"/>
        <v>117.80498334705727</v>
      </c>
      <c r="W912" s="1612"/>
      <c r="X912" s="1612"/>
      <c r="Y912" s="1613"/>
      <c r="Z912" s="1614"/>
      <c r="AA912" s="1614"/>
      <c r="AB912" s="1615"/>
      <c r="AC912" s="1615"/>
      <c r="AD912" s="583"/>
      <c r="AE912" s="583"/>
    </row>
    <row r="913" spans="1:31" ht="14">
      <c r="A913" s="1384" t="s">
        <v>6401</v>
      </c>
      <c r="B913" s="19" t="s">
        <v>6400</v>
      </c>
      <c r="C913" s="1383">
        <v>19844</v>
      </c>
      <c r="D913" s="1236"/>
      <c r="E913" s="1236"/>
      <c r="F913" s="1344">
        <f>(1/S913)*cnst_fish!$C$6</f>
        <v>0.75699122913220485</v>
      </c>
      <c r="G913" s="1344">
        <f t="shared" si="135"/>
        <v>1</v>
      </c>
      <c r="H913" s="1344">
        <f t="shared" si="135"/>
        <v>0.367192066876738</v>
      </c>
      <c r="I913" s="1344">
        <f t="shared" si="129"/>
        <v>0</v>
      </c>
      <c r="J913" s="902">
        <f t="shared" si="130"/>
        <v>0</v>
      </c>
      <c r="L913" s="1460"/>
      <c r="M913" s="1236">
        <v>593</v>
      </c>
      <c r="N913" s="1240" t="s">
        <v>1806</v>
      </c>
      <c r="O913" s="1241" t="s">
        <v>4841</v>
      </c>
      <c r="P913" s="910">
        <f t="shared" si="131"/>
        <v>0</v>
      </c>
      <c r="Q913" s="910">
        <f t="shared" si="132"/>
        <v>593</v>
      </c>
      <c r="R913" s="1344">
        <f t="shared" si="133"/>
        <v>2.6</v>
      </c>
      <c r="S913" s="1344">
        <f>(1/9)*cnst_fish!$C$7*(1/cnst_fish!$C$8)^(R913-1)</f>
        <v>5.6143318924211183</v>
      </c>
      <c r="T913" s="1362">
        <f t="shared" si="134"/>
        <v>287.64520284802074</v>
      </c>
      <c r="W913" s="1612"/>
      <c r="X913" s="1612"/>
      <c r="Y913" s="1613"/>
      <c r="Z913" s="1614"/>
      <c r="AA913" s="1614"/>
      <c r="AB913" s="1615"/>
      <c r="AC913" s="1615"/>
      <c r="AD913" s="583"/>
      <c r="AE913" s="583"/>
    </row>
    <row r="914" spans="1:31" ht="14">
      <c r="A914" s="1384" t="s">
        <v>3672</v>
      </c>
      <c r="B914" s="19" t="s">
        <v>4513</v>
      </c>
      <c r="C914" s="1383">
        <v>3055</v>
      </c>
      <c r="D914" s="1236"/>
      <c r="E914" s="1236"/>
      <c r="F914" s="1344">
        <f>(1/S914)*cnst_fish!$C$6</f>
        <v>1.044938781136493</v>
      </c>
      <c r="G914" s="1344">
        <f t="shared" si="135"/>
        <v>1</v>
      </c>
      <c r="H914" s="1344">
        <f t="shared" si="135"/>
        <v>0.367192066876738</v>
      </c>
      <c r="I914" s="1344">
        <f t="shared" si="129"/>
        <v>0</v>
      </c>
      <c r="J914" s="902">
        <f t="shared" si="130"/>
        <v>0</v>
      </c>
      <c r="L914" s="1460">
        <v>170</v>
      </c>
      <c r="M914" s="1236"/>
      <c r="N914" s="1240" t="s">
        <v>1806</v>
      </c>
      <c r="O914" s="1241" t="s">
        <v>4841</v>
      </c>
      <c r="P914" s="910">
        <f t="shared" si="131"/>
        <v>0</v>
      </c>
      <c r="Q914" s="910">
        <f t="shared" si="132"/>
        <v>170</v>
      </c>
      <c r="R914" s="1344">
        <f t="shared" si="133"/>
        <v>2.46</v>
      </c>
      <c r="S914" s="1344">
        <f>(1/9)*cnst_fish!$C$7*(1/cnst_fish!$C$8)^(R914-1)</f>
        <v>4.0672239146657265</v>
      </c>
      <c r="T914" s="1362">
        <f t="shared" si="134"/>
        <v>59.738094227064231</v>
      </c>
      <c r="W914" s="1612"/>
      <c r="X914" s="1612"/>
      <c r="Y914" s="1613"/>
      <c r="Z914" s="1614"/>
      <c r="AA914" s="1614"/>
      <c r="AB914" s="1615"/>
      <c r="AC914" s="1615"/>
      <c r="AD914" s="583"/>
      <c r="AE914" s="583"/>
    </row>
    <row r="915" spans="1:31" ht="14">
      <c r="A915" s="1384" t="s">
        <v>4731</v>
      </c>
      <c r="B915" s="19" t="s">
        <v>4514</v>
      </c>
      <c r="C915" s="1383">
        <v>18864</v>
      </c>
      <c r="D915" s="1236"/>
      <c r="E915" s="1236"/>
      <c r="F915" s="1344">
        <f>(1/S915)*cnst_fish!$C$6</f>
        <v>0.83002437741509261</v>
      </c>
      <c r="G915" s="1344">
        <f t="shared" si="135"/>
        <v>1</v>
      </c>
      <c r="H915" s="1344">
        <f t="shared" si="135"/>
        <v>0.367192066876738</v>
      </c>
      <c r="I915" s="1344">
        <f t="shared" si="129"/>
        <v>0</v>
      </c>
      <c r="J915" s="902">
        <f t="shared" si="130"/>
        <v>0</v>
      </c>
      <c r="L915" s="1460">
        <v>2544</v>
      </c>
      <c r="M915" s="1236"/>
      <c r="N915" s="1240" t="s">
        <v>1806</v>
      </c>
      <c r="O915" s="1241" t="s">
        <v>4841</v>
      </c>
      <c r="P915" s="910">
        <f t="shared" si="131"/>
        <v>0</v>
      </c>
      <c r="Q915" s="910">
        <f t="shared" si="132"/>
        <v>2544</v>
      </c>
      <c r="R915" s="1344">
        <f t="shared" si="133"/>
        <v>2.56</v>
      </c>
      <c r="S915" s="1344">
        <f>(1/9)*cnst_fish!$C$7*(1/cnst_fish!$C$8)^(R915-1)</f>
        <v>5.1203315416296364</v>
      </c>
      <c r="T915" s="1362">
        <f t="shared" si="134"/>
        <v>1125.4327505940983</v>
      </c>
      <c r="W915" s="1612"/>
      <c r="X915" s="1612"/>
      <c r="Y915" s="1613"/>
      <c r="Z915" s="1614"/>
      <c r="AA915" s="1614"/>
      <c r="AB915" s="1615"/>
      <c r="AC915" s="1615"/>
      <c r="AD915" s="583"/>
      <c r="AE915" s="583"/>
    </row>
    <row r="916" spans="1:31" ht="14">
      <c r="A916" s="1585" t="s">
        <v>4430</v>
      </c>
      <c r="B916" s="1586" t="s">
        <v>8554</v>
      </c>
      <c r="C916" s="1383">
        <v>3054</v>
      </c>
      <c r="D916" s="1236"/>
      <c r="E916" s="1236"/>
      <c r="F916" s="1344">
        <f>(1/S916)*cnst_fish!$C$6</f>
        <v>1.5103960722494616</v>
      </c>
      <c r="G916" s="1344">
        <f t="shared" si="135"/>
        <v>1</v>
      </c>
      <c r="H916" s="1344">
        <f t="shared" si="135"/>
        <v>0.367192066876738</v>
      </c>
      <c r="I916" s="1344">
        <f t="shared" si="129"/>
        <v>0</v>
      </c>
      <c r="J916" s="902">
        <f t="shared" si="130"/>
        <v>0</v>
      </c>
      <c r="L916" s="1460">
        <v>175</v>
      </c>
      <c r="M916" s="1236">
        <v>0</v>
      </c>
      <c r="N916" s="1240" t="s">
        <v>1806</v>
      </c>
      <c r="O916" s="1241" t="s">
        <v>4841</v>
      </c>
      <c r="P916" s="910">
        <f t="shared" si="131"/>
        <v>0</v>
      </c>
      <c r="Q916" s="910">
        <f t="shared" si="132"/>
        <v>175</v>
      </c>
      <c r="R916" s="1344">
        <f t="shared" si="133"/>
        <v>2.2999999999999998</v>
      </c>
      <c r="S916" s="1344">
        <f>(1/9)*cnst_fish!$C$7*(1/cnst_fish!$C$8)^(R916-1)</f>
        <v>2.8138314698279068</v>
      </c>
      <c r="T916" s="1362">
        <f t="shared" si="134"/>
        <v>42.544212663190777</v>
      </c>
      <c r="W916" s="1616"/>
      <c r="X916" s="1616"/>
      <c r="Y916" s="1613"/>
      <c r="Z916" s="1614"/>
      <c r="AA916" s="1614"/>
      <c r="AB916" s="1615"/>
      <c r="AC916" s="1615"/>
      <c r="AD916" s="583"/>
      <c r="AE916" s="583"/>
    </row>
    <row r="917" spans="1:31" ht="14">
      <c r="A917" s="1384" t="s">
        <v>3676</v>
      </c>
      <c r="B917" s="19" t="s">
        <v>2183</v>
      </c>
      <c r="C917" s="1383">
        <v>2261</v>
      </c>
      <c r="D917" s="1236"/>
      <c r="E917" s="1236"/>
      <c r="F917" s="1344">
        <f>(1/S917)*cnst_fish!$C$6</f>
        <v>0.27484690295134895</v>
      </c>
      <c r="G917" s="1344">
        <f t="shared" si="135"/>
        <v>1</v>
      </c>
      <c r="H917" s="1344">
        <f t="shared" si="135"/>
        <v>0.367192066876738</v>
      </c>
      <c r="I917" s="1344">
        <f t="shared" si="129"/>
        <v>0</v>
      </c>
      <c r="J917" s="902">
        <f t="shared" si="130"/>
        <v>0</v>
      </c>
      <c r="L917" s="1460">
        <v>111</v>
      </c>
      <c r="M917" s="1236"/>
      <c r="N917" s="1240" t="s">
        <v>1806</v>
      </c>
      <c r="O917" s="1241" t="s">
        <v>4841</v>
      </c>
      <c r="P917" s="910">
        <f t="shared" si="131"/>
        <v>0</v>
      </c>
      <c r="Q917" s="910">
        <f t="shared" si="132"/>
        <v>111</v>
      </c>
      <c r="R917" s="1344">
        <f t="shared" si="133"/>
        <v>3.04</v>
      </c>
      <c r="S917" s="1344">
        <f>(1/9)*cnst_fish!$C$7*(1/cnst_fish!$C$8)^(R917-1)</f>
        <v>15.463154048173134</v>
      </c>
      <c r="T917" s="1362">
        <f t="shared" si="134"/>
        <v>148.29462870292051</v>
      </c>
      <c r="W917" s="1612"/>
      <c r="X917" s="1612"/>
      <c r="Y917" s="1613"/>
      <c r="Z917" s="1614"/>
      <c r="AA917" s="1614"/>
      <c r="AB917" s="1615"/>
      <c r="AC917" s="1615"/>
      <c r="AD917" s="583"/>
      <c r="AE917" s="583"/>
    </row>
    <row r="918" spans="1:31" ht="14">
      <c r="A918" s="1384" t="s">
        <v>6765</v>
      </c>
      <c r="B918" s="19" t="s">
        <v>6764</v>
      </c>
      <c r="C918" s="1383">
        <v>19100</v>
      </c>
      <c r="D918" s="1236"/>
      <c r="E918" s="1236"/>
      <c r="F918" s="1344">
        <f>(1/S918)*cnst_fish!$C$6</f>
        <v>3.0136363636363641</v>
      </c>
      <c r="G918" s="1344">
        <f t="shared" si="135"/>
        <v>1</v>
      </c>
      <c r="H918" s="1344">
        <f t="shared" si="135"/>
        <v>0.367192066876738</v>
      </c>
      <c r="I918" s="1344">
        <f t="shared" si="129"/>
        <v>0</v>
      </c>
      <c r="J918" s="902">
        <f t="shared" si="130"/>
        <v>0</v>
      </c>
      <c r="L918" s="1460"/>
      <c r="M918" s="1236"/>
      <c r="N918" s="1240" t="s">
        <v>1806</v>
      </c>
      <c r="O918" s="1241" t="s">
        <v>4841</v>
      </c>
      <c r="P918" s="910">
        <f t="shared" si="131"/>
        <v>0</v>
      </c>
      <c r="Q918" s="910">
        <f t="shared" si="132"/>
        <v>0</v>
      </c>
      <c r="R918" s="1344">
        <f t="shared" si="133"/>
        <v>2</v>
      </c>
      <c r="S918" s="1344">
        <f>(1/9)*cnst_fish!$C$7*(1/cnst_fish!$C$8)^(R918-1)</f>
        <v>1.4102564102564099</v>
      </c>
      <c r="T918" s="1362">
        <f t="shared" si="134"/>
        <v>0</v>
      </c>
      <c r="W918" s="1612"/>
      <c r="X918" s="1612"/>
      <c r="Y918" s="1613"/>
      <c r="Z918" s="1614"/>
      <c r="AA918" s="1614"/>
      <c r="AB918" s="1615"/>
      <c r="AC918" s="1615"/>
      <c r="AD918" s="583"/>
      <c r="AE918" s="583"/>
    </row>
    <row r="919" spans="1:31" ht="14">
      <c r="A919" s="1384" t="s">
        <v>5390</v>
      </c>
      <c r="B919" s="19" t="s">
        <v>2358</v>
      </c>
      <c r="C919" s="1383">
        <v>13233</v>
      </c>
      <c r="D919" s="1236">
        <v>9</v>
      </c>
      <c r="E919" s="1236"/>
      <c r="F919" s="1344">
        <f>(1/S919)*cnst_fish!$C$6</f>
        <v>2.7484690295134888E-2</v>
      </c>
      <c r="G919" s="1344">
        <f t="shared" si="135"/>
        <v>1</v>
      </c>
      <c r="H919" s="1344">
        <f t="shared" si="135"/>
        <v>0.367192066876738</v>
      </c>
      <c r="I919" s="1344">
        <f t="shared" si="129"/>
        <v>120.23888813750314</v>
      </c>
      <c r="J919" s="902">
        <f t="shared" si="130"/>
        <v>0</v>
      </c>
      <c r="L919" s="1460">
        <v>178</v>
      </c>
      <c r="M919" s="1236"/>
      <c r="N919" s="1240" t="s">
        <v>1806</v>
      </c>
      <c r="O919" s="1241" t="s">
        <v>4841</v>
      </c>
      <c r="P919" s="910">
        <f t="shared" si="131"/>
        <v>9</v>
      </c>
      <c r="Q919" s="910">
        <f t="shared" si="132"/>
        <v>178</v>
      </c>
      <c r="R919" s="1344">
        <f t="shared" si="133"/>
        <v>4.04</v>
      </c>
      <c r="S919" s="1344">
        <f>(1/9)*cnst_fish!$C$7*(1/cnst_fish!$C$8)^(R919-1)</f>
        <v>154.63154048173138</v>
      </c>
      <c r="T919" s="1362">
        <f t="shared" si="134"/>
        <v>2378.0580098306177</v>
      </c>
      <c r="W919" s="1612"/>
      <c r="X919" s="1612"/>
      <c r="Y919" s="1613"/>
      <c r="Z919" s="1614"/>
      <c r="AA919" s="1614"/>
      <c r="AB919" s="1615"/>
      <c r="AC919" s="1615"/>
      <c r="AD919" s="583"/>
      <c r="AE919" s="583"/>
    </row>
    <row r="920" spans="1:31" ht="14">
      <c r="A920" s="1384" t="s">
        <v>2245</v>
      </c>
      <c r="B920" s="19" t="s">
        <v>4618</v>
      </c>
      <c r="C920" s="1383">
        <v>3575</v>
      </c>
      <c r="D920" s="1236">
        <v>665</v>
      </c>
      <c r="E920" s="1236"/>
      <c r="F920" s="1344">
        <f>(1/S920)*cnst_fish!$C$6</f>
        <v>0.19014759972289441</v>
      </c>
      <c r="G920" s="1344">
        <f t="shared" si="135"/>
        <v>1</v>
      </c>
      <c r="H920" s="1344">
        <f t="shared" si="135"/>
        <v>0.367192066876738</v>
      </c>
      <c r="I920" s="1344">
        <f t="shared" si="129"/>
        <v>1284.1746350144979</v>
      </c>
      <c r="J920" s="902">
        <f t="shared" si="130"/>
        <v>0</v>
      </c>
      <c r="L920" s="1460">
        <v>579268</v>
      </c>
      <c r="M920" s="1236"/>
      <c r="N920" s="1240" t="s">
        <v>5368</v>
      </c>
      <c r="O920" s="1241" t="s">
        <v>4835</v>
      </c>
      <c r="P920" s="910">
        <f t="shared" si="131"/>
        <v>665</v>
      </c>
      <c r="Q920" s="910">
        <f t="shared" si="132"/>
        <v>579268</v>
      </c>
      <c r="R920" s="1344">
        <f t="shared" si="133"/>
        <v>3.2</v>
      </c>
      <c r="S920" s="1344">
        <f>(1/9)*cnst_fish!$C$7*(1/cnst_fish!$C$8)^(R920-1)</f>
        <v>22.351057842400341</v>
      </c>
      <c r="T920" s="1362">
        <f t="shared" si="134"/>
        <v>1118618.4548504935</v>
      </c>
      <c r="W920" s="1612"/>
      <c r="X920" s="1612"/>
      <c r="Y920" s="1613"/>
      <c r="Z920" s="1614"/>
      <c r="AA920" s="1614"/>
      <c r="AB920" s="1615"/>
      <c r="AC920" s="1615"/>
      <c r="AD920" s="583"/>
      <c r="AE920" s="583"/>
    </row>
    <row r="921" spans="1:31" ht="14">
      <c r="A921" s="1384" t="s">
        <v>6638</v>
      </c>
      <c r="B921" s="19" t="s">
        <v>6637</v>
      </c>
      <c r="C921" s="1383">
        <v>17020</v>
      </c>
      <c r="D921" s="1236"/>
      <c r="E921" s="1236"/>
      <c r="F921" s="1344">
        <f>(1/S921)*cnst_fish!$C$6</f>
        <v>3.0136363636363641</v>
      </c>
      <c r="G921" s="1344">
        <f t="shared" si="135"/>
        <v>1</v>
      </c>
      <c r="H921" s="1344">
        <f t="shared" si="135"/>
        <v>0.367192066876738</v>
      </c>
      <c r="I921" s="1344">
        <f t="shared" si="129"/>
        <v>0</v>
      </c>
      <c r="J921" s="902">
        <f t="shared" si="130"/>
        <v>0</v>
      </c>
      <c r="L921" s="1460">
        <v>635</v>
      </c>
      <c r="M921" s="1236"/>
      <c r="N921" s="1240" t="s">
        <v>5368</v>
      </c>
      <c r="O921" s="1241" t="s">
        <v>4835</v>
      </c>
      <c r="P921" s="910">
        <f t="shared" si="131"/>
        <v>0</v>
      </c>
      <c r="Q921" s="910">
        <f t="shared" si="132"/>
        <v>635</v>
      </c>
      <c r="R921" s="1344">
        <f t="shared" si="133"/>
        <v>2</v>
      </c>
      <c r="S921" s="1344">
        <f>(1/9)*cnst_fish!$C$7*(1/cnst_fish!$C$8)^(R921-1)</f>
        <v>1.4102564102564099</v>
      </c>
      <c r="T921" s="1362">
        <f t="shared" si="134"/>
        <v>77.370636112639957</v>
      </c>
      <c r="W921" s="1612"/>
      <c r="X921" s="1612"/>
      <c r="Y921" s="1613"/>
      <c r="Z921" s="1614"/>
      <c r="AA921" s="1614"/>
      <c r="AB921" s="1615"/>
      <c r="AC921" s="1615"/>
      <c r="AD921" s="583"/>
      <c r="AE921" s="583"/>
    </row>
    <row r="922" spans="1:31" ht="14">
      <c r="A922" s="1384" t="s">
        <v>5607</v>
      </c>
      <c r="B922" s="19" t="s">
        <v>5345</v>
      </c>
      <c r="C922" s="1383">
        <v>17029</v>
      </c>
      <c r="D922" s="1236"/>
      <c r="E922" s="1236"/>
      <c r="F922" s="1344">
        <f>(1/S922)*cnst_fish!$C$6</f>
        <v>9.5299549485983348E-2</v>
      </c>
      <c r="G922" s="1344">
        <f t="shared" si="135"/>
        <v>1</v>
      </c>
      <c r="H922" s="1344">
        <f t="shared" si="135"/>
        <v>0.367192066876738</v>
      </c>
      <c r="I922" s="1344">
        <f t="shared" si="129"/>
        <v>0</v>
      </c>
      <c r="J922" s="902">
        <f t="shared" si="130"/>
        <v>0</v>
      </c>
      <c r="L922" s="1460">
        <v>476</v>
      </c>
      <c r="M922" s="1236"/>
      <c r="N922" s="1240" t="s">
        <v>5368</v>
      </c>
      <c r="O922" s="1241" t="s">
        <v>4835</v>
      </c>
      <c r="P922" s="910">
        <f t="shared" si="131"/>
        <v>0</v>
      </c>
      <c r="Q922" s="910">
        <f t="shared" si="132"/>
        <v>476</v>
      </c>
      <c r="R922" s="1344">
        <f t="shared" si="133"/>
        <v>3.5</v>
      </c>
      <c r="S922" s="1344">
        <f>(1/9)*cnst_fish!$C$7*(1/cnst_fish!$C$8)^(R922-1)</f>
        <v>44.596223412631026</v>
      </c>
      <c r="T922" s="1362">
        <f t="shared" si="134"/>
        <v>1834.0424983754453</v>
      </c>
      <c r="W922" s="1612"/>
      <c r="X922" s="1612"/>
      <c r="Y922" s="1613"/>
      <c r="Z922" s="1614"/>
      <c r="AA922" s="1614"/>
      <c r="AB922" s="1615"/>
      <c r="AC922" s="1615"/>
      <c r="AD922" s="583"/>
      <c r="AE922" s="583"/>
    </row>
    <row r="923" spans="1:31" ht="14">
      <c r="A923" s="1384" t="s">
        <v>3623</v>
      </c>
      <c r="B923" s="19" t="s">
        <v>5346</v>
      </c>
      <c r="C923" s="1383">
        <v>2713</v>
      </c>
      <c r="D923" s="1236"/>
      <c r="E923" s="1236"/>
      <c r="F923" s="1344">
        <f>(1/S923)*cnst_fish!$C$6</f>
        <v>0.19014759972289441</v>
      </c>
      <c r="G923" s="1344">
        <f t="shared" si="135"/>
        <v>1</v>
      </c>
      <c r="H923" s="1344">
        <f t="shared" si="135"/>
        <v>0.367192066876738</v>
      </c>
      <c r="I923" s="1344">
        <f t="shared" si="129"/>
        <v>0</v>
      </c>
      <c r="J923" s="902">
        <f t="shared" si="130"/>
        <v>0</v>
      </c>
      <c r="L923" s="1460">
        <v>63238</v>
      </c>
      <c r="M923" s="1236"/>
      <c r="N923" s="1240" t="s">
        <v>5368</v>
      </c>
      <c r="O923" s="1241" t="s">
        <v>4835</v>
      </c>
      <c r="P923" s="910">
        <f t="shared" si="131"/>
        <v>0</v>
      </c>
      <c r="Q923" s="910">
        <f t="shared" si="132"/>
        <v>63238</v>
      </c>
      <c r="R923" s="1344">
        <f t="shared" si="133"/>
        <v>3.2</v>
      </c>
      <c r="S923" s="1344">
        <f>(1/9)*cnst_fish!$C$7*(1/cnst_fish!$C$8)^(R923-1)</f>
        <v>22.351057842400341</v>
      </c>
      <c r="T923" s="1362">
        <f t="shared" si="134"/>
        <v>122118.24897601025</v>
      </c>
      <c r="W923" s="1612"/>
      <c r="X923" s="1612"/>
      <c r="Y923" s="1613"/>
      <c r="Z923" s="1614"/>
      <c r="AA923" s="1614"/>
      <c r="AB923" s="1615"/>
      <c r="AC923" s="1615"/>
      <c r="AD923" s="583"/>
      <c r="AE923" s="583"/>
    </row>
    <row r="924" spans="1:31" ht="14">
      <c r="A924" s="1384" t="s">
        <v>4236</v>
      </c>
      <c r="B924" s="19" t="s">
        <v>5347</v>
      </c>
      <c r="C924" s="1383">
        <v>17033</v>
      </c>
      <c r="D924" s="1236">
        <v>104405</v>
      </c>
      <c r="E924" s="1236"/>
      <c r="F924" s="1344">
        <f>(1/S924)*cnst_fish!$C$6</f>
        <v>3.9727464439222634E-2</v>
      </c>
      <c r="G924" s="1344">
        <f t="shared" si="135"/>
        <v>1</v>
      </c>
      <c r="H924" s="1344">
        <f t="shared" si="135"/>
        <v>0.367192066876738</v>
      </c>
      <c r="I924" s="1344">
        <f t="shared" si="129"/>
        <v>964992.05986114487</v>
      </c>
      <c r="J924" s="902">
        <f t="shared" si="130"/>
        <v>0</v>
      </c>
      <c r="L924" s="1460">
        <v>129634</v>
      </c>
      <c r="M924" s="1236"/>
      <c r="N924" s="1240" t="s">
        <v>5368</v>
      </c>
      <c r="O924" s="1241" t="s">
        <v>4835</v>
      </c>
      <c r="P924" s="910">
        <f t="shared" si="131"/>
        <v>104405</v>
      </c>
      <c r="Q924" s="910">
        <f t="shared" si="132"/>
        <v>129634</v>
      </c>
      <c r="R924" s="1344">
        <f t="shared" si="133"/>
        <v>3.88</v>
      </c>
      <c r="S924" s="1344">
        <f>(1/9)*cnst_fish!$C$7*(1/cnst_fish!$C$8)^(R924-1)</f>
        <v>106.97888878616692</v>
      </c>
      <c r="T924" s="1362">
        <f t="shared" si="134"/>
        <v>1198178.0631965869</v>
      </c>
      <c r="W924" s="1612"/>
      <c r="X924" s="1612"/>
      <c r="Y924" s="1613"/>
      <c r="Z924" s="1614"/>
      <c r="AA924" s="1614"/>
      <c r="AB924" s="1615"/>
      <c r="AC924" s="1615"/>
      <c r="AD924" s="583"/>
      <c r="AE924" s="583"/>
    </row>
    <row r="925" spans="1:31" ht="14">
      <c r="A925" s="1384" t="s">
        <v>3677</v>
      </c>
      <c r="B925" s="19" t="s">
        <v>3678</v>
      </c>
      <c r="C925" s="1383">
        <v>2714</v>
      </c>
      <c r="D925" s="1236">
        <v>11139</v>
      </c>
      <c r="E925" s="1236"/>
      <c r="F925" s="1344">
        <f>(1/S925)*cnst_fish!$C$6</f>
        <v>9.3130266898023228E-2</v>
      </c>
      <c r="G925" s="1344">
        <f t="shared" si="135"/>
        <v>1</v>
      </c>
      <c r="H925" s="1344">
        <f t="shared" si="135"/>
        <v>0.367192066876738</v>
      </c>
      <c r="I925" s="1344">
        <f t="shared" si="129"/>
        <v>43918.61603294516</v>
      </c>
      <c r="J925" s="902">
        <f t="shared" si="130"/>
        <v>0</v>
      </c>
      <c r="L925" s="1460">
        <v>11139</v>
      </c>
      <c r="M925" s="1236"/>
      <c r="N925" s="1240" t="s">
        <v>5368</v>
      </c>
      <c r="O925" s="1241" t="s">
        <v>4835</v>
      </c>
      <c r="P925" s="910">
        <f t="shared" si="131"/>
        <v>11139</v>
      </c>
      <c r="Q925" s="910">
        <f t="shared" si="132"/>
        <v>11139</v>
      </c>
      <c r="R925" s="1344">
        <f t="shared" si="133"/>
        <v>3.51</v>
      </c>
      <c r="S925" s="1344">
        <f>(1/9)*cnst_fish!$C$7*(1/cnst_fish!$C$8)^(R925-1)</f>
        <v>45.635002900332182</v>
      </c>
      <c r="T925" s="1362">
        <f t="shared" si="134"/>
        <v>43918.61603294516</v>
      </c>
      <c r="W925" s="1612"/>
      <c r="X925" s="1612"/>
      <c r="Y925" s="1613"/>
      <c r="Z925" s="1614"/>
      <c r="AA925" s="1614"/>
      <c r="AB925" s="1615"/>
      <c r="AC925" s="1615"/>
      <c r="AD925" s="583"/>
      <c r="AE925" s="583"/>
    </row>
    <row r="926" spans="1:31" ht="14">
      <c r="A926" s="1384" t="s">
        <v>2940</v>
      </c>
      <c r="B926" s="19" t="s">
        <v>6678</v>
      </c>
      <c r="C926" s="1383">
        <v>2715</v>
      </c>
      <c r="D926" s="1236"/>
      <c r="E926" s="1236"/>
      <c r="F926" s="1344">
        <f>(1/S926)*cnst_fish!$C$6</f>
        <v>0.19014759972289441</v>
      </c>
      <c r="G926" s="1344">
        <f t="shared" si="135"/>
        <v>1</v>
      </c>
      <c r="H926" s="1344">
        <f t="shared" si="135"/>
        <v>0.367192066876738</v>
      </c>
      <c r="I926" s="1344">
        <f t="shared" si="129"/>
        <v>0</v>
      </c>
      <c r="J926" s="902">
        <f t="shared" si="130"/>
        <v>0</v>
      </c>
      <c r="L926" s="1460">
        <v>2587</v>
      </c>
      <c r="M926" s="1236"/>
      <c r="N926" s="1240" t="s">
        <v>5368</v>
      </c>
      <c r="O926" s="1241" t="s">
        <v>4835</v>
      </c>
      <c r="P926" s="910">
        <f t="shared" si="131"/>
        <v>0</v>
      </c>
      <c r="Q926" s="910">
        <f t="shared" si="132"/>
        <v>2587</v>
      </c>
      <c r="R926" s="1344">
        <f t="shared" si="133"/>
        <v>3.2</v>
      </c>
      <c r="S926" s="1344">
        <f>(1/9)*cnst_fish!$C$7*(1/cnst_fish!$C$8)^(R926-1)</f>
        <v>22.351057842400341</v>
      </c>
      <c r="T926" s="1362">
        <f t="shared" si="134"/>
        <v>4995.7289936579036</v>
      </c>
      <c r="W926" s="1612"/>
      <c r="X926" s="1612"/>
      <c r="Y926" s="1613"/>
      <c r="Z926" s="1614"/>
      <c r="AA926" s="1614"/>
      <c r="AB926" s="1615"/>
      <c r="AC926" s="1615"/>
      <c r="AD926" s="583"/>
      <c r="AE926" s="583"/>
    </row>
    <row r="927" spans="1:31" ht="14">
      <c r="A927" s="1384" t="s">
        <v>968</v>
      </c>
      <c r="B927" s="19" t="s">
        <v>5048</v>
      </c>
      <c r="C927" s="1383">
        <v>2712</v>
      </c>
      <c r="D927" s="1236"/>
      <c r="E927" s="1236"/>
      <c r="F927" s="1344">
        <f>(1/S927)*cnst_fish!$C$6</f>
        <v>9.5299549485983348E-2</v>
      </c>
      <c r="G927" s="1344">
        <f t="shared" si="135"/>
        <v>1</v>
      </c>
      <c r="H927" s="1344">
        <f t="shared" si="135"/>
        <v>0.367192066876738</v>
      </c>
      <c r="I927" s="1344">
        <f t="shared" si="129"/>
        <v>0</v>
      </c>
      <c r="J927" s="902">
        <f t="shared" si="130"/>
        <v>0</v>
      </c>
      <c r="L927" s="1460">
        <v>290723</v>
      </c>
      <c r="M927" s="1236"/>
      <c r="N927" s="1240" t="s">
        <v>5368</v>
      </c>
      <c r="O927" s="1241" t="s">
        <v>4835</v>
      </c>
      <c r="P927" s="910">
        <f t="shared" si="131"/>
        <v>0</v>
      </c>
      <c r="Q927" s="910">
        <f t="shared" si="132"/>
        <v>290723</v>
      </c>
      <c r="R927" s="1344">
        <f t="shared" si="133"/>
        <v>3.5</v>
      </c>
      <c r="S927" s="1344">
        <f>(1/9)*cnst_fish!$C$7*(1/cnst_fish!$C$8)^(R927-1)</f>
        <v>44.596223412631026</v>
      </c>
      <c r="T927" s="1362">
        <f t="shared" si="134"/>
        <v>1120164.5740655558</v>
      </c>
      <c r="W927" s="1612"/>
      <c r="X927" s="1612"/>
      <c r="Y927" s="1613"/>
      <c r="Z927" s="1614"/>
      <c r="AA927" s="1614"/>
      <c r="AB927" s="1615"/>
      <c r="AC927" s="1615"/>
      <c r="AD927" s="583"/>
      <c r="AE927" s="583"/>
    </row>
    <row r="928" spans="1:31" ht="14">
      <c r="A928" s="1384" t="s">
        <v>6584</v>
      </c>
      <c r="B928" s="19" t="s">
        <v>6583</v>
      </c>
      <c r="C928" s="1383">
        <v>17019</v>
      </c>
      <c r="D928" s="1236"/>
      <c r="E928" s="1236"/>
      <c r="F928" s="1344">
        <f>(1/S928)*cnst_fish!$C$6</f>
        <v>3.0136363636363641</v>
      </c>
      <c r="G928" s="1344">
        <f t="shared" ref="G928:H947" si="136">G$7</f>
        <v>1</v>
      </c>
      <c r="H928" s="1344">
        <f t="shared" si="136"/>
        <v>0.367192066876738</v>
      </c>
      <c r="I928" s="1344">
        <f t="shared" si="129"/>
        <v>0</v>
      </c>
      <c r="J928" s="902">
        <f t="shared" si="130"/>
        <v>0</v>
      </c>
      <c r="L928" s="1460">
        <v>128</v>
      </c>
      <c r="M928" s="1236"/>
      <c r="N928" s="1240" t="s">
        <v>5368</v>
      </c>
      <c r="O928" s="1241" t="s">
        <v>4835</v>
      </c>
      <c r="P928" s="910">
        <f t="shared" si="131"/>
        <v>0</v>
      </c>
      <c r="Q928" s="910">
        <f t="shared" si="132"/>
        <v>128</v>
      </c>
      <c r="R928" s="1344">
        <f t="shared" si="133"/>
        <v>2</v>
      </c>
      <c r="S928" s="1344">
        <f>(1/9)*cnst_fish!$C$7*(1/cnst_fish!$C$8)^(R928-1)</f>
        <v>1.4102564102564099</v>
      </c>
      <c r="T928" s="1362">
        <f t="shared" si="134"/>
        <v>15.595970743965218</v>
      </c>
      <c r="W928" s="1612"/>
      <c r="X928" s="1612"/>
      <c r="Y928" s="1613"/>
      <c r="Z928" s="1614"/>
      <c r="AA928" s="1614"/>
      <c r="AB928" s="1615"/>
      <c r="AC928" s="1615"/>
      <c r="AD928" s="583"/>
      <c r="AE928" s="583"/>
    </row>
    <row r="929" spans="1:31" ht="14">
      <c r="A929" s="1384" t="s">
        <v>5298</v>
      </c>
      <c r="B929" s="19" t="s">
        <v>2359</v>
      </c>
      <c r="C929" s="1383">
        <v>2570</v>
      </c>
      <c r="D929" s="1236"/>
      <c r="E929" s="1236"/>
      <c r="F929" s="1344">
        <f>(1/S929)*cnst_fish!$C$6</f>
        <v>1.1196720767792065E-2</v>
      </c>
      <c r="G929" s="1344">
        <f t="shared" si="136"/>
        <v>1</v>
      </c>
      <c r="H929" s="1344">
        <f t="shared" si="136"/>
        <v>0.367192066876738</v>
      </c>
      <c r="I929" s="1344">
        <f t="shared" si="129"/>
        <v>0</v>
      </c>
      <c r="J929" s="902">
        <f t="shared" si="130"/>
        <v>0</v>
      </c>
      <c r="L929" s="1460">
        <v>11686</v>
      </c>
      <c r="M929" s="1236"/>
      <c r="N929" s="1240" t="s">
        <v>1806</v>
      </c>
      <c r="O929" s="1241" t="s">
        <v>4841</v>
      </c>
      <c r="P929" s="910">
        <f t="shared" si="131"/>
        <v>0</v>
      </c>
      <c r="Q929" s="910">
        <f t="shared" si="132"/>
        <v>11686</v>
      </c>
      <c r="R929" s="1344">
        <f t="shared" si="133"/>
        <v>4.43</v>
      </c>
      <c r="S929" s="1344">
        <f>(1/9)*cnst_fish!$C$7*(1/cnst_fish!$C$8)^(R929-1)</f>
        <v>379.57542106661629</v>
      </c>
      <c r="T929" s="1362">
        <f t="shared" si="134"/>
        <v>383237.78743012488</v>
      </c>
      <c r="W929" s="1612"/>
      <c r="X929" s="1612"/>
      <c r="Y929" s="1613"/>
      <c r="Z929" s="1614"/>
      <c r="AA929" s="1614"/>
      <c r="AB929" s="1615"/>
      <c r="AC929" s="1615"/>
      <c r="AD929" s="583"/>
      <c r="AE929" s="583"/>
    </row>
    <row r="930" spans="1:31" ht="14">
      <c r="A930" s="1384" t="s">
        <v>6408</v>
      </c>
      <c r="B930" s="19" t="s">
        <v>6407</v>
      </c>
      <c r="C930" s="1383">
        <v>19543</v>
      </c>
      <c r="D930" s="1236"/>
      <c r="E930" s="1236"/>
      <c r="F930" s="1344">
        <f>(1/S930)*cnst_fish!$C$6</f>
        <v>0.15103960722494611</v>
      </c>
      <c r="G930" s="1344">
        <f t="shared" si="136"/>
        <v>1</v>
      </c>
      <c r="H930" s="1344">
        <f t="shared" si="136"/>
        <v>0.367192066876738</v>
      </c>
      <c r="I930" s="1344">
        <f t="shared" si="129"/>
        <v>0</v>
      </c>
      <c r="J930" s="902">
        <f t="shared" si="130"/>
        <v>0</v>
      </c>
      <c r="L930" s="1460"/>
      <c r="M930" s="1236">
        <v>6</v>
      </c>
      <c r="N930" s="1240" t="s">
        <v>1806</v>
      </c>
      <c r="O930" s="1241" t="s">
        <v>4845</v>
      </c>
      <c r="P930" s="910">
        <f t="shared" si="131"/>
        <v>0</v>
      </c>
      <c r="Q930" s="910">
        <f t="shared" si="132"/>
        <v>6</v>
      </c>
      <c r="R930" s="1344">
        <f t="shared" si="133"/>
        <v>3.3</v>
      </c>
      <c r="S930" s="1344">
        <f>(1/9)*cnst_fish!$C$7*(1/cnst_fish!$C$8)^(R930-1)</f>
        <v>28.138314698279075</v>
      </c>
      <c r="T930" s="1362">
        <f t="shared" si="134"/>
        <v>14.586587198808271</v>
      </c>
      <c r="W930" s="1612"/>
      <c r="X930" s="1612"/>
      <c r="Y930" s="1613"/>
      <c r="Z930" s="1614"/>
      <c r="AA930" s="1614"/>
      <c r="AB930" s="1615"/>
      <c r="AC930" s="1615"/>
      <c r="AD930" s="583"/>
      <c r="AE930" s="583"/>
    </row>
    <row r="931" spans="1:31" ht="14">
      <c r="A931" s="1384" t="s">
        <v>6690</v>
      </c>
      <c r="B931" s="19" t="s">
        <v>6689</v>
      </c>
      <c r="C931" s="1383">
        <v>13243</v>
      </c>
      <c r="D931" s="1236"/>
      <c r="E931" s="1236"/>
      <c r="F931" s="1344">
        <f>(1/S931)*cnst_fish!$C$6</f>
        <v>3.0136363636363642E-2</v>
      </c>
      <c r="G931" s="1344">
        <f t="shared" si="136"/>
        <v>1</v>
      </c>
      <c r="H931" s="1344">
        <f t="shared" si="136"/>
        <v>0.367192066876738</v>
      </c>
      <c r="I931" s="1344">
        <f t="shared" si="129"/>
        <v>0</v>
      </c>
      <c r="J931" s="902">
        <f t="shared" si="130"/>
        <v>0</v>
      </c>
      <c r="L931" s="1460"/>
      <c r="M931" s="1236">
        <v>547</v>
      </c>
      <c r="N931" s="1240" t="s">
        <v>1806</v>
      </c>
      <c r="O931" s="1241" t="s">
        <v>4845</v>
      </c>
      <c r="P931" s="910">
        <f t="shared" si="131"/>
        <v>0</v>
      </c>
      <c r="Q931" s="910">
        <f t="shared" si="132"/>
        <v>547</v>
      </c>
      <c r="R931" s="1344">
        <f t="shared" si="133"/>
        <v>4</v>
      </c>
      <c r="S931" s="1344">
        <f>(1/9)*cnst_fish!$C$7*(1/cnst_fish!$C$8)^(R931-1)</f>
        <v>141.02564102564099</v>
      </c>
      <c r="T931" s="1362">
        <f t="shared" si="134"/>
        <v>6664.840622616387</v>
      </c>
      <c r="W931" s="1612"/>
      <c r="X931" s="1612"/>
      <c r="Y931" s="1613"/>
      <c r="Z931" s="1614"/>
      <c r="AA931" s="1614"/>
      <c r="AB931" s="1615"/>
      <c r="AC931" s="1615"/>
      <c r="AD931" s="583"/>
      <c r="AE931" s="583"/>
    </row>
    <row r="932" spans="1:31" ht="14">
      <c r="A932" s="1384" t="s">
        <v>4646</v>
      </c>
      <c r="B932" s="19" t="s">
        <v>2360</v>
      </c>
      <c r="C932" s="1383">
        <v>3380</v>
      </c>
      <c r="D932" s="1236">
        <v>8604</v>
      </c>
      <c r="E932" s="1236"/>
      <c r="F932" s="1344">
        <f>(1/S932)*cnst_fish!$C$6</f>
        <v>9.5299549485983424E-3</v>
      </c>
      <c r="G932" s="1344">
        <f t="shared" si="136"/>
        <v>1</v>
      </c>
      <c r="H932" s="1344">
        <f t="shared" si="136"/>
        <v>0.367192066876738</v>
      </c>
      <c r="I932" s="1344">
        <f t="shared" si="129"/>
        <v>331514.74067273783</v>
      </c>
      <c r="J932" s="902">
        <f t="shared" si="130"/>
        <v>0</v>
      </c>
      <c r="L932" s="1460">
        <v>8837</v>
      </c>
      <c r="M932" s="1236"/>
      <c r="N932" s="1240" t="s">
        <v>1806</v>
      </c>
      <c r="O932" s="1241" t="s">
        <v>4841</v>
      </c>
      <c r="P932" s="910">
        <f t="shared" si="131"/>
        <v>8604</v>
      </c>
      <c r="Q932" s="910">
        <f t="shared" si="132"/>
        <v>8837</v>
      </c>
      <c r="R932" s="1344">
        <f t="shared" si="133"/>
        <v>4.5</v>
      </c>
      <c r="S932" s="1344">
        <f>(1/9)*cnst_fish!$C$7*(1/cnst_fish!$C$8)^(R932-1)</f>
        <v>445.96223412630997</v>
      </c>
      <c r="T932" s="1362">
        <f t="shared" si="134"/>
        <v>340492.3016416764</v>
      </c>
      <c r="W932" s="1612"/>
      <c r="X932" s="1612"/>
      <c r="Y932" s="1613"/>
      <c r="Z932" s="1614"/>
      <c r="AA932" s="1614"/>
      <c r="AB932" s="1615"/>
      <c r="AC932" s="1615"/>
      <c r="AD932" s="583"/>
      <c r="AE932" s="583"/>
    </row>
    <row r="933" spans="1:31" ht="14">
      <c r="A933" s="1384" t="s">
        <v>118</v>
      </c>
      <c r="B933" s="19" t="s">
        <v>3575</v>
      </c>
      <c r="C933" s="1383">
        <v>2571</v>
      </c>
      <c r="D933" s="1236"/>
      <c r="E933" s="1236"/>
      <c r="F933" s="1344">
        <f>(1/S933)*cnst_fish!$C$6</f>
        <v>9.979087888316248E-3</v>
      </c>
      <c r="G933" s="1344">
        <f t="shared" si="136"/>
        <v>1</v>
      </c>
      <c r="H933" s="1344">
        <f t="shared" si="136"/>
        <v>0.367192066876738</v>
      </c>
      <c r="I933" s="1344">
        <f t="shared" si="129"/>
        <v>0</v>
      </c>
      <c r="J933" s="902">
        <f t="shared" si="130"/>
        <v>0</v>
      </c>
      <c r="L933" s="1460">
        <v>159</v>
      </c>
      <c r="M933" s="1236"/>
      <c r="N933" s="1240" t="s">
        <v>1806</v>
      </c>
      <c r="O933" s="1241" t="s">
        <v>4841</v>
      </c>
      <c r="P933" s="910">
        <f t="shared" si="131"/>
        <v>0</v>
      </c>
      <c r="Q933" s="910">
        <f t="shared" si="132"/>
        <v>159</v>
      </c>
      <c r="R933" s="1344">
        <f t="shared" si="133"/>
        <v>4.4800000000000004</v>
      </c>
      <c r="S933" s="1344">
        <f>(1/9)*cnst_fish!$C$7*(1/cnst_fish!$C$8)^(R933-1)</f>
        <v>425.89062723618264</v>
      </c>
      <c r="T933" s="1362">
        <f t="shared" si="134"/>
        <v>5850.5886797287521</v>
      </c>
      <c r="W933" s="1612"/>
      <c r="X933" s="1612"/>
      <c r="Y933" s="1613"/>
      <c r="Z933" s="1614"/>
      <c r="AA933" s="1614"/>
      <c r="AB933" s="1615"/>
      <c r="AC933" s="1615"/>
      <c r="AD933" s="583"/>
      <c r="AE933" s="583"/>
    </row>
    <row r="934" spans="1:31" ht="14">
      <c r="A934" s="1384" t="s">
        <v>3706</v>
      </c>
      <c r="B934" s="19" t="s">
        <v>3707</v>
      </c>
      <c r="C934" s="1383">
        <v>19058</v>
      </c>
      <c r="D934" s="1236">
        <v>3</v>
      </c>
      <c r="E934" s="1236"/>
      <c r="F934" s="1344">
        <f>(1/S934)*cnst_fish!$C$6</f>
        <v>9.5299549485983424E-3</v>
      </c>
      <c r="G934" s="1344">
        <f t="shared" si="136"/>
        <v>1</v>
      </c>
      <c r="H934" s="1344">
        <f t="shared" si="136"/>
        <v>0.367192066876738</v>
      </c>
      <c r="I934" s="1344">
        <f t="shared" si="129"/>
        <v>115.59091376315823</v>
      </c>
      <c r="J934" s="902">
        <f t="shared" si="130"/>
        <v>0</v>
      </c>
      <c r="L934" s="1460">
        <v>2268</v>
      </c>
      <c r="M934" s="1236"/>
      <c r="N934" s="1240" t="s">
        <v>1806</v>
      </c>
      <c r="O934" s="1241" t="s">
        <v>4841</v>
      </c>
      <c r="P934" s="910">
        <f t="shared" si="131"/>
        <v>3</v>
      </c>
      <c r="Q934" s="910">
        <f t="shared" si="132"/>
        <v>2268</v>
      </c>
      <c r="R934" s="1344">
        <f t="shared" si="133"/>
        <v>4.5</v>
      </c>
      <c r="S934" s="1344">
        <f>(1/9)*cnst_fish!$C$7*(1/cnst_fish!$C$8)^(R934-1)</f>
        <v>445.96223412630997</v>
      </c>
      <c r="T934" s="1362">
        <f t="shared" si="134"/>
        <v>87386.730804947627</v>
      </c>
      <c r="W934" s="1612"/>
      <c r="X934" s="1612"/>
      <c r="Y934" s="1613"/>
      <c r="Z934" s="1614"/>
      <c r="AA934" s="1614"/>
      <c r="AB934" s="1615"/>
      <c r="AC934" s="1615"/>
      <c r="AD934" s="583"/>
      <c r="AE934" s="583"/>
    </row>
    <row r="935" spans="1:31" ht="14">
      <c r="A935" s="1384" t="s">
        <v>960</v>
      </c>
      <c r="B935" s="19" t="s">
        <v>3576</v>
      </c>
      <c r="C935" s="1383">
        <v>3379</v>
      </c>
      <c r="D935" s="1236"/>
      <c r="E935" s="1236"/>
      <c r="F935" s="1344">
        <f>(1/S935)*cnst_fish!$C$6</f>
        <v>1.0692785320993655E-2</v>
      </c>
      <c r="G935" s="1344">
        <f t="shared" si="136"/>
        <v>1</v>
      </c>
      <c r="H935" s="1344">
        <f t="shared" si="136"/>
        <v>0.367192066876738</v>
      </c>
      <c r="I935" s="1344">
        <f t="shared" si="129"/>
        <v>0</v>
      </c>
      <c r="J935" s="902">
        <f t="shared" si="130"/>
        <v>0</v>
      </c>
      <c r="L935" s="1460">
        <v>25331</v>
      </c>
      <c r="M935" s="1236"/>
      <c r="N935" s="1240" t="s">
        <v>1806</v>
      </c>
      <c r="O935" s="1241" t="s">
        <v>4841</v>
      </c>
      <c r="P935" s="910">
        <f t="shared" si="131"/>
        <v>0</v>
      </c>
      <c r="Q935" s="910">
        <f t="shared" si="132"/>
        <v>25331</v>
      </c>
      <c r="R935" s="1344">
        <f t="shared" si="133"/>
        <v>4.45</v>
      </c>
      <c r="S935" s="1344">
        <f>(1/9)*cnst_fish!$C$7*(1/cnst_fish!$C$8)^(R935-1)</f>
        <v>397.46425953729499</v>
      </c>
      <c r="T935" s="1362">
        <f t="shared" si="134"/>
        <v>869870.84906613454</v>
      </c>
      <c r="W935" s="1612"/>
      <c r="X935" s="1612"/>
      <c r="Y935" s="1613"/>
      <c r="Z935" s="1614"/>
      <c r="AA935" s="1614"/>
      <c r="AB935" s="1615"/>
      <c r="AC935" s="1615"/>
      <c r="AD935" s="583"/>
      <c r="AE935" s="583"/>
    </row>
    <row r="936" spans="1:31" ht="14">
      <c r="A936" s="1384" t="s">
        <v>2055</v>
      </c>
      <c r="B936" s="19" t="s">
        <v>2056</v>
      </c>
      <c r="C936" s="1383">
        <v>3378</v>
      </c>
      <c r="D936" s="1236"/>
      <c r="E936" s="1236"/>
      <c r="F936" s="1344">
        <f>(1/S936)*cnst_fish!$C$6</f>
        <v>9.979087888316248E-3</v>
      </c>
      <c r="G936" s="1344">
        <f t="shared" si="136"/>
        <v>1</v>
      </c>
      <c r="H936" s="1344">
        <f t="shared" si="136"/>
        <v>0.367192066876738</v>
      </c>
      <c r="I936" s="1344">
        <f t="shared" si="129"/>
        <v>0</v>
      </c>
      <c r="J936" s="902">
        <f t="shared" si="130"/>
        <v>0</v>
      </c>
      <c r="L936" s="1460">
        <v>35748</v>
      </c>
      <c r="M936" s="1236"/>
      <c r="N936" s="1240" t="s">
        <v>1806</v>
      </c>
      <c r="O936" s="1241" t="s">
        <v>4841</v>
      </c>
      <c r="P936" s="910">
        <f t="shared" si="131"/>
        <v>0</v>
      </c>
      <c r="Q936" s="910">
        <f t="shared" si="132"/>
        <v>35748</v>
      </c>
      <c r="R936" s="1344">
        <f t="shared" si="133"/>
        <v>4.4800000000000004</v>
      </c>
      <c r="S936" s="1344">
        <f>(1/9)*cnst_fish!$C$7*(1/cnst_fish!$C$8)^(R936-1)</f>
        <v>425.89062723618264</v>
      </c>
      <c r="T936" s="1362">
        <f t="shared" si="134"/>
        <v>1315388.9567480721</v>
      </c>
      <c r="W936" s="1612"/>
      <c r="X936" s="1612"/>
      <c r="Y936" s="1613"/>
      <c r="Z936" s="1614"/>
      <c r="AA936" s="1614"/>
      <c r="AB936" s="1615"/>
      <c r="AC936" s="1615"/>
      <c r="AD936" s="583"/>
      <c r="AE936" s="583"/>
    </row>
    <row r="937" spans="1:31" ht="14">
      <c r="A937" s="1384" t="s">
        <v>478</v>
      </c>
      <c r="B937" s="19" t="s">
        <v>1093</v>
      </c>
      <c r="C937" s="1383">
        <v>3381</v>
      </c>
      <c r="D937" s="1236"/>
      <c r="E937" s="1236"/>
      <c r="F937" s="1344">
        <f>(1/S937)*cnst_fish!$C$6</f>
        <v>9.5299549485983424E-3</v>
      </c>
      <c r="G937" s="1344">
        <f t="shared" si="136"/>
        <v>1</v>
      </c>
      <c r="H937" s="1344">
        <f t="shared" si="136"/>
        <v>0.367192066876738</v>
      </c>
      <c r="I937" s="1344">
        <f t="shared" si="129"/>
        <v>0</v>
      </c>
      <c r="J937" s="902">
        <f t="shared" si="130"/>
        <v>0</v>
      </c>
      <c r="L937" s="1460">
        <v>72</v>
      </c>
      <c r="M937" s="1236"/>
      <c r="N937" s="1240" t="s">
        <v>1806</v>
      </c>
      <c r="O937" s="1241" t="s">
        <v>4841</v>
      </c>
      <c r="P937" s="910">
        <f t="shared" si="131"/>
        <v>0</v>
      </c>
      <c r="Q937" s="910">
        <f t="shared" si="132"/>
        <v>72</v>
      </c>
      <c r="R937" s="1344">
        <f t="shared" si="133"/>
        <v>4.5</v>
      </c>
      <c r="S937" s="1344">
        <f>(1/9)*cnst_fish!$C$7*(1/cnst_fish!$C$8)^(R937-1)</f>
        <v>445.96223412630997</v>
      </c>
      <c r="T937" s="1362">
        <f t="shared" si="134"/>
        <v>2774.1819303157972</v>
      </c>
      <c r="W937" s="1612"/>
      <c r="X937" s="1612"/>
      <c r="Y937" s="1613"/>
      <c r="Z937" s="1614"/>
      <c r="AA937" s="1614"/>
      <c r="AB937" s="1615"/>
      <c r="AC937" s="1615"/>
      <c r="AD937" s="583"/>
      <c r="AE937" s="583"/>
    </row>
    <row r="938" spans="1:31" ht="14">
      <c r="A938" s="1384" t="s">
        <v>1290</v>
      </c>
      <c r="B938" s="19" t="s">
        <v>1094</v>
      </c>
      <c r="C938" s="1383">
        <v>2572</v>
      </c>
      <c r="D938" s="1236"/>
      <c r="E938" s="1236"/>
      <c r="F938" s="1344">
        <f>(1/S938)*cnst_fish!$C$6</f>
        <v>1.0449387811364928E-2</v>
      </c>
      <c r="G938" s="1344">
        <f t="shared" si="136"/>
        <v>1</v>
      </c>
      <c r="H938" s="1344">
        <f t="shared" si="136"/>
        <v>0.367192066876738</v>
      </c>
      <c r="I938" s="1344">
        <f t="shared" si="129"/>
        <v>0</v>
      </c>
      <c r="J938" s="902">
        <f t="shared" si="130"/>
        <v>0</v>
      </c>
      <c r="L938" s="1460">
        <v>8755</v>
      </c>
      <c r="M938" s="1236"/>
      <c r="N938" s="1240" t="s">
        <v>1806</v>
      </c>
      <c r="O938" s="1241" t="s">
        <v>4841</v>
      </c>
      <c r="P938" s="910">
        <f t="shared" si="131"/>
        <v>0</v>
      </c>
      <c r="Q938" s="910">
        <f t="shared" si="132"/>
        <v>8755</v>
      </c>
      <c r="R938" s="1344">
        <f t="shared" si="133"/>
        <v>4.46</v>
      </c>
      <c r="S938" s="1344">
        <f>(1/9)*cnst_fish!$C$7*(1/cnst_fish!$C$8)^(R938-1)</f>
        <v>406.72239146657279</v>
      </c>
      <c r="T938" s="1362">
        <f t="shared" si="134"/>
        <v>307651.18526938086</v>
      </c>
      <c r="W938" s="1612"/>
      <c r="X938" s="1612"/>
      <c r="Y938" s="1613"/>
      <c r="Z938" s="1614"/>
      <c r="AA938" s="1614"/>
      <c r="AB938" s="1615"/>
      <c r="AC938" s="1615"/>
      <c r="AD938" s="583"/>
      <c r="AE938" s="583"/>
    </row>
    <row r="939" spans="1:31" ht="14">
      <c r="A939" s="1384" t="s">
        <v>1595</v>
      </c>
      <c r="B939" s="19" t="s">
        <v>1095</v>
      </c>
      <c r="C939" s="1383">
        <v>2302</v>
      </c>
      <c r="D939" s="1236">
        <v>1206</v>
      </c>
      <c r="E939" s="1236"/>
      <c r="F939" s="1344">
        <f>(1/S939)*cnst_fish!$C$6</f>
        <v>0.10692785320993656</v>
      </c>
      <c r="G939" s="1344">
        <f t="shared" si="136"/>
        <v>1</v>
      </c>
      <c r="H939" s="1344">
        <f t="shared" si="136"/>
        <v>0.367192066876738</v>
      </c>
      <c r="I939" s="1344">
        <f t="shared" si="129"/>
        <v>4141.4245153122974</v>
      </c>
      <c r="J939" s="902">
        <f t="shared" si="130"/>
        <v>0</v>
      </c>
      <c r="L939" s="1460">
        <v>1206</v>
      </c>
      <c r="M939" s="1236"/>
      <c r="N939" s="1240" t="s">
        <v>1806</v>
      </c>
      <c r="O939" s="1241" t="s">
        <v>4841</v>
      </c>
      <c r="P939" s="910">
        <f t="shared" si="131"/>
        <v>1206</v>
      </c>
      <c r="Q939" s="910">
        <f t="shared" si="132"/>
        <v>1206</v>
      </c>
      <c r="R939" s="1344">
        <f t="shared" si="133"/>
        <v>3.45</v>
      </c>
      <c r="S939" s="1344">
        <f>(1/9)*cnst_fish!$C$7*(1/cnst_fish!$C$8)^(R939-1)</f>
        <v>39.746425953729492</v>
      </c>
      <c r="T939" s="1362">
        <f t="shared" si="134"/>
        <v>4141.4245153122974</v>
      </c>
      <c r="W939" s="1612"/>
      <c r="X939" s="1612"/>
      <c r="Y939" s="1613"/>
      <c r="Z939" s="1614"/>
      <c r="AA939" s="1614"/>
      <c r="AB939" s="1615"/>
      <c r="AC939" s="1615"/>
      <c r="AD939" s="583"/>
      <c r="AE939" s="583"/>
    </row>
    <row r="940" spans="1:31" ht="14">
      <c r="A940" s="1384" t="s">
        <v>6692</v>
      </c>
      <c r="B940" s="19" t="s">
        <v>6691</v>
      </c>
      <c r="C940" s="1383">
        <v>13251</v>
      </c>
      <c r="D940" s="1236"/>
      <c r="E940" s="1236"/>
      <c r="F940" s="1344">
        <f>(1/S940)*cnst_fish!$C$6</f>
        <v>3.0136363636363641</v>
      </c>
      <c r="G940" s="1344">
        <f t="shared" si="136"/>
        <v>1</v>
      </c>
      <c r="H940" s="1344">
        <f t="shared" si="136"/>
        <v>0.367192066876738</v>
      </c>
      <c r="I940" s="1344">
        <f t="shared" si="129"/>
        <v>0</v>
      </c>
      <c r="J940" s="902">
        <f t="shared" si="130"/>
        <v>0</v>
      </c>
      <c r="L940" s="1460"/>
      <c r="M940" s="1236">
        <v>564</v>
      </c>
      <c r="N940" s="1240" t="s">
        <v>1806</v>
      </c>
      <c r="O940" s="1241" t="s">
        <v>4845</v>
      </c>
      <c r="P940" s="910">
        <f t="shared" si="131"/>
        <v>0</v>
      </c>
      <c r="Q940" s="910">
        <f t="shared" si="132"/>
        <v>564</v>
      </c>
      <c r="R940" s="1344">
        <f t="shared" si="133"/>
        <v>2</v>
      </c>
      <c r="S940" s="1344">
        <f>(1/9)*cnst_fish!$C$7*(1/cnst_fish!$C$8)^(R940-1)</f>
        <v>1.4102564102564099</v>
      </c>
      <c r="T940" s="1362">
        <f t="shared" si="134"/>
        <v>68.719746090596743</v>
      </c>
      <c r="W940" s="1612"/>
      <c r="X940" s="1612"/>
      <c r="Y940" s="1613"/>
      <c r="Z940" s="1614"/>
      <c r="AA940" s="1614"/>
      <c r="AB940" s="1615"/>
      <c r="AC940" s="1615"/>
      <c r="AD940" s="583"/>
      <c r="AE940" s="583"/>
    </row>
    <row r="941" spans="1:31" ht="14">
      <c r="A941" s="1384" t="s">
        <v>2669</v>
      </c>
      <c r="B941" s="19" t="s">
        <v>316</v>
      </c>
      <c r="C941" s="1383">
        <v>3012</v>
      </c>
      <c r="D941" s="1236"/>
      <c r="E941" s="1236">
        <v>6</v>
      </c>
      <c r="F941" s="1344">
        <f>(1/S941)*cnst_fish!$C$6</f>
        <v>2.8124890974018386E-2</v>
      </c>
      <c r="G941" s="1344">
        <f t="shared" si="136"/>
        <v>1</v>
      </c>
      <c r="H941" s="1344">
        <f t="shared" si="136"/>
        <v>0.367192066876738</v>
      </c>
      <c r="I941" s="1344">
        <f t="shared" si="129"/>
        <v>0</v>
      </c>
      <c r="J941" s="902">
        <f t="shared" si="130"/>
        <v>78.334611262873437</v>
      </c>
      <c r="L941" s="1460">
        <v>189</v>
      </c>
      <c r="M941" s="1236">
        <v>3039</v>
      </c>
      <c r="N941" s="1240" t="s">
        <v>1806</v>
      </c>
      <c r="O941" s="1241" t="s">
        <v>4845</v>
      </c>
      <c r="P941" s="910">
        <f t="shared" si="131"/>
        <v>6</v>
      </c>
      <c r="Q941" s="910">
        <f t="shared" si="132"/>
        <v>3228</v>
      </c>
      <c r="R941" s="1344">
        <f t="shared" si="133"/>
        <v>4.03</v>
      </c>
      <c r="S941" s="1344">
        <f>(1/9)*cnst_fish!$C$7*(1/cnst_fish!$C$8)^(R941-1)</f>
        <v>151.11169689248311</v>
      </c>
      <c r="T941" s="1362">
        <f t="shared" si="134"/>
        <v>42144.020859425909</v>
      </c>
      <c r="W941" s="1612"/>
      <c r="X941" s="1612"/>
      <c r="Y941" s="1613"/>
      <c r="Z941" s="1614"/>
      <c r="AA941" s="1614"/>
      <c r="AB941" s="1615"/>
      <c r="AC941" s="1615"/>
      <c r="AD941" s="583"/>
      <c r="AE941" s="583"/>
    </row>
    <row r="942" spans="1:31" ht="14">
      <c r="A942" s="1384" t="s">
        <v>614</v>
      </c>
      <c r="B942" s="19" t="s">
        <v>3657</v>
      </c>
      <c r="C942" s="1383">
        <v>3621</v>
      </c>
      <c r="D942" s="1236"/>
      <c r="E942" s="1236"/>
      <c r="F942" s="1344">
        <f>(1/S942)*cnst_fish!$C$6</f>
        <v>1.5103960722494616</v>
      </c>
      <c r="G942" s="1344">
        <f t="shared" si="136"/>
        <v>1</v>
      </c>
      <c r="H942" s="1344">
        <f t="shared" si="136"/>
        <v>0.367192066876738</v>
      </c>
      <c r="I942" s="1344">
        <f t="shared" si="129"/>
        <v>0</v>
      </c>
      <c r="J942" s="902">
        <f t="shared" si="130"/>
        <v>0</v>
      </c>
      <c r="L942" s="1460">
        <v>30446</v>
      </c>
      <c r="M942" s="1236"/>
      <c r="N942" s="1240" t="s">
        <v>1804</v>
      </c>
      <c r="O942" s="1241" t="s">
        <v>4851</v>
      </c>
      <c r="P942" s="910">
        <f t="shared" si="131"/>
        <v>0</v>
      </c>
      <c r="Q942" s="910">
        <f t="shared" si="132"/>
        <v>30446</v>
      </c>
      <c r="R942" s="1344">
        <f t="shared" si="133"/>
        <v>2.2999999999999998</v>
      </c>
      <c r="S942" s="1344">
        <f>(1/9)*cnst_fish!$C$7*(1/cnst_fish!$C$8)^(R942-1)</f>
        <v>2.8138314698279068</v>
      </c>
      <c r="T942" s="1362">
        <f t="shared" si="134"/>
        <v>7401.7205642486069</v>
      </c>
      <c r="W942" s="1612"/>
      <c r="X942" s="1612"/>
      <c r="Y942" s="1613"/>
      <c r="Z942" s="1614"/>
      <c r="AA942" s="1614"/>
      <c r="AB942" s="1615"/>
      <c r="AC942" s="1615"/>
      <c r="AD942" s="583"/>
      <c r="AE942" s="583"/>
    </row>
    <row r="943" spans="1:31" ht="14">
      <c r="A943" s="1384" t="s">
        <v>6777</v>
      </c>
      <c r="B943" s="19" t="s">
        <v>6776</v>
      </c>
      <c r="C943" s="1383">
        <v>13265</v>
      </c>
      <c r="D943" s="1236"/>
      <c r="E943" s="1236"/>
      <c r="F943" s="1344">
        <f>(1/S943)*cnst_fish!$C$6</f>
        <v>1.5103960722494611E-2</v>
      </c>
      <c r="G943" s="1344">
        <f t="shared" si="136"/>
        <v>1</v>
      </c>
      <c r="H943" s="1344">
        <f t="shared" si="136"/>
        <v>0.367192066876738</v>
      </c>
      <c r="I943" s="1344">
        <f t="shared" si="129"/>
        <v>0</v>
      </c>
      <c r="J943" s="902">
        <f t="shared" si="130"/>
        <v>0</v>
      </c>
      <c r="L943" s="1460"/>
      <c r="M943" s="1236">
        <v>94</v>
      </c>
      <c r="N943" s="1240" t="s">
        <v>1806</v>
      </c>
      <c r="O943" s="1241" t="s">
        <v>4845</v>
      </c>
      <c r="P943" s="910">
        <f t="shared" si="131"/>
        <v>0</v>
      </c>
      <c r="Q943" s="910">
        <f t="shared" si="132"/>
        <v>94</v>
      </c>
      <c r="R943" s="1344">
        <f t="shared" si="133"/>
        <v>4.3</v>
      </c>
      <c r="S943" s="1344">
        <f>(1/9)*cnst_fish!$C$7*(1/cnst_fish!$C$8)^(R943-1)</f>
        <v>281.38314698279078</v>
      </c>
      <c r="T943" s="1362">
        <f t="shared" si="134"/>
        <v>2285.2319944799624</v>
      </c>
      <c r="W943" s="1612"/>
      <c r="X943" s="1612"/>
      <c r="Y943" s="1613"/>
      <c r="Z943" s="1614"/>
      <c r="AA943" s="1614"/>
      <c r="AB943" s="1615"/>
      <c r="AC943" s="1615"/>
      <c r="AD943" s="583"/>
      <c r="AE943" s="583"/>
    </row>
    <row r="944" spans="1:31" ht="14">
      <c r="A944" s="1384" t="s">
        <v>3660</v>
      </c>
      <c r="B944" s="19" t="s">
        <v>2184</v>
      </c>
      <c r="C944" s="1383">
        <v>3133</v>
      </c>
      <c r="D944" s="1236">
        <v>6</v>
      </c>
      <c r="E944" s="1236"/>
      <c r="F944" s="1344">
        <f>(1/S944)*cnst_fish!$C$6</f>
        <v>3.2291695426024204E-2</v>
      </c>
      <c r="G944" s="1344">
        <f t="shared" si="136"/>
        <v>1</v>
      </c>
      <c r="H944" s="1344">
        <f t="shared" si="136"/>
        <v>0.367192066876738</v>
      </c>
      <c r="I944" s="1344">
        <f t="shared" si="129"/>
        <v>68.226594243326261</v>
      </c>
      <c r="J944" s="902">
        <f t="shared" si="130"/>
        <v>0</v>
      </c>
      <c r="L944" s="1460">
        <v>67577</v>
      </c>
      <c r="M944" s="1236"/>
      <c r="N944" s="1240" t="s">
        <v>1806</v>
      </c>
      <c r="O944" s="1241" t="s">
        <v>4841</v>
      </c>
      <c r="P944" s="910">
        <f t="shared" si="131"/>
        <v>6</v>
      </c>
      <c r="Q944" s="910">
        <f t="shared" si="132"/>
        <v>67577</v>
      </c>
      <c r="R944" s="1344">
        <f t="shared" si="133"/>
        <v>3.97</v>
      </c>
      <c r="S944" s="1344">
        <f>(1/9)*cnst_fish!$C$7*(1/cnst_fish!$C$8)^(R944-1)</f>
        <v>131.61278600983218</v>
      </c>
      <c r="T944" s="1362">
        <f t="shared" si="134"/>
        <v>768424.75986354309</v>
      </c>
      <c r="W944" s="1612"/>
      <c r="X944" s="1612"/>
      <c r="Y944" s="1613"/>
      <c r="Z944" s="1614"/>
      <c r="AA944" s="1614"/>
      <c r="AB944" s="1615"/>
      <c r="AC944" s="1615"/>
      <c r="AD944" s="583"/>
      <c r="AE944" s="583"/>
    </row>
    <row r="945" spans="1:31" ht="14">
      <c r="A945" s="1384" t="s">
        <v>2061</v>
      </c>
      <c r="B945" s="19" t="s">
        <v>2062</v>
      </c>
      <c r="C945" s="1383">
        <v>13275</v>
      </c>
      <c r="D945" s="1236">
        <v>82</v>
      </c>
      <c r="E945" s="1236"/>
      <c r="F945" s="1344">
        <f>(1/S945)*cnst_fish!$C$6</f>
        <v>4.1599762155986937E-2</v>
      </c>
      <c r="G945" s="1344">
        <f t="shared" si="136"/>
        <v>1</v>
      </c>
      <c r="H945" s="1344">
        <f t="shared" si="136"/>
        <v>0.367192066876738</v>
      </c>
      <c r="I945" s="1344">
        <f t="shared" si="129"/>
        <v>723.79619313662818</v>
      </c>
      <c r="J945" s="902">
        <f t="shared" si="130"/>
        <v>0</v>
      </c>
      <c r="L945" s="1460">
        <v>94</v>
      </c>
      <c r="M945" s="1236"/>
      <c r="N945" s="1240" t="s">
        <v>1806</v>
      </c>
      <c r="O945" s="1241" t="s">
        <v>4841</v>
      </c>
      <c r="P945" s="910">
        <f t="shared" si="131"/>
        <v>82</v>
      </c>
      <c r="Q945" s="910">
        <f t="shared" si="132"/>
        <v>94</v>
      </c>
      <c r="R945" s="1344">
        <f t="shared" si="133"/>
        <v>3.86</v>
      </c>
      <c r="S945" s="1344">
        <f>(1/9)*cnst_fish!$C$7*(1/cnst_fish!$C$8)^(R945-1)</f>
        <v>102.16404565160117</v>
      </c>
      <c r="T945" s="1362">
        <f t="shared" si="134"/>
        <v>829.71758725418351</v>
      </c>
      <c r="W945" s="1612"/>
      <c r="X945" s="1612"/>
      <c r="Y945" s="1613"/>
      <c r="Z945" s="1614"/>
      <c r="AA945" s="1614"/>
      <c r="AB945" s="1615"/>
      <c r="AC945" s="1615"/>
      <c r="AD945" s="583"/>
      <c r="AE945" s="583"/>
    </row>
    <row r="946" spans="1:31" ht="14">
      <c r="A946" s="1384" t="s">
        <v>533</v>
      </c>
      <c r="B946" s="19" t="s">
        <v>2609</v>
      </c>
      <c r="C946" s="1383">
        <v>3134</v>
      </c>
      <c r="D946" s="1236"/>
      <c r="E946" s="1236"/>
      <c r="F946" s="1344">
        <f>(1/S946)*cnst_fish!$C$6</f>
        <v>7.9266712664847111E-2</v>
      </c>
      <c r="G946" s="1344">
        <f t="shared" si="136"/>
        <v>1</v>
      </c>
      <c r="H946" s="1344">
        <f t="shared" si="136"/>
        <v>0.367192066876738</v>
      </c>
      <c r="I946" s="1344">
        <f t="shared" si="129"/>
        <v>0</v>
      </c>
      <c r="J946" s="902">
        <f t="shared" si="130"/>
        <v>0</v>
      </c>
      <c r="L946" s="1460">
        <v>13179</v>
      </c>
      <c r="M946" s="1236"/>
      <c r="N946" s="1240" t="s">
        <v>1806</v>
      </c>
      <c r="O946" s="1241" t="s">
        <v>4841</v>
      </c>
      <c r="P946" s="910">
        <f t="shared" si="131"/>
        <v>0</v>
      </c>
      <c r="Q946" s="910">
        <f t="shared" si="132"/>
        <v>13179</v>
      </c>
      <c r="R946" s="1344">
        <f t="shared" si="133"/>
        <v>3.58</v>
      </c>
      <c r="S946" s="1344">
        <f>(1/9)*cnst_fish!$C$7*(1/cnst_fish!$C$8)^(R946-1)</f>
        <v>53.616453327258682</v>
      </c>
      <c r="T946" s="1362">
        <f t="shared" si="134"/>
        <v>61049.892025036759</v>
      </c>
      <c r="W946" s="1612"/>
      <c r="X946" s="1612"/>
      <c r="Y946" s="1613"/>
      <c r="Z946" s="1614"/>
      <c r="AA946" s="1614"/>
      <c r="AB946" s="1615"/>
      <c r="AC946" s="1615"/>
      <c r="AD946" s="583"/>
      <c r="AE946" s="583"/>
    </row>
    <row r="947" spans="1:31" ht="14">
      <c r="A947" s="1384" t="s">
        <v>185</v>
      </c>
      <c r="B947" s="19" t="s">
        <v>2610</v>
      </c>
      <c r="C947" s="1383">
        <v>3135</v>
      </c>
      <c r="D947" s="1236"/>
      <c r="E947" s="1236"/>
      <c r="F947" s="1344">
        <f>(1/S947)*cnst_fish!$C$6</f>
        <v>2.7484690295134888E-2</v>
      </c>
      <c r="G947" s="1344">
        <f t="shared" si="136"/>
        <v>1</v>
      </c>
      <c r="H947" s="1344">
        <f t="shared" si="136"/>
        <v>0.367192066876738</v>
      </c>
      <c r="I947" s="1344">
        <f t="shared" si="129"/>
        <v>0</v>
      </c>
      <c r="J947" s="902">
        <f t="shared" si="130"/>
        <v>0</v>
      </c>
      <c r="L947" s="1460">
        <v>347</v>
      </c>
      <c r="M947" s="1236"/>
      <c r="N947" s="1240" t="s">
        <v>1806</v>
      </c>
      <c r="O947" s="1241" t="s">
        <v>4841</v>
      </c>
      <c r="P947" s="910">
        <f t="shared" si="131"/>
        <v>0</v>
      </c>
      <c r="Q947" s="910">
        <f t="shared" si="132"/>
        <v>347</v>
      </c>
      <c r="R947" s="1344">
        <f t="shared" si="133"/>
        <v>4.04</v>
      </c>
      <c r="S947" s="1344">
        <f>(1/9)*cnst_fish!$C$7*(1/cnst_fish!$C$8)^(R947-1)</f>
        <v>154.63154048173138</v>
      </c>
      <c r="T947" s="1362">
        <f t="shared" si="134"/>
        <v>4635.8771315237318</v>
      </c>
      <c r="W947" s="1612"/>
      <c r="X947" s="1612"/>
      <c r="Y947" s="1613"/>
      <c r="Z947" s="1614"/>
      <c r="AA947" s="1614"/>
      <c r="AB947" s="1615"/>
      <c r="AC947" s="1615"/>
      <c r="AD947" s="583"/>
      <c r="AE947" s="583"/>
    </row>
    <row r="948" spans="1:31" ht="14">
      <c r="A948" s="1384" t="s">
        <v>3661</v>
      </c>
      <c r="B948" s="19" t="s">
        <v>2611</v>
      </c>
      <c r="C948" s="1383">
        <v>13278</v>
      </c>
      <c r="D948" s="1236"/>
      <c r="E948" s="1236"/>
      <c r="F948" s="1344">
        <f>(1/S948)*cnst_fish!$C$6</f>
        <v>2.3393265378400998E-2</v>
      </c>
      <c r="G948" s="1344">
        <f t="shared" ref="G948:H967" si="137">G$7</f>
        <v>1</v>
      </c>
      <c r="H948" s="1344">
        <f t="shared" si="137"/>
        <v>0.367192066876738</v>
      </c>
      <c r="I948" s="1344">
        <f t="shared" si="129"/>
        <v>0</v>
      </c>
      <c r="J948" s="902">
        <f t="shared" si="130"/>
        <v>0</v>
      </c>
      <c r="L948" s="1460">
        <v>420</v>
      </c>
      <c r="M948" s="1236"/>
      <c r="N948" s="1240" t="s">
        <v>1806</v>
      </c>
      <c r="O948" s="1241" t="s">
        <v>4841</v>
      </c>
      <c r="P948" s="910">
        <f t="shared" si="131"/>
        <v>0</v>
      </c>
      <c r="Q948" s="910">
        <f t="shared" si="132"/>
        <v>420</v>
      </c>
      <c r="R948" s="1344">
        <f t="shared" si="133"/>
        <v>4.1100000000000003</v>
      </c>
      <c r="S948" s="1344">
        <f>(1/9)*cnst_fish!$C$7*(1/cnst_fish!$C$8)^(R948-1)</f>
        <v>181.67621882851913</v>
      </c>
      <c r="T948" s="1362">
        <f t="shared" si="134"/>
        <v>6592.5241984653367</v>
      </c>
      <c r="W948" s="1612"/>
      <c r="X948" s="1612"/>
      <c r="Y948" s="1613"/>
      <c r="Z948" s="1614"/>
      <c r="AA948" s="1614"/>
      <c r="AB948" s="1615"/>
      <c r="AC948" s="1615"/>
      <c r="AD948" s="583"/>
      <c r="AE948" s="583"/>
    </row>
    <row r="949" spans="1:31" ht="14">
      <c r="A949" s="1384" t="s">
        <v>6472</v>
      </c>
      <c r="B949" s="19" t="s">
        <v>6471</v>
      </c>
      <c r="C949" s="1383">
        <v>13279</v>
      </c>
      <c r="D949" s="1236"/>
      <c r="E949" s="1236"/>
      <c r="F949" s="1344">
        <f>(1/S949)*cnst_fish!$C$6</f>
        <v>3.0136363636363641</v>
      </c>
      <c r="G949" s="1344">
        <f t="shared" si="137"/>
        <v>1</v>
      </c>
      <c r="H949" s="1344">
        <f t="shared" si="137"/>
        <v>0.367192066876738</v>
      </c>
      <c r="I949" s="1344">
        <f t="shared" si="129"/>
        <v>0</v>
      </c>
      <c r="J949" s="902">
        <f t="shared" si="130"/>
        <v>0</v>
      </c>
      <c r="L949" s="1460">
        <v>18</v>
      </c>
      <c r="M949" s="1236"/>
      <c r="N949" s="1240" t="s">
        <v>1806</v>
      </c>
      <c r="O949" s="1241" t="s">
        <v>4841</v>
      </c>
      <c r="P949" s="910">
        <f t="shared" si="131"/>
        <v>0</v>
      </c>
      <c r="Q949" s="910">
        <f t="shared" si="132"/>
        <v>18</v>
      </c>
      <c r="R949" s="1344">
        <f t="shared" si="133"/>
        <v>2</v>
      </c>
      <c r="S949" s="1344">
        <f>(1/9)*cnst_fish!$C$7*(1/cnst_fish!$C$8)^(R949-1)</f>
        <v>1.4102564102564099</v>
      </c>
      <c r="T949" s="1362">
        <f t="shared" si="134"/>
        <v>2.1931833858701091</v>
      </c>
      <c r="W949" s="1612"/>
      <c r="X949" s="1612"/>
      <c r="Y949" s="1613"/>
      <c r="Z949" s="1614"/>
      <c r="AA949" s="1614"/>
      <c r="AB949" s="1615"/>
      <c r="AC949" s="1615"/>
      <c r="AD949" s="583"/>
      <c r="AE949" s="583"/>
    </row>
    <row r="950" spans="1:31" ht="14">
      <c r="A950" s="1384" t="s">
        <v>2215</v>
      </c>
      <c r="B950" s="19" t="s">
        <v>1764</v>
      </c>
      <c r="C950" s="1383">
        <v>3136</v>
      </c>
      <c r="D950" s="1236">
        <v>2428</v>
      </c>
      <c r="E950" s="1236"/>
      <c r="F950" s="1344">
        <f>(1/S950)*cnst_fish!$C$6</f>
        <v>2.945037624971374E-2</v>
      </c>
      <c r="G950" s="1344">
        <f t="shared" si="137"/>
        <v>1</v>
      </c>
      <c r="H950" s="1344">
        <f t="shared" si="137"/>
        <v>0.367192066876738</v>
      </c>
      <c r="I950" s="1344">
        <f t="shared" si="129"/>
        <v>30272.697734562415</v>
      </c>
      <c r="J950" s="902">
        <f t="shared" si="130"/>
        <v>0</v>
      </c>
      <c r="L950" s="1460">
        <v>5506</v>
      </c>
      <c r="M950" s="1236"/>
      <c r="N950" s="1240" t="s">
        <v>1806</v>
      </c>
      <c r="O950" s="1241" t="s">
        <v>4841</v>
      </c>
      <c r="P950" s="910">
        <f t="shared" si="131"/>
        <v>2428</v>
      </c>
      <c r="Q950" s="910">
        <f t="shared" si="132"/>
        <v>5506</v>
      </c>
      <c r="R950" s="1344">
        <f t="shared" si="133"/>
        <v>4.01</v>
      </c>
      <c r="S950" s="1344">
        <f>(1/9)*cnst_fish!$C$7*(1/cnst_fish!$C$8)^(R950-1)</f>
        <v>144.31055019343972</v>
      </c>
      <c r="T950" s="1362">
        <f t="shared" si="134"/>
        <v>68649.700875823997</v>
      </c>
      <c r="W950" s="1612"/>
      <c r="X950" s="1612"/>
      <c r="Y950" s="1613"/>
      <c r="Z950" s="1614"/>
      <c r="AA950" s="1614"/>
      <c r="AB950" s="1615"/>
      <c r="AC950" s="1615"/>
      <c r="AD950" s="583"/>
      <c r="AE950" s="583"/>
    </row>
    <row r="951" spans="1:31" ht="14">
      <c r="A951" s="1384" t="s">
        <v>4952</v>
      </c>
      <c r="B951" s="19" t="s">
        <v>454</v>
      </c>
      <c r="C951" s="1383">
        <v>13281</v>
      </c>
      <c r="D951" s="1236"/>
      <c r="E951" s="1236"/>
      <c r="F951" s="1344">
        <f>(1/S951)*cnst_fish!$C$6</f>
        <v>1.8158954798513597E-2</v>
      </c>
      <c r="G951" s="1344">
        <f t="shared" si="137"/>
        <v>1</v>
      </c>
      <c r="H951" s="1344">
        <f t="shared" si="137"/>
        <v>0.367192066876738</v>
      </c>
      <c r="I951" s="1344">
        <f t="shared" si="129"/>
        <v>0</v>
      </c>
      <c r="J951" s="902">
        <f t="shared" si="130"/>
        <v>0</v>
      </c>
      <c r="L951" s="1460">
        <v>456</v>
      </c>
      <c r="M951" s="1236"/>
      <c r="N951" s="1240" t="s">
        <v>1806</v>
      </c>
      <c r="O951" s="1241" t="s">
        <v>4841</v>
      </c>
      <c r="P951" s="910">
        <f t="shared" si="131"/>
        <v>0</v>
      </c>
      <c r="Q951" s="910">
        <f t="shared" si="132"/>
        <v>456</v>
      </c>
      <c r="R951" s="1344">
        <f t="shared" si="133"/>
        <v>4.22</v>
      </c>
      <c r="S951" s="1344">
        <f>(1/9)*cnst_fish!$C$7*(1/cnst_fish!$C$8)^(R951-1)</f>
        <v>234.0443074591432</v>
      </c>
      <c r="T951" s="1362">
        <f t="shared" si="134"/>
        <v>9220.7720297590204</v>
      </c>
      <c r="W951" s="1612"/>
      <c r="X951" s="1612"/>
      <c r="Y951" s="1613"/>
      <c r="Z951" s="1614"/>
      <c r="AA951" s="1614"/>
      <c r="AB951" s="1615"/>
      <c r="AC951" s="1615"/>
      <c r="AD951" s="583"/>
      <c r="AE951" s="583"/>
    </row>
    <row r="952" spans="1:31" ht="14">
      <c r="A952" s="1384" t="s">
        <v>2328</v>
      </c>
      <c r="B952" s="19" t="s">
        <v>4529</v>
      </c>
      <c r="C952" s="1383">
        <v>13287</v>
      </c>
      <c r="D952" s="1236"/>
      <c r="E952" s="1236"/>
      <c r="F952" s="1344">
        <f>(1/S952)*cnst_fish!$C$6</f>
        <v>7.2292101150450983E-2</v>
      </c>
      <c r="G952" s="1344">
        <f t="shared" si="137"/>
        <v>1</v>
      </c>
      <c r="H952" s="1344">
        <f t="shared" si="137"/>
        <v>0.367192066876738</v>
      </c>
      <c r="I952" s="1344">
        <f t="shared" si="129"/>
        <v>0</v>
      </c>
      <c r="J952" s="902">
        <f t="shared" si="130"/>
        <v>0</v>
      </c>
      <c r="L952" s="1460">
        <v>353</v>
      </c>
      <c r="M952" s="1236"/>
      <c r="N952" s="1240" t="s">
        <v>1806</v>
      </c>
      <c r="O952" s="1241" t="s">
        <v>4841</v>
      </c>
      <c r="P952" s="910">
        <f t="shared" si="131"/>
        <v>0</v>
      </c>
      <c r="Q952" s="910">
        <f t="shared" si="132"/>
        <v>353</v>
      </c>
      <c r="R952" s="1344">
        <f t="shared" si="133"/>
        <v>3.62</v>
      </c>
      <c r="S952" s="1344">
        <f>(1/9)*cnst_fish!$C$7*(1/cnst_fish!$C$8)^(R952-1)</f>
        <v>58.789272027867845</v>
      </c>
      <c r="T952" s="1362">
        <f t="shared" si="134"/>
        <v>1792.9870282471368</v>
      </c>
      <c r="W952" s="1612"/>
      <c r="X952" s="1612"/>
      <c r="Y952" s="1613"/>
      <c r="Z952" s="1614"/>
      <c r="AA952" s="1614"/>
      <c r="AB952" s="1615"/>
      <c r="AC952" s="1615"/>
      <c r="AD952" s="583"/>
      <c r="AE952" s="583"/>
    </row>
    <row r="953" spans="1:31" ht="14">
      <c r="A953" s="1384" t="s">
        <v>1389</v>
      </c>
      <c r="B953" s="19" t="s">
        <v>2368</v>
      </c>
      <c r="C953" s="1383">
        <v>13289</v>
      </c>
      <c r="D953" s="1236">
        <v>129</v>
      </c>
      <c r="E953" s="1236"/>
      <c r="F953" s="1344">
        <f>(1/S953)*cnst_fish!$C$6</f>
        <v>1.6946922663690963E-2</v>
      </c>
      <c r="G953" s="1344">
        <f t="shared" si="137"/>
        <v>1</v>
      </c>
      <c r="H953" s="1344">
        <f t="shared" si="137"/>
        <v>0.367192066876738</v>
      </c>
      <c r="I953" s="1344">
        <f t="shared" si="129"/>
        <v>2795.0665478981255</v>
      </c>
      <c r="J953" s="902">
        <f t="shared" si="130"/>
        <v>0</v>
      </c>
      <c r="L953" s="1460">
        <v>523</v>
      </c>
      <c r="M953" s="1236"/>
      <c r="N953" s="1240" t="s">
        <v>1806</v>
      </c>
      <c r="O953" s="1241" t="s">
        <v>4841</v>
      </c>
      <c r="P953" s="910">
        <f t="shared" si="131"/>
        <v>129</v>
      </c>
      <c r="Q953" s="910">
        <f t="shared" si="132"/>
        <v>523</v>
      </c>
      <c r="R953" s="1344">
        <f t="shared" si="133"/>
        <v>4.25</v>
      </c>
      <c r="S953" s="1344">
        <f>(1/9)*cnst_fish!$C$7*(1/cnst_fish!$C$8)^(R953-1)</f>
        <v>250.78299372343801</v>
      </c>
      <c r="T953" s="1362">
        <f t="shared" si="134"/>
        <v>11331.936469385422</v>
      </c>
      <c r="W953" s="1612"/>
      <c r="X953" s="1612"/>
      <c r="Y953" s="1613"/>
      <c r="Z953" s="1614"/>
      <c r="AA953" s="1614"/>
      <c r="AB953" s="1615"/>
      <c r="AC953" s="1615"/>
      <c r="AD953" s="583"/>
      <c r="AE953" s="583"/>
    </row>
    <row r="954" spans="1:31" ht="14">
      <c r="A954" s="1384" t="s">
        <v>4899</v>
      </c>
      <c r="B954" s="19" t="s">
        <v>4900</v>
      </c>
      <c r="C954" s="1383">
        <v>13290</v>
      </c>
      <c r="D954" s="1236"/>
      <c r="E954" s="1236"/>
      <c r="F954" s="1344">
        <f>(1/S954)*cnst_fish!$C$6</f>
        <v>3.460117504783787E-2</v>
      </c>
      <c r="G954" s="1344">
        <f t="shared" si="137"/>
        <v>1</v>
      </c>
      <c r="H954" s="1344">
        <f t="shared" si="137"/>
        <v>0.367192066876738</v>
      </c>
      <c r="I954" s="1344">
        <f t="shared" si="129"/>
        <v>0</v>
      </c>
      <c r="J954" s="902">
        <f t="shared" si="130"/>
        <v>0</v>
      </c>
      <c r="L954" s="1460">
        <v>1119</v>
      </c>
      <c r="M954" s="1236"/>
      <c r="N954" s="1240" t="s">
        <v>1806</v>
      </c>
      <c r="O954" s="1241" t="s">
        <v>4841</v>
      </c>
      <c r="P954" s="910">
        <f t="shared" si="131"/>
        <v>0</v>
      </c>
      <c r="Q954" s="910">
        <f t="shared" si="132"/>
        <v>1119</v>
      </c>
      <c r="R954" s="1344">
        <f t="shared" si="133"/>
        <v>3.94</v>
      </c>
      <c r="S954" s="1344">
        <f>(1/9)*cnst_fish!$C$7*(1/cnst_fish!$C$8)^(R954-1)</f>
        <v>122.82819858354985</v>
      </c>
      <c r="T954" s="1362">
        <f t="shared" si="134"/>
        <v>11874.970207427827</v>
      </c>
      <c r="W954" s="1612"/>
      <c r="X954" s="1612"/>
      <c r="Y954" s="1613"/>
      <c r="Z954" s="1614"/>
      <c r="AA954" s="1614"/>
      <c r="AB954" s="1615"/>
      <c r="AC954" s="1615"/>
      <c r="AD954" s="583"/>
      <c r="AE954" s="583"/>
    </row>
    <row r="955" spans="1:31" ht="14">
      <c r="A955" s="1384" t="s">
        <v>5091</v>
      </c>
      <c r="B955" s="19" t="s">
        <v>4530</v>
      </c>
      <c r="C955" s="1383">
        <v>13292</v>
      </c>
      <c r="D955" s="1236"/>
      <c r="E955" s="1236"/>
      <c r="F955" s="1344">
        <f>(1/S955)*cnst_fish!$C$6</f>
        <v>1.9910898001319833E-2</v>
      </c>
      <c r="G955" s="1344">
        <f t="shared" si="137"/>
        <v>1</v>
      </c>
      <c r="H955" s="1344">
        <f t="shared" si="137"/>
        <v>0.367192066876738</v>
      </c>
      <c r="I955" s="1344">
        <f t="shared" si="129"/>
        <v>0</v>
      </c>
      <c r="J955" s="902">
        <f t="shared" si="130"/>
        <v>0</v>
      </c>
      <c r="L955" s="1460">
        <v>2594</v>
      </c>
      <c r="M955" s="1236"/>
      <c r="N955" s="1240" t="s">
        <v>1806</v>
      </c>
      <c r="O955" s="1241" t="s">
        <v>4841</v>
      </c>
      <c r="P955" s="910">
        <f t="shared" si="131"/>
        <v>0</v>
      </c>
      <c r="Q955" s="910">
        <f t="shared" si="132"/>
        <v>2594</v>
      </c>
      <c r="R955" s="1344">
        <f t="shared" si="133"/>
        <v>4.18</v>
      </c>
      <c r="S955" s="1344">
        <f>(1/9)*cnst_fish!$C$7*(1/cnst_fish!$C$8)^(R955-1)</f>
        <v>213.4509452922857</v>
      </c>
      <c r="T955" s="1362">
        <f t="shared" si="134"/>
        <v>47837.93384985048</v>
      </c>
      <c r="W955" s="1612"/>
      <c r="X955" s="1612"/>
      <c r="Y955" s="1613"/>
      <c r="Z955" s="1614"/>
      <c r="AA955" s="1614"/>
      <c r="AB955" s="1615"/>
      <c r="AC955" s="1615"/>
      <c r="AD955" s="583"/>
      <c r="AE955" s="583"/>
    </row>
    <row r="956" spans="1:31" ht="14">
      <c r="A956" s="1384" t="s">
        <v>231</v>
      </c>
      <c r="B956" s="19" t="s">
        <v>135</v>
      </c>
      <c r="C956" s="1383">
        <v>18897</v>
      </c>
      <c r="D956" s="1236"/>
      <c r="E956" s="1236"/>
      <c r="F956" s="1344">
        <f>(1/S956)*cnst_fish!$C$6</f>
        <v>7.5699122913220479E-2</v>
      </c>
      <c r="G956" s="1344">
        <f t="shared" si="137"/>
        <v>1</v>
      </c>
      <c r="H956" s="1344">
        <f t="shared" si="137"/>
        <v>0.367192066876738</v>
      </c>
      <c r="I956" s="1344">
        <f t="shared" si="129"/>
        <v>0</v>
      </c>
      <c r="J956" s="902">
        <f t="shared" si="130"/>
        <v>0</v>
      </c>
      <c r="L956" s="1460">
        <v>24</v>
      </c>
      <c r="M956" s="1236"/>
      <c r="N956" s="1240" t="s">
        <v>1806</v>
      </c>
      <c r="O956" s="1241" t="s">
        <v>4841</v>
      </c>
      <c r="P956" s="910">
        <f t="shared" si="131"/>
        <v>0</v>
      </c>
      <c r="Q956" s="910">
        <f t="shared" si="132"/>
        <v>24</v>
      </c>
      <c r="R956" s="1344">
        <f t="shared" si="133"/>
        <v>3.6</v>
      </c>
      <c r="S956" s="1344">
        <f>(1/9)*cnst_fish!$C$7*(1/cnst_fish!$C$8)^(R956-1)</f>
        <v>56.143318924211187</v>
      </c>
      <c r="T956" s="1362">
        <f t="shared" si="134"/>
        <v>116.4162709671585</v>
      </c>
      <c r="W956" s="1612"/>
      <c r="X956" s="1612"/>
      <c r="Y956" s="1613"/>
      <c r="Z956" s="1614"/>
      <c r="AA956" s="1614"/>
      <c r="AB956" s="1615"/>
      <c r="AC956" s="1615"/>
      <c r="AD956" s="583"/>
      <c r="AE956" s="583"/>
    </row>
    <row r="957" spans="1:31" ht="14">
      <c r="A957" s="1384" t="s">
        <v>4732</v>
      </c>
      <c r="B957" s="19" t="s">
        <v>136</v>
      </c>
      <c r="C957" s="1383">
        <v>13295</v>
      </c>
      <c r="D957" s="1236"/>
      <c r="E957" s="1236"/>
      <c r="F957" s="1344">
        <f>(1/S957)*cnst_fish!$C$6</f>
        <v>1.0449387811364928E-2</v>
      </c>
      <c r="G957" s="1344">
        <f t="shared" si="137"/>
        <v>1</v>
      </c>
      <c r="H957" s="1344">
        <f t="shared" si="137"/>
        <v>0.367192066876738</v>
      </c>
      <c r="I957" s="1344">
        <f t="shared" si="129"/>
        <v>0</v>
      </c>
      <c r="J957" s="902">
        <f t="shared" si="130"/>
        <v>0</v>
      </c>
      <c r="L957" s="1460">
        <v>829</v>
      </c>
      <c r="M957" s="1236"/>
      <c r="N957" s="1240" t="s">
        <v>1806</v>
      </c>
      <c r="O957" s="1241" t="s">
        <v>4841</v>
      </c>
      <c r="P957" s="910">
        <f t="shared" si="131"/>
        <v>0</v>
      </c>
      <c r="Q957" s="910">
        <f t="shared" si="132"/>
        <v>829</v>
      </c>
      <c r="R957" s="1344">
        <f t="shared" si="133"/>
        <v>4.46</v>
      </c>
      <c r="S957" s="1344">
        <f>(1/9)*cnst_fish!$C$7*(1/cnst_fish!$C$8)^(R957-1)</f>
        <v>406.72239146657279</v>
      </c>
      <c r="T957" s="1362">
        <f t="shared" si="134"/>
        <v>29131.105949550736</v>
      </c>
      <c r="W957" s="1612"/>
      <c r="X957" s="1612"/>
      <c r="Y957" s="1613"/>
      <c r="Z957" s="1614"/>
      <c r="AA957" s="1614"/>
      <c r="AB957" s="1615"/>
      <c r="AC957" s="1615"/>
      <c r="AD957" s="583"/>
      <c r="AE957" s="583"/>
    </row>
    <row r="958" spans="1:31" ht="14">
      <c r="A958" s="1384" t="s">
        <v>1651</v>
      </c>
      <c r="B958" s="19" t="s">
        <v>1652</v>
      </c>
      <c r="C958" s="1383">
        <v>19091</v>
      </c>
      <c r="D958" s="1236"/>
      <c r="E958" s="1236"/>
      <c r="F958" s="1344">
        <f>(1/S958)*cnst_fish!$C$6</f>
        <v>2.8780003842373291E-2</v>
      </c>
      <c r="G958" s="1344">
        <f t="shared" si="137"/>
        <v>1</v>
      </c>
      <c r="H958" s="1344">
        <f t="shared" si="137"/>
        <v>0.367192066876738</v>
      </c>
      <c r="I958" s="1344">
        <f t="shared" si="129"/>
        <v>0</v>
      </c>
      <c r="J958" s="902">
        <f t="shared" si="130"/>
        <v>0</v>
      </c>
      <c r="L958" s="1460">
        <v>4652</v>
      </c>
      <c r="M958" s="1236"/>
      <c r="N958" s="1240" t="s">
        <v>1806</v>
      </c>
      <c r="O958" s="1241" t="s">
        <v>4841</v>
      </c>
      <c r="P958" s="910">
        <f t="shared" si="131"/>
        <v>0</v>
      </c>
      <c r="Q958" s="910">
        <f t="shared" si="132"/>
        <v>4652</v>
      </c>
      <c r="R958" s="1344">
        <f t="shared" si="133"/>
        <v>4.0199999999999996</v>
      </c>
      <c r="S958" s="1344">
        <f>(1/9)*cnst_fish!$C$7*(1/cnst_fish!$C$8)^(R958-1)</f>
        <v>147.67197472512677</v>
      </c>
      <c r="T958" s="1362">
        <f t="shared" si="134"/>
        <v>59352.927972706042</v>
      </c>
      <c r="W958" s="1612"/>
      <c r="X958" s="1612"/>
      <c r="Y958" s="1613"/>
      <c r="Z958" s="1614"/>
      <c r="AA958" s="1614"/>
      <c r="AB958" s="1615"/>
      <c r="AC958" s="1615"/>
      <c r="AD958" s="583"/>
      <c r="AE958" s="583"/>
    </row>
    <row r="959" spans="1:31" ht="14">
      <c r="A959" s="1384" t="s">
        <v>2588</v>
      </c>
      <c r="B959" s="19" t="s">
        <v>1366</v>
      </c>
      <c r="C959" s="1383">
        <v>2333</v>
      </c>
      <c r="D959" s="1236"/>
      <c r="E959" s="1236"/>
      <c r="F959" s="1344">
        <f>(1/S959)*cnst_fish!$C$6</f>
        <v>7.9266712664847111E-2</v>
      </c>
      <c r="G959" s="1344">
        <f t="shared" si="137"/>
        <v>1</v>
      </c>
      <c r="H959" s="1344">
        <f t="shared" si="137"/>
        <v>0.367192066876738</v>
      </c>
      <c r="I959" s="1344">
        <f t="shared" si="129"/>
        <v>0</v>
      </c>
      <c r="J959" s="902">
        <f t="shared" si="130"/>
        <v>0</v>
      </c>
      <c r="L959" s="1460">
        <v>7344</v>
      </c>
      <c r="M959" s="1236"/>
      <c r="N959" s="1240" t="s">
        <v>1806</v>
      </c>
      <c r="O959" s="1241" t="s">
        <v>4841</v>
      </c>
      <c r="P959" s="910">
        <f t="shared" si="131"/>
        <v>0</v>
      </c>
      <c r="Q959" s="910">
        <f t="shared" si="132"/>
        <v>7344</v>
      </c>
      <c r="R959" s="1344">
        <f t="shared" si="133"/>
        <v>3.58</v>
      </c>
      <c r="S959" s="1344">
        <f>(1/9)*cnst_fish!$C$7*(1/cnst_fish!$C$8)^(R959-1)</f>
        <v>53.616453327258682</v>
      </c>
      <c r="T959" s="1362">
        <f t="shared" si="134"/>
        <v>34020.06275376508</v>
      </c>
      <c r="W959" s="1612"/>
      <c r="X959" s="1612"/>
      <c r="Y959" s="1613"/>
      <c r="Z959" s="1614"/>
      <c r="AA959" s="1614"/>
      <c r="AB959" s="1615"/>
      <c r="AC959" s="1615"/>
      <c r="AD959" s="583"/>
      <c r="AE959" s="583"/>
    </row>
    <row r="960" spans="1:31" ht="14">
      <c r="A960" s="1384" t="s">
        <v>235</v>
      </c>
      <c r="B960" s="19" t="s">
        <v>1367</v>
      </c>
      <c r="C960" s="1383">
        <v>18946</v>
      </c>
      <c r="D960" s="1236"/>
      <c r="E960" s="1236"/>
      <c r="F960" s="1344">
        <f>(1/S960)*cnst_fish!$C$6</f>
        <v>8.1113071591070229E-2</v>
      </c>
      <c r="G960" s="1344">
        <f t="shared" si="137"/>
        <v>1</v>
      </c>
      <c r="H960" s="1344">
        <f t="shared" si="137"/>
        <v>0.367192066876738</v>
      </c>
      <c r="I960" s="1344">
        <f t="shared" si="129"/>
        <v>0</v>
      </c>
      <c r="J960" s="902">
        <f t="shared" si="130"/>
        <v>0</v>
      </c>
      <c r="L960" s="1460">
        <v>409</v>
      </c>
      <c r="M960" s="1236"/>
      <c r="N960" s="1240" t="s">
        <v>1806</v>
      </c>
      <c r="O960" s="1241" t="s">
        <v>4841</v>
      </c>
      <c r="P960" s="910">
        <f t="shared" si="131"/>
        <v>0</v>
      </c>
      <c r="Q960" s="910">
        <f t="shared" si="132"/>
        <v>409</v>
      </c>
      <c r="R960" s="1344">
        <f t="shared" si="133"/>
        <v>3.57</v>
      </c>
      <c r="S960" s="1344">
        <f>(1/9)*cnst_fish!$C$7*(1/cnst_fish!$C$8)^(R960-1)</f>
        <v>52.395993847037154</v>
      </c>
      <c r="T960" s="1362">
        <f t="shared" si="134"/>
        <v>1851.5086706335428</v>
      </c>
      <c r="W960" s="1612"/>
      <c r="X960" s="1612"/>
      <c r="Y960" s="1613"/>
      <c r="Z960" s="1614"/>
      <c r="AA960" s="1614"/>
      <c r="AB960" s="1615"/>
      <c r="AC960" s="1615"/>
      <c r="AD960" s="583"/>
      <c r="AE960" s="583"/>
    </row>
    <row r="961" spans="1:31" ht="14">
      <c r="A961" s="1384" t="s">
        <v>3844</v>
      </c>
      <c r="B961" s="19" t="s">
        <v>5468</v>
      </c>
      <c r="C961" s="1383">
        <v>2332</v>
      </c>
      <c r="D961" s="1236">
        <v>116</v>
      </c>
      <c r="E961" s="1236"/>
      <c r="F961" s="1344">
        <f>(1/S961)*cnst_fish!$C$6</f>
        <v>3.0136363636363642E-2</v>
      </c>
      <c r="G961" s="1344">
        <f t="shared" si="137"/>
        <v>1</v>
      </c>
      <c r="H961" s="1344">
        <f t="shared" si="137"/>
        <v>0.367192066876738</v>
      </c>
      <c r="I961" s="1344">
        <f t="shared" si="129"/>
        <v>1413.384848671848</v>
      </c>
      <c r="J961" s="902">
        <f t="shared" si="130"/>
        <v>0</v>
      </c>
      <c r="L961" s="1460">
        <v>145520</v>
      </c>
      <c r="M961" s="1236"/>
      <c r="N961" s="1240" t="s">
        <v>1806</v>
      </c>
      <c r="O961" s="1241" t="s">
        <v>4841</v>
      </c>
      <c r="P961" s="910">
        <f t="shared" si="131"/>
        <v>116</v>
      </c>
      <c r="Q961" s="910">
        <f t="shared" si="132"/>
        <v>145520</v>
      </c>
      <c r="R961" s="1344">
        <f t="shared" si="133"/>
        <v>4</v>
      </c>
      <c r="S961" s="1344">
        <f>(1/9)*cnst_fish!$C$7*(1/cnst_fish!$C$8)^(R961-1)</f>
        <v>141.02564102564099</v>
      </c>
      <c r="T961" s="1362">
        <f t="shared" si="134"/>
        <v>1773066.923954546</v>
      </c>
      <c r="W961" s="1612"/>
      <c r="X961" s="1612"/>
      <c r="Y961" s="1613"/>
      <c r="Z961" s="1614"/>
      <c r="AA961" s="1614"/>
      <c r="AB961" s="1615"/>
      <c r="AC961" s="1615"/>
      <c r="AD961" s="583"/>
      <c r="AE961" s="583"/>
    </row>
    <row r="962" spans="1:31" ht="14">
      <c r="A962" s="1384" t="s">
        <v>2580</v>
      </c>
      <c r="B962" s="19" t="s">
        <v>5469</v>
      </c>
      <c r="C962" s="1383">
        <v>2334</v>
      </c>
      <c r="D962" s="1236">
        <v>12</v>
      </c>
      <c r="E962" s="1236"/>
      <c r="F962" s="1344">
        <f>(1/S962)*cnst_fish!$C$6</f>
        <v>4.5613232168782068E-2</v>
      </c>
      <c r="G962" s="1344">
        <f t="shared" si="137"/>
        <v>1</v>
      </c>
      <c r="H962" s="1344">
        <f t="shared" si="137"/>
        <v>0.367192066876738</v>
      </c>
      <c r="I962" s="1344">
        <f t="shared" si="129"/>
        <v>96.601459554899805</v>
      </c>
      <c r="J962" s="902">
        <f t="shared" si="130"/>
        <v>0</v>
      </c>
      <c r="L962" s="1460">
        <v>3154</v>
      </c>
      <c r="M962" s="1236"/>
      <c r="N962" s="1240" t="s">
        <v>1806</v>
      </c>
      <c r="O962" s="1241" t="s">
        <v>4841</v>
      </c>
      <c r="P962" s="910">
        <f t="shared" si="131"/>
        <v>12</v>
      </c>
      <c r="Q962" s="910">
        <f t="shared" si="132"/>
        <v>3154</v>
      </c>
      <c r="R962" s="1344">
        <f t="shared" si="133"/>
        <v>3.82</v>
      </c>
      <c r="S962" s="1344">
        <f>(1/9)*cnst_fish!$C$7*(1/cnst_fish!$C$8)^(R962-1)</f>
        <v>93.174717026712301</v>
      </c>
      <c r="T962" s="1362">
        <f t="shared" si="134"/>
        <v>25390.083619679499</v>
      </c>
      <c r="W962" s="1612"/>
      <c r="X962" s="1612"/>
      <c r="Y962" s="1613"/>
      <c r="Z962" s="1614"/>
      <c r="AA962" s="1614"/>
      <c r="AB962" s="1615"/>
      <c r="AC962" s="1615"/>
      <c r="AD962" s="583"/>
      <c r="AE962" s="583"/>
    </row>
    <row r="963" spans="1:31" ht="14">
      <c r="A963" s="1384" t="s">
        <v>6495</v>
      </c>
      <c r="B963" s="19" t="s">
        <v>6494</v>
      </c>
      <c r="C963" s="1383">
        <v>13301</v>
      </c>
      <c r="D963" s="1236"/>
      <c r="E963" s="1236"/>
      <c r="F963" s="1344">
        <f>(1/S963)*cnst_fish!$C$6</f>
        <v>2.3938164528281767E-2</v>
      </c>
      <c r="G963" s="1344">
        <f t="shared" si="137"/>
        <v>1</v>
      </c>
      <c r="H963" s="1344">
        <f t="shared" si="137"/>
        <v>0.367192066876738</v>
      </c>
      <c r="I963" s="1344">
        <f t="shared" si="129"/>
        <v>0</v>
      </c>
      <c r="J963" s="902">
        <f t="shared" si="130"/>
        <v>0</v>
      </c>
      <c r="L963" s="1460"/>
      <c r="M963" s="1236"/>
      <c r="N963" s="1240" t="s">
        <v>1806</v>
      </c>
      <c r="O963" s="1241" t="s">
        <v>4841</v>
      </c>
      <c r="P963" s="910">
        <f t="shared" si="131"/>
        <v>0</v>
      </c>
      <c r="Q963" s="910">
        <f t="shared" si="132"/>
        <v>0</v>
      </c>
      <c r="R963" s="1344">
        <f t="shared" si="133"/>
        <v>4.0999999999999996</v>
      </c>
      <c r="S963" s="1344">
        <f>(1/9)*cnst_fish!$C$7*(1/cnst_fish!$C$8)^(R963-1)</f>
        <v>177.54076320174144</v>
      </c>
      <c r="T963" s="1362">
        <f t="shared" si="134"/>
        <v>0</v>
      </c>
      <c r="W963" s="1612"/>
      <c r="X963" s="1612"/>
      <c r="Y963" s="1613"/>
      <c r="Z963" s="1614"/>
      <c r="AA963" s="1614"/>
      <c r="AB963" s="1615"/>
      <c r="AC963" s="1615"/>
      <c r="AD963" s="583"/>
      <c r="AE963" s="583"/>
    </row>
    <row r="964" spans="1:31" ht="14">
      <c r="A964" s="1384" t="s">
        <v>4023</v>
      </c>
      <c r="B964" s="19" t="s">
        <v>4024</v>
      </c>
      <c r="C964" s="1383">
        <v>13302</v>
      </c>
      <c r="D964" s="1236">
        <v>17</v>
      </c>
      <c r="E964" s="1236"/>
      <c r="F964" s="1344">
        <f>(1/S964)*cnst_fish!$C$6</f>
        <v>0.24495756009854439</v>
      </c>
      <c r="G964" s="1344">
        <f t="shared" si="137"/>
        <v>1</v>
      </c>
      <c r="H964" s="1344">
        <f t="shared" si="137"/>
        <v>0.367192066876738</v>
      </c>
      <c r="I964" s="1344">
        <f t="shared" si="129"/>
        <v>25.48304748950526</v>
      </c>
      <c r="J964" s="902">
        <f t="shared" si="130"/>
        <v>0</v>
      </c>
      <c r="L964" s="1460">
        <v>68</v>
      </c>
      <c r="M964" s="1236"/>
      <c r="N964" s="1240" t="s">
        <v>1806</v>
      </c>
      <c r="O964" s="1241" t="s">
        <v>4841</v>
      </c>
      <c r="P964" s="910">
        <f t="shared" si="131"/>
        <v>17</v>
      </c>
      <c r="Q964" s="910">
        <f t="shared" si="132"/>
        <v>68</v>
      </c>
      <c r="R964" s="1344">
        <f t="shared" si="133"/>
        <v>3.09</v>
      </c>
      <c r="S964" s="1344">
        <f>(1/9)*cnst_fish!$C$7*(1/cnst_fish!$C$8)^(R964-1)</f>
        <v>17.349944203764359</v>
      </c>
      <c r="T964" s="1362">
        <f t="shared" si="134"/>
        <v>101.93218995802104</v>
      </c>
      <c r="W964" s="1612"/>
      <c r="X964" s="1612"/>
      <c r="Y964" s="1613"/>
      <c r="Z964" s="1614"/>
      <c r="AA964" s="1614"/>
      <c r="AB964" s="1615"/>
      <c r="AC964" s="1615"/>
      <c r="AD964" s="583"/>
      <c r="AE964" s="583"/>
    </row>
    <row r="965" spans="1:31" ht="14">
      <c r="A965" s="1384" t="s">
        <v>29</v>
      </c>
      <c r="B965" s="19" t="s">
        <v>242</v>
      </c>
      <c r="C965" s="1383">
        <v>2922</v>
      </c>
      <c r="D965" s="1236"/>
      <c r="E965" s="1236"/>
      <c r="F965" s="1344">
        <f>(1/S965)*cnst_fish!$C$6</f>
        <v>6.9038420626592392E-2</v>
      </c>
      <c r="G965" s="1344">
        <f t="shared" si="137"/>
        <v>1</v>
      </c>
      <c r="H965" s="1344">
        <f t="shared" si="137"/>
        <v>0.367192066876738</v>
      </c>
      <c r="I965" s="1344">
        <f t="shared" si="129"/>
        <v>0</v>
      </c>
      <c r="J965" s="902">
        <f t="shared" si="130"/>
        <v>0</v>
      </c>
      <c r="L965" s="1460"/>
      <c r="M965" s="1236"/>
      <c r="N965" s="1240" t="s">
        <v>104</v>
      </c>
      <c r="O965" s="1241" t="s">
        <v>4845</v>
      </c>
      <c r="P965" s="910">
        <f t="shared" si="131"/>
        <v>0</v>
      </c>
      <c r="Q965" s="910">
        <f t="shared" si="132"/>
        <v>0</v>
      </c>
      <c r="R965" s="1344">
        <f t="shared" si="133"/>
        <v>3.64</v>
      </c>
      <c r="S965" s="1344">
        <f>(1/9)*cnst_fish!$C$7*(1/cnst_fish!$C$8)^(R965-1)</f>
        <v>61.559925059510611</v>
      </c>
      <c r="T965" s="1362">
        <f t="shared" si="134"/>
        <v>0</v>
      </c>
      <c r="W965" s="1612"/>
      <c r="X965" s="1612"/>
      <c r="Y965" s="1613"/>
      <c r="Z965" s="1614"/>
      <c r="AA965" s="1614"/>
      <c r="AB965" s="1615"/>
      <c r="AC965" s="1615"/>
      <c r="AD965" s="583"/>
      <c r="AE965" s="583"/>
    </row>
    <row r="966" spans="1:31" ht="14">
      <c r="A966" s="1384" t="s">
        <v>4924</v>
      </c>
      <c r="B966" s="19" t="s">
        <v>1237</v>
      </c>
      <c r="C966" s="1383">
        <v>3255</v>
      </c>
      <c r="D966" s="1236"/>
      <c r="E966" s="1236"/>
      <c r="F966" s="1344">
        <f>(1/S966)*cnst_fish!$C$6</f>
        <v>9.5299549485983348E-2</v>
      </c>
      <c r="G966" s="1344">
        <f t="shared" si="137"/>
        <v>1</v>
      </c>
      <c r="H966" s="1344">
        <f t="shared" si="137"/>
        <v>0.367192066876738</v>
      </c>
      <c r="I966" s="1344">
        <f t="shared" si="129"/>
        <v>0</v>
      </c>
      <c r="J966" s="902">
        <f t="shared" si="130"/>
        <v>0</v>
      </c>
      <c r="L966" s="1460">
        <v>3</v>
      </c>
      <c r="M966" s="1236"/>
      <c r="N966" s="1240" t="s">
        <v>1806</v>
      </c>
      <c r="O966" s="1241" t="s">
        <v>4841</v>
      </c>
      <c r="P966" s="910">
        <f t="shared" si="131"/>
        <v>0</v>
      </c>
      <c r="Q966" s="910">
        <f t="shared" si="132"/>
        <v>3</v>
      </c>
      <c r="R966" s="1344">
        <f t="shared" si="133"/>
        <v>3.5</v>
      </c>
      <c r="S966" s="1344">
        <f>(1/9)*cnst_fish!$C$7*(1/cnst_fish!$C$8)^(R966-1)</f>
        <v>44.596223412631026</v>
      </c>
      <c r="T966" s="1362">
        <f t="shared" si="134"/>
        <v>11.559091376315832</v>
      </c>
      <c r="W966" s="1612"/>
      <c r="X966" s="1612"/>
      <c r="Y966" s="1613"/>
      <c r="Z966" s="1614"/>
      <c r="AA966" s="1614"/>
      <c r="AB966" s="1615"/>
      <c r="AC966" s="1615"/>
      <c r="AD966" s="583"/>
      <c r="AE966" s="583"/>
    </row>
    <row r="967" spans="1:31" ht="14">
      <c r="A967" s="1384" t="s">
        <v>3845</v>
      </c>
      <c r="B967" s="19" t="s">
        <v>5311</v>
      </c>
      <c r="C967" s="1383">
        <v>16456</v>
      </c>
      <c r="D967" s="1236"/>
      <c r="E967" s="1236"/>
      <c r="F967" s="1344">
        <f>(1/S967)*cnst_fish!$C$6</f>
        <v>1.1690719251973822</v>
      </c>
      <c r="G967" s="1344">
        <f t="shared" si="137"/>
        <v>1</v>
      </c>
      <c r="H967" s="1344">
        <f t="shared" si="137"/>
        <v>0.367192066876738</v>
      </c>
      <c r="I967" s="1344">
        <f t="shared" ref="I967:I1030" si="138">IF($F967=0,0,D967/$F967*$H967*$G967)</f>
        <v>0</v>
      </c>
      <c r="J967" s="902">
        <f t="shared" ref="J967:J1030" si="139">IF($F967=0,0,E967/$F967*$H967*$G967)</f>
        <v>0</v>
      </c>
      <c r="L967" s="1460"/>
      <c r="M967" s="1236">
        <v>142515</v>
      </c>
      <c r="N967" s="1240" t="s">
        <v>2441</v>
      </c>
      <c r="O967" s="1241" t="s">
        <v>4840</v>
      </c>
      <c r="P967" s="910">
        <f t="shared" ref="P967:P1030" si="140">D967+E967</f>
        <v>0</v>
      </c>
      <c r="Q967" s="910">
        <f t="shared" ref="Q967:Q1030" si="141">L967+M967</f>
        <v>142515</v>
      </c>
      <c r="R967" s="1344">
        <f t="shared" ref="R967:R1030" si="142">VLOOKUP(B967,constant_fish_trophic,3,FALSE)</f>
        <v>2.4112496163562103</v>
      </c>
      <c r="S967" s="1344">
        <f>(1/9)*cnst_fish!$C$7*(1/cnst_fish!$C$8)^(R967-1)</f>
        <v>3.6353622975613278</v>
      </c>
      <c r="T967" s="1362">
        <f t="shared" ref="T967:T1030" si="143">IF(F967=0,0,Q967/F967*H967*G967)</f>
        <v>44762.324954560027</v>
      </c>
      <c r="W967" s="1612"/>
      <c r="X967" s="1612"/>
      <c r="Y967" s="1613"/>
      <c r="Z967" s="1614"/>
      <c r="AA967" s="1614"/>
      <c r="AB967" s="1615"/>
      <c r="AC967" s="1615"/>
      <c r="AD967" s="583"/>
      <c r="AE967" s="583"/>
    </row>
    <row r="968" spans="1:31" ht="14">
      <c r="A968" s="1384" t="s">
        <v>2732</v>
      </c>
      <c r="B968" s="19" t="s">
        <v>5312</v>
      </c>
      <c r="C968" s="1383">
        <v>2608</v>
      </c>
      <c r="D968" s="1236"/>
      <c r="E968" s="1236"/>
      <c r="F968" s="1344">
        <f>(1/S968)*cnst_fish!$C$6</f>
        <v>1.9014759972289452</v>
      </c>
      <c r="G968" s="1344">
        <f t="shared" ref="G968:H987" si="144">G$7</f>
        <v>1</v>
      </c>
      <c r="H968" s="1344">
        <f t="shared" si="144"/>
        <v>0.367192066876738</v>
      </c>
      <c r="I968" s="1344">
        <f t="shared" si="138"/>
        <v>0</v>
      </c>
      <c r="J968" s="902">
        <f t="shared" si="139"/>
        <v>0</v>
      </c>
      <c r="L968" s="1460"/>
      <c r="M968" s="1236">
        <v>12053</v>
      </c>
      <c r="N968" s="1240" t="s">
        <v>2441</v>
      </c>
      <c r="O968" s="1241" t="s">
        <v>4840</v>
      </c>
      <c r="P968" s="910">
        <f t="shared" si="140"/>
        <v>0</v>
      </c>
      <c r="Q968" s="910">
        <f t="shared" si="141"/>
        <v>12053</v>
      </c>
      <c r="R968" s="1344">
        <f t="shared" si="142"/>
        <v>2.2000000000000002</v>
      </c>
      <c r="S968" s="1344">
        <f>(1/9)*cnst_fish!$C$7*(1/cnst_fish!$C$8)^(R968-1)</f>
        <v>2.2351057842400328</v>
      </c>
      <c r="T968" s="1362">
        <f t="shared" si="143"/>
        <v>2327.5423873428172</v>
      </c>
      <c r="W968" s="1612"/>
      <c r="X968" s="1612"/>
      <c r="Y968" s="1613"/>
      <c r="Z968" s="1614"/>
      <c r="AA968" s="1614"/>
      <c r="AB968" s="1615"/>
      <c r="AC968" s="1615"/>
      <c r="AD968" s="583"/>
      <c r="AE968" s="583"/>
    </row>
    <row r="969" spans="1:31" ht="14">
      <c r="A969" s="1384" t="s">
        <v>2726</v>
      </c>
      <c r="B969" s="19" t="s">
        <v>5313</v>
      </c>
      <c r="C969" s="1383">
        <v>3431</v>
      </c>
      <c r="D969" s="1236"/>
      <c r="E969" s="1236">
        <v>2</v>
      </c>
      <c r="F969" s="1344">
        <f>(1/S969)*cnst_fish!$C$6</f>
        <v>0.95299549485983426</v>
      </c>
      <c r="G969" s="1344">
        <f t="shared" si="144"/>
        <v>1</v>
      </c>
      <c r="H969" s="1344">
        <f t="shared" si="144"/>
        <v>0.367192066876738</v>
      </c>
      <c r="I969" s="1344">
        <f t="shared" si="138"/>
        <v>0</v>
      </c>
      <c r="J969" s="902">
        <f t="shared" si="139"/>
        <v>0.77060609175438821</v>
      </c>
      <c r="L969" s="1460">
        <v>1745</v>
      </c>
      <c r="M969" s="1236">
        <v>7898</v>
      </c>
      <c r="N969" s="1240" t="s">
        <v>2441</v>
      </c>
      <c r="O969" s="1241" t="s">
        <v>4840</v>
      </c>
      <c r="P969" s="910">
        <f t="shared" si="140"/>
        <v>2</v>
      </c>
      <c r="Q969" s="910">
        <f t="shared" si="141"/>
        <v>9643</v>
      </c>
      <c r="R969" s="1344">
        <f t="shared" si="142"/>
        <v>2.5</v>
      </c>
      <c r="S969" s="1344">
        <f>(1/9)*cnst_fish!$C$7*(1/cnst_fish!$C$8)^(R969-1)</f>
        <v>4.4596223412630991</v>
      </c>
      <c r="T969" s="1362">
        <f t="shared" si="143"/>
        <v>3715.4772713937823</v>
      </c>
      <c r="W969" s="1612"/>
      <c r="X969" s="1612"/>
      <c r="Y969" s="1613"/>
      <c r="Z969" s="1614"/>
      <c r="AA969" s="1614"/>
      <c r="AB969" s="1615"/>
      <c r="AC969" s="1615"/>
      <c r="AD969" s="583"/>
      <c r="AE969" s="583"/>
    </row>
    <row r="970" spans="1:31" ht="14">
      <c r="A970" s="1384" t="s">
        <v>2590</v>
      </c>
      <c r="B970" s="19" t="s">
        <v>490</v>
      </c>
      <c r="C970" s="1383">
        <v>13329</v>
      </c>
      <c r="D970" s="1236"/>
      <c r="E970" s="1236"/>
      <c r="F970" s="1344">
        <f>(1/S970)*cnst_fish!$C$6</f>
        <v>6.0129950673834844E-2</v>
      </c>
      <c r="G970" s="1344">
        <f t="shared" si="144"/>
        <v>1</v>
      </c>
      <c r="H970" s="1344">
        <f t="shared" si="144"/>
        <v>0.367192066876738</v>
      </c>
      <c r="I970" s="1344">
        <f t="shared" si="138"/>
        <v>0</v>
      </c>
      <c r="J970" s="902">
        <f t="shared" si="139"/>
        <v>0</v>
      </c>
      <c r="L970" s="1460"/>
      <c r="M970" s="1236">
        <v>33</v>
      </c>
      <c r="N970" s="1240" t="s">
        <v>1806</v>
      </c>
      <c r="O970" s="1241" t="s">
        <v>4845</v>
      </c>
      <c r="P970" s="910">
        <f t="shared" si="140"/>
        <v>0</v>
      </c>
      <c r="Q970" s="910">
        <f t="shared" si="141"/>
        <v>33</v>
      </c>
      <c r="R970" s="1344">
        <f t="shared" si="142"/>
        <v>3.7</v>
      </c>
      <c r="S970" s="1344">
        <f>(1/9)*cnst_fish!$C$7*(1/cnst_fish!$C$8)^(R970-1)</f>
        <v>70.680250896153822</v>
      </c>
      <c r="T970" s="1362">
        <f t="shared" si="143"/>
        <v>201.51917756694809</v>
      </c>
      <c r="W970" s="1612"/>
      <c r="X970" s="1612"/>
      <c r="Y970" s="1613"/>
      <c r="Z970" s="1614"/>
      <c r="AA970" s="1614"/>
      <c r="AB970" s="1615"/>
      <c r="AC970" s="1615"/>
      <c r="AD970" s="583"/>
      <c r="AE970" s="583"/>
    </row>
    <row r="971" spans="1:31" ht="14">
      <c r="A971" s="1384" t="s">
        <v>3552</v>
      </c>
      <c r="B971" s="19" t="s">
        <v>5592</v>
      </c>
      <c r="C971" s="1383">
        <v>3631</v>
      </c>
      <c r="D971" s="1236">
        <v>3302</v>
      </c>
      <c r="E971" s="1236"/>
      <c r="F971" s="1344">
        <f>(1/S971)*cnst_fish!$C$6</f>
        <v>30.136363636363644</v>
      </c>
      <c r="G971" s="1344">
        <f t="shared" si="144"/>
        <v>1</v>
      </c>
      <c r="H971" s="1344">
        <f t="shared" si="144"/>
        <v>0.367192066876738</v>
      </c>
      <c r="I971" s="1344">
        <f t="shared" si="138"/>
        <v>40.232730778572773</v>
      </c>
      <c r="J971" s="902">
        <f t="shared" si="139"/>
        <v>0</v>
      </c>
      <c r="L971" s="1460">
        <v>33914</v>
      </c>
      <c r="M971" s="1236"/>
      <c r="N971" s="1240" t="s">
        <v>1808</v>
      </c>
      <c r="O971" s="1241" t="s">
        <v>4831</v>
      </c>
      <c r="P971" s="910">
        <f t="shared" si="140"/>
        <v>3302</v>
      </c>
      <c r="Q971" s="910">
        <f t="shared" si="141"/>
        <v>33914</v>
      </c>
      <c r="R971" s="1344">
        <f t="shared" si="142"/>
        <v>1</v>
      </c>
      <c r="S971" s="1344">
        <f>(1/9)*cnst_fish!$C$7*(1/cnst_fish!$C$8)^(R971-1)</f>
        <v>0.141025641025641</v>
      </c>
      <c r="T971" s="1362">
        <f t="shared" si="143"/>
        <v>413.22011860221596</v>
      </c>
      <c r="W971" s="1612"/>
      <c r="X971" s="1612"/>
      <c r="Y971" s="1613"/>
      <c r="Z971" s="1614"/>
      <c r="AA971" s="1614"/>
      <c r="AB971" s="1615"/>
      <c r="AC971" s="1615"/>
      <c r="AD971" s="583"/>
      <c r="AE971" s="583"/>
    </row>
    <row r="972" spans="1:31" ht="14">
      <c r="A972" s="1384" t="s">
        <v>3553</v>
      </c>
      <c r="B972" s="19" t="s">
        <v>3785</v>
      </c>
      <c r="C972" s="1383">
        <v>3156</v>
      </c>
      <c r="D972" s="1236"/>
      <c r="E972" s="1236"/>
      <c r="F972" s="1344">
        <f>(1/S972)*cnst_fish!$C$6</f>
        <v>3.7939434000887833E-2</v>
      </c>
      <c r="G972" s="1344">
        <f t="shared" si="144"/>
        <v>1</v>
      </c>
      <c r="H972" s="1344">
        <f t="shared" si="144"/>
        <v>0.367192066876738</v>
      </c>
      <c r="I972" s="1344">
        <f t="shared" si="138"/>
        <v>0</v>
      </c>
      <c r="J972" s="902">
        <f t="shared" si="139"/>
        <v>0</v>
      </c>
      <c r="L972" s="1460">
        <v>11930</v>
      </c>
      <c r="M972" s="1236"/>
      <c r="N972" s="1240" t="s">
        <v>1806</v>
      </c>
      <c r="O972" s="1241" t="s">
        <v>4841</v>
      </c>
      <c r="P972" s="910">
        <f t="shared" si="140"/>
        <v>0</v>
      </c>
      <c r="Q972" s="910">
        <f t="shared" si="141"/>
        <v>11930</v>
      </c>
      <c r="R972" s="1344">
        <f t="shared" si="142"/>
        <v>3.9</v>
      </c>
      <c r="S972" s="1344">
        <f>(1/9)*cnst_fish!$C$7*(1/cnst_fish!$C$8)^(R972-1)</f>
        <v>112.02064848675771</v>
      </c>
      <c r="T972" s="1362">
        <f t="shared" si="143"/>
        <v>115463.01290991774</v>
      </c>
      <c r="W972" s="1612"/>
      <c r="X972" s="1612"/>
      <c r="Y972" s="1613"/>
      <c r="Z972" s="1614"/>
      <c r="AA972" s="1614"/>
      <c r="AB972" s="1615"/>
      <c r="AC972" s="1615"/>
      <c r="AD972" s="583"/>
      <c r="AE972" s="583"/>
    </row>
    <row r="973" spans="1:31" ht="14">
      <c r="A973" s="1384" t="s">
        <v>4133</v>
      </c>
      <c r="B973" s="19" t="s">
        <v>1238</v>
      </c>
      <c r="C973" s="1383">
        <v>2246</v>
      </c>
      <c r="D973" s="1236"/>
      <c r="E973" s="1236"/>
      <c r="F973" s="1344">
        <f>(1/S973)*cnst_fish!$C$6</f>
        <v>0.10211530705467774</v>
      </c>
      <c r="G973" s="1344">
        <f t="shared" si="144"/>
        <v>1</v>
      </c>
      <c r="H973" s="1344">
        <f t="shared" si="144"/>
        <v>0.367192066876738</v>
      </c>
      <c r="I973" s="1344">
        <f t="shared" si="138"/>
        <v>0</v>
      </c>
      <c r="J973" s="902">
        <f t="shared" si="139"/>
        <v>0</v>
      </c>
      <c r="L973" s="1460">
        <v>1</v>
      </c>
      <c r="M973" s="1236"/>
      <c r="N973" s="1240" t="s">
        <v>1806</v>
      </c>
      <c r="O973" s="1241" t="s">
        <v>4841</v>
      </c>
      <c r="P973" s="910">
        <f t="shared" si="140"/>
        <v>0</v>
      </c>
      <c r="Q973" s="910">
        <f t="shared" si="141"/>
        <v>1</v>
      </c>
      <c r="R973" s="1344">
        <f t="shared" si="142"/>
        <v>3.47</v>
      </c>
      <c r="S973" s="1344">
        <f>(1/9)*cnst_fish!$C$7*(1/cnst_fish!$C$8)^(R973-1)</f>
        <v>41.619617299141382</v>
      </c>
      <c r="T973" s="1362">
        <f t="shared" si="143"/>
        <v>3.5958572467507217</v>
      </c>
      <c r="W973" s="1612"/>
      <c r="X973" s="1612"/>
      <c r="Y973" s="1613"/>
      <c r="Z973" s="1614"/>
      <c r="AA973" s="1614"/>
      <c r="AB973" s="1615"/>
      <c r="AC973" s="1615"/>
      <c r="AD973" s="583"/>
      <c r="AE973" s="583"/>
    </row>
    <row r="974" spans="1:31" ht="14">
      <c r="A974" s="1384" t="s">
        <v>2990</v>
      </c>
      <c r="B974" s="19" t="s">
        <v>3066</v>
      </c>
      <c r="C974" s="1383">
        <v>16070</v>
      </c>
      <c r="D974" s="1236">
        <v>95</v>
      </c>
      <c r="E974" s="1236"/>
      <c r="F974" s="1344">
        <f>(1/S974)*cnst_fish!$C$6</f>
        <v>7.7462381998898044E-2</v>
      </c>
      <c r="G974" s="1344">
        <f t="shared" si="144"/>
        <v>1</v>
      </c>
      <c r="H974" s="1344">
        <f t="shared" si="144"/>
        <v>0.367192066876738</v>
      </c>
      <c r="I974" s="1344">
        <f t="shared" si="138"/>
        <v>450.32498940952206</v>
      </c>
      <c r="J974" s="902">
        <f t="shared" si="139"/>
        <v>0</v>
      </c>
      <c r="L974" s="1460">
        <v>17667</v>
      </c>
      <c r="M974" s="1236"/>
      <c r="N974" s="1240" t="s">
        <v>1806</v>
      </c>
      <c r="O974" s="1241" t="s">
        <v>4841</v>
      </c>
      <c r="P974" s="910">
        <f t="shared" si="140"/>
        <v>95</v>
      </c>
      <c r="Q974" s="910">
        <f t="shared" si="141"/>
        <v>17667</v>
      </c>
      <c r="R974" s="1344">
        <f t="shared" si="142"/>
        <v>3.59</v>
      </c>
      <c r="S974" s="1344">
        <f>(1/9)*cnst_fish!$C$7*(1/cnst_fish!$C$8)^(R974-1)</f>
        <v>54.865340960731871</v>
      </c>
      <c r="T974" s="1362">
        <f t="shared" si="143"/>
        <v>83746.22724103184</v>
      </c>
      <c r="W974" s="1612"/>
      <c r="X974" s="1612"/>
      <c r="Y974" s="1613"/>
      <c r="Z974" s="1614"/>
      <c r="AA974" s="1614"/>
      <c r="AB974" s="1615"/>
      <c r="AC974" s="1615"/>
      <c r="AD974" s="583"/>
      <c r="AE974" s="583"/>
    </row>
    <row r="975" spans="1:31" ht="14">
      <c r="A975" s="1384" t="s">
        <v>4135</v>
      </c>
      <c r="B975" s="19" t="s">
        <v>3067</v>
      </c>
      <c r="C975" s="1383">
        <v>3034</v>
      </c>
      <c r="D975" s="1236"/>
      <c r="E975" s="1236"/>
      <c r="F975" s="1344">
        <f>(1/S975)*cnst_fish!$C$6</f>
        <v>9.979087888316248E-3</v>
      </c>
      <c r="G975" s="1344">
        <f t="shared" si="144"/>
        <v>1</v>
      </c>
      <c r="H975" s="1344">
        <f t="shared" si="144"/>
        <v>0.367192066876738</v>
      </c>
      <c r="I975" s="1344">
        <f t="shared" si="138"/>
        <v>0</v>
      </c>
      <c r="J975" s="902">
        <f t="shared" si="139"/>
        <v>0</v>
      </c>
      <c r="L975" s="1460">
        <v>1246</v>
      </c>
      <c r="M975" s="1236"/>
      <c r="N975" s="1240" t="s">
        <v>1806</v>
      </c>
      <c r="O975" s="1241" t="s">
        <v>4841</v>
      </c>
      <c r="P975" s="910">
        <f t="shared" si="140"/>
        <v>0</v>
      </c>
      <c r="Q975" s="910">
        <f t="shared" si="141"/>
        <v>1246</v>
      </c>
      <c r="R975" s="1344">
        <f t="shared" si="142"/>
        <v>4.4800000000000004</v>
      </c>
      <c r="S975" s="1344">
        <f>(1/9)*cnst_fish!$C$7*(1/cnst_fish!$C$8)^(R975-1)</f>
        <v>425.89062723618264</v>
      </c>
      <c r="T975" s="1362">
        <f t="shared" si="143"/>
        <v>45848.009402151103</v>
      </c>
      <c r="W975" s="1612"/>
      <c r="X975" s="1612"/>
      <c r="Y975" s="1613"/>
      <c r="Z975" s="1614"/>
      <c r="AA975" s="1614"/>
      <c r="AB975" s="1615"/>
      <c r="AC975" s="1615"/>
      <c r="AD975" s="583"/>
      <c r="AE975" s="583"/>
    </row>
    <row r="976" spans="1:31" ht="14">
      <c r="A976" s="1384" t="s">
        <v>4317</v>
      </c>
      <c r="B976" s="19" t="s">
        <v>3068</v>
      </c>
      <c r="C976" s="1383">
        <v>13341</v>
      </c>
      <c r="D976" s="1236"/>
      <c r="E976" s="1236"/>
      <c r="F976" s="1344">
        <f>(1/S976)*cnst_fish!$C$6</f>
        <v>5.3590874947991168E-2</v>
      </c>
      <c r="G976" s="1344">
        <f t="shared" si="144"/>
        <v>1</v>
      </c>
      <c r="H976" s="1344">
        <f t="shared" si="144"/>
        <v>0.367192066876738</v>
      </c>
      <c r="I976" s="1344">
        <f t="shared" si="138"/>
        <v>0</v>
      </c>
      <c r="J976" s="902">
        <f t="shared" si="139"/>
        <v>0</v>
      </c>
      <c r="L976" s="1460">
        <v>1355</v>
      </c>
      <c r="M976" s="1236"/>
      <c r="N976" s="1240" t="s">
        <v>1806</v>
      </c>
      <c r="O976" s="1241" t="s">
        <v>4841</v>
      </c>
      <c r="P976" s="910">
        <f t="shared" si="140"/>
        <v>0</v>
      </c>
      <c r="Q976" s="910">
        <f t="shared" si="141"/>
        <v>1355</v>
      </c>
      <c r="R976" s="1344">
        <f t="shared" si="142"/>
        <v>3.75</v>
      </c>
      <c r="S976" s="1344">
        <f>(1/9)*cnst_fish!$C$7*(1/cnst_fish!$C$8)^(R976-1)</f>
        <v>79.304545860177441</v>
      </c>
      <c r="T976" s="1362">
        <f t="shared" si="143"/>
        <v>9284.1412106228418</v>
      </c>
      <c r="W976" s="1612"/>
      <c r="X976" s="1612"/>
      <c r="Y976" s="1613"/>
      <c r="Z976" s="1614"/>
      <c r="AA976" s="1614"/>
      <c r="AB976" s="1615"/>
      <c r="AC976" s="1615"/>
      <c r="AD976" s="583"/>
      <c r="AE976" s="583"/>
    </row>
    <row r="977" spans="1:31" ht="14">
      <c r="A977" s="1384" t="s">
        <v>3340</v>
      </c>
      <c r="B977" s="19" t="s">
        <v>3069</v>
      </c>
      <c r="C977" s="1383">
        <v>13342</v>
      </c>
      <c r="D977" s="1236"/>
      <c r="E977" s="1236"/>
      <c r="F977" s="1344">
        <f>(1/S977)*cnst_fish!$C$6</f>
        <v>5.8761225892708345E-2</v>
      </c>
      <c r="G977" s="1344">
        <f t="shared" si="144"/>
        <v>1</v>
      </c>
      <c r="H977" s="1344">
        <f t="shared" si="144"/>
        <v>0.367192066876738</v>
      </c>
      <c r="I977" s="1344">
        <f t="shared" si="138"/>
        <v>0</v>
      </c>
      <c r="J977" s="902">
        <f t="shared" si="139"/>
        <v>0</v>
      </c>
      <c r="L977" s="1460">
        <v>0</v>
      </c>
      <c r="M977" s="1236"/>
      <c r="N977" s="1240" t="s">
        <v>1806</v>
      </c>
      <c r="O977" s="1241" t="s">
        <v>4841</v>
      </c>
      <c r="P977" s="910">
        <f t="shared" si="140"/>
        <v>0</v>
      </c>
      <c r="Q977" s="910">
        <f t="shared" si="141"/>
        <v>0</v>
      </c>
      <c r="R977" s="1344">
        <f t="shared" si="142"/>
        <v>3.71</v>
      </c>
      <c r="S977" s="1344">
        <f>(1/9)*cnst_fish!$C$7*(1/cnst_fish!$C$8)^(R977-1)</f>
        <v>72.326605434679692</v>
      </c>
      <c r="T977" s="1362">
        <f t="shared" si="143"/>
        <v>0</v>
      </c>
      <c r="W977" s="1612"/>
      <c r="X977" s="1612"/>
      <c r="Y977" s="1613"/>
      <c r="Z977" s="1614"/>
      <c r="AA977" s="1614"/>
      <c r="AB977" s="1615"/>
      <c r="AC977" s="1615"/>
      <c r="AD977" s="583"/>
      <c r="AE977" s="583"/>
    </row>
    <row r="978" spans="1:31" ht="14">
      <c r="A978" s="1384" t="s">
        <v>3550</v>
      </c>
      <c r="B978" s="19" t="s">
        <v>2032</v>
      </c>
      <c r="C978" s="1383">
        <v>2244</v>
      </c>
      <c r="D978" s="1236">
        <v>0</v>
      </c>
      <c r="E978" s="1236"/>
      <c r="F978" s="1344">
        <f>(1/S978)*cnst_fish!$C$6</f>
        <v>4.2568745094767511E-2</v>
      </c>
      <c r="G978" s="1344">
        <f t="shared" si="144"/>
        <v>1</v>
      </c>
      <c r="H978" s="1344">
        <f t="shared" si="144"/>
        <v>0.367192066876738</v>
      </c>
      <c r="I978" s="1344">
        <f t="shared" si="138"/>
        <v>0</v>
      </c>
      <c r="J978" s="902">
        <f t="shared" si="139"/>
        <v>0</v>
      </c>
      <c r="L978" s="1460">
        <v>1971</v>
      </c>
      <c r="M978" s="1236"/>
      <c r="N978" s="1240" t="s">
        <v>1806</v>
      </c>
      <c r="O978" s="1241" t="s">
        <v>4841</v>
      </c>
      <c r="P978" s="910">
        <f t="shared" si="140"/>
        <v>0</v>
      </c>
      <c r="Q978" s="910">
        <f t="shared" si="141"/>
        <v>1971</v>
      </c>
      <c r="R978" s="1344">
        <f t="shared" si="142"/>
        <v>3.85</v>
      </c>
      <c r="S978" s="1344">
        <f>(1/9)*cnst_fish!$C$7*(1/cnst_fish!$C$8)^(R978-1)</f>
        <v>99.838508054173388</v>
      </c>
      <c r="T978" s="1362">
        <f t="shared" si="143"/>
        <v>17001.571509868427</v>
      </c>
      <c r="W978" s="1612"/>
      <c r="X978" s="1612"/>
      <c r="Y978" s="1613"/>
      <c r="Z978" s="1614"/>
      <c r="AA978" s="1614"/>
      <c r="AB978" s="1615"/>
      <c r="AC978" s="1615"/>
      <c r="AD978" s="583"/>
      <c r="AE978" s="583"/>
    </row>
    <row r="979" spans="1:31" ht="14">
      <c r="A979" s="1384" t="s">
        <v>3084</v>
      </c>
      <c r="B979" s="19" t="s">
        <v>609</v>
      </c>
      <c r="C979" s="1383">
        <v>13343</v>
      </c>
      <c r="D979" s="1236"/>
      <c r="E979" s="1236"/>
      <c r="F979" s="1344">
        <f>(1/S979)*cnst_fish!$C$6</f>
        <v>0.10211530705467774</v>
      </c>
      <c r="G979" s="1344">
        <f t="shared" si="144"/>
        <v>1</v>
      </c>
      <c r="H979" s="1344">
        <f t="shared" si="144"/>
        <v>0.367192066876738</v>
      </c>
      <c r="I979" s="1344">
        <f t="shared" si="138"/>
        <v>0</v>
      </c>
      <c r="J979" s="902">
        <f t="shared" si="139"/>
        <v>0</v>
      </c>
      <c r="L979" s="1460">
        <v>25</v>
      </c>
      <c r="M979" s="1236"/>
      <c r="N979" s="1240" t="s">
        <v>1806</v>
      </c>
      <c r="O979" s="1241" t="s">
        <v>4841</v>
      </c>
      <c r="P979" s="910">
        <f t="shared" si="140"/>
        <v>0</v>
      </c>
      <c r="Q979" s="910">
        <f t="shared" si="141"/>
        <v>25</v>
      </c>
      <c r="R979" s="1344">
        <f t="shared" si="142"/>
        <v>3.47</v>
      </c>
      <c r="S979" s="1344">
        <f>(1/9)*cnst_fish!$C$7*(1/cnst_fish!$C$8)^(R979-1)</f>
        <v>41.619617299141382</v>
      </c>
      <c r="T979" s="1362">
        <f t="shared" si="143"/>
        <v>89.896431168768032</v>
      </c>
      <c r="W979" s="1612"/>
      <c r="X979" s="1612"/>
      <c r="Y979" s="1613"/>
      <c r="Z979" s="1614"/>
      <c r="AA979" s="1614"/>
      <c r="AB979" s="1615"/>
      <c r="AC979" s="1615"/>
      <c r="AD979" s="583"/>
      <c r="AE979" s="583"/>
    </row>
    <row r="980" spans="1:31" ht="14">
      <c r="A980" s="1384" t="s">
        <v>1984</v>
      </c>
      <c r="B980" s="19" t="s">
        <v>1647</v>
      </c>
      <c r="C980" s="1383">
        <v>2458</v>
      </c>
      <c r="D980" s="1236">
        <v>0</v>
      </c>
      <c r="E980" s="1236"/>
      <c r="F980" s="1344">
        <f>(1/S980)*cnst_fish!$C$6</f>
        <v>0.11457525898206007</v>
      </c>
      <c r="G980" s="1344">
        <f t="shared" si="144"/>
        <v>1</v>
      </c>
      <c r="H980" s="1344">
        <f t="shared" si="144"/>
        <v>0.367192066876738</v>
      </c>
      <c r="I980" s="1344">
        <f t="shared" si="138"/>
        <v>0</v>
      </c>
      <c r="J980" s="902">
        <f t="shared" si="139"/>
        <v>0</v>
      </c>
      <c r="L980" s="1460">
        <v>0</v>
      </c>
      <c r="M980" s="1236"/>
      <c r="N980" s="1240" t="s">
        <v>1806</v>
      </c>
      <c r="O980" s="1241" t="s">
        <v>4841</v>
      </c>
      <c r="P980" s="910">
        <f t="shared" si="140"/>
        <v>0</v>
      </c>
      <c r="Q980" s="910">
        <f t="shared" si="141"/>
        <v>0</v>
      </c>
      <c r="R980" s="1344">
        <f t="shared" si="142"/>
        <v>3.42</v>
      </c>
      <c r="S980" s="1344">
        <f>(1/9)*cnst_fish!$C$7*(1/cnst_fish!$C$8)^(R980-1)</f>
        <v>37.093522962627169</v>
      </c>
      <c r="T980" s="1362">
        <f t="shared" si="143"/>
        <v>0</v>
      </c>
      <c r="W980" s="1612"/>
      <c r="X980" s="1612"/>
      <c r="Y980" s="1613"/>
      <c r="Z980" s="1614"/>
      <c r="AA980" s="1614"/>
      <c r="AB980" s="1615"/>
      <c r="AC980" s="1615"/>
      <c r="AD980" s="583"/>
      <c r="AE980" s="583"/>
    </row>
    <row r="981" spans="1:31" ht="14">
      <c r="A981" s="1384" t="s">
        <v>3561</v>
      </c>
      <c r="B981" s="19" t="s">
        <v>610</v>
      </c>
      <c r="C981" s="1383">
        <v>2243</v>
      </c>
      <c r="D981" s="1236"/>
      <c r="E981" s="1236"/>
      <c r="F981" s="1344">
        <f>(1/S981)*cnst_fish!$C$6</f>
        <v>3.5407139951132149E-2</v>
      </c>
      <c r="G981" s="1344">
        <f t="shared" si="144"/>
        <v>1</v>
      </c>
      <c r="H981" s="1344">
        <f t="shared" si="144"/>
        <v>0.367192066876738</v>
      </c>
      <c r="I981" s="1344">
        <f t="shared" si="138"/>
        <v>0</v>
      </c>
      <c r="J981" s="902">
        <f t="shared" si="139"/>
        <v>0</v>
      </c>
      <c r="L981" s="1460">
        <v>120903</v>
      </c>
      <c r="M981" s="1236"/>
      <c r="N981" s="1240" t="s">
        <v>1806</v>
      </c>
      <c r="O981" s="1241" t="s">
        <v>4841</v>
      </c>
      <c r="P981" s="910">
        <f t="shared" si="140"/>
        <v>0</v>
      </c>
      <c r="Q981" s="910">
        <f t="shared" si="141"/>
        <v>120903</v>
      </c>
      <c r="R981" s="1344">
        <f t="shared" si="142"/>
        <v>3.93</v>
      </c>
      <c r="S981" s="1344">
        <f>(1/9)*cnst_fish!$C$7*(1/cnst_fish!$C$8)^(R981-1)</f>
        <v>120.03228743879681</v>
      </c>
      <c r="T981" s="1362">
        <f t="shared" si="143"/>
        <v>1253832.4903641003</v>
      </c>
      <c r="W981" s="1612"/>
      <c r="X981" s="1612"/>
      <c r="Y981" s="1613"/>
      <c r="Z981" s="1614"/>
      <c r="AA981" s="1614"/>
      <c r="AB981" s="1615"/>
      <c r="AC981" s="1615"/>
      <c r="AD981" s="583"/>
      <c r="AE981" s="583"/>
    </row>
    <row r="982" spans="1:31" ht="14">
      <c r="A982" s="1384" t="s">
        <v>3342</v>
      </c>
      <c r="B982" s="19" t="s">
        <v>611</v>
      </c>
      <c r="C982" s="1383">
        <v>3033</v>
      </c>
      <c r="D982" s="1236"/>
      <c r="E982" s="1236"/>
      <c r="F982" s="1344">
        <f>(1/S982)*cnst_fish!$C$6</f>
        <v>1.0211530705467781E-2</v>
      </c>
      <c r="G982" s="1344">
        <f t="shared" si="144"/>
        <v>1</v>
      </c>
      <c r="H982" s="1344">
        <f t="shared" si="144"/>
        <v>0.367192066876738</v>
      </c>
      <c r="I982" s="1344">
        <f t="shared" si="138"/>
        <v>0</v>
      </c>
      <c r="J982" s="902">
        <f t="shared" si="139"/>
        <v>0</v>
      </c>
      <c r="L982" s="1460">
        <v>144186</v>
      </c>
      <c r="M982" s="1236"/>
      <c r="N982" s="1240" t="s">
        <v>1806</v>
      </c>
      <c r="O982" s="1241" t="s">
        <v>4841</v>
      </c>
      <c r="P982" s="910">
        <f t="shared" si="140"/>
        <v>0</v>
      </c>
      <c r="Q982" s="910">
        <f t="shared" si="141"/>
        <v>144186</v>
      </c>
      <c r="R982" s="1344">
        <f t="shared" si="142"/>
        <v>4.47</v>
      </c>
      <c r="S982" s="1344">
        <f>(1/9)*cnst_fish!$C$7*(1/cnst_fish!$C$8)^(R982-1)</f>
        <v>416.19617299141356</v>
      </c>
      <c r="T982" s="1362">
        <f t="shared" si="143"/>
        <v>5184722.7297999915</v>
      </c>
      <c r="W982" s="1612"/>
      <c r="X982" s="1612"/>
      <c r="Y982" s="1613"/>
      <c r="Z982" s="1614"/>
      <c r="AA982" s="1614"/>
      <c r="AB982" s="1615"/>
      <c r="AC982" s="1615"/>
      <c r="AD982" s="583"/>
      <c r="AE982" s="583"/>
    </row>
    <row r="983" spans="1:31" ht="14">
      <c r="A983" s="1384" t="s">
        <v>6571</v>
      </c>
      <c r="B983" s="19" t="s">
        <v>6570</v>
      </c>
      <c r="C983" s="1383">
        <v>13345</v>
      </c>
      <c r="D983" s="1236"/>
      <c r="E983" s="1236"/>
      <c r="F983" s="1344">
        <f>(1/S983)*cnst_fish!$C$6</f>
        <v>2.3938164528281767E-2</v>
      </c>
      <c r="G983" s="1344">
        <f t="shared" si="144"/>
        <v>1</v>
      </c>
      <c r="H983" s="1344">
        <f t="shared" si="144"/>
        <v>0.367192066876738</v>
      </c>
      <c r="I983" s="1344">
        <f t="shared" si="138"/>
        <v>0</v>
      </c>
      <c r="J983" s="902">
        <f t="shared" si="139"/>
        <v>0</v>
      </c>
      <c r="L983" s="1460">
        <v>0</v>
      </c>
      <c r="M983" s="1236"/>
      <c r="N983" s="1240" t="s">
        <v>1806</v>
      </c>
      <c r="O983" s="1241" t="s">
        <v>4841</v>
      </c>
      <c r="P983" s="910">
        <f t="shared" si="140"/>
        <v>0</v>
      </c>
      <c r="Q983" s="910">
        <f t="shared" si="141"/>
        <v>0</v>
      </c>
      <c r="R983" s="1344">
        <f t="shared" si="142"/>
        <v>4.0999999999999996</v>
      </c>
      <c r="S983" s="1344">
        <f>(1/9)*cnst_fish!$C$7*(1/cnst_fish!$C$8)^(R983-1)</f>
        <v>177.54076320174144</v>
      </c>
      <c r="T983" s="1362">
        <f t="shared" si="143"/>
        <v>0</v>
      </c>
      <c r="W983" s="1612"/>
      <c r="X983" s="1612"/>
      <c r="Y983" s="1613"/>
      <c r="Z983" s="1614"/>
      <c r="AA983" s="1614"/>
      <c r="AB983" s="1615"/>
      <c r="AC983" s="1615"/>
      <c r="AD983" s="583"/>
      <c r="AE983" s="583"/>
    </row>
    <row r="984" spans="1:31" ht="14">
      <c r="A984" s="1384" t="s">
        <v>3502</v>
      </c>
      <c r="B984" s="19" t="s">
        <v>2454</v>
      </c>
      <c r="C984" s="1383">
        <v>3476</v>
      </c>
      <c r="D984" s="1236"/>
      <c r="E984" s="1236"/>
      <c r="F984" s="1344">
        <f>(1/S984)*cnst_fish!$C$6</f>
        <v>1.5103960722494616</v>
      </c>
      <c r="G984" s="1344">
        <f t="shared" si="144"/>
        <v>1</v>
      </c>
      <c r="H984" s="1344">
        <f t="shared" si="144"/>
        <v>0.367192066876738</v>
      </c>
      <c r="I984" s="1344">
        <f t="shared" si="138"/>
        <v>0</v>
      </c>
      <c r="J984" s="902">
        <f t="shared" si="139"/>
        <v>0</v>
      </c>
      <c r="L984" s="1460">
        <v>5404</v>
      </c>
      <c r="M984" s="1236"/>
      <c r="N984" s="1240" t="s">
        <v>2430</v>
      </c>
      <c r="O984" s="1241" t="s">
        <v>4840</v>
      </c>
      <c r="P984" s="910">
        <f t="shared" si="140"/>
        <v>0</v>
      </c>
      <c r="Q984" s="910">
        <f t="shared" si="141"/>
        <v>5404</v>
      </c>
      <c r="R984" s="1344">
        <f t="shared" si="142"/>
        <v>2.2999999999999998</v>
      </c>
      <c r="S984" s="1344">
        <f>(1/9)*cnst_fish!$C$7*(1/cnst_fish!$C$8)^(R984-1)</f>
        <v>2.8138314698279068</v>
      </c>
      <c r="T984" s="1362">
        <f t="shared" si="143"/>
        <v>1313.765287039331</v>
      </c>
      <c r="W984" s="1612"/>
      <c r="X984" s="1612"/>
      <c r="Y984" s="1613"/>
      <c r="Z984" s="1614"/>
      <c r="AA984" s="1614"/>
      <c r="AB984" s="1615"/>
      <c r="AC984" s="1615"/>
      <c r="AD984" s="583"/>
      <c r="AE984" s="583"/>
    </row>
    <row r="985" spans="1:31" ht="14">
      <c r="A985" s="1384" t="s">
        <v>3341</v>
      </c>
      <c r="B985" s="19" t="s">
        <v>2532</v>
      </c>
      <c r="C985" s="1383">
        <v>2500</v>
      </c>
      <c r="D985" s="1236">
        <v>2</v>
      </c>
      <c r="E985" s="1236"/>
      <c r="F985" s="1344">
        <f>(1/S985)*cnst_fish!$C$6</f>
        <v>9.5299549485983424E-3</v>
      </c>
      <c r="G985" s="1344">
        <f t="shared" si="144"/>
        <v>1</v>
      </c>
      <c r="H985" s="1344">
        <f t="shared" si="144"/>
        <v>0.367192066876738</v>
      </c>
      <c r="I985" s="1344">
        <f t="shared" si="138"/>
        <v>77.060609175438813</v>
      </c>
      <c r="J985" s="902">
        <f t="shared" si="139"/>
        <v>0</v>
      </c>
      <c r="L985" s="1460">
        <v>15816</v>
      </c>
      <c r="M985" s="1236"/>
      <c r="N985" s="1240" t="s">
        <v>1806</v>
      </c>
      <c r="O985" s="1241" t="s">
        <v>4859</v>
      </c>
      <c r="P985" s="910">
        <f t="shared" si="140"/>
        <v>2</v>
      </c>
      <c r="Q985" s="910">
        <f t="shared" si="141"/>
        <v>15816</v>
      </c>
      <c r="R985" s="1344">
        <f t="shared" si="142"/>
        <v>4.5</v>
      </c>
      <c r="S985" s="1344">
        <f>(1/9)*cnst_fish!$C$7*(1/cnst_fish!$C$8)^(R985-1)</f>
        <v>445.96223412630997</v>
      </c>
      <c r="T985" s="1362">
        <f t="shared" si="143"/>
        <v>609395.29735937016</v>
      </c>
      <c r="W985" s="1612"/>
      <c r="X985" s="1612"/>
      <c r="Y985" s="1613"/>
      <c r="Z985" s="1614"/>
      <c r="AA985" s="1614"/>
      <c r="AB985" s="1615"/>
      <c r="AC985" s="1615"/>
      <c r="AD985" s="583"/>
      <c r="AE985" s="583"/>
    </row>
    <row r="986" spans="1:31" ht="14">
      <c r="A986" s="1384" t="s">
        <v>3329</v>
      </c>
      <c r="B986" s="19" t="s">
        <v>2533</v>
      </c>
      <c r="C986" s="1383">
        <v>3303</v>
      </c>
      <c r="D986" s="1236">
        <v>430</v>
      </c>
      <c r="E986" s="1236"/>
      <c r="F986" s="1344">
        <f>(1/S986)*cnst_fish!$C$6</f>
        <v>9.5299549485983424E-3</v>
      </c>
      <c r="G986" s="1344">
        <f t="shared" si="144"/>
        <v>1</v>
      </c>
      <c r="H986" s="1344">
        <f t="shared" si="144"/>
        <v>0.367192066876738</v>
      </c>
      <c r="I986" s="1344">
        <f t="shared" si="138"/>
        <v>16568.030972719345</v>
      </c>
      <c r="J986" s="902">
        <f t="shared" si="139"/>
        <v>0</v>
      </c>
      <c r="L986" s="1460">
        <v>41910</v>
      </c>
      <c r="M986" s="1236"/>
      <c r="N986" s="1240" t="s">
        <v>1806</v>
      </c>
      <c r="O986" s="1241" t="s">
        <v>4859</v>
      </c>
      <c r="P986" s="910">
        <f t="shared" si="140"/>
        <v>430</v>
      </c>
      <c r="Q986" s="910">
        <f t="shared" si="141"/>
        <v>41910</v>
      </c>
      <c r="R986" s="1344">
        <f t="shared" si="142"/>
        <v>4.5</v>
      </c>
      <c r="S986" s="1344">
        <f>(1/9)*cnst_fish!$C$7*(1/cnst_fish!$C$8)^(R986-1)</f>
        <v>445.96223412630997</v>
      </c>
      <c r="T986" s="1362">
        <f t="shared" si="143"/>
        <v>1614805.0652713205</v>
      </c>
      <c r="W986" s="1612"/>
      <c r="X986" s="1612"/>
      <c r="Y986" s="1613"/>
      <c r="Z986" s="1614"/>
      <c r="AA986" s="1614"/>
      <c r="AB986" s="1615"/>
      <c r="AC986" s="1615"/>
      <c r="AD986" s="583"/>
      <c r="AE986" s="583"/>
    </row>
    <row r="987" spans="1:31" ht="14">
      <c r="A987" s="1384" t="s">
        <v>6826</v>
      </c>
      <c r="B987" s="19" t="s">
        <v>6825</v>
      </c>
      <c r="C987" s="1383">
        <v>19219</v>
      </c>
      <c r="D987" s="1236">
        <v>3</v>
      </c>
      <c r="E987" s="1236"/>
      <c r="F987" s="1344">
        <f>(1/S987)*cnst_fish!$C$6</f>
        <v>7.5699122913220479E-2</v>
      </c>
      <c r="G987" s="1344">
        <f t="shared" si="144"/>
        <v>1</v>
      </c>
      <c r="H987" s="1344">
        <f t="shared" si="144"/>
        <v>0.367192066876738</v>
      </c>
      <c r="I987" s="1344">
        <f t="shared" si="138"/>
        <v>14.552033870894812</v>
      </c>
      <c r="J987" s="902">
        <f t="shared" si="139"/>
        <v>0</v>
      </c>
      <c r="L987" s="1460">
        <v>9</v>
      </c>
      <c r="M987" s="1236"/>
      <c r="N987" s="1240" t="s">
        <v>1806</v>
      </c>
      <c r="O987" s="1241" t="s">
        <v>4841</v>
      </c>
      <c r="P987" s="910">
        <f t="shared" si="140"/>
        <v>3</v>
      </c>
      <c r="Q987" s="910">
        <f t="shared" si="141"/>
        <v>9</v>
      </c>
      <c r="R987" s="1344">
        <f t="shared" si="142"/>
        <v>3.6</v>
      </c>
      <c r="S987" s="1344">
        <f>(1/9)*cnst_fish!$C$7*(1/cnst_fish!$C$8)^(R987-1)</f>
        <v>56.143318924211187</v>
      </c>
      <c r="T987" s="1362">
        <f t="shared" si="143"/>
        <v>43.656101612684438</v>
      </c>
      <c r="W987" s="1612"/>
      <c r="X987" s="1612"/>
      <c r="Y987" s="1613"/>
      <c r="Z987" s="1614"/>
      <c r="AA987" s="1614"/>
      <c r="AB987" s="1615"/>
      <c r="AC987" s="1615"/>
      <c r="AD987" s="583"/>
      <c r="AE987" s="583"/>
    </row>
    <row r="988" spans="1:31" ht="14">
      <c r="A988" s="1384" t="s">
        <v>2503</v>
      </c>
      <c r="B988" s="19" t="s">
        <v>3863</v>
      </c>
      <c r="C988" s="1383">
        <v>2747</v>
      </c>
      <c r="D988" s="1236"/>
      <c r="E988" s="1236">
        <v>0</v>
      </c>
      <c r="F988" s="1344">
        <f>(1/S988)*cnst_fish!$C$6</f>
        <v>2.0849269714511572E-2</v>
      </c>
      <c r="G988" s="1344">
        <f t="shared" ref="G988:H1007" si="145">G$7</f>
        <v>1</v>
      </c>
      <c r="H988" s="1344">
        <f t="shared" si="145"/>
        <v>0.367192066876738</v>
      </c>
      <c r="I988" s="1344">
        <f t="shared" si="138"/>
        <v>0</v>
      </c>
      <c r="J988" s="902">
        <f t="shared" si="139"/>
        <v>0</v>
      </c>
      <c r="L988" s="1460"/>
      <c r="M988" s="1236">
        <v>0</v>
      </c>
      <c r="N988" s="1240" t="s">
        <v>1806</v>
      </c>
      <c r="O988" s="1241"/>
      <c r="P988" s="910">
        <f t="shared" si="140"/>
        <v>0</v>
      </c>
      <c r="Q988" s="910">
        <f t="shared" si="141"/>
        <v>0</v>
      </c>
      <c r="R988" s="1344">
        <f t="shared" si="142"/>
        <v>4.16</v>
      </c>
      <c r="S988" s="1344">
        <f>(1/9)*cnst_fish!$C$7*(1/cnst_fish!$C$8)^(R988-1)</f>
        <v>203.84407023340017</v>
      </c>
      <c r="T988" s="1362">
        <f t="shared" si="143"/>
        <v>0</v>
      </c>
      <c r="W988" s="1612"/>
      <c r="X988" s="1612"/>
      <c r="Y988" s="1613"/>
      <c r="Z988" s="1614"/>
      <c r="AA988" s="1614"/>
      <c r="AB988" s="1615"/>
      <c r="AC988" s="1615"/>
      <c r="AD988" s="583"/>
      <c r="AE988" s="583"/>
    </row>
    <row r="989" spans="1:31" ht="14">
      <c r="A989" s="1384" t="s">
        <v>6576</v>
      </c>
      <c r="B989" s="19" t="s">
        <v>6575</v>
      </c>
      <c r="C989" s="1383">
        <v>13359</v>
      </c>
      <c r="D989" s="1236"/>
      <c r="E989" s="1236"/>
      <c r="F989" s="1344">
        <f>(1/S989)*cnst_fish!$C$6</f>
        <v>0.37939434000887845</v>
      </c>
      <c r="G989" s="1344">
        <f t="shared" si="145"/>
        <v>1</v>
      </c>
      <c r="H989" s="1344">
        <f t="shared" si="145"/>
        <v>0.367192066876738</v>
      </c>
      <c r="I989" s="1344">
        <f t="shared" si="138"/>
        <v>0</v>
      </c>
      <c r="J989" s="902">
        <f t="shared" si="139"/>
        <v>0</v>
      </c>
      <c r="L989" s="1460"/>
      <c r="M989" s="1236">
        <v>4</v>
      </c>
      <c r="N989" s="1240" t="s">
        <v>1806</v>
      </c>
      <c r="O989" s="1241" t="s">
        <v>4845</v>
      </c>
      <c r="P989" s="910">
        <f t="shared" si="140"/>
        <v>0</v>
      </c>
      <c r="Q989" s="910">
        <f t="shared" si="141"/>
        <v>4</v>
      </c>
      <c r="R989" s="1344">
        <f t="shared" si="142"/>
        <v>2.9</v>
      </c>
      <c r="S989" s="1344">
        <f>(1/9)*cnst_fish!$C$7*(1/cnst_fish!$C$8)^(R989-1)</f>
        <v>11.20206484867577</v>
      </c>
      <c r="T989" s="1362">
        <f t="shared" si="143"/>
        <v>3.8713499718329496</v>
      </c>
      <c r="W989" s="1612"/>
      <c r="X989" s="1612"/>
      <c r="Y989" s="1613"/>
      <c r="Z989" s="1614"/>
      <c r="AA989" s="1614"/>
      <c r="AB989" s="1615"/>
      <c r="AC989" s="1615"/>
      <c r="AD989" s="583"/>
      <c r="AE989" s="583"/>
    </row>
    <row r="990" spans="1:31" ht="14">
      <c r="A990" s="1384" t="s">
        <v>3454</v>
      </c>
      <c r="B990" s="19" t="s">
        <v>3124</v>
      </c>
      <c r="C990" s="1383">
        <v>2126</v>
      </c>
      <c r="D990" s="1236"/>
      <c r="E990" s="1236"/>
      <c r="F990" s="1344">
        <f>(1/S990)*cnst_fish!$C$6</f>
        <v>0.2133491159303107</v>
      </c>
      <c r="G990" s="1344">
        <f t="shared" si="145"/>
        <v>1</v>
      </c>
      <c r="H990" s="1344">
        <f t="shared" si="145"/>
        <v>0.367192066876738</v>
      </c>
      <c r="I990" s="1344">
        <f t="shared" si="138"/>
        <v>0</v>
      </c>
      <c r="J990" s="902">
        <f t="shared" si="139"/>
        <v>0</v>
      </c>
      <c r="L990" s="1460">
        <v>763948</v>
      </c>
      <c r="M990" s="1236"/>
      <c r="N990" s="1240" t="s">
        <v>1806</v>
      </c>
      <c r="O990" s="1241" t="s">
        <v>4859</v>
      </c>
      <c r="P990" s="910">
        <f t="shared" si="140"/>
        <v>0</v>
      </c>
      <c r="Q990" s="910">
        <f t="shared" si="141"/>
        <v>763948</v>
      </c>
      <c r="R990" s="1344">
        <f t="shared" si="142"/>
        <v>3.15</v>
      </c>
      <c r="S990" s="1344">
        <f>(1/9)*cnst_fish!$C$7*(1/cnst_fish!$C$8)^(R990-1)</f>
        <v>19.920401270320887</v>
      </c>
      <c r="T990" s="1362">
        <f t="shared" si="143"/>
        <v>1314819.8148520996</v>
      </c>
      <c r="W990" s="1612"/>
      <c r="X990" s="1612"/>
      <c r="Y990" s="1613"/>
      <c r="Z990" s="1614"/>
      <c r="AA990" s="1614"/>
      <c r="AB990" s="1615"/>
      <c r="AC990" s="1615"/>
      <c r="AD990" s="583"/>
      <c r="AE990" s="583"/>
    </row>
    <row r="991" spans="1:31" ht="14">
      <c r="A991" s="1384" t="s">
        <v>2725</v>
      </c>
      <c r="B991" s="19" t="s">
        <v>4510</v>
      </c>
      <c r="C991" s="1383">
        <v>3602</v>
      </c>
      <c r="D991" s="1236"/>
      <c r="E991" s="1236"/>
      <c r="F991" s="1344">
        <f>(1/S991)*cnst_fish!$C$6</f>
        <v>9.5299549485983348E-2</v>
      </c>
      <c r="G991" s="1344">
        <f t="shared" si="145"/>
        <v>1</v>
      </c>
      <c r="H991" s="1344">
        <f t="shared" si="145"/>
        <v>0.367192066876738</v>
      </c>
      <c r="I991" s="1344">
        <f t="shared" si="138"/>
        <v>0</v>
      </c>
      <c r="J991" s="902">
        <f t="shared" si="139"/>
        <v>0</v>
      </c>
      <c r="L991" s="1460">
        <v>600</v>
      </c>
      <c r="M991" s="1236"/>
      <c r="N991" s="1240" t="s">
        <v>1806</v>
      </c>
      <c r="O991" s="1241"/>
      <c r="P991" s="910">
        <f t="shared" si="140"/>
        <v>0</v>
      </c>
      <c r="Q991" s="910">
        <f t="shared" si="141"/>
        <v>600</v>
      </c>
      <c r="R991" s="1344">
        <f t="shared" si="142"/>
        <v>3.5</v>
      </c>
      <c r="S991" s="1344">
        <f>(1/9)*cnst_fish!$C$7*(1/cnst_fish!$C$8)^(R991-1)</f>
        <v>44.596223412631026</v>
      </c>
      <c r="T991" s="1362">
        <f t="shared" si="143"/>
        <v>2311.8182752631665</v>
      </c>
      <c r="W991" s="1612"/>
      <c r="X991" s="1612"/>
      <c r="Y991" s="1613"/>
      <c r="Z991" s="1614"/>
      <c r="AA991" s="1614"/>
      <c r="AB991" s="1615"/>
      <c r="AC991" s="1615"/>
      <c r="AD991" s="583"/>
      <c r="AE991" s="583"/>
    </row>
    <row r="992" spans="1:31" ht="14">
      <c r="A992" s="1384" t="s">
        <v>5642</v>
      </c>
      <c r="B992" s="19" t="s">
        <v>5643</v>
      </c>
      <c r="C992" s="1383">
        <v>13364</v>
      </c>
      <c r="D992" s="1236"/>
      <c r="E992" s="1236"/>
      <c r="F992" s="1344">
        <f>(1/S992)*cnst_fish!$C$6</f>
        <v>6.5931179849025079E-2</v>
      </c>
      <c r="G992" s="1344">
        <f t="shared" si="145"/>
        <v>1</v>
      </c>
      <c r="H992" s="1344">
        <f t="shared" si="145"/>
        <v>0.367192066876738</v>
      </c>
      <c r="I992" s="1344">
        <f t="shared" si="138"/>
        <v>0</v>
      </c>
      <c r="J992" s="902">
        <f t="shared" si="139"/>
        <v>0</v>
      </c>
      <c r="L992" s="1460">
        <v>0</v>
      </c>
      <c r="M992" s="1236"/>
      <c r="N992" s="1240" t="s">
        <v>1807</v>
      </c>
      <c r="O992" s="1241" t="s">
        <v>4841</v>
      </c>
      <c r="P992" s="910">
        <f t="shared" si="140"/>
        <v>0</v>
      </c>
      <c r="Q992" s="910">
        <f t="shared" si="141"/>
        <v>0</v>
      </c>
      <c r="R992" s="1344">
        <f t="shared" si="142"/>
        <v>3.66</v>
      </c>
      <c r="S992" s="1344">
        <f>(1/9)*cnst_fish!$C$7*(1/cnst_fish!$C$8)^(R992-1)</f>
        <v>64.461154945687568</v>
      </c>
      <c r="T992" s="1362">
        <f t="shared" si="143"/>
        <v>0</v>
      </c>
      <c r="W992" s="1612"/>
      <c r="X992" s="1612"/>
      <c r="Y992" s="1613"/>
      <c r="Z992" s="1614"/>
      <c r="AA992" s="1614"/>
      <c r="AB992" s="1615"/>
      <c r="AC992" s="1615"/>
      <c r="AD992" s="583"/>
      <c r="AE992" s="583"/>
    </row>
    <row r="993" spans="1:31" ht="14">
      <c r="A993" s="1384" t="s">
        <v>6605</v>
      </c>
      <c r="B993" s="19" t="s">
        <v>6604</v>
      </c>
      <c r="C993" s="1383">
        <v>13369</v>
      </c>
      <c r="D993" s="1236"/>
      <c r="E993" s="1236"/>
      <c r="F993" s="1344">
        <f>(1/S993)*cnst_fish!$C$6</f>
        <v>3.0136363636363641</v>
      </c>
      <c r="G993" s="1344">
        <f t="shared" si="145"/>
        <v>1</v>
      </c>
      <c r="H993" s="1344">
        <f t="shared" si="145"/>
        <v>0.367192066876738</v>
      </c>
      <c r="I993" s="1344">
        <f t="shared" si="138"/>
        <v>0</v>
      </c>
      <c r="J993" s="902">
        <f t="shared" si="139"/>
        <v>0</v>
      </c>
      <c r="L993" s="1460">
        <v>669</v>
      </c>
      <c r="M993" s="1236"/>
      <c r="N993" s="1240" t="s">
        <v>1806</v>
      </c>
      <c r="O993" s="1241" t="s">
        <v>4841</v>
      </c>
      <c r="P993" s="910">
        <f t="shared" si="140"/>
        <v>0</v>
      </c>
      <c r="Q993" s="910">
        <f t="shared" si="141"/>
        <v>669</v>
      </c>
      <c r="R993" s="1344">
        <f t="shared" si="142"/>
        <v>2</v>
      </c>
      <c r="S993" s="1344">
        <f>(1/9)*cnst_fish!$C$7*(1/cnst_fish!$C$8)^(R993-1)</f>
        <v>1.4102564102564099</v>
      </c>
      <c r="T993" s="1362">
        <f t="shared" si="143"/>
        <v>81.513315841505715</v>
      </c>
      <c r="W993" s="1612"/>
      <c r="X993" s="1612"/>
      <c r="Y993" s="1613"/>
      <c r="Z993" s="1614"/>
      <c r="AA993" s="1614"/>
      <c r="AB993" s="1615"/>
      <c r="AC993" s="1615"/>
      <c r="AD993" s="583"/>
      <c r="AE993" s="583"/>
    </row>
    <row r="994" spans="1:31" ht="14">
      <c r="A994" s="1384" t="s">
        <v>3569</v>
      </c>
      <c r="B994" s="19" t="s">
        <v>285</v>
      </c>
      <c r="C994" s="1383">
        <v>2723</v>
      </c>
      <c r="D994" s="1236"/>
      <c r="E994" s="1236"/>
      <c r="F994" s="1344">
        <f>(1/S994)*cnst_fish!$C$6</f>
        <v>1.315499985341953E-2</v>
      </c>
      <c r="G994" s="1344">
        <f t="shared" si="145"/>
        <v>1</v>
      </c>
      <c r="H994" s="1344">
        <f t="shared" si="145"/>
        <v>0.367192066876738</v>
      </c>
      <c r="I994" s="1344">
        <f t="shared" si="138"/>
        <v>0</v>
      </c>
      <c r="J994" s="902">
        <f t="shared" si="139"/>
        <v>0</v>
      </c>
      <c r="L994" s="1460">
        <v>0</v>
      </c>
      <c r="M994" s="1236"/>
      <c r="N994" s="1240" t="s">
        <v>5368</v>
      </c>
      <c r="O994" s="1241" t="s">
        <v>4835</v>
      </c>
      <c r="P994" s="910">
        <f t="shared" si="140"/>
        <v>0</v>
      </c>
      <c r="Q994" s="910">
        <f t="shared" si="141"/>
        <v>0</v>
      </c>
      <c r="R994" s="1344">
        <f t="shared" si="142"/>
        <v>4.3600000000000003</v>
      </c>
      <c r="S994" s="1344">
        <f>(1/9)*cnst_fish!$C$7*(1/cnst_fish!$C$8)^(R994-1)</f>
        <v>323.07107923648124</v>
      </c>
      <c r="T994" s="1362">
        <f t="shared" si="143"/>
        <v>0</v>
      </c>
      <c r="W994" s="1612"/>
      <c r="X994" s="1612"/>
      <c r="Y994" s="1613"/>
      <c r="Z994" s="1614"/>
      <c r="AA994" s="1614"/>
      <c r="AB994" s="1615"/>
      <c r="AC994" s="1615"/>
      <c r="AD994" s="583"/>
      <c r="AE994" s="583"/>
    </row>
    <row r="995" spans="1:31" ht="14">
      <c r="A995" s="1384" t="s">
        <v>4288</v>
      </c>
      <c r="B995" s="19" t="s">
        <v>4289</v>
      </c>
      <c r="C995" s="1383">
        <v>19039</v>
      </c>
      <c r="D995" s="1236"/>
      <c r="E995" s="1236"/>
      <c r="F995" s="1344">
        <f>(1/S995)*cnst_fish!$C$6</f>
        <v>0.54839166784473536</v>
      </c>
      <c r="G995" s="1344">
        <f t="shared" si="145"/>
        <v>1</v>
      </c>
      <c r="H995" s="1344">
        <f t="shared" si="145"/>
        <v>0.367192066876738</v>
      </c>
      <c r="I995" s="1344">
        <f t="shared" si="138"/>
        <v>0</v>
      </c>
      <c r="J995" s="902">
        <f t="shared" si="139"/>
        <v>0</v>
      </c>
      <c r="L995" s="1460"/>
      <c r="M995" s="1236">
        <v>212</v>
      </c>
      <c r="N995" s="1240" t="s">
        <v>3928</v>
      </c>
      <c r="O995" s="1241" t="s">
        <v>4845</v>
      </c>
      <c r="P995" s="910">
        <f t="shared" si="140"/>
        <v>0</v>
      </c>
      <c r="Q995" s="910">
        <f t="shared" si="141"/>
        <v>212</v>
      </c>
      <c r="R995" s="1344">
        <f t="shared" si="142"/>
        <v>2.74</v>
      </c>
      <c r="S995" s="1344">
        <f>(1/9)*cnst_fish!$C$7*(1/cnst_fish!$C$8)^(R995-1)</f>
        <v>7.7499354005562511</v>
      </c>
      <c r="T995" s="1362">
        <f t="shared" si="143"/>
        <v>141.95094991835001</v>
      </c>
      <c r="W995" s="1612"/>
      <c r="X995" s="1612"/>
      <c r="Y995" s="1613"/>
      <c r="Z995" s="1614"/>
      <c r="AA995" s="1614"/>
      <c r="AB995" s="1615"/>
      <c r="AC995" s="1615"/>
      <c r="AD995" s="583"/>
      <c r="AE995" s="583"/>
    </row>
    <row r="996" spans="1:31" ht="14">
      <c r="A996" s="1384" t="s">
        <v>983</v>
      </c>
      <c r="B996" s="19" t="s">
        <v>1239</v>
      </c>
      <c r="C996" s="1383">
        <v>2138</v>
      </c>
      <c r="D996" s="1236"/>
      <c r="E996" s="1236"/>
      <c r="F996" s="1344">
        <f>(1/S996)*cnst_fish!$C$6</f>
        <v>0.29450376249713744</v>
      </c>
      <c r="G996" s="1344">
        <f t="shared" si="145"/>
        <v>1</v>
      </c>
      <c r="H996" s="1344">
        <f t="shared" si="145"/>
        <v>0.367192066876738</v>
      </c>
      <c r="I996" s="1344">
        <f t="shared" si="138"/>
        <v>0</v>
      </c>
      <c r="J996" s="902">
        <f t="shared" si="139"/>
        <v>0</v>
      </c>
      <c r="L996" s="1460">
        <v>0</v>
      </c>
      <c r="M996" s="1236"/>
      <c r="N996" s="1240" t="s">
        <v>1806</v>
      </c>
      <c r="O996" s="1241" t="s">
        <v>4841</v>
      </c>
      <c r="P996" s="910">
        <f t="shared" si="140"/>
        <v>0</v>
      </c>
      <c r="Q996" s="910">
        <f t="shared" si="141"/>
        <v>0</v>
      </c>
      <c r="R996" s="1344">
        <f t="shared" si="142"/>
        <v>3.01</v>
      </c>
      <c r="S996" s="1344">
        <f>(1/9)*cnst_fish!$C$7*(1/cnst_fish!$C$8)^(R996-1)</f>
        <v>14.431055019343969</v>
      </c>
      <c r="T996" s="1362">
        <f t="shared" si="143"/>
        <v>0</v>
      </c>
      <c r="W996" s="1612"/>
      <c r="X996" s="1612"/>
      <c r="Y996" s="1613"/>
      <c r="Z996" s="1614"/>
      <c r="AA996" s="1614"/>
      <c r="AB996" s="1615"/>
      <c r="AC996" s="1615"/>
      <c r="AD996" s="583"/>
      <c r="AE996" s="583"/>
    </row>
    <row r="997" spans="1:31" ht="14">
      <c r="A997" s="1384" t="s">
        <v>6706</v>
      </c>
      <c r="B997" s="19" t="s">
        <v>6705</v>
      </c>
      <c r="C997" s="1383">
        <v>18448</v>
      </c>
      <c r="D997" s="1236"/>
      <c r="E997" s="1236"/>
      <c r="F997" s="1344">
        <f>(1/S997)*cnst_fish!$C$6</f>
        <v>3.0136363636363641</v>
      </c>
      <c r="G997" s="1344">
        <f t="shared" si="145"/>
        <v>1</v>
      </c>
      <c r="H997" s="1344">
        <f t="shared" si="145"/>
        <v>0.367192066876738</v>
      </c>
      <c r="I997" s="1344">
        <f t="shared" si="138"/>
        <v>0</v>
      </c>
      <c r="J997" s="902">
        <f t="shared" si="139"/>
        <v>0</v>
      </c>
      <c r="L997" s="1460">
        <v>3181</v>
      </c>
      <c r="M997" s="1236"/>
      <c r="N997" s="1240" t="s">
        <v>1808</v>
      </c>
      <c r="O997" s="1241" t="s">
        <v>4831</v>
      </c>
      <c r="P997" s="910">
        <f t="shared" si="140"/>
        <v>0</v>
      </c>
      <c r="Q997" s="910">
        <f t="shared" si="141"/>
        <v>3181</v>
      </c>
      <c r="R997" s="1344">
        <f t="shared" si="142"/>
        <v>2</v>
      </c>
      <c r="S997" s="1344">
        <f>(1/9)*cnst_fish!$C$7*(1/cnst_fish!$C$8)^(R997-1)</f>
        <v>1.4102564102564099</v>
      </c>
      <c r="T997" s="1362">
        <f t="shared" si="143"/>
        <v>387.58424169182314</v>
      </c>
      <c r="W997" s="1612"/>
      <c r="X997" s="1612"/>
      <c r="Y997" s="1613"/>
      <c r="Z997" s="1614"/>
      <c r="AA997" s="1614"/>
      <c r="AB997" s="1615"/>
      <c r="AC997" s="1615"/>
      <c r="AD997" s="583"/>
      <c r="AE997" s="583"/>
    </row>
    <row r="998" spans="1:31" ht="14">
      <c r="A998" s="1384" t="s">
        <v>3149</v>
      </c>
      <c r="B998" s="19" t="s">
        <v>3125</v>
      </c>
      <c r="C998" s="1383">
        <v>3123</v>
      </c>
      <c r="D998" s="1236"/>
      <c r="E998" s="1236"/>
      <c r="F998" s="1344">
        <f>(1/S998)*cnst_fish!$C$6</f>
        <v>1.2276960190187586E-2</v>
      </c>
      <c r="G998" s="1344">
        <f t="shared" si="145"/>
        <v>1</v>
      </c>
      <c r="H998" s="1344">
        <f t="shared" si="145"/>
        <v>0.367192066876738</v>
      </c>
      <c r="I998" s="1344">
        <f t="shared" si="138"/>
        <v>0</v>
      </c>
      <c r="J998" s="902">
        <f t="shared" si="139"/>
        <v>0</v>
      </c>
      <c r="L998" s="1460">
        <v>103263</v>
      </c>
      <c r="M998" s="1236"/>
      <c r="N998" s="1240" t="s">
        <v>1806</v>
      </c>
      <c r="O998" s="1241" t="s">
        <v>4859</v>
      </c>
      <c r="P998" s="910">
        <f t="shared" si="140"/>
        <v>0</v>
      </c>
      <c r="Q998" s="910">
        <f t="shared" si="141"/>
        <v>103263</v>
      </c>
      <c r="R998" s="1344">
        <f t="shared" si="142"/>
        <v>4.3899999999999997</v>
      </c>
      <c r="S998" s="1344">
        <f>(1/9)*cnst_fish!$C$7*(1/cnst_fish!$C$8)^(R998-1)</f>
        <v>346.17689836583742</v>
      </c>
      <c r="T998" s="1362">
        <f t="shared" si="143"/>
        <v>3088496.9743730379</v>
      </c>
      <c r="W998" s="1612"/>
      <c r="X998" s="1612"/>
      <c r="Y998" s="1613"/>
      <c r="Z998" s="1614"/>
      <c r="AA998" s="1614"/>
      <c r="AB998" s="1615"/>
      <c r="AC998" s="1615"/>
      <c r="AD998" s="583"/>
      <c r="AE998" s="583"/>
    </row>
    <row r="999" spans="1:31" ht="14">
      <c r="A999" s="1384" t="s">
        <v>2673</v>
      </c>
      <c r="B999" s="19" t="s">
        <v>2482</v>
      </c>
      <c r="C999" s="1383">
        <v>2173</v>
      </c>
      <c r="D999" s="1236"/>
      <c r="E999" s="1236"/>
      <c r="F999" s="1344">
        <f>(1/S999)*cnst_fish!$C$6</f>
        <v>0.57423657091346914</v>
      </c>
      <c r="G999" s="1344">
        <f t="shared" si="145"/>
        <v>1</v>
      </c>
      <c r="H999" s="1344">
        <f t="shared" si="145"/>
        <v>0.367192066876738</v>
      </c>
      <c r="I999" s="1344">
        <f t="shared" si="138"/>
        <v>0</v>
      </c>
      <c r="J999" s="902">
        <f t="shared" si="139"/>
        <v>0</v>
      </c>
      <c r="L999" s="1460"/>
      <c r="M999" s="1236">
        <v>5</v>
      </c>
      <c r="N999" s="1240" t="s">
        <v>1806</v>
      </c>
      <c r="O999" s="1241" t="s">
        <v>4845</v>
      </c>
      <c r="P999" s="910">
        <f t="shared" si="140"/>
        <v>0</v>
      </c>
      <c r="Q999" s="910">
        <f t="shared" si="141"/>
        <v>5</v>
      </c>
      <c r="R999" s="1344">
        <f t="shared" si="142"/>
        <v>2.72</v>
      </c>
      <c r="S999" s="1344">
        <f>(1/9)*cnst_fish!$C$7*(1/cnst_fish!$C$8)^(R999-1)</f>
        <v>7.4011308496762851</v>
      </c>
      <c r="T999" s="1362">
        <f t="shared" si="143"/>
        <v>3.197219451668027</v>
      </c>
      <c r="W999" s="1612"/>
      <c r="X999" s="1612"/>
      <c r="Y999" s="1613"/>
      <c r="Z999" s="1614"/>
      <c r="AA999" s="1614"/>
      <c r="AB999" s="1615"/>
      <c r="AC999" s="1615"/>
      <c r="AD999" s="583"/>
      <c r="AE999" s="583"/>
    </row>
    <row r="1000" spans="1:31" ht="14">
      <c r="A1000" s="1384" t="s">
        <v>2589</v>
      </c>
      <c r="B1000" s="19" t="s">
        <v>1575</v>
      </c>
      <c r="C1000" s="1383">
        <v>2075</v>
      </c>
      <c r="D1000" s="1236"/>
      <c r="E1000" s="1236"/>
      <c r="F1000" s="1344">
        <f>(1/S1000)*cnst_fish!$C$6</f>
        <v>9.5299549485983424E-3</v>
      </c>
      <c r="G1000" s="1344">
        <f t="shared" si="145"/>
        <v>1</v>
      </c>
      <c r="H1000" s="1344">
        <f t="shared" si="145"/>
        <v>0.367192066876738</v>
      </c>
      <c r="I1000" s="1344">
        <f t="shared" si="138"/>
        <v>0</v>
      </c>
      <c r="J1000" s="902">
        <f t="shared" si="139"/>
        <v>0</v>
      </c>
      <c r="L1000" s="1460">
        <v>851</v>
      </c>
      <c r="M1000" s="1236"/>
      <c r="N1000" s="1240" t="s">
        <v>1806</v>
      </c>
      <c r="O1000" s="1241" t="s">
        <v>4841</v>
      </c>
      <c r="P1000" s="910">
        <f t="shared" si="140"/>
        <v>0</v>
      </c>
      <c r="Q1000" s="910">
        <f t="shared" si="141"/>
        <v>851</v>
      </c>
      <c r="R1000" s="1344">
        <f t="shared" si="142"/>
        <v>4.5</v>
      </c>
      <c r="S1000" s="1344">
        <f>(1/9)*cnst_fish!$C$7*(1/cnst_fish!$C$8)^(R1000-1)</f>
        <v>445.96223412630997</v>
      </c>
      <c r="T1000" s="1362">
        <f t="shared" si="143"/>
        <v>32789.289204149216</v>
      </c>
      <c r="W1000" s="1612"/>
      <c r="X1000" s="1612"/>
      <c r="Y1000" s="1613"/>
      <c r="Z1000" s="1614"/>
      <c r="AA1000" s="1614"/>
      <c r="AB1000" s="1615"/>
      <c r="AC1000" s="1615"/>
      <c r="AD1000" s="583"/>
      <c r="AE1000" s="583"/>
    </row>
    <row r="1001" spans="1:31" ht="14">
      <c r="A1001" s="1384" t="s">
        <v>5711</v>
      </c>
      <c r="B1001" s="19" t="s">
        <v>1576</v>
      </c>
      <c r="C1001" s="1383">
        <v>2882</v>
      </c>
      <c r="D1001" s="1236"/>
      <c r="E1001" s="1236"/>
      <c r="F1001" s="1344">
        <f>(1/S1001)*cnst_fish!$C$6</f>
        <v>0.15103960722494611</v>
      </c>
      <c r="G1001" s="1344">
        <f t="shared" si="145"/>
        <v>1</v>
      </c>
      <c r="H1001" s="1344">
        <f t="shared" si="145"/>
        <v>0.367192066876738</v>
      </c>
      <c r="I1001" s="1344">
        <f t="shared" si="138"/>
        <v>0</v>
      </c>
      <c r="J1001" s="902">
        <f t="shared" si="139"/>
        <v>0</v>
      </c>
      <c r="L1001" s="1460">
        <v>1649</v>
      </c>
      <c r="M1001" s="1236"/>
      <c r="N1001" s="1240" t="s">
        <v>1806</v>
      </c>
      <c r="O1001" s="1241" t="s">
        <v>4841</v>
      </c>
      <c r="P1001" s="910">
        <f t="shared" si="140"/>
        <v>0</v>
      </c>
      <c r="Q1001" s="910">
        <f t="shared" si="141"/>
        <v>1649</v>
      </c>
      <c r="R1001" s="1344">
        <f t="shared" si="142"/>
        <v>3.3</v>
      </c>
      <c r="S1001" s="1344">
        <f>(1/9)*cnst_fish!$C$7*(1/cnst_fish!$C$8)^(R1001-1)</f>
        <v>28.138314698279075</v>
      </c>
      <c r="T1001" s="1362">
        <f t="shared" si="143"/>
        <v>4008.8803818058059</v>
      </c>
      <c r="W1001" s="1612"/>
      <c r="X1001" s="1612"/>
      <c r="Y1001" s="1613"/>
      <c r="Z1001" s="1614"/>
      <c r="AA1001" s="1614"/>
      <c r="AB1001" s="1615"/>
      <c r="AC1001" s="1615"/>
      <c r="AD1001" s="583"/>
      <c r="AE1001" s="583"/>
    </row>
    <row r="1002" spans="1:31" ht="14">
      <c r="A1002" s="1384" t="s">
        <v>2647</v>
      </c>
      <c r="B1002" s="19" t="s">
        <v>2417</v>
      </c>
      <c r="C1002" s="1383">
        <v>2581</v>
      </c>
      <c r="D1002" s="1236"/>
      <c r="E1002" s="1236"/>
      <c r="F1002" s="1344">
        <f>(1/S1002)*cnst_fish!$C$6</f>
        <v>3.0136363636363642E-2</v>
      </c>
      <c r="G1002" s="1344">
        <f t="shared" si="145"/>
        <v>1</v>
      </c>
      <c r="H1002" s="1344">
        <f t="shared" si="145"/>
        <v>0.367192066876738</v>
      </c>
      <c r="I1002" s="1344">
        <f t="shared" si="138"/>
        <v>0</v>
      </c>
      <c r="J1002" s="902">
        <f t="shared" si="139"/>
        <v>0</v>
      </c>
      <c r="L1002" s="1460">
        <v>0</v>
      </c>
      <c r="M1002" s="1236"/>
      <c r="N1002" s="1240" t="s">
        <v>2441</v>
      </c>
      <c r="O1002" s="1241" t="s">
        <v>4840</v>
      </c>
      <c r="P1002" s="910">
        <f t="shared" si="140"/>
        <v>0</v>
      </c>
      <c r="Q1002" s="910">
        <f t="shared" si="141"/>
        <v>0</v>
      </c>
      <c r="R1002" s="1344">
        <f t="shared" si="142"/>
        <v>4</v>
      </c>
      <c r="S1002" s="1344">
        <f>(1/9)*cnst_fish!$C$7*(1/cnst_fish!$C$8)^(R1002-1)</f>
        <v>141.02564102564099</v>
      </c>
      <c r="T1002" s="1362">
        <f t="shared" si="143"/>
        <v>0</v>
      </c>
      <c r="W1002" s="1612"/>
      <c r="X1002" s="1612"/>
      <c r="Y1002" s="1613"/>
      <c r="Z1002" s="1614"/>
      <c r="AA1002" s="1614"/>
      <c r="AB1002" s="1615"/>
      <c r="AC1002" s="1615"/>
      <c r="AD1002" s="583"/>
      <c r="AE1002" s="583"/>
    </row>
    <row r="1003" spans="1:31" ht="14">
      <c r="A1003" s="1384" t="s">
        <v>1550</v>
      </c>
      <c r="B1003" s="19" t="s">
        <v>612</v>
      </c>
      <c r="C1003" s="1383">
        <v>2228</v>
      </c>
      <c r="D1003" s="1236">
        <v>1870</v>
      </c>
      <c r="E1003" s="1236"/>
      <c r="F1003" s="1344">
        <f>(1/S1003)*cnst_fish!$C$6</f>
        <v>2.4495756009854434E-2</v>
      </c>
      <c r="G1003" s="1344">
        <f t="shared" si="145"/>
        <v>1</v>
      </c>
      <c r="H1003" s="1344">
        <f t="shared" si="145"/>
        <v>0.367192066876738</v>
      </c>
      <c r="I1003" s="1344">
        <f t="shared" si="138"/>
        <v>28031.352238455795</v>
      </c>
      <c r="J1003" s="902">
        <f t="shared" si="139"/>
        <v>0</v>
      </c>
      <c r="L1003" s="1460">
        <v>308700</v>
      </c>
      <c r="M1003" s="1236"/>
      <c r="N1003" s="1240" t="s">
        <v>612</v>
      </c>
      <c r="O1003" s="1241" t="s">
        <v>4841</v>
      </c>
      <c r="P1003" s="910">
        <f t="shared" si="140"/>
        <v>1870</v>
      </c>
      <c r="Q1003" s="910">
        <f t="shared" si="141"/>
        <v>308700</v>
      </c>
      <c r="R1003" s="1344">
        <f t="shared" si="142"/>
        <v>4.09</v>
      </c>
      <c r="S1003" s="1344">
        <f>(1/9)*cnst_fish!$C$7*(1/cnst_fish!$C$8)^(R1003-1)</f>
        <v>173.49944203764363</v>
      </c>
      <c r="T1003" s="1362">
        <f t="shared" si="143"/>
        <v>4627421.6235354571</v>
      </c>
      <c r="W1003" s="1612"/>
      <c r="X1003" s="1612"/>
      <c r="Y1003" s="1613"/>
      <c r="Z1003" s="1614"/>
      <c r="AA1003" s="1614"/>
      <c r="AB1003" s="1615"/>
      <c r="AC1003" s="1615"/>
      <c r="AD1003" s="583"/>
      <c r="AE1003" s="583"/>
    </row>
    <row r="1004" spans="1:31" ht="14">
      <c r="A1004" s="1384" t="s">
        <v>2102</v>
      </c>
      <c r="B1004" s="19" t="s">
        <v>1577</v>
      </c>
      <c r="C1004" s="1383">
        <v>2328</v>
      </c>
      <c r="D1004" s="1236"/>
      <c r="E1004" s="1236"/>
      <c r="F1004" s="1344">
        <f>(1/S1004)*cnst_fish!$C$6</f>
        <v>0.10692785320993656</v>
      </c>
      <c r="G1004" s="1344">
        <f t="shared" si="145"/>
        <v>1</v>
      </c>
      <c r="H1004" s="1344">
        <f t="shared" si="145"/>
        <v>0.367192066876738</v>
      </c>
      <c r="I1004" s="1344">
        <f t="shared" si="138"/>
        <v>0</v>
      </c>
      <c r="J1004" s="902">
        <f t="shared" si="139"/>
        <v>0</v>
      </c>
      <c r="L1004" s="1460">
        <v>22443</v>
      </c>
      <c r="M1004" s="1236"/>
      <c r="N1004" s="1240" t="s">
        <v>1806</v>
      </c>
      <c r="O1004" s="1241" t="s">
        <v>4841</v>
      </c>
      <c r="P1004" s="910">
        <f t="shared" si="140"/>
        <v>0</v>
      </c>
      <c r="Q1004" s="910">
        <f t="shared" si="141"/>
        <v>22443</v>
      </c>
      <c r="R1004" s="1344">
        <f t="shared" si="142"/>
        <v>3.45</v>
      </c>
      <c r="S1004" s="1344">
        <f>(1/9)*cnst_fish!$C$7*(1/cnst_fish!$C$8)^(R1004-1)</f>
        <v>39.746425953729492</v>
      </c>
      <c r="T1004" s="1362">
        <f t="shared" si="143"/>
        <v>77069.643778734579</v>
      </c>
      <c r="W1004" s="1612"/>
      <c r="X1004" s="1612"/>
      <c r="Y1004" s="1613"/>
      <c r="Z1004" s="1614"/>
      <c r="AA1004" s="1614"/>
      <c r="AB1004" s="1615"/>
      <c r="AC1004" s="1615"/>
      <c r="AD1004" s="583"/>
      <c r="AE1004" s="583"/>
    </row>
    <row r="1005" spans="1:31" ht="14">
      <c r="A1005" s="1384" t="s">
        <v>3770</v>
      </c>
      <c r="B1005" s="19" t="s">
        <v>3126</v>
      </c>
      <c r="C1005" s="1383">
        <v>2264</v>
      </c>
      <c r="D1005" s="1236">
        <v>13</v>
      </c>
      <c r="E1005" s="1236"/>
      <c r="F1005" s="1344">
        <f>(1/S1005)*cnst_fish!$C$6</f>
        <v>0.19910898001319816</v>
      </c>
      <c r="G1005" s="1344">
        <f t="shared" si="145"/>
        <v>1</v>
      </c>
      <c r="H1005" s="1344">
        <f t="shared" si="145"/>
        <v>0.367192066876738</v>
      </c>
      <c r="I1005" s="1344">
        <f t="shared" si="138"/>
        <v>23.974292214651381</v>
      </c>
      <c r="J1005" s="902">
        <f t="shared" si="139"/>
        <v>0</v>
      </c>
      <c r="L1005" s="1460">
        <v>471</v>
      </c>
      <c r="M1005" s="1236"/>
      <c r="N1005" s="1240" t="s">
        <v>1806</v>
      </c>
      <c r="O1005" s="1241" t="s">
        <v>4859</v>
      </c>
      <c r="P1005" s="910">
        <f t="shared" si="140"/>
        <v>13</v>
      </c>
      <c r="Q1005" s="910">
        <f t="shared" si="141"/>
        <v>471</v>
      </c>
      <c r="R1005" s="1344">
        <f t="shared" si="142"/>
        <v>3.18</v>
      </c>
      <c r="S1005" s="1344">
        <f>(1/9)*cnst_fish!$C$7*(1/cnst_fish!$C$8)^(R1005-1)</f>
        <v>21.345094529228586</v>
      </c>
      <c r="T1005" s="1362">
        <f t="shared" si="143"/>
        <v>868.60704870006157</v>
      </c>
      <c r="W1005" s="1612"/>
      <c r="X1005" s="1612"/>
      <c r="Y1005" s="1613"/>
      <c r="Z1005" s="1614"/>
      <c r="AA1005" s="1614"/>
      <c r="AB1005" s="1615"/>
      <c r="AC1005" s="1615"/>
      <c r="AD1005" s="583"/>
      <c r="AE1005" s="583"/>
    </row>
    <row r="1006" spans="1:31" ht="14">
      <c r="A1006" s="1384" t="s">
        <v>833</v>
      </c>
      <c r="B1006" s="19" t="s">
        <v>2455</v>
      </c>
      <c r="C1006" s="1383">
        <v>2628</v>
      </c>
      <c r="D1006" s="1236">
        <v>1668</v>
      </c>
      <c r="E1006" s="1236"/>
      <c r="F1006" s="1344">
        <f>(1/S1006)*cnst_fish!$C$6</f>
        <v>0.75699122913220485</v>
      </c>
      <c r="G1006" s="1344">
        <f t="shared" si="145"/>
        <v>1</v>
      </c>
      <c r="H1006" s="1344">
        <f t="shared" si="145"/>
        <v>0.367192066876738</v>
      </c>
      <c r="I1006" s="1344">
        <f t="shared" si="138"/>
        <v>809.0930832217515</v>
      </c>
      <c r="J1006" s="902">
        <f t="shared" si="139"/>
        <v>0</v>
      </c>
      <c r="L1006" s="1460">
        <v>1747</v>
      </c>
      <c r="M1006" s="1236"/>
      <c r="N1006" s="1240" t="s">
        <v>2430</v>
      </c>
      <c r="O1006" s="1241" t="s">
        <v>4840</v>
      </c>
      <c r="P1006" s="910">
        <f t="shared" si="140"/>
        <v>1668</v>
      </c>
      <c r="Q1006" s="910">
        <f t="shared" si="141"/>
        <v>1747</v>
      </c>
      <c r="R1006" s="1344">
        <f t="shared" si="142"/>
        <v>2.6</v>
      </c>
      <c r="S1006" s="1344">
        <f>(1/9)*cnst_fish!$C$7*(1/cnst_fish!$C$8)^(R1006-1)</f>
        <v>5.6143318924211183</v>
      </c>
      <c r="T1006" s="1362">
        <f t="shared" si="143"/>
        <v>847.41343908177441</v>
      </c>
      <c r="W1006" s="1612"/>
      <c r="X1006" s="1612"/>
      <c r="Y1006" s="1613"/>
      <c r="Z1006" s="1614"/>
      <c r="AA1006" s="1614"/>
      <c r="AB1006" s="1615"/>
      <c r="AC1006" s="1615"/>
      <c r="AD1006" s="583"/>
      <c r="AE1006" s="583"/>
    </row>
    <row r="1007" spans="1:31" ht="14">
      <c r="A1007" s="1384" t="s">
        <v>6873</v>
      </c>
      <c r="B1007" s="19" t="s">
        <v>6872</v>
      </c>
      <c r="C1007" s="1383">
        <v>3152</v>
      </c>
      <c r="D1007" s="1236"/>
      <c r="E1007" s="1236"/>
      <c r="F1007" s="1344">
        <f>(1/S1007)*cnst_fish!$C$6</f>
        <v>9.5299549485983348E-2</v>
      </c>
      <c r="G1007" s="1344">
        <f t="shared" si="145"/>
        <v>1</v>
      </c>
      <c r="H1007" s="1344">
        <f t="shared" si="145"/>
        <v>0.367192066876738</v>
      </c>
      <c r="I1007" s="1344">
        <f t="shared" si="138"/>
        <v>0</v>
      </c>
      <c r="J1007" s="902">
        <f t="shared" si="139"/>
        <v>0</v>
      </c>
      <c r="L1007" s="1460">
        <v>2</v>
      </c>
      <c r="M1007" s="1236"/>
      <c r="N1007" s="1240" t="s">
        <v>1806</v>
      </c>
      <c r="O1007" s="1241" t="s">
        <v>4841</v>
      </c>
      <c r="P1007" s="910">
        <f t="shared" si="140"/>
        <v>0</v>
      </c>
      <c r="Q1007" s="910">
        <f t="shared" si="141"/>
        <v>2</v>
      </c>
      <c r="R1007" s="1344">
        <f t="shared" si="142"/>
        <v>3.5</v>
      </c>
      <c r="S1007" s="1344">
        <f>(1/9)*cnst_fish!$C$7*(1/cnst_fish!$C$8)^(R1007-1)</f>
        <v>44.596223412631026</v>
      </c>
      <c r="T1007" s="1362">
        <f t="shared" si="143"/>
        <v>7.7060609175438879</v>
      </c>
      <c r="W1007" s="1612"/>
      <c r="X1007" s="1612"/>
      <c r="Y1007" s="1613"/>
      <c r="Z1007" s="1614"/>
      <c r="AA1007" s="1614"/>
      <c r="AB1007" s="1615"/>
      <c r="AC1007" s="1615"/>
      <c r="AD1007" s="583"/>
      <c r="AE1007" s="583"/>
    </row>
    <row r="1008" spans="1:31" ht="14">
      <c r="A1008" s="1384" t="s">
        <v>2214</v>
      </c>
      <c r="B1008" s="19" t="s">
        <v>1578</v>
      </c>
      <c r="C1008" s="1383">
        <v>3153</v>
      </c>
      <c r="D1008" s="1236">
        <v>350</v>
      </c>
      <c r="E1008" s="1236"/>
      <c r="F1008" s="1344">
        <f>(1/S1008)*cnst_fish!$C$6</f>
        <v>3.6231878188697476E-2</v>
      </c>
      <c r="G1008" s="1344">
        <f t="shared" ref="G1008:H1027" si="146">G$7</f>
        <v>1</v>
      </c>
      <c r="H1008" s="1344">
        <f t="shared" si="146"/>
        <v>0.367192066876738</v>
      </c>
      <c r="I1008" s="1344">
        <f t="shared" si="138"/>
        <v>3547.0759406270363</v>
      </c>
      <c r="J1008" s="902">
        <f t="shared" si="139"/>
        <v>0</v>
      </c>
      <c r="L1008" s="1460">
        <v>570</v>
      </c>
      <c r="M1008" s="1236"/>
      <c r="N1008" s="1240" t="s">
        <v>1806</v>
      </c>
      <c r="O1008" s="1241" t="s">
        <v>4841</v>
      </c>
      <c r="P1008" s="910">
        <f t="shared" si="140"/>
        <v>350</v>
      </c>
      <c r="Q1008" s="910">
        <f t="shared" si="141"/>
        <v>570</v>
      </c>
      <c r="R1008" s="1344">
        <f t="shared" si="142"/>
        <v>3.92</v>
      </c>
      <c r="S1008" s="1344">
        <f>(1/9)*cnst_fish!$C$7*(1/cnst_fish!$C$8)^(R1008-1)</f>
        <v>117.30001900165877</v>
      </c>
      <c r="T1008" s="1362">
        <f t="shared" si="143"/>
        <v>5776.6665318783162</v>
      </c>
      <c r="W1008" s="1612"/>
      <c r="X1008" s="1612"/>
      <c r="Y1008" s="1613"/>
      <c r="Z1008" s="1614"/>
      <c r="AA1008" s="1614"/>
      <c r="AB1008" s="1615"/>
      <c r="AC1008" s="1615"/>
      <c r="AD1008" s="583"/>
      <c r="AE1008" s="583"/>
    </row>
    <row r="1009" spans="1:31" ht="14">
      <c r="A1009" s="1384" t="s">
        <v>4234</v>
      </c>
      <c r="B1009" s="19" t="s">
        <v>65</v>
      </c>
      <c r="C1009" s="1383">
        <v>2354</v>
      </c>
      <c r="D1009" s="1236">
        <v>110</v>
      </c>
      <c r="E1009" s="1236"/>
      <c r="F1009" s="1344">
        <f>(1/S1009)*cnst_fish!$C$6</f>
        <v>7.9266712664847111E-2</v>
      </c>
      <c r="G1009" s="1344">
        <f t="shared" si="146"/>
        <v>1</v>
      </c>
      <c r="H1009" s="1344">
        <f t="shared" si="146"/>
        <v>0.367192066876738</v>
      </c>
      <c r="I1009" s="1344">
        <f t="shared" si="138"/>
        <v>509.55976346870352</v>
      </c>
      <c r="J1009" s="902">
        <f t="shared" si="139"/>
        <v>0</v>
      </c>
      <c r="L1009" s="1460">
        <v>110</v>
      </c>
      <c r="M1009" s="1236"/>
      <c r="N1009" s="1240" t="s">
        <v>1806</v>
      </c>
      <c r="O1009" s="1241" t="s">
        <v>4841</v>
      </c>
      <c r="P1009" s="910">
        <f t="shared" si="140"/>
        <v>110</v>
      </c>
      <c r="Q1009" s="910">
        <f t="shared" si="141"/>
        <v>110</v>
      </c>
      <c r="R1009" s="1344">
        <f t="shared" si="142"/>
        <v>3.58</v>
      </c>
      <c r="S1009" s="1344">
        <f>(1/9)*cnst_fish!$C$7*(1/cnst_fish!$C$8)^(R1009-1)</f>
        <v>53.616453327258682</v>
      </c>
      <c r="T1009" s="1362">
        <f t="shared" si="143"/>
        <v>509.55976346870352</v>
      </c>
      <c r="W1009" s="1612"/>
      <c r="X1009" s="1612"/>
      <c r="Y1009" s="1613"/>
      <c r="Z1009" s="1614"/>
      <c r="AA1009" s="1614"/>
      <c r="AB1009" s="1615"/>
      <c r="AC1009" s="1615"/>
      <c r="AD1009" s="583"/>
      <c r="AE1009" s="583"/>
    </row>
    <row r="1010" spans="1:31" ht="14">
      <c r="A1010" s="1384" t="s">
        <v>2578</v>
      </c>
      <c r="B1010" s="19" t="s">
        <v>66</v>
      </c>
      <c r="C1010" s="1383">
        <v>2353</v>
      </c>
      <c r="D1010" s="1236"/>
      <c r="E1010" s="1236"/>
      <c r="F1010" s="1344">
        <f>(1/S1010)*cnst_fish!$C$6</f>
        <v>9.5299549485983348E-2</v>
      </c>
      <c r="G1010" s="1344">
        <f t="shared" si="146"/>
        <v>1</v>
      </c>
      <c r="H1010" s="1344">
        <f t="shared" si="146"/>
        <v>0.367192066876738</v>
      </c>
      <c r="I1010" s="1344">
        <f t="shared" si="138"/>
        <v>0</v>
      </c>
      <c r="J1010" s="902">
        <f t="shared" si="139"/>
        <v>0</v>
      </c>
      <c r="L1010" s="1460">
        <v>1773</v>
      </c>
      <c r="M1010" s="1236"/>
      <c r="N1010" s="1240" t="s">
        <v>1806</v>
      </c>
      <c r="O1010" s="1241" t="s">
        <v>4841</v>
      </c>
      <c r="P1010" s="910">
        <f t="shared" si="140"/>
        <v>0</v>
      </c>
      <c r="Q1010" s="910">
        <f t="shared" si="141"/>
        <v>1773</v>
      </c>
      <c r="R1010" s="1344">
        <f t="shared" si="142"/>
        <v>3.5</v>
      </c>
      <c r="S1010" s="1344">
        <f>(1/9)*cnst_fish!$C$7*(1/cnst_fish!$C$8)^(R1010-1)</f>
        <v>44.596223412631026</v>
      </c>
      <c r="T1010" s="1362">
        <f t="shared" si="143"/>
        <v>6831.4230034026568</v>
      </c>
      <c r="W1010" s="1612"/>
      <c r="X1010" s="1612"/>
      <c r="Y1010" s="1613"/>
      <c r="Z1010" s="1614"/>
      <c r="AA1010" s="1614"/>
      <c r="AB1010" s="1615"/>
      <c r="AC1010" s="1615"/>
      <c r="AD1010" s="583"/>
      <c r="AE1010" s="583"/>
    </row>
    <row r="1011" spans="1:31" ht="14">
      <c r="A1011" s="1384" t="s">
        <v>3291</v>
      </c>
      <c r="B1011" s="19" t="s">
        <v>1100</v>
      </c>
      <c r="C1011" s="1383">
        <v>3547</v>
      </c>
      <c r="D1011" s="1236">
        <v>12175</v>
      </c>
      <c r="E1011" s="1236"/>
      <c r="F1011" s="1344">
        <f>(1/S1011)*cnst_fish!$C$6</f>
        <v>2.3938164528281742</v>
      </c>
      <c r="G1011" s="1344">
        <f t="shared" si="146"/>
        <v>1</v>
      </c>
      <c r="H1011" s="1344">
        <f t="shared" si="146"/>
        <v>0.367192066876738</v>
      </c>
      <c r="I1011" s="1344">
        <f t="shared" si="138"/>
        <v>1867.5464482427374</v>
      </c>
      <c r="J1011" s="902">
        <f t="shared" si="139"/>
        <v>0</v>
      </c>
      <c r="L1011" s="1460">
        <v>12642</v>
      </c>
      <c r="M1011" s="1236"/>
      <c r="N1011" s="1240" t="s">
        <v>1804</v>
      </c>
      <c r="O1011" s="1241" t="s">
        <v>4851</v>
      </c>
      <c r="P1011" s="910">
        <f t="shared" si="140"/>
        <v>12175</v>
      </c>
      <c r="Q1011" s="910">
        <f t="shared" si="141"/>
        <v>12642</v>
      </c>
      <c r="R1011" s="1344">
        <f t="shared" si="142"/>
        <v>2.1</v>
      </c>
      <c r="S1011" s="1344">
        <f>(1/9)*cnst_fish!$C$7*(1/cnst_fish!$C$8)^(R1011-1)</f>
        <v>1.7754076320174161</v>
      </c>
      <c r="T1011" s="1362">
        <f t="shared" si="143"/>
        <v>1939.1804680644507</v>
      </c>
      <c r="W1011" s="1612"/>
      <c r="X1011" s="1612"/>
      <c r="Y1011" s="1613"/>
      <c r="Z1011" s="1614"/>
      <c r="AA1011" s="1614"/>
      <c r="AB1011" s="1615"/>
      <c r="AC1011" s="1615"/>
      <c r="AD1011" s="583"/>
      <c r="AE1011" s="583"/>
    </row>
    <row r="1012" spans="1:31" ht="14">
      <c r="A1012" s="1384" t="s">
        <v>5579</v>
      </c>
      <c r="B1012" s="19" t="s">
        <v>1101</v>
      </c>
      <c r="C1012" s="1383">
        <v>3541</v>
      </c>
      <c r="D1012" s="1236"/>
      <c r="E1012" s="1236"/>
      <c r="F1012" s="1344">
        <f>(1/S1012)*cnst_fish!$C$6</f>
        <v>2.3938164528281742</v>
      </c>
      <c r="G1012" s="1344">
        <f t="shared" si="146"/>
        <v>1</v>
      </c>
      <c r="H1012" s="1344">
        <f t="shared" si="146"/>
        <v>0.367192066876738</v>
      </c>
      <c r="I1012" s="1344">
        <f t="shared" si="138"/>
        <v>0</v>
      </c>
      <c r="J1012" s="902">
        <f t="shared" si="139"/>
        <v>0</v>
      </c>
      <c r="L1012" s="1460">
        <v>139</v>
      </c>
      <c r="M1012" s="1236"/>
      <c r="N1012" s="1240" t="s">
        <v>1804</v>
      </c>
      <c r="O1012" s="1241" t="s">
        <v>4851</v>
      </c>
      <c r="P1012" s="910">
        <f t="shared" si="140"/>
        <v>0</v>
      </c>
      <c r="Q1012" s="910">
        <f t="shared" si="141"/>
        <v>139</v>
      </c>
      <c r="R1012" s="1344">
        <f t="shared" si="142"/>
        <v>2.1</v>
      </c>
      <c r="S1012" s="1344">
        <f>(1/9)*cnst_fish!$C$7*(1/cnst_fish!$C$8)^(R1012-1)</f>
        <v>1.7754076320174161</v>
      </c>
      <c r="T1012" s="1362">
        <f t="shared" si="143"/>
        <v>21.321474850574166</v>
      </c>
      <c r="W1012" s="1612"/>
      <c r="X1012" s="1612"/>
      <c r="Y1012" s="1613"/>
      <c r="Z1012" s="1614"/>
      <c r="AA1012" s="1614"/>
      <c r="AB1012" s="1615"/>
      <c r="AC1012" s="1615"/>
      <c r="AD1012" s="583"/>
      <c r="AE1012" s="583"/>
    </row>
    <row r="1013" spans="1:31" ht="14">
      <c r="A1013" s="1384" t="s">
        <v>3246</v>
      </c>
      <c r="B1013" s="19" t="s">
        <v>1102</v>
      </c>
      <c r="C1013" s="1383">
        <v>2698</v>
      </c>
      <c r="D1013" s="1236"/>
      <c r="E1013" s="1236"/>
      <c r="F1013" s="1344">
        <f>(1/S1013)*cnst_fish!$C$6</f>
        <v>2.3938164528281742</v>
      </c>
      <c r="G1013" s="1344">
        <f t="shared" si="146"/>
        <v>1</v>
      </c>
      <c r="H1013" s="1344">
        <f t="shared" si="146"/>
        <v>0.367192066876738</v>
      </c>
      <c r="I1013" s="1344">
        <f t="shared" si="138"/>
        <v>0</v>
      </c>
      <c r="J1013" s="902">
        <f t="shared" si="139"/>
        <v>0</v>
      </c>
      <c r="L1013" s="1460">
        <v>1673</v>
      </c>
      <c r="M1013" s="1236"/>
      <c r="N1013" s="1240" t="s">
        <v>1804</v>
      </c>
      <c r="O1013" s="1241" t="s">
        <v>4851</v>
      </c>
      <c r="P1013" s="910">
        <f t="shared" si="140"/>
        <v>0</v>
      </c>
      <c r="Q1013" s="910">
        <f t="shared" si="141"/>
        <v>1673</v>
      </c>
      <c r="R1013" s="1344">
        <f t="shared" si="142"/>
        <v>2.1</v>
      </c>
      <c r="S1013" s="1344">
        <f>(1/9)*cnst_fish!$C$7*(1/cnst_fish!$C$8)^(R1013-1)</f>
        <v>1.7754076320174161</v>
      </c>
      <c r="T1013" s="1362">
        <f t="shared" si="143"/>
        <v>256.62465773388908</v>
      </c>
      <c r="W1013" s="1612"/>
      <c r="X1013" s="1612"/>
      <c r="Y1013" s="1613"/>
      <c r="Z1013" s="1614"/>
      <c r="AA1013" s="1614"/>
      <c r="AB1013" s="1615"/>
      <c r="AC1013" s="1615"/>
      <c r="AD1013" s="583"/>
      <c r="AE1013" s="583"/>
    </row>
    <row r="1014" spans="1:31" ht="14">
      <c r="A1014" s="1384" t="s">
        <v>3597</v>
      </c>
      <c r="B1014" s="19" t="s">
        <v>1502</v>
      </c>
      <c r="C1014" s="1383">
        <v>3022</v>
      </c>
      <c r="D1014" s="1236"/>
      <c r="E1014" s="1236"/>
      <c r="F1014" s="1344">
        <f>(1/S1014)*cnst_fish!$C$6</f>
        <v>1.2855555498429807E-2</v>
      </c>
      <c r="G1014" s="1344">
        <f t="shared" si="146"/>
        <v>1</v>
      </c>
      <c r="H1014" s="1344">
        <f t="shared" si="146"/>
        <v>0.367192066876738</v>
      </c>
      <c r="I1014" s="1344">
        <f t="shared" si="138"/>
        <v>0</v>
      </c>
      <c r="J1014" s="902">
        <f t="shared" si="139"/>
        <v>0</v>
      </c>
      <c r="L1014" s="1460">
        <v>45415</v>
      </c>
      <c r="M1014" s="1236"/>
      <c r="N1014" s="1240" t="s">
        <v>1806</v>
      </c>
      <c r="O1014" s="1241" t="s">
        <v>4841</v>
      </c>
      <c r="P1014" s="910">
        <f t="shared" si="140"/>
        <v>0</v>
      </c>
      <c r="Q1014" s="910">
        <f t="shared" si="141"/>
        <v>45415</v>
      </c>
      <c r="R1014" s="1344">
        <f t="shared" si="142"/>
        <v>4.37</v>
      </c>
      <c r="S1014" s="1344">
        <f>(1/9)*cnst_fish!$C$7*(1/cnst_fish!$C$8)^(R1014-1)</f>
        <v>330.59637139127125</v>
      </c>
      <c r="T1014" s="1362">
        <f t="shared" si="143"/>
        <v>1297184.530006804</v>
      </c>
      <c r="W1014" s="1612"/>
      <c r="X1014" s="1612"/>
      <c r="Y1014" s="1613"/>
      <c r="Z1014" s="1614"/>
      <c r="AA1014" s="1614"/>
      <c r="AB1014" s="1615"/>
      <c r="AC1014" s="1615"/>
      <c r="AD1014" s="583"/>
      <c r="AE1014" s="583"/>
    </row>
    <row r="1015" spans="1:31" ht="14">
      <c r="A1015" s="1384" t="s">
        <v>4235</v>
      </c>
      <c r="B1015" s="19" t="s">
        <v>1503</v>
      </c>
      <c r="C1015" s="1383">
        <v>2242</v>
      </c>
      <c r="D1015" s="1236">
        <v>25</v>
      </c>
      <c r="E1015" s="1236"/>
      <c r="F1015" s="1344">
        <f>(1/S1015)*cnst_fish!$C$6</f>
        <v>0.11196720767792057</v>
      </c>
      <c r="G1015" s="1344">
        <f t="shared" si="146"/>
        <v>1</v>
      </c>
      <c r="H1015" s="1344">
        <f t="shared" si="146"/>
        <v>0.367192066876738</v>
      </c>
      <c r="I1015" s="1344">
        <f t="shared" si="138"/>
        <v>81.986519645328855</v>
      </c>
      <c r="J1015" s="902">
        <f t="shared" si="139"/>
        <v>0</v>
      </c>
      <c r="L1015" s="1460">
        <v>25</v>
      </c>
      <c r="M1015" s="1236"/>
      <c r="N1015" s="1240" t="s">
        <v>3930</v>
      </c>
      <c r="O1015" s="1241" t="s">
        <v>4841</v>
      </c>
      <c r="P1015" s="910">
        <f t="shared" si="140"/>
        <v>25</v>
      </c>
      <c r="Q1015" s="910">
        <f t="shared" si="141"/>
        <v>25</v>
      </c>
      <c r="R1015" s="1344">
        <f t="shared" si="142"/>
        <v>3.43</v>
      </c>
      <c r="S1015" s="1344">
        <f>(1/9)*cnst_fish!$C$7*(1/cnst_fish!$C$8)^(R1015-1)</f>
        <v>37.957542106661656</v>
      </c>
      <c r="T1015" s="1362">
        <f t="shared" si="143"/>
        <v>81.986519645328855</v>
      </c>
      <c r="W1015" s="1612"/>
      <c r="X1015" s="1612"/>
      <c r="Y1015" s="1613"/>
      <c r="Z1015" s="1614"/>
      <c r="AA1015" s="1614"/>
      <c r="AB1015" s="1615"/>
      <c r="AC1015" s="1615"/>
      <c r="AD1015" s="583"/>
      <c r="AE1015" s="583"/>
    </row>
    <row r="1016" spans="1:31" ht="14">
      <c r="A1016" s="1384" t="s">
        <v>2189</v>
      </c>
      <c r="B1016" s="19" t="s">
        <v>1504</v>
      </c>
      <c r="C1016" s="1383">
        <v>13427</v>
      </c>
      <c r="D1016" s="1236"/>
      <c r="E1016" s="1236"/>
      <c r="F1016" s="1344">
        <f>(1/S1016)*cnst_fish!$C$6</f>
        <v>2.945037624971374E-2</v>
      </c>
      <c r="G1016" s="1344">
        <f t="shared" si="146"/>
        <v>1</v>
      </c>
      <c r="H1016" s="1344">
        <f t="shared" si="146"/>
        <v>0.367192066876738</v>
      </c>
      <c r="I1016" s="1344">
        <f t="shared" si="138"/>
        <v>0</v>
      </c>
      <c r="J1016" s="902">
        <f t="shared" si="139"/>
        <v>0</v>
      </c>
      <c r="L1016" s="1460"/>
      <c r="M1016" s="1236"/>
      <c r="N1016" s="1240" t="s">
        <v>3930</v>
      </c>
      <c r="O1016" s="1241" t="s">
        <v>4841</v>
      </c>
      <c r="P1016" s="910">
        <f t="shared" si="140"/>
        <v>0</v>
      </c>
      <c r="Q1016" s="910">
        <f t="shared" si="141"/>
        <v>0</v>
      </c>
      <c r="R1016" s="1344">
        <f t="shared" si="142"/>
        <v>4.01</v>
      </c>
      <c r="S1016" s="1344">
        <f>(1/9)*cnst_fish!$C$7*(1/cnst_fish!$C$8)^(R1016-1)</f>
        <v>144.31055019343972</v>
      </c>
      <c r="T1016" s="1362">
        <f t="shared" si="143"/>
        <v>0</v>
      </c>
      <c r="W1016" s="1612"/>
      <c r="X1016" s="1612"/>
      <c r="Y1016" s="1613"/>
      <c r="Z1016" s="1614"/>
      <c r="AA1016" s="1614"/>
      <c r="AB1016" s="1615"/>
      <c r="AC1016" s="1615"/>
      <c r="AD1016" s="583"/>
      <c r="AE1016" s="583"/>
    </row>
    <row r="1017" spans="1:31" ht="14">
      <c r="A1017" s="1384" t="s">
        <v>1523</v>
      </c>
      <c r="B1017" s="19" t="s">
        <v>1505</v>
      </c>
      <c r="C1017" s="1383">
        <v>2239</v>
      </c>
      <c r="D1017" s="1236"/>
      <c r="E1017" s="1236"/>
      <c r="F1017" s="1344">
        <f>(1/S1017)*cnst_fish!$C$6</f>
        <v>1.0692785320993655E-2</v>
      </c>
      <c r="G1017" s="1344">
        <f t="shared" si="146"/>
        <v>1</v>
      </c>
      <c r="H1017" s="1344">
        <f t="shared" si="146"/>
        <v>0.367192066876738</v>
      </c>
      <c r="I1017" s="1344">
        <f t="shared" si="138"/>
        <v>0</v>
      </c>
      <c r="J1017" s="902">
        <f t="shared" si="139"/>
        <v>0</v>
      </c>
      <c r="L1017" s="1460">
        <v>31787</v>
      </c>
      <c r="M1017" s="1236"/>
      <c r="N1017" s="1240" t="s">
        <v>3930</v>
      </c>
      <c r="O1017" s="1241" t="s">
        <v>4841</v>
      </c>
      <c r="P1017" s="910">
        <f t="shared" si="140"/>
        <v>0</v>
      </c>
      <c r="Q1017" s="910">
        <f t="shared" si="141"/>
        <v>31787</v>
      </c>
      <c r="R1017" s="1344">
        <f t="shared" si="142"/>
        <v>4.45</v>
      </c>
      <c r="S1017" s="1344">
        <f>(1/9)*cnst_fish!$C$7*(1/cnst_fish!$C$8)^(R1017-1)</f>
        <v>397.46425953729499</v>
      </c>
      <c r="T1017" s="1362">
        <f t="shared" si="143"/>
        <v>1091570.9872987729</v>
      </c>
      <c r="W1017" s="1612"/>
      <c r="X1017" s="1612"/>
      <c r="Y1017" s="1613"/>
      <c r="Z1017" s="1614"/>
      <c r="AA1017" s="1614"/>
      <c r="AB1017" s="1615"/>
      <c r="AC1017" s="1615"/>
      <c r="AD1017" s="583"/>
      <c r="AE1017" s="583"/>
    </row>
    <row r="1018" spans="1:31" ht="14">
      <c r="A1018" s="1384" t="s">
        <v>1114</v>
      </c>
      <c r="B1018" s="19" t="s">
        <v>1506</v>
      </c>
      <c r="C1018" s="1383">
        <v>3026</v>
      </c>
      <c r="D1018" s="1236">
        <v>6197</v>
      </c>
      <c r="E1018" s="1236"/>
      <c r="F1018" s="1344">
        <f>(1/S1018)*cnst_fish!$C$6</f>
        <v>1.6561163607618418E-2</v>
      </c>
      <c r="G1018" s="1344">
        <f t="shared" si="146"/>
        <v>1</v>
      </c>
      <c r="H1018" s="1344">
        <f t="shared" si="146"/>
        <v>0.367192066876738</v>
      </c>
      <c r="I1018" s="1344">
        <f t="shared" si="138"/>
        <v>137399.11592856806</v>
      </c>
      <c r="J1018" s="902">
        <f t="shared" si="139"/>
        <v>0</v>
      </c>
      <c r="L1018" s="1460">
        <v>15521</v>
      </c>
      <c r="M1018" s="1236"/>
      <c r="N1018" s="1240" t="s">
        <v>3930</v>
      </c>
      <c r="O1018" s="1241" t="s">
        <v>4841</v>
      </c>
      <c r="P1018" s="910">
        <f t="shared" si="140"/>
        <v>6197</v>
      </c>
      <c r="Q1018" s="910">
        <f t="shared" si="141"/>
        <v>15521</v>
      </c>
      <c r="R1018" s="1344">
        <f t="shared" si="142"/>
        <v>4.26</v>
      </c>
      <c r="S1018" s="1344">
        <f>(1/9)*cnst_fish!$C$7*(1/cnst_fish!$C$8)^(R1018-1)</f>
        <v>256.62448006038221</v>
      </c>
      <c r="T1018" s="1362">
        <f t="shared" si="143"/>
        <v>344129.68828906002</v>
      </c>
      <c r="W1018" s="1612"/>
      <c r="X1018" s="1612"/>
      <c r="Y1018" s="1613"/>
      <c r="Z1018" s="1614"/>
      <c r="AA1018" s="1614"/>
      <c r="AB1018" s="1615"/>
      <c r="AC1018" s="1615"/>
      <c r="AD1018" s="583"/>
      <c r="AE1018" s="583"/>
    </row>
    <row r="1019" spans="1:31" ht="14">
      <c r="A1019" s="1384" t="s">
        <v>2241</v>
      </c>
      <c r="B1019" s="19" t="s">
        <v>1507</v>
      </c>
      <c r="C1019" s="1383">
        <v>3029</v>
      </c>
      <c r="D1019" s="1236"/>
      <c r="E1019" s="1236"/>
      <c r="F1019" s="1344">
        <f>(1/S1019)*cnst_fish!$C$6</f>
        <v>1.0692785320993655E-2</v>
      </c>
      <c r="G1019" s="1344">
        <f t="shared" si="146"/>
        <v>1</v>
      </c>
      <c r="H1019" s="1344">
        <f t="shared" si="146"/>
        <v>0.367192066876738</v>
      </c>
      <c r="I1019" s="1344">
        <f t="shared" si="138"/>
        <v>0</v>
      </c>
      <c r="J1019" s="902">
        <f t="shared" si="139"/>
        <v>0</v>
      </c>
      <c r="L1019" s="1460">
        <v>8600</v>
      </c>
      <c r="M1019" s="1236"/>
      <c r="N1019" s="1240" t="s">
        <v>3930</v>
      </c>
      <c r="O1019" s="1241" t="s">
        <v>4841</v>
      </c>
      <c r="P1019" s="910">
        <f t="shared" si="140"/>
        <v>0</v>
      </c>
      <c r="Q1019" s="910">
        <f t="shared" si="141"/>
        <v>8600</v>
      </c>
      <c r="R1019" s="1344">
        <f t="shared" si="142"/>
        <v>4.45</v>
      </c>
      <c r="S1019" s="1344">
        <f>(1/9)*cnst_fish!$C$7*(1/cnst_fish!$C$8)^(R1019-1)</f>
        <v>397.46425953729499</v>
      </c>
      <c r="T1019" s="1362">
        <f t="shared" si="143"/>
        <v>295325.46294930152</v>
      </c>
      <c r="W1019" s="1612"/>
      <c r="X1019" s="1612"/>
      <c r="Y1019" s="1613"/>
      <c r="Z1019" s="1614"/>
      <c r="AA1019" s="1614"/>
      <c r="AB1019" s="1615"/>
      <c r="AC1019" s="1615"/>
      <c r="AD1019" s="583"/>
      <c r="AE1019" s="583"/>
    </row>
    <row r="1020" spans="1:31" ht="14">
      <c r="A1020" s="1384" t="s">
        <v>3453</v>
      </c>
      <c r="B1020" s="19" t="s">
        <v>6719</v>
      </c>
      <c r="C1020" s="1383">
        <v>3024</v>
      </c>
      <c r="D1020" s="1236"/>
      <c r="E1020" s="1236"/>
      <c r="F1020" s="1344">
        <f>(1/S1020)*cnst_fish!$C$6</f>
        <v>1.5455777163012491E-2</v>
      </c>
      <c r="G1020" s="1344">
        <f t="shared" si="146"/>
        <v>1</v>
      </c>
      <c r="H1020" s="1344">
        <f t="shared" si="146"/>
        <v>0.367192066876738</v>
      </c>
      <c r="I1020" s="1344">
        <f t="shared" si="138"/>
        <v>0</v>
      </c>
      <c r="J1020" s="902">
        <f t="shared" si="139"/>
        <v>0</v>
      </c>
      <c r="L1020" s="1460">
        <v>284191</v>
      </c>
      <c r="M1020" s="1236"/>
      <c r="N1020" s="1240" t="s">
        <v>3930</v>
      </c>
      <c r="O1020" s="1241" t="s">
        <v>4841</v>
      </c>
      <c r="P1020" s="910">
        <f t="shared" si="140"/>
        <v>0</v>
      </c>
      <c r="Q1020" s="910">
        <f t="shared" si="141"/>
        <v>284191</v>
      </c>
      <c r="R1020" s="1344">
        <f t="shared" si="142"/>
        <v>4.29</v>
      </c>
      <c r="S1020" s="1344">
        <f>(1/9)*cnst_fish!$C$7*(1/cnst_fish!$C$8)^(R1020-1)</f>
        <v>274.97808458126286</v>
      </c>
      <c r="T1020" s="1362">
        <f t="shared" si="143"/>
        <v>6751694.1773394225</v>
      </c>
      <c r="W1020" s="1612"/>
      <c r="X1020" s="1612"/>
      <c r="Y1020" s="1613"/>
      <c r="Z1020" s="1614"/>
      <c r="AA1020" s="1614"/>
      <c r="AB1020" s="1615"/>
      <c r="AC1020" s="1615"/>
      <c r="AD1020" s="583"/>
      <c r="AE1020" s="583"/>
    </row>
    <row r="1021" spans="1:31" ht="14">
      <c r="A1021" s="1384" t="s">
        <v>1459</v>
      </c>
      <c r="B1021" s="19" t="s">
        <v>1508</v>
      </c>
      <c r="C1021" s="1383">
        <v>2240</v>
      </c>
      <c r="D1021" s="1236"/>
      <c r="E1021" s="1236"/>
      <c r="F1021" s="1344">
        <f>(1/S1021)*cnst_fish!$C$6</f>
        <v>1.6561163607618418E-2</v>
      </c>
      <c r="G1021" s="1344">
        <f t="shared" si="146"/>
        <v>1</v>
      </c>
      <c r="H1021" s="1344">
        <f t="shared" si="146"/>
        <v>0.367192066876738</v>
      </c>
      <c r="I1021" s="1344">
        <f t="shared" si="138"/>
        <v>0</v>
      </c>
      <c r="J1021" s="902">
        <f t="shared" si="139"/>
        <v>0</v>
      </c>
      <c r="L1021" s="1460">
        <v>92031</v>
      </c>
      <c r="M1021" s="1236"/>
      <c r="N1021" s="1240" t="s">
        <v>3930</v>
      </c>
      <c r="O1021" s="1241" t="s">
        <v>4841</v>
      </c>
      <c r="P1021" s="910">
        <f t="shared" si="140"/>
        <v>0</v>
      </c>
      <c r="Q1021" s="910">
        <f t="shared" si="141"/>
        <v>92031</v>
      </c>
      <c r="R1021" s="1344">
        <f t="shared" si="142"/>
        <v>4.26</v>
      </c>
      <c r="S1021" s="1344">
        <f>(1/9)*cnst_fish!$C$7*(1/cnst_fish!$C$8)^(R1021-1)</f>
        <v>256.62448006038221</v>
      </c>
      <c r="T1021" s="1362">
        <f t="shared" si="143"/>
        <v>2040499.9254513551</v>
      </c>
      <c r="W1021" s="1612"/>
      <c r="X1021" s="1612"/>
      <c r="Y1021" s="1613"/>
      <c r="Z1021" s="1614"/>
      <c r="AA1021" s="1614"/>
      <c r="AB1021" s="1615"/>
      <c r="AC1021" s="1615"/>
      <c r="AD1021" s="583"/>
      <c r="AE1021" s="583"/>
    </row>
    <row r="1022" spans="1:31" ht="14">
      <c r="A1022" s="1384" t="s">
        <v>3666</v>
      </c>
      <c r="B1022" s="19" t="s">
        <v>1509</v>
      </c>
      <c r="C1022" s="1383">
        <v>3027</v>
      </c>
      <c r="D1022" s="1236"/>
      <c r="E1022" s="1236"/>
      <c r="F1022" s="1344">
        <f>(1/S1022)*cnst_fish!$C$6</f>
        <v>1.7745606522761578E-2</v>
      </c>
      <c r="G1022" s="1344">
        <f t="shared" si="146"/>
        <v>1</v>
      </c>
      <c r="H1022" s="1344">
        <f t="shared" si="146"/>
        <v>0.367192066876738</v>
      </c>
      <c r="I1022" s="1344">
        <f t="shared" si="138"/>
        <v>0</v>
      </c>
      <c r="J1022" s="902">
        <f t="shared" si="139"/>
        <v>0</v>
      </c>
      <c r="L1022" s="1460">
        <v>349444</v>
      </c>
      <c r="M1022" s="1236"/>
      <c r="N1022" s="1240" t="s">
        <v>3930</v>
      </c>
      <c r="O1022" s="1241" t="s">
        <v>4841</v>
      </c>
      <c r="P1022" s="910">
        <f t="shared" si="140"/>
        <v>0</v>
      </c>
      <c r="Q1022" s="910">
        <f t="shared" si="141"/>
        <v>349444</v>
      </c>
      <c r="R1022" s="1344">
        <f t="shared" si="142"/>
        <v>4.2300000000000004</v>
      </c>
      <c r="S1022" s="1344">
        <f>(1/9)*cnst_fish!$C$7*(1/cnst_fish!$C$8)^(R1022-1)</f>
        <v>239.49589970614389</v>
      </c>
      <c r="T1022" s="1362">
        <f t="shared" si="143"/>
        <v>7230694.7893323805</v>
      </c>
      <c r="W1022" s="1612"/>
      <c r="X1022" s="1612"/>
      <c r="Y1022" s="1613"/>
      <c r="Z1022" s="1614"/>
      <c r="AA1022" s="1614"/>
      <c r="AB1022" s="1615"/>
      <c r="AC1022" s="1615"/>
      <c r="AD1022" s="583"/>
      <c r="AE1022" s="583"/>
    </row>
    <row r="1023" spans="1:31" ht="14">
      <c r="A1023" s="1384" t="s">
        <v>4101</v>
      </c>
      <c r="B1023" s="19" t="s">
        <v>1510</v>
      </c>
      <c r="C1023" s="1383">
        <v>2238</v>
      </c>
      <c r="D1023" s="1236"/>
      <c r="E1023" s="1236"/>
      <c r="F1023" s="1344">
        <f>(1/S1023)*cnst_fish!$C$6</f>
        <v>1.1457525898206004E-2</v>
      </c>
      <c r="G1023" s="1344">
        <f t="shared" si="146"/>
        <v>1</v>
      </c>
      <c r="H1023" s="1344">
        <f t="shared" si="146"/>
        <v>0.367192066876738</v>
      </c>
      <c r="I1023" s="1344">
        <f t="shared" si="138"/>
        <v>0</v>
      </c>
      <c r="J1023" s="902">
        <f t="shared" si="139"/>
        <v>0</v>
      </c>
      <c r="L1023" s="1460">
        <v>107462</v>
      </c>
      <c r="M1023" s="1236"/>
      <c r="N1023" s="1240" t="s">
        <v>3930</v>
      </c>
      <c r="O1023" s="1241" t="s">
        <v>4841</v>
      </c>
      <c r="P1023" s="910">
        <f t="shared" si="140"/>
        <v>0</v>
      </c>
      <c r="Q1023" s="910">
        <f t="shared" si="141"/>
        <v>107462</v>
      </c>
      <c r="R1023" s="1344">
        <f t="shared" si="142"/>
        <v>4.42</v>
      </c>
      <c r="S1023" s="1344">
        <f>(1/9)*cnst_fish!$C$7*(1/cnst_fish!$C$8)^(R1023-1)</f>
        <v>370.93522962627179</v>
      </c>
      <c r="T1023" s="1362">
        <f t="shared" si="143"/>
        <v>3443954.1521687903</v>
      </c>
      <c r="W1023" s="1612"/>
      <c r="X1023" s="1612"/>
      <c r="Y1023" s="1613"/>
      <c r="Z1023" s="1614"/>
      <c r="AA1023" s="1614"/>
      <c r="AB1023" s="1615"/>
      <c r="AC1023" s="1615"/>
      <c r="AD1023" s="583"/>
      <c r="AE1023" s="583"/>
    </row>
    <row r="1024" spans="1:31" ht="14">
      <c r="A1024" s="1585" t="s">
        <v>8555</v>
      </c>
      <c r="B1024" s="1586" t="s">
        <v>8556</v>
      </c>
      <c r="C1024" s="1383">
        <v>3030</v>
      </c>
      <c r="D1024" s="1236"/>
      <c r="E1024" s="1236"/>
      <c r="F1024" s="1344">
        <f>(1/S1024)*cnst_fish!$C$6</f>
        <v>7.5699122913220583E-3</v>
      </c>
      <c r="G1024" s="1344">
        <f t="shared" si="146"/>
        <v>1</v>
      </c>
      <c r="H1024" s="1344">
        <f t="shared" si="146"/>
        <v>0.367192066876738</v>
      </c>
      <c r="I1024" s="1344">
        <f t="shared" si="138"/>
        <v>0</v>
      </c>
      <c r="J1024" s="902">
        <f t="shared" si="139"/>
        <v>0</v>
      </c>
      <c r="L1024" s="1460">
        <v>4104</v>
      </c>
      <c r="M1024" s="1236"/>
      <c r="N1024" s="1240" t="s">
        <v>3930</v>
      </c>
      <c r="O1024" s="1241" t="s">
        <v>4841</v>
      </c>
      <c r="P1024" s="910">
        <f t="shared" si="140"/>
        <v>0</v>
      </c>
      <c r="Q1024" s="910">
        <f t="shared" si="141"/>
        <v>4104</v>
      </c>
      <c r="R1024" s="1344">
        <f t="shared" si="142"/>
        <v>4.5999999999999996</v>
      </c>
      <c r="S1024" s="1344">
        <f>(1/9)*cnst_fish!$C$7*(1/cnst_fish!$C$8)^(R1024-1)</f>
        <v>561.4331892421111</v>
      </c>
      <c r="T1024" s="1362">
        <f t="shared" si="143"/>
        <v>199071.82335384077</v>
      </c>
      <c r="W1024" s="1616"/>
      <c r="X1024" s="1616"/>
      <c r="Y1024" s="1613"/>
      <c r="Z1024" s="1614"/>
      <c r="AA1024" s="1614"/>
      <c r="AB1024" s="1615"/>
      <c r="AC1024" s="1615"/>
      <c r="AD1024" s="583"/>
      <c r="AE1024" s="583"/>
    </row>
    <row r="1025" spans="1:31" ht="14">
      <c r="A1025" s="1384" t="s">
        <v>3598</v>
      </c>
      <c r="B1025" s="19" t="s">
        <v>1511</v>
      </c>
      <c r="C1025" s="1383">
        <v>2241</v>
      </c>
      <c r="D1025" s="1236"/>
      <c r="E1025" s="1236"/>
      <c r="F1025" s="1344">
        <f>(1/S1025)*cnst_fish!$C$6</f>
        <v>9.5299549485983424E-3</v>
      </c>
      <c r="G1025" s="1344">
        <f t="shared" si="146"/>
        <v>1</v>
      </c>
      <c r="H1025" s="1344">
        <f t="shared" si="146"/>
        <v>0.367192066876738</v>
      </c>
      <c r="I1025" s="1344">
        <f t="shared" si="138"/>
        <v>0</v>
      </c>
      <c r="J1025" s="902">
        <f t="shared" si="139"/>
        <v>0</v>
      </c>
      <c r="L1025" s="1460">
        <v>2657</v>
      </c>
      <c r="M1025" s="1236"/>
      <c r="N1025" s="1240" t="s">
        <v>3930</v>
      </c>
      <c r="O1025" s="1241" t="s">
        <v>4841</v>
      </c>
      <c r="P1025" s="910">
        <f t="shared" si="140"/>
        <v>0</v>
      </c>
      <c r="Q1025" s="910">
        <f t="shared" si="141"/>
        <v>2657</v>
      </c>
      <c r="R1025" s="1344">
        <f t="shared" si="142"/>
        <v>4.5</v>
      </c>
      <c r="S1025" s="1344">
        <f>(1/9)*cnst_fish!$C$7*(1/cnst_fish!$C$8)^(R1025-1)</f>
        <v>445.96223412630997</v>
      </c>
      <c r="T1025" s="1362">
        <f t="shared" si="143"/>
        <v>102375.01928957048</v>
      </c>
      <c r="W1025" s="1612"/>
      <c r="X1025" s="1612"/>
      <c r="Y1025" s="1613"/>
      <c r="Z1025" s="1614"/>
      <c r="AA1025" s="1614"/>
      <c r="AB1025" s="1615"/>
      <c r="AC1025" s="1615"/>
      <c r="AD1025" s="583"/>
      <c r="AE1025" s="583"/>
    </row>
    <row r="1026" spans="1:31" ht="14">
      <c r="A1026" s="1384" t="s">
        <v>1981</v>
      </c>
      <c r="B1026" s="19" t="s">
        <v>1512</v>
      </c>
      <c r="C1026" s="1383">
        <v>3028</v>
      </c>
      <c r="D1026" s="1236">
        <v>229348</v>
      </c>
      <c r="E1026" s="1236"/>
      <c r="F1026" s="1344">
        <f>(1/S1026)*cnst_fish!$C$6</f>
        <v>1.3461419163458574E-2</v>
      </c>
      <c r="G1026" s="1344">
        <f t="shared" si="146"/>
        <v>1</v>
      </c>
      <c r="H1026" s="1344">
        <f t="shared" si="146"/>
        <v>0.367192066876738</v>
      </c>
      <c r="I1026" s="1344">
        <f t="shared" si="138"/>
        <v>6256009.4988089828</v>
      </c>
      <c r="J1026" s="902">
        <f t="shared" si="139"/>
        <v>0</v>
      </c>
      <c r="L1026" s="1460">
        <v>291537</v>
      </c>
      <c r="M1026" s="1236"/>
      <c r="N1026" s="1240" t="s">
        <v>3930</v>
      </c>
      <c r="O1026" s="1241" t="s">
        <v>4841</v>
      </c>
      <c r="P1026" s="910">
        <f t="shared" si="140"/>
        <v>229348</v>
      </c>
      <c r="Q1026" s="910">
        <f t="shared" si="141"/>
        <v>291537</v>
      </c>
      <c r="R1026" s="1344">
        <f t="shared" si="142"/>
        <v>4.3499999999999996</v>
      </c>
      <c r="S1026" s="1344">
        <f>(1/9)*cnst_fish!$C$7*(1/cnst_fish!$C$8)^(R1026-1)</f>
        <v>315.71708364425297</v>
      </c>
      <c r="T1026" s="1362">
        <f t="shared" si="143"/>
        <v>7952361.656758613</v>
      </c>
      <c r="W1026" s="1612"/>
      <c r="X1026" s="1612"/>
      <c r="Y1026" s="1613"/>
      <c r="Z1026" s="1614"/>
      <c r="AA1026" s="1614"/>
      <c r="AB1026" s="1615"/>
      <c r="AC1026" s="1615"/>
      <c r="AD1026" s="583"/>
      <c r="AE1026" s="583"/>
    </row>
    <row r="1027" spans="1:31" ht="14">
      <c r="A1027" s="1384" t="s">
        <v>1113</v>
      </c>
      <c r="B1027" s="19" t="s">
        <v>4054</v>
      </c>
      <c r="C1027" s="1383">
        <v>3025</v>
      </c>
      <c r="D1027" s="1236"/>
      <c r="E1027" s="1236"/>
      <c r="F1027" s="1344">
        <f>(1/S1027)*cnst_fish!$C$6</f>
        <v>9.5299549485983424E-3</v>
      </c>
      <c r="G1027" s="1344">
        <f t="shared" si="146"/>
        <v>1</v>
      </c>
      <c r="H1027" s="1344">
        <f t="shared" si="146"/>
        <v>0.367192066876738</v>
      </c>
      <c r="I1027" s="1344">
        <f t="shared" si="138"/>
        <v>0</v>
      </c>
      <c r="J1027" s="902">
        <f t="shared" si="139"/>
        <v>0</v>
      </c>
      <c r="L1027" s="1460">
        <v>5370</v>
      </c>
      <c r="M1027" s="1236"/>
      <c r="N1027" s="1240" t="s">
        <v>3930</v>
      </c>
      <c r="O1027" s="1241" t="s">
        <v>4841</v>
      </c>
      <c r="P1027" s="910">
        <f t="shared" si="140"/>
        <v>0</v>
      </c>
      <c r="Q1027" s="910">
        <f t="shared" si="141"/>
        <v>5370</v>
      </c>
      <c r="R1027" s="1344">
        <f t="shared" si="142"/>
        <v>4.5</v>
      </c>
      <c r="S1027" s="1344">
        <f>(1/9)*cnst_fish!$C$7*(1/cnst_fish!$C$8)^(R1027-1)</f>
        <v>445.96223412630997</v>
      </c>
      <c r="T1027" s="1362">
        <f t="shared" si="143"/>
        <v>206907.73563605323</v>
      </c>
      <c r="W1027" s="1612"/>
      <c r="X1027" s="1612"/>
      <c r="Y1027" s="1613"/>
      <c r="Z1027" s="1614"/>
      <c r="AA1027" s="1614"/>
      <c r="AB1027" s="1615"/>
      <c r="AC1027" s="1615"/>
      <c r="AD1027" s="583"/>
      <c r="AE1027" s="583"/>
    </row>
    <row r="1028" spans="1:31" ht="14">
      <c r="A1028" s="1384" t="s">
        <v>119</v>
      </c>
      <c r="B1028" s="19" t="s">
        <v>3582</v>
      </c>
      <c r="C1028" s="1383">
        <v>2237</v>
      </c>
      <c r="D1028" s="1236"/>
      <c r="E1028" s="1236"/>
      <c r="F1028" s="1344">
        <f>(1/S1028)*cnst_fish!$C$6</f>
        <v>1.5455777163012491E-2</v>
      </c>
      <c r="G1028" s="1344">
        <f t="shared" ref="G1028:H1047" si="147">G$7</f>
        <v>1</v>
      </c>
      <c r="H1028" s="1344">
        <f t="shared" si="147"/>
        <v>0.367192066876738</v>
      </c>
      <c r="I1028" s="1344">
        <f t="shared" si="138"/>
        <v>0</v>
      </c>
      <c r="J1028" s="902">
        <f t="shared" si="139"/>
        <v>0</v>
      </c>
      <c r="L1028" s="1460">
        <v>1568</v>
      </c>
      <c r="M1028" s="1236"/>
      <c r="N1028" s="1240" t="s">
        <v>3930</v>
      </c>
      <c r="O1028" s="1241" t="s">
        <v>4841</v>
      </c>
      <c r="P1028" s="910">
        <f t="shared" si="140"/>
        <v>0</v>
      </c>
      <c r="Q1028" s="910">
        <f t="shared" si="141"/>
        <v>1568</v>
      </c>
      <c r="R1028" s="1344">
        <f t="shared" si="142"/>
        <v>4.29</v>
      </c>
      <c r="S1028" s="1344">
        <f>(1/9)*cnst_fish!$C$7*(1/cnst_fish!$C$8)^(R1028-1)</f>
        <v>274.97808458126286</v>
      </c>
      <c r="T1028" s="1362">
        <f t="shared" si="143"/>
        <v>37251.906183053703</v>
      </c>
      <c r="W1028" s="1612"/>
      <c r="X1028" s="1612"/>
      <c r="Y1028" s="1613"/>
      <c r="Z1028" s="1614"/>
      <c r="AA1028" s="1614"/>
      <c r="AB1028" s="1615"/>
      <c r="AC1028" s="1615"/>
      <c r="AD1028" s="583"/>
      <c r="AE1028" s="583"/>
    </row>
    <row r="1029" spans="1:31" ht="14">
      <c r="A1029" s="1384" t="s">
        <v>2411</v>
      </c>
      <c r="B1029" s="19" t="s">
        <v>155</v>
      </c>
      <c r="C1029" s="1383">
        <v>3557</v>
      </c>
      <c r="D1029" s="1236"/>
      <c r="E1029" s="1236"/>
      <c r="F1029" s="1344">
        <f>(1/S1029)*cnst_fish!$C$6</f>
        <v>2.3938164528281742</v>
      </c>
      <c r="G1029" s="1344">
        <f t="shared" si="147"/>
        <v>1</v>
      </c>
      <c r="H1029" s="1344">
        <f t="shared" si="147"/>
        <v>0.367192066876738</v>
      </c>
      <c r="I1029" s="1344">
        <f t="shared" si="138"/>
        <v>0</v>
      </c>
      <c r="J1029" s="902">
        <f t="shared" si="139"/>
        <v>0</v>
      </c>
      <c r="L1029" s="1460">
        <v>2741</v>
      </c>
      <c r="M1029" s="1236"/>
      <c r="N1029" s="1240" t="s">
        <v>1804</v>
      </c>
      <c r="O1029" s="1241" t="s">
        <v>4851</v>
      </c>
      <c r="P1029" s="910">
        <f t="shared" si="140"/>
        <v>0</v>
      </c>
      <c r="Q1029" s="910">
        <f t="shared" si="141"/>
        <v>2741</v>
      </c>
      <c r="R1029" s="1344">
        <f t="shared" si="142"/>
        <v>2.1</v>
      </c>
      <c r="S1029" s="1344">
        <f>(1/9)*cnst_fish!$C$7*(1/cnst_fish!$C$8)^(R1029-1)</f>
        <v>1.7754076320174161</v>
      </c>
      <c r="T1029" s="1362">
        <f t="shared" si="143"/>
        <v>420.44721270089065</v>
      </c>
      <c r="W1029" s="1612"/>
      <c r="X1029" s="1612"/>
      <c r="Y1029" s="1613"/>
      <c r="Z1029" s="1614"/>
      <c r="AA1029" s="1614"/>
      <c r="AB1029" s="1615"/>
      <c r="AC1029" s="1615"/>
      <c r="AD1029" s="583"/>
      <c r="AE1029" s="583"/>
    </row>
    <row r="1030" spans="1:31" ht="14">
      <c r="A1030" s="1384" t="s">
        <v>6656</v>
      </c>
      <c r="B1030" s="19" t="s">
        <v>6655</v>
      </c>
      <c r="C1030" s="1383">
        <v>13433</v>
      </c>
      <c r="D1030" s="1236"/>
      <c r="E1030" s="1236"/>
      <c r="F1030" s="1344">
        <f>(1/S1030)*cnst_fish!$C$6</f>
        <v>3.0136363636363641</v>
      </c>
      <c r="G1030" s="1344">
        <f t="shared" si="147"/>
        <v>1</v>
      </c>
      <c r="H1030" s="1344">
        <f t="shared" si="147"/>
        <v>0.367192066876738</v>
      </c>
      <c r="I1030" s="1344">
        <f t="shared" si="138"/>
        <v>0</v>
      </c>
      <c r="J1030" s="902">
        <f t="shared" si="139"/>
        <v>0</v>
      </c>
      <c r="L1030" s="1460">
        <v>1</v>
      </c>
      <c r="M1030" s="1236"/>
      <c r="N1030" s="1240" t="s">
        <v>1806</v>
      </c>
      <c r="O1030" s="1241" t="s">
        <v>4841</v>
      </c>
      <c r="P1030" s="910">
        <f t="shared" si="140"/>
        <v>0</v>
      </c>
      <c r="Q1030" s="910">
        <f t="shared" si="141"/>
        <v>1</v>
      </c>
      <c r="R1030" s="1344">
        <f t="shared" si="142"/>
        <v>2</v>
      </c>
      <c r="S1030" s="1344">
        <f>(1/9)*cnst_fish!$C$7*(1/cnst_fish!$C$8)^(R1030-1)</f>
        <v>1.4102564102564099</v>
      </c>
      <c r="T1030" s="1362">
        <f t="shared" si="143"/>
        <v>0.12184352143722826</v>
      </c>
      <c r="W1030" s="1612"/>
      <c r="X1030" s="1612"/>
      <c r="Y1030" s="1613"/>
      <c r="Z1030" s="1614"/>
      <c r="AA1030" s="1614"/>
      <c r="AB1030" s="1615"/>
      <c r="AC1030" s="1615"/>
      <c r="AD1030" s="583"/>
      <c r="AE1030" s="583"/>
    </row>
    <row r="1031" spans="1:31" ht="14">
      <c r="A1031" s="1384" t="s">
        <v>5023</v>
      </c>
      <c r="B1031" s="19" t="s">
        <v>5334</v>
      </c>
      <c r="C1031" s="1383">
        <v>2646</v>
      </c>
      <c r="D1031" s="1236"/>
      <c r="E1031" s="1236"/>
      <c r="F1031" s="1344">
        <f>(1/S1031)*cnst_fish!$C$6</f>
        <v>0.75699122913220485</v>
      </c>
      <c r="G1031" s="1344">
        <f t="shared" si="147"/>
        <v>1</v>
      </c>
      <c r="H1031" s="1344">
        <f t="shared" si="147"/>
        <v>0.367192066876738</v>
      </c>
      <c r="I1031" s="1344">
        <f t="shared" ref="I1031:I1094" si="148">IF($F1031=0,0,D1031/$F1031*$H1031*$G1031)</f>
        <v>0</v>
      </c>
      <c r="J1031" s="902">
        <f t="shared" ref="J1031:J1094" si="149">IF($F1031=0,0,E1031/$F1031*$H1031*$G1031)</f>
        <v>0</v>
      </c>
      <c r="L1031" s="1460">
        <v>0</v>
      </c>
      <c r="M1031" s="1236"/>
      <c r="N1031" s="1240" t="s">
        <v>3932</v>
      </c>
      <c r="O1031" s="1241" t="s">
        <v>4840</v>
      </c>
      <c r="P1031" s="910">
        <f t="shared" ref="P1031:P1094" si="150">D1031+E1031</f>
        <v>0</v>
      </c>
      <c r="Q1031" s="910">
        <f t="shared" ref="Q1031:Q1094" si="151">L1031+M1031</f>
        <v>0</v>
      </c>
      <c r="R1031" s="1344">
        <f t="shared" ref="R1031:R1094" si="152">VLOOKUP(B1031,constant_fish_trophic,3,FALSE)</f>
        <v>2.6</v>
      </c>
      <c r="S1031" s="1344">
        <f>(1/9)*cnst_fish!$C$7*(1/cnst_fish!$C$8)^(R1031-1)</f>
        <v>5.6143318924211183</v>
      </c>
      <c r="T1031" s="1362">
        <f t="shared" ref="T1031:T1094" si="153">IF(F1031=0,0,Q1031/F1031*H1031*G1031)</f>
        <v>0</v>
      </c>
      <c r="W1031" s="1612"/>
      <c r="X1031" s="1612"/>
      <c r="Y1031" s="1613"/>
      <c r="Z1031" s="1614"/>
      <c r="AA1031" s="1614"/>
      <c r="AB1031" s="1615"/>
      <c r="AC1031" s="1615"/>
      <c r="AD1031" s="583"/>
      <c r="AE1031" s="583"/>
    </row>
    <row r="1032" spans="1:31" ht="14">
      <c r="A1032" s="1384" t="s">
        <v>3428</v>
      </c>
      <c r="B1032" s="19" t="s">
        <v>5335</v>
      </c>
      <c r="C1032" s="1383">
        <v>3481</v>
      </c>
      <c r="D1032" s="1236"/>
      <c r="E1032" s="1236"/>
      <c r="F1032" s="1344">
        <f>(1/S1032)*cnst_fish!$C$6</f>
        <v>0.75699122913220485</v>
      </c>
      <c r="G1032" s="1344">
        <f t="shared" si="147"/>
        <v>1</v>
      </c>
      <c r="H1032" s="1344">
        <f t="shared" si="147"/>
        <v>0.367192066876738</v>
      </c>
      <c r="I1032" s="1344">
        <f t="shared" si="148"/>
        <v>0</v>
      </c>
      <c r="J1032" s="902">
        <f t="shared" si="149"/>
        <v>0</v>
      </c>
      <c r="L1032" s="1460">
        <v>715</v>
      </c>
      <c r="M1032" s="1236"/>
      <c r="N1032" s="1240" t="s">
        <v>3932</v>
      </c>
      <c r="O1032" s="1241" t="s">
        <v>4840</v>
      </c>
      <c r="P1032" s="910">
        <f t="shared" si="150"/>
        <v>0</v>
      </c>
      <c r="Q1032" s="910">
        <f t="shared" si="151"/>
        <v>715</v>
      </c>
      <c r="R1032" s="1344">
        <f t="shared" si="152"/>
        <v>2.6</v>
      </c>
      <c r="S1032" s="1344">
        <f>(1/9)*cnst_fish!$C$7*(1/cnst_fish!$C$8)^(R1032-1)</f>
        <v>5.6143318924211183</v>
      </c>
      <c r="T1032" s="1362">
        <f t="shared" si="153"/>
        <v>346.823473922993</v>
      </c>
      <c r="W1032" s="1612"/>
      <c r="X1032" s="1612"/>
      <c r="Y1032" s="1613"/>
      <c r="Z1032" s="1614"/>
      <c r="AA1032" s="1614"/>
      <c r="AB1032" s="1615"/>
      <c r="AC1032" s="1615"/>
      <c r="AD1032" s="583"/>
      <c r="AE1032" s="583"/>
    </row>
    <row r="1033" spans="1:31" ht="14">
      <c r="A1033" s="1384" t="s">
        <v>2220</v>
      </c>
      <c r="B1033" s="19" t="s">
        <v>5336</v>
      </c>
      <c r="C1033" s="1383">
        <v>3480</v>
      </c>
      <c r="D1033" s="1236"/>
      <c r="E1033" s="1236"/>
      <c r="F1033" s="1344">
        <f>(1/S1033)*cnst_fish!$C$6</f>
        <v>0.75699122913220485</v>
      </c>
      <c r="G1033" s="1344">
        <f t="shared" si="147"/>
        <v>1</v>
      </c>
      <c r="H1033" s="1344">
        <f t="shared" si="147"/>
        <v>0.367192066876738</v>
      </c>
      <c r="I1033" s="1344">
        <f t="shared" si="148"/>
        <v>0</v>
      </c>
      <c r="J1033" s="902">
        <f t="shared" si="149"/>
        <v>0</v>
      </c>
      <c r="L1033" s="1460">
        <v>141</v>
      </c>
      <c r="M1033" s="1236"/>
      <c r="N1033" s="1240" t="s">
        <v>3932</v>
      </c>
      <c r="O1033" s="1241" t="s">
        <v>4840</v>
      </c>
      <c r="P1033" s="910">
        <f t="shared" si="150"/>
        <v>0</v>
      </c>
      <c r="Q1033" s="910">
        <f t="shared" si="151"/>
        <v>141</v>
      </c>
      <c r="R1033" s="1344">
        <f t="shared" si="152"/>
        <v>2.6</v>
      </c>
      <c r="S1033" s="1344">
        <f>(1/9)*cnst_fish!$C$7*(1/cnst_fish!$C$8)^(R1033-1)</f>
        <v>5.6143318924211183</v>
      </c>
      <c r="T1033" s="1362">
        <f t="shared" si="153"/>
        <v>68.394559193205609</v>
      </c>
      <c r="W1033" s="1612"/>
      <c r="X1033" s="1612"/>
      <c r="Y1033" s="1613"/>
      <c r="Z1033" s="1614"/>
      <c r="AA1033" s="1614"/>
      <c r="AB1033" s="1615"/>
      <c r="AC1033" s="1615"/>
      <c r="AD1033" s="583"/>
      <c r="AE1033" s="583"/>
    </row>
    <row r="1034" spans="1:31" ht="14">
      <c r="A1034" s="1384" t="s">
        <v>6720</v>
      </c>
      <c r="B1034" s="19" t="s">
        <v>5337</v>
      </c>
      <c r="C1034" s="1383">
        <v>18779</v>
      </c>
      <c r="D1034" s="1236"/>
      <c r="E1034" s="1236"/>
      <c r="F1034" s="1344">
        <f>(1/S1034)*cnst_fish!$C$6</f>
        <v>0.3314045734418738</v>
      </c>
      <c r="G1034" s="1344">
        <f t="shared" si="147"/>
        <v>1</v>
      </c>
      <c r="H1034" s="1344">
        <f t="shared" si="147"/>
        <v>0.367192066876738</v>
      </c>
      <c r="I1034" s="1344">
        <f t="shared" si="148"/>
        <v>0</v>
      </c>
      <c r="J1034" s="902">
        <f t="shared" si="149"/>
        <v>0</v>
      </c>
      <c r="L1034" s="1460">
        <v>55</v>
      </c>
      <c r="M1034" s="1236"/>
      <c r="N1034" s="1240" t="s">
        <v>3932</v>
      </c>
      <c r="O1034" s="1241" t="s">
        <v>4840</v>
      </c>
      <c r="P1034" s="910">
        <f t="shared" si="150"/>
        <v>0</v>
      </c>
      <c r="Q1034" s="910">
        <f t="shared" si="151"/>
        <v>55</v>
      </c>
      <c r="R1034" s="1344">
        <f t="shared" si="152"/>
        <v>2.9587323501170402</v>
      </c>
      <c r="S1034" s="1344">
        <f>(1/9)*cnst_fish!$C$7*(1/cnst_fish!$C$8)^(R1034-1)</f>
        <v>12.824204433453367</v>
      </c>
      <c r="T1034" s="1362">
        <f t="shared" si="153"/>
        <v>60.939302884312063</v>
      </c>
      <c r="W1034" s="1612"/>
      <c r="X1034" s="1612"/>
      <c r="Y1034" s="1613"/>
      <c r="Z1034" s="1614"/>
      <c r="AA1034" s="1614"/>
      <c r="AB1034" s="1615"/>
      <c r="AC1034" s="1615"/>
      <c r="AD1034" s="583"/>
      <c r="AE1034" s="583"/>
    </row>
    <row r="1035" spans="1:31" ht="14">
      <c r="A1035" s="1384" t="s">
        <v>731</v>
      </c>
      <c r="B1035" s="19" t="s">
        <v>2472</v>
      </c>
      <c r="C1035" s="1383">
        <v>2594</v>
      </c>
      <c r="D1035" s="1236"/>
      <c r="E1035" s="1236"/>
      <c r="F1035" s="1344">
        <f>(1/S1035)*cnst_fish!$C$6</f>
        <v>0.60129950673834842</v>
      </c>
      <c r="G1035" s="1344">
        <f t="shared" si="147"/>
        <v>1</v>
      </c>
      <c r="H1035" s="1344">
        <f t="shared" si="147"/>
        <v>0.367192066876738</v>
      </c>
      <c r="I1035" s="1344">
        <f t="shared" si="148"/>
        <v>0</v>
      </c>
      <c r="J1035" s="902">
        <f t="shared" si="149"/>
        <v>0</v>
      </c>
      <c r="L1035" s="1460">
        <v>1800</v>
      </c>
      <c r="M1035" s="1236"/>
      <c r="N1035" s="1240" t="s">
        <v>2441</v>
      </c>
      <c r="O1035" s="1241" t="s">
        <v>4840</v>
      </c>
      <c r="P1035" s="910">
        <f t="shared" si="150"/>
        <v>0</v>
      </c>
      <c r="Q1035" s="910">
        <f t="shared" si="151"/>
        <v>1800</v>
      </c>
      <c r="R1035" s="1344">
        <f t="shared" si="152"/>
        <v>2.7</v>
      </c>
      <c r="S1035" s="1344">
        <f>(1/9)*cnst_fish!$C$7*(1/cnst_fish!$C$8)^(R1035-1)</f>
        <v>7.0680250896153813</v>
      </c>
      <c r="T1035" s="1362">
        <f t="shared" si="153"/>
        <v>1099.195514001535</v>
      </c>
      <c r="W1035" s="1612"/>
      <c r="X1035" s="1612"/>
      <c r="Y1035" s="1613"/>
      <c r="Z1035" s="1614"/>
      <c r="AA1035" s="1614"/>
      <c r="AB1035" s="1615"/>
      <c r="AC1035" s="1615"/>
      <c r="AD1035" s="583"/>
      <c r="AE1035" s="583"/>
    </row>
    <row r="1036" spans="1:31" ht="14">
      <c r="A1036" s="1384" t="s">
        <v>5712</v>
      </c>
      <c r="B1036" s="19" t="s">
        <v>514</v>
      </c>
      <c r="C1036" s="1383">
        <v>2595</v>
      </c>
      <c r="D1036" s="1236"/>
      <c r="E1036" s="1236"/>
      <c r="F1036" s="1344">
        <f>(1/S1036)*cnst_fish!$C$6</f>
        <v>0.60129950673834842</v>
      </c>
      <c r="G1036" s="1344">
        <f t="shared" si="147"/>
        <v>1</v>
      </c>
      <c r="H1036" s="1344">
        <f t="shared" si="147"/>
        <v>0.367192066876738</v>
      </c>
      <c r="I1036" s="1344">
        <f t="shared" si="148"/>
        <v>0</v>
      </c>
      <c r="J1036" s="902">
        <f t="shared" si="149"/>
        <v>0</v>
      </c>
      <c r="L1036" s="1460">
        <v>1154</v>
      </c>
      <c r="M1036" s="1236"/>
      <c r="N1036" s="1240" t="s">
        <v>2441</v>
      </c>
      <c r="O1036" s="1241" t="s">
        <v>4840</v>
      </c>
      <c r="P1036" s="910">
        <f t="shared" si="150"/>
        <v>0</v>
      </c>
      <c r="Q1036" s="910">
        <f t="shared" si="151"/>
        <v>1154</v>
      </c>
      <c r="R1036" s="1344">
        <f t="shared" si="152"/>
        <v>2.7</v>
      </c>
      <c r="S1036" s="1344">
        <f>(1/9)*cnst_fish!$C$7*(1/cnst_fish!$C$8)^(R1036-1)</f>
        <v>7.0680250896153813</v>
      </c>
      <c r="T1036" s="1362">
        <f t="shared" si="153"/>
        <v>704.70645730987303</v>
      </c>
      <c r="W1036" s="1612"/>
      <c r="X1036" s="1612"/>
      <c r="Y1036" s="1613"/>
      <c r="Z1036" s="1614"/>
      <c r="AA1036" s="1614"/>
      <c r="AB1036" s="1615"/>
      <c r="AC1036" s="1615"/>
      <c r="AD1036" s="583"/>
      <c r="AE1036" s="583"/>
    </row>
    <row r="1037" spans="1:31" ht="14">
      <c r="A1037" s="1384" t="s">
        <v>3192</v>
      </c>
      <c r="B1037" s="19" t="s">
        <v>1381</v>
      </c>
      <c r="C1037" s="1383">
        <v>3416</v>
      </c>
      <c r="D1037" s="1236"/>
      <c r="E1037" s="1236"/>
      <c r="F1037" s="1344">
        <f>(1/S1037)*cnst_fish!$C$6</f>
        <v>0.60129950673834842</v>
      </c>
      <c r="G1037" s="1344">
        <f t="shared" si="147"/>
        <v>1</v>
      </c>
      <c r="H1037" s="1344">
        <f t="shared" si="147"/>
        <v>0.367192066876738</v>
      </c>
      <c r="I1037" s="1344">
        <f t="shared" si="148"/>
        <v>0</v>
      </c>
      <c r="J1037" s="902">
        <f t="shared" si="149"/>
        <v>0</v>
      </c>
      <c r="L1037" s="1460">
        <v>1805</v>
      </c>
      <c r="M1037" s="1236"/>
      <c r="N1037" s="1240" t="s">
        <v>2441</v>
      </c>
      <c r="O1037" s="1241" t="s">
        <v>4840</v>
      </c>
      <c r="P1037" s="910">
        <f t="shared" si="150"/>
        <v>0</v>
      </c>
      <c r="Q1037" s="910">
        <f t="shared" si="151"/>
        <v>1805</v>
      </c>
      <c r="R1037" s="1344">
        <f t="shared" si="152"/>
        <v>2.7</v>
      </c>
      <c r="S1037" s="1344">
        <f>(1/9)*cnst_fish!$C$7*(1/cnst_fish!$C$8)^(R1037-1)</f>
        <v>7.0680250896153813</v>
      </c>
      <c r="T1037" s="1362">
        <f t="shared" si="153"/>
        <v>1102.2488348737616</v>
      </c>
      <c r="W1037" s="1612"/>
      <c r="X1037" s="1612"/>
      <c r="Y1037" s="1613"/>
      <c r="Z1037" s="1614"/>
      <c r="AA1037" s="1614"/>
      <c r="AB1037" s="1615"/>
      <c r="AC1037" s="1615"/>
      <c r="AD1037" s="583"/>
      <c r="AE1037" s="583"/>
    </row>
    <row r="1038" spans="1:31" ht="14">
      <c r="A1038" s="1384" t="s">
        <v>828</v>
      </c>
      <c r="B1038" s="19" t="s">
        <v>1382</v>
      </c>
      <c r="C1038" s="1383">
        <v>3415</v>
      </c>
      <c r="D1038" s="1236"/>
      <c r="E1038" s="1236"/>
      <c r="F1038" s="1344">
        <f>(1/S1038)*cnst_fish!$C$6</f>
        <v>0.75699122913220485</v>
      </c>
      <c r="G1038" s="1344">
        <f t="shared" si="147"/>
        <v>1</v>
      </c>
      <c r="H1038" s="1344">
        <f t="shared" si="147"/>
        <v>0.367192066876738</v>
      </c>
      <c r="I1038" s="1344">
        <f t="shared" si="148"/>
        <v>0</v>
      </c>
      <c r="J1038" s="902">
        <f t="shared" si="149"/>
        <v>0</v>
      </c>
      <c r="L1038" s="1460">
        <v>63346</v>
      </c>
      <c r="M1038" s="1236"/>
      <c r="N1038" s="1240" t="s">
        <v>2441</v>
      </c>
      <c r="O1038" s="1241" t="s">
        <v>4840</v>
      </c>
      <c r="P1038" s="910">
        <f t="shared" si="150"/>
        <v>0</v>
      </c>
      <c r="Q1038" s="910">
        <f t="shared" si="151"/>
        <v>63346</v>
      </c>
      <c r="R1038" s="1344">
        <f t="shared" si="152"/>
        <v>2.6</v>
      </c>
      <c r="S1038" s="1344">
        <f>(1/9)*cnst_fish!$C$7*(1/cnst_fish!$C$8)^(R1038-1)</f>
        <v>5.6143318924211183</v>
      </c>
      <c r="T1038" s="1362">
        <f t="shared" si="153"/>
        <v>30727.104586190089</v>
      </c>
      <c r="W1038" s="1612"/>
      <c r="X1038" s="1612"/>
      <c r="Y1038" s="1613"/>
      <c r="Z1038" s="1614"/>
      <c r="AA1038" s="1614"/>
      <c r="AB1038" s="1615"/>
      <c r="AC1038" s="1615"/>
      <c r="AD1038" s="583"/>
      <c r="AE1038" s="583"/>
    </row>
    <row r="1039" spans="1:31" ht="14">
      <c r="A1039" s="1384" t="s">
        <v>6722</v>
      </c>
      <c r="B1039" s="19" t="s">
        <v>6721</v>
      </c>
      <c r="C1039" s="1383">
        <v>13439</v>
      </c>
      <c r="D1039" s="1236"/>
      <c r="E1039" s="1236"/>
      <c r="F1039" s="1344">
        <f>(1/S1039)*cnst_fish!$C$6</f>
        <v>3.0136363636363641</v>
      </c>
      <c r="G1039" s="1344">
        <f t="shared" si="147"/>
        <v>1</v>
      </c>
      <c r="H1039" s="1344">
        <f t="shared" si="147"/>
        <v>0.367192066876738</v>
      </c>
      <c r="I1039" s="1344">
        <f t="shared" si="148"/>
        <v>0</v>
      </c>
      <c r="J1039" s="902">
        <f t="shared" si="149"/>
        <v>0</v>
      </c>
      <c r="L1039" s="1460"/>
      <c r="M1039" s="1236"/>
      <c r="N1039" s="1240" t="s">
        <v>1806</v>
      </c>
      <c r="O1039" s="1241" t="s">
        <v>4845</v>
      </c>
      <c r="P1039" s="910">
        <f t="shared" si="150"/>
        <v>0</v>
      </c>
      <c r="Q1039" s="910">
        <f t="shared" si="151"/>
        <v>0</v>
      </c>
      <c r="R1039" s="1344">
        <f t="shared" si="152"/>
        <v>2</v>
      </c>
      <c r="S1039" s="1344">
        <f>(1/9)*cnst_fish!$C$7*(1/cnst_fish!$C$8)^(R1039-1)</f>
        <v>1.4102564102564099</v>
      </c>
      <c r="T1039" s="1362">
        <f t="shared" si="153"/>
        <v>0</v>
      </c>
      <c r="W1039" s="1612"/>
      <c r="X1039" s="1612"/>
      <c r="Y1039" s="1613"/>
      <c r="Z1039" s="1614"/>
      <c r="AA1039" s="1614"/>
      <c r="AB1039" s="1615"/>
      <c r="AC1039" s="1615"/>
      <c r="AD1039" s="583"/>
      <c r="AE1039" s="583"/>
    </row>
    <row r="1040" spans="1:31" ht="14">
      <c r="A1040" s="1384" t="s">
        <v>6725</v>
      </c>
      <c r="B1040" s="19" t="s">
        <v>1278</v>
      </c>
      <c r="C1040" s="1383">
        <v>2556</v>
      </c>
      <c r="D1040" s="1236"/>
      <c r="E1040" s="1236"/>
      <c r="F1040" s="1344">
        <f>(1/S1040)*cnst_fish!$C$6</f>
        <v>0.18581931192461937</v>
      </c>
      <c r="G1040" s="1344">
        <f t="shared" si="147"/>
        <v>1</v>
      </c>
      <c r="H1040" s="1344">
        <f t="shared" si="147"/>
        <v>0.367192066876738</v>
      </c>
      <c r="I1040" s="1344">
        <f t="shared" si="148"/>
        <v>0</v>
      </c>
      <c r="J1040" s="902">
        <f t="shared" si="149"/>
        <v>0</v>
      </c>
      <c r="L1040" s="1460">
        <v>209</v>
      </c>
      <c r="M1040" s="1236"/>
      <c r="N1040" s="1240" t="s">
        <v>1809</v>
      </c>
      <c r="O1040" s="1241" t="s">
        <v>4841</v>
      </c>
      <c r="P1040" s="910">
        <f t="shared" si="150"/>
        <v>0</v>
      </c>
      <c r="Q1040" s="910">
        <f t="shared" si="151"/>
        <v>209</v>
      </c>
      <c r="R1040" s="1344">
        <f t="shared" si="152"/>
        <v>3.21</v>
      </c>
      <c r="S1040" s="1344">
        <f>(1/9)*cnst_fish!$C$7*(1/cnst_fish!$C$8)^(R1040-1)</f>
        <v>22.87168086019004</v>
      </c>
      <c r="T1040" s="1362">
        <f t="shared" si="153"/>
        <v>412.99874153215222</v>
      </c>
      <c r="W1040" s="1612"/>
      <c r="X1040" s="1612"/>
      <c r="Y1040" s="1613"/>
      <c r="Z1040" s="1614"/>
      <c r="AA1040" s="1614"/>
      <c r="AB1040" s="1615"/>
      <c r="AC1040" s="1615"/>
      <c r="AD1040" s="583"/>
      <c r="AE1040" s="583"/>
    </row>
    <row r="1041" spans="1:31" ht="14">
      <c r="A1041" s="1384" t="s">
        <v>2973</v>
      </c>
      <c r="B1041" s="19" t="s">
        <v>5488</v>
      </c>
      <c r="C1041" s="1383">
        <v>3624</v>
      </c>
      <c r="D1041" s="1236"/>
      <c r="E1041" s="1236"/>
      <c r="F1041" s="1344">
        <f>(1/S1041)*cnst_fish!$C$6</f>
        <v>0.30136363636363639</v>
      </c>
      <c r="G1041" s="1344">
        <f t="shared" si="147"/>
        <v>1</v>
      </c>
      <c r="H1041" s="1344">
        <f t="shared" si="147"/>
        <v>0.367192066876738</v>
      </c>
      <c r="I1041" s="1344">
        <f t="shared" si="148"/>
        <v>0</v>
      </c>
      <c r="J1041" s="902">
        <f t="shared" si="149"/>
        <v>0</v>
      </c>
      <c r="L1041" s="1460">
        <v>7</v>
      </c>
      <c r="M1041" s="1236"/>
      <c r="N1041" s="1240" t="s">
        <v>1806</v>
      </c>
      <c r="O1041" s="1241"/>
      <c r="P1041" s="910">
        <f t="shared" si="150"/>
        <v>0</v>
      </c>
      <c r="Q1041" s="910">
        <f t="shared" si="151"/>
        <v>7</v>
      </c>
      <c r="R1041" s="1344">
        <f t="shared" si="152"/>
        <v>3</v>
      </c>
      <c r="S1041" s="1344">
        <f>(1/9)*cnst_fish!$C$7*(1/cnst_fish!$C$8)^(R1041-1)</f>
        <v>14.1025641025641</v>
      </c>
      <c r="T1041" s="1362">
        <f t="shared" si="153"/>
        <v>8.5290465006059808</v>
      </c>
      <c r="W1041" s="1612"/>
      <c r="X1041" s="1612"/>
      <c r="Y1041" s="1613"/>
      <c r="Z1041" s="1614"/>
      <c r="AA1041" s="1614"/>
      <c r="AB1041" s="1615"/>
      <c r="AC1041" s="1615"/>
      <c r="AD1041" s="583"/>
      <c r="AE1041" s="583"/>
    </row>
    <row r="1042" spans="1:31" ht="14">
      <c r="A1042" s="1384" t="s">
        <v>1916</v>
      </c>
      <c r="B1042" s="19" t="s">
        <v>3583</v>
      </c>
      <c r="C1042" s="1383">
        <v>2230</v>
      </c>
      <c r="D1042" s="1236">
        <v>0</v>
      </c>
      <c r="E1042" s="1236"/>
      <c r="F1042" s="1344">
        <f>(1/S1042)*cnst_fish!$C$6</f>
        <v>7.9266712664847111E-2</v>
      </c>
      <c r="G1042" s="1344">
        <f t="shared" si="147"/>
        <v>1</v>
      </c>
      <c r="H1042" s="1344">
        <f t="shared" si="147"/>
        <v>0.367192066876738</v>
      </c>
      <c r="I1042" s="1344">
        <f t="shared" si="148"/>
        <v>0</v>
      </c>
      <c r="J1042" s="902">
        <f t="shared" si="149"/>
        <v>0</v>
      </c>
      <c r="L1042" s="1460">
        <v>0</v>
      </c>
      <c r="M1042" s="1236"/>
      <c r="N1042" s="1240" t="s">
        <v>5366</v>
      </c>
      <c r="O1042" s="1241" t="s">
        <v>4841</v>
      </c>
      <c r="P1042" s="910">
        <f t="shared" si="150"/>
        <v>0</v>
      </c>
      <c r="Q1042" s="910">
        <f t="shared" si="151"/>
        <v>0</v>
      </c>
      <c r="R1042" s="1344">
        <f t="shared" si="152"/>
        <v>3.58</v>
      </c>
      <c r="S1042" s="1344">
        <f>(1/9)*cnst_fish!$C$7*(1/cnst_fish!$C$8)^(R1042-1)</f>
        <v>53.616453327258682</v>
      </c>
      <c r="T1042" s="1362">
        <f t="shared" si="153"/>
        <v>0</v>
      </c>
      <c r="W1042" s="1612"/>
      <c r="X1042" s="1612"/>
      <c r="Y1042" s="1613"/>
      <c r="Z1042" s="1614"/>
      <c r="AA1042" s="1614"/>
      <c r="AB1042" s="1615"/>
      <c r="AC1042" s="1615"/>
      <c r="AD1042" s="583"/>
      <c r="AE1042" s="583"/>
    </row>
    <row r="1043" spans="1:31" ht="14">
      <c r="A1043" s="1384" t="s">
        <v>4574</v>
      </c>
      <c r="B1043" s="19" t="s">
        <v>3584</v>
      </c>
      <c r="C1043" s="1383">
        <v>3015</v>
      </c>
      <c r="D1043" s="1236"/>
      <c r="E1043" s="1236"/>
      <c r="F1043" s="1344">
        <f>(1/S1043)*cnst_fish!$C$6</f>
        <v>0.16561163607618423</v>
      </c>
      <c r="G1043" s="1344">
        <f t="shared" si="147"/>
        <v>1</v>
      </c>
      <c r="H1043" s="1344">
        <f t="shared" si="147"/>
        <v>0.367192066876738</v>
      </c>
      <c r="I1043" s="1344">
        <f t="shared" si="148"/>
        <v>0</v>
      </c>
      <c r="J1043" s="902">
        <f t="shared" si="149"/>
        <v>0</v>
      </c>
      <c r="L1043" s="1460">
        <v>31</v>
      </c>
      <c r="M1043" s="1236">
        <v>0</v>
      </c>
      <c r="N1043" s="1240" t="s">
        <v>5366</v>
      </c>
      <c r="O1043" s="1241" t="s">
        <v>4841</v>
      </c>
      <c r="P1043" s="910">
        <f t="shared" si="150"/>
        <v>0</v>
      </c>
      <c r="Q1043" s="910">
        <f t="shared" si="151"/>
        <v>31</v>
      </c>
      <c r="R1043" s="1344">
        <f t="shared" si="152"/>
        <v>3.26</v>
      </c>
      <c r="S1043" s="1344">
        <f>(1/9)*cnst_fish!$C$7*(1/cnst_fish!$C$8)^(R1043-1)</f>
        <v>25.662448006038215</v>
      </c>
      <c r="T1043" s="1362">
        <f t="shared" si="153"/>
        <v>68.732815778370323</v>
      </c>
      <c r="W1043" s="1612"/>
      <c r="X1043" s="1612"/>
      <c r="Y1043" s="1613"/>
      <c r="Z1043" s="1614"/>
      <c r="AA1043" s="1614"/>
      <c r="AB1043" s="1615"/>
      <c r="AC1043" s="1615"/>
      <c r="AD1043" s="583"/>
      <c r="AE1043" s="583"/>
    </row>
    <row r="1044" spans="1:31" ht="14">
      <c r="A1044" s="1384" t="s">
        <v>3860</v>
      </c>
      <c r="B1044" s="19" t="s">
        <v>3585</v>
      </c>
      <c r="C1044" s="1383">
        <v>2236</v>
      </c>
      <c r="D1044" s="1236"/>
      <c r="E1044" s="1236"/>
      <c r="F1044" s="1344">
        <f>(1/S1044)*cnst_fish!$C$6</f>
        <v>4.8875458843134996E-2</v>
      </c>
      <c r="G1044" s="1344">
        <f t="shared" si="147"/>
        <v>1</v>
      </c>
      <c r="H1044" s="1344">
        <f t="shared" si="147"/>
        <v>0.367192066876738</v>
      </c>
      <c r="I1044" s="1344">
        <f t="shared" si="148"/>
        <v>0</v>
      </c>
      <c r="J1044" s="902">
        <f t="shared" si="149"/>
        <v>0</v>
      </c>
      <c r="L1044" s="1460">
        <v>58945</v>
      </c>
      <c r="M1044" s="1236"/>
      <c r="N1044" s="1240" t="s">
        <v>1806</v>
      </c>
      <c r="O1044" s="1241" t="s">
        <v>4841</v>
      </c>
      <c r="P1044" s="910">
        <f t="shared" si="150"/>
        <v>0</v>
      </c>
      <c r="Q1044" s="910">
        <f t="shared" si="151"/>
        <v>58945</v>
      </c>
      <c r="R1044" s="1344">
        <f t="shared" si="152"/>
        <v>3.79</v>
      </c>
      <c r="S1044" s="1344">
        <f>(1/9)*cnst_fish!$C$7*(1/cnst_fish!$C$8)^(R1044-1)</f>
        <v>86.955705390721903</v>
      </c>
      <c r="T1044" s="1362">
        <f t="shared" si="153"/>
        <v>442842.62274684384</v>
      </c>
      <c r="W1044" s="1612"/>
      <c r="X1044" s="1612"/>
      <c r="Y1044" s="1613"/>
      <c r="Z1044" s="1614"/>
      <c r="AA1044" s="1614"/>
      <c r="AB1044" s="1615"/>
      <c r="AC1044" s="1615"/>
      <c r="AD1044" s="583"/>
      <c r="AE1044" s="583"/>
    </row>
    <row r="1045" spans="1:31" ht="14">
      <c r="A1045" s="1384" t="s">
        <v>963</v>
      </c>
      <c r="B1045" s="19" t="s">
        <v>3586</v>
      </c>
      <c r="C1045" s="1383">
        <v>3021</v>
      </c>
      <c r="D1045" s="1236"/>
      <c r="E1045" s="1236"/>
      <c r="F1045" s="1344">
        <f>(1/S1045)*cnst_fish!$C$6</f>
        <v>2.945037624971374E-2</v>
      </c>
      <c r="G1045" s="1344">
        <f t="shared" si="147"/>
        <v>1</v>
      </c>
      <c r="H1045" s="1344">
        <f t="shared" si="147"/>
        <v>0.367192066876738</v>
      </c>
      <c r="I1045" s="1344">
        <f t="shared" si="148"/>
        <v>0</v>
      </c>
      <c r="J1045" s="902">
        <f t="shared" si="149"/>
        <v>0</v>
      </c>
      <c r="L1045" s="1460">
        <v>631534</v>
      </c>
      <c r="M1045" s="1236"/>
      <c r="N1045" s="1240" t="s">
        <v>1806</v>
      </c>
      <c r="O1045" s="1241" t="s">
        <v>4841</v>
      </c>
      <c r="P1045" s="910">
        <f t="shared" si="150"/>
        <v>0</v>
      </c>
      <c r="Q1045" s="910">
        <f t="shared" si="151"/>
        <v>631534</v>
      </c>
      <c r="R1045" s="1344">
        <f t="shared" si="152"/>
        <v>4.01</v>
      </c>
      <c r="S1045" s="1344">
        <f>(1/9)*cnst_fish!$C$7*(1/cnst_fish!$C$8)^(R1045-1)</f>
        <v>144.31055019343972</v>
      </c>
      <c r="T1045" s="1362">
        <f t="shared" si="153"/>
        <v>7874068.3241759231</v>
      </c>
      <c r="W1045" s="1612"/>
      <c r="X1045" s="1612"/>
      <c r="Y1045" s="1613"/>
      <c r="Z1045" s="1614"/>
      <c r="AA1045" s="1614"/>
      <c r="AB1045" s="1615"/>
      <c r="AC1045" s="1615"/>
      <c r="AD1045" s="583"/>
      <c r="AE1045" s="583"/>
    </row>
    <row r="1046" spans="1:31" ht="14">
      <c r="A1046" s="1384" t="s">
        <v>3083</v>
      </c>
      <c r="B1046" s="19" t="s">
        <v>67</v>
      </c>
      <c r="C1046" s="1383">
        <v>2351</v>
      </c>
      <c r="D1046" s="1236"/>
      <c r="E1046" s="1236"/>
      <c r="F1046" s="1344">
        <f>(1/S1046)*cnst_fish!$C$6</f>
        <v>0.16561163607618423</v>
      </c>
      <c r="G1046" s="1344">
        <f t="shared" si="147"/>
        <v>1</v>
      </c>
      <c r="H1046" s="1344">
        <f t="shared" si="147"/>
        <v>0.367192066876738</v>
      </c>
      <c r="I1046" s="1344">
        <f t="shared" si="148"/>
        <v>0</v>
      </c>
      <c r="J1046" s="902">
        <f t="shared" si="149"/>
        <v>0</v>
      </c>
      <c r="L1046" s="1460">
        <v>98475</v>
      </c>
      <c r="M1046" s="1236"/>
      <c r="N1046" s="1240" t="s">
        <v>1806</v>
      </c>
      <c r="O1046" s="1241" t="s">
        <v>4841</v>
      </c>
      <c r="P1046" s="910">
        <f t="shared" si="150"/>
        <v>0</v>
      </c>
      <c r="Q1046" s="910">
        <f t="shared" si="151"/>
        <v>98475</v>
      </c>
      <c r="R1046" s="1344">
        <f t="shared" si="152"/>
        <v>3.26</v>
      </c>
      <c r="S1046" s="1344">
        <f>(1/9)*cnst_fish!$C$7*(1/cnst_fish!$C$8)^(R1046-1)</f>
        <v>25.662448006038215</v>
      </c>
      <c r="T1046" s="1362">
        <f t="shared" si="153"/>
        <v>218337.54947661347</v>
      </c>
      <c r="W1046" s="1612"/>
      <c r="X1046" s="1612"/>
      <c r="Y1046" s="1613"/>
      <c r="Z1046" s="1614"/>
      <c r="AA1046" s="1614"/>
      <c r="AB1046" s="1615"/>
      <c r="AC1046" s="1615"/>
      <c r="AD1046" s="583"/>
      <c r="AE1046" s="583"/>
    </row>
    <row r="1047" spans="1:31" ht="14">
      <c r="A1047" s="1384" t="s">
        <v>3965</v>
      </c>
      <c r="B1047" s="19" t="s">
        <v>993</v>
      </c>
      <c r="C1047" s="1383">
        <v>2350</v>
      </c>
      <c r="D1047" s="1236"/>
      <c r="E1047" s="1236"/>
      <c r="F1047" s="1344">
        <f>(1/S1047)*cnst_fish!$C$6</f>
        <v>0.11724405960509449</v>
      </c>
      <c r="G1047" s="1344">
        <f t="shared" si="147"/>
        <v>1</v>
      </c>
      <c r="H1047" s="1344">
        <f t="shared" si="147"/>
        <v>0.367192066876738</v>
      </c>
      <c r="I1047" s="1344">
        <f t="shared" si="148"/>
        <v>0</v>
      </c>
      <c r="J1047" s="902">
        <f t="shared" si="149"/>
        <v>0</v>
      </c>
      <c r="L1047" s="1460">
        <v>638</v>
      </c>
      <c r="M1047" s="1236"/>
      <c r="N1047" s="1240" t="s">
        <v>1806</v>
      </c>
      <c r="O1047" s="1241" t="s">
        <v>4841</v>
      </c>
      <c r="P1047" s="910">
        <f t="shared" si="150"/>
        <v>0</v>
      </c>
      <c r="Q1047" s="910">
        <f t="shared" si="151"/>
        <v>638</v>
      </c>
      <c r="R1047" s="1344">
        <f t="shared" si="152"/>
        <v>3.41</v>
      </c>
      <c r="S1047" s="1344">
        <f>(1/9)*cnst_fish!$C$7*(1/cnst_fish!$C$8)^(R1047-1)</f>
        <v>36.24917129545836</v>
      </c>
      <c r="T1047" s="1362">
        <f t="shared" si="153"/>
        <v>1998.1271499505415</v>
      </c>
      <c r="W1047" s="1612"/>
      <c r="X1047" s="1612"/>
      <c r="Y1047" s="1613"/>
      <c r="Z1047" s="1614"/>
      <c r="AA1047" s="1614"/>
      <c r="AB1047" s="1615"/>
      <c r="AC1047" s="1615"/>
      <c r="AD1047" s="583"/>
      <c r="AE1047" s="583"/>
    </row>
    <row r="1048" spans="1:31" ht="14">
      <c r="A1048" s="1384" t="s">
        <v>2521</v>
      </c>
      <c r="B1048" s="19" t="s">
        <v>994</v>
      </c>
      <c r="C1048" s="1383">
        <v>2352</v>
      </c>
      <c r="D1048" s="1236">
        <v>4393</v>
      </c>
      <c r="E1048" s="1236"/>
      <c r="F1048" s="1344">
        <f>(1/S1048)*cnst_fish!$C$6</f>
        <v>0.14760152601876345</v>
      </c>
      <c r="G1048" s="1344">
        <f t="shared" ref="G1048:H1067" si="154">G$7</f>
        <v>1</v>
      </c>
      <c r="H1048" s="1344">
        <f t="shared" si="154"/>
        <v>0.367192066876738</v>
      </c>
      <c r="I1048" s="1344">
        <f t="shared" si="148"/>
        <v>10928.577727471817</v>
      </c>
      <c r="J1048" s="902">
        <f t="shared" si="149"/>
        <v>0</v>
      </c>
      <c r="L1048" s="1460">
        <v>4393</v>
      </c>
      <c r="M1048" s="1236"/>
      <c r="N1048" s="1240" t="s">
        <v>1806</v>
      </c>
      <c r="O1048" s="1241" t="s">
        <v>4841</v>
      </c>
      <c r="P1048" s="910">
        <f t="shared" si="150"/>
        <v>4393</v>
      </c>
      <c r="Q1048" s="910">
        <f t="shared" si="151"/>
        <v>4393</v>
      </c>
      <c r="R1048" s="1344">
        <f t="shared" si="152"/>
        <v>3.31</v>
      </c>
      <c r="S1048" s="1344">
        <f>(1/9)*cnst_fish!$C$7*(1/cnst_fish!$C$8)^(R1048-1)</f>
        <v>28.793740245339542</v>
      </c>
      <c r="T1048" s="1362">
        <f t="shared" si="153"/>
        <v>10928.577727471817</v>
      </c>
      <c r="W1048" s="1612"/>
      <c r="X1048" s="1612"/>
      <c r="Y1048" s="1613"/>
      <c r="Z1048" s="1614"/>
      <c r="AA1048" s="1614"/>
      <c r="AB1048" s="1615"/>
      <c r="AC1048" s="1615"/>
      <c r="AD1048" s="583"/>
      <c r="AE1048" s="583"/>
    </row>
    <row r="1049" spans="1:31" ht="14">
      <c r="A1049" s="1384" t="s">
        <v>2641</v>
      </c>
      <c r="B1049" s="19" t="s">
        <v>317</v>
      </c>
      <c r="C1049" s="1383">
        <v>3089</v>
      </c>
      <c r="D1049" s="1236"/>
      <c r="E1049" s="1236"/>
      <c r="F1049" s="1344">
        <f>(1/S1049)*cnst_fish!$C$6</f>
        <v>4.3560298545661361E-2</v>
      </c>
      <c r="G1049" s="1344">
        <f t="shared" si="154"/>
        <v>1</v>
      </c>
      <c r="H1049" s="1344">
        <f t="shared" si="154"/>
        <v>0.367192066876738</v>
      </c>
      <c r="I1049" s="1344">
        <f t="shared" si="148"/>
        <v>0</v>
      </c>
      <c r="J1049" s="902">
        <f t="shared" si="149"/>
        <v>0</v>
      </c>
      <c r="L1049" s="1460"/>
      <c r="M1049" s="1236">
        <v>523</v>
      </c>
      <c r="N1049" s="1240" t="s">
        <v>2438</v>
      </c>
      <c r="O1049" s="1241" t="s">
        <v>4845</v>
      </c>
      <c r="P1049" s="910">
        <f t="shared" si="150"/>
        <v>0</v>
      </c>
      <c r="Q1049" s="910">
        <f t="shared" si="151"/>
        <v>523</v>
      </c>
      <c r="R1049" s="1344">
        <f t="shared" si="152"/>
        <v>3.84</v>
      </c>
      <c r="S1049" s="1344">
        <f>(1/9)*cnst_fish!$C$7*(1/cnst_fish!$C$8)^(R1049-1)</f>
        <v>97.565906155234643</v>
      </c>
      <c r="T1049" s="1362">
        <f t="shared" si="153"/>
        <v>4408.6348667980246</v>
      </c>
      <c r="W1049" s="1612"/>
      <c r="X1049" s="1612"/>
      <c r="Y1049" s="1613"/>
      <c r="Z1049" s="1614"/>
      <c r="AA1049" s="1614"/>
      <c r="AB1049" s="1615"/>
      <c r="AC1049" s="1615"/>
      <c r="AD1049" s="583"/>
      <c r="AE1049" s="583"/>
    </row>
    <row r="1050" spans="1:31" ht="14">
      <c r="A1050" s="1384" t="s">
        <v>195</v>
      </c>
      <c r="B1050" s="19" t="s">
        <v>1279</v>
      </c>
      <c r="C1050" s="1383">
        <v>3363</v>
      </c>
      <c r="D1050" s="1236"/>
      <c r="E1050" s="1236"/>
      <c r="F1050" s="1344">
        <f>(1/S1050)*cnst_fish!$C$6</f>
        <v>0.16946922663690964</v>
      </c>
      <c r="G1050" s="1344">
        <f t="shared" si="154"/>
        <v>1</v>
      </c>
      <c r="H1050" s="1344">
        <f t="shared" si="154"/>
        <v>0.367192066876738</v>
      </c>
      <c r="I1050" s="1344">
        <f t="shared" si="148"/>
        <v>0</v>
      </c>
      <c r="J1050" s="902">
        <f t="shared" si="149"/>
        <v>0</v>
      </c>
      <c r="L1050" s="1460">
        <v>9034</v>
      </c>
      <c r="M1050" s="1236"/>
      <c r="N1050" s="1240" t="s">
        <v>1809</v>
      </c>
      <c r="O1050" s="1241" t="s">
        <v>4841</v>
      </c>
      <c r="P1050" s="910">
        <f t="shared" si="150"/>
        <v>0</v>
      </c>
      <c r="Q1050" s="910">
        <f t="shared" si="151"/>
        <v>9034</v>
      </c>
      <c r="R1050" s="1344">
        <f t="shared" si="152"/>
        <v>3.25</v>
      </c>
      <c r="S1050" s="1344">
        <f>(1/9)*cnst_fish!$C$7*(1/cnst_fish!$C$8)^(R1050-1)</f>
        <v>25.078299372343796</v>
      </c>
      <c r="T1050" s="1362">
        <f t="shared" si="153"/>
        <v>19574.132708303616</v>
      </c>
      <c r="W1050" s="1612"/>
      <c r="X1050" s="1612"/>
      <c r="Y1050" s="1613"/>
      <c r="Z1050" s="1614"/>
      <c r="AA1050" s="1614"/>
      <c r="AB1050" s="1615"/>
      <c r="AC1050" s="1615"/>
      <c r="AD1050" s="583"/>
      <c r="AE1050" s="583"/>
    </row>
    <row r="1051" spans="1:31" ht="14">
      <c r="A1051" s="1384" t="s">
        <v>63</v>
      </c>
      <c r="B1051" s="19" t="s">
        <v>3039</v>
      </c>
      <c r="C1051" s="1383">
        <v>2549</v>
      </c>
      <c r="D1051" s="1236">
        <v>7924</v>
      </c>
      <c r="E1051" s="1236"/>
      <c r="F1051" s="1344">
        <f>(1/S1051)*cnst_fish!$C$6</f>
        <v>0.16184185499703521</v>
      </c>
      <c r="G1051" s="1344">
        <f t="shared" si="154"/>
        <v>1</v>
      </c>
      <c r="H1051" s="1344">
        <f t="shared" si="154"/>
        <v>0.367192066876738</v>
      </c>
      <c r="I1051" s="1344">
        <f t="shared" si="148"/>
        <v>17978.22904331252</v>
      </c>
      <c r="J1051" s="902">
        <f t="shared" si="149"/>
        <v>0</v>
      </c>
      <c r="L1051" s="1460">
        <v>7924</v>
      </c>
      <c r="M1051" s="1236"/>
      <c r="N1051" s="1240" t="s">
        <v>1809</v>
      </c>
      <c r="O1051" s="1241" t="s">
        <v>4841</v>
      </c>
      <c r="P1051" s="910">
        <f t="shared" si="150"/>
        <v>7924</v>
      </c>
      <c r="Q1051" s="910">
        <f t="shared" si="151"/>
        <v>7924</v>
      </c>
      <c r="R1051" s="1344">
        <f t="shared" si="152"/>
        <v>3.27</v>
      </c>
      <c r="S1051" s="1344">
        <f>(1/9)*cnst_fish!$C$7*(1/cnst_fish!$C$8)^(R1051-1)</f>
        <v>26.260203209348141</v>
      </c>
      <c r="T1051" s="1362">
        <f t="shared" si="153"/>
        <v>17978.22904331252</v>
      </c>
      <c r="W1051" s="1612"/>
      <c r="X1051" s="1612"/>
      <c r="Y1051" s="1613"/>
      <c r="Z1051" s="1614"/>
      <c r="AA1051" s="1614"/>
      <c r="AB1051" s="1615"/>
      <c r="AC1051" s="1615"/>
      <c r="AD1051" s="583"/>
      <c r="AE1051" s="583"/>
    </row>
    <row r="1052" spans="1:31" ht="14">
      <c r="A1052" s="1384" t="s">
        <v>509</v>
      </c>
      <c r="B1052" s="19" t="s">
        <v>995</v>
      </c>
      <c r="C1052" s="1383">
        <v>13477</v>
      </c>
      <c r="D1052" s="1236"/>
      <c r="E1052" s="1236"/>
      <c r="F1052" s="1344">
        <f>(1/S1052)*cnst_fish!$C$6</f>
        <v>9.5299549485983348E-2</v>
      </c>
      <c r="G1052" s="1344">
        <f t="shared" si="154"/>
        <v>1</v>
      </c>
      <c r="H1052" s="1344">
        <f t="shared" si="154"/>
        <v>0.367192066876738</v>
      </c>
      <c r="I1052" s="1344">
        <f t="shared" si="148"/>
        <v>0</v>
      </c>
      <c r="J1052" s="902">
        <f t="shared" si="149"/>
        <v>0</v>
      </c>
      <c r="L1052" s="1460">
        <v>71777</v>
      </c>
      <c r="M1052" s="1236"/>
      <c r="N1052" s="1240" t="s">
        <v>1806</v>
      </c>
      <c r="O1052" s="1241" t="s">
        <v>4841</v>
      </c>
      <c r="P1052" s="910">
        <f t="shared" si="150"/>
        <v>0</v>
      </c>
      <c r="Q1052" s="910">
        <f t="shared" si="151"/>
        <v>71777</v>
      </c>
      <c r="R1052" s="1344">
        <f t="shared" si="152"/>
        <v>3.5</v>
      </c>
      <c r="S1052" s="1344">
        <f>(1/9)*cnst_fish!$C$7*(1/cnst_fish!$C$8)^(R1052-1)</f>
        <v>44.596223412631026</v>
      </c>
      <c r="T1052" s="1362">
        <f t="shared" si="153"/>
        <v>276558.96723927383</v>
      </c>
      <c r="W1052" s="1612"/>
      <c r="X1052" s="1612"/>
      <c r="Y1052" s="1613"/>
      <c r="Z1052" s="1614"/>
      <c r="AA1052" s="1614"/>
      <c r="AB1052" s="1615"/>
      <c r="AC1052" s="1615"/>
      <c r="AD1052" s="583"/>
      <c r="AE1052" s="583"/>
    </row>
    <row r="1053" spans="1:31" ht="14">
      <c r="A1053" s="1384" t="s">
        <v>4393</v>
      </c>
      <c r="B1053" s="19" t="s">
        <v>6790</v>
      </c>
      <c r="C1053" s="1383">
        <v>2179</v>
      </c>
      <c r="D1053" s="1236"/>
      <c r="E1053" s="1236"/>
      <c r="F1053" s="1344">
        <f>(1/S1053)*cnst_fish!$C$6</f>
        <v>3.0136363636363641</v>
      </c>
      <c r="G1053" s="1344">
        <f t="shared" si="154"/>
        <v>1</v>
      </c>
      <c r="H1053" s="1344">
        <f t="shared" si="154"/>
        <v>0.367192066876738</v>
      </c>
      <c r="I1053" s="1344">
        <f t="shared" si="148"/>
        <v>0</v>
      </c>
      <c r="J1053" s="902">
        <f t="shared" si="149"/>
        <v>0</v>
      </c>
      <c r="L1053" s="1460"/>
      <c r="M1053" s="1236"/>
      <c r="N1053" s="1240" t="s">
        <v>1806</v>
      </c>
      <c r="O1053" s="1241" t="s">
        <v>4845</v>
      </c>
      <c r="P1053" s="910">
        <f t="shared" si="150"/>
        <v>0</v>
      </c>
      <c r="Q1053" s="910">
        <f t="shared" si="151"/>
        <v>0</v>
      </c>
      <c r="R1053" s="1344">
        <f t="shared" si="152"/>
        <v>2</v>
      </c>
      <c r="S1053" s="1344">
        <f>(1/9)*cnst_fish!$C$7*(1/cnst_fish!$C$8)^(R1053-1)</f>
        <v>1.4102564102564099</v>
      </c>
      <c r="T1053" s="1362">
        <f t="shared" si="153"/>
        <v>0</v>
      </c>
      <c r="W1053" s="1612"/>
      <c r="X1053" s="1612"/>
      <c r="Y1053" s="1613"/>
      <c r="Z1053" s="1614"/>
      <c r="AA1053" s="1614"/>
      <c r="AB1053" s="1615"/>
      <c r="AC1053" s="1615"/>
      <c r="AD1053" s="583"/>
      <c r="AE1053" s="583"/>
    </row>
    <row r="1054" spans="1:31" ht="14">
      <c r="A1054" s="1384" t="s">
        <v>2526</v>
      </c>
      <c r="B1054" s="19" t="s">
        <v>2527</v>
      </c>
      <c r="C1054" s="1383">
        <v>19042</v>
      </c>
      <c r="D1054" s="1236"/>
      <c r="E1054" s="1236"/>
      <c r="F1054" s="1344">
        <f>(1/S1054)*cnst_fish!$C$6</f>
        <v>0.11997502458044032</v>
      </c>
      <c r="G1054" s="1344">
        <f t="shared" si="154"/>
        <v>1</v>
      </c>
      <c r="H1054" s="1344">
        <f t="shared" si="154"/>
        <v>0.367192066876738</v>
      </c>
      <c r="I1054" s="1344">
        <f t="shared" si="148"/>
        <v>0</v>
      </c>
      <c r="J1054" s="902">
        <f t="shared" si="149"/>
        <v>0</v>
      </c>
      <c r="L1054" s="1460"/>
      <c r="M1054" s="1236"/>
      <c r="N1054" s="1240" t="s">
        <v>1806</v>
      </c>
      <c r="O1054" s="1241" t="s">
        <v>4845</v>
      </c>
      <c r="P1054" s="910">
        <f t="shared" si="150"/>
        <v>0</v>
      </c>
      <c r="Q1054" s="910">
        <f t="shared" si="151"/>
        <v>0</v>
      </c>
      <c r="R1054" s="1344">
        <f t="shared" si="152"/>
        <v>3.4</v>
      </c>
      <c r="S1054" s="1344">
        <f>(1/9)*cnst_fish!$C$7*(1/cnst_fish!$C$8)^(R1054-1)</f>
        <v>35.424039418724846</v>
      </c>
      <c r="T1054" s="1362">
        <f t="shared" si="153"/>
        <v>0</v>
      </c>
      <c r="W1054" s="1612"/>
      <c r="X1054" s="1612"/>
      <c r="Y1054" s="1613"/>
      <c r="Z1054" s="1614"/>
      <c r="AA1054" s="1614"/>
      <c r="AB1054" s="1615"/>
      <c r="AC1054" s="1615"/>
      <c r="AD1054" s="583"/>
      <c r="AE1054" s="583"/>
    </row>
    <row r="1055" spans="1:31" ht="14">
      <c r="A1055" s="1384" t="s">
        <v>3464</v>
      </c>
      <c r="B1055" s="19" t="s">
        <v>2456</v>
      </c>
      <c r="C1055" s="1383">
        <v>16194</v>
      </c>
      <c r="D1055" s="1236"/>
      <c r="E1055" s="1236"/>
      <c r="F1055" s="1344">
        <f>(1/S1055)*cnst_fish!$C$6</f>
        <v>0.95032600050805482</v>
      </c>
      <c r="G1055" s="1344">
        <f t="shared" si="154"/>
        <v>1</v>
      </c>
      <c r="H1055" s="1344">
        <f t="shared" si="154"/>
        <v>0.367192066876738</v>
      </c>
      <c r="I1055" s="1344">
        <f t="shared" si="148"/>
        <v>0</v>
      </c>
      <c r="J1055" s="902">
        <f t="shared" si="149"/>
        <v>0</v>
      </c>
      <c r="L1055" s="1460">
        <v>4</v>
      </c>
      <c r="M1055" s="1236"/>
      <c r="N1055" s="1240" t="s">
        <v>2430</v>
      </c>
      <c r="O1055" s="1241" t="s">
        <v>4840</v>
      </c>
      <c r="P1055" s="910">
        <f t="shared" si="150"/>
        <v>0</v>
      </c>
      <c r="Q1055" s="910">
        <f t="shared" si="151"/>
        <v>4</v>
      </c>
      <c r="R1055" s="1344">
        <f t="shared" si="152"/>
        <v>2.501218236046268</v>
      </c>
      <c r="S1055" s="1344">
        <f>(1/9)*cnst_fish!$C$7*(1/cnst_fish!$C$8)^(R1055-1)</f>
        <v>4.4721495547084924</v>
      </c>
      <c r="T1055" s="1362">
        <f t="shared" si="153"/>
        <v>1.5455414949414541</v>
      </c>
      <c r="W1055" s="1612"/>
      <c r="X1055" s="1612"/>
      <c r="Y1055" s="1613"/>
      <c r="Z1055" s="1614"/>
      <c r="AA1055" s="1614"/>
      <c r="AB1055" s="1615"/>
      <c r="AC1055" s="1615"/>
      <c r="AD1055" s="583"/>
      <c r="AE1055" s="583"/>
    </row>
    <row r="1056" spans="1:31" ht="14">
      <c r="A1056" s="1384" t="s">
        <v>400</v>
      </c>
      <c r="B1056" s="19" t="s">
        <v>1555</v>
      </c>
      <c r="C1056" s="1383">
        <v>13504</v>
      </c>
      <c r="D1056" s="1236"/>
      <c r="E1056" s="1236"/>
      <c r="F1056" s="1344">
        <f>(1/S1056)*cnst_fish!$C$6</f>
        <v>5.8761225892708345E-2</v>
      </c>
      <c r="G1056" s="1344">
        <f t="shared" si="154"/>
        <v>1</v>
      </c>
      <c r="H1056" s="1344">
        <f t="shared" si="154"/>
        <v>0.367192066876738</v>
      </c>
      <c r="I1056" s="1344">
        <f t="shared" si="148"/>
        <v>0</v>
      </c>
      <c r="J1056" s="902">
        <f t="shared" si="149"/>
        <v>0</v>
      </c>
      <c r="L1056" s="1460">
        <v>1</v>
      </c>
      <c r="M1056" s="1236"/>
      <c r="N1056" s="1240" t="s">
        <v>1806</v>
      </c>
      <c r="O1056" s="1241" t="s">
        <v>4841</v>
      </c>
      <c r="P1056" s="910">
        <f t="shared" si="150"/>
        <v>0</v>
      </c>
      <c r="Q1056" s="910">
        <f t="shared" si="151"/>
        <v>1</v>
      </c>
      <c r="R1056" s="1344">
        <f t="shared" si="152"/>
        <v>3.71</v>
      </c>
      <c r="S1056" s="1344">
        <f>(1/9)*cnst_fish!$C$7*(1/cnst_fish!$C$8)^(R1056-1)</f>
        <v>72.326605434679692</v>
      </c>
      <c r="T1056" s="1362">
        <f t="shared" si="153"/>
        <v>6.2488837034678459</v>
      </c>
      <c r="W1056" s="1612"/>
      <c r="X1056" s="1612"/>
      <c r="Y1056" s="1613"/>
      <c r="Z1056" s="1614"/>
      <c r="AA1056" s="1614"/>
      <c r="AB1056" s="1615"/>
      <c r="AC1056" s="1615"/>
      <c r="AD1056" s="583"/>
      <c r="AE1056" s="583"/>
    </row>
    <row r="1057" spans="1:31" ht="14">
      <c r="A1057" s="1384" t="s">
        <v>2050</v>
      </c>
      <c r="B1057" s="19" t="s">
        <v>2489</v>
      </c>
      <c r="C1057" s="1383">
        <v>2063</v>
      </c>
      <c r="D1057" s="1236"/>
      <c r="E1057" s="1236"/>
      <c r="F1057" s="1344">
        <f>(1/S1057)*cnst_fish!$C$6</f>
        <v>8.6914222116951781E-2</v>
      </c>
      <c r="G1057" s="1344">
        <f t="shared" si="154"/>
        <v>1</v>
      </c>
      <c r="H1057" s="1344">
        <f t="shared" si="154"/>
        <v>0.367192066876738</v>
      </c>
      <c r="I1057" s="1344">
        <f t="shared" si="148"/>
        <v>0</v>
      </c>
      <c r="J1057" s="902">
        <f t="shared" si="149"/>
        <v>0</v>
      </c>
      <c r="L1057" s="1460">
        <v>5649</v>
      </c>
      <c r="M1057" s="1236"/>
      <c r="N1057" s="1240" t="s">
        <v>1806</v>
      </c>
      <c r="O1057" s="1241" t="s">
        <v>4841</v>
      </c>
      <c r="P1057" s="910">
        <f t="shared" si="150"/>
        <v>0</v>
      </c>
      <c r="Q1057" s="910">
        <f t="shared" si="151"/>
        <v>5649</v>
      </c>
      <c r="R1057" s="1344">
        <f t="shared" si="152"/>
        <v>3.54</v>
      </c>
      <c r="S1057" s="1344">
        <f>(1/9)*cnst_fish!$C$7*(1/cnst_fish!$C$8)^(R1057-1)</f>
        <v>48.898786602280119</v>
      </c>
      <c r="T1057" s="1362">
        <f t="shared" si="153"/>
        <v>23865.691198335269</v>
      </c>
      <c r="W1057" s="1612"/>
      <c r="X1057" s="1612"/>
      <c r="Y1057" s="1613"/>
      <c r="Z1057" s="1614"/>
      <c r="AA1057" s="1614"/>
      <c r="AB1057" s="1615"/>
      <c r="AC1057" s="1615"/>
      <c r="AD1057" s="583"/>
      <c r="AE1057" s="583"/>
    </row>
    <row r="1058" spans="1:31" ht="14">
      <c r="A1058" s="1384" t="s">
        <v>3986</v>
      </c>
      <c r="B1058" s="19" t="s">
        <v>4339</v>
      </c>
      <c r="C1058" s="1383">
        <v>3530</v>
      </c>
      <c r="D1058" s="1236"/>
      <c r="E1058" s="1236"/>
      <c r="F1058" s="1344">
        <f>(1/S1058)*cnst_fish!$C$6</f>
        <v>2.3938164528281742</v>
      </c>
      <c r="G1058" s="1344">
        <f t="shared" si="154"/>
        <v>1</v>
      </c>
      <c r="H1058" s="1344">
        <f t="shared" si="154"/>
        <v>0.367192066876738</v>
      </c>
      <c r="I1058" s="1344">
        <f t="shared" si="148"/>
        <v>0</v>
      </c>
      <c r="J1058" s="902">
        <f t="shared" si="149"/>
        <v>0</v>
      </c>
      <c r="L1058" s="1460">
        <v>0</v>
      </c>
      <c r="M1058" s="1236"/>
      <c r="N1058" s="1240" t="s">
        <v>2433</v>
      </c>
      <c r="O1058" s="1241" t="s">
        <v>4851</v>
      </c>
      <c r="P1058" s="910">
        <f t="shared" si="150"/>
        <v>0</v>
      </c>
      <c r="Q1058" s="910">
        <f t="shared" si="151"/>
        <v>0</v>
      </c>
      <c r="R1058" s="1344">
        <f t="shared" si="152"/>
        <v>2.1</v>
      </c>
      <c r="S1058" s="1344">
        <f>(1/9)*cnst_fish!$C$7*(1/cnst_fish!$C$8)^(R1058-1)</f>
        <v>1.7754076320174161</v>
      </c>
      <c r="T1058" s="1362">
        <f t="shared" si="153"/>
        <v>0</v>
      </c>
      <c r="W1058" s="1612"/>
      <c r="X1058" s="1612"/>
      <c r="Y1058" s="1613"/>
      <c r="Z1058" s="1614"/>
      <c r="AA1058" s="1614"/>
      <c r="AB1058" s="1615"/>
      <c r="AC1058" s="1615"/>
      <c r="AD1058" s="583"/>
      <c r="AE1058" s="583"/>
    </row>
    <row r="1059" spans="1:31" ht="14">
      <c r="A1059" s="1384" t="s">
        <v>4671</v>
      </c>
      <c r="B1059" s="19" t="s">
        <v>3127</v>
      </c>
      <c r="C1059" s="1383">
        <v>2569</v>
      </c>
      <c r="D1059" s="1236"/>
      <c r="E1059" s="1236"/>
      <c r="F1059" s="1344">
        <f>(1/S1059)*cnst_fish!$C$6</f>
        <v>3.0136363636363642E-2</v>
      </c>
      <c r="G1059" s="1344">
        <f t="shared" si="154"/>
        <v>1</v>
      </c>
      <c r="H1059" s="1344">
        <f t="shared" si="154"/>
        <v>0.367192066876738</v>
      </c>
      <c r="I1059" s="1344">
        <f t="shared" si="148"/>
        <v>0</v>
      </c>
      <c r="J1059" s="902">
        <f t="shared" si="149"/>
        <v>0</v>
      </c>
      <c r="L1059" s="1460">
        <v>0</v>
      </c>
      <c r="M1059" s="1236"/>
      <c r="N1059" s="1240" t="s">
        <v>1806</v>
      </c>
      <c r="O1059" s="1241" t="s">
        <v>4859</v>
      </c>
      <c r="P1059" s="910">
        <f t="shared" si="150"/>
        <v>0</v>
      </c>
      <c r="Q1059" s="910">
        <f t="shared" si="151"/>
        <v>0</v>
      </c>
      <c r="R1059" s="1344">
        <f t="shared" si="152"/>
        <v>4</v>
      </c>
      <c r="S1059" s="1344">
        <f>(1/9)*cnst_fish!$C$7*(1/cnst_fish!$C$8)^(R1059-1)</f>
        <v>141.02564102564099</v>
      </c>
      <c r="T1059" s="1362">
        <f t="shared" si="153"/>
        <v>0</v>
      </c>
      <c r="W1059" s="1612"/>
      <c r="X1059" s="1612"/>
      <c r="Y1059" s="1613"/>
      <c r="Z1059" s="1614"/>
      <c r="AA1059" s="1614"/>
      <c r="AB1059" s="1615"/>
      <c r="AC1059" s="1615"/>
      <c r="AD1059" s="583"/>
      <c r="AE1059" s="583"/>
    </row>
    <row r="1060" spans="1:31" ht="14">
      <c r="A1060" s="1384" t="s">
        <v>5669</v>
      </c>
      <c r="B1060" s="19" t="s">
        <v>3115</v>
      </c>
      <c r="C1060" s="1383">
        <v>3574</v>
      </c>
      <c r="D1060" s="1236">
        <v>1303</v>
      </c>
      <c r="E1060" s="1236"/>
      <c r="F1060" s="1344">
        <f>(1/S1060)*cnst_fish!$C$6</f>
        <v>1.9014759972289452</v>
      </c>
      <c r="G1060" s="1344">
        <f t="shared" si="154"/>
        <v>1</v>
      </c>
      <c r="H1060" s="1344">
        <f t="shared" si="154"/>
        <v>0.367192066876738</v>
      </c>
      <c r="I1060" s="1344">
        <f t="shared" si="148"/>
        <v>251.6209848757729</v>
      </c>
      <c r="J1060" s="902">
        <f t="shared" si="149"/>
        <v>0</v>
      </c>
      <c r="L1060" s="1460">
        <v>656789</v>
      </c>
      <c r="M1060" s="1236"/>
      <c r="N1060" s="1240" t="s">
        <v>1804</v>
      </c>
      <c r="O1060" s="1241" t="s">
        <v>4851</v>
      </c>
      <c r="P1060" s="910">
        <f t="shared" si="150"/>
        <v>1303</v>
      </c>
      <c r="Q1060" s="910">
        <f t="shared" si="151"/>
        <v>656789</v>
      </c>
      <c r="R1060" s="1344">
        <f t="shared" si="152"/>
        <v>2.2000000000000002</v>
      </c>
      <c r="S1060" s="1344">
        <f>(1/9)*cnst_fish!$C$7*(1/cnst_fish!$C$8)^(R1060-1)</f>
        <v>2.2351057842400328</v>
      </c>
      <c r="T1060" s="1362">
        <f t="shared" si="153"/>
        <v>126831.84576790023</v>
      </c>
      <c r="W1060" s="1612"/>
      <c r="X1060" s="1612"/>
      <c r="Y1060" s="1613"/>
      <c r="Z1060" s="1614"/>
      <c r="AA1060" s="1614"/>
      <c r="AB1060" s="1615"/>
      <c r="AC1060" s="1615"/>
      <c r="AD1060" s="583"/>
      <c r="AE1060" s="583"/>
    </row>
    <row r="1061" spans="1:31" ht="14">
      <c r="A1061" s="1384" t="s">
        <v>5658</v>
      </c>
      <c r="B1061" s="19" t="s">
        <v>3115</v>
      </c>
      <c r="C1061" s="1383">
        <v>3573</v>
      </c>
      <c r="D1061" s="1236"/>
      <c r="E1061" s="1236">
        <v>0</v>
      </c>
      <c r="F1061" s="1344">
        <f>(1/S1061)*cnst_fish!$C$6</f>
        <v>1.9014759972289452</v>
      </c>
      <c r="G1061" s="1344">
        <f t="shared" si="154"/>
        <v>1</v>
      </c>
      <c r="H1061" s="1344">
        <f t="shared" si="154"/>
        <v>0.367192066876738</v>
      </c>
      <c r="I1061" s="1344">
        <f t="shared" si="148"/>
        <v>0</v>
      </c>
      <c r="J1061" s="902">
        <f t="shared" si="149"/>
        <v>0</v>
      </c>
      <c r="L1061" s="1460"/>
      <c r="M1061" s="1236">
        <v>348586</v>
      </c>
      <c r="N1061" s="1240" t="s">
        <v>1804</v>
      </c>
      <c r="O1061" s="1241" t="s">
        <v>4851</v>
      </c>
      <c r="P1061" s="910">
        <f t="shared" si="150"/>
        <v>0</v>
      </c>
      <c r="Q1061" s="910">
        <f t="shared" si="151"/>
        <v>348586</v>
      </c>
      <c r="R1061" s="1344">
        <f t="shared" si="152"/>
        <v>2.2000000000000002</v>
      </c>
      <c r="S1061" s="1344">
        <f>(1/9)*cnst_fish!$C$7*(1/cnst_fish!$C$8)^(R1061-1)</f>
        <v>2.2351057842400328</v>
      </c>
      <c r="T1061" s="1362">
        <f t="shared" si="153"/>
        <v>67315.082604686235</v>
      </c>
      <c r="W1061" s="1612"/>
      <c r="X1061" s="1612"/>
      <c r="Y1061" s="1613"/>
      <c r="Z1061" s="1614"/>
      <c r="AA1061" s="1614"/>
      <c r="AB1061" s="1615"/>
      <c r="AC1061" s="1615"/>
      <c r="AD1061" s="583"/>
      <c r="AE1061" s="583"/>
    </row>
    <row r="1062" spans="1:31" ht="14">
      <c r="A1062" s="1384" t="s">
        <v>4277</v>
      </c>
      <c r="B1062" s="19" t="s">
        <v>5199</v>
      </c>
      <c r="C1062" s="1383">
        <v>2221</v>
      </c>
      <c r="D1062" s="1236"/>
      <c r="E1062" s="1236"/>
      <c r="F1062" s="1344">
        <f>(1/S1062)*cnst_fish!$C$6</f>
        <v>9.979087888316248E-3</v>
      </c>
      <c r="G1062" s="1344">
        <f t="shared" si="154"/>
        <v>1</v>
      </c>
      <c r="H1062" s="1344">
        <f t="shared" si="154"/>
        <v>0.367192066876738</v>
      </c>
      <c r="I1062" s="1344">
        <f t="shared" si="148"/>
        <v>0</v>
      </c>
      <c r="J1062" s="902">
        <f t="shared" si="149"/>
        <v>0</v>
      </c>
      <c r="L1062" s="1460">
        <v>6576</v>
      </c>
      <c r="M1062" s="1236"/>
      <c r="N1062" s="1240" t="s">
        <v>1806</v>
      </c>
      <c r="O1062" s="1241" t="s">
        <v>4841</v>
      </c>
      <c r="P1062" s="910">
        <f t="shared" si="150"/>
        <v>0</v>
      </c>
      <c r="Q1062" s="910">
        <f t="shared" si="151"/>
        <v>6576</v>
      </c>
      <c r="R1062" s="1344">
        <f t="shared" si="152"/>
        <v>4.4800000000000004</v>
      </c>
      <c r="S1062" s="1344">
        <f>(1/9)*cnst_fish!$C$7*(1/cnst_fish!$C$8)^(R1062-1)</f>
        <v>425.89062723618264</v>
      </c>
      <c r="T1062" s="1362">
        <f t="shared" si="153"/>
        <v>241971.5167163288</v>
      </c>
      <c r="W1062" s="1612"/>
      <c r="X1062" s="1612"/>
      <c r="Y1062" s="1613"/>
      <c r="Z1062" s="1614"/>
      <c r="AA1062" s="1614"/>
      <c r="AB1062" s="1615"/>
      <c r="AC1062" s="1615"/>
      <c r="AD1062" s="583"/>
      <c r="AE1062" s="583"/>
    </row>
    <row r="1063" spans="1:31" ht="14">
      <c r="A1063" s="1384" t="s">
        <v>6882</v>
      </c>
      <c r="B1063" s="19" t="s">
        <v>6881</v>
      </c>
      <c r="C1063" s="1383">
        <v>19251</v>
      </c>
      <c r="D1063" s="1236"/>
      <c r="E1063" s="1236"/>
      <c r="F1063" s="1344">
        <f>(1/S1063)*cnst_fish!$C$6</f>
        <v>3.0136363636363641</v>
      </c>
      <c r="G1063" s="1344">
        <f t="shared" si="154"/>
        <v>1</v>
      </c>
      <c r="H1063" s="1344">
        <f t="shared" si="154"/>
        <v>0.367192066876738</v>
      </c>
      <c r="I1063" s="1344">
        <f t="shared" si="148"/>
        <v>0</v>
      </c>
      <c r="J1063" s="902">
        <f t="shared" si="149"/>
        <v>0</v>
      </c>
      <c r="L1063" s="1460">
        <v>0</v>
      </c>
      <c r="M1063" s="1236"/>
      <c r="N1063" s="1240" t="s">
        <v>1806</v>
      </c>
      <c r="O1063" s="1241" t="s">
        <v>4841</v>
      </c>
      <c r="P1063" s="910">
        <f t="shared" si="150"/>
        <v>0</v>
      </c>
      <c r="Q1063" s="910">
        <f t="shared" si="151"/>
        <v>0</v>
      </c>
      <c r="R1063" s="1344">
        <f t="shared" si="152"/>
        <v>2</v>
      </c>
      <c r="S1063" s="1344">
        <f>(1/9)*cnst_fish!$C$7*(1/cnst_fish!$C$8)^(R1063-1)</f>
        <v>1.4102564102564099</v>
      </c>
      <c r="T1063" s="1362">
        <f t="shared" si="153"/>
        <v>0</v>
      </c>
      <c r="W1063" s="1612"/>
      <c r="X1063" s="1612"/>
      <c r="Y1063" s="1613"/>
      <c r="Z1063" s="1614"/>
      <c r="AA1063" s="1614"/>
      <c r="AB1063" s="1615"/>
      <c r="AC1063" s="1615"/>
      <c r="AD1063" s="583"/>
      <c r="AE1063" s="583"/>
    </row>
    <row r="1064" spans="1:31" ht="14">
      <c r="A1064" s="1384" t="s">
        <v>196</v>
      </c>
      <c r="B1064" s="19" t="s">
        <v>5200</v>
      </c>
      <c r="C1064" s="1383">
        <v>2220</v>
      </c>
      <c r="D1064" s="1236"/>
      <c r="E1064" s="1236"/>
      <c r="F1064" s="1344">
        <f>(1/S1064)*cnst_fish!$C$6</f>
        <v>1.6946922663690963E-2</v>
      </c>
      <c r="G1064" s="1344">
        <f t="shared" si="154"/>
        <v>1</v>
      </c>
      <c r="H1064" s="1344">
        <f t="shared" si="154"/>
        <v>0.367192066876738</v>
      </c>
      <c r="I1064" s="1344">
        <f t="shared" si="148"/>
        <v>0</v>
      </c>
      <c r="J1064" s="902">
        <f t="shared" si="149"/>
        <v>0</v>
      </c>
      <c r="L1064" s="1460">
        <v>41067</v>
      </c>
      <c r="M1064" s="1236"/>
      <c r="N1064" s="1240" t="s">
        <v>1806</v>
      </c>
      <c r="O1064" s="1241" t="s">
        <v>4841</v>
      </c>
      <c r="P1064" s="910">
        <f t="shared" si="150"/>
        <v>0</v>
      </c>
      <c r="Q1064" s="910">
        <f t="shared" si="151"/>
        <v>41067</v>
      </c>
      <c r="R1064" s="1344">
        <f t="shared" si="152"/>
        <v>4.25</v>
      </c>
      <c r="S1064" s="1344">
        <f>(1/9)*cnst_fish!$C$7*(1/cnst_fish!$C$8)^(R1064-1)</f>
        <v>250.78299372343801</v>
      </c>
      <c r="T1064" s="1362">
        <f t="shared" si="153"/>
        <v>889806.18544598692</v>
      </c>
      <c r="W1064" s="1612"/>
      <c r="X1064" s="1612"/>
      <c r="Y1064" s="1613"/>
      <c r="Z1064" s="1614"/>
      <c r="AA1064" s="1614"/>
      <c r="AB1064" s="1615"/>
      <c r="AC1064" s="1615"/>
      <c r="AD1064" s="583"/>
      <c r="AE1064" s="583"/>
    </row>
    <row r="1065" spans="1:31" ht="14">
      <c r="A1065" s="1384" t="s">
        <v>4728</v>
      </c>
      <c r="B1065" s="19" t="s">
        <v>5201</v>
      </c>
      <c r="C1065" s="1383">
        <v>3013</v>
      </c>
      <c r="D1065" s="1236"/>
      <c r="E1065" s="1236"/>
      <c r="F1065" s="1344">
        <f>(1/S1065)*cnst_fish!$C$6</f>
        <v>1.315499985341953E-2</v>
      </c>
      <c r="G1065" s="1344">
        <f t="shared" si="154"/>
        <v>1</v>
      </c>
      <c r="H1065" s="1344">
        <f t="shared" si="154"/>
        <v>0.367192066876738</v>
      </c>
      <c r="I1065" s="1344">
        <f t="shared" si="148"/>
        <v>0</v>
      </c>
      <c r="J1065" s="902">
        <f t="shared" si="149"/>
        <v>0</v>
      </c>
      <c r="L1065" s="1460">
        <v>15</v>
      </c>
      <c r="M1065" s="1236"/>
      <c r="N1065" s="1240" t="s">
        <v>1806</v>
      </c>
      <c r="O1065" s="1241" t="s">
        <v>4841</v>
      </c>
      <c r="P1065" s="910">
        <f t="shared" si="150"/>
        <v>0</v>
      </c>
      <c r="Q1065" s="910">
        <f t="shared" si="151"/>
        <v>15</v>
      </c>
      <c r="R1065" s="1344">
        <f t="shared" si="152"/>
        <v>4.3600000000000003</v>
      </c>
      <c r="S1065" s="1344">
        <f>(1/9)*cnst_fish!$C$7*(1/cnst_fish!$C$8)^(R1065-1)</f>
        <v>323.07107923648124</v>
      </c>
      <c r="T1065" s="1362">
        <f t="shared" si="153"/>
        <v>418.69107293979511</v>
      </c>
      <c r="W1065" s="1612"/>
      <c r="X1065" s="1612"/>
      <c r="Y1065" s="1613"/>
      <c r="Z1065" s="1614"/>
      <c r="AA1065" s="1614"/>
      <c r="AB1065" s="1615"/>
      <c r="AC1065" s="1615"/>
      <c r="AD1065" s="583"/>
      <c r="AE1065" s="583"/>
    </row>
    <row r="1066" spans="1:31" ht="14">
      <c r="A1066" s="1384" t="s">
        <v>2607</v>
      </c>
      <c r="B1066" s="19" t="s">
        <v>996</v>
      </c>
      <c r="C1066" s="1383">
        <v>18785</v>
      </c>
      <c r="D1066" s="1236"/>
      <c r="E1066" s="1236"/>
      <c r="F1066" s="1344">
        <f>(1/S1066)*cnst_fish!$C$6</f>
        <v>0.34601175047837884</v>
      </c>
      <c r="G1066" s="1344">
        <f t="shared" si="154"/>
        <v>1</v>
      </c>
      <c r="H1066" s="1344">
        <f t="shared" si="154"/>
        <v>0.367192066876738</v>
      </c>
      <c r="I1066" s="1344">
        <f t="shared" si="148"/>
        <v>0</v>
      </c>
      <c r="J1066" s="902">
        <f t="shared" si="149"/>
        <v>0</v>
      </c>
      <c r="L1066" s="1460">
        <v>273</v>
      </c>
      <c r="M1066" s="1236"/>
      <c r="N1066" s="1240" t="s">
        <v>1806</v>
      </c>
      <c r="O1066" s="1241" t="s">
        <v>4841</v>
      </c>
      <c r="P1066" s="910">
        <f t="shared" si="150"/>
        <v>0</v>
      </c>
      <c r="Q1066" s="910">
        <f t="shared" si="151"/>
        <v>273</v>
      </c>
      <c r="R1066" s="1344">
        <f t="shared" si="152"/>
        <v>2.94</v>
      </c>
      <c r="S1066" s="1344">
        <f>(1/9)*cnst_fish!$C$7*(1/cnst_fish!$C$8)^(R1066-1)</f>
        <v>12.282819858354982</v>
      </c>
      <c r="T1066" s="1362">
        <f t="shared" si="153"/>
        <v>289.71106940373505</v>
      </c>
      <c r="W1066" s="1612"/>
      <c r="X1066" s="1612"/>
      <c r="Y1066" s="1613"/>
      <c r="Z1066" s="1614"/>
      <c r="AA1066" s="1614"/>
      <c r="AB1066" s="1615"/>
      <c r="AC1066" s="1615"/>
      <c r="AD1066" s="583"/>
      <c r="AE1066" s="583"/>
    </row>
    <row r="1067" spans="1:31" ht="14">
      <c r="A1067" s="1384" t="s">
        <v>5130</v>
      </c>
      <c r="B1067" s="19" t="s">
        <v>1775</v>
      </c>
      <c r="C1067" s="1383">
        <v>2272</v>
      </c>
      <c r="D1067" s="1236"/>
      <c r="E1067" s="1236"/>
      <c r="F1067" s="1344">
        <f>(1/S1067)*cnst_fish!$C$6</f>
        <v>0.39727464439222648</v>
      </c>
      <c r="G1067" s="1344">
        <f t="shared" si="154"/>
        <v>1</v>
      </c>
      <c r="H1067" s="1344">
        <f t="shared" si="154"/>
        <v>0.367192066876738</v>
      </c>
      <c r="I1067" s="1344">
        <f t="shared" si="148"/>
        <v>0</v>
      </c>
      <c r="J1067" s="902">
        <f t="shared" si="149"/>
        <v>0</v>
      </c>
      <c r="L1067" s="1460"/>
      <c r="M1067" s="1236">
        <v>1510</v>
      </c>
      <c r="N1067" s="1240" t="s">
        <v>1806</v>
      </c>
      <c r="O1067" s="1241" t="s">
        <v>4845</v>
      </c>
      <c r="P1067" s="910">
        <f t="shared" si="150"/>
        <v>0</v>
      </c>
      <c r="Q1067" s="910">
        <f t="shared" si="151"/>
        <v>1510</v>
      </c>
      <c r="R1067" s="1344">
        <f t="shared" si="152"/>
        <v>2.88</v>
      </c>
      <c r="S1067" s="1344">
        <f>(1/9)*cnst_fish!$C$7*(1/cnst_fish!$C$8)^(R1067-1)</f>
        <v>10.697888878616689</v>
      </c>
      <c r="T1067" s="1362">
        <f t="shared" si="153"/>
        <v>1395.6592216755214</v>
      </c>
      <c r="W1067" s="1612"/>
      <c r="X1067" s="1612"/>
      <c r="Y1067" s="1613"/>
      <c r="Z1067" s="1614"/>
      <c r="AA1067" s="1614"/>
      <c r="AB1067" s="1615"/>
      <c r="AC1067" s="1615"/>
      <c r="AD1067" s="583"/>
      <c r="AE1067" s="583"/>
    </row>
    <row r="1068" spans="1:31" ht="14">
      <c r="A1068" s="1384" t="s">
        <v>4354</v>
      </c>
      <c r="B1068" s="19" t="s">
        <v>6618</v>
      </c>
      <c r="C1068" s="1383">
        <v>3627</v>
      </c>
      <c r="D1068" s="1236"/>
      <c r="E1068" s="1236"/>
      <c r="F1068" s="1344">
        <f>(1/S1068)*cnst_fish!$C$6</f>
        <v>3.0136363636363641</v>
      </c>
      <c r="G1068" s="1344">
        <f t="shared" ref="G1068:H1087" si="155">G$7</f>
        <v>1</v>
      </c>
      <c r="H1068" s="1344">
        <f t="shared" si="155"/>
        <v>0.367192066876738</v>
      </c>
      <c r="I1068" s="1344">
        <f t="shared" si="148"/>
        <v>0</v>
      </c>
      <c r="J1068" s="902">
        <f t="shared" si="149"/>
        <v>0</v>
      </c>
      <c r="L1068" s="1460">
        <v>373</v>
      </c>
      <c r="M1068" s="1236"/>
      <c r="N1068" s="1240" t="s">
        <v>1808</v>
      </c>
      <c r="O1068" s="1241" t="s">
        <v>4831</v>
      </c>
      <c r="P1068" s="910">
        <f t="shared" si="150"/>
        <v>0</v>
      </c>
      <c r="Q1068" s="910">
        <f t="shared" si="151"/>
        <v>373</v>
      </c>
      <c r="R1068" s="1344">
        <f t="shared" si="152"/>
        <v>2</v>
      </c>
      <c r="S1068" s="1344">
        <f>(1/9)*cnst_fish!$C$7*(1/cnst_fish!$C$8)^(R1068-1)</f>
        <v>1.4102564102564099</v>
      </c>
      <c r="T1068" s="1362">
        <f t="shared" si="153"/>
        <v>45.447633496086148</v>
      </c>
      <c r="W1068" s="1612"/>
      <c r="X1068" s="1612"/>
      <c r="Y1068" s="1613"/>
      <c r="Z1068" s="1614"/>
      <c r="AA1068" s="1614"/>
      <c r="AB1068" s="1615"/>
      <c r="AC1068" s="1615"/>
      <c r="AD1068" s="583"/>
      <c r="AE1068" s="583"/>
    </row>
    <row r="1069" spans="1:31" ht="14">
      <c r="A1069" s="1384" t="s">
        <v>2329</v>
      </c>
      <c r="B1069" s="19" t="s">
        <v>1788</v>
      </c>
      <c r="C1069" s="1383">
        <v>13526</v>
      </c>
      <c r="D1069" s="1236"/>
      <c r="E1069" s="1236"/>
      <c r="F1069" s="1344">
        <f>(1/S1069)*cnst_fish!$C$6</f>
        <v>0.19457670629544385</v>
      </c>
      <c r="G1069" s="1344">
        <f t="shared" si="155"/>
        <v>1</v>
      </c>
      <c r="H1069" s="1344">
        <f t="shared" si="155"/>
        <v>0.367192066876738</v>
      </c>
      <c r="I1069" s="1344">
        <f t="shared" si="148"/>
        <v>0</v>
      </c>
      <c r="J1069" s="902">
        <f t="shared" si="149"/>
        <v>0</v>
      </c>
      <c r="L1069" s="1460">
        <v>74</v>
      </c>
      <c r="M1069" s="1236"/>
      <c r="N1069" s="1240" t="s">
        <v>1806</v>
      </c>
      <c r="O1069" s="1241" t="s">
        <v>4841</v>
      </c>
      <c r="P1069" s="910">
        <f t="shared" si="150"/>
        <v>0</v>
      </c>
      <c r="Q1069" s="910">
        <f t="shared" si="151"/>
        <v>74</v>
      </c>
      <c r="R1069" s="1344">
        <f t="shared" si="152"/>
        <v>3.19</v>
      </c>
      <c r="S1069" s="1344">
        <f>(1/9)*cnst_fish!$C$7*(1/cnst_fish!$C$8)^(R1069-1)</f>
        <v>21.84228565132987</v>
      </c>
      <c r="T1069" s="1362">
        <f t="shared" si="153"/>
        <v>139.64782047251086</v>
      </c>
      <c r="W1069" s="1612"/>
      <c r="X1069" s="1612"/>
      <c r="Y1069" s="1613"/>
      <c r="Z1069" s="1614"/>
      <c r="AA1069" s="1614"/>
      <c r="AB1069" s="1615"/>
      <c r="AC1069" s="1615"/>
      <c r="AD1069" s="583"/>
      <c r="AE1069" s="583"/>
    </row>
    <row r="1070" spans="1:31" ht="14">
      <c r="A1070" s="1384" t="s">
        <v>371</v>
      </c>
      <c r="B1070" s="19" t="s">
        <v>4482</v>
      </c>
      <c r="C1070" s="1383">
        <v>13530</v>
      </c>
      <c r="D1070" s="1236"/>
      <c r="E1070" s="1236"/>
      <c r="F1070" s="1344">
        <f>(1/S1070)*cnst_fish!$C$6</f>
        <v>5.3590874947991168E-2</v>
      </c>
      <c r="G1070" s="1344">
        <f t="shared" si="155"/>
        <v>1</v>
      </c>
      <c r="H1070" s="1344">
        <f t="shared" si="155"/>
        <v>0.367192066876738</v>
      </c>
      <c r="I1070" s="1344">
        <f t="shared" si="148"/>
        <v>0</v>
      </c>
      <c r="J1070" s="902">
        <f t="shared" si="149"/>
        <v>0</v>
      </c>
      <c r="L1070" s="1460">
        <v>1007</v>
      </c>
      <c r="M1070" s="1236"/>
      <c r="N1070" s="1240" t="s">
        <v>1806</v>
      </c>
      <c r="O1070" s="1241" t="s">
        <v>4841</v>
      </c>
      <c r="P1070" s="910">
        <f t="shared" si="150"/>
        <v>0</v>
      </c>
      <c r="Q1070" s="910">
        <f t="shared" si="151"/>
        <v>1007</v>
      </c>
      <c r="R1070" s="1344">
        <f t="shared" si="152"/>
        <v>3.75</v>
      </c>
      <c r="S1070" s="1344">
        <f>(1/9)*cnst_fish!$C$7*(1/cnst_fish!$C$8)^(R1070-1)</f>
        <v>79.304545860177441</v>
      </c>
      <c r="T1070" s="1362">
        <f t="shared" si="153"/>
        <v>6899.7270842045755</v>
      </c>
      <c r="W1070" s="1612"/>
      <c r="X1070" s="1612"/>
      <c r="Y1070" s="1613"/>
      <c r="Z1070" s="1614"/>
      <c r="AA1070" s="1614"/>
      <c r="AB1070" s="1615"/>
      <c r="AC1070" s="1615"/>
      <c r="AD1070" s="583"/>
      <c r="AE1070" s="583"/>
    </row>
    <row r="1071" spans="1:31" ht="14">
      <c r="A1071" s="1384" t="s">
        <v>3136</v>
      </c>
      <c r="B1071" s="19" t="s">
        <v>762</v>
      </c>
      <c r="C1071" s="1383">
        <v>2215</v>
      </c>
      <c r="D1071" s="1236"/>
      <c r="E1071" s="1236"/>
      <c r="F1071" s="1344">
        <f>(1/S1071)*cnst_fish!$C$6</f>
        <v>8.8938714421809756E-2</v>
      </c>
      <c r="G1071" s="1344">
        <f t="shared" si="155"/>
        <v>1</v>
      </c>
      <c r="H1071" s="1344">
        <f t="shared" si="155"/>
        <v>0.367192066876738</v>
      </c>
      <c r="I1071" s="1344">
        <f t="shared" si="148"/>
        <v>0</v>
      </c>
      <c r="J1071" s="902">
        <f t="shared" si="149"/>
        <v>0</v>
      </c>
      <c r="L1071" s="1460">
        <v>15806</v>
      </c>
      <c r="M1071" s="1236"/>
      <c r="N1071" s="1240" t="s">
        <v>1806</v>
      </c>
      <c r="O1071" s="1241" t="s">
        <v>4841</v>
      </c>
      <c r="P1071" s="910">
        <f t="shared" si="150"/>
        <v>0</v>
      </c>
      <c r="Q1071" s="910">
        <f t="shared" si="151"/>
        <v>15806</v>
      </c>
      <c r="R1071" s="1344">
        <f t="shared" si="152"/>
        <v>3.53</v>
      </c>
      <c r="S1071" s="1344">
        <f>(1/9)*cnst_fish!$C$7*(1/cnst_fish!$C$8)^(R1071-1)</f>
        <v>47.785714327323419</v>
      </c>
      <c r="T1071" s="1362">
        <f t="shared" si="153"/>
        <v>65256.596598955221</v>
      </c>
      <c r="W1071" s="1612"/>
      <c r="X1071" s="1612"/>
      <c r="Y1071" s="1613"/>
      <c r="Z1071" s="1614"/>
      <c r="AA1071" s="1614"/>
      <c r="AB1071" s="1615"/>
      <c r="AC1071" s="1615"/>
      <c r="AD1071" s="583"/>
      <c r="AE1071" s="583"/>
    </row>
    <row r="1072" spans="1:31" ht="14">
      <c r="A1072" s="1384" t="s">
        <v>2475</v>
      </c>
      <c r="B1072" s="19" t="s">
        <v>1776</v>
      </c>
      <c r="C1072" s="1383">
        <v>18781</v>
      </c>
      <c r="D1072" s="1236"/>
      <c r="E1072" s="1236"/>
      <c r="F1072" s="1344">
        <f>(1/S1072)*cnst_fish!$C$6</f>
        <v>0.23393265378401026</v>
      </c>
      <c r="G1072" s="1344">
        <f t="shared" si="155"/>
        <v>1</v>
      </c>
      <c r="H1072" s="1344">
        <f t="shared" si="155"/>
        <v>0.367192066876738</v>
      </c>
      <c r="I1072" s="1344">
        <f t="shared" si="148"/>
        <v>0</v>
      </c>
      <c r="J1072" s="902">
        <f t="shared" si="149"/>
        <v>0</v>
      </c>
      <c r="L1072" s="1460"/>
      <c r="M1072" s="1236">
        <v>39190</v>
      </c>
      <c r="N1072" s="1240" t="s">
        <v>1806</v>
      </c>
      <c r="O1072" s="1241" t="s">
        <v>4845</v>
      </c>
      <c r="P1072" s="910">
        <f t="shared" si="150"/>
        <v>0</v>
      </c>
      <c r="Q1072" s="910">
        <f t="shared" si="151"/>
        <v>39190</v>
      </c>
      <c r="R1072" s="1344">
        <f t="shared" si="152"/>
        <v>3.11</v>
      </c>
      <c r="S1072" s="1344">
        <f>(1/9)*cnst_fish!$C$7*(1/cnst_fish!$C$8)^(R1072-1)</f>
        <v>18.16762188285189</v>
      </c>
      <c r="T1072" s="1362">
        <f t="shared" si="153"/>
        <v>61514.529366156246</v>
      </c>
      <c r="W1072" s="1612"/>
      <c r="X1072" s="1612"/>
      <c r="Y1072" s="1613"/>
      <c r="Z1072" s="1614"/>
      <c r="AA1072" s="1614"/>
      <c r="AB1072" s="1615"/>
      <c r="AC1072" s="1615"/>
      <c r="AD1072" s="583"/>
      <c r="AE1072" s="583"/>
    </row>
    <row r="1073" spans="1:31" ht="14">
      <c r="A1073" s="1384" t="s">
        <v>958</v>
      </c>
      <c r="B1073" s="19" t="s">
        <v>1437</v>
      </c>
      <c r="C1073" s="1383">
        <v>3086</v>
      </c>
      <c r="D1073" s="1236"/>
      <c r="E1073" s="1236">
        <v>1146</v>
      </c>
      <c r="F1073" s="1344">
        <f>(1/S1073)*cnst_fish!$C$6</f>
        <v>0.27484690295134895</v>
      </c>
      <c r="G1073" s="1344">
        <f t="shared" si="155"/>
        <v>1</v>
      </c>
      <c r="H1073" s="1344">
        <f t="shared" si="155"/>
        <v>0.367192066876738</v>
      </c>
      <c r="I1073" s="1344">
        <f t="shared" si="148"/>
        <v>0</v>
      </c>
      <c r="J1073" s="902">
        <f t="shared" si="149"/>
        <v>1531.0418422842065</v>
      </c>
      <c r="L1073" s="1460"/>
      <c r="M1073" s="1236">
        <v>1146</v>
      </c>
      <c r="N1073" s="1240" t="s">
        <v>1806</v>
      </c>
      <c r="O1073" s="1241" t="s">
        <v>4845</v>
      </c>
      <c r="P1073" s="910">
        <f t="shared" si="150"/>
        <v>1146</v>
      </c>
      <c r="Q1073" s="910">
        <f t="shared" si="151"/>
        <v>1146</v>
      </c>
      <c r="R1073" s="1344">
        <f t="shared" si="152"/>
        <v>3.04</v>
      </c>
      <c r="S1073" s="1344">
        <f>(1/9)*cnst_fish!$C$7*(1/cnst_fish!$C$8)^(R1073-1)</f>
        <v>15.463154048173134</v>
      </c>
      <c r="T1073" s="1362">
        <f t="shared" si="153"/>
        <v>1531.0418422842065</v>
      </c>
      <c r="W1073" s="1612"/>
      <c r="X1073" s="1612"/>
      <c r="Y1073" s="1613"/>
      <c r="Z1073" s="1614"/>
      <c r="AA1073" s="1614"/>
      <c r="AB1073" s="1615"/>
      <c r="AC1073" s="1615"/>
      <c r="AD1073" s="583"/>
      <c r="AE1073" s="583"/>
    </row>
    <row r="1074" spans="1:31" ht="14">
      <c r="A1074" s="1384" t="s">
        <v>957</v>
      </c>
      <c r="B1074" s="19" t="s">
        <v>1438</v>
      </c>
      <c r="C1074" s="1383">
        <v>13535</v>
      </c>
      <c r="D1074" s="1236"/>
      <c r="E1074" s="1236">
        <v>268</v>
      </c>
      <c r="F1074" s="1344">
        <f>(1/S1074)*cnst_fish!$C$6</f>
        <v>2.7484690295134888E-2</v>
      </c>
      <c r="G1074" s="1344">
        <f t="shared" si="155"/>
        <v>1</v>
      </c>
      <c r="H1074" s="1344">
        <f t="shared" si="155"/>
        <v>0.367192066876738</v>
      </c>
      <c r="I1074" s="1344">
        <f t="shared" si="148"/>
        <v>0</v>
      </c>
      <c r="J1074" s="902">
        <f t="shared" si="149"/>
        <v>3580.4468912056491</v>
      </c>
      <c r="L1074" s="1460"/>
      <c r="M1074" s="1236">
        <v>268</v>
      </c>
      <c r="N1074" s="1240" t="s">
        <v>1806</v>
      </c>
      <c r="O1074" s="1241" t="s">
        <v>4845</v>
      </c>
      <c r="P1074" s="910">
        <f t="shared" si="150"/>
        <v>268</v>
      </c>
      <c r="Q1074" s="910">
        <f t="shared" si="151"/>
        <v>268</v>
      </c>
      <c r="R1074" s="1344">
        <f t="shared" si="152"/>
        <v>4.04</v>
      </c>
      <c r="S1074" s="1344">
        <f>(1/9)*cnst_fish!$C$7*(1/cnst_fish!$C$8)^(R1074-1)</f>
        <v>154.63154048173138</v>
      </c>
      <c r="T1074" s="1362">
        <f t="shared" si="153"/>
        <v>3580.4468912056491</v>
      </c>
      <c r="W1074" s="1612"/>
      <c r="X1074" s="1612"/>
      <c r="Y1074" s="1613"/>
      <c r="Z1074" s="1614"/>
      <c r="AA1074" s="1614"/>
      <c r="AB1074" s="1615"/>
      <c r="AC1074" s="1615"/>
      <c r="AD1074" s="583"/>
      <c r="AE1074" s="583"/>
    </row>
    <row r="1075" spans="1:31" ht="14">
      <c r="A1075" s="1384" t="s">
        <v>2366</v>
      </c>
      <c r="B1075" s="19" t="s">
        <v>535</v>
      </c>
      <c r="C1075" s="1383">
        <v>2289</v>
      </c>
      <c r="D1075" s="1236">
        <v>2742</v>
      </c>
      <c r="E1075" s="1236">
        <v>0</v>
      </c>
      <c r="F1075" s="1344">
        <f>(1/S1075)*cnst_fish!$C$6</f>
        <v>9.5299549485983424E-3</v>
      </c>
      <c r="G1075" s="1344">
        <f t="shared" si="155"/>
        <v>1</v>
      </c>
      <c r="H1075" s="1344">
        <f t="shared" si="155"/>
        <v>0.367192066876738</v>
      </c>
      <c r="I1075" s="1344">
        <f t="shared" si="148"/>
        <v>105650.09517952662</v>
      </c>
      <c r="J1075" s="902">
        <f t="shared" si="149"/>
        <v>0</v>
      </c>
      <c r="L1075" s="1460">
        <v>2742</v>
      </c>
      <c r="M1075" s="1236">
        <v>0</v>
      </c>
      <c r="N1075" s="1240" t="s">
        <v>1806</v>
      </c>
      <c r="O1075" s="1241" t="s">
        <v>4845</v>
      </c>
      <c r="P1075" s="910">
        <f t="shared" si="150"/>
        <v>2742</v>
      </c>
      <c r="Q1075" s="910">
        <f t="shared" si="151"/>
        <v>2742</v>
      </c>
      <c r="R1075" s="1344">
        <f t="shared" si="152"/>
        <v>4.5</v>
      </c>
      <c r="S1075" s="1344">
        <f>(1/9)*cnst_fish!$C$7*(1/cnst_fish!$C$8)^(R1075-1)</f>
        <v>445.96223412630997</v>
      </c>
      <c r="T1075" s="1362">
        <f t="shared" si="153"/>
        <v>105650.09517952662</v>
      </c>
      <c r="W1075" s="1612"/>
      <c r="X1075" s="1612"/>
      <c r="Y1075" s="1613"/>
      <c r="Z1075" s="1614"/>
      <c r="AA1075" s="1614"/>
      <c r="AB1075" s="1615"/>
      <c r="AC1075" s="1615"/>
      <c r="AD1075" s="583"/>
      <c r="AE1075" s="583"/>
    </row>
    <row r="1076" spans="1:31" ht="14">
      <c r="A1076" s="1384" t="s">
        <v>3137</v>
      </c>
      <c r="B1076" s="19" t="s">
        <v>3138</v>
      </c>
      <c r="C1076" s="1383">
        <v>16949</v>
      </c>
      <c r="D1076" s="1236"/>
      <c r="E1076" s="1236"/>
      <c r="F1076" s="1344">
        <f>(1/S1076)*cnst_fish!$C$6</f>
        <v>9.7519361156519751E-3</v>
      </c>
      <c r="G1076" s="1344">
        <f t="shared" si="155"/>
        <v>1</v>
      </c>
      <c r="H1076" s="1344">
        <f t="shared" si="155"/>
        <v>0.367192066876738</v>
      </c>
      <c r="I1076" s="1344">
        <f t="shared" si="148"/>
        <v>0</v>
      </c>
      <c r="J1076" s="902">
        <f t="shared" si="149"/>
        <v>0</v>
      </c>
      <c r="L1076" s="1460">
        <v>12</v>
      </c>
      <c r="M1076" s="1236"/>
      <c r="N1076" s="1240" t="s">
        <v>5368</v>
      </c>
      <c r="O1076" s="1241" t="s">
        <v>4835</v>
      </c>
      <c r="P1076" s="910">
        <f t="shared" si="150"/>
        <v>0</v>
      </c>
      <c r="Q1076" s="910">
        <f t="shared" si="151"/>
        <v>12</v>
      </c>
      <c r="R1076" s="1344">
        <f t="shared" si="152"/>
        <v>4.49</v>
      </c>
      <c r="S1076" s="1344">
        <f>(1/9)*cnst_fish!$C$7*(1/cnst_fish!$C$8)^(R1076-1)</f>
        <v>435.81089432883982</v>
      </c>
      <c r="T1076" s="1362">
        <f t="shared" si="153"/>
        <v>451.83897333460624</v>
      </c>
      <c r="W1076" s="1612"/>
      <c r="X1076" s="1612"/>
      <c r="Y1076" s="1613"/>
      <c r="Z1076" s="1614"/>
      <c r="AA1076" s="1614"/>
      <c r="AB1076" s="1615"/>
      <c r="AC1076" s="1615"/>
      <c r="AD1076" s="583"/>
      <c r="AE1076" s="583"/>
    </row>
    <row r="1077" spans="1:31" ht="14">
      <c r="A1077" s="1384" t="s">
        <v>4007</v>
      </c>
      <c r="B1077" s="19" t="s">
        <v>4008</v>
      </c>
      <c r="C1077" s="1383">
        <v>16953</v>
      </c>
      <c r="D1077" s="1236">
        <v>0</v>
      </c>
      <c r="E1077" s="1236"/>
      <c r="F1077" s="1344">
        <f>(1/S1077)*cnst_fish!$C$6</f>
        <v>0.14481532779905856</v>
      </c>
      <c r="G1077" s="1344">
        <f t="shared" si="155"/>
        <v>1</v>
      </c>
      <c r="H1077" s="1344">
        <f t="shared" si="155"/>
        <v>0.367192066876738</v>
      </c>
      <c r="I1077" s="1344">
        <f t="shared" si="148"/>
        <v>0</v>
      </c>
      <c r="J1077" s="902">
        <f t="shared" si="149"/>
        <v>0</v>
      </c>
      <c r="L1077" s="1460">
        <v>0</v>
      </c>
      <c r="M1077" s="1236"/>
      <c r="N1077" s="1240" t="s">
        <v>5368</v>
      </c>
      <c r="O1077" s="1241" t="s">
        <v>4835</v>
      </c>
      <c r="P1077" s="910">
        <f t="shared" si="150"/>
        <v>0</v>
      </c>
      <c r="Q1077" s="910">
        <f t="shared" si="151"/>
        <v>0</v>
      </c>
      <c r="R1077" s="1344">
        <f t="shared" si="152"/>
        <v>3.3182763159269002</v>
      </c>
      <c r="S1077" s="1344">
        <f>(1/9)*cnst_fish!$C$7*(1/cnst_fish!$C$8)^(R1077-1)</f>
        <v>29.347722127157517</v>
      </c>
      <c r="T1077" s="1362">
        <f t="shared" si="153"/>
        <v>0</v>
      </c>
      <c r="W1077" s="1612"/>
      <c r="X1077" s="1612"/>
      <c r="Y1077" s="1613"/>
      <c r="Z1077" s="1614"/>
      <c r="AA1077" s="1614"/>
      <c r="AB1077" s="1615"/>
      <c r="AC1077" s="1615"/>
      <c r="AD1077" s="583"/>
      <c r="AE1077" s="583"/>
    </row>
    <row r="1078" spans="1:31" ht="14">
      <c r="A1078" s="1384" t="s">
        <v>2667</v>
      </c>
      <c r="B1078" s="19" t="s">
        <v>1789</v>
      </c>
      <c r="C1078" s="1383">
        <v>3050</v>
      </c>
      <c r="D1078" s="1236">
        <v>6220</v>
      </c>
      <c r="E1078" s="1236"/>
      <c r="F1078" s="1344">
        <f>(1/S1078)*cnst_fish!$C$6</f>
        <v>2.2340394999204931</v>
      </c>
      <c r="G1078" s="1344">
        <f t="shared" si="155"/>
        <v>1</v>
      </c>
      <c r="H1078" s="1344">
        <f t="shared" si="155"/>
        <v>0.367192066876738</v>
      </c>
      <c r="I1078" s="1344">
        <f t="shared" si="148"/>
        <v>1022.334052757166</v>
      </c>
      <c r="J1078" s="902">
        <f t="shared" si="149"/>
        <v>0</v>
      </c>
      <c r="L1078" s="1460">
        <v>133349</v>
      </c>
      <c r="M1078" s="1236">
        <v>216</v>
      </c>
      <c r="N1078" s="1240" t="s">
        <v>1806</v>
      </c>
      <c r="O1078" s="1241" t="s">
        <v>4841</v>
      </c>
      <c r="P1078" s="910">
        <f t="shared" si="150"/>
        <v>6220</v>
      </c>
      <c r="Q1078" s="910">
        <f t="shared" si="151"/>
        <v>133565</v>
      </c>
      <c r="R1078" s="1344">
        <f t="shared" si="152"/>
        <v>2.13</v>
      </c>
      <c r="S1078" s="1344">
        <f>(1/9)*cnst_fish!$C$7*(1/cnst_fish!$C$8)^(R1078-1)</f>
        <v>1.9023835523728443</v>
      </c>
      <c r="T1078" s="1362">
        <f t="shared" si="153"/>
        <v>21953.062340275064</v>
      </c>
      <c r="W1078" s="1612"/>
      <c r="X1078" s="1612"/>
      <c r="Y1078" s="1613"/>
      <c r="Z1078" s="1614"/>
      <c r="AA1078" s="1614"/>
      <c r="AB1078" s="1615"/>
      <c r="AC1078" s="1615"/>
      <c r="AD1078" s="583"/>
      <c r="AE1078" s="583"/>
    </row>
    <row r="1079" spans="1:31" ht="14">
      <c r="A1079" s="1384" t="s">
        <v>34</v>
      </c>
      <c r="B1079" s="19" t="s">
        <v>35</v>
      </c>
      <c r="C1079" s="1383">
        <v>3051</v>
      </c>
      <c r="D1079" s="1236">
        <v>100</v>
      </c>
      <c r="E1079" s="1236"/>
      <c r="F1079" s="1344">
        <f>(1/S1079)*cnst_fish!$C$6</f>
        <v>2.9450376249713766</v>
      </c>
      <c r="G1079" s="1344">
        <f t="shared" si="155"/>
        <v>1</v>
      </c>
      <c r="H1079" s="1344">
        <f t="shared" si="155"/>
        <v>0.367192066876738</v>
      </c>
      <c r="I1079" s="1344">
        <f t="shared" si="148"/>
        <v>12.468162164152549</v>
      </c>
      <c r="J1079" s="902">
        <f t="shared" si="149"/>
        <v>0</v>
      </c>
      <c r="L1079" s="1460">
        <v>4680</v>
      </c>
      <c r="M1079" s="1236"/>
      <c r="N1079" s="1240" t="s">
        <v>1806</v>
      </c>
      <c r="O1079" s="1241" t="s">
        <v>4841</v>
      </c>
      <c r="P1079" s="910">
        <f t="shared" si="150"/>
        <v>100</v>
      </c>
      <c r="Q1079" s="910">
        <f t="shared" si="151"/>
        <v>4680</v>
      </c>
      <c r="R1079" s="1344">
        <f t="shared" si="152"/>
        <v>2.0099999999999998</v>
      </c>
      <c r="S1079" s="1344">
        <f>(1/9)*cnst_fish!$C$7*(1/cnst_fish!$C$8)^(R1079-1)</f>
        <v>1.4431055019343959</v>
      </c>
      <c r="T1079" s="1362">
        <f t="shared" si="153"/>
        <v>583.50998928233923</v>
      </c>
      <c r="W1079" s="1612"/>
      <c r="X1079" s="1612"/>
      <c r="Y1079" s="1613"/>
      <c r="Z1079" s="1614"/>
      <c r="AA1079" s="1614"/>
      <c r="AB1079" s="1615"/>
      <c r="AC1079" s="1615"/>
      <c r="AD1079" s="583"/>
      <c r="AE1079" s="583"/>
    </row>
    <row r="1080" spans="1:31" ht="14">
      <c r="A1080" s="1384" t="s">
        <v>1653</v>
      </c>
      <c r="B1080" s="19" t="s">
        <v>1654</v>
      </c>
      <c r="C1080" s="1383">
        <v>3052</v>
      </c>
      <c r="D1080" s="1236"/>
      <c r="E1080" s="1236"/>
      <c r="F1080" s="1344">
        <f>(1/S1080)*cnst_fish!$C$6</f>
        <v>2.9450376249713766</v>
      </c>
      <c r="G1080" s="1344">
        <f t="shared" si="155"/>
        <v>1</v>
      </c>
      <c r="H1080" s="1344">
        <f t="shared" si="155"/>
        <v>0.367192066876738</v>
      </c>
      <c r="I1080" s="1344">
        <f t="shared" si="148"/>
        <v>0</v>
      </c>
      <c r="J1080" s="902">
        <f t="shared" si="149"/>
        <v>0</v>
      </c>
      <c r="L1080" s="1460">
        <v>115</v>
      </c>
      <c r="M1080" s="1236"/>
      <c r="N1080" s="1240" t="s">
        <v>1806</v>
      </c>
      <c r="O1080" s="1241" t="s">
        <v>4841</v>
      </c>
      <c r="P1080" s="910">
        <f t="shared" si="150"/>
        <v>0</v>
      </c>
      <c r="Q1080" s="910">
        <f t="shared" si="151"/>
        <v>115</v>
      </c>
      <c r="R1080" s="1344">
        <f t="shared" si="152"/>
        <v>2.0099999999999998</v>
      </c>
      <c r="S1080" s="1344">
        <f>(1/9)*cnst_fish!$C$7*(1/cnst_fish!$C$8)^(R1080-1)</f>
        <v>1.4431055019343959</v>
      </c>
      <c r="T1080" s="1362">
        <f t="shared" si="153"/>
        <v>14.338386488775431</v>
      </c>
      <c r="W1080" s="1612"/>
      <c r="X1080" s="1612"/>
      <c r="Y1080" s="1613"/>
      <c r="Z1080" s="1614"/>
      <c r="AA1080" s="1614"/>
      <c r="AB1080" s="1615"/>
      <c r="AC1080" s="1615"/>
      <c r="AD1080" s="583"/>
      <c r="AE1080" s="583"/>
    </row>
    <row r="1081" spans="1:31" ht="14">
      <c r="A1081" s="1384" t="s">
        <v>2779</v>
      </c>
      <c r="B1081" s="19" t="s">
        <v>1790</v>
      </c>
      <c r="C1081" s="1383">
        <v>2257</v>
      </c>
      <c r="D1081" s="1236"/>
      <c r="E1081" s="1236"/>
      <c r="F1081" s="1344">
        <f>(1/S1081)*cnst_fish!$C$6</f>
        <v>3.0136363636363641</v>
      </c>
      <c r="G1081" s="1344">
        <f t="shared" si="155"/>
        <v>1</v>
      </c>
      <c r="H1081" s="1344">
        <f t="shared" si="155"/>
        <v>0.367192066876738</v>
      </c>
      <c r="I1081" s="1344">
        <f t="shared" si="148"/>
        <v>0</v>
      </c>
      <c r="J1081" s="902">
        <f t="shared" si="149"/>
        <v>0</v>
      </c>
      <c r="L1081" s="1460">
        <v>2063</v>
      </c>
      <c r="M1081" s="1236"/>
      <c r="N1081" s="1240" t="s">
        <v>1806</v>
      </c>
      <c r="O1081" s="1241" t="s">
        <v>4841</v>
      </c>
      <c r="P1081" s="910">
        <f t="shared" si="150"/>
        <v>0</v>
      </c>
      <c r="Q1081" s="910">
        <f t="shared" si="151"/>
        <v>2063</v>
      </c>
      <c r="R1081" s="1344">
        <f t="shared" si="152"/>
        <v>2</v>
      </c>
      <c r="S1081" s="1344">
        <f>(1/9)*cnst_fish!$C$7*(1/cnst_fish!$C$8)^(R1081-1)</f>
        <v>1.4102564102564099</v>
      </c>
      <c r="T1081" s="1362">
        <f t="shared" si="153"/>
        <v>251.36318472500196</v>
      </c>
      <c r="W1081" s="1612"/>
      <c r="X1081" s="1612"/>
      <c r="Y1081" s="1613"/>
      <c r="Z1081" s="1614"/>
      <c r="AA1081" s="1614"/>
      <c r="AB1081" s="1615"/>
      <c r="AC1081" s="1615"/>
      <c r="AD1081" s="583"/>
      <c r="AE1081" s="583"/>
    </row>
    <row r="1082" spans="1:31" ht="14">
      <c r="A1082" s="1384" t="s">
        <v>3988</v>
      </c>
      <c r="B1082" s="19" t="s">
        <v>1791</v>
      </c>
      <c r="C1082" s="1383">
        <v>2258</v>
      </c>
      <c r="D1082" s="1236"/>
      <c r="E1082" s="1236"/>
      <c r="F1082" s="1344">
        <f>(1/S1082)*cnst_fish!$C$6</f>
        <v>0.97519361156519724</v>
      </c>
      <c r="G1082" s="1344">
        <f t="shared" si="155"/>
        <v>1</v>
      </c>
      <c r="H1082" s="1344">
        <f t="shared" si="155"/>
        <v>0.367192066876738</v>
      </c>
      <c r="I1082" s="1344">
        <f t="shared" si="148"/>
        <v>0</v>
      </c>
      <c r="J1082" s="902">
        <f t="shared" si="149"/>
        <v>0</v>
      </c>
      <c r="L1082" s="1460">
        <v>353</v>
      </c>
      <c r="M1082" s="1236"/>
      <c r="N1082" s="1240" t="s">
        <v>1806</v>
      </c>
      <c r="O1082" s="1241" t="s">
        <v>4841</v>
      </c>
      <c r="P1082" s="910">
        <f t="shared" si="150"/>
        <v>0</v>
      </c>
      <c r="Q1082" s="910">
        <f t="shared" si="151"/>
        <v>353</v>
      </c>
      <c r="R1082" s="1344">
        <f t="shared" si="152"/>
        <v>2.4900000000000002</v>
      </c>
      <c r="S1082" s="1344">
        <f>(1/9)*cnst_fish!$C$7*(1/cnst_fish!$C$8)^(R1082-1)</f>
        <v>4.3581089432883999</v>
      </c>
      <c r="T1082" s="1362">
        <f t="shared" si="153"/>
        <v>132.91596465593003</v>
      </c>
      <c r="W1082" s="1612"/>
      <c r="X1082" s="1612"/>
      <c r="Y1082" s="1613"/>
      <c r="Z1082" s="1614"/>
      <c r="AA1082" s="1614"/>
      <c r="AB1082" s="1615"/>
      <c r="AC1082" s="1615"/>
      <c r="AD1082" s="583"/>
      <c r="AE1082" s="583"/>
    </row>
    <row r="1083" spans="1:31" ht="14">
      <c r="A1083" s="1384" t="s">
        <v>1964</v>
      </c>
      <c r="B1083" s="19" t="s">
        <v>1792</v>
      </c>
      <c r="C1083" s="1383">
        <v>2256</v>
      </c>
      <c r="D1083" s="1236">
        <v>99</v>
      </c>
      <c r="E1083" s="1236">
        <v>0</v>
      </c>
      <c r="F1083" s="1344">
        <f>(1/S1083)*cnst_fish!$C$6</f>
        <v>1.1196720767792059</v>
      </c>
      <c r="G1083" s="1344">
        <f t="shared" si="155"/>
        <v>1</v>
      </c>
      <c r="H1083" s="1344">
        <f t="shared" si="155"/>
        <v>0.367192066876738</v>
      </c>
      <c r="I1083" s="1344">
        <f t="shared" si="148"/>
        <v>32.466661779550215</v>
      </c>
      <c r="J1083" s="902">
        <f t="shared" si="149"/>
        <v>0</v>
      </c>
      <c r="L1083" s="1460">
        <v>219423</v>
      </c>
      <c r="M1083" s="1236">
        <v>51896</v>
      </c>
      <c r="N1083" s="1240" t="s">
        <v>1806</v>
      </c>
      <c r="O1083" s="1241" t="s">
        <v>4841</v>
      </c>
      <c r="P1083" s="910">
        <f t="shared" si="150"/>
        <v>99</v>
      </c>
      <c r="Q1083" s="910">
        <f t="shared" si="151"/>
        <v>271319</v>
      </c>
      <c r="R1083" s="1344">
        <f t="shared" si="152"/>
        <v>2.4300000000000002</v>
      </c>
      <c r="S1083" s="1344">
        <f>(1/9)*cnst_fish!$C$7*(1/cnst_fish!$C$8)^(R1083-1)</f>
        <v>3.7957542106661646</v>
      </c>
      <c r="T1083" s="1362">
        <f t="shared" si="153"/>
        <v>88978.0020946039</v>
      </c>
      <c r="W1083" s="1612"/>
      <c r="X1083" s="1612"/>
      <c r="Y1083" s="1613"/>
      <c r="Z1083" s="1614"/>
      <c r="AA1083" s="1614"/>
      <c r="AB1083" s="1615"/>
      <c r="AC1083" s="1615"/>
      <c r="AD1083" s="583"/>
      <c r="AE1083" s="583"/>
    </row>
    <row r="1084" spans="1:31" ht="14">
      <c r="A1084" s="1384" t="s">
        <v>1711</v>
      </c>
      <c r="B1084" s="19" t="s">
        <v>156</v>
      </c>
      <c r="C1084" s="1383">
        <v>3539</v>
      </c>
      <c r="D1084" s="1236"/>
      <c r="E1084" s="1236"/>
      <c r="F1084" s="1344">
        <f>(1/S1084)*cnst_fish!$C$6</f>
        <v>2.3938164528281742</v>
      </c>
      <c r="G1084" s="1344">
        <f t="shared" si="155"/>
        <v>1</v>
      </c>
      <c r="H1084" s="1344">
        <f t="shared" si="155"/>
        <v>0.367192066876738</v>
      </c>
      <c r="I1084" s="1344">
        <f t="shared" si="148"/>
        <v>0</v>
      </c>
      <c r="J1084" s="902">
        <f t="shared" si="149"/>
        <v>0</v>
      </c>
      <c r="L1084" s="1460">
        <v>935</v>
      </c>
      <c r="M1084" s="1236"/>
      <c r="N1084" s="1240" t="s">
        <v>1804</v>
      </c>
      <c r="O1084" s="1241" t="s">
        <v>4851</v>
      </c>
      <c r="P1084" s="910">
        <f t="shared" si="150"/>
        <v>0</v>
      </c>
      <c r="Q1084" s="910">
        <f t="shared" si="151"/>
        <v>935</v>
      </c>
      <c r="R1084" s="1344">
        <f t="shared" si="152"/>
        <v>2.1</v>
      </c>
      <c r="S1084" s="1344">
        <f>(1/9)*cnst_fish!$C$7*(1/cnst_fish!$C$8)^(R1084-1)</f>
        <v>1.7754076320174161</v>
      </c>
      <c r="T1084" s="1362">
        <f t="shared" si="153"/>
        <v>143.42143154882623</v>
      </c>
      <c r="W1084" s="1612"/>
      <c r="X1084" s="1612"/>
      <c r="Y1084" s="1613"/>
      <c r="Z1084" s="1614"/>
      <c r="AA1084" s="1614"/>
      <c r="AB1084" s="1615"/>
      <c r="AC1084" s="1615"/>
      <c r="AD1084" s="583"/>
      <c r="AE1084" s="583"/>
    </row>
    <row r="1085" spans="1:31" ht="14">
      <c r="A1085" s="1384" t="s">
        <v>4099</v>
      </c>
      <c r="B1085" s="19" t="s">
        <v>1793</v>
      </c>
      <c r="C1085" s="1383">
        <v>3206</v>
      </c>
      <c r="D1085" s="1236">
        <v>43</v>
      </c>
      <c r="E1085" s="1236"/>
      <c r="F1085" s="1344">
        <f>(1/S1085)*cnst_fish!$C$6</f>
        <v>9.9790878883162681E-2</v>
      </c>
      <c r="G1085" s="1344">
        <f t="shared" si="155"/>
        <v>1</v>
      </c>
      <c r="H1085" s="1344">
        <f t="shared" si="155"/>
        <v>0.367192066876738</v>
      </c>
      <c r="I1085" s="1344">
        <f t="shared" si="148"/>
        <v>158.22346743920494</v>
      </c>
      <c r="J1085" s="902">
        <f t="shared" si="149"/>
        <v>0</v>
      </c>
      <c r="L1085" s="1460">
        <v>34182</v>
      </c>
      <c r="M1085" s="1236"/>
      <c r="N1085" s="1240" t="s">
        <v>1806</v>
      </c>
      <c r="O1085" s="1241" t="s">
        <v>4841</v>
      </c>
      <c r="P1085" s="910">
        <f t="shared" si="150"/>
        <v>43</v>
      </c>
      <c r="Q1085" s="910">
        <f t="shared" si="151"/>
        <v>34182</v>
      </c>
      <c r="R1085" s="1344">
        <f t="shared" si="152"/>
        <v>3.48</v>
      </c>
      <c r="S1085" s="1344">
        <f>(1/9)*cnst_fish!$C$7*(1/cnst_fish!$C$8)^(R1085-1)</f>
        <v>42.589062723618177</v>
      </c>
      <c r="T1085" s="1362">
        <f t="shared" si="153"/>
        <v>125776.61776760239</v>
      </c>
      <c r="W1085" s="1612"/>
      <c r="X1085" s="1612"/>
      <c r="Y1085" s="1613"/>
      <c r="Z1085" s="1614"/>
      <c r="AA1085" s="1614"/>
      <c r="AB1085" s="1615"/>
      <c r="AC1085" s="1615"/>
      <c r="AD1085" s="583"/>
      <c r="AE1085" s="583"/>
    </row>
    <row r="1086" spans="1:31" ht="14">
      <c r="A1086" s="1384" t="s">
        <v>4689</v>
      </c>
      <c r="B1086" s="19" t="s">
        <v>1794</v>
      </c>
      <c r="C1086" s="1383">
        <v>13544</v>
      </c>
      <c r="D1086" s="1236"/>
      <c r="E1086" s="1236"/>
      <c r="F1086" s="1344">
        <f>(1/S1086)*cnst_fish!$C$6</f>
        <v>0.16184185499703521</v>
      </c>
      <c r="G1086" s="1344">
        <f t="shared" si="155"/>
        <v>1</v>
      </c>
      <c r="H1086" s="1344">
        <f t="shared" si="155"/>
        <v>0.367192066876738</v>
      </c>
      <c r="I1086" s="1344">
        <f t="shared" si="148"/>
        <v>0</v>
      </c>
      <c r="J1086" s="902">
        <f t="shared" si="149"/>
        <v>0</v>
      </c>
      <c r="L1086" s="1460">
        <v>191</v>
      </c>
      <c r="M1086" s="1236"/>
      <c r="N1086" s="1240" t="s">
        <v>1806</v>
      </c>
      <c r="O1086" s="1241" t="s">
        <v>4841</v>
      </c>
      <c r="P1086" s="910">
        <f t="shared" si="150"/>
        <v>0</v>
      </c>
      <c r="Q1086" s="910">
        <f t="shared" si="151"/>
        <v>191</v>
      </c>
      <c r="R1086" s="1344">
        <f t="shared" si="152"/>
        <v>3.27</v>
      </c>
      <c r="S1086" s="1344">
        <f>(1/9)*cnst_fish!$C$7*(1/cnst_fish!$C$8)^(R1086-1)</f>
        <v>26.260203209348141</v>
      </c>
      <c r="T1086" s="1362">
        <f t="shared" si="153"/>
        <v>433.34701505208119</v>
      </c>
      <c r="W1086" s="1612"/>
      <c r="X1086" s="1612"/>
      <c r="Y1086" s="1613"/>
      <c r="Z1086" s="1614"/>
      <c r="AA1086" s="1614"/>
      <c r="AB1086" s="1615"/>
      <c r="AC1086" s="1615"/>
      <c r="AD1086" s="583"/>
      <c r="AE1086" s="583"/>
    </row>
    <row r="1087" spans="1:31" ht="14">
      <c r="A1087" s="1384" t="s">
        <v>3665</v>
      </c>
      <c r="B1087" s="19" t="s">
        <v>2248</v>
      </c>
      <c r="C1087" s="1383">
        <v>18766</v>
      </c>
      <c r="D1087" s="1236"/>
      <c r="E1087" s="1236"/>
      <c r="F1087" s="1344">
        <f>(1/S1087)*cnst_fish!$C$6</f>
        <v>0.10692785320993656</v>
      </c>
      <c r="G1087" s="1344">
        <f t="shared" si="155"/>
        <v>1</v>
      </c>
      <c r="H1087" s="1344">
        <f t="shared" si="155"/>
        <v>0.367192066876738</v>
      </c>
      <c r="I1087" s="1344">
        <f t="shared" si="148"/>
        <v>0</v>
      </c>
      <c r="J1087" s="902">
        <f t="shared" si="149"/>
        <v>0</v>
      </c>
      <c r="L1087" s="1460">
        <v>75</v>
      </c>
      <c r="M1087" s="1236"/>
      <c r="N1087" s="1240" t="s">
        <v>1806</v>
      </c>
      <c r="O1087" s="1241" t="s">
        <v>4841</v>
      </c>
      <c r="P1087" s="910">
        <f t="shared" si="150"/>
        <v>0</v>
      </c>
      <c r="Q1087" s="910">
        <f t="shared" si="151"/>
        <v>75</v>
      </c>
      <c r="R1087" s="1344">
        <f t="shared" si="152"/>
        <v>3.45</v>
      </c>
      <c r="S1087" s="1344">
        <f>(1/9)*cnst_fish!$C$7*(1/cnst_fish!$C$8)^(R1087-1)</f>
        <v>39.746425953729492</v>
      </c>
      <c r="T1087" s="1362">
        <f t="shared" si="153"/>
        <v>257.55127582787924</v>
      </c>
      <c r="W1087" s="1612"/>
      <c r="X1087" s="1612"/>
      <c r="Y1087" s="1613"/>
      <c r="Z1087" s="1614"/>
      <c r="AA1087" s="1614"/>
      <c r="AB1087" s="1615"/>
      <c r="AC1087" s="1615"/>
      <c r="AD1087" s="583"/>
      <c r="AE1087" s="583"/>
    </row>
    <row r="1088" spans="1:31" ht="14">
      <c r="A1088" s="1384" t="s">
        <v>486</v>
      </c>
      <c r="B1088" s="19" t="s">
        <v>2249</v>
      </c>
      <c r="C1088" s="1383">
        <v>3208</v>
      </c>
      <c r="D1088" s="1236"/>
      <c r="E1088" s="1236"/>
      <c r="F1088" s="1344">
        <f>(1/S1088)*cnst_fish!$C$6</f>
        <v>0.2133491159303107</v>
      </c>
      <c r="G1088" s="1344">
        <f t="shared" ref="G1088:H1107" si="156">G$7</f>
        <v>1</v>
      </c>
      <c r="H1088" s="1344">
        <f t="shared" si="156"/>
        <v>0.367192066876738</v>
      </c>
      <c r="I1088" s="1344">
        <f t="shared" si="148"/>
        <v>0</v>
      </c>
      <c r="J1088" s="902">
        <f t="shared" si="149"/>
        <v>0</v>
      </c>
      <c r="L1088" s="1460">
        <v>13944</v>
      </c>
      <c r="M1088" s="1236"/>
      <c r="N1088" s="1240" t="s">
        <v>1806</v>
      </c>
      <c r="O1088" s="1241" t="s">
        <v>4841</v>
      </c>
      <c r="P1088" s="910">
        <f t="shared" si="150"/>
        <v>0</v>
      </c>
      <c r="Q1088" s="910">
        <f t="shared" si="151"/>
        <v>13944</v>
      </c>
      <c r="R1088" s="1344">
        <f t="shared" si="152"/>
        <v>3.15</v>
      </c>
      <c r="S1088" s="1344">
        <f>(1/9)*cnst_fish!$C$7*(1/cnst_fish!$C$8)^(R1088-1)</f>
        <v>19.920401270320887</v>
      </c>
      <c r="T1088" s="1362">
        <f t="shared" si="153"/>
        <v>23998.816016663015</v>
      </c>
      <c r="W1088" s="1612"/>
      <c r="X1088" s="1612"/>
      <c r="Y1088" s="1613"/>
      <c r="Z1088" s="1614"/>
      <c r="AA1088" s="1614"/>
      <c r="AB1088" s="1615"/>
      <c r="AC1088" s="1615"/>
      <c r="AD1088" s="583"/>
      <c r="AE1088" s="583"/>
    </row>
    <row r="1089" spans="1:31" ht="14">
      <c r="A1089" s="1384" t="s">
        <v>4227</v>
      </c>
      <c r="B1089" s="19" t="s">
        <v>5185</v>
      </c>
      <c r="C1089" s="1383">
        <v>2401</v>
      </c>
      <c r="D1089" s="1236"/>
      <c r="E1089" s="1236"/>
      <c r="F1089" s="1344">
        <f>(1/S1089)*cnst_fish!$C$6</f>
        <v>0.13774975896121011</v>
      </c>
      <c r="G1089" s="1344">
        <f t="shared" si="156"/>
        <v>1</v>
      </c>
      <c r="H1089" s="1344">
        <f t="shared" si="156"/>
        <v>0.367192066876738</v>
      </c>
      <c r="I1089" s="1344">
        <f t="shared" si="148"/>
        <v>0</v>
      </c>
      <c r="J1089" s="902">
        <f t="shared" si="149"/>
        <v>0</v>
      </c>
      <c r="L1089" s="1460">
        <v>10093</v>
      </c>
      <c r="M1089" s="1236"/>
      <c r="N1089" s="1240" t="s">
        <v>1806</v>
      </c>
      <c r="O1089" s="1241" t="s">
        <v>4841</v>
      </c>
      <c r="P1089" s="910">
        <f t="shared" si="150"/>
        <v>0</v>
      </c>
      <c r="Q1089" s="910">
        <f t="shared" si="151"/>
        <v>10093</v>
      </c>
      <c r="R1089" s="1344">
        <f t="shared" si="152"/>
        <v>3.34</v>
      </c>
      <c r="S1089" s="1344">
        <f>(1/9)*cnst_fish!$C$7*(1/cnst_fish!$C$8)^(R1089-1)</f>
        <v>30.853048542878295</v>
      </c>
      <c r="T1089" s="1362">
        <f t="shared" si="153"/>
        <v>26904.363092428594</v>
      </c>
      <c r="W1089" s="1612"/>
      <c r="X1089" s="1612"/>
      <c r="Y1089" s="1613"/>
      <c r="Z1089" s="1614"/>
      <c r="AA1089" s="1614"/>
      <c r="AB1089" s="1615"/>
      <c r="AC1089" s="1615"/>
      <c r="AD1089" s="583"/>
      <c r="AE1089" s="583"/>
    </row>
    <row r="1090" spans="1:31" ht="14">
      <c r="A1090" s="1384" t="s">
        <v>3189</v>
      </c>
      <c r="B1090" s="19" t="s">
        <v>5186</v>
      </c>
      <c r="C1090" s="1383">
        <v>3207</v>
      </c>
      <c r="D1090" s="1236"/>
      <c r="E1090" s="1236"/>
      <c r="F1090" s="1344">
        <f>(1/S1090)*cnst_fish!$C$6</f>
        <v>0.11457525898206007</v>
      </c>
      <c r="G1090" s="1344">
        <f t="shared" si="156"/>
        <v>1</v>
      </c>
      <c r="H1090" s="1344">
        <f t="shared" si="156"/>
        <v>0.367192066876738</v>
      </c>
      <c r="I1090" s="1344">
        <f t="shared" si="148"/>
        <v>0</v>
      </c>
      <c r="J1090" s="902">
        <f t="shared" si="149"/>
        <v>0</v>
      </c>
      <c r="L1090" s="1460">
        <v>8914</v>
      </c>
      <c r="M1090" s="1236"/>
      <c r="N1090" s="1240" t="s">
        <v>1806</v>
      </c>
      <c r="O1090" s="1241" t="s">
        <v>4841</v>
      </c>
      <c r="P1090" s="910">
        <f t="shared" si="150"/>
        <v>0</v>
      </c>
      <c r="Q1090" s="910">
        <f t="shared" si="151"/>
        <v>8914</v>
      </c>
      <c r="R1090" s="1344">
        <f t="shared" si="152"/>
        <v>3.42</v>
      </c>
      <c r="S1090" s="1344">
        <f>(1/9)*cnst_fish!$C$7*(1/cnst_fish!$C$8)^(R1090-1)</f>
        <v>37.093522962627169</v>
      </c>
      <c r="T1090" s="1362">
        <f t="shared" si="153"/>
        <v>28567.68654262213</v>
      </c>
      <c r="W1090" s="1612"/>
      <c r="X1090" s="1612"/>
      <c r="Y1090" s="1613"/>
      <c r="Z1090" s="1614"/>
      <c r="AA1090" s="1614"/>
      <c r="AB1090" s="1615"/>
      <c r="AC1090" s="1615"/>
      <c r="AD1090" s="583"/>
      <c r="AE1090" s="583"/>
    </row>
    <row r="1091" spans="1:31" ht="14">
      <c r="A1091" s="1384" t="s">
        <v>3139</v>
      </c>
      <c r="B1091" s="19" t="s">
        <v>3140</v>
      </c>
      <c r="C1091" s="1383">
        <v>16910</v>
      </c>
      <c r="D1091" s="1236"/>
      <c r="E1091" s="1236"/>
      <c r="F1091" s="1344">
        <f>(1/S1091)*cnst_fish!$C$6</f>
        <v>2.4296179854146147</v>
      </c>
      <c r="G1091" s="1344">
        <f t="shared" si="156"/>
        <v>1</v>
      </c>
      <c r="H1091" s="1344">
        <f t="shared" si="156"/>
        <v>0.367192066876738</v>
      </c>
      <c r="I1091" s="1344">
        <f t="shared" si="148"/>
        <v>0</v>
      </c>
      <c r="J1091" s="902">
        <f t="shared" si="149"/>
        <v>0</v>
      </c>
      <c r="L1091" s="1460">
        <v>0</v>
      </c>
      <c r="M1091" s="1236"/>
      <c r="N1091" s="1240" t="s">
        <v>3932</v>
      </c>
      <c r="O1091" s="1241" t="s">
        <v>4840</v>
      </c>
      <c r="P1091" s="910">
        <f t="shared" si="150"/>
        <v>0</v>
      </c>
      <c r="Q1091" s="910">
        <f t="shared" si="151"/>
        <v>0</v>
      </c>
      <c r="R1091" s="1344">
        <f t="shared" si="152"/>
        <v>2.0935528537656198</v>
      </c>
      <c r="S1091" s="1344">
        <f>(1/9)*cnst_fish!$C$7*(1/cnst_fish!$C$8)^(R1091-1)</f>
        <v>1.7492461882952093</v>
      </c>
      <c r="T1091" s="1362">
        <f t="shared" si="153"/>
        <v>0</v>
      </c>
      <c r="W1091" s="1612"/>
      <c r="X1091" s="1612"/>
      <c r="Y1091" s="1613"/>
      <c r="Z1091" s="1614"/>
      <c r="AA1091" s="1614"/>
      <c r="AB1091" s="1615"/>
      <c r="AC1091" s="1615"/>
      <c r="AD1091" s="583"/>
      <c r="AE1091" s="583"/>
    </row>
    <row r="1092" spans="1:31" ht="14">
      <c r="A1092" s="1384" t="s">
        <v>6712</v>
      </c>
      <c r="B1092" s="19" t="s">
        <v>6711</v>
      </c>
      <c r="C1092" s="1383">
        <v>13548</v>
      </c>
      <c r="D1092" s="1236"/>
      <c r="E1092" s="1236"/>
      <c r="F1092" s="1344">
        <f>(1/S1092)*cnst_fish!$C$6</f>
        <v>1.9014759972289439E-2</v>
      </c>
      <c r="G1092" s="1344">
        <f t="shared" si="156"/>
        <v>1</v>
      </c>
      <c r="H1092" s="1344">
        <f t="shared" si="156"/>
        <v>0.367192066876738</v>
      </c>
      <c r="I1092" s="1344">
        <f t="shared" si="148"/>
        <v>0</v>
      </c>
      <c r="J1092" s="902">
        <f t="shared" si="149"/>
        <v>0</v>
      </c>
      <c r="L1092" s="1460">
        <v>29</v>
      </c>
      <c r="M1092" s="1236"/>
      <c r="N1092" s="1240" t="s">
        <v>3928</v>
      </c>
      <c r="O1092" s="1241" t="s">
        <v>4841</v>
      </c>
      <c r="P1092" s="910">
        <f t="shared" si="150"/>
        <v>0</v>
      </c>
      <c r="Q1092" s="910">
        <f t="shared" si="151"/>
        <v>29</v>
      </c>
      <c r="R1092" s="1344">
        <f t="shared" si="152"/>
        <v>4.2</v>
      </c>
      <c r="S1092" s="1344">
        <f>(1/9)*cnst_fish!$C$7*(1/cnst_fish!$C$8)^(R1092-1)</f>
        <v>223.51057842400343</v>
      </c>
      <c r="T1092" s="1362">
        <f t="shared" si="153"/>
        <v>560.01600624692401</v>
      </c>
      <c r="W1092" s="1612"/>
      <c r="X1092" s="1612"/>
      <c r="Y1092" s="1613"/>
      <c r="Z1092" s="1614"/>
      <c r="AA1092" s="1614"/>
      <c r="AB1092" s="1615"/>
      <c r="AC1092" s="1615"/>
      <c r="AD1092" s="583"/>
      <c r="AE1092" s="583"/>
    </row>
    <row r="1093" spans="1:31" ht="14">
      <c r="A1093" s="1384" t="s">
        <v>26</v>
      </c>
      <c r="B1093" s="19" t="s">
        <v>290</v>
      </c>
      <c r="C1093" s="1383">
        <v>2205</v>
      </c>
      <c r="D1093" s="1236"/>
      <c r="E1093" s="1236"/>
      <c r="F1093" s="1344">
        <f>(1/S1093)*cnst_fish!$C$6</f>
        <v>2.5650205424007942E-2</v>
      </c>
      <c r="G1093" s="1344">
        <f t="shared" si="156"/>
        <v>1</v>
      </c>
      <c r="H1093" s="1344">
        <f t="shared" si="156"/>
        <v>0.367192066876738</v>
      </c>
      <c r="I1093" s="1344">
        <f t="shared" si="148"/>
        <v>0</v>
      </c>
      <c r="J1093" s="902">
        <f t="shared" si="149"/>
        <v>0</v>
      </c>
      <c r="L1093" s="1460">
        <v>380972</v>
      </c>
      <c r="M1093" s="1236"/>
      <c r="N1093" s="1240" t="s">
        <v>3928</v>
      </c>
      <c r="O1093" s="1241" t="s">
        <v>4841</v>
      </c>
      <c r="P1093" s="910">
        <f t="shared" si="150"/>
        <v>0</v>
      </c>
      <c r="Q1093" s="910">
        <f t="shared" si="151"/>
        <v>380972</v>
      </c>
      <c r="R1093" s="1344">
        <f t="shared" si="152"/>
        <v>4.07</v>
      </c>
      <c r="S1093" s="1344">
        <f>(1/9)*cnst_fish!$C$7*(1/cnst_fish!$C$8)^(R1093-1)</f>
        <v>165.6906808248057</v>
      </c>
      <c r="T1093" s="1362">
        <f t="shared" si="153"/>
        <v>5453753.4413362332</v>
      </c>
      <c r="W1093" s="1612"/>
      <c r="X1093" s="1612"/>
      <c r="Y1093" s="1613"/>
      <c r="Z1093" s="1614"/>
      <c r="AA1093" s="1614"/>
      <c r="AB1093" s="1615"/>
      <c r="AC1093" s="1615"/>
      <c r="AD1093" s="583"/>
      <c r="AE1093" s="583"/>
    </row>
    <row r="1094" spans="1:31" ht="14">
      <c r="A1094" s="1384" t="s">
        <v>4282</v>
      </c>
      <c r="B1094" s="19" t="s">
        <v>2882</v>
      </c>
      <c r="C1094" s="1383">
        <v>2991</v>
      </c>
      <c r="D1094" s="1236"/>
      <c r="E1094" s="1236"/>
      <c r="F1094" s="1344">
        <f>(1/S1094)*cnst_fish!$C$6</f>
        <v>2.5650205424007942E-2</v>
      </c>
      <c r="G1094" s="1344">
        <f t="shared" si="156"/>
        <v>1</v>
      </c>
      <c r="H1094" s="1344">
        <f t="shared" si="156"/>
        <v>0.367192066876738</v>
      </c>
      <c r="I1094" s="1344">
        <f t="shared" si="148"/>
        <v>0</v>
      </c>
      <c r="J1094" s="902">
        <f t="shared" si="149"/>
        <v>0</v>
      </c>
      <c r="L1094" s="1460">
        <v>20362</v>
      </c>
      <c r="M1094" s="1236">
        <v>785</v>
      </c>
      <c r="N1094" s="1240" t="s">
        <v>3928</v>
      </c>
      <c r="O1094" s="1241" t="s">
        <v>4841</v>
      </c>
      <c r="P1094" s="910">
        <f t="shared" si="150"/>
        <v>0</v>
      </c>
      <c r="Q1094" s="910">
        <f t="shared" si="151"/>
        <v>21147</v>
      </c>
      <c r="R1094" s="1344">
        <f t="shared" si="152"/>
        <v>4.07</v>
      </c>
      <c r="S1094" s="1344">
        <f>(1/9)*cnst_fish!$C$7*(1/cnst_fish!$C$8)^(R1094-1)</f>
        <v>165.6906808248057</v>
      </c>
      <c r="T1094" s="1362">
        <f t="shared" si="153"/>
        <v>302727.03512052679</v>
      </c>
      <c r="W1094" s="1612"/>
      <c r="X1094" s="1612"/>
      <c r="Y1094" s="1613"/>
      <c r="Z1094" s="1614"/>
      <c r="AA1094" s="1614"/>
      <c r="AB1094" s="1615"/>
      <c r="AC1094" s="1615"/>
      <c r="AD1094" s="583"/>
      <c r="AE1094" s="583"/>
    </row>
    <row r="1095" spans="1:31" ht="14">
      <c r="A1095" s="1384" t="s">
        <v>6730</v>
      </c>
      <c r="B1095" s="19" t="s">
        <v>521</v>
      </c>
      <c r="C1095" s="1383">
        <v>2990</v>
      </c>
      <c r="D1095" s="1236"/>
      <c r="E1095" s="1236"/>
      <c r="F1095" s="1344">
        <f>(1/S1095)*cnst_fish!$C$6</f>
        <v>3.2291695426024204E-2</v>
      </c>
      <c r="G1095" s="1344">
        <f t="shared" si="156"/>
        <v>1</v>
      </c>
      <c r="H1095" s="1344">
        <f t="shared" si="156"/>
        <v>0.367192066876738</v>
      </c>
      <c r="I1095" s="1344">
        <f t="shared" ref="I1095:I1158" si="157">IF($F1095=0,0,D1095/$F1095*$H1095*$G1095)</f>
        <v>0</v>
      </c>
      <c r="J1095" s="902">
        <f t="shared" ref="J1095:J1158" si="158">IF($F1095=0,0,E1095/$F1095*$H1095*$G1095)</f>
        <v>0</v>
      </c>
      <c r="L1095" s="1460">
        <v>459</v>
      </c>
      <c r="M1095" s="1236"/>
      <c r="N1095" s="1240" t="s">
        <v>3928</v>
      </c>
      <c r="O1095" s="1241" t="s">
        <v>4841</v>
      </c>
      <c r="P1095" s="910">
        <f t="shared" ref="P1095:P1158" si="159">D1095+E1095</f>
        <v>0</v>
      </c>
      <c r="Q1095" s="910">
        <f t="shared" ref="Q1095:Q1158" si="160">L1095+M1095</f>
        <v>459</v>
      </c>
      <c r="R1095" s="1344">
        <f t="shared" ref="R1095:R1158" si="161">VLOOKUP(B1095,constant_fish_trophic,3,FALSE)</f>
        <v>3.97</v>
      </c>
      <c r="S1095" s="1344">
        <f>(1/9)*cnst_fish!$C$7*(1/cnst_fish!$C$8)^(R1095-1)</f>
        <v>131.61278600983218</v>
      </c>
      <c r="T1095" s="1362">
        <f t="shared" ref="T1095:T1158" si="162">IF(F1095=0,0,Q1095/F1095*H1095*G1095)</f>
        <v>5219.3344596144589</v>
      </c>
      <c r="W1095" s="1612"/>
      <c r="X1095" s="1612"/>
      <c r="Y1095" s="1613"/>
      <c r="Z1095" s="1614"/>
      <c r="AA1095" s="1614"/>
      <c r="AB1095" s="1615"/>
      <c r="AC1095" s="1615"/>
      <c r="AD1095" s="583"/>
      <c r="AE1095" s="583"/>
    </row>
    <row r="1096" spans="1:31" ht="14">
      <c r="A1096" s="1384" t="s">
        <v>5706</v>
      </c>
      <c r="B1096" s="19" t="s">
        <v>763</v>
      </c>
      <c r="C1096" s="1383">
        <v>3007</v>
      </c>
      <c r="D1096" s="1236"/>
      <c r="E1096" s="1236"/>
      <c r="F1096" s="1344">
        <f>(1/S1096)*cnst_fish!$C$6</f>
        <v>0.11997502458044032</v>
      </c>
      <c r="G1096" s="1344">
        <f t="shared" si="156"/>
        <v>1</v>
      </c>
      <c r="H1096" s="1344">
        <f t="shared" si="156"/>
        <v>0.367192066876738</v>
      </c>
      <c r="I1096" s="1344">
        <f t="shared" si="157"/>
        <v>0</v>
      </c>
      <c r="J1096" s="902">
        <f t="shared" si="158"/>
        <v>0</v>
      </c>
      <c r="L1096" s="1460">
        <v>0</v>
      </c>
      <c r="M1096" s="1236"/>
      <c r="N1096" s="1240" t="s">
        <v>1806</v>
      </c>
      <c r="O1096" s="1241" t="s">
        <v>4841</v>
      </c>
      <c r="P1096" s="910">
        <f t="shared" si="159"/>
        <v>0</v>
      </c>
      <c r="Q1096" s="910">
        <f t="shared" si="160"/>
        <v>0</v>
      </c>
      <c r="R1096" s="1344">
        <f t="shared" si="161"/>
        <v>3.4</v>
      </c>
      <c r="S1096" s="1344">
        <f>(1/9)*cnst_fish!$C$7*(1/cnst_fish!$C$8)^(R1096-1)</f>
        <v>35.424039418724846</v>
      </c>
      <c r="T1096" s="1362">
        <f t="shared" si="162"/>
        <v>0</v>
      </c>
      <c r="W1096" s="1612"/>
      <c r="X1096" s="1612"/>
      <c r="Y1096" s="1613"/>
      <c r="Z1096" s="1614"/>
      <c r="AA1096" s="1614"/>
      <c r="AB1096" s="1615"/>
      <c r="AC1096" s="1615"/>
      <c r="AD1096" s="583"/>
      <c r="AE1096" s="583"/>
    </row>
    <row r="1097" spans="1:31" ht="14">
      <c r="A1097" s="1384" t="s">
        <v>1589</v>
      </c>
      <c r="B1097" s="19" t="s">
        <v>764</v>
      </c>
      <c r="C1097" s="1383">
        <v>3006</v>
      </c>
      <c r="D1097" s="1236"/>
      <c r="E1097" s="1236"/>
      <c r="F1097" s="1344">
        <f>(1/S1097)*cnst_fish!$C$6</f>
        <v>0.11997502458044032</v>
      </c>
      <c r="G1097" s="1344">
        <f t="shared" si="156"/>
        <v>1</v>
      </c>
      <c r="H1097" s="1344">
        <f t="shared" si="156"/>
        <v>0.367192066876738</v>
      </c>
      <c r="I1097" s="1344">
        <f t="shared" si="157"/>
        <v>0</v>
      </c>
      <c r="J1097" s="902">
        <f t="shared" si="158"/>
        <v>0</v>
      </c>
      <c r="L1097" s="1460">
        <v>5</v>
      </c>
      <c r="M1097" s="1236"/>
      <c r="N1097" s="1240" t="s">
        <v>1806</v>
      </c>
      <c r="O1097" s="1241" t="s">
        <v>4841</v>
      </c>
      <c r="P1097" s="910">
        <f t="shared" si="159"/>
        <v>0</v>
      </c>
      <c r="Q1097" s="910">
        <f t="shared" si="160"/>
        <v>5</v>
      </c>
      <c r="R1097" s="1344">
        <f t="shared" si="161"/>
        <v>3.4</v>
      </c>
      <c r="S1097" s="1344">
        <f>(1/9)*cnst_fish!$C$7*(1/cnst_fish!$C$8)^(R1097-1)</f>
        <v>35.424039418724846</v>
      </c>
      <c r="T1097" s="1362">
        <f t="shared" si="162"/>
        <v>15.30285441327602</v>
      </c>
      <c r="W1097" s="1612"/>
      <c r="X1097" s="1612"/>
      <c r="Y1097" s="1613"/>
      <c r="Z1097" s="1614"/>
      <c r="AA1097" s="1614"/>
      <c r="AB1097" s="1615"/>
      <c r="AC1097" s="1615"/>
      <c r="AD1097" s="583"/>
      <c r="AE1097" s="583"/>
    </row>
    <row r="1098" spans="1:31" ht="14">
      <c r="A1098" s="1384" t="s">
        <v>1135</v>
      </c>
      <c r="B1098" s="19" t="s">
        <v>378</v>
      </c>
      <c r="C1098" s="1383">
        <v>3495</v>
      </c>
      <c r="D1098" s="1236"/>
      <c r="E1098" s="1236"/>
      <c r="F1098" s="1344">
        <f>(1/S1098)*cnst_fish!$C$6</f>
        <v>2.3938164528281742</v>
      </c>
      <c r="G1098" s="1344">
        <f t="shared" si="156"/>
        <v>1</v>
      </c>
      <c r="H1098" s="1344">
        <f t="shared" si="156"/>
        <v>0.367192066876738</v>
      </c>
      <c r="I1098" s="1344">
        <f t="shared" si="157"/>
        <v>0</v>
      </c>
      <c r="J1098" s="902">
        <f t="shared" si="158"/>
        <v>0</v>
      </c>
      <c r="L1098" s="1460">
        <v>3209</v>
      </c>
      <c r="M1098" s="1236"/>
      <c r="N1098" s="1240" t="s">
        <v>1804</v>
      </c>
      <c r="O1098" s="1241" t="s">
        <v>4851</v>
      </c>
      <c r="P1098" s="910">
        <f t="shared" si="159"/>
        <v>0</v>
      </c>
      <c r="Q1098" s="910">
        <f t="shared" si="160"/>
        <v>3209</v>
      </c>
      <c r="R1098" s="1344">
        <f t="shared" si="161"/>
        <v>2.1</v>
      </c>
      <c r="S1098" s="1344">
        <f>(1/9)*cnst_fish!$C$7*(1/cnst_fish!$C$8)^(R1098-1)</f>
        <v>1.7754076320174161</v>
      </c>
      <c r="T1098" s="1362">
        <f t="shared" si="162"/>
        <v>492.23462442800366</v>
      </c>
      <c r="W1098" s="1612"/>
      <c r="X1098" s="1612"/>
      <c r="Y1098" s="1613"/>
      <c r="Z1098" s="1614"/>
      <c r="AA1098" s="1614"/>
      <c r="AB1098" s="1615"/>
      <c r="AC1098" s="1615"/>
      <c r="AD1098" s="583"/>
      <c r="AE1098" s="583"/>
    </row>
    <row r="1099" spans="1:31" ht="14">
      <c r="A1099" s="1384" t="s">
        <v>6623</v>
      </c>
      <c r="B1099" s="19" t="s">
        <v>6622</v>
      </c>
      <c r="C1099" s="1383">
        <v>3649</v>
      </c>
      <c r="D1099" s="1236"/>
      <c r="E1099" s="1236"/>
      <c r="F1099" s="1344">
        <f>(1/S1099)*cnst_fish!$C$6</f>
        <v>3.0136363636363641</v>
      </c>
      <c r="G1099" s="1344">
        <f t="shared" si="156"/>
        <v>1</v>
      </c>
      <c r="H1099" s="1344">
        <f t="shared" si="156"/>
        <v>0.367192066876738</v>
      </c>
      <c r="I1099" s="1344">
        <f t="shared" si="157"/>
        <v>0</v>
      </c>
      <c r="J1099" s="902">
        <f t="shared" si="158"/>
        <v>0</v>
      </c>
      <c r="L1099" s="1460">
        <v>2299</v>
      </c>
      <c r="M1099" s="1236"/>
      <c r="N1099" s="1240" t="s">
        <v>1806</v>
      </c>
      <c r="O1099" s="1241" t="s">
        <v>4841</v>
      </c>
      <c r="P1099" s="910">
        <f t="shared" si="159"/>
        <v>0</v>
      </c>
      <c r="Q1099" s="910">
        <f t="shared" si="160"/>
        <v>2299</v>
      </c>
      <c r="R1099" s="1344">
        <f t="shared" si="161"/>
        <v>2</v>
      </c>
      <c r="S1099" s="1344">
        <f>(1/9)*cnst_fish!$C$7*(1/cnst_fish!$C$8)^(R1099-1)</f>
        <v>1.4102564102564099</v>
      </c>
      <c r="T1099" s="1362">
        <f t="shared" si="162"/>
        <v>280.1182557841878</v>
      </c>
      <c r="W1099" s="1612"/>
      <c r="X1099" s="1612"/>
      <c r="Y1099" s="1613"/>
      <c r="Z1099" s="1614"/>
      <c r="AA1099" s="1614"/>
      <c r="AB1099" s="1615"/>
      <c r="AC1099" s="1615"/>
      <c r="AD1099" s="583"/>
      <c r="AE1099" s="583"/>
    </row>
    <row r="1100" spans="1:31" ht="14">
      <c r="A1100" s="1384" t="s">
        <v>4901</v>
      </c>
      <c r="B1100" s="19" t="s">
        <v>3378</v>
      </c>
      <c r="C1100" s="1383">
        <v>2031</v>
      </c>
      <c r="D1100" s="1236"/>
      <c r="E1100" s="1236"/>
      <c r="F1100" s="1344">
        <f>(1/S1100)*cnst_fish!$C$6</f>
        <v>5.8761225892708345E-2</v>
      </c>
      <c r="G1100" s="1344">
        <f t="shared" si="156"/>
        <v>1</v>
      </c>
      <c r="H1100" s="1344">
        <f t="shared" si="156"/>
        <v>0.367192066876738</v>
      </c>
      <c r="I1100" s="1344">
        <f t="shared" si="157"/>
        <v>0</v>
      </c>
      <c r="J1100" s="902">
        <f t="shared" si="158"/>
        <v>0</v>
      </c>
      <c r="L1100" s="1460">
        <v>19</v>
      </c>
      <c r="M1100" s="1236"/>
      <c r="N1100" s="1240" t="s">
        <v>1806</v>
      </c>
      <c r="O1100" s="1241" t="s">
        <v>4841</v>
      </c>
      <c r="P1100" s="910">
        <f t="shared" si="159"/>
        <v>0</v>
      </c>
      <c r="Q1100" s="910">
        <f t="shared" si="160"/>
        <v>19</v>
      </c>
      <c r="R1100" s="1344">
        <f t="shared" si="161"/>
        <v>3.71</v>
      </c>
      <c r="S1100" s="1344">
        <f>(1/9)*cnst_fish!$C$7*(1/cnst_fish!$C$8)^(R1100-1)</f>
        <v>72.326605434679692</v>
      </c>
      <c r="T1100" s="1362">
        <f t="shared" si="162"/>
        <v>118.72879036588907</v>
      </c>
      <c r="W1100" s="1612"/>
      <c r="X1100" s="1612"/>
      <c r="Y1100" s="1613"/>
      <c r="Z1100" s="1614"/>
      <c r="AA1100" s="1614"/>
      <c r="AB1100" s="1615"/>
      <c r="AC1100" s="1615"/>
      <c r="AD1100" s="583"/>
      <c r="AE1100" s="583"/>
    </row>
    <row r="1101" spans="1:31" ht="14">
      <c r="A1101" s="1384" t="s">
        <v>64</v>
      </c>
      <c r="B1101" s="19" t="s">
        <v>2490</v>
      </c>
      <c r="C1101" s="1383">
        <v>13557</v>
      </c>
      <c r="D1101" s="1236">
        <v>953</v>
      </c>
      <c r="E1101" s="1236"/>
      <c r="F1101" s="1344">
        <f>(1/S1101)*cnst_fish!$C$6</f>
        <v>6.4430402969999093E-2</v>
      </c>
      <c r="G1101" s="1344">
        <f t="shared" si="156"/>
        <v>1</v>
      </c>
      <c r="H1101" s="1344">
        <f t="shared" si="156"/>
        <v>0.367192066876738</v>
      </c>
      <c r="I1101" s="1344">
        <f t="shared" si="157"/>
        <v>5431.1943368796265</v>
      </c>
      <c r="J1101" s="902">
        <f t="shared" si="158"/>
        <v>0</v>
      </c>
      <c r="L1101" s="1460">
        <v>953</v>
      </c>
      <c r="M1101" s="1236"/>
      <c r="N1101" s="1240" t="s">
        <v>1806</v>
      </c>
      <c r="O1101" s="1241" t="s">
        <v>4841</v>
      </c>
      <c r="P1101" s="910">
        <f t="shared" si="159"/>
        <v>953</v>
      </c>
      <c r="Q1101" s="910">
        <f t="shared" si="160"/>
        <v>953</v>
      </c>
      <c r="R1101" s="1344">
        <f t="shared" si="161"/>
        <v>3.67</v>
      </c>
      <c r="S1101" s="1344">
        <f>(1/9)*cnst_fish!$C$7*(1/cnst_fish!$C$8)^(R1101-1)</f>
        <v>65.962648130245896</v>
      </c>
      <c r="T1101" s="1362">
        <f t="shared" si="162"/>
        <v>5431.1943368796265</v>
      </c>
      <c r="W1101" s="1612"/>
      <c r="X1101" s="1612"/>
      <c r="Y1101" s="1613"/>
      <c r="Z1101" s="1614"/>
      <c r="AA1101" s="1614"/>
      <c r="AB1101" s="1615"/>
      <c r="AC1101" s="1615"/>
      <c r="AD1101" s="583"/>
      <c r="AE1101" s="583"/>
    </row>
    <row r="1102" spans="1:31" ht="14">
      <c r="A1102" s="1384" t="s">
        <v>52</v>
      </c>
      <c r="B1102" s="19" t="s">
        <v>2491</v>
      </c>
      <c r="C1102" s="1383">
        <v>2030</v>
      </c>
      <c r="D1102" s="1236">
        <v>0</v>
      </c>
      <c r="E1102" s="1236"/>
      <c r="F1102" s="1344">
        <f>(1/S1102)*cnst_fish!$C$6</f>
        <v>7.3976000504507963E-2</v>
      </c>
      <c r="G1102" s="1344">
        <f t="shared" si="156"/>
        <v>1</v>
      </c>
      <c r="H1102" s="1344">
        <f t="shared" si="156"/>
        <v>0.367192066876738</v>
      </c>
      <c r="I1102" s="1344">
        <f t="shared" si="157"/>
        <v>0</v>
      </c>
      <c r="J1102" s="902">
        <f t="shared" si="158"/>
        <v>0</v>
      </c>
      <c r="L1102" s="1460">
        <v>10</v>
      </c>
      <c r="M1102" s="1236"/>
      <c r="N1102" s="1240" t="s">
        <v>1806</v>
      </c>
      <c r="O1102" s="1241" t="s">
        <v>4841</v>
      </c>
      <c r="P1102" s="910">
        <f t="shared" si="159"/>
        <v>0</v>
      </c>
      <c r="Q1102" s="910">
        <f t="shared" si="160"/>
        <v>10</v>
      </c>
      <c r="R1102" s="1344">
        <f t="shared" si="161"/>
        <v>3.61</v>
      </c>
      <c r="S1102" s="1344">
        <f>(1/9)*cnst_fish!$C$7*(1/cnst_fish!$C$8)^(R1102-1)</f>
        <v>57.451064818528707</v>
      </c>
      <c r="T1102" s="1362">
        <f t="shared" si="162"/>
        <v>49.636647611729423</v>
      </c>
      <c r="W1102" s="1612"/>
      <c r="X1102" s="1612"/>
      <c r="Y1102" s="1613"/>
      <c r="Z1102" s="1614"/>
      <c r="AA1102" s="1614"/>
      <c r="AB1102" s="1615"/>
      <c r="AC1102" s="1615"/>
      <c r="AD1102" s="583"/>
      <c r="AE1102" s="583"/>
    </row>
    <row r="1103" spans="1:31" ht="14">
      <c r="A1103" s="1384" t="s">
        <v>5707</v>
      </c>
      <c r="B1103" s="19" t="s">
        <v>2492</v>
      </c>
      <c r="C1103" s="1383">
        <v>13562</v>
      </c>
      <c r="D1103" s="1236"/>
      <c r="E1103" s="1236"/>
      <c r="F1103" s="1344">
        <f>(1/S1103)*cnst_fish!$C$6</f>
        <v>9.3130266898023228E-2</v>
      </c>
      <c r="G1103" s="1344">
        <f t="shared" si="156"/>
        <v>1</v>
      </c>
      <c r="H1103" s="1344">
        <f t="shared" si="156"/>
        <v>0.367192066876738</v>
      </c>
      <c r="I1103" s="1344">
        <f t="shared" si="157"/>
        <v>0</v>
      </c>
      <c r="J1103" s="902">
        <f t="shared" si="158"/>
        <v>0</v>
      </c>
      <c r="L1103" s="1460">
        <v>1324</v>
      </c>
      <c r="M1103" s="1236"/>
      <c r="N1103" s="1240" t="s">
        <v>1806</v>
      </c>
      <c r="O1103" s="1241" t="s">
        <v>4841</v>
      </c>
      <c r="P1103" s="910">
        <f t="shared" si="159"/>
        <v>0</v>
      </c>
      <c r="Q1103" s="910">
        <f t="shared" si="160"/>
        <v>1324</v>
      </c>
      <c r="R1103" s="1344">
        <f t="shared" si="161"/>
        <v>3.51</v>
      </c>
      <c r="S1103" s="1344">
        <f>(1/9)*cnst_fish!$C$7*(1/cnst_fish!$C$8)^(R1103-1)</f>
        <v>45.635002900332182</v>
      </c>
      <c r="T1103" s="1362">
        <f t="shared" si="162"/>
        <v>5220.2394853774467</v>
      </c>
      <c r="W1103" s="1612"/>
      <c r="X1103" s="1612"/>
      <c r="Y1103" s="1613"/>
      <c r="Z1103" s="1614"/>
      <c r="AA1103" s="1614"/>
      <c r="AB1103" s="1615"/>
      <c r="AC1103" s="1615"/>
      <c r="AD1103" s="583"/>
      <c r="AE1103" s="583"/>
    </row>
    <row r="1104" spans="1:31" ht="14">
      <c r="A1104" s="1384" t="s">
        <v>2598</v>
      </c>
      <c r="B1104" s="19" t="s">
        <v>2493</v>
      </c>
      <c r="C1104" s="1383">
        <v>2827</v>
      </c>
      <c r="D1104" s="1236"/>
      <c r="E1104" s="1236"/>
      <c r="F1104" s="1344">
        <f>(1/S1104)*cnst_fish!$C$6</f>
        <v>4.4574948243432784E-2</v>
      </c>
      <c r="G1104" s="1344">
        <f t="shared" si="156"/>
        <v>1</v>
      </c>
      <c r="H1104" s="1344">
        <f t="shared" si="156"/>
        <v>0.367192066876738</v>
      </c>
      <c r="I1104" s="1344">
        <f t="shared" si="157"/>
        <v>0</v>
      </c>
      <c r="J1104" s="902">
        <f t="shared" si="158"/>
        <v>0</v>
      </c>
      <c r="L1104" s="1460">
        <v>1396</v>
      </c>
      <c r="M1104" s="1236"/>
      <c r="N1104" s="1240" t="s">
        <v>1806</v>
      </c>
      <c r="O1104" s="1241" t="s">
        <v>4841</v>
      </c>
      <c r="P1104" s="910">
        <f t="shared" si="159"/>
        <v>0</v>
      </c>
      <c r="Q1104" s="910">
        <f t="shared" si="160"/>
        <v>1396</v>
      </c>
      <c r="R1104" s="1344">
        <f t="shared" si="161"/>
        <v>3.83</v>
      </c>
      <c r="S1104" s="1344">
        <f>(1/9)*cnst_fish!$C$7*(1/cnst_fish!$C$8)^(R1104-1)</f>
        <v>95.345034991176945</v>
      </c>
      <c r="T1104" s="1362">
        <f t="shared" si="162"/>
        <v>11499.73573857032</v>
      </c>
      <c r="W1104" s="1612"/>
      <c r="X1104" s="1612"/>
      <c r="Y1104" s="1613"/>
      <c r="Z1104" s="1614"/>
      <c r="AA1104" s="1614"/>
      <c r="AB1104" s="1615"/>
      <c r="AC1104" s="1615"/>
      <c r="AD1104" s="583"/>
      <c r="AE1104" s="583"/>
    </row>
    <row r="1105" spans="1:31" ht="14">
      <c r="A1105" s="1384" t="s">
        <v>3558</v>
      </c>
      <c r="B1105" s="19" t="s">
        <v>2494</v>
      </c>
      <c r="C1105" s="1383">
        <v>2826</v>
      </c>
      <c r="D1105" s="1236"/>
      <c r="E1105" s="1236"/>
      <c r="F1105" s="1344">
        <f>(1/S1105)*cnst_fish!$C$6</f>
        <v>7.7462381998898044E-2</v>
      </c>
      <c r="G1105" s="1344">
        <f t="shared" si="156"/>
        <v>1</v>
      </c>
      <c r="H1105" s="1344">
        <f t="shared" si="156"/>
        <v>0.367192066876738</v>
      </c>
      <c r="I1105" s="1344">
        <f t="shared" si="157"/>
        <v>0</v>
      </c>
      <c r="J1105" s="902">
        <f t="shared" si="158"/>
        <v>0</v>
      </c>
      <c r="L1105" s="1460">
        <v>4572</v>
      </c>
      <c r="M1105" s="1236"/>
      <c r="N1105" s="1240" t="s">
        <v>1806</v>
      </c>
      <c r="O1105" s="1241" t="s">
        <v>4841</v>
      </c>
      <c r="P1105" s="910">
        <f t="shared" si="159"/>
        <v>0</v>
      </c>
      <c r="Q1105" s="910">
        <f t="shared" si="160"/>
        <v>4572</v>
      </c>
      <c r="R1105" s="1344">
        <f t="shared" si="161"/>
        <v>3.59</v>
      </c>
      <c r="S1105" s="1344">
        <f>(1/9)*cnst_fish!$C$7*(1/cnst_fish!$C$8)^(R1105-1)</f>
        <v>54.865340960731871</v>
      </c>
      <c r="T1105" s="1362">
        <f t="shared" si="162"/>
        <v>21672.482648214049</v>
      </c>
      <c r="W1105" s="1612"/>
      <c r="X1105" s="1612"/>
      <c r="Y1105" s="1613"/>
      <c r="Z1105" s="1614"/>
      <c r="AA1105" s="1614"/>
      <c r="AB1105" s="1615"/>
      <c r="AC1105" s="1615"/>
      <c r="AD1105" s="583"/>
      <c r="AE1105" s="583"/>
    </row>
    <row r="1106" spans="1:31" ht="14">
      <c r="A1106" s="1384" t="s">
        <v>4226</v>
      </c>
      <c r="B1106" s="19" t="s">
        <v>2251</v>
      </c>
      <c r="C1106" s="1383">
        <v>2029</v>
      </c>
      <c r="D1106" s="1236"/>
      <c r="E1106" s="1236"/>
      <c r="F1106" s="1344">
        <f>(1/S1106)*cnst_fish!$C$6</f>
        <v>5.6116535073067304E-2</v>
      </c>
      <c r="G1106" s="1344">
        <f t="shared" si="156"/>
        <v>1</v>
      </c>
      <c r="H1106" s="1344">
        <f t="shared" si="156"/>
        <v>0.367192066876738</v>
      </c>
      <c r="I1106" s="1344">
        <f t="shared" si="157"/>
        <v>0</v>
      </c>
      <c r="J1106" s="902">
        <f t="shared" si="158"/>
        <v>0</v>
      </c>
      <c r="L1106" s="1460">
        <v>11047</v>
      </c>
      <c r="M1106" s="1236"/>
      <c r="N1106" s="1240" t="s">
        <v>1806</v>
      </c>
      <c r="O1106" s="1241" t="s">
        <v>4841</v>
      </c>
      <c r="P1106" s="910">
        <f t="shared" si="159"/>
        <v>0</v>
      </c>
      <c r="Q1106" s="910">
        <f t="shared" si="160"/>
        <v>11047</v>
      </c>
      <c r="R1106" s="1344">
        <f t="shared" si="161"/>
        <v>3.73</v>
      </c>
      <c r="S1106" s="1344">
        <f>(1/9)*cnst_fish!$C$7*(1/cnst_fish!$C$8)^(R1106-1)</f>
        <v>75.735253334266432</v>
      </c>
      <c r="T1106" s="1362">
        <f t="shared" si="162"/>
        <v>72284.768785272856</v>
      </c>
      <c r="W1106" s="1612"/>
      <c r="X1106" s="1612"/>
      <c r="Y1106" s="1613"/>
      <c r="Z1106" s="1614"/>
      <c r="AA1106" s="1614"/>
      <c r="AB1106" s="1615"/>
      <c r="AC1106" s="1615"/>
      <c r="AD1106" s="583"/>
      <c r="AE1106" s="583"/>
    </row>
    <row r="1107" spans="1:31" ht="14">
      <c r="A1107" s="1384" t="s">
        <v>2816</v>
      </c>
      <c r="B1107" s="19" t="s">
        <v>4076</v>
      </c>
      <c r="C1107" s="1383">
        <v>3553</v>
      </c>
      <c r="D1107" s="1236">
        <v>8053</v>
      </c>
      <c r="E1107" s="1236"/>
      <c r="F1107" s="1344">
        <f>(1/S1107)*cnst_fish!$C$6</f>
        <v>2.3938164528281742</v>
      </c>
      <c r="G1107" s="1344">
        <f t="shared" si="156"/>
        <v>1</v>
      </c>
      <c r="H1107" s="1344">
        <f t="shared" si="156"/>
        <v>0.367192066876738</v>
      </c>
      <c r="I1107" s="1344">
        <f t="shared" si="157"/>
        <v>1235.2650141847034</v>
      </c>
      <c r="J1107" s="902">
        <f t="shared" si="158"/>
        <v>0</v>
      </c>
      <c r="L1107" s="1460">
        <v>9867</v>
      </c>
      <c r="M1107" s="1236"/>
      <c r="N1107" s="1240" t="s">
        <v>1804</v>
      </c>
      <c r="O1107" s="1241" t="s">
        <v>4851</v>
      </c>
      <c r="P1107" s="910">
        <f t="shared" si="159"/>
        <v>8053</v>
      </c>
      <c r="Q1107" s="910">
        <f t="shared" si="160"/>
        <v>9867</v>
      </c>
      <c r="R1107" s="1344">
        <f t="shared" si="161"/>
        <v>2.1</v>
      </c>
      <c r="S1107" s="1344">
        <f>(1/9)*cnst_fish!$C$7*(1/cnst_fish!$C$8)^(R1107-1)</f>
        <v>1.7754076320174161</v>
      </c>
      <c r="T1107" s="1362">
        <f t="shared" si="162"/>
        <v>1513.5179305799661</v>
      </c>
      <c r="W1107" s="1612"/>
      <c r="X1107" s="1612"/>
      <c r="Y1107" s="1613"/>
      <c r="Z1107" s="1614"/>
      <c r="AA1107" s="1614"/>
      <c r="AB1107" s="1615"/>
      <c r="AC1107" s="1615"/>
      <c r="AD1107" s="583"/>
      <c r="AE1107" s="583"/>
    </row>
    <row r="1108" spans="1:31" ht="14">
      <c r="A1108" s="1384" t="s">
        <v>1680</v>
      </c>
      <c r="B1108" s="19" t="s">
        <v>522</v>
      </c>
      <c r="C1108" s="1383">
        <v>13573</v>
      </c>
      <c r="D1108" s="1236">
        <v>54</v>
      </c>
      <c r="E1108" s="1236"/>
      <c r="F1108" s="1344">
        <f>(1/S1108)*cnst_fish!$C$6</f>
        <v>9.5299549485983424E-3</v>
      </c>
      <c r="G1108" s="1344">
        <f t="shared" ref="G1108:H1127" si="163">G$7</f>
        <v>1</v>
      </c>
      <c r="H1108" s="1344">
        <f t="shared" si="163"/>
        <v>0.367192066876738</v>
      </c>
      <c r="I1108" s="1344">
        <f t="shared" si="157"/>
        <v>2080.6364477368479</v>
      </c>
      <c r="J1108" s="902">
        <f t="shared" si="158"/>
        <v>0</v>
      </c>
      <c r="L1108" s="1460">
        <v>75</v>
      </c>
      <c r="M1108" s="1236"/>
      <c r="N1108" s="1240" t="s">
        <v>1806</v>
      </c>
      <c r="O1108" s="1241" t="s">
        <v>4841</v>
      </c>
      <c r="P1108" s="910">
        <f t="shared" si="159"/>
        <v>54</v>
      </c>
      <c r="Q1108" s="910">
        <f t="shared" si="160"/>
        <v>75</v>
      </c>
      <c r="R1108" s="1344">
        <f t="shared" si="161"/>
        <v>4.5</v>
      </c>
      <c r="S1108" s="1344">
        <f>(1/9)*cnst_fish!$C$7*(1/cnst_fish!$C$8)^(R1108-1)</f>
        <v>445.96223412630997</v>
      </c>
      <c r="T1108" s="1362">
        <f t="shared" si="162"/>
        <v>2889.7728440789556</v>
      </c>
      <c r="W1108" s="1612"/>
      <c r="X1108" s="1612"/>
      <c r="Y1108" s="1613"/>
      <c r="Z1108" s="1614"/>
      <c r="AA1108" s="1614"/>
      <c r="AB1108" s="1615"/>
      <c r="AC1108" s="1615"/>
      <c r="AD1108" s="583"/>
      <c r="AE1108" s="583"/>
    </row>
    <row r="1109" spans="1:31" ht="14">
      <c r="A1109" s="1384" t="s">
        <v>3775</v>
      </c>
      <c r="B1109" s="19" t="s">
        <v>523</v>
      </c>
      <c r="C1109" s="1383">
        <v>13578</v>
      </c>
      <c r="D1109" s="1236">
        <v>505</v>
      </c>
      <c r="E1109" s="1236"/>
      <c r="F1109" s="1344">
        <f>(1/S1109)*cnst_fish!$C$6</f>
        <v>6.7466914312309487E-2</v>
      </c>
      <c r="G1109" s="1344">
        <f t="shared" si="163"/>
        <v>1</v>
      </c>
      <c r="H1109" s="1344">
        <f t="shared" si="163"/>
        <v>0.367192066876738</v>
      </c>
      <c r="I1109" s="1344">
        <f t="shared" si="157"/>
        <v>2748.4878427131534</v>
      </c>
      <c r="J1109" s="902">
        <f t="shared" si="158"/>
        <v>0</v>
      </c>
      <c r="L1109" s="1460">
        <v>505</v>
      </c>
      <c r="M1109" s="1236"/>
      <c r="N1109" s="1240" t="s">
        <v>1806</v>
      </c>
      <c r="O1109" s="1241" t="s">
        <v>4841</v>
      </c>
      <c r="P1109" s="910">
        <f t="shared" si="159"/>
        <v>505</v>
      </c>
      <c r="Q1109" s="910">
        <f t="shared" si="160"/>
        <v>505</v>
      </c>
      <c r="R1109" s="1344">
        <f t="shared" si="161"/>
        <v>3.65</v>
      </c>
      <c r="S1109" s="1344">
        <f>(1/9)*cnst_fish!$C$7*(1/cnst_fish!$C$8)^(R1109-1)</f>
        <v>62.993839918725584</v>
      </c>
      <c r="T1109" s="1362">
        <f t="shared" si="162"/>
        <v>2748.4878427131534</v>
      </c>
      <c r="W1109" s="1612"/>
      <c r="X1109" s="1612"/>
      <c r="Y1109" s="1613"/>
      <c r="Z1109" s="1614"/>
      <c r="AA1109" s="1614"/>
      <c r="AB1109" s="1615"/>
      <c r="AC1109" s="1615"/>
      <c r="AD1109" s="583"/>
      <c r="AE1109" s="583"/>
    </row>
    <row r="1110" spans="1:31" ht="14">
      <c r="A1110" s="1384" t="s">
        <v>1255</v>
      </c>
      <c r="B1110" s="19" t="s">
        <v>520</v>
      </c>
      <c r="C1110" s="1383">
        <v>13579</v>
      </c>
      <c r="D1110" s="1236">
        <v>196</v>
      </c>
      <c r="E1110" s="1236"/>
      <c r="F1110" s="1344">
        <f>(1/S1110)*cnst_fish!$C$6</f>
        <v>1.0211530705467781E-2</v>
      </c>
      <c r="G1110" s="1344">
        <f t="shared" si="163"/>
        <v>1</v>
      </c>
      <c r="H1110" s="1344">
        <f t="shared" si="163"/>
        <v>0.367192066876738</v>
      </c>
      <c r="I1110" s="1344">
        <f t="shared" si="157"/>
        <v>7047.8802036314082</v>
      </c>
      <c r="J1110" s="902">
        <f t="shared" si="158"/>
        <v>0</v>
      </c>
      <c r="L1110" s="1460">
        <v>196</v>
      </c>
      <c r="M1110" s="1236"/>
      <c r="N1110" s="1240" t="s">
        <v>1806</v>
      </c>
      <c r="O1110" s="1241" t="s">
        <v>4841</v>
      </c>
      <c r="P1110" s="910">
        <f t="shared" si="159"/>
        <v>196</v>
      </c>
      <c r="Q1110" s="910">
        <f t="shared" si="160"/>
        <v>196</v>
      </c>
      <c r="R1110" s="1344">
        <f t="shared" si="161"/>
        <v>4.47</v>
      </c>
      <c r="S1110" s="1344">
        <f>(1/9)*cnst_fish!$C$7*(1/cnst_fish!$C$8)^(R1110-1)</f>
        <v>416.19617299141356</v>
      </c>
      <c r="T1110" s="1362">
        <f t="shared" si="162"/>
        <v>7047.8802036314082</v>
      </c>
      <c r="W1110" s="1612"/>
      <c r="X1110" s="1612"/>
      <c r="Y1110" s="1613"/>
      <c r="Z1110" s="1614"/>
      <c r="AA1110" s="1614"/>
      <c r="AB1110" s="1615"/>
      <c r="AC1110" s="1615"/>
      <c r="AD1110" s="583"/>
      <c r="AE1110" s="583"/>
    </row>
    <row r="1111" spans="1:31" ht="14">
      <c r="A1111" s="1384" t="s">
        <v>3952</v>
      </c>
      <c r="B1111" s="19" t="s">
        <v>2519</v>
      </c>
      <c r="C1111" s="1383">
        <v>2277</v>
      </c>
      <c r="D1111" s="1236"/>
      <c r="E1111" s="1236"/>
      <c r="F1111" s="1344">
        <f>(1/S1111)*cnst_fish!$C$6</f>
        <v>1.4760152601876367E-2</v>
      </c>
      <c r="G1111" s="1344">
        <f t="shared" si="163"/>
        <v>1</v>
      </c>
      <c r="H1111" s="1344">
        <f t="shared" si="163"/>
        <v>0.367192066876738</v>
      </c>
      <c r="I1111" s="1344">
        <f t="shared" si="157"/>
        <v>0</v>
      </c>
      <c r="J1111" s="902">
        <f t="shared" si="158"/>
        <v>0</v>
      </c>
      <c r="L1111" s="1460">
        <v>3374</v>
      </c>
      <c r="M1111" s="1236"/>
      <c r="N1111" s="1240" t="s">
        <v>1806</v>
      </c>
      <c r="O1111" s="1241" t="s">
        <v>4841</v>
      </c>
      <c r="P1111" s="910">
        <f t="shared" si="159"/>
        <v>0</v>
      </c>
      <c r="Q1111" s="910">
        <f t="shared" si="160"/>
        <v>3374</v>
      </c>
      <c r="R1111" s="1344">
        <f t="shared" si="161"/>
        <v>4.3099999999999996</v>
      </c>
      <c r="S1111" s="1344">
        <f>(1/9)*cnst_fish!$C$7*(1/cnst_fish!$C$8)^(R1111-1)</f>
        <v>287.93740245339495</v>
      </c>
      <c r="T1111" s="1362">
        <f t="shared" si="162"/>
        <v>83935.855343705567</v>
      </c>
      <c r="W1111" s="1612"/>
      <c r="X1111" s="1612"/>
      <c r="Y1111" s="1613"/>
      <c r="Z1111" s="1614"/>
      <c r="AA1111" s="1614"/>
      <c r="AB1111" s="1615"/>
      <c r="AC1111" s="1615"/>
      <c r="AD1111" s="583"/>
      <c r="AE1111" s="583"/>
    </row>
    <row r="1112" spans="1:31" ht="14">
      <c r="A1112" s="1384" t="s">
        <v>2112</v>
      </c>
      <c r="B1112" s="19" t="s">
        <v>2746</v>
      </c>
      <c r="C1112" s="1383">
        <v>13583</v>
      </c>
      <c r="D1112" s="1236">
        <v>1</v>
      </c>
      <c r="E1112" s="1236"/>
      <c r="F1112" s="1344">
        <f>(1/S1112)*cnst_fish!$C$6</f>
        <v>9.7519361156519751E-3</v>
      </c>
      <c r="G1112" s="1344">
        <f t="shared" si="163"/>
        <v>1</v>
      </c>
      <c r="H1112" s="1344">
        <f t="shared" si="163"/>
        <v>0.367192066876738</v>
      </c>
      <c r="I1112" s="1344">
        <f t="shared" si="157"/>
        <v>37.653247777883855</v>
      </c>
      <c r="J1112" s="902">
        <f t="shared" si="158"/>
        <v>0</v>
      </c>
      <c r="L1112" s="1460">
        <v>1</v>
      </c>
      <c r="M1112" s="1236"/>
      <c r="N1112" s="1240" t="s">
        <v>1806</v>
      </c>
      <c r="O1112" s="1241" t="s">
        <v>4841</v>
      </c>
      <c r="P1112" s="910">
        <f t="shared" si="159"/>
        <v>1</v>
      </c>
      <c r="Q1112" s="910">
        <f t="shared" si="160"/>
        <v>1</v>
      </c>
      <c r="R1112" s="1344">
        <f t="shared" si="161"/>
        <v>4.49</v>
      </c>
      <c r="S1112" s="1344">
        <f>(1/9)*cnst_fish!$C$7*(1/cnst_fish!$C$8)^(R1112-1)</f>
        <v>435.81089432883982</v>
      </c>
      <c r="T1112" s="1362">
        <f t="shared" si="162"/>
        <v>37.653247777883855</v>
      </c>
      <c r="W1112" s="1612"/>
      <c r="X1112" s="1612"/>
      <c r="Y1112" s="1613"/>
      <c r="Z1112" s="1614"/>
      <c r="AA1112" s="1614"/>
      <c r="AB1112" s="1615"/>
      <c r="AC1112" s="1615"/>
      <c r="AD1112" s="583"/>
      <c r="AE1112" s="583"/>
    </row>
    <row r="1113" spans="1:31" ht="14">
      <c r="A1113" s="1384" t="s">
        <v>2776</v>
      </c>
      <c r="B1113" s="19" t="s">
        <v>2498</v>
      </c>
      <c r="C1113" s="1383">
        <v>3070</v>
      </c>
      <c r="D1113" s="1236"/>
      <c r="E1113" s="1236"/>
      <c r="F1113" s="1344">
        <f>(1/S1113)*cnst_fish!$C$6</f>
        <v>7.926671266484709E-3</v>
      </c>
      <c r="G1113" s="1344">
        <f t="shared" si="163"/>
        <v>1</v>
      </c>
      <c r="H1113" s="1344">
        <f t="shared" si="163"/>
        <v>0.367192066876738</v>
      </c>
      <c r="I1113" s="1344">
        <f t="shared" si="157"/>
        <v>0</v>
      </c>
      <c r="J1113" s="902">
        <f t="shared" si="158"/>
        <v>0</v>
      </c>
      <c r="L1113" s="1460">
        <v>0</v>
      </c>
      <c r="M1113" s="1236"/>
      <c r="N1113" s="1240" t="s">
        <v>1806</v>
      </c>
      <c r="O1113" s="1241" t="s">
        <v>4841</v>
      </c>
      <c r="P1113" s="910">
        <f t="shared" si="159"/>
        <v>0</v>
      </c>
      <c r="Q1113" s="910">
        <f t="shared" si="160"/>
        <v>0</v>
      </c>
      <c r="R1113" s="1344">
        <f t="shared" si="161"/>
        <v>4.58</v>
      </c>
      <c r="S1113" s="1344">
        <f>(1/9)*cnst_fish!$C$7*(1/cnst_fish!$C$8)^(R1113-1)</f>
        <v>536.16453327258694</v>
      </c>
      <c r="T1113" s="1362">
        <f t="shared" si="162"/>
        <v>0</v>
      </c>
      <c r="W1113" s="1612"/>
      <c r="X1113" s="1612"/>
      <c r="Y1113" s="1613"/>
      <c r="Z1113" s="1614"/>
      <c r="AA1113" s="1614"/>
      <c r="AB1113" s="1615"/>
      <c r="AC1113" s="1615"/>
      <c r="AD1113" s="583"/>
      <c r="AE1113" s="583"/>
    </row>
    <row r="1114" spans="1:31" ht="14">
      <c r="A1114" s="1384" t="s">
        <v>2996</v>
      </c>
      <c r="B1114" s="19" t="s">
        <v>2883</v>
      </c>
      <c r="C1114" s="1383">
        <v>2947</v>
      </c>
      <c r="D1114" s="1236">
        <v>0</v>
      </c>
      <c r="E1114" s="1236"/>
      <c r="F1114" s="1344">
        <f>(1/S1114)*cnst_fish!$C$6</f>
        <v>0.19014759972289441</v>
      </c>
      <c r="G1114" s="1344">
        <f t="shared" si="163"/>
        <v>1</v>
      </c>
      <c r="H1114" s="1344">
        <f t="shared" si="163"/>
        <v>0.367192066876738</v>
      </c>
      <c r="I1114" s="1344">
        <f t="shared" si="157"/>
        <v>0</v>
      </c>
      <c r="J1114" s="902">
        <f t="shared" si="158"/>
        <v>0</v>
      </c>
      <c r="L1114" s="1460">
        <v>1458</v>
      </c>
      <c r="M1114" s="1236"/>
      <c r="N1114" s="1240" t="s">
        <v>1806</v>
      </c>
      <c r="O1114" s="1241" t="s">
        <v>4841</v>
      </c>
      <c r="P1114" s="910">
        <f t="shared" si="159"/>
        <v>0</v>
      </c>
      <c r="Q1114" s="910">
        <f t="shared" si="160"/>
        <v>1458</v>
      </c>
      <c r="R1114" s="1344">
        <f t="shared" si="161"/>
        <v>3.2</v>
      </c>
      <c r="S1114" s="1344">
        <f>(1/9)*cnst_fish!$C$7*(1/cnst_fish!$C$8)^(R1114-1)</f>
        <v>22.351057842400341</v>
      </c>
      <c r="T1114" s="1362">
        <f t="shared" si="162"/>
        <v>2815.5287486483276</v>
      </c>
      <c r="W1114" s="1612"/>
      <c r="X1114" s="1612"/>
      <c r="Y1114" s="1613"/>
      <c r="Z1114" s="1614"/>
      <c r="AA1114" s="1614"/>
      <c r="AB1114" s="1615"/>
      <c r="AC1114" s="1615"/>
      <c r="AD1114" s="583"/>
      <c r="AE1114" s="583"/>
    </row>
    <row r="1115" spans="1:31" ht="14">
      <c r="A1115" s="1384" t="s">
        <v>3945</v>
      </c>
      <c r="B1115" s="19" t="s">
        <v>2252</v>
      </c>
      <c r="C1115" s="1383">
        <v>2866</v>
      </c>
      <c r="D1115" s="1236"/>
      <c r="E1115" s="1236"/>
      <c r="F1115" s="1344">
        <f>(1/S1115)*cnst_fish!$C$6</f>
        <v>8.6914222116951781E-2</v>
      </c>
      <c r="G1115" s="1344">
        <f t="shared" si="163"/>
        <v>1</v>
      </c>
      <c r="H1115" s="1344">
        <f t="shared" si="163"/>
        <v>0.367192066876738</v>
      </c>
      <c r="I1115" s="1344">
        <f t="shared" si="157"/>
        <v>0</v>
      </c>
      <c r="J1115" s="902">
        <f t="shared" si="158"/>
        <v>0</v>
      </c>
      <c r="L1115" s="1460">
        <v>6460</v>
      </c>
      <c r="M1115" s="1236"/>
      <c r="N1115" s="1240" t="s">
        <v>1806</v>
      </c>
      <c r="O1115" s="1241" t="s">
        <v>4841</v>
      </c>
      <c r="P1115" s="910">
        <f t="shared" si="159"/>
        <v>0</v>
      </c>
      <c r="Q1115" s="910">
        <f t="shared" si="160"/>
        <v>6460</v>
      </c>
      <c r="R1115" s="1344">
        <f t="shared" si="161"/>
        <v>3.54</v>
      </c>
      <c r="S1115" s="1344">
        <f>(1/9)*cnst_fish!$C$7*(1/cnst_fish!$C$8)^(R1115-1)</f>
        <v>48.898786602280119</v>
      </c>
      <c r="T1115" s="1362">
        <f t="shared" si="162"/>
        <v>27291.974710788789</v>
      </c>
      <c r="W1115" s="1612"/>
      <c r="X1115" s="1612"/>
      <c r="Y1115" s="1613"/>
      <c r="Z1115" s="1614"/>
      <c r="AA1115" s="1614"/>
      <c r="AB1115" s="1615"/>
      <c r="AC1115" s="1615"/>
      <c r="AD1115" s="583"/>
      <c r="AE1115" s="583"/>
    </row>
    <row r="1116" spans="1:31" ht="14">
      <c r="A1116" s="1384" t="s">
        <v>2941</v>
      </c>
      <c r="B1116" s="19" t="s">
        <v>2253</v>
      </c>
      <c r="C1116" s="1383">
        <v>13590</v>
      </c>
      <c r="D1116" s="1236"/>
      <c r="E1116" s="1236"/>
      <c r="F1116" s="1344">
        <f>(1/S1116)*cnst_fish!$C$6</f>
        <v>7.3976000504507963E-2</v>
      </c>
      <c r="G1116" s="1344">
        <f t="shared" si="163"/>
        <v>1</v>
      </c>
      <c r="H1116" s="1344">
        <f t="shared" si="163"/>
        <v>0.367192066876738</v>
      </c>
      <c r="I1116" s="1344">
        <f t="shared" si="157"/>
        <v>0</v>
      </c>
      <c r="J1116" s="902">
        <f t="shared" si="158"/>
        <v>0</v>
      </c>
      <c r="L1116" s="1460">
        <v>32</v>
      </c>
      <c r="M1116" s="1236"/>
      <c r="N1116" s="1240" t="s">
        <v>1806</v>
      </c>
      <c r="O1116" s="1241" t="s">
        <v>4841</v>
      </c>
      <c r="P1116" s="910">
        <f t="shared" si="159"/>
        <v>0</v>
      </c>
      <c r="Q1116" s="910">
        <f t="shared" si="160"/>
        <v>32</v>
      </c>
      <c r="R1116" s="1344">
        <f t="shared" si="161"/>
        <v>3.61</v>
      </c>
      <c r="S1116" s="1344">
        <f>(1/9)*cnst_fish!$C$7*(1/cnst_fish!$C$8)^(R1116-1)</f>
        <v>57.451064818528707</v>
      </c>
      <c r="T1116" s="1362">
        <f t="shared" si="162"/>
        <v>158.83727235753418</v>
      </c>
      <c r="W1116" s="1612"/>
      <c r="X1116" s="1612"/>
      <c r="Y1116" s="1613"/>
      <c r="Z1116" s="1614"/>
      <c r="AA1116" s="1614"/>
      <c r="AB1116" s="1615"/>
      <c r="AC1116" s="1615"/>
      <c r="AD1116" s="583"/>
      <c r="AE1116" s="583"/>
    </row>
    <row r="1117" spans="1:31" ht="14">
      <c r="A1117" s="1384" t="s">
        <v>3430</v>
      </c>
      <c r="B1117" s="19" t="s">
        <v>2483</v>
      </c>
      <c r="C1117" s="1383">
        <v>2970</v>
      </c>
      <c r="D1117" s="1236"/>
      <c r="E1117" s="1236"/>
      <c r="F1117" s="1344">
        <f>(1/S1117)*cnst_fish!$C$6</f>
        <v>0.19457670629544385</v>
      </c>
      <c r="G1117" s="1344">
        <f t="shared" si="163"/>
        <v>1</v>
      </c>
      <c r="H1117" s="1344">
        <f t="shared" si="163"/>
        <v>0.367192066876738</v>
      </c>
      <c r="I1117" s="1344">
        <f t="shared" si="157"/>
        <v>0</v>
      </c>
      <c r="J1117" s="902">
        <f t="shared" si="158"/>
        <v>0</v>
      </c>
      <c r="L1117" s="1460"/>
      <c r="M1117" s="1236">
        <v>1</v>
      </c>
      <c r="N1117" s="1240" t="s">
        <v>5365</v>
      </c>
      <c r="O1117" s="1241" t="s">
        <v>4845</v>
      </c>
      <c r="P1117" s="910">
        <f t="shared" si="159"/>
        <v>0</v>
      </c>
      <c r="Q1117" s="910">
        <f t="shared" si="160"/>
        <v>1</v>
      </c>
      <c r="R1117" s="1344">
        <f t="shared" si="161"/>
        <v>3.19</v>
      </c>
      <c r="S1117" s="1344">
        <f>(1/9)*cnst_fish!$C$7*(1/cnst_fish!$C$8)^(R1117-1)</f>
        <v>21.84228565132987</v>
      </c>
      <c r="T1117" s="1362">
        <f t="shared" si="162"/>
        <v>1.8871327090879844</v>
      </c>
      <c r="W1117" s="1612"/>
      <c r="X1117" s="1612"/>
      <c r="Y1117" s="1613"/>
      <c r="Z1117" s="1614"/>
      <c r="AA1117" s="1614"/>
      <c r="AB1117" s="1615"/>
      <c r="AC1117" s="1615"/>
      <c r="AD1117" s="583"/>
      <c r="AE1117" s="583"/>
    </row>
    <row r="1118" spans="1:31" ht="14">
      <c r="A1118" s="1384" t="s">
        <v>6846</v>
      </c>
      <c r="B1118" s="19" t="s">
        <v>6845</v>
      </c>
      <c r="C1118" s="1383">
        <v>6515</v>
      </c>
      <c r="D1118" s="1236"/>
      <c r="E1118" s="1236"/>
      <c r="F1118" s="1344">
        <f>(1/S1118)*cnst_fish!$C$6</f>
        <v>3.7939434000887833E-2</v>
      </c>
      <c r="G1118" s="1344">
        <f t="shared" si="163"/>
        <v>1</v>
      </c>
      <c r="H1118" s="1344">
        <f t="shared" si="163"/>
        <v>0.367192066876738</v>
      </c>
      <c r="I1118" s="1344">
        <f t="shared" si="157"/>
        <v>0</v>
      </c>
      <c r="J1118" s="902">
        <f t="shared" si="158"/>
        <v>0</v>
      </c>
      <c r="L1118" s="1460">
        <v>161</v>
      </c>
      <c r="M1118" s="1236"/>
      <c r="N1118" s="1240" t="s">
        <v>1806</v>
      </c>
      <c r="O1118" s="1241" t="s">
        <v>4841</v>
      </c>
      <c r="P1118" s="910">
        <f t="shared" si="159"/>
        <v>0</v>
      </c>
      <c r="Q1118" s="910">
        <f t="shared" si="160"/>
        <v>161</v>
      </c>
      <c r="R1118" s="1344">
        <f t="shared" si="161"/>
        <v>3.9</v>
      </c>
      <c r="S1118" s="1344">
        <f>(1/9)*cnst_fish!$C$7*(1/cnst_fish!$C$8)^(R1118-1)</f>
        <v>112.02064848675771</v>
      </c>
      <c r="T1118" s="1362">
        <f t="shared" si="162"/>
        <v>1558.2183636627626</v>
      </c>
      <c r="W1118" s="1612"/>
      <c r="X1118" s="1612"/>
      <c r="Y1118" s="1613"/>
      <c r="Z1118" s="1614"/>
      <c r="AA1118" s="1614"/>
      <c r="AB1118" s="1615"/>
      <c r="AC1118" s="1615"/>
      <c r="AD1118" s="583"/>
      <c r="AE1118" s="583"/>
    </row>
    <row r="1119" spans="1:31" ht="14">
      <c r="A1119" s="1384" t="s">
        <v>3494</v>
      </c>
      <c r="B1119" s="19" t="s">
        <v>2499</v>
      </c>
      <c r="C1119" s="1383">
        <v>3343</v>
      </c>
      <c r="D1119" s="1236"/>
      <c r="E1119" s="1236"/>
      <c r="F1119" s="1344">
        <f>(1/S1119)*cnst_fish!$C$6</f>
        <v>4.2568745094767511E-2</v>
      </c>
      <c r="G1119" s="1344">
        <f t="shared" si="163"/>
        <v>1</v>
      </c>
      <c r="H1119" s="1344">
        <f t="shared" si="163"/>
        <v>0.367192066876738</v>
      </c>
      <c r="I1119" s="1344">
        <f t="shared" si="157"/>
        <v>0</v>
      </c>
      <c r="J1119" s="902">
        <f t="shared" si="158"/>
        <v>0</v>
      </c>
      <c r="L1119" s="1460">
        <v>0</v>
      </c>
      <c r="M1119" s="1236"/>
      <c r="N1119" s="1240" t="s">
        <v>1806</v>
      </c>
      <c r="O1119" s="1241" t="s">
        <v>4841</v>
      </c>
      <c r="P1119" s="910">
        <f t="shared" si="159"/>
        <v>0</v>
      </c>
      <c r="Q1119" s="910">
        <f t="shared" si="160"/>
        <v>0</v>
      </c>
      <c r="R1119" s="1344">
        <f t="shared" si="161"/>
        <v>3.85</v>
      </c>
      <c r="S1119" s="1344">
        <f>(1/9)*cnst_fish!$C$7*(1/cnst_fish!$C$8)^(R1119-1)</f>
        <v>99.838508054173388</v>
      </c>
      <c r="T1119" s="1362">
        <f t="shared" si="162"/>
        <v>0</v>
      </c>
      <c r="W1119" s="1612"/>
      <c r="X1119" s="1612"/>
      <c r="Y1119" s="1613"/>
      <c r="Z1119" s="1614"/>
      <c r="AA1119" s="1614"/>
      <c r="AB1119" s="1615"/>
      <c r="AC1119" s="1615"/>
      <c r="AD1119" s="583"/>
      <c r="AE1119" s="583"/>
    </row>
    <row r="1120" spans="1:31" ht="14">
      <c r="A1120" s="1384" t="s">
        <v>6731</v>
      </c>
      <c r="B1120" s="19" t="s">
        <v>41</v>
      </c>
      <c r="C1120" s="1383">
        <v>19129</v>
      </c>
      <c r="D1120" s="1236"/>
      <c r="E1120" s="1236"/>
      <c r="F1120" s="1344">
        <f>(1/S1120)*cnst_fish!$C$6</f>
        <v>0.35407139951132155</v>
      </c>
      <c r="G1120" s="1344">
        <f t="shared" si="163"/>
        <v>1</v>
      </c>
      <c r="H1120" s="1344">
        <f t="shared" si="163"/>
        <v>0.367192066876738</v>
      </c>
      <c r="I1120" s="1344">
        <f t="shared" si="157"/>
        <v>0</v>
      </c>
      <c r="J1120" s="902">
        <f t="shared" si="158"/>
        <v>0</v>
      </c>
      <c r="L1120" s="1460"/>
      <c r="M1120" s="1236">
        <v>11364</v>
      </c>
      <c r="N1120" s="1240" t="s">
        <v>5365</v>
      </c>
      <c r="O1120" s="1241" t="s">
        <v>4845</v>
      </c>
      <c r="P1120" s="910">
        <f t="shared" si="159"/>
        <v>0</v>
      </c>
      <c r="Q1120" s="910">
        <f t="shared" si="160"/>
        <v>11364</v>
      </c>
      <c r="R1120" s="1344">
        <f t="shared" si="161"/>
        <v>2.93</v>
      </c>
      <c r="S1120" s="1344">
        <f>(1/9)*cnst_fish!$C$7*(1/cnst_fish!$C$8)^(R1120-1)</f>
        <v>12.003228743879678</v>
      </c>
      <c r="T1120" s="1362">
        <f t="shared" si="162"/>
        <v>11785.110725538352</v>
      </c>
      <c r="W1120" s="1612"/>
      <c r="X1120" s="1612"/>
      <c r="Y1120" s="1613"/>
      <c r="Z1120" s="1614"/>
      <c r="AA1120" s="1614"/>
      <c r="AB1120" s="1615"/>
      <c r="AC1120" s="1615"/>
      <c r="AD1120" s="583"/>
      <c r="AE1120" s="583"/>
    </row>
    <row r="1121" spans="1:31" ht="14">
      <c r="A1121" s="1384" t="s">
        <v>6732</v>
      </c>
      <c r="B1121" s="19" t="s">
        <v>42</v>
      </c>
      <c r="C1121" s="1383">
        <v>19130</v>
      </c>
      <c r="D1121" s="1236"/>
      <c r="E1121" s="1236"/>
      <c r="F1121" s="1344">
        <f>(1/S1121)*cnst_fish!$C$6</f>
        <v>0.13774975896121011</v>
      </c>
      <c r="G1121" s="1344">
        <f t="shared" si="163"/>
        <v>1</v>
      </c>
      <c r="H1121" s="1344">
        <f t="shared" si="163"/>
        <v>0.367192066876738</v>
      </c>
      <c r="I1121" s="1344">
        <f t="shared" si="157"/>
        <v>0</v>
      </c>
      <c r="J1121" s="902">
        <f t="shared" si="158"/>
        <v>0</v>
      </c>
      <c r="L1121" s="1460"/>
      <c r="M1121" s="1236">
        <v>1691</v>
      </c>
      <c r="N1121" s="1240" t="s">
        <v>1806</v>
      </c>
      <c r="O1121" s="1241" t="s">
        <v>4845</v>
      </c>
      <c r="P1121" s="910">
        <f t="shared" si="159"/>
        <v>0</v>
      </c>
      <c r="Q1121" s="910">
        <f t="shared" si="160"/>
        <v>1691</v>
      </c>
      <c r="R1121" s="1344">
        <f t="shared" si="161"/>
        <v>3.34</v>
      </c>
      <c r="S1121" s="1344">
        <f>(1/9)*cnst_fish!$C$7*(1/cnst_fish!$C$8)^(R1121-1)</f>
        <v>30.853048542878295</v>
      </c>
      <c r="T1121" s="1362">
        <f t="shared" si="162"/>
        <v>4507.6070533336724</v>
      </c>
      <c r="W1121" s="1612"/>
      <c r="X1121" s="1612"/>
      <c r="Y1121" s="1613"/>
      <c r="Z1121" s="1614"/>
      <c r="AA1121" s="1614"/>
      <c r="AB1121" s="1615"/>
      <c r="AC1121" s="1615"/>
      <c r="AD1121" s="583"/>
      <c r="AE1121" s="583"/>
    </row>
    <row r="1122" spans="1:31" ht="14">
      <c r="A1122" s="1384" t="s">
        <v>4214</v>
      </c>
      <c r="B1122" s="19" t="s">
        <v>4340</v>
      </c>
      <c r="C1122" s="1383">
        <v>2686</v>
      </c>
      <c r="D1122" s="1236">
        <v>1056</v>
      </c>
      <c r="E1122" s="1236"/>
      <c r="F1122" s="1344">
        <f>(1/S1122)*cnst_fish!$C$6</f>
        <v>2.3938164528281742</v>
      </c>
      <c r="G1122" s="1344">
        <f t="shared" si="163"/>
        <v>1</v>
      </c>
      <c r="H1122" s="1344">
        <f t="shared" si="163"/>
        <v>0.367192066876738</v>
      </c>
      <c r="I1122" s="1344">
        <f t="shared" si="157"/>
        <v>161.98185210220376</v>
      </c>
      <c r="J1122" s="902">
        <f t="shared" si="158"/>
        <v>0</v>
      </c>
      <c r="L1122" s="1460">
        <v>14496</v>
      </c>
      <c r="M1122" s="1236"/>
      <c r="N1122" s="1240" t="s">
        <v>2433</v>
      </c>
      <c r="O1122" s="1241" t="s">
        <v>4851</v>
      </c>
      <c r="P1122" s="910">
        <f t="shared" si="159"/>
        <v>1056</v>
      </c>
      <c r="Q1122" s="910">
        <f t="shared" si="160"/>
        <v>14496</v>
      </c>
      <c r="R1122" s="1344">
        <f t="shared" si="161"/>
        <v>2.1</v>
      </c>
      <c r="S1122" s="1344">
        <f>(1/9)*cnst_fish!$C$7*(1/cnst_fish!$C$8)^(R1122-1)</f>
        <v>1.7754076320174161</v>
      </c>
      <c r="T1122" s="1362">
        <f t="shared" si="162"/>
        <v>2223.5690606757062</v>
      </c>
      <c r="W1122" s="1612"/>
      <c r="X1122" s="1612"/>
      <c r="Y1122" s="1613"/>
      <c r="Z1122" s="1614"/>
      <c r="AA1122" s="1614"/>
      <c r="AB1122" s="1615"/>
      <c r="AC1122" s="1615"/>
      <c r="AD1122" s="583"/>
      <c r="AE1122" s="583"/>
    </row>
    <row r="1123" spans="1:31" ht="14">
      <c r="A1123" s="1384" t="s">
        <v>3023</v>
      </c>
      <c r="B1123" s="19" t="s">
        <v>4341</v>
      </c>
      <c r="C1123" s="1383">
        <v>3527</v>
      </c>
      <c r="D1123" s="1236"/>
      <c r="E1123" s="1236"/>
      <c r="F1123" s="1344">
        <f>(1/S1123)*cnst_fish!$C$6</f>
        <v>2.3938164528281742</v>
      </c>
      <c r="G1123" s="1344">
        <f t="shared" si="163"/>
        <v>1</v>
      </c>
      <c r="H1123" s="1344">
        <f t="shared" si="163"/>
        <v>0.367192066876738</v>
      </c>
      <c r="I1123" s="1344">
        <f t="shared" si="157"/>
        <v>0</v>
      </c>
      <c r="J1123" s="902">
        <f t="shared" si="158"/>
        <v>0</v>
      </c>
      <c r="L1123" s="1460">
        <v>355</v>
      </c>
      <c r="M1123" s="1236"/>
      <c r="N1123" s="1240" t="s">
        <v>2433</v>
      </c>
      <c r="O1123" s="1241" t="s">
        <v>4851</v>
      </c>
      <c r="P1123" s="910">
        <f t="shared" si="159"/>
        <v>0</v>
      </c>
      <c r="Q1123" s="910">
        <f t="shared" si="160"/>
        <v>355</v>
      </c>
      <c r="R1123" s="1344">
        <f t="shared" si="161"/>
        <v>2.1</v>
      </c>
      <c r="S1123" s="1344">
        <f>(1/9)*cnst_fish!$C$7*(1/cnst_fish!$C$8)^(R1123-1)</f>
        <v>1.7754076320174161</v>
      </c>
      <c r="T1123" s="1362">
        <f t="shared" si="162"/>
        <v>54.454126416934031</v>
      </c>
      <c r="W1123" s="1612"/>
      <c r="X1123" s="1612"/>
      <c r="Y1123" s="1613"/>
      <c r="Z1123" s="1614"/>
      <c r="AA1123" s="1614"/>
      <c r="AB1123" s="1615"/>
      <c r="AC1123" s="1615"/>
      <c r="AD1123" s="583"/>
      <c r="AE1123" s="583"/>
    </row>
    <row r="1124" spans="1:31" ht="14">
      <c r="A1124" s="1384" t="s">
        <v>3045</v>
      </c>
      <c r="B1124" s="19" t="s">
        <v>4342</v>
      </c>
      <c r="C1124" s="1383">
        <v>2687</v>
      </c>
      <c r="D1124" s="1236"/>
      <c r="E1124" s="1236"/>
      <c r="F1124" s="1344">
        <f>(1/S1124)*cnst_fish!$C$6</f>
        <v>2.3938164528281742</v>
      </c>
      <c r="G1124" s="1344">
        <f t="shared" si="163"/>
        <v>1</v>
      </c>
      <c r="H1124" s="1344">
        <f t="shared" si="163"/>
        <v>0.367192066876738</v>
      </c>
      <c r="I1124" s="1344">
        <f t="shared" si="157"/>
        <v>0</v>
      </c>
      <c r="J1124" s="902">
        <f t="shared" si="158"/>
        <v>0</v>
      </c>
      <c r="L1124" s="1460">
        <v>1967</v>
      </c>
      <c r="M1124" s="1236"/>
      <c r="N1124" s="1240" t="s">
        <v>2433</v>
      </c>
      <c r="O1124" s="1241" t="s">
        <v>4851</v>
      </c>
      <c r="P1124" s="910">
        <f t="shared" si="159"/>
        <v>0</v>
      </c>
      <c r="Q1124" s="910">
        <f t="shared" si="160"/>
        <v>1967</v>
      </c>
      <c r="R1124" s="1344">
        <f t="shared" si="161"/>
        <v>2.1</v>
      </c>
      <c r="S1124" s="1344">
        <f>(1/9)*cnst_fish!$C$7*(1/cnst_fish!$C$8)^(R1124-1)</f>
        <v>1.7754076320174161</v>
      </c>
      <c r="T1124" s="1362">
        <f t="shared" si="162"/>
        <v>301.72187792143444</v>
      </c>
      <c r="W1124" s="1612"/>
      <c r="X1124" s="1612"/>
      <c r="Y1124" s="1613"/>
      <c r="Z1124" s="1614"/>
      <c r="AA1124" s="1614"/>
      <c r="AB1124" s="1615"/>
      <c r="AC1124" s="1615"/>
      <c r="AD1124" s="583"/>
      <c r="AE1124" s="583"/>
    </row>
    <row r="1125" spans="1:31" ht="14">
      <c r="A1125" s="1384" t="s">
        <v>3543</v>
      </c>
      <c r="B1125" s="19" t="s">
        <v>4343</v>
      </c>
      <c r="C1125" s="1383">
        <v>2688</v>
      </c>
      <c r="D1125" s="1236">
        <v>9132</v>
      </c>
      <c r="E1125" s="1236"/>
      <c r="F1125" s="1344">
        <f>(1/S1125)*cnst_fish!$C$6</f>
        <v>2.3938164528281742</v>
      </c>
      <c r="G1125" s="1344">
        <f t="shared" si="163"/>
        <v>1</v>
      </c>
      <c r="H1125" s="1344">
        <f t="shared" si="163"/>
        <v>0.367192066876738</v>
      </c>
      <c r="I1125" s="1344">
        <f t="shared" si="157"/>
        <v>1400.7748801111029</v>
      </c>
      <c r="J1125" s="902">
        <f t="shared" si="158"/>
        <v>0</v>
      </c>
      <c r="L1125" s="1460">
        <v>56248</v>
      </c>
      <c r="M1125" s="1236"/>
      <c r="N1125" s="1240" t="s">
        <v>2433</v>
      </c>
      <c r="O1125" s="1241" t="s">
        <v>4851</v>
      </c>
      <c r="P1125" s="910">
        <f t="shared" si="159"/>
        <v>9132</v>
      </c>
      <c r="Q1125" s="910">
        <f t="shared" si="160"/>
        <v>56248</v>
      </c>
      <c r="R1125" s="1344">
        <f t="shared" si="161"/>
        <v>2.1</v>
      </c>
      <c r="S1125" s="1344">
        <f>(1/9)*cnst_fish!$C$7*(1/cnst_fish!$C$8)^(R1125-1)</f>
        <v>1.7754076320174161</v>
      </c>
      <c r="T1125" s="1362">
        <f t="shared" si="162"/>
        <v>8627.9878949287468</v>
      </c>
      <c r="W1125" s="1612"/>
      <c r="X1125" s="1612"/>
      <c r="Y1125" s="1613"/>
      <c r="Z1125" s="1614"/>
      <c r="AA1125" s="1614"/>
      <c r="AB1125" s="1615"/>
      <c r="AC1125" s="1615"/>
      <c r="AD1125" s="583"/>
      <c r="AE1125" s="583"/>
    </row>
    <row r="1126" spans="1:31" ht="14">
      <c r="A1126" s="1384" t="s">
        <v>4494</v>
      </c>
      <c r="B1126" s="19" t="s">
        <v>4344</v>
      </c>
      <c r="C1126" s="1383">
        <v>3529</v>
      </c>
      <c r="D1126" s="1236"/>
      <c r="E1126" s="1236"/>
      <c r="F1126" s="1344">
        <f>(1/S1126)*cnst_fish!$C$6</f>
        <v>2.3938164528281742</v>
      </c>
      <c r="G1126" s="1344">
        <f t="shared" si="163"/>
        <v>1</v>
      </c>
      <c r="H1126" s="1344">
        <f t="shared" si="163"/>
        <v>0.367192066876738</v>
      </c>
      <c r="I1126" s="1344">
        <f t="shared" si="157"/>
        <v>0</v>
      </c>
      <c r="J1126" s="902">
        <f t="shared" si="158"/>
        <v>0</v>
      </c>
      <c r="L1126" s="1460">
        <v>1577</v>
      </c>
      <c r="M1126" s="1236"/>
      <c r="N1126" s="1240" t="s">
        <v>2433</v>
      </c>
      <c r="O1126" s="1241" t="s">
        <v>4851</v>
      </c>
      <c r="P1126" s="910">
        <f t="shared" si="159"/>
        <v>0</v>
      </c>
      <c r="Q1126" s="910">
        <f t="shared" si="160"/>
        <v>1577</v>
      </c>
      <c r="R1126" s="1344">
        <f t="shared" si="161"/>
        <v>2.1</v>
      </c>
      <c r="S1126" s="1344">
        <f>(1/9)*cnst_fish!$C$7*(1/cnst_fish!$C$8)^(R1126-1)</f>
        <v>1.7754076320174161</v>
      </c>
      <c r="T1126" s="1362">
        <f t="shared" si="162"/>
        <v>241.89903481550692</v>
      </c>
      <c r="W1126" s="1612"/>
      <c r="X1126" s="1612"/>
      <c r="Y1126" s="1613"/>
      <c r="Z1126" s="1614"/>
      <c r="AA1126" s="1614"/>
      <c r="AB1126" s="1615"/>
      <c r="AC1126" s="1615"/>
      <c r="AD1126" s="583"/>
      <c r="AE1126" s="583"/>
    </row>
    <row r="1127" spans="1:31" ht="14">
      <c r="A1127" s="1384" t="s">
        <v>2342</v>
      </c>
      <c r="B1127" s="19" t="s">
        <v>4345</v>
      </c>
      <c r="C1127" s="1383">
        <v>2689</v>
      </c>
      <c r="D1127" s="1236"/>
      <c r="E1127" s="1236"/>
      <c r="F1127" s="1344">
        <f>(1/S1127)*cnst_fish!$C$6</f>
        <v>2.3938164528281742</v>
      </c>
      <c r="G1127" s="1344">
        <f t="shared" si="163"/>
        <v>1</v>
      </c>
      <c r="H1127" s="1344">
        <f t="shared" si="163"/>
        <v>0.367192066876738</v>
      </c>
      <c r="I1127" s="1344">
        <f t="shared" si="157"/>
        <v>0</v>
      </c>
      <c r="J1127" s="902">
        <f t="shared" si="158"/>
        <v>0</v>
      </c>
      <c r="L1127" s="1460">
        <v>0</v>
      </c>
      <c r="M1127" s="1236"/>
      <c r="N1127" s="1240" t="s">
        <v>2433</v>
      </c>
      <c r="O1127" s="1241" t="s">
        <v>4851</v>
      </c>
      <c r="P1127" s="910">
        <f t="shared" si="159"/>
        <v>0</v>
      </c>
      <c r="Q1127" s="910">
        <f t="shared" si="160"/>
        <v>0</v>
      </c>
      <c r="R1127" s="1344">
        <f t="shared" si="161"/>
        <v>2.1</v>
      </c>
      <c r="S1127" s="1344">
        <f>(1/9)*cnst_fish!$C$7*(1/cnst_fish!$C$8)^(R1127-1)</f>
        <v>1.7754076320174161</v>
      </c>
      <c r="T1127" s="1362">
        <f t="shared" si="162"/>
        <v>0</v>
      </c>
      <c r="W1127" s="1612"/>
      <c r="X1127" s="1612"/>
      <c r="Y1127" s="1613"/>
      <c r="Z1127" s="1614"/>
      <c r="AA1127" s="1614"/>
      <c r="AB1127" s="1615"/>
      <c r="AC1127" s="1615"/>
      <c r="AD1127" s="583"/>
      <c r="AE1127" s="583"/>
    </row>
    <row r="1128" spans="1:31" ht="14">
      <c r="A1128" s="1384" t="s">
        <v>3544</v>
      </c>
      <c r="B1128" s="19" t="s">
        <v>980</v>
      </c>
      <c r="C1128" s="1383">
        <v>3528</v>
      </c>
      <c r="D1128" s="1236"/>
      <c r="E1128" s="1236"/>
      <c r="F1128" s="1344">
        <f>(1/S1128)*cnst_fish!$C$6</f>
        <v>2.3938164528281742</v>
      </c>
      <c r="G1128" s="1344">
        <f t="shared" ref="G1128:H1147" si="164">G$7</f>
        <v>1</v>
      </c>
      <c r="H1128" s="1344">
        <f t="shared" si="164"/>
        <v>0.367192066876738</v>
      </c>
      <c r="I1128" s="1344">
        <f t="shared" si="157"/>
        <v>0</v>
      </c>
      <c r="J1128" s="902">
        <f t="shared" si="158"/>
        <v>0</v>
      </c>
      <c r="L1128" s="1460">
        <v>112</v>
      </c>
      <c r="M1128" s="1236"/>
      <c r="N1128" s="1240" t="s">
        <v>2433</v>
      </c>
      <c r="O1128" s="1241" t="s">
        <v>4851</v>
      </c>
      <c r="P1128" s="910">
        <f t="shared" si="159"/>
        <v>0</v>
      </c>
      <c r="Q1128" s="910">
        <f t="shared" si="160"/>
        <v>112</v>
      </c>
      <c r="R1128" s="1344">
        <f t="shared" si="161"/>
        <v>2.1</v>
      </c>
      <c r="S1128" s="1344">
        <f>(1/9)*cnst_fish!$C$7*(1/cnst_fish!$C$8)^(R1128-1)</f>
        <v>1.7754076320174161</v>
      </c>
      <c r="T1128" s="1362">
        <f t="shared" si="162"/>
        <v>17.179893404779186</v>
      </c>
      <c r="W1128" s="1612"/>
      <c r="X1128" s="1612"/>
      <c r="Y1128" s="1613"/>
      <c r="Z1128" s="1614"/>
      <c r="AA1128" s="1614"/>
      <c r="AB1128" s="1615"/>
      <c r="AC1128" s="1615"/>
      <c r="AD1128" s="583"/>
      <c r="AE1128" s="583"/>
    </row>
    <row r="1129" spans="1:31" ht="14">
      <c r="A1129" s="1384" t="s">
        <v>2991</v>
      </c>
      <c r="B1129" s="19" t="s">
        <v>2500</v>
      </c>
      <c r="C1129" s="1383">
        <v>16073</v>
      </c>
      <c r="D1129" s="1236">
        <v>4108</v>
      </c>
      <c r="E1129" s="1236"/>
      <c r="F1129" s="1344">
        <f>(1/S1129)*cnst_fish!$C$6</f>
        <v>2.8780003842373291E-2</v>
      </c>
      <c r="G1129" s="1344">
        <f t="shared" si="164"/>
        <v>1</v>
      </c>
      <c r="H1129" s="1344">
        <f t="shared" si="164"/>
        <v>0.367192066876738</v>
      </c>
      <c r="I1129" s="1344">
        <f t="shared" si="157"/>
        <v>52412.258837462687</v>
      </c>
      <c r="J1129" s="902">
        <f t="shared" si="158"/>
        <v>0</v>
      </c>
      <c r="L1129" s="1460">
        <v>4133</v>
      </c>
      <c r="M1129" s="1236"/>
      <c r="N1129" s="1240" t="s">
        <v>1806</v>
      </c>
      <c r="O1129" s="1241" t="s">
        <v>4841</v>
      </c>
      <c r="P1129" s="910">
        <f t="shared" si="159"/>
        <v>4108</v>
      </c>
      <c r="Q1129" s="910">
        <f t="shared" si="160"/>
        <v>4133</v>
      </c>
      <c r="R1129" s="1344">
        <f t="shared" si="161"/>
        <v>4.0199999999999996</v>
      </c>
      <c r="S1129" s="1344">
        <f>(1/9)*cnst_fish!$C$7*(1/cnst_fish!$C$8)^(R1129-1)</f>
        <v>147.67197472512677</v>
      </c>
      <c r="T1129" s="1362">
        <f t="shared" si="162"/>
        <v>52731.223411692619</v>
      </c>
      <c r="W1129" s="1612"/>
      <c r="X1129" s="1612"/>
      <c r="Y1129" s="1613"/>
      <c r="Z1129" s="1614"/>
      <c r="AA1129" s="1614"/>
      <c r="AB1129" s="1615"/>
      <c r="AC1129" s="1615"/>
      <c r="AD1129" s="583"/>
      <c r="AE1129" s="583"/>
    </row>
    <row r="1130" spans="1:31" ht="14">
      <c r="A1130" s="1384" t="s">
        <v>3900</v>
      </c>
      <c r="B1130" s="19" t="s">
        <v>1460</v>
      </c>
      <c r="C1130" s="1383">
        <v>13661</v>
      </c>
      <c r="D1130" s="1236"/>
      <c r="E1130" s="1236"/>
      <c r="F1130" s="1344">
        <f>(1/S1130)*cnst_fish!$C$6</f>
        <v>2.0374682394767456</v>
      </c>
      <c r="G1130" s="1344">
        <f t="shared" si="164"/>
        <v>1</v>
      </c>
      <c r="H1130" s="1344">
        <f t="shared" si="164"/>
        <v>0.367192066876738</v>
      </c>
      <c r="I1130" s="1344">
        <f t="shared" si="157"/>
        <v>0</v>
      </c>
      <c r="J1130" s="902">
        <f t="shared" si="158"/>
        <v>0</v>
      </c>
      <c r="L1130" s="1460">
        <v>318</v>
      </c>
      <c r="M1130" s="1236"/>
      <c r="N1130" s="1240" t="s">
        <v>1806</v>
      </c>
      <c r="O1130" s="1241" t="s">
        <v>4841</v>
      </c>
      <c r="P1130" s="910">
        <f t="shared" si="159"/>
        <v>0</v>
      </c>
      <c r="Q1130" s="910">
        <f t="shared" si="160"/>
        <v>318</v>
      </c>
      <c r="R1130" s="1344">
        <f t="shared" si="161"/>
        <v>2.17</v>
      </c>
      <c r="S1130" s="1344">
        <f>(1/9)*cnst_fish!$C$7*(1/cnst_fish!$C$8)^(R1130-1)</f>
        <v>2.0859220858782406</v>
      </c>
      <c r="T1130" s="1362">
        <f t="shared" si="162"/>
        <v>57.30988832335877</v>
      </c>
      <c r="W1130" s="1612"/>
      <c r="X1130" s="1612"/>
      <c r="Y1130" s="1613"/>
      <c r="Z1130" s="1614"/>
      <c r="AA1130" s="1614"/>
      <c r="AB1130" s="1615"/>
      <c r="AC1130" s="1615"/>
      <c r="AD1130" s="583"/>
      <c r="AE1130" s="583"/>
    </row>
    <row r="1131" spans="1:31" ht="14">
      <c r="A1131" s="1384" t="s">
        <v>3805</v>
      </c>
      <c r="B1131" s="19" t="s">
        <v>1383</v>
      </c>
      <c r="C1131" s="1383">
        <v>3397</v>
      </c>
      <c r="D1131" s="1236">
        <v>1647</v>
      </c>
      <c r="E1131" s="1236"/>
      <c r="F1131" s="1344">
        <f>(1/S1131)*cnst_fish!$C$6</f>
        <v>1.9014759972289452</v>
      </c>
      <c r="G1131" s="1344">
        <f t="shared" si="164"/>
        <v>1</v>
      </c>
      <c r="H1131" s="1344">
        <f t="shared" si="164"/>
        <v>0.367192066876738</v>
      </c>
      <c r="I1131" s="1344">
        <f t="shared" si="157"/>
        <v>318.05046975471828</v>
      </c>
      <c r="J1131" s="902">
        <f t="shared" si="158"/>
        <v>0</v>
      </c>
      <c r="L1131" s="1460">
        <v>1082792</v>
      </c>
      <c r="M1131" s="1236">
        <v>63680</v>
      </c>
      <c r="N1131" s="1240" t="s">
        <v>2441</v>
      </c>
      <c r="O1131" s="1241" t="s">
        <v>4840</v>
      </c>
      <c r="P1131" s="910">
        <f t="shared" si="159"/>
        <v>1647</v>
      </c>
      <c r="Q1131" s="910">
        <f t="shared" si="160"/>
        <v>1146472</v>
      </c>
      <c r="R1131" s="1344">
        <f t="shared" si="161"/>
        <v>2.2000000000000002</v>
      </c>
      <c r="S1131" s="1344">
        <f>(1/9)*cnst_fish!$C$7*(1/cnst_fish!$C$8)^(R1131-1)</f>
        <v>2.2351057842400328</v>
      </c>
      <c r="T1131" s="1362">
        <f t="shared" si="162"/>
        <v>221394.02438411134</v>
      </c>
      <c r="W1131" s="1612"/>
      <c r="X1131" s="1612"/>
      <c r="Y1131" s="1613"/>
      <c r="Z1131" s="1614"/>
      <c r="AA1131" s="1614"/>
      <c r="AB1131" s="1615"/>
      <c r="AC1131" s="1615"/>
      <c r="AD1131" s="583"/>
      <c r="AE1131" s="583"/>
    </row>
    <row r="1132" spans="1:31" ht="14">
      <c r="A1132" s="1384" t="s">
        <v>3991</v>
      </c>
      <c r="B1132" s="19" t="s">
        <v>3992</v>
      </c>
      <c r="C1132" s="1383">
        <v>13664</v>
      </c>
      <c r="D1132" s="1236"/>
      <c r="E1132" s="1236"/>
      <c r="F1132" s="1344">
        <f>(1/S1132)*cnst_fish!$C$6</f>
        <v>3.1556646698079359E-2</v>
      </c>
      <c r="G1132" s="1344">
        <f t="shared" si="164"/>
        <v>1</v>
      </c>
      <c r="H1132" s="1344">
        <f t="shared" si="164"/>
        <v>0.367192066876738</v>
      </c>
      <c r="I1132" s="1344">
        <f t="shared" si="157"/>
        <v>0</v>
      </c>
      <c r="J1132" s="902">
        <f t="shared" si="158"/>
        <v>0</v>
      </c>
      <c r="L1132" s="1460">
        <v>30</v>
      </c>
      <c r="M1132" s="1236"/>
      <c r="N1132" s="1240" t="s">
        <v>1806</v>
      </c>
      <c r="O1132" s="1241" t="s">
        <v>4859</v>
      </c>
      <c r="P1132" s="910">
        <f t="shared" si="159"/>
        <v>0</v>
      </c>
      <c r="Q1132" s="910">
        <f t="shared" si="160"/>
        <v>30</v>
      </c>
      <c r="R1132" s="1344">
        <f t="shared" si="161"/>
        <v>3.98</v>
      </c>
      <c r="S1132" s="1344">
        <f>(1/9)*cnst_fish!$C$7*(1/cnst_fish!$C$8)^(R1132-1)</f>
        <v>134.67844161840773</v>
      </c>
      <c r="T1132" s="1362">
        <f t="shared" si="162"/>
        <v>349.07897888189098</v>
      </c>
      <c r="W1132" s="1612"/>
      <c r="X1132" s="1612"/>
      <c r="Y1132" s="1613"/>
      <c r="Z1132" s="1614"/>
      <c r="AA1132" s="1614"/>
      <c r="AB1132" s="1615"/>
      <c r="AC1132" s="1615"/>
      <c r="AD1132" s="583"/>
      <c r="AE1132" s="583"/>
    </row>
    <row r="1133" spans="1:31" ht="14">
      <c r="A1133" s="1384" t="s">
        <v>560</v>
      </c>
      <c r="B1133" s="19" t="s">
        <v>561</v>
      </c>
      <c r="C1133" s="1383">
        <v>2638</v>
      </c>
      <c r="D1133" s="1236"/>
      <c r="E1133" s="1236"/>
      <c r="F1133" s="1344">
        <f>(1/S1133)*cnst_fish!$C$6</f>
        <v>0.75699122913220485</v>
      </c>
      <c r="G1133" s="1344">
        <f t="shared" si="164"/>
        <v>1</v>
      </c>
      <c r="H1133" s="1344">
        <f t="shared" si="164"/>
        <v>0.367192066876738</v>
      </c>
      <c r="I1133" s="1344">
        <f t="shared" si="157"/>
        <v>0</v>
      </c>
      <c r="J1133" s="902">
        <f t="shared" si="158"/>
        <v>0</v>
      </c>
      <c r="L1133" s="1460">
        <v>649</v>
      </c>
      <c r="M1133" s="1236"/>
      <c r="N1133" s="1240" t="s">
        <v>2430</v>
      </c>
      <c r="O1133" s="1241" t="s">
        <v>4840</v>
      </c>
      <c r="P1133" s="910">
        <f t="shared" si="159"/>
        <v>0</v>
      </c>
      <c r="Q1133" s="910">
        <f t="shared" si="160"/>
        <v>649</v>
      </c>
      <c r="R1133" s="1344">
        <f t="shared" si="161"/>
        <v>2.6</v>
      </c>
      <c r="S1133" s="1344">
        <f>(1/9)*cnst_fish!$C$7*(1/cnst_fish!$C$8)^(R1133-1)</f>
        <v>5.6143318924211183</v>
      </c>
      <c r="T1133" s="1362">
        <f t="shared" si="162"/>
        <v>314.80899940702443</v>
      </c>
      <c r="W1133" s="1612"/>
      <c r="X1133" s="1612"/>
      <c r="Y1133" s="1613"/>
      <c r="Z1133" s="1614"/>
      <c r="AA1133" s="1614"/>
      <c r="AB1133" s="1615"/>
      <c r="AC1133" s="1615"/>
      <c r="AD1133" s="583"/>
      <c r="AE1133" s="583"/>
    </row>
    <row r="1134" spans="1:31" ht="14">
      <c r="A1134" s="1384" t="s">
        <v>943</v>
      </c>
      <c r="B1134" s="19" t="s">
        <v>2254</v>
      </c>
      <c r="C1134" s="1383">
        <v>2026</v>
      </c>
      <c r="D1134" s="1236">
        <v>21</v>
      </c>
      <c r="E1134" s="1236"/>
      <c r="F1134" s="1344">
        <f>(1/S1134)*cnst_fish!$C$6</f>
        <v>1.2855555498429807E-2</v>
      </c>
      <c r="G1134" s="1344">
        <f t="shared" si="164"/>
        <v>1</v>
      </c>
      <c r="H1134" s="1344">
        <f t="shared" si="164"/>
        <v>0.367192066876738</v>
      </c>
      <c r="I1134" s="1344">
        <f t="shared" si="157"/>
        <v>599.82109721772292</v>
      </c>
      <c r="J1134" s="902">
        <f t="shared" si="158"/>
        <v>0</v>
      </c>
      <c r="L1134" s="1460">
        <v>21</v>
      </c>
      <c r="M1134" s="1236"/>
      <c r="N1134" s="1240" t="s">
        <v>3927</v>
      </c>
      <c r="O1134" s="1241" t="s">
        <v>4841</v>
      </c>
      <c r="P1134" s="910">
        <f t="shared" si="159"/>
        <v>21</v>
      </c>
      <c r="Q1134" s="910">
        <f t="shared" si="160"/>
        <v>21</v>
      </c>
      <c r="R1134" s="1344">
        <f t="shared" si="161"/>
        <v>4.37</v>
      </c>
      <c r="S1134" s="1344">
        <f>(1/9)*cnst_fish!$C$7*(1/cnst_fish!$C$8)^(R1134-1)</f>
        <v>330.59637139127125</v>
      </c>
      <c r="T1134" s="1362">
        <f t="shared" si="162"/>
        <v>599.82109721772292</v>
      </c>
      <c r="W1134" s="1612"/>
      <c r="X1134" s="1612"/>
      <c r="Y1134" s="1613"/>
      <c r="Z1134" s="1614"/>
      <c r="AA1134" s="1614"/>
      <c r="AB1134" s="1615"/>
      <c r="AC1134" s="1615"/>
      <c r="AD1134" s="583"/>
      <c r="AE1134" s="583"/>
    </row>
    <row r="1135" spans="1:31" ht="14">
      <c r="A1135" s="1384" t="s">
        <v>165</v>
      </c>
      <c r="B1135" s="19" t="s">
        <v>2884</v>
      </c>
      <c r="C1135" s="1383">
        <v>2428</v>
      </c>
      <c r="D1135" s="1236"/>
      <c r="E1135" s="1236"/>
      <c r="F1135" s="1344">
        <f>(1/S1135)*cnst_fish!$C$6</f>
        <v>0.11724405960509449</v>
      </c>
      <c r="G1135" s="1344">
        <f t="shared" si="164"/>
        <v>1</v>
      </c>
      <c r="H1135" s="1344">
        <f t="shared" si="164"/>
        <v>0.367192066876738</v>
      </c>
      <c r="I1135" s="1344">
        <f t="shared" si="157"/>
        <v>0</v>
      </c>
      <c r="J1135" s="902">
        <f t="shared" si="158"/>
        <v>0</v>
      </c>
      <c r="L1135" s="1460">
        <v>0</v>
      </c>
      <c r="M1135" s="1236"/>
      <c r="N1135" s="1240" t="s">
        <v>1806</v>
      </c>
      <c r="O1135" s="1241" t="s">
        <v>4841</v>
      </c>
      <c r="P1135" s="910">
        <f t="shared" si="159"/>
        <v>0</v>
      </c>
      <c r="Q1135" s="910">
        <f t="shared" si="160"/>
        <v>0</v>
      </c>
      <c r="R1135" s="1344">
        <f t="shared" si="161"/>
        <v>3.41</v>
      </c>
      <c r="S1135" s="1344">
        <f>(1/9)*cnst_fish!$C$7*(1/cnst_fish!$C$8)^(R1135-1)</f>
        <v>36.24917129545836</v>
      </c>
      <c r="T1135" s="1362">
        <f t="shared" si="162"/>
        <v>0</v>
      </c>
      <c r="W1135" s="1612"/>
      <c r="X1135" s="1612"/>
      <c r="Y1135" s="1613"/>
      <c r="Z1135" s="1614"/>
      <c r="AA1135" s="1614"/>
      <c r="AB1135" s="1615"/>
      <c r="AC1135" s="1615"/>
      <c r="AD1135" s="583"/>
      <c r="AE1135" s="583"/>
    </row>
    <row r="1136" spans="1:31" ht="14">
      <c r="A1136" s="1384" t="s">
        <v>3446</v>
      </c>
      <c r="B1136" s="19" t="s">
        <v>2885</v>
      </c>
      <c r="C1136" s="1383">
        <v>2429</v>
      </c>
      <c r="D1136" s="1236"/>
      <c r="E1136" s="1236"/>
      <c r="F1136" s="1344">
        <f>(1/S1136)*cnst_fish!$C$6</f>
        <v>0.12562927329128742</v>
      </c>
      <c r="G1136" s="1344">
        <f t="shared" si="164"/>
        <v>1</v>
      </c>
      <c r="H1136" s="1344">
        <f t="shared" si="164"/>
        <v>0.367192066876738</v>
      </c>
      <c r="I1136" s="1344">
        <f t="shared" si="157"/>
        <v>0</v>
      </c>
      <c r="J1136" s="902">
        <f t="shared" si="158"/>
        <v>0</v>
      </c>
      <c r="L1136" s="1460">
        <v>6001</v>
      </c>
      <c r="M1136" s="1236"/>
      <c r="N1136" s="1240" t="s">
        <v>1806</v>
      </c>
      <c r="O1136" s="1241" t="s">
        <v>4841</v>
      </c>
      <c r="P1136" s="910">
        <f t="shared" si="159"/>
        <v>0</v>
      </c>
      <c r="Q1136" s="910">
        <f t="shared" si="160"/>
        <v>6001</v>
      </c>
      <c r="R1136" s="1344">
        <f t="shared" si="161"/>
        <v>3.38</v>
      </c>
      <c r="S1136" s="1344">
        <f>(1/9)*cnst_fish!$C$7*(1/cnst_fish!$C$8)^(R1136-1)</f>
        <v>33.829695011813328</v>
      </c>
      <c r="T1136" s="1362">
        <f t="shared" si="162"/>
        <v>17539.857834074744</v>
      </c>
      <c r="W1136" s="1612"/>
      <c r="X1136" s="1612"/>
      <c r="Y1136" s="1613"/>
      <c r="Z1136" s="1614"/>
      <c r="AA1136" s="1614"/>
      <c r="AB1136" s="1615"/>
      <c r="AC1136" s="1615"/>
      <c r="AD1136" s="583"/>
      <c r="AE1136" s="583"/>
    </row>
    <row r="1137" spans="1:31" ht="14">
      <c r="A1137" s="1384" t="s">
        <v>4096</v>
      </c>
      <c r="B1137" s="19" t="s">
        <v>1567</v>
      </c>
      <c r="C1137" s="1383">
        <v>13689</v>
      </c>
      <c r="D1137" s="1236"/>
      <c r="E1137" s="1236"/>
      <c r="F1137" s="1344">
        <f>(1/S1137)*cnst_fish!$C$6</f>
        <v>0.64430402969999101</v>
      </c>
      <c r="G1137" s="1344">
        <f t="shared" si="164"/>
        <v>1</v>
      </c>
      <c r="H1137" s="1344">
        <f t="shared" si="164"/>
        <v>0.367192066876738</v>
      </c>
      <c r="I1137" s="1344">
        <f t="shared" si="157"/>
        <v>0</v>
      </c>
      <c r="J1137" s="902">
        <f t="shared" si="158"/>
        <v>0</v>
      </c>
      <c r="L1137" s="1460">
        <v>425</v>
      </c>
      <c r="M1137" s="1236"/>
      <c r="N1137" s="1240" t="s">
        <v>1806</v>
      </c>
      <c r="O1137" s="1241" t="s">
        <v>4845</v>
      </c>
      <c r="P1137" s="910">
        <f t="shared" si="159"/>
        <v>0</v>
      </c>
      <c r="Q1137" s="910">
        <f t="shared" si="160"/>
        <v>425</v>
      </c>
      <c r="R1137" s="1344">
        <f t="shared" si="161"/>
        <v>2.67</v>
      </c>
      <c r="S1137" s="1344">
        <f>(1/9)*cnst_fish!$C$7*(1/cnst_fish!$C$8)^(R1137-1)</f>
        <v>6.5962648130245887</v>
      </c>
      <c r="T1137" s="1362">
        <f t="shared" si="162"/>
        <v>242.20961103607982</v>
      </c>
      <c r="W1137" s="1612"/>
      <c r="X1137" s="1612"/>
      <c r="Y1137" s="1613"/>
      <c r="Z1137" s="1614"/>
      <c r="AA1137" s="1614"/>
      <c r="AB1137" s="1615"/>
      <c r="AC1137" s="1615"/>
      <c r="AD1137" s="583"/>
      <c r="AE1137" s="583"/>
    </row>
    <row r="1138" spans="1:31" ht="14">
      <c r="A1138" s="1384" t="s">
        <v>4643</v>
      </c>
      <c r="B1138" s="19" t="s">
        <v>4644</v>
      </c>
      <c r="C1138" s="1383">
        <v>16476</v>
      </c>
      <c r="D1138" s="1236"/>
      <c r="E1138" s="1236"/>
      <c r="F1138" s="1344">
        <f>(1/S1138)*cnst_fish!$C$6</f>
        <v>1.0179208487545861</v>
      </c>
      <c r="G1138" s="1344">
        <f t="shared" si="164"/>
        <v>1</v>
      </c>
      <c r="H1138" s="1344">
        <f t="shared" si="164"/>
        <v>0.367192066876738</v>
      </c>
      <c r="I1138" s="1344">
        <f t="shared" si="157"/>
        <v>0</v>
      </c>
      <c r="J1138" s="902">
        <f t="shared" si="158"/>
        <v>0</v>
      </c>
      <c r="L1138" s="1460">
        <v>24000</v>
      </c>
      <c r="M1138" s="1236"/>
      <c r="N1138" s="1240" t="s">
        <v>2441</v>
      </c>
      <c r="O1138" s="1241" t="s">
        <v>4840</v>
      </c>
      <c r="P1138" s="910">
        <f t="shared" si="159"/>
        <v>0</v>
      </c>
      <c r="Q1138" s="910">
        <f t="shared" si="160"/>
        <v>24000</v>
      </c>
      <c r="R1138" s="1344">
        <f t="shared" si="161"/>
        <v>2.4713768380352099</v>
      </c>
      <c r="S1138" s="1344">
        <f>(1/9)*cnst_fish!$C$7*(1/cnst_fish!$C$8)^(R1138-1)</f>
        <v>4.1751772794513675</v>
      </c>
      <c r="T1138" s="1362">
        <f t="shared" si="162"/>
        <v>8657.4605636811866</v>
      </c>
      <c r="W1138" s="1612"/>
      <c r="X1138" s="1612"/>
      <c r="Y1138" s="1613"/>
      <c r="Z1138" s="1614"/>
      <c r="AA1138" s="1614"/>
      <c r="AB1138" s="1615"/>
      <c r="AC1138" s="1615"/>
      <c r="AD1138" s="583"/>
      <c r="AE1138" s="583"/>
    </row>
    <row r="1139" spans="1:31" ht="14">
      <c r="A1139" s="1384" t="s">
        <v>5438</v>
      </c>
      <c r="B1139" s="19" t="s">
        <v>3331</v>
      </c>
      <c r="C1139" s="1383">
        <v>16475</v>
      </c>
      <c r="D1139" s="1236"/>
      <c r="E1139" s="1236"/>
      <c r="F1139" s="1344">
        <f>(1/S1139)*cnst_fish!$C$6</f>
        <v>1.0179208487545861</v>
      </c>
      <c r="G1139" s="1344">
        <f t="shared" si="164"/>
        <v>1</v>
      </c>
      <c r="H1139" s="1344">
        <f t="shared" si="164"/>
        <v>0.367192066876738</v>
      </c>
      <c r="I1139" s="1344">
        <f t="shared" si="157"/>
        <v>0</v>
      </c>
      <c r="J1139" s="902">
        <f t="shared" si="158"/>
        <v>0</v>
      </c>
      <c r="L1139" s="1460">
        <v>685</v>
      </c>
      <c r="M1139" s="1236"/>
      <c r="N1139" s="1240" t="s">
        <v>2441</v>
      </c>
      <c r="O1139" s="1241" t="s">
        <v>4840</v>
      </c>
      <c r="P1139" s="910">
        <f t="shared" si="159"/>
        <v>0</v>
      </c>
      <c r="Q1139" s="910">
        <f t="shared" si="160"/>
        <v>685</v>
      </c>
      <c r="R1139" s="1344">
        <f t="shared" si="161"/>
        <v>2.4713768380352099</v>
      </c>
      <c r="S1139" s="1344">
        <f>(1/9)*cnst_fish!$C$7*(1/cnst_fish!$C$8)^(R1139-1)</f>
        <v>4.1751772794513675</v>
      </c>
      <c r="T1139" s="1362">
        <f t="shared" si="162"/>
        <v>247.09835358840056</v>
      </c>
      <c r="W1139" s="1612"/>
      <c r="X1139" s="1612"/>
      <c r="Y1139" s="1613"/>
      <c r="Z1139" s="1614"/>
      <c r="AA1139" s="1614"/>
      <c r="AB1139" s="1615"/>
      <c r="AC1139" s="1615"/>
      <c r="AD1139" s="583"/>
      <c r="AE1139" s="583"/>
    </row>
    <row r="1140" spans="1:31" ht="14">
      <c r="A1140" s="1384" t="s">
        <v>4326</v>
      </c>
      <c r="B1140" s="19" t="s">
        <v>1030</v>
      </c>
      <c r="C1140" s="1383">
        <v>2335</v>
      </c>
      <c r="D1140" s="1236"/>
      <c r="E1140" s="1236"/>
      <c r="F1140" s="1344">
        <f>(1/S1140)*cnst_fish!$C$6</f>
        <v>6.1530557150722649E-2</v>
      </c>
      <c r="G1140" s="1344">
        <f t="shared" si="164"/>
        <v>1</v>
      </c>
      <c r="H1140" s="1344">
        <f t="shared" si="164"/>
        <v>0.367192066876738</v>
      </c>
      <c r="I1140" s="1344">
        <f t="shared" si="157"/>
        <v>0</v>
      </c>
      <c r="J1140" s="902">
        <f t="shared" si="158"/>
        <v>0</v>
      </c>
      <c r="L1140" s="1460">
        <v>8093</v>
      </c>
      <c r="M1140" s="1236"/>
      <c r="N1140" s="1240" t="s">
        <v>1806</v>
      </c>
      <c r="O1140" s="1241" t="s">
        <v>4841</v>
      </c>
      <c r="P1140" s="910">
        <f t="shared" si="159"/>
        <v>0</v>
      </c>
      <c r="Q1140" s="910">
        <f t="shared" si="160"/>
        <v>8093</v>
      </c>
      <c r="R1140" s="1344">
        <f t="shared" si="161"/>
        <v>3.69</v>
      </c>
      <c r="S1140" s="1344">
        <f>(1/9)*cnst_fish!$C$7*(1/cnst_fish!$C$8)^(R1140-1)</f>
        <v>69.071371962216759</v>
      </c>
      <c r="T1140" s="1362">
        <f t="shared" si="162"/>
        <v>48296.091159293836</v>
      </c>
      <c r="W1140" s="1612"/>
      <c r="X1140" s="1612"/>
      <c r="Y1140" s="1613"/>
      <c r="Z1140" s="1614"/>
      <c r="AA1140" s="1614"/>
      <c r="AB1140" s="1615"/>
      <c r="AC1140" s="1615"/>
      <c r="AD1140" s="583"/>
      <c r="AE1140" s="583"/>
    </row>
    <row r="1141" spans="1:31" ht="14">
      <c r="A1141" s="1384" t="s">
        <v>4729</v>
      </c>
      <c r="B1141" s="19" t="s">
        <v>1031</v>
      </c>
      <c r="C1141" s="1383">
        <v>13703</v>
      </c>
      <c r="D1141" s="1236"/>
      <c r="E1141" s="1236"/>
      <c r="F1141" s="1344">
        <f>(1/S1141)*cnst_fish!$C$6</f>
        <v>5.1178888253733429E-2</v>
      </c>
      <c r="G1141" s="1344">
        <f t="shared" si="164"/>
        <v>1</v>
      </c>
      <c r="H1141" s="1344">
        <f t="shared" si="164"/>
        <v>0.367192066876738</v>
      </c>
      <c r="I1141" s="1344">
        <f t="shared" si="157"/>
        <v>0</v>
      </c>
      <c r="J1141" s="902">
        <f t="shared" si="158"/>
        <v>0</v>
      </c>
      <c r="L1141" s="1460">
        <v>5677</v>
      </c>
      <c r="M1141" s="1236"/>
      <c r="N1141" s="1240" t="s">
        <v>1806</v>
      </c>
      <c r="O1141" s="1241" t="s">
        <v>4841</v>
      </c>
      <c r="P1141" s="910">
        <f t="shared" si="159"/>
        <v>0</v>
      </c>
      <c r="Q1141" s="910">
        <f t="shared" si="160"/>
        <v>5677</v>
      </c>
      <c r="R1141" s="1344">
        <f t="shared" si="161"/>
        <v>3.77</v>
      </c>
      <c r="S1141" s="1344">
        <f>(1/9)*cnst_fish!$C$7*(1/cnst_fish!$C$8)^(R1141-1)</f>
        <v>83.042053960403649</v>
      </c>
      <c r="T1141" s="1362">
        <f t="shared" si="162"/>
        <v>40730.64958590961</v>
      </c>
      <c r="W1141" s="1612"/>
      <c r="X1141" s="1612"/>
      <c r="Y1141" s="1613"/>
      <c r="Z1141" s="1614"/>
      <c r="AA1141" s="1614"/>
      <c r="AB1141" s="1615"/>
      <c r="AC1141" s="1615"/>
      <c r="AD1141" s="583"/>
      <c r="AE1141" s="583"/>
    </row>
    <row r="1142" spans="1:31" ht="14">
      <c r="A1142" s="1384" t="s">
        <v>2664</v>
      </c>
      <c r="B1142" s="19" t="s">
        <v>1032</v>
      </c>
      <c r="C1142" s="1383">
        <v>18950</v>
      </c>
      <c r="D1142" s="1236"/>
      <c r="E1142" s="1236"/>
      <c r="F1142" s="1344">
        <f>(1/S1142)*cnst_fish!$C$6</f>
        <v>7.5699122913220479E-2</v>
      </c>
      <c r="G1142" s="1344">
        <f t="shared" si="164"/>
        <v>1</v>
      </c>
      <c r="H1142" s="1344">
        <f t="shared" si="164"/>
        <v>0.367192066876738</v>
      </c>
      <c r="I1142" s="1344">
        <f t="shared" si="157"/>
        <v>0</v>
      </c>
      <c r="J1142" s="902">
        <f t="shared" si="158"/>
        <v>0</v>
      </c>
      <c r="L1142" s="1460">
        <v>108</v>
      </c>
      <c r="M1142" s="1236"/>
      <c r="N1142" s="1240" t="s">
        <v>1806</v>
      </c>
      <c r="O1142" s="1241" t="s">
        <v>4841</v>
      </c>
      <c r="P1142" s="910">
        <f t="shared" si="159"/>
        <v>0</v>
      </c>
      <c r="Q1142" s="910">
        <f t="shared" si="160"/>
        <v>108</v>
      </c>
      <c r="R1142" s="1344">
        <f t="shared" si="161"/>
        <v>3.6</v>
      </c>
      <c r="S1142" s="1344">
        <f>(1/9)*cnst_fish!$C$7*(1/cnst_fish!$C$8)^(R1142-1)</f>
        <v>56.143318924211187</v>
      </c>
      <c r="T1142" s="1362">
        <f t="shared" si="162"/>
        <v>523.87321935221325</v>
      </c>
      <c r="W1142" s="1612"/>
      <c r="X1142" s="1612"/>
      <c r="Y1142" s="1613"/>
      <c r="Z1142" s="1614"/>
      <c r="AA1142" s="1614"/>
      <c r="AB1142" s="1615"/>
      <c r="AC1142" s="1615"/>
      <c r="AD1142" s="583"/>
      <c r="AE1142" s="583"/>
    </row>
    <row r="1143" spans="1:31" ht="14">
      <c r="A1143" s="1384" t="s">
        <v>2336</v>
      </c>
      <c r="B1143" s="19" t="s">
        <v>1033</v>
      </c>
      <c r="C1143" s="1383">
        <v>3139</v>
      </c>
      <c r="D1143" s="1236"/>
      <c r="E1143" s="1236"/>
      <c r="F1143" s="1344">
        <f>(1/S1143)*cnst_fish!$C$6</f>
        <v>5.1178888253733429E-2</v>
      </c>
      <c r="G1143" s="1344">
        <f t="shared" si="164"/>
        <v>1</v>
      </c>
      <c r="H1143" s="1344">
        <f t="shared" si="164"/>
        <v>0.367192066876738</v>
      </c>
      <c r="I1143" s="1344">
        <f t="shared" si="157"/>
        <v>0</v>
      </c>
      <c r="J1143" s="902">
        <f t="shared" si="158"/>
        <v>0</v>
      </c>
      <c r="L1143" s="1460">
        <v>574338</v>
      </c>
      <c r="M1143" s="1236"/>
      <c r="N1143" s="1240" t="s">
        <v>1806</v>
      </c>
      <c r="O1143" s="1241" t="s">
        <v>4841</v>
      </c>
      <c r="P1143" s="910">
        <f t="shared" si="159"/>
        <v>0</v>
      </c>
      <c r="Q1143" s="910">
        <f t="shared" si="160"/>
        <v>574338</v>
      </c>
      <c r="R1143" s="1344">
        <f t="shared" si="161"/>
        <v>3.77</v>
      </c>
      <c r="S1143" s="1344">
        <f>(1/9)*cnst_fish!$C$7*(1/cnst_fish!$C$8)^(R1143-1)</f>
        <v>83.042053960403649</v>
      </c>
      <c r="T1143" s="1362">
        <f t="shared" si="162"/>
        <v>4120690.4741715961</v>
      </c>
      <c r="W1143" s="1612"/>
      <c r="X1143" s="1612"/>
      <c r="Y1143" s="1613"/>
      <c r="Z1143" s="1614"/>
      <c r="AA1143" s="1614"/>
      <c r="AB1143" s="1615"/>
      <c r="AC1143" s="1615"/>
      <c r="AD1143" s="583"/>
      <c r="AE1143" s="583"/>
    </row>
    <row r="1144" spans="1:31" ht="14">
      <c r="A1144" s="1384" t="s">
        <v>4526</v>
      </c>
      <c r="B1144" s="19" t="s">
        <v>1034</v>
      </c>
      <c r="C1144" s="1383">
        <v>3140</v>
      </c>
      <c r="D1144" s="1236"/>
      <c r="E1144" s="1236"/>
      <c r="F1144" s="1344">
        <f>(1/S1144)*cnst_fish!$C$6</f>
        <v>3.0838329721915438E-2</v>
      </c>
      <c r="G1144" s="1344">
        <f t="shared" si="164"/>
        <v>1</v>
      </c>
      <c r="H1144" s="1344">
        <f t="shared" si="164"/>
        <v>0.367192066876738</v>
      </c>
      <c r="I1144" s="1344">
        <f t="shared" si="157"/>
        <v>0</v>
      </c>
      <c r="J1144" s="902">
        <f t="shared" si="158"/>
        <v>0</v>
      </c>
      <c r="L1144" s="1460">
        <v>1153</v>
      </c>
      <c r="M1144" s="1236"/>
      <c r="N1144" s="1240" t="s">
        <v>1806</v>
      </c>
      <c r="O1144" s="1241" t="s">
        <v>4841</v>
      </c>
      <c r="P1144" s="910">
        <f t="shared" si="159"/>
        <v>0</v>
      </c>
      <c r="Q1144" s="910">
        <f t="shared" si="160"/>
        <v>1153</v>
      </c>
      <c r="R1144" s="1344">
        <f t="shared" si="161"/>
        <v>3.99</v>
      </c>
      <c r="S1144" s="1344">
        <f>(1/9)*cnst_fish!$C$7*(1/cnst_fish!$C$8)^(R1144-1)</f>
        <v>137.81550551940927</v>
      </c>
      <c r="T1144" s="1362">
        <f t="shared" si="162"/>
        <v>13728.773799574716</v>
      </c>
      <c r="W1144" s="1612"/>
      <c r="X1144" s="1612"/>
      <c r="Y1144" s="1613"/>
      <c r="Z1144" s="1614"/>
      <c r="AA1144" s="1614"/>
      <c r="AB1144" s="1615"/>
      <c r="AC1144" s="1615"/>
      <c r="AD1144" s="583"/>
      <c r="AE1144" s="583"/>
    </row>
    <row r="1145" spans="1:31" ht="14">
      <c r="A1145" s="1384" t="s">
        <v>713</v>
      </c>
      <c r="B1145" s="19" t="s">
        <v>2886</v>
      </c>
      <c r="C1145" s="1383">
        <v>18840</v>
      </c>
      <c r="D1145" s="1236"/>
      <c r="E1145" s="1236"/>
      <c r="F1145" s="1344">
        <f>(1/S1145)*cnst_fish!$C$6</f>
        <v>7.9266712664847111E-2</v>
      </c>
      <c r="G1145" s="1344">
        <f t="shared" si="164"/>
        <v>1</v>
      </c>
      <c r="H1145" s="1344">
        <f t="shared" si="164"/>
        <v>0.367192066876738</v>
      </c>
      <c r="I1145" s="1344">
        <f t="shared" si="157"/>
        <v>0</v>
      </c>
      <c r="J1145" s="902">
        <f t="shared" si="158"/>
        <v>0</v>
      </c>
      <c r="L1145" s="1460">
        <v>12</v>
      </c>
      <c r="M1145" s="1236"/>
      <c r="N1145" s="1240" t="s">
        <v>1806</v>
      </c>
      <c r="O1145" s="1241" t="s">
        <v>4841</v>
      </c>
      <c r="P1145" s="910">
        <f t="shared" si="159"/>
        <v>0</v>
      </c>
      <c r="Q1145" s="910">
        <f t="shared" si="160"/>
        <v>12</v>
      </c>
      <c r="R1145" s="1344">
        <f t="shared" si="161"/>
        <v>3.58</v>
      </c>
      <c r="S1145" s="1344">
        <f>(1/9)*cnst_fish!$C$7*(1/cnst_fish!$C$8)^(R1145-1)</f>
        <v>53.616453327258682</v>
      </c>
      <c r="T1145" s="1362">
        <f t="shared" si="162"/>
        <v>55.588337832949478</v>
      </c>
      <c r="W1145" s="1612"/>
      <c r="X1145" s="1612"/>
      <c r="Y1145" s="1613"/>
      <c r="Z1145" s="1614"/>
      <c r="AA1145" s="1614"/>
      <c r="AB1145" s="1615"/>
      <c r="AC1145" s="1615"/>
      <c r="AD1145" s="583"/>
      <c r="AE1145" s="583"/>
    </row>
    <row r="1146" spans="1:31" ht="14">
      <c r="A1146" s="1585" t="s">
        <v>8557</v>
      </c>
      <c r="B1146" s="1586" t="s">
        <v>8558</v>
      </c>
      <c r="C1146" s="1383">
        <v>18824</v>
      </c>
      <c r="D1146" s="1236"/>
      <c r="E1146" s="1236"/>
      <c r="F1146" s="1344">
        <f>(1/S1146)*cnst_fish!$C$6</f>
        <v>0.15103960722494611</v>
      </c>
      <c r="G1146" s="1344">
        <f t="shared" si="164"/>
        <v>1</v>
      </c>
      <c r="H1146" s="1344">
        <f t="shared" si="164"/>
        <v>0.367192066876738</v>
      </c>
      <c r="I1146" s="1344">
        <f t="shared" si="157"/>
        <v>0</v>
      </c>
      <c r="J1146" s="902">
        <f t="shared" si="158"/>
        <v>0</v>
      </c>
      <c r="L1146" s="1460">
        <v>26</v>
      </c>
      <c r="M1146" s="1236"/>
      <c r="N1146" s="1240" t="s">
        <v>1806</v>
      </c>
      <c r="O1146" s="1241" t="s">
        <v>4845</v>
      </c>
      <c r="P1146" s="910">
        <f t="shared" si="159"/>
        <v>0</v>
      </c>
      <c r="Q1146" s="910">
        <f t="shared" si="160"/>
        <v>26</v>
      </c>
      <c r="R1146" s="1344">
        <f t="shared" si="161"/>
        <v>3.3</v>
      </c>
      <c r="S1146" s="1344">
        <f>(1/9)*cnst_fish!$C$7*(1/cnst_fish!$C$8)^(R1146-1)</f>
        <v>28.138314698279075</v>
      </c>
      <c r="T1146" s="1362">
        <f t="shared" si="162"/>
        <v>63.208544528169163</v>
      </c>
      <c r="W1146" s="1616"/>
      <c r="X1146" s="1616"/>
      <c r="Y1146" s="1613"/>
      <c r="Z1146" s="1614"/>
      <c r="AA1146" s="1614"/>
      <c r="AB1146" s="1615"/>
      <c r="AC1146" s="1615"/>
      <c r="AD1146" s="583"/>
      <c r="AE1146" s="583"/>
    </row>
    <row r="1147" spans="1:31" ht="14">
      <c r="A1147" s="1384" t="s">
        <v>6733</v>
      </c>
      <c r="B1147" s="19" t="s">
        <v>5722</v>
      </c>
      <c r="C1147" s="1383">
        <v>13747</v>
      </c>
      <c r="D1147" s="1236"/>
      <c r="E1147" s="1236"/>
      <c r="F1147" s="1344">
        <f>(1/S1147)*cnst_fish!$C$6</f>
        <v>0.11457525898206007</v>
      </c>
      <c r="G1147" s="1344">
        <f t="shared" si="164"/>
        <v>1</v>
      </c>
      <c r="H1147" s="1344">
        <f t="shared" si="164"/>
        <v>0.367192066876738</v>
      </c>
      <c r="I1147" s="1344">
        <f t="shared" si="157"/>
        <v>0</v>
      </c>
      <c r="J1147" s="902">
        <f t="shared" si="158"/>
        <v>0</v>
      </c>
      <c r="L1147" s="1460">
        <v>0</v>
      </c>
      <c r="M1147" s="1236"/>
      <c r="N1147" s="1240" t="s">
        <v>1806</v>
      </c>
      <c r="O1147" s="1241" t="s">
        <v>4841</v>
      </c>
      <c r="P1147" s="910">
        <f t="shared" si="159"/>
        <v>0</v>
      </c>
      <c r="Q1147" s="910">
        <f t="shared" si="160"/>
        <v>0</v>
      </c>
      <c r="R1147" s="1344">
        <f t="shared" si="161"/>
        <v>3.42</v>
      </c>
      <c r="S1147" s="1344">
        <f>(1/9)*cnst_fish!$C$7*(1/cnst_fish!$C$8)^(R1147-1)</f>
        <v>37.093522962627169</v>
      </c>
      <c r="T1147" s="1362">
        <f t="shared" si="162"/>
        <v>0</v>
      </c>
      <c r="W1147" s="1612"/>
      <c r="X1147" s="1612"/>
      <c r="Y1147" s="1613"/>
      <c r="Z1147" s="1614"/>
      <c r="AA1147" s="1614"/>
      <c r="AB1147" s="1615"/>
      <c r="AC1147" s="1615"/>
      <c r="AD1147" s="583"/>
      <c r="AE1147" s="583"/>
    </row>
    <row r="1148" spans="1:31" ht="14">
      <c r="A1148" s="1384" t="s">
        <v>2134</v>
      </c>
      <c r="B1148" s="19" t="s">
        <v>5283</v>
      </c>
      <c r="C1148" s="1383">
        <v>2647</v>
      </c>
      <c r="D1148" s="1236"/>
      <c r="E1148" s="1236"/>
      <c r="F1148" s="1344">
        <f>(1/S1148)*cnst_fish!$C$6</f>
        <v>0.75699122913220485</v>
      </c>
      <c r="G1148" s="1344">
        <f t="shared" ref="G1148:H1167" si="165">G$7</f>
        <v>1</v>
      </c>
      <c r="H1148" s="1344">
        <f t="shared" si="165"/>
        <v>0.367192066876738</v>
      </c>
      <c r="I1148" s="1344">
        <f t="shared" si="157"/>
        <v>0</v>
      </c>
      <c r="J1148" s="902">
        <f t="shared" si="158"/>
        <v>0</v>
      </c>
      <c r="L1148" s="1460">
        <v>51409</v>
      </c>
      <c r="M1148" s="1236"/>
      <c r="N1148" s="1240" t="s">
        <v>3932</v>
      </c>
      <c r="O1148" s="1241" t="s">
        <v>4840</v>
      </c>
      <c r="P1148" s="910">
        <f t="shared" si="159"/>
        <v>0</v>
      </c>
      <c r="Q1148" s="910">
        <f t="shared" si="160"/>
        <v>51409</v>
      </c>
      <c r="R1148" s="1344">
        <f t="shared" si="161"/>
        <v>2.6</v>
      </c>
      <c r="S1148" s="1344">
        <f>(1/9)*cnst_fish!$C$7*(1/cnst_fish!$C$8)^(R1148-1)</f>
        <v>5.6143318924211183</v>
      </c>
      <c r="T1148" s="1362">
        <f t="shared" si="162"/>
        <v>24936.850308961046</v>
      </c>
      <c r="W1148" s="1612"/>
      <c r="X1148" s="1612"/>
      <c r="Y1148" s="1613"/>
      <c r="Z1148" s="1614"/>
      <c r="AA1148" s="1614"/>
      <c r="AB1148" s="1615"/>
      <c r="AC1148" s="1615"/>
      <c r="AD1148" s="583"/>
      <c r="AE1148" s="583"/>
    </row>
    <row r="1149" spans="1:31" ht="14">
      <c r="A1149" s="1384" t="s">
        <v>1593</v>
      </c>
      <c r="B1149" s="19" t="s">
        <v>765</v>
      </c>
      <c r="C1149" s="1383">
        <v>13776</v>
      </c>
      <c r="D1149" s="1236"/>
      <c r="E1149" s="1236"/>
      <c r="F1149" s="1344">
        <f>(1/S1149)*cnst_fish!$C$6</f>
        <v>0.15103960722494611</v>
      </c>
      <c r="G1149" s="1344">
        <f t="shared" si="165"/>
        <v>1</v>
      </c>
      <c r="H1149" s="1344">
        <f t="shared" si="165"/>
        <v>0.367192066876738</v>
      </c>
      <c r="I1149" s="1344">
        <f t="shared" si="157"/>
        <v>0</v>
      </c>
      <c r="J1149" s="902">
        <f t="shared" si="158"/>
        <v>0</v>
      </c>
      <c r="L1149" s="1460">
        <v>0</v>
      </c>
      <c r="M1149" s="1236"/>
      <c r="N1149" s="1240" t="s">
        <v>1806</v>
      </c>
      <c r="O1149" s="1241" t="s">
        <v>4841</v>
      </c>
      <c r="P1149" s="910">
        <f t="shared" si="159"/>
        <v>0</v>
      </c>
      <c r="Q1149" s="910">
        <f t="shared" si="160"/>
        <v>0</v>
      </c>
      <c r="R1149" s="1344">
        <f t="shared" si="161"/>
        <v>3.3</v>
      </c>
      <c r="S1149" s="1344">
        <f>(1/9)*cnst_fish!$C$7*(1/cnst_fish!$C$8)^(R1149-1)</f>
        <v>28.138314698279075</v>
      </c>
      <c r="T1149" s="1362">
        <f t="shared" si="162"/>
        <v>0</v>
      </c>
      <c r="W1149" s="1612"/>
      <c r="X1149" s="1612"/>
      <c r="Y1149" s="1613"/>
      <c r="Z1149" s="1614"/>
      <c r="AA1149" s="1614"/>
      <c r="AB1149" s="1615"/>
      <c r="AC1149" s="1615"/>
      <c r="AD1149" s="583"/>
      <c r="AE1149" s="583"/>
    </row>
    <row r="1150" spans="1:31" ht="14">
      <c r="A1150" s="1384" t="s">
        <v>2992</v>
      </c>
      <c r="B1150" s="19" t="s">
        <v>1035</v>
      </c>
      <c r="C1150" s="1383">
        <v>2361</v>
      </c>
      <c r="D1150" s="1236"/>
      <c r="E1150" s="1236"/>
      <c r="F1150" s="1344">
        <f>(1/S1150)*cnst_fish!$C$6</f>
        <v>9.5299549485983348E-2</v>
      </c>
      <c r="G1150" s="1344">
        <f t="shared" si="165"/>
        <v>1</v>
      </c>
      <c r="H1150" s="1344">
        <f t="shared" si="165"/>
        <v>0.367192066876738</v>
      </c>
      <c r="I1150" s="1344">
        <f t="shared" si="157"/>
        <v>0</v>
      </c>
      <c r="J1150" s="902">
        <f t="shared" si="158"/>
        <v>0</v>
      </c>
      <c r="L1150" s="1460">
        <v>0</v>
      </c>
      <c r="M1150" s="1236"/>
      <c r="N1150" s="1240" t="s">
        <v>1806</v>
      </c>
      <c r="O1150" s="1241" t="s">
        <v>4841</v>
      </c>
      <c r="P1150" s="910">
        <f t="shared" si="159"/>
        <v>0</v>
      </c>
      <c r="Q1150" s="910">
        <f t="shared" si="160"/>
        <v>0</v>
      </c>
      <c r="R1150" s="1344">
        <f t="shared" si="161"/>
        <v>3.5</v>
      </c>
      <c r="S1150" s="1344">
        <f>(1/9)*cnst_fish!$C$7*(1/cnst_fish!$C$8)^(R1150-1)</f>
        <v>44.596223412631026</v>
      </c>
      <c r="T1150" s="1362">
        <f t="shared" si="162"/>
        <v>0</v>
      </c>
      <c r="W1150" s="1612"/>
      <c r="X1150" s="1612"/>
      <c r="Y1150" s="1613"/>
      <c r="Z1150" s="1614"/>
      <c r="AA1150" s="1614"/>
      <c r="AB1150" s="1615"/>
      <c r="AC1150" s="1615"/>
      <c r="AD1150" s="583"/>
      <c r="AE1150" s="583"/>
    </row>
    <row r="1151" spans="1:31" ht="14">
      <c r="A1151" s="1384" t="s">
        <v>1590</v>
      </c>
      <c r="B1151" s="19" t="s">
        <v>1848</v>
      </c>
      <c r="C1151" s="1383">
        <v>2536</v>
      </c>
      <c r="D1151" s="1236"/>
      <c r="E1151" s="1236"/>
      <c r="F1151" s="1344">
        <f>(1/S1151)*cnst_fish!$C$6</f>
        <v>0.53590874947991185</v>
      </c>
      <c r="G1151" s="1344">
        <f t="shared" si="165"/>
        <v>1</v>
      </c>
      <c r="H1151" s="1344">
        <f t="shared" si="165"/>
        <v>0.367192066876738</v>
      </c>
      <c r="I1151" s="1344">
        <f t="shared" si="157"/>
        <v>0</v>
      </c>
      <c r="J1151" s="902">
        <f t="shared" si="158"/>
        <v>0</v>
      </c>
      <c r="L1151" s="1460">
        <v>55045</v>
      </c>
      <c r="M1151" s="1236"/>
      <c r="N1151" s="1240" t="s">
        <v>1806</v>
      </c>
      <c r="O1151" s="1241" t="s">
        <v>4841</v>
      </c>
      <c r="P1151" s="910">
        <f t="shared" si="159"/>
        <v>0</v>
      </c>
      <c r="Q1151" s="910">
        <f t="shared" si="160"/>
        <v>55045</v>
      </c>
      <c r="R1151" s="1344">
        <f t="shared" si="161"/>
        <v>2.75</v>
      </c>
      <c r="S1151" s="1344">
        <f>(1/9)*cnst_fish!$C$7*(1/cnst_fish!$C$8)^(R1151-1)</f>
        <v>7.9304545860177429</v>
      </c>
      <c r="T1151" s="1362">
        <f t="shared" si="162"/>
        <v>37715.538962268205</v>
      </c>
      <c r="W1151" s="1612"/>
      <c r="X1151" s="1612"/>
      <c r="Y1151" s="1613"/>
      <c r="Z1151" s="1614"/>
      <c r="AA1151" s="1614"/>
      <c r="AB1151" s="1615"/>
      <c r="AC1151" s="1615"/>
      <c r="AD1151" s="583"/>
      <c r="AE1151" s="583"/>
    </row>
    <row r="1152" spans="1:31" ht="14">
      <c r="A1152" s="1384" t="s">
        <v>6742</v>
      </c>
      <c r="B1152" s="19" t="s">
        <v>2627</v>
      </c>
      <c r="C1152" s="1383">
        <v>18611</v>
      </c>
      <c r="D1152" s="1236"/>
      <c r="E1152" s="1236"/>
      <c r="F1152" s="1344">
        <f>(1/S1152)*cnst_fish!$C$6</f>
        <v>9.1010363210297068E-2</v>
      </c>
      <c r="G1152" s="1344">
        <f t="shared" si="165"/>
        <v>1</v>
      </c>
      <c r="H1152" s="1344">
        <f t="shared" si="165"/>
        <v>0.367192066876738</v>
      </c>
      <c r="I1152" s="1344">
        <f t="shared" si="157"/>
        <v>0</v>
      </c>
      <c r="J1152" s="902">
        <f t="shared" si="158"/>
        <v>0</v>
      </c>
      <c r="L1152" s="1460">
        <v>0</v>
      </c>
      <c r="M1152" s="1236"/>
      <c r="N1152" s="1240" t="s">
        <v>1806</v>
      </c>
      <c r="O1152" s="1241" t="s">
        <v>4841</v>
      </c>
      <c r="P1152" s="910">
        <f t="shared" si="159"/>
        <v>0</v>
      </c>
      <c r="Q1152" s="910">
        <f t="shared" si="160"/>
        <v>0</v>
      </c>
      <c r="R1152" s="1344">
        <f t="shared" si="161"/>
        <v>3.52</v>
      </c>
      <c r="S1152" s="1344">
        <f>(1/9)*cnst_fish!$C$7*(1/cnst_fish!$C$8)^(R1152-1)</f>
        <v>46.69797867062185</v>
      </c>
      <c r="T1152" s="1362">
        <f t="shared" si="162"/>
        <v>0</v>
      </c>
      <c r="W1152" s="1612"/>
      <c r="X1152" s="1612"/>
      <c r="Y1152" s="1613"/>
      <c r="Z1152" s="1614"/>
      <c r="AA1152" s="1614"/>
      <c r="AB1152" s="1615"/>
      <c r="AC1152" s="1615"/>
      <c r="AD1152" s="583"/>
      <c r="AE1152" s="583"/>
    </row>
    <row r="1153" spans="1:31" ht="14">
      <c r="A1153" s="1384" t="s">
        <v>6557</v>
      </c>
      <c r="B1153" s="19" t="s">
        <v>6556</v>
      </c>
      <c r="C1153" s="1383">
        <v>19220</v>
      </c>
      <c r="D1153" s="1236"/>
      <c r="E1153" s="1236"/>
      <c r="F1153" s="1344">
        <f>(1/S1153)*cnst_fish!$C$6</f>
        <v>9.5299549485983348E-2</v>
      </c>
      <c r="G1153" s="1344">
        <f t="shared" si="165"/>
        <v>1</v>
      </c>
      <c r="H1153" s="1344">
        <f t="shared" si="165"/>
        <v>0.367192066876738</v>
      </c>
      <c r="I1153" s="1344">
        <f t="shared" si="157"/>
        <v>0</v>
      </c>
      <c r="J1153" s="902">
        <f t="shared" si="158"/>
        <v>0</v>
      </c>
      <c r="L1153" s="1460">
        <v>20</v>
      </c>
      <c r="M1153" s="1236"/>
      <c r="N1153" s="1240" t="s">
        <v>1806</v>
      </c>
      <c r="O1153" s="1241" t="s">
        <v>4841</v>
      </c>
      <c r="P1153" s="910">
        <f t="shared" si="159"/>
        <v>0</v>
      </c>
      <c r="Q1153" s="910">
        <f t="shared" si="160"/>
        <v>20</v>
      </c>
      <c r="R1153" s="1344">
        <f t="shared" si="161"/>
        <v>3.5</v>
      </c>
      <c r="S1153" s="1344">
        <f>(1/9)*cnst_fish!$C$7*(1/cnst_fish!$C$8)^(R1153-1)</f>
        <v>44.596223412631026</v>
      </c>
      <c r="T1153" s="1362">
        <f t="shared" si="162"/>
        <v>77.060609175438884</v>
      </c>
      <c r="W1153" s="1612"/>
      <c r="X1153" s="1612"/>
      <c r="Y1153" s="1613"/>
      <c r="Z1153" s="1614"/>
      <c r="AA1153" s="1614"/>
      <c r="AB1153" s="1615"/>
      <c r="AC1153" s="1615"/>
      <c r="AD1153" s="583"/>
      <c r="AE1153" s="583"/>
    </row>
    <row r="1154" spans="1:31" ht="14">
      <c r="A1154" s="1384" t="s">
        <v>2158</v>
      </c>
      <c r="B1154" s="19" t="s">
        <v>3318</v>
      </c>
      <c r="C1154" s="1383">
        <v>2139</v>
      </c>
      <c r="D1154" s="1236"/>
      <c r="E1154" s="1236"/>
      <c r="F1154" s="1344">
        <f>(1/S1154)*cnst_fish!$C$6</f>
        <v>9.5299549485983348E-2</v>
      </c>
      <c r="G1154" s="1344">
        <f t="shared" si="165"/>
        <v>1</v>
      </c>
      <c r="H1154" s="1344">
        <f t="shared" si="165"/>
        <v>0.367192066876738</v>
      </c>
      <c r="I1154" s="1344">
        <f t="shared" si="157"/>
        <v>0</v>
      </c>
      <c r="J1154" s="902">
        <f t="shared" si="158"/>
        <v>0</v>
      </c>
      <c r="L1154" s="1460"/>
      <c r="M1154" s="1236">
        <v>423</v>
      </c>
      <c r="N1154" s="1240" t="s">
        <v>1806</v>
      </c>
      <c r="O1154" s="1241" t="s">
        <v>4845</v>
      </c>
      <c r="P1154" s="910">
        <f t="shared" si="159"/>
        <v>0</v>
      </c>
      <c r="Q1154" s="910">
        <f t="shared" si="160"/>
        <v>423</v>
      </c>
      <c r="R1154" s="1344">
        <f t="shared" si="161"/>
        <v>3.5</v>
      </c>
      <c r="S1154" s="1344">
        <f>(1/9)*cnst_fish!$C$7*(1/cnst_fish!$C$8)^(R1154-1)</f>
        <v>44.596223412631026</v>
      </c>
      <c r="T1154" s="1362">
        <f t="shared" si="162"/>
        <v>1629.8318840605325</v>
      </c>
      <c r="W1154" s="1612"/>
      <c r="X1154" s="1612"/>
      <c r="Y1154" s="1613"/>
      <c r="Z1154" s="1614"/>
      <c r="AA1154" s="1614"/>
      <c r="AB1154" s="1615"/>
      <c r="AC1154" s="1615"/>
      <c r="AD1154" s="583"/>
      <c r="AE1154" s="583"/>
    </row>
    <row r="1155" spans="1:31" ht="14">
      <c r="A1155" s="1384" t="s">
        <v>4823</v>
      </c>
      <c r="B1155" s="19" t="s">
        <v>2255</v>
      </c>
      <c r="C1155" s="1383">
        <v>2004</v>
      </c>
      <c r="D1155" s="1236"/>
      <c r="E1155" s="1236"/>
      <c r="F1155" s="1344">
        <f>(1/S1155)*cnst_fish!$C$6</f>
        <v>7.5699122913220583E-3</v>
      </c>
      <c r="G1155" s="1344">
        <f t="shared" si="165"/>
        <v>1</v>
      </c>
      <c r="H1155" s="1344">
        <f t="shared" si="165"/>
        <v>0.367192066876738</v>
      </c>
      <c r="I1155" s="1344">
        <f t="shared" si="157"/>
        <v>0</v>
      </c>
      <c r="J1155" s="902">
        <f t="shared" si="158"/>
        <v>0</v>
      </c>
      <c r="L1155" s="1460">
        <v>13</v>
      </c>
      <c r="M1155" s="1236"/>
      <c r="N1155" s="1240" t="s">
        <v>3927</v>
      </c>
      <c r="O1155" s="1241" t="s">
        <v>4841</v>
      </c>
      <c r="P1155" s="910">
        <f t="shared" si="159"/>
        <v>0</v>
      </c>
      <c r="Q1155" s="910">
        <f t="shared" si="160"/>
        <v>13</v>
      </c>
      <c r="R1155" s="1344">
        <f t="shared" si="161"/>
        <v>4.5999999999999996</v>
      </c>
      <c r="S1155" s="1344">
        <f>(1/9)*cnst_fish!$C$7*(1/cnst_fish!$C$8)^(R1155-1)</f>
        <v>561.4331892421111</v>
      </c>
      <c r="T1155" s="1362">
        <f t="shared" si="162"/>
        <v>630.588134405441</v>
      </c>
      <c r="W1155" s="1612"/>
      <c r="X1155" s="1612"/>
      <c r="Y1155" s="1613"/>
      <c r="Z1155" s="1614"/>
      <c r="AA1155" s="1614"/>
      <c r="AB1155" s="1615"/>
      <c r="AC1155" s="1615"/>
      <c r="AD1155" s="583"/>
      <c r="AE1155" s="583"/>
    </row>
    <row r="1156" spans="1:31" ht="14">
      <c r="A1156" s="1384" t="s">
        <v>5694</v>
      </c>
      <c r="B1156" s="19" t="s">
        <v>5695</v>
      </c>
      <c r="C1156" s="1383">
        <v>2443</v>
      </c>
      <c r="D1156" s="1236"/>
      <c r="E1156" s="1236"/>
      <c r="F1156" s="1344">
        <f>(1/S1156)*cnst_fish!$C$6</f>
        <v>0.15455777163012493</v>
      </c>
      <c r="G1156" s="1344">
        <f t="shared" si="165"/>
        <v>1</v>
      </c>
      <c r="H1156" s="1344">
        <f t="shared" si="165"/>
        <v>0.367192066876738</v>
      </c>
      <c r="I1156" s="1344">
        <f t="shared" si="157"/>
        <v>0</v>
      </c>
      <c r="J1156" s="902">
        <f t="shared" si="158"/>
        <v>0</v>
      </c>
      <c r="L1156" s="1460">
        <v>1</v>
      </c>
      <c r="M1156" s="1236"/>
      <c r="N1156" s="1240" t="s">
        <v>1806</v>
      </c>
      <c r="O1156" s="1241" t="s">
        <v>4841</v>
      </c>
      <c r="P1156" s="910">
        <f t="shared" si="159"/>
        <v>0</v>
      </c>
      <c r="Q1156" s="910">
        <f t="shared" si="160"/>
        <v>1</v>
      </c>
      <c r="R1156" s="1344">
        <f t="shared" si="161"/>
        <v>3.29</v>
      </c>
      <c r="S1156" s="1344">
        <f>(1/9)*cnst_fish!$C$7*(1/cnst_fish!$C$8)^(R1156-1)</f>
        <v>27.497808458126283</v>
      </c>
      <c r="T1156" s="1362">
        <f t="shared" si="162"/>
        <v>2.3757593228988325</v>
      </c>
      <c r="W1156" s="1612"/>
      <c r="X1156" s="1612"/>
      <c r="Y1156" s="1613"/>
      <c r="Z1156" s="1614"/>
      <c r="AA1156" s="1614"/>
      <c r="AB1156" s="1615"/>
      <c r="AC1156" s="1615"/>
      <c r="AD1156" s="583"/>
      <c r="AE1156" s="583"/>
    </row>
    <row r="1157" spans="1:31" ht="14">
      <c r="A1157" s="1384" t="s">
        <v>3702</v>
      </c>
      <c r="B1157" s="19" t="s">
        <v>3703</v>
      </c>
      <c r="C1157" s="1383">
        <v>3236</v>
      </c>
      <c r="D1157" s="1236"/>
      <c r="E1157" s="1236"/>
      <c r="F1157" s="1344">
        <f>(1/S1157)*cnst_fish!$C$6</f>
        <v>0.53590874947991185</v>
      </c>
      <c r="G1157" s="1344">
        <f t="shared" si="165"/>
        <v>1</v>
      </c>
      <c r="H1157" s="1344">
        <f t="shared" si="165"/>
        <v>0.367192066876738</v>
      </c>
      <c r="I1157" s="1344">
        <f t="shared" si="157"/>
        <v>0</v>
      </c>
      <c r="J1157" s="902">
        <f t="shared" si="158"/>
        <v>0</v>
      </c>
      <c r="L1157" s="1460">
        <v>0</v>
      </c>
      <c r="M1157" s="1236"/>
      <c r="N1157" s="1240" t="s">
        <v>1806</v>
      </c>
      <c r="O1157" s="1241" t="s">
        <v>4841</v>
      </c>
      <c r="P1157" s="910">
        <f t="shared" si="159"/>
        <v>0</v>
      </c>
      <c r="Q1157" s="910">
        <f t="shared" si="160"/>
        <v>0</v>
      </c>
      <c r="R1157" s="1344">
        <f t="shared" si="161"/>
        <v>2.75</v>
      </c>
      <c r="S1157" s="1344">
        <f>(1/9)*cnst_fish!$C$7*(1/cnst_fish!$C$8)^(R1157-1)</f>
        <v>7.9304545860177429</v>
      </c>
      <c r="T1157" s="1362">
        <f t="shared" si="162"/>
        <v>0</v>
      </c>
      <c r="W1157" s="1612"/>
      <c r="X1157" s="1612"/>
      <c r="Y1157" s="1613"/>
      <c r="Z1157" s="1614"/>
      <c r="AA1157" s="1614"/>
      <c r="AB1157" s="1615"/>
      <c r="AC1157" s="1615"/>
      <c r="AD1157" s="583"/>
      <c r="AE1157" s="583"/>
    </row>
    <row r="1158" spans="1:31" ht="14">
      <c r="A1158" s="1384" t="s">
        <v>3551</v>
      </c>
      <c r="B1158" s="19" t="s">
        <v>1849</v>
      </c>
      <c r="C1158" s="1383">
        <v>2441</v>
      </c>
      <c r="D1158" s="1236">
        <v>0</v>
      </c>
      <c r="E1158" s="1236"/>
      <c r="F1158" s="1344">
        <f>(1/S1158)*cnst_fish!$C$6</f>
        <v>0.2133491159303107</v>
      </c>
      <c r="G1158" s="1344">
        <f t="shared" si="165"/>
        <v>1</v>
      </c>
      <c r="H1158" s="1344">
        <f t="shared" si="165"/>
        <v>0.367192066876738</v>
      </c>
      <c r="I1158" s="1344">
        <f t="shared" si="157"/>
        <v>0</v>
      </c>
      <c r="J1158" s="902">
        <f t="shared" si="158"/>
        <v>0</v>
      </c>
      <c r="L1158" s="1460">
        <v>1</v>
      </c>
      <c r="M1158" s="1236"/>
      <c r="N1158" s="1240" t="s">
        <v>1806</v>
      </c>
      <c r="O1158" s="1241" t="s">
        <v>4841</v>
      </c>
      <c r="P1158" s="910">
        <f t="shared" si="159"/>
        <v>0</v>
      </c>
      <c r="Q1158" s="910">
        <f t="shared" si="160"/>
        <v>1</v>
      </c>
      <c r="R1158" s="1344">
        <f t="shared" si="161"/>
        <v>3.15</v>
      </c>
      <c r="S1158" s="1344">
        <f>(1/9)*cnst_fish!$C$7*(1/cnst_fish!$C$8)^(R1158-1)</f>
        <v>19.920401270320887</v>
      </c>
      <c r="T1158" s="1362">
        <f t="shared" si="162"/>
        <v>1.7210854859913236</v>
      </c>
      <c r="W1158" s="1612"/>
      <c r="X1158" s="1612"/>
      <c r="Y1158" s="1613"/>
      <c r="Z1158" s="1614"/>
      <c r="AA1158" s="1614"/>
      <c r="AB1158" s="1615"/>
      <c r="AC1158" s="1615"/>
      <c r="AD1158" s="583"/>
      <c r="AE1158" s="583"/>
    </row>
    <row r="1159" spans="1:31" ht="14">
      <c r="A1159" s="1384" t="s">
        <v>715</v>
      </c>
      <c r="B1159" s="19" t="s">
        <v>1850</v>
      </c>
      <c r="C1159" s="1383">
        <v>3237</v>
      </c>
      <c r="D1159" s="1236"/>
      <c r="E1159" s="1236"/>
      <c r="F1159" s="1344">
        <f>(1/S1159)*cnst_fish!$C$6</f>
        <v>0.24495756009854439</v>
      </c>
      <c r="G1159" s="1344">
        <f t="shared" si="165"/>
        <v>1</v>
      </c>
      <c r="H1159" s="1344">
        <f t="shared" si="165"/>
        <v>0.367192066876738</v>
      </c>
      <c r="I1159" s="1344">
        <f t="shared" ref="I1159:I1222" si="166">IF($F1159=0,0,D1159/$F1159*$H1159*$G1159)</f>
        <v>0</v>
      </c>
      <c r="J1159" s="902">
        <f t="shared" ref="J1159:J1222" si="167">IF($F1159=0,0,E1159/$F1159*$H1159*$G1159)</f>
        <v>0</v>
      </c>
      <c r="L1159" s="1460">
        <v>0</v>
      </c>
      <c r="M1159" s="1236"/>
      <c r="N1159" s="1240" t="s">
        <v>1806</v>
      </c>
      <c r="O1159" s="1241" t="s">
        <v>4841</v>
      </c>
      <c r="P1159" s="910">
        <f t="shared" ref="P1159:P1222" si="168">D1159+E1159</f>
        <v>0</v>
      </c>
      <c r="Q1159" s="910">
        <f t="shared" ref="Q1159:Q1222" si="169">L1159+M1159</f>
        <v>0</v>
      </c>
      <c r="R1159" s="1344">
        <f t="shared" ref="R1159:R1222" si="170">VLOOKUP(B1159,constant_fish_trophic,3,FALSE)</f>
        <v>3.09</v>
      </c>
      <c r="S1159" s="1344">
        <f>(1/9)*cnst_fish!$C$7*(1/cnst_fish!$C$8)^(R1159-1)</f>
        <v>17.349944203764359</v>
      </c>
      <c r="T1159" s="1362">
        <f t="shared" ref="T1159:T1222" si="171">IF(F1159=0,0,Q1159/F1159*H1159*G1159)</f>
        <v>0</v>
      </c>
      <c r="W1159" s="1612"/>
      <c r="X1159" s="1612"/>
      <c r="Y1159" s="1613"/>
      <c r="Z1159" s="1614"/>
      <c r="AA1159" s="1614"/>
      <c r="AB1159" s="1615"/>
      <c r="AC1159" s="1615"/>
      <c r="AD1159" s="583"/>
      <c r="AE1159" s="583"/>
    </row>
    <row r="1160" spans="1:31" ht="14">
      <c r="A1160" s="1384" t="s">
        <v>4928</v>
      </c>
      <c r="B1160" s="19" t="s">
        <v>1851</v>
      </c>
      <c r="C1160" s="1383">
        <v>3235</v>
      </c>
      <c r="D1160" s="1236">
        <v>0</v>
      </c>
      <c r="E1160" s="1236"/>
      <c r="F1160" s="1344">
        <f>(1/S1160)*cnst_fish!$C$6</f>
        <v>0.23938164528281752</v>
      </c>
      <c r="G1160" s="1344">
        <f t="shared" si="165"/>
        <v>1</v>
      </c>
      <c r="H1160" s="1344">
        <f t="shared" si="165"/>
        <v>0.367192066876738</v>
      </c>
      <c r="I1160" s="1344">
        <f t="shared" si="166"/>
        <v>0</v>
      </c>
      <c r="J1160" s="902">
        <f t="shared" si="167"/>
        <v>0</v>
      </c>
      <c r="L1160" s="1460">
        <v>0</v>
      </c>
      <c r="M1160" s="1236"/>
      <c r="N1160" s="1240" t="s">
        <v>1806</v>
      </c>
      <c r="O1160" s="1241" t="s">
        <v>4841</v>
      </c>
      <c r="P1160" s="910">
        <f t="shared" si="168"/>
        <v>0</v>
      </c>
      <c r="Q1160" s="910">
        <f t="shared" si="169"/>
        <v>0</v>
      </c>
      <c r="R1160" s="1344">
        <f t="shared" si="170"/>
        <v>3.1</v>
      </c>
      <c r="S1160" s="1344">
        <f>(1/9)*cnst_fish!$C$7*(1/cnst_fish!$C$8)^(R1160-1)</f>
        <v>17.754076320174157</v>
      </c>
      <c r="T1160" s="1362">
        <f t="shared" si="171"/>
        <v>0</v>
      </c>
      <c r="W1160" s="1612"/>
      <c r="X1160" s="1612"/>
      <c r="Y1160" s="1613"/>
      <c r="Z1160" s="1614"/>
      <c r="AA1160" s="1614"/>
      <c r="AB1160" s="1615"/>
      <c r="AC1160" s="1615"/>
      <c r="AD1160" s="583"/>
      <c r="AE1160" s="583"/>
    </row>
    <row r="1161" spans="1:31" ht="14">
      <c r="A1161" s="1384" t="s">
        <v>3557</v>
      </c>
      <c r="B1161" s="19" t="s">
        <v>1852</v>
      </c>
      <c r="C1161" s="1383">
        <v>2440</v>
      </c>
      <c r="D1161" s="1236">
        <v>0</v>
      </c>
      <c r="E1161" s="1236"/>
      <c r="F1161" s="1344">
        <f>(1/S1161)*cnst_fish!$C$6</f>
        <v>7.3976000504507963E-2</v>
      </c>
      <c r="G1161" s="1344">
        <f t="shared" si="165"/>
        <v>1</v>
      </c>
      <c r="H1161" s="1344">
        <f t="shared" si="165"/>
        <v>0.367192066876738</v>
      </c>
      <c r="I1161" s="1344">
        <f t="shared" si="166"/>
        <v>0</v>
      </c>
      <c r="J1161" s="902">
        <f t="shared" si="167"/>
        <v>0</v>
      </c>
      <c r="L1161" s="1460">
        <v>4</v>
      </c>
      <c r="M1161" s="1236"/>
      <c r="N1161" s="1240" t="s">
        <v>1806</v>
      </c>
      <c r="O1161" s="1241" t="s">
        <v>4841</v>
      </c>
      <c r="P1161" s="910">
        <f t="shared" si="168"/>
        <v>0</v>
      </c>
      <c r="Q1161" s="910">
        <f t="shared" si="169"/>
        <v>4</v>
      </c>
      <c r="R1161" s="1344">
        <f t="shared" si="170"/>
        <v>3.61</v>
      </c>
      <c r="S1161" s="1344">
        <f>(1/9)*cnst_fish!$C$7*(1/cnst_fish!$C$8)^(R1161-1)</f>
        <v>57.451064818528707</v>
      </c>
      <c r="T1161" s="1362">
        <f t="shared" si="171"/>
        <v>19.854659044691772</v>
      </c>
      <c r="W1161" s="1612"/>
      <c r="X1161" s="1612"/>
      <c r="Y1161" s="1613"/>
      <c r="Z1161" s="1614"/>
      <c r="AA1161" s="1614"/>
      <c r="AB1161" s="1615"/>
      <c r="AC1161" s="1615"/>
      <c r="AD1161" s="583"/>
      <c r="AE1161" s="583"/>
    </row>
    <row r="1162" spans="1:31" ht="14">
      <c r="A1162" s="1384" t="s">
        <v>5542</v>
      </c>
      <c r="B1162" s="19" t="s">
        <v>1853</v>
      </c>
      <c r="C1162" s="1383">
        <v>2442</v>
      </c>
      <c r="D1162" s="1236">
        <v>0</v>
      </c>
      <c r="E1162" s="1236"/>
      <c r="F1162" s="1344">
        <f>(1/S1162)*cnst_fish!$C$6</f>
        <v>0.24495756009854439</v>
      </c>
      <c r="G1162" s="1344">
        <f t="shared" si="165"/>
        <v>1</v>
      </c>
      <c r="H1162" s="1344">
        <f t="shared" si="165"/>
        <v>0.367192066876738</v>
      </c>
      <c r="I1162" s="1344">
        <f t="shared" si="166"/>
        <v>0</v>
      </c>
      <c r="J1162" s="902">
        <f t="shared" si="167"/>
        <v>0</v>
      </c>
      <c r="L1162" s="1460">
        <v>343</v>
      </c>
      <c r="M1162" s="1236"/>
      <c r="N1162" s="1240" t="s">
        <v>1806</v>
      </c>
      <c r="O1162" s="1241" t="s">
        <v>4841</v>
      </c>
      <c r="P1162" s="910">
        <f t="shared" si="168"/>
        <v>0</v>
      </c>
      <c r="Q1162" s="910">
        <f t="shared" si="169"/>
        <v>343</v>
      </c>
      <c r="R1162" s="1344">
        <f t="shared" si="170"/>
        <v>3.09</v>
      </c>
      <c r="S1162" s="1344">
        <f>(1/9)*cnst_fish!$C$7*(1/cnst_fish!$C$8)^(R1162-1)</f>
        <v>17.349944203764359</v>
      </c>
      <c r="T1162" s="1362">
        <f t="shared" si="171"/>
        <v>514.15795817060609</v>
      </c>
      <c r="W1162" s="1612"/>
      <c r="X1162" s="1612"/>
      <c r="Y1162" s="1613"/>
      <c r="Z1162" s="1614"/>
      <c r="AA1162" s="1614"/>
      <c r="AB1162" s="1615"/>
      <c r="AC1162" s="1615"/>
      <c r="AD1162" s="583"/>
      <c r="AE1162" s="583"/>
    </row>
    <row r="1163" spans="1:31" ht="14">
      <c r="A1163" s="1384" t="s">
        <v>1953</v>
      </c>
      <c r="B1163" s="19" t="s">
        <v>1854</v>
      </c>
      <c r="C1163" s="1383">
        <v>2435</v>
      </c>
      <c r="D1163" s="1236">
        <v>0</v>
      </c>
      <c r="E1163" s="1236"/>
      <c r="F1163" s="1344">
        <f>(1/S1163)*cnst_fish!$C$6</f>
        <v>0.10941852286935322</v>
      </c>
      <c r="G1163" s="1344">
        <f t="shared" si="165"/>
        <v>1</v>
      </c>
      <c r="H1163" s="1344">
        <f t="shared" si="165"/>
        <v>0.367192066876738</v>
      </c>
      <c r="I1163" s="1344">
        <f t="shared" si="166"/>
        <v>0</v>
      </c>
      <c r="J1163" s="902">
        <f t="shared" si="167"/>
        <v>0</v>
      </c>
      <c r="L1163" s="1460">
        <v>28395</v>
      </c>
      <c r="M1163" s="1236"/>
      <c r="N1163" s="1240" t="s">
        <v>1806</v>
      </c>
      <c r="O1163" s="1241" t="s">
        <v>4841</v>
      </c>
      <c r="P1163" s="910">
        <f t="shared" si="168"/>
        <v>0</v>
      </c>
      <c r="Q1163" s="910">
        <f t="shared" si="169"/>
        <v>28395</v>
      </c>
      <c r="R1163" s="1344">
        <f t="shared" si="170"/>
        <v>3.44</v>
      </c>
      <c r="S1163" s="1344">
        <f>(1/9)*cnst_fish!$C$7*(1/cnst_fish!$C$8)^(R1163-1)</f>
        <v>38.841686841948523</v>
      </c>
      <c r="T1163" s="1362">
        <f t="shared" si="171"/>
        <v>95289.339186329729</v>
      </c>
      <c r="W1163" s="1612"/>
      <c r="X1163" s="1612"/>
      <c r="Y1163" s="1613"/>
      <c r="Z1163" s="1614"/>
      <c r="AA1163" s="1614"/>
      <c r="AB1163" s="1615"/>
      <c r="AC1163" s="1615"/>
      <c r="AD1163" s="583"/>
      <c r="AE1163" s="583"/>
    </row>
    <row r="1164" spans="1:31" ht="14">
      <c r="A1164" s="1384" t="s">
        <v>5675</v>
      </c>
      <c r="B1164" s="19" t="s">
        <v>5676</v>
      </c>
      <c r="C1164" s="1383">
        <v>2444</v>
      </c>
      <c r="D1164" s="1236"/>
      <c r="E1164" s="1236"/>
      <c r="F1164" s="1344">
        <f>(1/S1164)*cnst_fish!$C$6</f>
        <v>0.16184185499703521</v>
      </c>
      <c r="G1164" s="1344">
        <f t="shared" si="165"/>
        <v>1</v>
      </c>
      <c r="H1164" s="1344">
        <f t="shared" si="165"/>
        <v>0.367192066876738</v>
      </c>
      <c r="I1164" s="1344">
        <f t="shared" si="166"/>
        <v>0</v>
      </c>
      <c r="J1164" s="902">
        <f t="shared" si="167"/>
        <v>0</v>
      </c>
      <c r="L1164" s="1460">
        <v>0</v>
      </c>
      <c r="M1164" s="1236"/>
      <c r="N1164" s="1240" t="s">
        <v>1806</v>
      </c>
      <c r="O1164" s="1241" t="s">
        <v>4841</v>
      </c>
      <c r="P1164" s="910">
        <f t="shared" si="168"/>
        <v>0</v>
      </c>
      <c r="Q1164" s="910">
        <f t="shared" si="169"/>
        <v>0</v>
      </c>
      <c r="R1164" s="1344">
        <f t="shared" si="170"/>
        <v>3.27</v>
      </c>
      <c r="S1164" s="1344">
        <f>(1/9)*cnst_fish!$C$7*(1/cnst_fish!$C$8)^(R1164-1)</f>
        <v>26.260203209348141</v>
      </c>
      <c r="T1164" s="1362">
        <f t="shared" si="171"/>
        <v>0</v>
      </c>
      <c r="W1164" s="1612"/>
      <c r="X1164" s="1612"/>
      <c r="Y1164" s="1613"/>
      <c r="Z1164" s="1614"/>
      <c r="AA1164" s="1614"/>
      <c r="AB1164" s="1615"/>
      <c r="AC1164" s="1615"/>
      <c r="AD1164" s="583"/>
      <c r="AE1164" s="583"/>
    </row>
    <row r="1165" spans="1:31" ht="14">
      <c r="A1165" s="1384" t="s">
        <v>5692</v>
      </c>
      <c r="B1165" s="19" t="s">
        <v>5693</v>
      </c>
      <c r="C1165" s="1383">
        <v>2445</v>
      </c>
      <c r="D1165" s="1236"/>
      <c r="E1165" s="1236"/>
      <c r="F1165" s="1344">
        <f>(1/S1165)*cnst_fish!$C$6</f>
        <v>0.18158954798513588</v>
      </c>
      <c r="G1165" s="1344">
        <f t="shared" si="165"/>
        <v>1</v>
      </c>
      <c r="H1165" s="1344">
        <f t="shared" si="165"/>
        <v>0.367192066876738</v>
      </c>
      <c r="I1165" s="1344">
        <f t="shared" si="166"/>
        <v>0</v>
      </c>
      <c r="J1165" s="902">
        <f t="shared" si="167"/>
        <v>0</v>
      </c>
      <c r="L1165" s="1460">
        <v>0</v>
      </c>
      <c r="M1165" s="1236"/>
      <c r="N1165" s="1240" t="s">
        <v>1806</v>
      </c>
      <c r="O1165" s="1241" t="s">
        <v>4841</v>
      </c>
      <c r="P1165" s="910">
        <f t="shared" si="168"/>
        <v>0</v>
      </c>
      <c r="Q1165" s="910">
        <f t="shared" si="169"/>
        <v>0</v>
      </c>
      <c r="R1165" s="1344">
        <f t="shared" si="170"/>
        <v>3.22</v>
      </c>
      <c r="S1165" s="1344">
        <f>(1/9)*cnst_fish!$C$7*(1/cnst_fish!$C$8)^(R1165-1)</f>
        <v>23.404430745914333</v>
      </c>
      <c r="T1165" s="1362">
        <f t="shared" si="171"/>
        <v>0</v>
      </c>
      <c r="W1165" s="1612"/>
      <c r="X1165" s="1612"/>
      <c r="Y1165" s="1613"/>
      <c r="Z1165" s="1614"/>
      <c r="AA1165" s="1614"/>
      <c r="AB1165" s="1615"/>
      <c r="AC1165" s="1615"/>
      <c r="AD1165" s="583"/>
      <c r="AE1165" s="583"/>
    </row>
    <row r="1166" spans="1:31" ht="14">
      <c r="A1166" s="1384" t="s">
        <v>5696</v>
      </c>
      <c r="B1166" s="19" t="s">
        <v>5697</v>
      </c>
      <c r="C1166" s="1383">
        <v>3240</v>
      </c>
      <c r="D1166" s="1236">
        <v>0</v>
      </c>
      <c r="E1166" s="1236"/>
      <c r="F1166" s="1344">
        <f>(1/S1166)*cnst_fish!$C$6</f>
        <v>0.10211530705467774</v>
      </c>
      <c r="G1166" s="1344">
        <f t="shared" si="165"/>
        <v>1</v>
      </c>
      <c r="H1166" s="1344">
        <f t="shared" si="165"/>
        <v>0.367192066876738</v>
      </c>
      <c r="I1166" s="1344">
        <f t="shared" si="166"/>
        <v>0</v>
      </c>
      <c r="J1166" s="902">
        <f t="shared" si="167"/>
        <v>0</v>
      </c>
      <c r="L1166" s="1460">
        <v>0</v>
      </c>
      <c r="M1166" s="1236"/>
      <c r="N1166" s="1240" t="s">
        <v>1806</v>
      </c>
      <c r="O1166" s="1241" t="s">
        <v>4841</v>
      </c>
      <c r="P1166" s="910">
        <f t="shared" si="168"/>
        <v>0</v>
      </c>
      <c r="Q1166" s="910">
        <f t="shared" si="169"/>
        <v>0</v>
      </c>
      <c r="R1166" s="1344">
        <f t="shared" si="170"/>
        <v>3.47</v>
      </c>
      <c r="S1166" s="1344">
        <f>(1/9)*cnst_fish!$C$7*(1/cnst_fish!$C$8)^(R1166-1)</f>
        <v>41.619617299141382</v>
      </c>
      <c r="T1166" s="1362">
        <f t="shared" si="171"/>
        <v>0</v>
      </c>
      <c r="W1166" s="1612"/>
      <c r="X1166" s="1612"/>
      <c r="Y1166" s="1613"/>
      <c r="Z1166" s="1614"/>
      <c r="AA1166" s="1614"/>
      <c r="AB1166" s="1615"/>
      <c r="AC1166" s="1615"/>
      <c r="AD1166" s="583"/>
      <c r="AE1166" s="583"/>
    </row>
    <row r="1167" spans="1:31" ht="14">
      <c r="A1167" s="1384" t="s">
        <v>6743</v>
      </c>
      <c r="B1167" s="19" t="s">
        <v>335</v>
      </c>
      <c r="C1167" s="1383">
        <v>16090</v>
      </c>
      <c r="D1167" s="1236"/>
      <c r="E1167" s="1236"/>
      <c r="F1167" s="1344">
        <f>(1/S1167)*cnst_fish!$C$6</f>
        <v>0.16561163607618423</v>
      </c>
      <c r="G1167" s="1344">
        <f t="shared" si="165"/>
        <v>1</v>
      </c>
      <c r="H1167" s="1344">
        <f t="shared" si="165"/>
        <v>0.367192066876738</v>
      </c>
      <c r="I1167" s="1344">
        <f t="shared" si="166"/>
        <v>0</v>
      </c>
      <c r="J1167" s="902">
        <f t="shared" si="167"/>
        <v>0</v>
      </c>
      <c r="L1167" s="1460">
        <v>0</v>
      </c>
      <c r="M1167" s="1236"/>
      <c r="N1167" s="1240" t="s">
        <v>1806</v>
      </c>
      <c r="O1167" s="1241" t="s">
        <v>4841</v>
      </c>
      <c r="P1167" s="910">
        <f t="shared" si="168"/>
        <v>0</v>
      </c>
      <c r="Q1167" s="910">
        <f t="shared" si="169"/>
        <v>0</v>
      </c>
      <c r="R1167" s="1344">
        <f t="shared" si="170"/>
        <v>3.26</v>
      </c>
      <c r="S1167" s="1344">
        <f>(1/9)*cnst_fish!$C$7*(1/cnst_fish!$C$8)^(R1167-1)</f>
        <v>25.662448006038215</v>
      </c>
      <c r="T1167" s="1362">
        <f t="shared" si="171"/>
        <v>0</v>
      </c>
      <c r="W1167" s="1612"/>
      <c r="X1167" s="1612"/>
      <c r="Y1167" s="1613"/>
      <c r="Z1167" s="1614"/>
      <c r="AA1167" s="1614"/>
      <c r="AB1167" s="1615"/>
      <c r="AC1167" s="1615"/>
      <c r="AD1167" s="583"/>
      <c r="AE1167" s="583"/>
    </row>
    <row r="1168" spans="1:31" ht="14">
      <c r="A1168" s="1384" t="s">
        <v>166</v>
      </c>
      <c r="B1168" s="19" t="s">
        <v>6744</v>
      </c>
      <c r="C1168" s="1383">
        <v>3568</v>
      </c>
      <c r="D1168" s="1236"/>
      <c r="E1168" s="1236"/>
      <c r="F1168" s="1344">
        <f>(1/S1168)*cnst_fish!$C$6</f>
        <v>0.19014759972289441</v>
      </c>
      <c r="G1168" s="1344">
        <f t="shared" ref="G1168:H1187" si="172">G$7</f>
        <v>1</v>
      </c>
      <c r="H1168" s="1344">
        <f t="shared" si="172"/>
        <v>0.367192066876738</v>
      </c>
      <c r="I1168" s="1344">
        <f t="shared" si="166"/>
        <v>0</v>
      </c>
      <c r="J1168" s="902">
        <f t="shared" si="167"/>
        <v>0</v>
      </c>
      <c r="L1168" s="1460">
        <v>26348</v>
      </c>
      <c r="M1168" s="1236"/>
      <c r="N1168" s="1240" t="s">
        <v>5368</v>
      </c>
      <c r="O1168" s="1241" t="s">
        <v>4835</v>
      </c>
      <c r="P1168" s="910">
        <f t="shared" si="168"/>
        <v>0</v>
      </c>
      <c r="Q1168" s="910">
        <f t="shared" si="169"/>
        <v>26348</v>
      </c>
      <c r="R1168" s="1344">
        <f t="shared" si="170"/>
        <v>3.2</v>
      </c>
      <c r="S1168" s="1344">
        <f>(1/9)*cnst_fish!$C$7*(1/cnst_fish!$C$8)^(R1168-1)</f>
        <v>22.351057842400341</v>
      </c>
      <c r="T1168" s="1362">
        <f t="shared" si="171"/>
        <v>50880.350802048109</v>
      </c>
      <c r="W1168" s="1612"/>
      <c r="X1168" s="1612"/>
      <c r="Y1168" s="1613"/>
      <c r="Z1168" s="1614"/>
      <c r="AA1168" s="1614"/>
      <c r="AB1168" s="1615"/>
      <c r="AC1168" s="1615"/>
      <c r="AD1168" s="583"/>
      <c r="AE1168" s="583"/>
    </row>
    <row r="1169" spans="1:31" ht="14">
      <c r="A1169" s="1384" t="s">
        <v>892</v>
      </c>
      <c r="B1169" s="19" t="s">
        <v>2616</v>
      </c>
      <c r="C1169" s="1383">
        <v>2377</v>
      </c>
      <c r="D1169" s="1236"/>
      <c r="E1169" s="1236"/>
      <c r="F1169" s="1344">
        <f>(1/S1169)*cnst_fish!$C$6</f>
        <v>0.28124890974018413</v>
      </c>
      <c r="G1169" s="1344">
        <f t="shared" si="172"/>
        <v>1</v>
      </c>
      <c r="H1169" s="1344">
        <f t="shared" si="172"/>
        <v>0.367192066876738</v>
      </c>
      <c r="I1169" s="1344">
        <f t="shared" si="166"/>
        <v>0</v>
      </c>
      <c r="J1169" s="902">
        <f t="shared" si="167"/>
        <v>0</v>
      </c>
      <c r="L1169" s="1460">
        <v>1242</v>
      </c>
      <c r="M1169" s="1236">
        <v>45</v>
      </c>
      <c r="N1169" s="1240" t="s">
        <v>1806</v>
      </c>
      <c r="O1169" s="1241" t="s">
        <v>4841</v>
      </c>
      <c r="P1169" s="910">
        <f t="shared" si="168"/>
        <v>0</v>
      </c>
      <c r="Q1169" s="910">
        <f t="shared" si="169"/>
        <v>1287</v>
      </c>
      <c r="R1169" s="1344">
        <f t="shared" si="170"/>
        <v>3.03</v>
      </c>
      <c r="S1169" s="1344">
        <f>(1/9)*cnst_fish!$C$7*(1/cnst_fish!$C$8)^(R1169-1)</f>
        <v>15.111169689248294</v>
      </c>
      <c r="T1169" s="1362">
        <f t="shared" si="171"/>
        <v>1680.2774115886334</v>
      </c>
      <c r="W1169" s="1612"/>
      <c r="X1169" s="1612"/>
      <c r="Y1169" s="1613"/>
      <c r="Z1169" s="1614"/>
      <c r="AA1169" s="1614"/>
      <c r="AB1169" s="1615"/>
      <c r="AC1169" s="1615"/>
      <c r="AD1169" s="583"/>
      <c r="AE1169" s="583"/>
    </row>
    <row r="1170" spans="1:31" ht="14">
      <c r="A1170" s="1384" t="s">
        <v>1074</v>
      </c>
      <c r="B1170" s="19" t="s">
        <v>2559</v>
      </c>
      <c r="C1170" s="1383">
        <v>3569</v>
      </c>
      <c r="D1170" s="1236">
        <v>313</v>
      </c>
      <c r="E1170" s="1236"/>
      <c r="F1170" s="1344">
        <f>(1/S1170)*cnst_fish!$C$6</f>
        <v>0.19014759972289441</v>
      </c>
      <c r="G1170" s="1344">
        <f t="shared" si="172"/>
        <v>1</v>
      </c>
      <c r="H1170" s="1344">
        <f t="shared" si="172"/>
        <v>0.367192066876738</v>
      </c>
      <c r="I1170" s="1344">
        <f t="shared" si="166"/>
        <v>604.43106881133508</v>
      </c>
      <c r="J1170" s="902">
        <f t="shared" si="167"/>
        <v>0</v>
      </c>
      <c r="L1170" s="1460">
        <v>302732</v>
      </c>
      <c r="M1170" s="1236"/>
      <c r="N1170" s="1240" t="s">
        <v>2434</v>
      </c>
      <c r="O1170" s="1241" t="s">
        <v>4835</v>
      </c>
      <c r="P1170" s="910">
        <f t="shared" si="168"/>
        <v>313</v>
      </c>
      <c r="Q1170" s="910">
        <f t="shared" si="169"/>
        <v>302732</v>
      </c>
      <c r="R1170" s="1344">
        <f t="shared" si="170"/>
        <v>3.2</v>
      </c>
      <c r="S1170" s="1344">
        <f>(1/9)*cnst_fish!$C$7*(1/cnst_fish!$C$8)^(R1170-1)</f>
        <v>22.351057842400341</v>
      </c>
      <c r="T1170" s="1362">
        <f t="shared" si="171"/>
        <v>584602.64001084049</v>
      </c>
      <c r="W1170" s="1612"/>
      <c r="X1170" s="1612"/>
      <c r="Y1170" s="1613"/>
      <c r="Z1170" s="1614"/>
      <c r="AA1170" s="1614"/>
      <c r="AB1170" s="1615"/>
      <c r="AC1170" s="1615"/>
      <c r="AD1170" s="583"/>
      <c r="AE1170" s="583"/>
    </row>
    <row r="1171" spans="1:31" ht="14">
      <c r="A1171" s="1384" t="s">
        <v>2052</v>
      </c>
      <c r="B1171" s="19" t="s">
        <v>2053</v>
      </c>
      <c r="C1171" s="1383">
        <v>16924</v>
      </c>
      <c r="D1171" s="1236"/>
      <c r="E1171" s="1236"/>
      <c r="F1171" s="1344">
        <f>(1/S1171)*cnst_fish!$C$6</f>
        <v>9.5299549485983348E-2</v>
      </c>
      <c r="G1171" s="1344">
        <f t="shared" si="172"/>
        <v>1</v>
      </c>
      <c r="H1171" s="1344">
        <f t="shared" si="172"/>
        <v>0.367192066876738</v>
      </c>
      <c r="I1171" s="1344">
        <f t="shared" si="166"/>
        <v>0</v>
      </c>
      <c r="J1171" s="902">
        <f t="shared" si="167"/>
        <v>0</v>
      </c>
      <c r="L1171" s="1460">
        <v>8806</v>
      </c>
      <c r="M1171" s="1236"/>
      <c r="N1171" s="1240" t="s">
        <v>2434</v>
      </c>
      <c r="O1171" s="1241" t="s">
        <v>4835</v>
      </c>
      <c r="P1171" s="910">
        <f t="shared" si="168"/>
        <v>0</v>
      </c>
      <c r="Q1171" s="910">
        <f t="shared" si="169"/>
        <v>8806</v>
      </c>
      <c r="R1171" s="1344">
        <f t="shared" si="170"/>
        <v>3.5</v>
      </c>
      <c r="S1171" s="1344">
        <f>(1/9)*cnst_fish!$C$7*(1/cnst_fish!$C$8)^(R1171-1)</f>
        <v>44.596223412631026</v>
      </c>
      <c r="T1171" s="1362">
        <f t="shared" si="171"/>
        <v>33929.786219945738</v>
      </c>
      <c r="W1171" s="1612"/>
      <c r="X1171" s="1612"/>
      <c r="Y1171" s="1613"/>
      <c r="Z1171" s="1614"/>
      <c r="AA1171" s="1614"/>
      <c r="AB1171" s="1615"/>
      <c r="AC1171" s="1615"/>
      <c r="AD1171" s="583"/>
      <c r="AE1171" s="583"/>
    </row>
    <row r="1172" spans="1:31" ht="14">
      <c r="A1172" s="1384" t="s">
        <v>966</v>
      </c>
      <c r="B1172" s="19" t="s">
        <v>2560</v>
      </c>
      <c r="C1172" s="1383">
        <v>3571</v>
      </c>
      <c r="D1172" s="1236"/>
      <c r="E1172" s="1236"/>
      <c r="F1172" s="1344">
        <f>(1/S1172)*cnst_fish!$C$6</f>
        <v>8.4935812883106004E-2</v>
      </c>
      <c r="G1172" s="1344">
        <f t="shared" si="172"/>
        <v>1</v>
      </c>
      <c r="H1172" s="1344">
        <f t="shared" si="172"/>
        <v>0.367192066876738</v>
      </c>
      <c r="I1172" s="1344">
        <f t="shared" si="166"/>
        <v>0</v>
      </c>
      <c r="J1172" s="902">
        <f t="shared" si="167"/>
        <v>0</v>
      </c>
      <c r="L1172" s="1460">
        <v>42184</v>
      </c>
      <c r="M1172" s="1236"/>
      <c r="N1172" s="1240" t="s">
        <v>2434</v>
      </c>
      <c r="O1172" s="1241" t="s">
        <v>4835</v>
      </c>
      <c r="P1172" s="910">
        <f t="shared" si="168"/>
        <v>0</v>
      </c>
      <c r="Q1172" s="910">
        <f t="shared" si="169"/>
        <v>42184</v>
      </c>
      <c r="R1172" s="1344">
        <f t="shared" si="170"/>
        <v>3.55</v>
      </c>
      <c r="S1172" s="1344">
        <f>(1/9)*cnst_fish!$C$7*(1/cnst_fish!$C$8)^(R1172-1)</f>
        <v>50.037785661145278</v>
      </c>
      <c r="T1172" s="1362">
        <f t="shared" si="171"/>
        <v>182368.6572641168</v>
      </c>
      <c r="W1172" s="1612"/>
      <c r="X1172" s="1612"/>
      <c r="Y1172" s="1613"/>
      <c r="Z1172" s="1614"/>
      <c r="AA1172" s="1614"/>
      <c r="AB1172" s="1615"/>
      <c r="AC1172" s="1615"/>
      <c r="AD1172" s="583"/>
      <c r="AE1172" s="583"/>
    </row>
    <row r="1173" spans="1:31" ht="14">
      <c r="A1173" s="1384" t="s">
        <v>280</v>
      </c>
      <c r="B1173" s="19" t="s">
        <v>2617</v>
      </c>
      <c r="C1173" s="1383">
        <v>3138</v>
      </c>
      <c r="D1173" s="1236">
        <v>919</v>
      </c>
      <c r="E1173" s="1236"/>
      <c r="F1173" s="1344">
        <f>(1/S1173)*cnst_fish!$C$6</f>
        <v>3.0838329721915438E-2</v>
      </c>
      <c r="G1173" s="1344">
        <f t="shared" si="172"/>
        <v>1</v>
      </c>
      <c r="H1173" s="1344">
        <f t="shared" si="172"/>
        <v>0.367192066876738</v>
      </c>
      <c r="I1173" s="1344">
        <f t="shared" si="166"/>
        <v>10942.535231404307</v>
      </c>
      <c r="J1173" s="902">
        <f t="shared" si="167"/>
        <v>0</v>
      </c>
      <c r="L1173" s="1460">
        <v>8321</v>
      </c>
      <c r="M1173" s="1236"/>
      <c r="N1173" s="1240" t="s">
        <v>1806</v>
      </c>
      <c r="O1173" s="1241" t="s">
        <v>4841</v>
      </c>
      <c r="P1173" s="910">
        <f t="shared" si="168"/>
        <v>919</v>
      </c>
      <c r="Q1173" s="910">
        <f t="shared" si="169"/>
        <v>8321</v>
      </c>
      <c r="R1173" s="1344">
        <f t="shared" si="170"/>
        <v>3.99</v>
      </c>
      <c r="S1173" s="1344">
        <f>(1/9)*cnst_fish!$C$7*(1/cnst_fish!$C$8)^(R1173-1)</f>
        <v>137.81550551940927</v>
      </c>
      <c r="T1173" s="1362">
        <f t="shared" si="171"/>
        <v>99078.167204042678</v>
      </c>
      <c r="W1173" s="1612"/>
      <c r="X1173" s="1612"/>
      <c r="Y1173" s="1613"/>
      <c r="Z1173" s="1614"/>
      <c r="AA1173" s="1614"/>
      <c r="AB1173" s="1615"/>
      <c r="AC1173" s="1615"/>
      <c r="AD1173" s="583"/>
      <c r="AE1173" s="583"/>
    </row>
    <row r="1174" spans="1:31" ht="14">
      <c r="A1174" s="1384" t="s">
        <v>5128</v>
      </c>
      <c r="B1174" s="19" t="s">
        <v>6421</v>
      </c>
      <c r="C1174" s="1383">
        <v>3059</v>
      </c>
      <c r="D1174" s="1236"/>
      <c r="E1174" s="1236"/>
      <c r="F1174" s="1344">
        <f>(1/S1174)*cnst_fish!$C$6</f>
        <v>3.0136363636363641</v>
      </c>
      <c r="G1174" s="1344">
        <f t="shared" si="172"/>
        <v>1</v>
      </c>
      <c r="H1174" s="1344">
        <f t="shared" si="172"/>
        <v>0.367192066876738</v>
      </c>
      <c r="I1174" s="1344">
        <f t="shared" si="166"/>
        <v>0</v>
      </c>
      <c r="J1174" s="902">
        <f t="shared" si="167"/>
        <v>0</v>
      </c>
      <c r="L1174" s="1460"/>
      <c r="M1174" s="1236">
        <v>24</v>
      </c>
      <c r="N1174" s="1240" t="s">
        <v>1806</v>
      </c>
      <c r="O1174" s="1241" t="s">
        <v>4845</v>
      </c>
      <c r="P1174" s="910">
        <f t="shared" si="168"/>
        <v>0</v>
      </c>
      <c r="Q1174" s="910">
        <f t="shared" si="169"/>
        <v>24</v>
      </c>
      <c r="R1174" s="1344">
        <f t="shared" si="170"/>
        <v>2</v>
      </c>
      <c r="S1174" s="1344">
        <f>(1/9)*cnst_fish!$C$7*(1/cnst_fish!$C$8)^(R1174-1)</f>
        <v>1.4102564102564099</v>
      </c>
      <c r="T1174" s="1362">
        <f t="shared" si="171"/>
        <v>2.9242445144934783</v>
      </c>
      <c r="W1174" s="1612"/>
      <c r="X1174" s="1612"/>
      <c r="Y1174" s="1613"/>
      <c r="Z1174" s="1614"/>
      <c r="AA1174" s="1614"/>
      <c r="AB1174" s="1615"/>
      <c r="AC1174" s="1615"/>
      <c r="AD1174" s="583"/>
      <c r="AE1174" s="583"/>
    </row>
    <row r="1175" spans="1:31" ht="14">
      <c r="A1175" s="1384" t="s">
        <v>3767</v>
      </c>
      <c r="B1175" s="19" t="s">
        <v>3128</v>
      </c>
      <c r="C1175" s="1383">
        <v>13865</v>
      </c>
      <c r="D1175" s="1236"/>
      <c r="E1175" s="1236"/>
      <c r="F1175" s="1344">
        <f>(1/S1175)*cnst_fish!$C$6</f>
        <v>3.0136363636363642E-2</v>
      </c>
      <c r="G1175" s="1344">
        <f t="shared" si="172"/>
        <v>1</v>
      </c>
      <c r="H1175" s="1344">
        <f t="shared" si="172"/>
        <v>0.367192066876738</v>
      </c>
      <c r="I1175" s="1344">
        <f t="shared" si="166"/>
        <v>0</v>
      </c>
      <c r="J1175" s="902">
        <f t="shared" si="167"/>
        <v>0</v>
      </c>
      <c r="L1175" s="1460">
        <v>760</v>
      </c>
      <c r="M1175" s="1236"/>
      <c r="N1175" s="1240" t="s">
        <v>1806</v>
      </c>
      <c r="O1175" s="1241" t="s">
        <v>4859</v>
      </c>
      <c r="P1175" s="910">
        <f t="shared" si="168"/>
        <v>0</v>
      </c>
      <c r="Q1175" s="910">
        <f t="shared" si="169"/>
        <v>760</v>
      </c>
      <c r="R1175" s="1344">
        <f t="shared" si="170"/>
        <v>4</v>
      </c>
      <c r="S1175" s="1344">
        <f>(1/9)*cnst_fish!$C$7*(1/cnst_fish!$C$8)^(R1175-1)</f>
        <v>141.02564102564099</v>
      </c>
      <c r="T1175" s="1362">
        <f t="shared" si="171"/>
        <v>9260.1076292293492</v>
      </c>
      <c r="W1175" s="1612"/>
      <c r="X1175" s="1612"/>
      <c r="Y1175" s="1613"/>
      <c r="Z1175" s="1614"/>
      <c r="AA1175" s="1614"/>
      <c r="AB1175" s="1615"/>
      <c r="AC1175" s="1615"/>
      <c r="AD1175" s="583"/>
      <c r="AE1175" s="583"/>
    </row>
    <row r="1176" spans="1:31" ht="14">
      <c r="A1176" s="1384" t="s">
        <v>6748</v>
      </c>
      <c r="B1176" s="19" t="s">
        <v>6747</v>
      </c>
      <c r="C1176" s="1383">
        <v>19252</v>
      </c>
      <c r="D1176" s="1236"/>
      <c r="E1176" s="1236"/>
      <c r="F1176" s="1344">
        <f>(1/S1176)*cnst_fish!$C$6</f>
        <v>0.15103960722494611</v>
      </c>
      <c r="G1176" s="1344">
        <f t="shared" si="172"/>
        <v>1</v>
      </c>
      <c r="H1176" s="1344">
        <f t="shared" si="172"/>
        <v>0.367192066876738</v>
      </c>
      <c r="I1176" s="1344">
        <f t="shared" si="166"/>
        <v>0</v>
      </c>
      <c r="J1176" s="902">
        <f t="shared" si="167"/>
        <v>0</v>
      </c>
      <c r="L1176" s="1460">
        <v>0</v>
      </c>
      <c r="M1176" s="1236"/>
      <c r="N1176" s="1240" t="s">
        <v>1806</v>
      </c>
      <c r="O1176" s="1241" t="s">
        <v>4859</v>
      </c>
      <c r="P1176" s="910">
        <f t="shared" si="168"/>
        <v>0</v>
      </c>
      <c r="Q1176" s="910">
        <f t="shared" si="169"/>
        <v>0</v>
      </c>
      <c r="R1176" s="1344">
        <f t="shared" si="170"/>
        <v>3.3</v>
      </c>
      <c r="S1176" s="1344">
        <f>(1/9)*cnst_fish!$C$7*(1/cnst_fish!$C$8)^(R1176-1)</f>
        <v>28.138314698279075</v>
      </c>
      <c r="T1176" s="1362">
        <f t="shared" si="171"/>
        <v>0</v>
      </c>
      <c r="W1176" s="1612"/>
      <c r="X1176" s="1612"/>
      <c r="Y1176" s="1613"/>
      <c r="Z1176" s="1614"/>
      <c r="AA1176" s="1614"/>
      <c r="AB1176" s="1615"/>
      <c r="AC1176" s="1615"/>
      <c r="AD1176" s="583"/>
      <c r="AE1176" s="583"/>
    </row>
    <row r="1177" spans="1:31" ht="14">
      <c r="A1177" s="1384" t="s">
        <v>4021</v>
      </c>
      <c r="B1177" s="19" t="s">
        <v>4022</v>
      </c>
      <c r="C1177" s="1383">
        <v>13885</v>
      </c>
      <c r="D1177" s="1236"/>
      <c r="E1177" s="1236"/>
      <c r="F1177" s="1344">
        <f>(1/S1177)*cnst_fish!$C$6</f>
        <v>1.9014759972289439E-2</v>
      </c>
      <c r="G1177" s="1344">
        <f t="shared" si="172"/>
        <v>1</v>
      </c>
      <c r="H1177" s="1344">
        <f t="shared" si="172"/>
        <v>0.367192066876738</v>
      </c>
      <c r="I1177" s="1344">
        <f t="shared" si="166"/>
        <v>0</v>
      </c>
      <c r="J1177" s="902">
        <f t="shared" si="167"/>
        <v>0</v>
      </c>
      <c r="L1177" s="1460">
        <v>6129</v>
      </c>
      <c r="M1177" s="1236"/>
      <c r="N1177" s="1240" t="s">
        <v>1806</v>
      </c>
      <c r="O1177" s="1241" t="s">
        <v>4859</v>
      </c>
      <c r="P1177" s="910">
        <f t="shared" si="168"/>
        <v>0</v>
      </c>
      <c r="Q1177" s="910">
        <f t="shared" si="169"/>
        <v>6129</v>
      </c>
      <c r="R1177" s="1344">
        <f t="shared" si="170"/>
        <v>4.2</v>
      </c>
      <c r="S1177" s="1344">
        <f>(1/9)*cnst_fish!$C$7*(1/cnst_fish!$C$8)^(R1177-1)</f>
        <v>223.51057842400343</v>
      </c>
      <c r="T1177" s="1362">
        <f t="shared" si="171"/>
        <v>118356.48628577231</v>
      </c>
      <c r="W1177" s="1612"/>
      <c r="X1177" s="1612"/>
      <c r="Y1177" s="1613"/>
      <c r="Z1177" s="1614"/>
      <c r="AA1177" s="1614"/>
      <c r="AB1177" s="1615"/>
      <c r="AC1177" s="1615"/>
      <c r="AD1177" s="583"/>
      <c r="AE1177" s="583"/>
    </row>
    <row r="1178" spans="1:31" ht="14">
      <c r="A1178" s="1384" t="s">
        <v>5030</v>
      </c>
      <c r="B1178" s="19" t="s">
        <v>2561</v>
      </c>
      <c r="C1178" s="1383">
        <v>2719</v>
      </c>
      <c r="D1178" s="1236"/>
      <c r="E1178" s="1236"/>
      <c r="F1178" s="1344">
        <f>(1/S1178)*cnst_fish!$C$6</f>
        <v>0.19014759972289441</v>
      </c>
      <c r="G1178" s="1344">
        <f t="shared" si="172"/>
        <v>1</v>
      </c>
      <c r="H1178" s="1344">
        <f t="shared" si="172"/>
        <v>0.367192066876738</v>
      </c>
      <c r="I1178" s="1344">
        <f t="shared" si="166"/>
        <v>0</v>
      </c>
      <c r="J1178" s="902">
        <f t="shared" si="167"/>
        <v>0</v>
      </c>
      <c r="L1178" s="1460">
        <v>3625</v>
      </c>
      <c r="M1178" s="1236"/>
      <c r="N1178" s="1240" t="s">
        <v>5368</v>
      </c>
      <c r="O1178" s="1241" t="s">
        <v>4835</v>
      </c>
      <c r="P1178" s="910">
        <f t="shared" si="168"/>
        <v>0</v>
      </c>
      <c r="Q1178" s="910">
        <f t="shared" si="169"/>
        <v>3625</v>
      </c>
      <c r="R1178" s="1344">
        <f t="shared" si="170"/>
        <v>3.2</v>
      </c>
      <c r="S1178" s="1344">
        <f>(1/9)*cnst_fish!$C$7*(1/cnst_fish!$C$8)^(R1178-1)</f>
        <v>22.351057842400341</v>
      </c>
      <c r="T1178" s="1362">
        <f t="shared" si="171"/>
        <v>7000.2000780865492</v>
      </c>
      <c r="W1178" s="1612"/>
      <c r="X1178" s="1612"/>
      <c r="Y1178" s="1613"/>
      <c r="Z1178" s="1614"/>
      <c r="AA1178" s="1614"/>
      <c r="AB1178" s="1615"/>
      <c r="AC1178" s="1615"/>
      <c r="AD1178" s="583"/>
      <c r="AE1178" s="583"/>
    </row>
    <row r="1179" spans="1:31" ht="14">
      <c r="A1179" s="1384" t="s">
        <v>4284</v>
      </c>
      <c r="B1179" s="19" t="s">
        <v>4285</v>
      </c>
      <c r="C1179" s="1383">
        <v>13896</v>
      </c>
      <c r="D1179" s="1236"/>
      <c r="E1179" s="1236"/>
      <c r="F1179" s="1344">
        <f>(1/S1179)*cnst_fish!$C$6</f>
        <v>7.3976000504507963E-2</v>
      </c>
      <c r="G1179" s="1344">
        <f t="shared" si="172"/>
        <v>1</v>
      </c>
      <c r="H1179" s="1344">
        <f t="shared" si="172"/>
        <v>0.367192066876738</v>
      </c>
      <c r="I1179" s="1344">
        <f t="shared" si="166"/>
        <v>0</v>
      </c>
      <c r="J1179" s="902">
        <f t="shared" si="167"/>
        <v>0</v>
      </c>
      <c r="L1179" s="1460"/>
      <c r="M1179" s="1236">
        <v>4897</v>
      </c>
      <c r="N1179" s="1240" t="s">
        <v>1806</v>
      </c>
      <c r="O1179" s="1241" t="s">
        <v>4845</v>
      </c>
      <c r="P1179" s="910">
        <f t="shared" si="168"/>
        <v>0</v>
      </c>
      <c r="Q1179" s="910">
        <f t="shared" si="169"/>
        <v>4897</v>
      </c>
      <c r="R1179" s="1344">
        <f t="shared" si="170"/>
        <v>3.61</v>
      </c>
      <c r="S1179" s="1344">
        <f>(1/9)*cnst_fish!$C$7*(1/cnst_fish!$C$8)^(R1179-1)</f>
        <v>57.451064818528707</v>
      </c>
      <c r="T1179" s="1362">
        <f t="shared" si="171"/>
        <v>24307.0663354639</v>
      </c>
      <c r="W1179" s="1612"/>
      <c r="X1179" s="1612"/>
      <c r="Y1179" s="1613"/>
      <c r="Z1179" s="1614"/>
      <c r="AA1179" s="1614"/>
      <c r="AB1179" s="1615"/>
      <c r="AC1179" s="1615"/>
      <c r="AD1179" s="583"/>
      <c r="AE1179" s="583"/>
    </row>
    <row r="1180" spans="1:31" ht="14">
      <c r="A1180" s="1384" t="s">
        <v>6751</v>
      </c>
      <c r="B1180" s="19" t="s">
        <v>2109</v>
      </c>
      <c r="C1180" s="1383">
        <v>2116</v>
      </c>
      <c r="D1180" s="1236">
        <v>308083</v>
      </c>
      <c r="E1180" s="1236">
        <v>0</v>
      </c>
      <c r="F1180" s="1344">
        <f>(1/S1180)*cnst_fish!$C$6</f>
        <v>1.9457670629544368E-2</v>
      </c>
      <c r="G1180" s="1344">
        <f t="shared" si="172"/>
        <v>1</v>
      </c>
      <c r="H1180" s="1344">
        <f t="shared" si="172"/>
        <v>0.367192066876738</v>
      </c>
      <c r="I1180" s="1344">
        <f t="shared" si="166"/>
        <v>5813935.0641395394</v>
      </c>
      <c r="J1180" s="902">
        <f t="shared" si="167"/>
        <v>0</v>
      </c>
      <c r="L1180" s="1460">
        <v>550118</v>
      </c>
      <c r="M1180" s="1236">
        <v>20375</v>
      </c>
      <c r="N1180" s="1240" t="s">
        <v>3933</v>
      </c>
      <c r="O1180" s="1241" t="s">
        <v>4845</v>
      </c>
      <c r="P1180" s="910">
        <f t="shared" si="168"/>
        <v>308083</v>
      </c>
      <c r="Q1180" s="910">
        <f t="shared" si="169"/>
        <v>570493</v>
      </c>
      <c r="R1180" s="1344">
        <f t="shared" si="170"/>
        <v>4.1900000000000004</v>
      </c>
      <c r="S1180" s="1344">
        <f>(1/9)*cnst_fish!$C$7*(1/cnst_fish!$C$8)^(R1180-1)</f>
        <v>218.42285651329891</v>
      </c>
      <c r="T1180" s="1362">
        <f t="shared" si="171"/>
        <v>10765960.006057324</v>
      </c>
      <c r="W1180" s="1612"/>
      <c r="X1180" s="1612"/>
      <c r="Y1180" s="1613"/>
      <c r="Z1180" s="1614"/>
      <c r="AA1180" s="1614"/>
      <c r="AB1180" s="1615"/>
      <c r="AC1180" s="1615"/>
      <c r="AD1180" s="583"/>
      <c r="AE1180" s="583"/>
    </row>
    <row r="1181" spans="1:31" ht="14">
      <c r="A1181" s="1384" t="s">
        <v>6752</v>
      </c>
      <c r="B1181" s="19" t="s">
        <v>2110</v>
      </c>
      <c r="C1181" s="1383">
        <v>2931</v>
      </c>
      <c r="D1181" s="1236">
        <v>69606</v>
      </c>
      <c r="E1181" s="1236">
        <v>0</v>
      </c>
      <c r="F1181" s="1344">
        <f>(1/S1181)*cnst_fish!$C$6</f>
        <v>0.10211530705467774</v>
      </c>
      <c r="G1181" s="1344">
        <f t="shared" si="172"/>
        <v>1</v>
      </c>
      <c r="H1181" s="1344">
        <f t="shared" si="172"/>
        <v>0.367192066876738</v>
      </c>
      <c r="I1181" s="1344">
        <f t="shared" si="166"/>
        <v>250293.23951733072</v>
      </c>
      <c r="J1181" s="902">
        <f t="shared" si="167"/>
        <v>0</v>
      </c>
      <c r="L1181" s="1460">
        <v>306122</v>
      </c>
      <c r="M1181" s="1236">
        <v>54112</v>
      </c>
      <c r="N1181" s="1240" t="s">
        <v>3933</v>
      </c>
      <c r="O1181" s="1241" t="s">
        <v>4845</v>
      </c>
      <c r="P1181" s="910">
        <f t="shared" si="168"/>
        <v>69606</v>
      </c>
      <c r="Q1181" s="910">
        <f t="shared" si="169"/>
        <v>360234</v>
      </c>
      <c r="R1181" s="1344">
        <f t="shared" si="170"/>
        <v>3.47</v>
      </c>
      <c r="S1181" s="1344">
        <f>(1/9)*cnst_fish!$C$7*(1/cnst_fish!$C$8)^(R1181-1)</f>
        <v>41.619617299141382</v>
      </c>
      <c r="T1181" s="1362">
        <f t="shared" si="171"/>
        <v>1295350.0394259994</v>
      </c>
      <c r="W1181" s="1612"/>
      <c r="X1181" s="1612"/>
      <c r="Y1181" s="1613"/>
      <c r="Z1181" s="1614"/>
      <c r="AA1181" s="1614"/>
      <c r="AB1181" s="1615"/>
      <c r="AC1181" s="1615"/>
      <c r="AD1181" s="583"/>
      <c r="AE1181" s="583"/>
    </row>
    <row r="1182" spans="1:31" ht="14">
      <c r="A1182" s="1384" t="s">
        <v>6753</v>
      </c>
      <c r="B1182" s="19" t="s">
        <v>2111</v>
      </c>
      <c r="C1182" s="1383">
        <v>2118</v>
      </c>
      <c r="D1182" s="1236">
        <v>17967</v>
      </c>
      <c r="E1182" s="1236">
        <v>3</v>
      </c>
      <c r="F1182" s="1344">
        <f>(1/S1182)*cnst_fish!$C$6</f>
        <v>1.8158954798513597E-2</v>
      </c>
      <c r="G1182" s="1344">
        <f t="shared" si="172"/>
        <v>1</v>
      </c>
      <c r="H1182" s="1344">
        <f t="shared" si="172"/>
        <v>0.367192066876738</v>
      </c>
      <c r="I1182" s="1344">
        <f t="shared" si="166"/>
        <v>363310.55056728143</v>
      </c>
      <c r="J1182" s="902">
        <f t="shared" si="167"/>
        <v>60.662973879993551</v>
      </c>
      <c r="L1182" s="1460">
        <v>27524</v>
      </c>
      <c r="M1182" s="1236">
        <v>1464</v>
      </c>
      <c r="N1182" s="1240" t="s">
        <v>3933</v>
      </c>
      <c r="O1182" s="1241" t="s">
        <v>4845</v>
      </c>
      <c r="P1182" s="910">
        <f t="shared" si="168"/>
        <v>17970</v>
      </c>
      <c r="Q1182" s="910">
        <f t="shared" si="169"/>
        <v>28988</v>
      </c>
      <c r="R1182" s="1344">
        <f t="shared" si="170"/>
        <v>4.22</v>
      </c>
      <c r="S1182" s="1344">
        <f>(1/9)*cnst_fish!$C$7*(1/cnst_fish!$C$8)^(R1182-1)</f>
        <v>234.0443074591432</v>
      </c>
      <c r="T1182" s="1362">
        <f t="shared" si="171"/>
        <v>586166.09561108437</v>
      </c>
      <c r="W1182" s="1612"/>
      <c r="X1182" s="1612"/>
      <c r="Y1182" s="1613"/>
      <c r="Z1182" s="1614"/>
      <c r="AA1182" s="1614"/>
      <c r="AB1182" s="1615"/>
      <c r="AC1182" s="1615"/>
      <c r="AD1182" s="583"/>
      <c r="AE1182" s="583"/>
    </row>
    <row r="1183" spans="1:31" ht="14">
      <c r="A1183" s="1384" t="s">
        <v>2628</v>
      </c>
      <c r="B1183" s="19" t="s">
        <v>4963</v>
      </c>
      <c r="C1183" s="1383">
        <v>2932</v>
      </c>
      <c r="D1183" s="1236"/>
      <c r="E1183" s="1236"/>
      <c r="F1183" s="1344">
        <f>(1/S1183)*cnst_fish!$C$6</f>
        <v>7.5699122913220479E-2</v>
      </c>
      <c r="G1183" s="1344">
        <f t="shared" si="172"/>
        <v>1</v>
      </c>
      <c r="H1183" s="1344">
        <f t="shared" si="172"/>
        <v>0.367192066876738</v>
      </c>
      <c r="I1183" s="1344">
        <f t="shared" si="166"/>
        <v>0</v>
      </c>
      <c r="J1183" s="902">
        <f t="shared" si="167"/>
        <v>0</v>
      </c>
      <c r="L1183" s="1460">
        <v>1363</v>
      </c>
      <c r="M1183" s="1236">
        <v>17</v>
      </c>
      <c r="N1183" s="1240" t="s">
        <v>3933</v>
      </c>
      <c r="O1183" s="1241" t="s">
        <v>4845</v>
      </c>
      <c r="P1183" s="910">
        <f t="shared" si="168"/>
        <v>0</v>
      </c>
      <c r="Q1183" s="910">
        <f t="shared" si="169"/>
        <v>1380</v>
      </c>
      <c r="R1183" s="1344">
        <f t="shared" si="170"/>
        <v>3.6</v>
      </c>
      <c r="S1183" s="1344">
        <f>(1/9)*cnst_fish!$C$7*(1/cnst_fish!$C$8)^(R1183-1)</f>
        <v>56.143318924211187</v>
      </c>
      <c r="T1183" s="1362">
        <f t="shared" si="171"/>
        <v>6693.9355806116127</v>
      </c>
      <c r="W1183" s="1612"/>
      <c r="X1183" s="1612"/>
      <c r="Y1183" s="1613"/>
      <c r="Z1183" s="1614"/>
      <c r="AA1183" s="1614"/>
      <c r="AB1183" s="1615"/>
      <c r="AC1183" s="1615"/>
      <c r="AD1183" s="583"/>
      <c r="AE1183" s="583"/>
    </row>
    <row r="1184" spans="1:31" ht="14">
      <c r="A1184" s="1384" t="s">
        <v>1965</v>
      </c>
      <c r="B1184" s="19" t="s">
        <v>4964</v>
      </c>
      <c r="C1184" s="1383">
        <v>2934</v>
      </c>
      <c r="D1184" s="1236"/>
      <c r="E1184" s="1236">
        <v>154</v>
      </c>
      <c r="F1184" s="1344">
        <f>(1/S1184)*cnst_fish!$C$6</f>
        <v>1.1457525898206004E-2</v>
      </c>
      <c r="G1184" s="1344">
        <f t="shared" si="172"/>
        <v>1</v>
      </c>
      <c r="H1184" s="1344">
        <f t="shared" si="172"/>
        <v>0.367192066876738</v>
      </c>
      <c r="I1184" s="1344">
        <f t="shared" si="166"/>
        <v>0</v>
      </c>
      <c r="J1184" s="902">
        <f t="shared" si="167"/>
        <v>4935.4091626248692</v>
      </c>
      <c r="L1184" s="1460">
        <v>69</v>
      </c>
      <c r="M1184" s="1236">
        <v>2721</v>
      </c>
      <c r="N1184" s="1240" t="s">
        <v>2442</v>
      </c>
      <c r="O1184" s="1241" t="s">
        <v>4845</v>
      </c>
      <c r="P1184" s="910">
        <f t="shared" si="168"/>
        <v>154</v>
      </c>
      <c r="Q1184" s="910">
        <f t="shared" si="169"/>
        <v>2790</v>
      </c>
      <c r="R1184" s="1344">
        <f t="shared" si="170"/>
        <v>4.42</v>
      </c>
      <c r="S1184" s="1344">
        <f>(1/9)*cnst_fish!$C$7*(1/cnst_fish!$C$8)^(R1184-1)</f>
        <v>370.93522962627179</v>
      </c>
      <c r="T1184" s="1362">
        <f t="shared" si="171"/>
        <v>89414.230933268744</v>
      </c>
      <c r="W1184" s="1612"/>
      <c r="X1184" s="1612"/>
      <c r="Y1184" s="1613"/>
      <c r="Z1184" s="1614"/>
      <c r="AA1184" s="1614"/>
      <c r="AB1184" s="1615"/>
      <c r="AC1184" s="1615"/>
      <c r="AD1184" s="583"/>
      <c r="AE1184" s="583"/>
    </row>
    <row r="1185" spans="1:31" ht="14">
      <c r="A1185" s="1384" t="s">
        <v>6754</v>
      </c>
      <c r="B1185" s="19" t="s">
        <v>2952</v>
      </c>
      <c r="C1185" s="1383">
        <v>2117</v>
      </c>
      <c r="D1185" s="1236">
        <v>81099</v>
      </c>
      <c r="E1185" s="1236">
        <v>0</v>
      </c>
      <c r="F1185" s="1344">
        <f>(1/S1185)*cnst_fish!$C$6</f>
        <v>5.6116535073067304E-2</v>
      </c>
      <c r="G1185" s="1344">
        <f t="shared" si="172"/>
        <v>1</v>
      </c>
      <c r="H1185" s="1344">
        <f t="shared" si="172"/>
        <v>0.367192066876738</v>
      </c>
      <c r="I1185" s="1344">
        <f t="shared" si="166"/>
        <v>530661.941134864</v>
      </c>
      <c r="J1185" s="902">
        <f t="shared" si="167"/>
        <v>0</v>
      </c>
      <c r="L1185" s="1460">
        <v>130084</v>
      </c>
      <c r="M1185" s="1236">
        <v>8674</v>
      </c>
      <c r="N1185" s="1240" t="s">
        <v>3933</v>
      </c>
      <c r="O1185" s="1241" t="s">
        <v>4845</v>
      </c>
      <c r="P1185" s="910">
        <f t="shared" si="168"/>
        <v>81099</v>
      </c>
      <c r="Q1185" s="910">
        <f t="shared" si="169"/>
        <v>138758</v>
      </c>
      <c r="R1185" s="1344">
        <f t="shared" si="170"/>
        <v>3.73</v>
      </c>
      <c r="S1185" s="1344">
        <f>(1/9)*cnst_fish!$C$7*(1/cnst_fish!$C$8)^(R1185-1)</f>
        <v>75.735253334266432</v>
      </c>
      <c r="T1185" s="1362">
        <f t="shared" si="171"/>
        <v>907946.94913613563</v>
      </c>
      <c r="W1185" s="1612"/>
      <c r="X1185" s="1612"/>
      <c r="Y1185" s="1613"/>
      <c r="Z1185" s="1614"/>
      <c r="AA1185" s="1614"/>
      <c r="AB1185" s="1615"/>
      <c r="AC1185" s="1615"/>
      <c r="AD1185" s="583"/>
      <c r="AE1185" s="583"/>
    </row>
    <row r="1186" spans="1:31" ht="14">
      <c r="A1186" s="1384" t="s">
        <v>3450</v>
      </c>
      <c r="B1186" s="19" t="s">
        <v>2953</v>
      </c>
      <c r="C1186" s="1383">
        <v>2930</v>
      </c>
      <c r="D1186" s="1236">
        <v>0</v>
      </c>
      <c r="E1186" s="1236"/>
      <c r="F1186" s="1344">
        <f>(1/S1186)*cnst_fish!$C$6</f>
        <v>4.6675700833589753E-2</v>
      </c>
      <c r="G1186" s="1344">
        <f t="shared" si="172"/>
        <v>1</v>
      </c>
      <c r="H1186" s="1344">
        <f t="shared" si="172"/>
        <v>0.367192066876738</v>
      </c>
      <c r="I1186" s="1344">
        <f t="shared" si="166"/>
        <v>0</v>
      </c>
      <c r="J1186" s="902">
        <f t="shared" si="167"/>
        <v>0</v>
      </c>
      <c r="L1186" s="1460">
        <v>0</v>
      </c>
      <c r="M1186" s="1236"/>
      <c r="N1186" s="1240" t="s">
        <v>3933</v>
      </c>
      <c r="O1186" s="1241" t="s">
        <v>4845</v>
      </c>
      <c r="P1186" s="910">
        <f t="shared" si="168"/>
        <v>0</v>
      </c>
      <c r="Q1186" s="910">
        <f t="shared" si="169"/>
        <v>0</v>
      </c>
      <c r="R1186" s="1344">
        <f t="shared" si="170"/>
        <v>3.81</v>
      </c>
      <c r="S1186" s="1344">
        <f>(1/9)*cnst_fish!$C$7*(1/cnst_fish!$C$8)^(R1186-1)</f>
        <v>91.053801530528389</v>
      </c>
      <c r="T1186" s="1362">
        <f t="shared" si="171"/>
        <v>0</v>
      </c>
      <c r="W1186" s="1612"/>
      <c r="X1186" s="1612"/>
      <c r="Y1186" s="1613"/>
      <c r="Z1186" s="1614"/>
      <c r="AA1186" s="1614"/>
      <c r="AB1186" s="1615"/>
      <c r="AC1186" s="1615"/>
      <c r="AD1186" s="583"/>
      <c r="AE1186" s="583"/>
    </row>
    <row r="1187" spans="1:31" ht="14">
      <c r="A1187" s="1384" t="s">
        <v>6755</v>
      </c>
      <c r="B1187" s="19" t="s">
        <v>2954</v>
      </c>
      <c r="C1187" s="1383">
        <v>2933</v>
      </c>
      <c r="D1187" s="1236">
        <v>8083</v>
      </c>
      <c r="E1187" s="1236">
        <v>86</v>
      </c>
      <c r="F1187" s="1344">
        <f>(1/S1187)*cnst_fish!$C$6</f>
        <v>1.1997502458044018E-2</v>
      </c>
      <c r="G1187" s="1344">
        <f t="shared" si="172"/>
        <v>1</v>
      </c>
      <c r="H1187" s="1344">
        <f t="shared" si="172"/>
        <v>0.367192066876738</v>
      </c>
      <c r="I1187" s="1344">
        <f t="shared" si="166"/>
        <v>247385.94444502043</v>
      </c>
      <c r="J1187" s="902">
        <f t="shared" si="167"/>
        <v>2632.0909590834785</v>
      </c>
      <c r="L1187" s="1460">
        <v>9106</v>
      </c>
      <c r="M1187" s="1236">
        <v>284</v>
      </c>
      <c r="N1187" s="1240" t="s">
        <v>3933</v>
      </c>
      <c r="O1187" s="1241" t="s">
        <v>4845</v>
      </c>
      <c r="P1187" s="910">
        <f t="shared" si="168"/>
        <v>8169</v>
      </c>
      <c r="Q1187" s="910">
        <f t="shared" si="169"/>
        <v>9390</v>
      </c>
      <c r="R1187" s="1344">
        <f t="shared" si="170"/>
        <v>4.4000000000000004</v>
      </c>
      <c r="S1187" s="1344">
        <f>(1/9)*cnst_fish!$C$7*(1/cnst_fish!$C$8)^(R1187-1)</f>
        <v>354.24039418724885</v>
      </c>
      <c r="T1187" s="1362">
        <f t="shared" si="171"/>
        <v>287387.60588132398</v>
      </c>
      <c r="W1187" s="1612"/>
      <c r="X1187" s="1612"/>
      <c r="Y1187" s="1613"/>
      <c r="Z1187" s="1614"/>
      <c r="AA1187" s="1614"/>
      <c r="AB1187" s="1615"/>
      <c r="AC1187" s="1615"/>
      <c r="AD1187" s="583"/>
      <c r="AE1187" s="583"/>
    </row>
    <row r="1188" spans="1:31" ht="14">
      <c r="A1188" s="1384" t="s">
        <v>246</v>
      </c>
      <c r="B1188" s="19" t="s">
        <v>2618</v>
      </c>
      <c r="C1188" s="1383">
        <v>18992</v>
      </c>
      <c r="D1188" s="1236"/>
      <c r="E1188" s="1236"/>
      <c r="F1188" s="1344">
        <f>(1/S1188)*cnst_fish!$C$6</f>
        <v>4.8875458843134996E-2</v>
      </c>
      <c r="G1188" s="1344">
        <f t="shared" ref="G1188:H1207" si="173">G$7</f>
        <v>1</v>
      </c>
      <c r="H1188" s="1344">
        <f t="shared" si="173"/>
        <v>0.367192066876738</v>
      </c>
      <c r="I1188" s="1344">
        <f t="shared" si="166"/>
        <v>0</v>
      </c>
      <c r="J1188" s="902">
        <f t="shared" si="167"/>
        <v>0</v>
      </c>
      <c r="L1188" s="1460">
        <v>142</v>
      </c>
      <c r="M1188" s="1236"/>
      <c r="N1188" s="1240" t="s">
        <v>3928</v>
      </c>
      <c r="O1188" s="1241" t="s">
        <v>4841</v>
      </c>
      <c r="P1188" s="910">
        <f t="shared" si="168"/>
        <v>0</v>
      </c>
      <c r="Q1188" s="910">
        <f t="shared" si="169"/>
        <v>142</v>
      </c>
      <c r="R1188" s="1344">
        <f t="shared" si="170"/>
        <v>3.79</v>
      </c>
      <c r="S1188" s="1344">
        <f>(1/9)*cnst_fish!$C$7*(1/cnst_fish!$C$8)^(R1188-1)</f>
        <v>86.955705390721903</v>
      </c>
      <c r="T1188" s="1362">
        <f t="shared" si="171"/>
        <v>1066.8191098490427</v>
      </c>
      <c r="W1188" s="1612"/>
      <c r="X1188" s="1612"/>
      <c r="Y1188" s="1613"/>
      <c r="Z1188" s="1614"/>
      <c r="AA1188" s="1614"/>
      <c r="AB1188" s="1615"/>
      <c r="AC1188" s="1615"/>
      <c r="AD1188" s="583"/>
      <c r="AE1188" s="583"/>
    </row>
    <row r="1189" spans="1:31" ht="14">
      <c r="A1189" s="1384" t="s">
        <v>3955</v>
      </c>
      <c r="B1189" s="19" t="s">
        <v>2887</v>
      </c>
      <c r="C1189" s="1383">
        <v>3256</v>
      </c>
      <c r="D1189" s="1236"/>
      <c r="E1189" s="1236"/>
      <c r="F1189" s="1344">
        <f>(1/S1189)*cnst_fish!$C$6</f>
        <v>7.5699122913220479E-2</v>
      </c>
      <c r="G1189" s="1344">
        <f t="shared" si="173"/>
        <v>1</v>
      </c>
      <c r="H1189" s="1344">
        <f t="shared" si="173"/>
        <v>0.367192066876738</v>
      </c>
      <c r="I1189" s="1344">
        <f t="shared" si="166"/>
        <v>0</v>
      </c>
      <c r="J1189" s="902">
        <f t="shared" si="167"/>
        <v>0</v>
      </c>
      <c r="L1189" s="1460">
        <v>632</v>
      </c>
      <c r="M1189" s="1236"/>
      <c r="N1189" s="1240" t="s">
        <v>1806</v>
      </c>
      <c r="O1189" s="1241" t="s">
        <v>4841</v>
      </c>
      <c r="P1189" s="910">
        <f t="shared" si="168"/>
        <v>0</v>
      </c>
      <c r="Q1189" s="910">
        <f t="shared" si="169"/>
        <v>632</v>
      </c>
      <c r="R1189" s="1344">
        <f t="shared" si="170"/>
        <v>3.6</v>
      </c>
      <c r="S1189" s="1344">
        <f>(1/9)*cnst_fish!$C$7*(1/cnst_fish!$C$8)^(R1189-1)</f>
        <v>56.143318924211187</v>
      </c>
      <c r="T1189" s="1362">
        <f t="shared" si="171"/>
        <v>3065.6284688018409</v>
      </c>
      <c r="W1189" s="1612"/>
      <c r="X1189" s="1612"/>
      <c r="Y1189" s="1613"/>
      <c r="Z1189" s="1614"/>
      <c r="AA1189" s="1614"/>
      <c r="AB1189" s="1615"/>
      <c r="AC1189" s="1615"/>
      <c r="AD1189" s="583"/>
      <c r="AE1189" s="583"/>
    </row>
    <row r="1190" spans="1:31" ht="14">
      <c r="A1190" s="1384" t="s">
        <v>1683</v>
      </c>
      <c r="B1190" s="19" t="s">
        <v>3478</v>
      </c>
      <c r="C1190" s="1383">
        <v>3340</v>
      </c>
      <c r="D1190" s="1236">
        <v>721</v>
      </c>
      <c r="E1190" s="1236"/>
      <c r="F1190" s="1344">
        <f>(1/S1190)*cnst_fish!$C$6</f>
        <v>1.4424170509541314E-2</v>
      </c>
      <c r="G1190" s="1344">
        <f t="shared" si="173"/>
        <v>1</v>
      </c>
      <c r="H1190" s="1344">
        <f t="shared" si="173"/>
        <v>0.367192066876738</v>
      </c>
      <c r="I1190" s="1344">
        <f t="shared" si="166"/>
        <v>18354.294969197985</v>
      </c>
      <c r="J1190" s="902">
        <f t="shared" si="167"/>
        <v>0</v>
      </c>
      <c r="L1190" s="1460">
        <v>2301</v>
      </c>
      <c r="M1190" s="1236"/>
      <c r="N1190" s="1240" t="s">
        <v>1806</v>
      </c>
      <c r="O1190" s="1241" t="s">
        <v>4841</v>
      </c>
      <c r="P1190" s="910">
        <f t="shared" si="168"/>
        <v>721</v>
      </c>
      <c r="Q1190" s="910">
        <f t="shared" si="169"/>
        <v>2301</v>
      </c>
      <c r="R1190" s="1344">
        <f t="shared" si="170"/>
        <v>4.32</v>
      </c>
      <c r="S1190" s="1344">
        <f>(1/9)*cnst_fish!$C$7*(1/cnst_fish!$C$8)^(R1190-1)</f>
        <v>294.64432614608279</v>
      </c>
      <c r="T1190" s="1362">
        <f t="shared" si="171"/>
        <v>58575.912238730336</v>
      </c>
      <c r="W1190" s="1612"/>
      <c r="X1190" s="1612"/>
      <c r="Y1190" s="1613"/>
      <c r="Z1190" s="1614"/>
      <c r="AA1190" s="1614"/>
      <c r="AB1190" s="1615"/>
      <c r="AC1190" s="1615"/>
      <c r="AD1190" s="583"/>
      <c r="AE1190" s="583"/>
    </row>
    <row r="1191" spans="1:31" ht="14">
      <c r="A1191" s="1384" t="s">
        <v>2608</v>
      </c>
      <c r="B1191" s="19" t="s">
        <v>985</v>
      </c>
      <c r="C1191" s="1383">
        <v>2906</v>
      </c>
      <c r="D1191" s="1236"/>
      <c r="E1191" s="1236"/>
      <c r="F1191" s="1344">
        <f>(1/S1191)*cnst_fish!$C$6</f>
        <v>0.38823156944206699</v>
      </c>
      <c r="G1191" s="1344">
        <f t="shared" si="173"/>
        <v>1</v>
      </c>
      <c r="H1191" s="1344">
        <f t="shared" si="173"/>
        <v>0.367192066876738</v>
      </c>
      <c r="I1191" s="1344">
        <f t="shared" si="166"/>
        <v>0</v>
      </c>
      <c r="J1191" s="902">
        <f t="shared" si="167"/>
        <v>0</v>
      </c>
      <c r="L1191" s="1460">
        <v>311864</v>
      </c>
      <c r="M1191" s="1236"/>
      <c r="N1191" s="1240" t="s">
        <v>1806</v>
      </c>
      <c r="O1191" s="1241" t="s">
        <v>4859</v>
      </c>
      <c r="P1191" s="910">
        <f t="shared" si="168"/>
        <v>0</v>
      </c>
      <c r="Q1191" s="910">
        <f t="shared" si="169"/>
        <v>311864</v>
      </c>
      <c r="R1191" s="1344">
        <f t="shared" si="170"/>
        <v>2.89</v>
      </c>
      <c r="S1191" s="1344">
        <f>(1/9)*cnst_fish!$C$7*(1/cnst_fish!$C$8)^(R1191-1)</f>
        <v>10.947074721686683</v>
      </c>
      <c r="T1191" s="1362">
        <f t="shared" si="171"/>
        <v>294963.09872228233</v>
      </c>
      <c r="W1191" s="1612"/>
      <c r="X1191" s="1612"/>
      <c r="Y1191" s="1613"/>
      <c r="Z1191" s="1614"/>
      <c r="AA1191" s="1614"/>
      <c r="AB1191" s="1615"/>
      <c r="AC1191" s="1615"/>
      <c r="AD1191" s="583"/>
      <c r="AE1191" s="583"/>
    </row>
    <row r="1192" spans="1:31" ht="14">
      <c r="A1192" s="1384" t="s">
        <v>2694</v>
      </c>
      <c r="B1192" s="19" t="s">
        <v>986</v>
      </c>
      <c r="C1192" s="1383">
        <v>2907</v>
      </c>
      <c r="D1192" s="1236">
        <v>763</v>
      </c>
      <c r="E1192" s="1236"/>
      <c r="F1192" s="1344">
        <f>(1/S1192)*cnst_fish!$C$6</f>
        <v>9.5299549485983424E-3</v>
      </c>
      <c r="G1192" s="1344">
        <f t="shared" si="173"/>
        <v>1</v>
      </c>
      <c r="H1192" s="1344">
        <f t="shared" si="173"/>
        <v>0.367192066876738</v>
      </c>
      <c r="I1192" s="1344">
        <f t="shared" si="166"/>
        <v>29398.622400429907</v>
      </c>
      <c r="J1192" s="902">
        <f t="shared" si="167"/>
        <v>0</v>
      </c>
      <c r="L1192" s="1460">
        <v>10482</v>
      </c>
      <c r="M1192" s="1236"/>
      <c r="N1192" s="1240" t="s">
        <v>1806</v>
      </c>
      <c r="O1192" s="1241" t="s">
        <v>4859</v>
      </c>
      <c r="P1192" s="910">
        <f t="shared" si="168"/>
        <v>763</v>
      </c>
      <c r="Q1192" s="910">
        <f t="shared" si="169"/>
        <v>10482</v>
      </c>
      <c r="R1192" s="1344">
        <f t="shared" si="170"/>
        <v>4.5</v>
      </c>
      <c r="S1192" s="1344">
        <f>(1/9)*cnst_fish!$C$7*(1/cnst_fish!$C$8)^(R1192-1)</f>
        <v>445.96223412630997</v>
      </c>
      <c r="T1192" s="1362">
        <f t="shared" si="171"/>
        <v>403874.6526884748</v>
      </c>
      <c r="W1192" s="1612"/>
      <c r="X1192" s="1612"/>
      <c r="Y1192" s="1613"/>
      <c r="Z1192" s="1614"/>
      <c r="AA1192" s="1614"/>
      <c r="AB1192" s="1615"/>
      <c r="AC1192" s="1615"/>
      <c r="AD1192" s="583"/>
      <c r="AE1192" s="583"/>
    </row>
    <row r="1193" spans="1:31" ht="14">
      <c r="A1193" s="1384" t="s">
        <v>76</v>
      </c>
      <c r="B1193" s="19" t="s">
        <v>2534</v>
      </c>
      <c r="C1193" s="1383">
        <v>2474</v>
      </c>
      <c r="D1193" s="1236"/>
      <c r="E1193" s="1236"/>
      <c r="F1193" s="1344">
        <f>(1/S1193)*cnst_fish!$C$6</f>
        <v>9.5299549485983424E-3</v>
      </c>
      <c r="G1193" s="1344">
        <f t="shared" si="173"/>
        <v>1</v>
      </c>
      <c r="H1193" s="1344">
        <f t="shared" si="173"/>
        <v>0.367192066876738</v>
      </c>
      <c r="I1193" s="1344">
        <f t="shared" si="166"/>
        <v>0</v>
      </c>
      <c r="J1193" s="902">
        <f t="shared" si="167"/>
        <v>0</v>
      </c>
      <c r="L1193" s="1460">
        <v>667</v>
      </c>
      <c r="M1193" s="1236"/>
      <c r="N1193" s="1240" t="s">
        <v>2439</v>
      </c>
      <c r="O1193" s="1241" t="s">
        <v>4859</v>
      </c>
      <c r="P1193" s="910">
        <f t="shared" si="168"/>
        <v>0</v>
      </c>
      <c r="Q1193" s="910">
        <f t="shared" si="169"/>
        <v>667</v>
      </c>
      <c r="R1193" s="1344">
        <f t="shared" si="170"/>
        <v>4.5</v>
      </c>
      <c r="S1193" s="1344">
        <f>(1/9)*cnst_fish!$C$7*(1/cnst_fish!$C$8)^(R1193-1)</f>
        <v>445.96223412630997</v>
      </c>
      <c r="T1193" s="1362">
        <f t="shared" si="171"/>
        <v>25699.713160008843</v>
      </c>
      <c r="W1193" s="1612"/>
      <c r="X1193" s="1612"/>
      <c r="Y1193" s="1613"/>
      <c r="Z1193" s="1614"/>
      <c r="AA1193" s="1614"/>
      <c r="AB1193" s="1615"/>
      <c r="AC1193" s="1615"/>
      <c r="AD1193" s="583"/>
      <c r="AE1193" s="583"/>
    </row>
    <row r="1194" spans="1:31" ht="14">
      <c r="A1194" s="1384" t="s">
        <v>5630</v>
      </c>
      <c r="B1194" s="19" t="s">
        <v>5364</v>
      </c>
      <c r="C1194" s="1383">
        <v>3216</v>
      </c>
      <c r="D1194" s="1236"/>
      <c r="E1194" s="1236">
        <v>219</v>
      </c>
      <c r="F1194" s="1344">
        <f>(1/S1194)*cnst_fish!$C$6</f>
        <v>1.8158954798513589</v>
      </c>
      <c r="G1194" s="1344">
        <f t="shared" si="173"/>
        <v>1</v>
      </c>
      <c r="H1194" s="1344">
        <f t="shared" si="173"/>
        <v>0.367192066876738</v>
      </c>
      <c r="I1194" s="1344">
        <f t="shared" si="166"/>
        <v>0</v>
      </c>
      <c r="J1194" s="902">
        <f t="shared" si="167"/>
        <v>44.28397093239532</v>
      </c>
      <c r="L1194" s="1460">
        <v>2039</v>
      </c>
      <c r="M1194" s="1236">
        <v>388336</v>
      </c>
      <c r="N1194" s="1240" t="s">
        <v>1806</v>
      </c>
      <c r="O1194" s="1241" t="s">
        <v>4845</v>
      </c>
      <c r="P1194" s="910">
        <f t="shared" si="168"/>
        <v>219</v>
      </c>
      <c r="Q1194" s="910">
        <f t="shared" si="169"/>
        <v>390375</v>
      </c>
      <c r="R1194" s="1344">
        <f t="shared" si="170"/>
        <v>2.2200000000000002</v>
      </c>
      <c r="S1194" s="1344">
        <f>(1/9)*cnst_fish!$C$7*(1/cnst_fish!$C$8)^(R1194-1)</f>
        <v>2.3404430745914331</v>
      </c>
      <c r="T1194" s="1362">
        <f t="shared" si="171"/>
        <v>78937.694761341656</v>
      </c>
      <c r="W1194" s="1612"/>
      <c r="X1194" s="1612"/>
      <c r="Y1194" s="1613"/>
      <c r="Z1194" s="1614"/>
      <c r="AA1194" s="1614"/>
      <c r="AB1194" s="1615"/>
      <c r="AC1194" s="1615"/>
      <c r="AD1194" s="583"/>
      <c r="AE1194" s="583"/>
    </row>
    <row r="1195" spans="1:31" ht="14">
      <c r="A1195" s="1384" t="s">
        <v>682</v>
      </c>
      <c r="B1195" s="19" t="s">
        <v>1695</v>
      </c>
      <c r="C1195" s="1383">
        <v>2409</v>
      </c>
      <c r="D1195" s="1236"/>
      <c r="E1195" s="1236"/>
      <c r="F1195" s="1344">
        <f>(1/S1195)*cnst_fish!$C$6</f>
        <v>2.5709335254257351</v>
      </c>
      <c r="G1195" s="1344">
        <f t="shared" si="173"/>
        <v>1</v>
      </c>
      <c r="H1195" s="1344">
        <f t="shared" si="173"/>
        <v>0.367192066876738</v>
      </c>
      <c r="I1195" s="1344">
        <f t="shared" si="166"/>
        <v>0</v>
      </c>
      <c r="J1195" s="902">
        <f t="shared" si="167"/>
        <v>0</v>
      </c>
      <c r="L1195" s="1460"/>
      <c r="M1195" s="1236">
        <v>1689</v>
      </c>
      <c r="N1195" s="1240" t="s">
        <v>1806</v>
      </c>
      <c r="O1195" s="1241" t="s">
        <v>4845</v>
      </c>
      <c r="P1195" s="910">
        <f t="shared" si="168"/>
        <v>0</v>
      </c>
      <c r="Q1195" s="910">
        <f t="shared" si="169"/>
        <v>1689</v>
      </c>
      <c r="R1195" s="1344">
        <f t="shared" si="170"/>
        <v>2.069</v>
      </c>
      <c r="S1195" s="1344">
        <f>(1/9)*cnst_fish!$C$7*(1/cnst_fish!$C$8)^(R1195-1)</f>
        <v>1.6530960283371072</v>
      </c>
      <c r="T1195" s="1362">
        <f t="shared" si="171"/>
        <v>241.23043043367298</v>
      </c>
      <c r="W1195" s="1612"/>
      <c r="X1195" s="1612"/>
      <c r="Y1195" s="1613"/>
      <c r="Z1195" s="1614"/>
      <c r="AA1195" s="1614"/>
      <c r="AB1195" s="1615"/>
      <c r="AC1195" s="1615"/>
      <c r="AD1195" s="583"/>
      <c r="AE1195" s="583"/>
    </row>
    <row r="1196" spans="1:31" ht="14">
      <c r="A1196" s="1384" t="s">
        <v>3612</v>
      </c>
      <c r="B1196" s="19" t="s">
        <v>4883</v>
      </c>
      <c r="C1196" s="1383">
        <v>2408</v>
      </c>
      <c r="D1196" s="1236"/>
      <c r="E1196" s="1236"/>
      <c r="F1196" s="1344">
        <f>(1/S1196)*cnst_fish!$C$6</f>
        <v>3.0136363636363641</v>
      </c>
      <c r="G1196" s="1344">
        <f t="shared" si="173"/>
        <v>1</v>
      </c>
      <c r="H1196" s="1344">
        <f t="shared" si="173"/>
        <v>0.367192066876738</v>
      </c>
      <c r="I1196" s="1344">
        <f t="shared" si="166"/>
        <v>0</v>
      </c>
      <c r="J1196" s="902">
        <f t="shared" si="167"/>
        <v>0</v>
      </c>
      <c r="L1196" s="1460"/>
      <c r="M1196" s="1236">
        <v>13224</v>
      </c>
      <c r="N1196" s="1240" t="s">
        <v>1806</v>
      </c>
      <c r="O1196" s="1241" t="s">
        <v>4845</v>
      </c>
      <c r="P1196" s="910">
        <f t="shared" si="168"/>
        <v>0</v>
      </c>
      <c r="Q1196" s="910">
        <f t="shared" si="169"/>
        <v>13224</v>
      </c>
      <c r="R1196" s="1344">
        <f t="shared" si="170"/>
        <v>2</v>
      </c>
      <c r="S1196" s="1344">
        <f>(1/9)*cnst_fish!$C$7*(1/cnst_fish!$C$8)^(R1196-1)</f>
        <v>1.4102564102564099</v>
      </c>
      <c r="T1196" s="1362">
        <f t="shared" si="171"/>
        <v>1611.2587274859068</v>
      </c>
      <c r="W1196" s="1612"/>
      <c r="X1196" s="1612"/>
      <c r="Y1196" s="1613"/>
      <c r="Z1196" s="1614"/>
      <c r="AA1196" s="1614"/>
      <c r="AB1196" s="1615"/>
      <c r="AC1196" s="1615"/>
      <c r="AD1196" s="583"/>
      <c r="AE1196" s="583"/>
    </row>
    <row r="1197" spans="1:31" ht="14">
      <c r="A1197" s="1384" t="s">
        <v>1785</v>
      </c>
      <c r="B1197" s="19" t="s">
        <v>4884</v>
      </c>
      <c r="C1197" s="1383">
        <v>3217</v>
      </c>
      <c r="D1197" s="1236"/>
      <c r="E1197" s="1236"/>
      <c r="F1197" s="1344">
        <f>(1/S1197)*cnst_fish!$C$6</f>
        <v>3.0136363636363641</v>
      </c>
      <c r="G1197" s="1344">
        <f t="shared" si="173"/>
        <v>1</v>
      </c>
      <c r="H1197" s="1344">
        <f t="shared" si="173"/>
        <v>0.367192066876738</v>
      </c>
      <c r="I1197" s="1344">
        <f t="shared" si="166"/>
        <v>0</v>
      </c>
      <c r="J1197" s="902">
        <f t="shared" si="167"/>
        <v>0</v>
      </c>
      <c r="L1197" s="1460"/>
      <c r="M1197" s="1236">
        <v>225021</v>
      </c>
      <c r="N1197" s="1240" t="s">
        <v>1806</v>
      </c>
      <c r="O1197" s="1241" t="s">
        <v>4845</v>
      </c>
      <c r="P1197" s="910">
        <f t="shared" si="168"/>
        <v>0</v>
      </c>
      <c r="Q1197" s="910">
        <f t="shared" si="169"/>
        <v>225021</v>
      </c>
      <c r="R1197" s="1344">
        <f t="shared" si="170"/>
        <v>2</v>
      </c>
      <c r="S1197" s="1344">
        <f>(1/9)*cnst_fish!$C$7*(1/cnst_fish!$C$8)^(R1197-1)</f>
        <v>1.4102564102564099</v>
      </c>
      <c r="T1197" s="1362">
        <f t="shared" si="171"/>
        <v>27417.351037326542</v>
      </c>
      <c r="W1197" s="1612"/>
      <c r="X1197" s="1612"/>
      <c r="Y1197" s="1613"/>
      <c r="Z1197" s="1614"/>
      <c r="AA1197" s="1614"/>
      <c r="AB1197" s="1615"/>
      <c r="AC1197" s="1615"/>
      <c r="AD1197" s="583"/>
      <c r="AE1197" s="583"/>
    </row>
    <row r="1198" spans="1:31" ht="14">
      <c r="A1198" s="1384" t="s">
        <v>6757</v>
      </c>
      <c r="B1198" s="19" t="s">
        <v>6756</v>
      </c>
      <c r="C1198" s="1383">
        <v>13969</v>
      </c>
      <c r="D1198" s="1236"/>
      <c r="E1198" s="1236"/>
      <c r="F1198" s="1344">
        <f>(1/S1198)*cnst_fish!$C$6</f>
        <v>3.0136363636363641</v>
      </c>
      <c r="G1198" s="1344">
        <f t="shared" si="173"/>
        <v>1</v>
      </c>
      <c r="H1198" s="1344">
        <f t="shared" si="173"/>
        <v>0.367192066876738</v>
      </c>
      <c r="I1198" s="1344">
        <f t="shared" si="166"/>
        <v>0</v>
      </c>
      <c r="J1198" s="902">
        <f t="shared" si="167"/>
        <v>0</v>
      </c>
      <c r="L1198" s="1460"/>
      <c r="M1198" s="1236">
        <v>311</v>
      </c>
      <c r="N1198" s="1240" t="s">
        <v>1806</v>
      </c>
      <c r="O1198" s="1241" t="s">
        <v>4845</v>
      </c>
      <c r="P1198" s="910">
        <f t="shared" si="168"/>
        <v>0</v>
      </c>
      <c r="Q1198" s="910">
        <f t="shared" si="169"/>
        <v>311</v>
      </c>
      <c r="R1198" s="1344">
        <f t="shared" si="170"/>
        <v>2</v>
      </c>
      <c r="S1198" s="1344">
        <f>(1/9)*cnst_fish!$C$7*(1/cnst_fish!$C$8)^(R1198-1)</f>
        <v>1.4102564102564099</v>
      </c>
      <c r="T1198" s="1362">
        <f t="shared" si="171"/>
        <v>37.893335166977998</v>
      </c>
      <c r="W1198" s="1612"/>
      <c r="X1198" s="1612"/>
      <c r="Y1198" s="1613"/>
      <c r="Z1198" s="1614"/>
      <c r="AA1198" s="1614"/>
      <c r="AB1198" s="1615"/>
      <c r="AC1198" s="1615"/>
      <c r="AD1198" s="583"/>
      <c r="AE1198" s="583"/>
    </row>
    <row r="1199" spans="1:31" ht="14">
      <c r="A1199" s="1384" t="s">
        <v>510</v>
      </c>
      <c r="B1199" s="19" t="s">
        <v>2888</v>
      </c>
      <c r="C1199" s="1383">
        <v>2252</v>
      </c>
      <c r="D1199" s="1236"/>
      <c r="E1199" s="1236"/>
      <c r="F1199" s="1344">
        <f>(1/S1199)*cnst_fish!$C$6</f>
        <v>7.3976000504507963E-2</v>
      </c>
      <c r="G1199" s="1344">
        <f t="shared" si="173"/>
        <v>1</v>
      </c>
      <c r="H1199" s="1344">
        <f t="shared" si="173"/>
        <v>0.367192066876738</v>
      </c>
      <c r="I1199" s="1344">
        <f t="shared" si="166"/>
        <v>0</v>
      </c>
      <c r="J1199" s="902">
        <f t="shared" si="167"/>
        <v>0</v>
      </c>
      <c r="L1199" s="1460">
        <v>11337</v>
      </c>
      <c r="M1199" s="1236"/>
      <c r="N1199" s="1240" t="s">
        <v>1806</v>
      </c>
      <c r="O1199" s="1241" t="s">
        <v>4841</v>
      </c>
      <c r="P1199" s="910">
        <f t="shared" si="168"/>
        <v>0</v>
      </c>
      <c r="Q1199" s="910">
        <f t="shared" si="169"/>
        <v>11337</v>
      </c>
      <c r="R1199" s="1344">
        <f t="shared" si="170"/>
        <v>3.61</v>
      </c>
      <c r="S1199" s="1344">
        <f>(1/9)*cnst_fish!$C$7*(1/cnst_fish!$C$8)^(R1199-1)</f>
        <v>57.451064818528707</v>
      </c>
      <c r="T1199" s="1362">
        <f t="shared" si="171"/>
        <v>56273.067397417653</v>
      </c>
      <c r="W1199" s="1612"/>
      <c r="X1199" s="1612"/>
      <c r="Y1199" s="1613"/>
      <c r="Z1199" s="1614"/>
      <c r="AA1199" s="1614"/>
      <c r="AB1199" s="1615"/>
      <c r="AC1199" s="1615"/>
      <c r="AD1199" s="583"/>
      <c r="AE1199" s="583"/>
    </row>
    <row r="1200" spans="1:31" ht="14">
      <c r="A1200" s="1384" t="s">
        <v>1918</v>
      </c>
      <c r="B1200" s="19" t="s">
        <v>3479</v>
      </c>
      <c r="C1200" s="1383">
        <v>2338</v>
      </c>
      <c r="D1200" s="1236">
        <v>30</v>
      </c>
      <c r="E1200" s="1236"/>
      <c r="F1200" s="1344">
        <f>(1/S1200)*cnst_fish!$C$6</f>
        <v>0.11457525898206007</v>
      </c>
      <c r="G1200" s="1344">
        <f t="shared" si="173"/>
        <v>1</v>
      </c>
      <c r="H1200" s="1344">
        <f t="shared" si="173"/>
        <v>0.367192066876738</v>
      </c>
      <c r="I1200" s="1344">
        <f t="shared" si="166"/>
        <v>96.144334336848075</v>
      </c>
      <c r="J1200" s="902">
        <f t="shared" si="167"/>
        <v>0</v>
      </c>
      <c r="L1200" s="1460">
        <v>30</v>
      </c>
      <c r="M1200" s="1236"/>
      <c r="N1200" s="1240" t="s">
        <v>1806</v>
      </c>
      <c r="O1200" s="1241" t="s">
        <v>4841</v>
      </c>
      <c r="P1200" s="910">
        <f t="shared" si="168"/>
        <v>30</v>
      </c>
      <c r="Q1200" s="910">
        <f t="shared" si="169"/>
        <v>30</v>
      </c>
      <c r="R1200" s="1344">
        <f t="shared" si="170"/>
        <v>3.42</v>
      </c>
      <c r="S1200" s="1344">
        <f>(1/9)*cnst_fish!$C$7*(1/cnst_fish!$C$8)^(R1200-1)</f>
        <v>37.093522962627169</v>
      </c>
      <c r="T1200" s="1362">
        <f t="shared" si="171"/>
        <v>96.144334336848075</v>
      </c>
      <c r="W1200" s="1612"/>
      <c r="X1200" s="1612"/>
      <c r="Y1200" s="1613"/>
      <c r="Z1200" s="1614"/>
      <c r="AA1200" s="1614"/>
      <c r="AB1200" s="1615"/>
      <c r="AC1200" s="1615"/>
      <c r="AD1200" s="583"/>
      <c r="AE1200" s="583"/>
    </row>
    <row r="1201" spans="1:31" ht="14">
      <c r="A1201" s="1384" t="s">
        <v>1235</v>
      </c>
      <c r="B1201" s="19" t="s">
        <v>2955</v>
      </c>
      <c r="C1201" s="1383">
        <v>2127</v>
      </c>
      <c r="D1201" s="1236"/>
      <c r="E1201" s="1236"/>
      <c r="F1201" s="1344">
        <f>(1/S1201)*cnst_fish!$C$6</f>
        <v>0.30136363636363639</v>
      </c>
      <c r="G1201" s="1344">
        <f t="shared" si="173"/>
        <v>1</v>
      </c>
      <c r="H1201" s="1344">
        <f t="shared" si="173"/>
        <v>0.367192066876738</v>
      </c>
      <c r="I1201" s="1344">
        <f t="shared" si="166"/>
        <v>0</v>
      </c>
      <c r="J1201" s="902">
        <f t="shared" si="167"/>
        <v>0</v>
      </c>
      <c r="L1201" s="1460">
        <v>4725</v>
      </c>
      <c r="M1201" s="1236">
        <v>1229</v>
      </c>
      <c r="N1201" s="1240" t="s">
        <v>1806</v>
      </c>
      <c r="O1201" s="1241" t="s">
        <v>4845</v>
      </c>
      <c r="P1201" s="910">
        <f t="shared" si="168"/>
        <v>0</v>
      </c>
      <c r="Q1201" s="910">
        <f t="shared" si="169"/>
        <v>5954</v>
      </c>
      <c r="R1201" s="1344">
        <f t="shared" si="170"/>
        <v>3</v>
      </c>
      <c r="S1201" s="1344">
        <f>(1/9)*cnst_fish!$C$7*(1/cnst_fish!$C$8)^(R1201-1)</f>
        <v>14.1025641025641</v>
      </c>
      <c r="T1201" s="1362">
        <f t="shared" si="171"/>
        <v>7254.5632663725728</v>
      </c>
      <c r="W1201" s="1612"/>
      <c r="X1201" s="1612"/>
      <c r="Y1201" s="1613"/>
      <c r="Z1201" s="1614"/>
      <c r="AA1201" s="1614"/>
      <c r="AB1201" s="1615"/>
      <c r="AC1201" s="1615"/>
      <c r="AD1201" s="583"/>
      <c r="AE1201" s="583"/>
    </row>
    <row r="1202" spans="1:31" ht="14">
      <c r="A1202" s="1384" t="s">
        <v>4542</v>
      </c>
      <c r="B1202" s="19" t="s">
        <v>1341</v>
      </c>
      <c r="C1202" s="1383">
        <v>2128</v>
      </c>
      <c r="D1202" s="1236">
        <v>9</v>
      </c>
      <c r="E1202" s="1236">
        <v>51</v>
      </c>
      <c r="F1202" s="1344">
        <f>(1/S1202)*cnst_fish!$C$6</f>
        <v>0.30136363636363639</v>
      </c>
      <c r="G1202" s="1344">
        <f t="shared" si="173"/>
        <v>1</v>
      </c>
      <c r="H1202" s="1344">
        <f t="shared" si="173"/>
        <v>0.367192066876738</v>
      </c>
      <c r="I1202" s="1344">
        <f t="shared" si="166"/>
        <v>10.965916929350545</v>
      </c>
      <c r="J1202" s="902">
        <f t="shared" si="167"/>
        <v>62.14019593298643</v>
      </c>
      <c r="L1202" s="1460">
        <v>369</v>
      </c>
      <c r="M1202" s="1236">
        <v>101</v>
      </c>
      <c r="N1202" s="1240" t="s">
        <v>1806</v>
      </c>
      <c r="O1202" s="1241" t="s">
        <v>4845</v>
      </c>
      <c r="P1202" s="910">
        <f t="shared" si="168"/>
        <v>60</v>
      </c>
      <c r="Q1202" s="910">
        <f t="shared" si="169"/>
        <v>470</v>
      </c>
      <c r="R1202" s="1344">
        <f t="shared" si="170"/>
        <v>3</v>
      </c>
      <c r="S1202" s="1344">
        <f>(1/9)*cnst_fish!$C$7*(1/cnst_fish!$C$8)^(R1202-1)</f>
        <v>14.1025641025641</v>
      </c>
      <c r="T1202" s="1362">
        <f t="shared" si="171"/>
        <v>572.66455075497299</v>
      </c>
      <c r="W1202" s="1612"/>
      <c r="X1202" s="1612"/>
      <c r="Y1202" s="1613"/>
      <c r="Z1202" s="1614"/>
      <c r="AA1202" s="1614"/>
      <c r="AB1202" s="1615"/>
      <c r="AC1202" s="1615"/>
      <c r="AD1202" s="583"/>
      <c r="AE1202" s="583"/>
    </row>
    <row r="1203" spans="1:31" ht="14">
      <c r="A1203" s="1384" t="s">
        <v>4543</v>
      </c>
      <c r="B1203" s="19" t="s">
        <v>1342</v>
      </c>
      <c r="C1203" s="1383">
        <v>2125</v>
      </c>
      <c r="D1203" s="1236">
        <v>204</v>
      </c>
      <c r="E1203" s="1236"/>
      <c r="F1203" s="1344">
        <f>(1/S1203)*cnst_fish!$C$6</f>
        <v>0.19910898001319816</v>
      </c>
      <c r="G1203" s="1344">
        <f t="shared" si="173"/>
        <v>1</v>
      </c>
      <c r="H1203" s="1344">
        <f t="shared" si="173"/>
        <v>0.367192066876738</v>
      </c>
      <c r="I1203" s="1344">
        <f t="shared" si="166"/>
        <v>376.21197013760627</v>
      </c>
      <c r="J1203" s="902">
        <f t="shared" si="167"/>
        <v>0</v>
      </c>
      <c r="L1203" s="1460">
        <v>3078</v>
      </c>
      <c r="M1203" s="1236">
        <v>15567</v>
      </c>
      <c r="N1203" s="1240" t="s">
        <v>1806</v>
      </c>
      <c r="O1203" s="1241" t="s">
        <v>4845</v>
      </c>
      <c r="P1203" s="910">
        <f t="shared" si="168"/>
        <v>204</v>
      </c>
      <c r="Q1203" s="910">
        <f t="shared" si="169"/>
        <v>18645</v>
      </c>
      <c r="R1203" s="1344">
        <f t="shared" si="170"/>
        <v>3.18</v>
      </c>
      <c r="S1203" s="1344">
        <f>(1/9)*cnst_fish!$C$7*(1/cnst_fish!$C$8)^(R1203-1)</f>
        <v>21.345094529228586</v>
      </c>
      <c r="T1203" s="1362">
        <f t="shared" si="171"/>
        <v>34384.667564782692</v>
      </c>
      <c r="W1203" s="1612"/>
      <c r="X1203" s="1612"/>
      <c r="Y1203" s="1613"/>
      <c r="Z1203" s="1614"/>
      <c r="AA1203" s="1614"/>
      <c r="AB1203" s="1615"/>
      <c r="AC1203" s="1615"/>
      <c r="AD1203" s="583"/>
      <c r="AE1203" s="583"/>
    </row>
    <row r="1204" spans="1:31" ht="14">
      <c r="A1204" s="1384" t="s">
        <v>95</v>
      </c>
      <c r="B1204" s="19" t="s">
        <v>3319</v>
      </c>
      <c r="C1204" s="1383">
        <v>2512</v>
      </c>
      <c r="D1204" s="1236"/>
      <c r="E1204" s="1236"/>
      <c r="F1204" s="1344">
        <f>(1/S1204)*cnst_fish!$C$6</f>
        <v>2.7484690295134913</v>
      </c>
      <c r="G1204" s="1344">
        <f t="shared" si="173"/>
        <v>1</v>
      </c>
      <c r="H1204" s="1344">
        <f t="shared" si="173"/>
        <v>0.367192066876738</v>
      </c>
      <c r="I1204" s="1344">
        <f t="shared" si="166"/>
        <v>0</v>
      </c>
      <c r="J1204" s="902">
        <f t="shared" si="167"/>
        <v>0</v>
      </c>
      <c r="L1204" s="1460"/>
      <c r="M1204" s="1236">
        <v>2395</v>
      </c>
      <c r="N1204" s="1240" t="s">
        <v>1806</v>
      </c>
      <c r="O1204" s="1241" t="s">
        <v>4845</v>
      </c>
      <c r="P1204" s="910">
        <f t="shared" si="168"/>
        <v>0</v>
      </c>
      <c r="Q1204" s="910">
        <f t="shared" si="169"/>
        <v>2395</v>
      </c>
      <c r="R1204" s="1344">
        <f t="shared" si="170"/>
        <v>2.04</v>
      </c>
      <c r="S1204" s="1344">
        <f>(1/9)*cnst_fish!$C$7*(1/cnst_fish!$C$8)^(R1204-1)</f>
        <v>1.5463154048173124</v>
      </c>
      <c r="T1204" s="1362">
        <f t="shared" si="171"/>
        <v>319.96904121035527</v>
      </c>
      <c r="W1204" s="1612"/>
      <c r="X1204" s="1612"/>
      <c r="Y1204" s="1613"/>
      <c r="Z1204" s="1614"/>
      <c r="AA1204" s="1614"/>
      <c r="AB1204" s="1615"/>
      <c r="AC1204" s="1615"/>
      <c r="AD1204" s="583"/>
      <c r="AE1204" s="583"/>
    </row>
    <row r="1205" spans="1:31" ht="14">
      <c r="A1205" s="1384" t="s">
        <v>5679</v>
      </c>
      <c r="B1205" s="19" t="s">
        <v>3320</v>
      </c>
      <c r="C1205" s="1383">
        <v>2573</v>
      </c>
      <c r="D1205" s="1236"/>
      <c r="E1205" s="1236"/>
      <c r="F1205" s="1344">
        <f>(1/S1205)*cnst_fish!$C$6</f>
        <v>0.23938164528281752</v>
      </c>
      <c r="G1205" s="1344">
        <f t="shared" si="173"/>
        <v>1</v>
      </c>
      <c r="H1205" s="1344">
        <f t="shared" si="173"/>
        <v>0.367192066876738</v>
      </c>
      <c r="I1205" s="1344">
        <f t="shared" si="166"/>
        <v>0</v>
      </c>
      <c r="J1205" s="902">
        <f t="shared" si="167"/>
        <v>0</v>
      </c>
      <c r="L1205" s="1460">
        <v>307</v>
      </c>
      <c r="M1205" s="1236"/>
      <c r="N1205" s="1240" t="s">
        <v>1806</v>
      </c>
      <c r="O1205" s="1241" t="s">
        <v>4849</v>
      </c>
      <c r="P1205" s="910">
        <f t="shared" si="168"/>
        <v>0</v>
      </c>
      <c r="Q1205" s="910">
        <f t="shared" si="169"/>
        <v>307</v>
      </c>
      <c r="R1205" s="1344">
        <f t="shared" si="170"/>
        <v>3.1</v>
      </c>
      <c r="S1205" s="1344">
        <f>(1/9)*cnst_fish!$C$7*(1/cnst_fish!$C$8)^(R1205-1)</f>
        <v>17.754076320174157</v>
      </c>
      <c r="T1205" s="1362">
        <f t="shared" si="171"/>
        <v>470.91314957742929</v>
      </c>
      <c r="W1205" s="1612"/>
      <c r="X1205" s="1612"/>
      <c r="Y1205" s="1613"/>
      <c r="Z1205" s="1614"/>
      <c r="AA1205" s="1614"/>
      <c r="AB1205" s="1615"/>
      <c r="AC1205" s="1615"/>
      <c r="AD1205" s="583"/>
      <c r="AE1205" s="583"/>
    </row>
    <row r="1206" spans="1:31" ht="14">
      <c r="A1206" s="1384" t="s">
        <v>5656</v>
      </c>
      <c r="B1206" s="19" t="s">
        <v>3320</v>
      </c>
      <c r="C1206" s="1383">
        <v>3382</v>
      </c>
      <c r="D1206" s="1236"/>
      <c r="E1206" s="1236">
        <v>4</v>
      </c>
      <c r="F1206" s="1344">
        <f>(1/S1206)*cnst_fish!$C$6</f>
        <v>0.23938164528281752</v>
      </c>
      <c r="G1206" s="1344">
        <f t="shared" si="173"/>
        <v>1</v>
      </c>
      <c r="H1206" s="1344">
        <f t="shared" si="173"/>
        <v>0.367192066876738</v>
      </c>
      <c r="I1206" s="1344">
        <f t="shared" si="166"/>
        <v>0</v>
      </c>
      <c r="J1206" s="902">
        <f t="shared" si="167"/>
        <v>6.1356762159925635</v>
      </c>
      <c r="L1206" s="1460">
        <v>335</v>
      </c>
      <c r="M1206" s="1236">
        <v>6485803</v>
      </c>
      <c r="N1206" s="1240" t="s">
        <v>1806</v>
      </c>
      <c r="O1206" s="1241" t="s">
        <v>4845</v>
      </c>
      <c r="P1206" s="910">
        <f t="shared" si="168"/>
        <v>4</v>
      </c>
      <c r="Q1206" s="910">
        <f t="shared" si="169"/>
        <v>6486138</v>
      </c>
      <c r="R1206" s="1344">
        <f t="shared" si="170"/>
        <v>3.1</v>
      </c>
      <c r="S1206" s="1344">
        <f>(1/9)*cnst_fish!$C$7*(1/cnst_fish!$C$8)^(R1206-1)</f>
        <v>17.754076320174157</v>
      </c>
      <c r="T1206" s="1362">
        <f t="shared" si="171"/>
        <v>9949210.6650613938</v>
      </c>
      <c r="W1206" s="1612"/>
      <c r="X1206" s="1612"/>
      <c r="Y1206" s="1613"/>
      <c r="Z1206" s="1614"/>
      <c r="AA1206" s="1614"/>
      <c r="AB1206" s="1615"/>
      <c r="AC1206" s="1615"/>
      <c r="AD1206" s="583"/>
      <c r="AE1206" s="583"/>
    </row>
    <row r="1207" spans="1:31" ht="14">
      <c r="A1207" s="1384" t="s">
        <v>5662</v>
      </c>
      <c r="B1207" s="19" t="s">
        <v>3320</v>
      </c>
      <c r="C1207" s="1383">
        <v>3383</v>
      </c>
      <c r="D1207" s="1236">
        <v>0</v>
      </c>
      <c r="E1207" s="1236"/>
      <c r="F1207" s="1344">
        <f>(1/S1207)*cnst_fish!$C$6</f>
        <v>0.23938164528281752</v>
      </c>
      <c r="G1207" s="1344">
        <f t="shared" si="173"/>
        <v>1</v>
      </c>
      <c r="H1207" s="1344">
        <f t="shared" si="173"/>
        <v>0.367192066876738</v>
      </c>
      <c r="I1207" s="1344">
        <f t="shared" si="166"/>
        <v>0</v>
      </c>
      <c r="J1207" s="902">
        <f t="shared" si="167"/>
        <v>0</v>
      </c>
      <c r="L1207" s="1460">
        <v>9073</v>
      </c>
      <c r="M1207" s="1236"/>
      <c r="N1207" s="1240" t="s">
        <v>1806</v>
      </c>
      <c r="O1207" s="1241" t="s">
        <v>4849</v>
      </c>
      <c r="P1207" s="910">
        <f t="shared" si="168"/>
        <v>0</v>
      </c>
      <c r="Q1207" s="910">
        <f t="shared" si="169"/>
        <v>9073</v>
      </c>
      <c r="R1207" s="1344">
        <f t="shared" si="170"/>
        <v>3.1</v>
      </c>
      <c r="S1207" s="1344">
        <f>(1/9)*cnst_fish!$C$7*(1/cnst_fish!$C$8)^(R1207-1)</f>
        <v>17.754076320174157</v>
      </c>
      <c r="T1207" s="1362">
        <f t="shared" si="171"/>
        <v>13917.247576925134</v>
      </c>
      <c r="W1207" s="1612"/>
      <c r="X1207" s="1612"/>
      <c r="Y1207" s="1613"/>
      <c r="Z1207" s="1614"/>
      <c r="AA1207" s="1614"/>
      <c r="AB1207" s="1615"/>
      <c r="AC1207" s="1615"/>
      <c r="AD1207" s="583"/>
      <c r="AE1207" s="583"/>
    </row>
    <row r="1208" spans="1:31" ht="14">
      <c r="A1208" s="1384" t="s">
        <v>5238</v>
      </c>
      <c r="B1208" s="19" t="s">
        <v>3320</v>
      </c>
      <c r="C1208" s="1383">
        <v>3384</v>
      </c>
      <c r="D1208" s="1236">
        <v>1842</v>
      </c>
      <c r="E1208" s="1236"/>
      <c r="F1208" s="1344">
        <f>(1/S1208)*cnst_fish!$C$6</f>
        <v>0.23938164528281752</v>
      </c>
      <c r="G1208" s="1344">
        <f t="shared" ref="G1208:H1227" si="174">G$7</f>
        <v>1</v>
      </c>
      <c r="H1208" s="1344">
        <f t="shared" si="174"/>
        <v>0.367192066876738</v>
      </c>
      <c r="I1208" s="1344">
        <f t="shared" si="166"/>
        <v>2825.4788974645758</v>
      </c>
      <c r="J1208" s="902">
        <f t="shared" si="167"/>
        <v>0</v>
      </c>
      <c r="L1208" s="1460">
        <v>15027</v>
      </c>
      <c r="M1208" s="1236"/>
      <c r="N1208" s="1240" t="s">
        <v>1806</v>
      </c>
      <c r="O1208" s="1241" t="s">
        <v>4849</v>
      </c>
      <c r="P1208" s="910">
        <f t="shared" si="168"/>
        <v>1842</v>
      </c>
      <c r="Q1208" s="910">
        <f t="shared" si="169"/>
        <v>15027</v>
      </c>
      <c r="R1208" s="1344">
        <f t="shared" si="170"/>
        <v>3.1</v>
      </c>
      <c r="S1208" s="1344">
        <f>(1/9)*cnst_fish!$C$7*(1/cnst_fish!$C$8)^(R1208-1)</f>
        <v>17.754076320174157</v>
      </c>
      <c r="T1208" s="1362">
        <f t="shared" si="171"/>
        <v>23050.201624430065</v>
      </c>
      <c r="W1208" s="1612"/>
      <c r="X1208" s="1612"/>
      <c r="Y1208" s="1613"/>
      <c r="Z1208" s="1614"/>
      <c r="AA1208" s="1614"/>
      <c r="AB1208" s="1615"/>
      <c r="AC1208" s="1615"/>
      <c r="AD1208" s="583"/>
      <c r="AE1208" s="583"/>
    </row>
    <row r="1209" spans="1:31" ht="14">
      <c r="A1209" s="1384" t="s">
        <v>5668</v>
      </c>
      <c r="B1209" s="19" t="s">
        <v>3320</v>
      </c>
      <c r="C1209" s="1383">
        <v>3385</v>
      </c>
      <c r="D1209" s="1236">
        <v>871</v>
      </c>
      <c r="E1209" s="1236"/>
      <c r="F1209" s="1344">
        <f>(1/S1209)*cnst_fish!$C$6</f>
        <v>0.23938164528281752</v>
      </c>
      <c r="G1209" s="1344">
        <f t="shared" si="174"/>
        <v>1</v>
      </c>
      <c r="H1209" s="1344">
        <f t="shared" si="174"/>
        <v>0.367192066876738</v>
      </c>
      <c r="I1209" s="1344">
        <f t="shared" si="166"/>
        <v>1336.043496032381</v>
      </c>
      <c r="J1209" s="902">
        <f t="shared" si="167"/>
        <v>0</v>
      </c>
      <c r="L1209" s="1460">
        <v>10848063</v>
      </c>
      <c r="M1209" s="1236"/>
      <c r="N1209" s="1240" t="s">
        <v>1806</v>
      </c>
      <c r="O1209" s="1241" t="s">
        <v>4849</v>
      </c>
      <c r="P1209" s="910">
        <f t="shared" si="168"/>
        <v>871</v>
      </c>
      <c r="Q1209" s="910">
        <f t="shared" si="169"/>
        <v>10848063</v>
      </c>
      <c r="R1209" s="1344">
        <f t="shared" si="170"/>
        <v>3.1</v>
      </c>
      <c r="S1209" s="1344">
        <f>(1/9)*cnst_fish!$C$7*(1/cnst_fish!$C$8)^(R1209-1)</f>
        <v>17.754076320174157</v>
      </c>
      <c r="T1209" s="1362">
        <f t="shared" si="171"/>
        <v>16640050.534672236</v>
      </c>
      <c r="W1209" s="1616"/>
      <c r="X1209" s="1616"/>
      <c r="Y1209" s="1613"/>
      <c r="Z1209" s="1614"/>
      <c r="AA1209" s="1614"/>
      <c r="AB1209" s="1615"/>
      <c r="AC1209" s="1615"/>
      <c r="AD1209" s="583"/>
      <c r="AE1209" s="583"/>
    </row>
    <row r="1210" spans="1:31" ht="14">
      <c r="A1210" s="1384" t="s">
        <v>4509</v>
      </c>
      <c r="B1210" s="19" t="s">
        <v>3134</v>
      </c>
      <c r="C1210" s="1383">
        <v>2167</v>
      </c>
      <c r="D1210" s="1236"/>
      <c r="E1210" s="1236"/>
      <c r="F1210" s="1344">
        <f>(1/S1210)*cnst_fish!$C$6</f>
        <v>0.8111307159107024</v>
      </c>
      <c r="G1210" s="1344">
        <f t="shared" si="174"/>
        <v>1</v>
      </c>
      <c r="H1210" s="1344">
        <f t="shared" si="174"/>
        <v>0.367192066876738</v>
      </c>
      <c r="I1210" s="1344">
        <f t="shared" si="166"/>
        <v>0</v>
      </c>
      <c r="J1210" s="902">
        <f t="shared" si="167"/>
        <v>0</v>
      </c>
      <c r="L1210" s="1460"/>
      <c r="M1210" s="1236">
        <v>6079</v>
      </c>
      <c r="N1210" s="1240" t="s">
        <v>5365</v>
      </c>
      <c r="O1210" s="1241" t="s">
        <v>4845</v>
      </c>
      <c r="P1210" s="910">
        <f t="shared" si="168"/>
        <v>0</v>
      </c>
      <c r="Q1210" s="910">
        <f t="shared" si="169"/>
        <v>6079</v>
      </c>
      <c r="R1210" s="1344">
        <f t="shared" si="170"/>
        <v>2.57</v>
      </c>
      <c r="S1210" s="1344">
        <f>(1/9)*cnst_fish!$C$7*(1/cnst_fish!$C$8)^(R1210-1)</f>
        <v>5.2395993847037152</v>
      </c>
      <c r="T1210" s="1362">
        <f t="shared" si="171"/>
        <v>2751.9122759856496</v>
      </c>
      <c r="W1210" s="1612"/>
      <c r="X1210" s="1612"/>
      <c r="Y1210" s="1613"/>
      <c r="Z1210" s="1614"/>
      <c r="AA1210" s="1614"/>
      <c r="AB1210" s="1615"/>
      <c r="AC1210" s="1615"/>
      <c r="AD1210" s="583"/>
      <c r="AE1210" s="583"/>
    </row>
    <row r="1211" spans="1:31" ht="14">
      <c r="A1211" s="1384" t="s">
        <v>6420</v>
      </c>
      <c r="B1211" s="19" t="s">
        <v>6419</v>
      </c>
      <c r="C1211" s="1383">
        <v>13994</v>
      </c>
      <c r="D1211" s="1236"/>
      <c r="E1211" s="1236"/>
      <c r="F1211" s="1344">
        <f>(1/S1211)*cnst_fish!$C$6</f>
        <v>0.11997502458044032</v>
      </c>
      <c r="G1211" s="1344">
        <f t="shared" si="174"/>
        <v>1</v>
      </c>
      <c r="H1211" s="1344">
        <f t="shared" si="174"/>
        <v>0.367192066876738</v>
      </c>
      <c r="I1211" s="1344">
        <f t="shared" si="166"/>
        <v>0</v>
      </c>
      <c r="J1211" s="902">
        <f t="shared" si="167"/>
        <v>0</v>
      </c>
      <c r="L1211" s="1460"/>
      <c r="M1211" s="1236">
        <v>1656</v>
      </c>
      <c r="N1211" s="1240" t="s">
        <v>1806</v>
      </c>
      <c r="O1211" s="1241" t="s">
        <v>4845</v>
      </c>
      <c r="P1211" s="910">
        <f t="shared" si="168"/>
        <v>0</v>
      </c>
      <c r="Q1211" s="910">
        <f t="shared" si="169"/>
        <v>1656</v>
      </c>
      <c r="R1211" s="1344">
        <f t="shared" si="170"/>
        <v>3.4</v>
      </c>
      <c r="S1211" s="1344">
        <f>(1/9)*cnst_fish!$C$7*(1/cnst_fish!$C$8)^(R1211-1)</f>
        <v>35.424039418724846</v>
      </c>
      <c r="T1211" s="1362">
        <f t="shared" si="171"/>
        <v>5068.3053816770171</v>
      </c>
      <c r="W1211" s="1612"/>
      <c r="X1211" s="1612"/>
      <c r="Y1211" s="1613"/>
      <c r="Z1211" s="1614"/>
      <c r="AA1211" s="1614"/>
      <c r="AB1211" s="1615"/>
      <c r="AC1211" s="1615"/>
      <c r="AD1211" s="583"/>
      <c r="AE1211" s="583"/>
    </row>
    <row r="1212" spans="1:31" ht="14">
      <c r="A1212" s="1384" t="s">
        <v>841</v>
      </c>
      <c r="B1212" s="19" t="s">
        <v>4165</v>
      </c>
      <c r="C1212" s="1383">
        <v>18573</v>
      </c>
      <c r="D1212" s="1236"/>
      <c r="E1212" s="1236"/>
      <c r="F1212" s="1344">
        <f>(1/S1212)*cnst_fish!$C$6</f>
        <v>0.23938164528281752</v>
      </c>
      <c r="G1212" s="1344">
        <f t="shared" si="174"/>
        <v>1</v>
      </c>
      <c r="H1212" s="1344">
        <f t="shared" si="174"/>
        <v>0.367192066876738</v>
      </c>
      <c r="I1212" s="1344">
        <f t="shared" si="166"/>
        <v>0</v>
      </c>
      <c r="J1212" s="902">
        <f t="shared" si="167"/>
        <v>0</v>
      </c>
      <c r="L1212" s="1460">
        <v>65</v>
      </c>
      <c r="M1212" s="1236"/>
      <c r="N1212" s="1240" t="s">
        <v>1806</v>
      </c>
      <c r="O1212" s="1241" t="s">
        <v>4841</v>
      </c>
      <c r="P1212" s="910">
        <f t="shared" si="168"/>
        <v>0</v>
      </c>
      <c r="Q1212" s="910">
        <f t="shared" si="169"/>
        <v>65</v>
      </c>
      <c r="R1212" s="1344">
        <f t="shared" si="170"/>
        <v>3.1</v>
      </c>
      <c r="S1212" s="1344">
        <f>(1/9)*cnst_fish!$C$7*(1/cnst_fish!$C$8)^(R1212-1)</f>
        <v>17.754076320174157</v>
      </c>
      <c r="T1212" s="1362">
        <f t="shared" si="171"/>
        <v>99.704738509879164</v>
      </c>
      <c r="W1212" s="1612"/>
      <c r="X1212" s="1612"/>
      <c r="Y1212" s="1613"/>
      <c r="Z1212" s="1614"/>
      <c r="AA1212" s="1614"/>
      <c r="AB1212" s="1615"/>
      <c r="AC1212" s="1615"/>
      <c r="AD1212" s="583"/>
      <c r="AE1212" s="583"/>
    </row>
    <row r="1213" spans="1:31" ht="14">
      <c r="A1213" s="1384" t="s">
        <v>3022</v>
      </c>
      <c r="B1213" s="19" t="s">
        <v>3336</v>
      </c>
      <c r="C1213" s="1383">
        <v>3509</v>
      </c>
      <c r="D1213" s="1236"/>
      <c r="E1213" s="1236"/>
      <c r="F1213" s="1344">
        <f>(1/S1213)*cnst_fish!$C$6</f>
        <v>2.3938164528281742</v>
      </c>
      <c r="G1213" s="1344">
        <f t="shared" si="174"/>
        <v>1</v>
      </c>
      <c r="H1213" s="1344">
        <f t="shared" si="174"/>
        <v>0.367192066876738</v>
      </c>
      <c r="I1213" s="1344">
        <f t="shared" si="166"/>
        <v>0</v>
      </c>
      <c r="J1213" s="902">
        <f t="shared" si="167"/>
        <v>0</v>
      </c>
      <c r="L1213" s="1460">
        <v>6</v>
      </c>
      <c r="M1213" s="1236"/>
      <c r="N1213" s="1240" t="s">
        <v>2435</v>
      </c>
      <c r="O1213" s="1241" t="s">
        <v>4851</v>
      </c>
      <c r="P1213" s="910">
        <f t="shared" si="168"/>
        <v>0</v>
      </c>
      <c r="Q1213" s="910">
        <f t="shared" si="169"/>
        <v>6</v>
      </c>
      <c r="R1213" s="1344">
        <f t="shared" si="170"/>
        <v>2.1</v>
      </c>
      <c r="S1213" s="1344">
        <f>(1/9)*cnst_fish!$C$7*(1/cnst_fish!$C$8)^(R1213-1)</f>
        <v>1.7754076320174161</v>
      </c>
      <c r="T1213" s="1362">
        <f t="shared" si="171"/>
        <v>0.92035143239888495</v>
      </c>
      <c r="W1213" s="1612"/>
      <c r="X1213" s="1612"/>
      <c r="Y1213" s="1613"/>
      <c r="Z1213" s="1614"/>
      <c r="AA1213" s="1614"/>
      <c r="AB1213" s="1615"/>
      <c r="AC1213" s="1615"/>
      <c r="AD1213" s="583"/>
      <c r="AE1213" s="583"/>
    </row>
    <row r="1214" spans="1:31" ht="14">
      <c r="A1214" s="1384" t="s">
        <v>2824</v>
      </c>
      <c r="B1214" s="19" t="s">
        <v>3338</v>
      </c>
      <c r="C1214" s="1383">
        <v>3510</v>
      </c>
      <c r="D1214" s="1236"/>
      <c r="E1214" s="1236"/>
      <c r="F1214" s="1344">
        <f>(1/S1214)*cnst_fish!$C$6</f>
        <v>2.3938164528281742</v>
      </c>
      <c r="G1214" s="1344">
        <f t="shared" si="174"/>
        <v>1</v>
      </c>
      <c r="H1214" s="1344">
        <f t="shared" si="174"/>
        <v>0.367192066876738</v>
      </c>
      <c r="I1214" s="1344">
        <f t="shared" si="166"/>
        <v>0</v>
      </c>
      <c r="J1214" s="902">
        <f t="shared" si="167"/>
        <v>0</v>
      </c>
      <c r="L1214" s="1460">
        <v>954</v>
      </c>
      <c r="M1214" s="1236"/>
      <c r="N1214" s="1240" t="s">
        <v>2435</v>
      </c>
      <c r="O1214" s="1241" t="s">
        <v>4851</v>
      </c>
      <c r="P1214" s="910">
        <f t="shared" si="168"/>
        <v>0</v>
      </c>
      <c r="Q1214" s="910">
        <f t="shared" si="169"/>
        <v>954</v>
      </c>
      <c r="R1214" s="1344">
        <f t="shared" si="170"/>
        <v>2.1</v>
      </c>
      <c r="S1214" s="1344">
        <f>(1/9)*cnst_fish!$C$7*(1/cnst_fish!$C$8)^(R1214-1)</f>
        <v>1.7754076320174161</v>
      </c>
      <c r="T1214" s="1362">
        <f t="shared" si="171"/>
        <v>146.33587775142271</v>
      </c>
      <c r="W1214" s="1612"/>
      <c r="X1214" s="1612"/>
      <c r="Y1214" s="1613"/>
      <c r="Z1214" s="1614"/>
      <c r="AA1214" s="1614"/>
      <c r="AB1214" s="1615"/>
      <c r="AC1214" s="1615"/>
      <c r="AD1214" s="583"/>
      <c r="AE1214" s="583"/>
    </row>
    <row r="1215" spans="1:31" ht="14">
      <c r="A1215" s="1384" t="s">
        <v>3427</v>
      </c>
      <c r="B1215" s="19" t="s">
        <v>862</v>
      </c>
      <c r="C1215" s="1383">
        <v>3511</v>
      </c>
      <c r="D1215" s="1236"/>
      <c r="E1215" s="1236"/>
      <c r="F1215" s="1344">
        <f>(1/S1215)*cnst_fish!$C$6</f>
        <v>2.3938164528281742</v>
      </c>
      <c r="G1215" s="1344">
        <f t="shared" si="174"/>
        <v>1</v>
      </c>
      <c r="H1215" s="1344">
        <f t="shared" si="174"/>
        <v>0.367192066876738</v>
      </c>
      <c r="I1215" s="1344">
        <f t="shared" si="166"/>
        <v>0</v>
      </c>
      <c r="J1215" s="902">
        <f t="shared" si="167"/>
        <v>0</v>
      </c>
      <c r="L1215" s="1460">
        <v>1357</v>
      </c>
      <c r="M1215" s="1236"/>
      <c r="N1215" s="1240" t="s">
        <v>2435</v>
      </c>
      <c r="O1215" s="1241" t="s">
        <v>4851</v>
      </c>
      <c r="P1215" s="910">
        <f t="shared" si="168"/>
        <v>0</v>
      </c>
      <c r="Q1215" s="910">
        <f t="shared" si="169"/>
        <v>1357</v>
      </c>
      <c r="R1215" s="1344">
        <f t="shared" si="170"/>
        <v>2.1</v>
      </c>
      <c r="S1215" s="1344">
        <f>(1/9)*cnst_fish!$C$7*(1/cnst_fish!$C$8)^(R1215-1)</f>
        <v>1.7754076320174161</v>
      </c>
      <c r="T1215" s="1362">
        <f t="shared" si="171"/>
        <v>208.15281562754782</v>
      </c>
      <c r="W1215" s="1612"/>
      <c r="X1215" s="1612"/>
      <c r="Y1215" s="1613"/>
      <c r="Z1215" s="1614"/>
      <c r="AA1215" s="1614"/>
      <c r="AB1215" s="1615"/>
      <c r="AC1215" s="1615"/>
      <c r="AD1215" s="583"/>
      <c r="AE1215" s="583"/>
    </row>
    <row r="1216" spans="1:31" ht="14">
      <c r="A1216" s="1384" t="s">
        <v>6750</v>
      </c>
      <c r="B1216" s="19" t="s">
        <v>6749</v>
      </c>
      <c r="C1216" s="1383">
        <v>2668</v>
      </c>
      <c r="D1216" s="1236">
        <v>0</v>
      </c>
      <c r="E1216" s="1236"/>
      <c r="F1216" s="1344">
        <f>(1/S1216)*cnst_fish!$C$6</f>
        <v>3.0136363636363641</v>
      </c>
      <c r="G1216" s="1344">
        <f t="shared" si="174"/>
        <v>1</v>
      </c>
      <c r="H1216" s="1344">
        <f t="shared" si="174"/>
        <v>0.367192066876738</v>
      </c>
      <c r="I1216" s="1344">
        <f t="shared" si="166"/>
        <v>0</v>
      </c>
      <c r="J1216" s="902">
        <f t="shared" si="167"/>
        <v>0</v>
      </c>
      <c r="L1216" s="1460">
        <v>0</v>
      </c>
      <c r="M1216" s="1236"/>
      <c r="N1216" s="1240" t="s">
        <v>2435</v>
      </c>
      <c r="O1216" s="1241" t="s">
        <v>4851</v>
      </c>
      <c r="P1216" s="910">
        <f t="shared" si="168"/>
        <v>0</v>
      </c>
      <c r="Q1216" s="910">
        <f t="shared" si="169"/>
        <v>0</v>
      </c>
      <c r="R1216" s="1344">
        <f t="shared" si="170"/>
        <v>2</v>
      </c>
      <c r="S1216" s="1344">
        <f>(1/9)*cnst_fish!$C$7*(1/cnst_fish!$C$8)^(R1216-1)</f>
        <v>1.4102564102564099</v>
      </c>
      <c r="T1216" s="1362">
        <f t="shared" si="171"/>
        <v>0</v>
      </c>
      <c r="W1216" s="1612"/>
      <c r="X1216" s="1612"/>
      <c r="Y1216" s="1613"/>
      <c r="Z1216" s="1614"/>
      <c r="AA1216" s="1614"/>
      <c r="AB1216" s="1615"/>
      <c r="AC1216" s="1615"/>
      <c r="AD1216" s="583"/>
      <c r="AE1216" s="583"/>
    </row>
    <row r="1217" spans="1:31" ht="14">
      <c r="A1217" s="1384" t="s">
        <v>5253</v>
      </c>
      <c r="B1217" s="19" t="s">
        <v>1300</v>
      </c>
      <c r="C1217" s="1383">
        <v>3160</v>
      </c>
      <c r="D1217" s="1236"/>
      <c r="E1217" s="1236"/>
      <c r="F1217" s="1344">
        <f>(1/S1217)*cnst_fish!$C$6</f>
        <v>7.5699122913220479E-2</v>
      </c>
      <c r="G1217" s="1344">
        <f t="shared" si="174"/>
        <v>1</v>
      </c>
      <c r="H1217" s="1344">
        <f t="shared" si="174"/>
        <v>0.367192066876738</v>
      </c>
      <c r="I1217" s="1344">
        <f t="shared" si="166"/>
        <v>0</v>
      </c>
      <c r="J1217" s="902">
        <f t="shared" si="167"/>
        <v>0</v>
      </c>
      <c r="L1217" s="1460">
        <v>7679</v>
      </c>
      <c r="M1217" s="1236"/>
      <c r="N1217" s="1240" t="s">
        <v>1806</v>
      </c>
      <c r="O1217" s="1241" t="s">
        <v>4841</v>
      </c>
      <c r="P1217" s="910">
        <f t="shared" si="168"/>
        <v>0</v>
      </c>
      <c r="Q1217" s="910">
        <f t="shared" si="169"/>
        <v>7679</v>
      </c>
      <c r="R1217" s="1344">
        <f t="shared" si="170"/>
        <v>3.6</v>
      </c>
      <c r="S1217" s="1344">
        <f>(1/9)*cnst_fish!$C$7*(1/cnst_fish!$C$8)^(R1217-1)</f>
        <v>56.143318924211187</v>
      </c>
      <c r="T1217" s="1362">
        <f t="shared" si="171"/>
        <v>37248.356031533753</v>
      </c>
      <c r="W1217" s="1612"/>
      <c r="X1217" s="1612"/>
      <c r="Y1217" s="1613"/>
      <c r="Z1217" s="1614"/>
      <c r="AA1217" s="1614"/>
      <c r="AB1217" s="1615"/>
      <c r="AC1217" s="1615"/>
      <c r="AD1217" s="583"/>
      <c r="AE1217" s="583"/>
    </row>
    <row r="1218" spans="1:31" ht="14">
      <c r="A1218" s="1384" t="s">
        <v>3482</v>
      </c>
      <c r="B1218" s="19" t="s">
        <v>2256</v>
      </c>
      <c r="C1218" s="1383">
        <v>2843</v>
      </c>
      <c r="D1218" s="1236"/>
      <c r="E1218" s="1236"/>
      <c r="F1218" s="1344">
        <f>(1/S1218)*cnst_fish!$C$6</f>
        <v>0.26187307482582634</v>
      </c>
      <c r="G1218" s="1344">
        <f t="shared" si="174"/>
        <v>1</v>
      </c>
      <c r="H1218" s="1344">
        <f t="shared" si="174"/>
        <v>0.367192066876738</v>
      </c>
      <c r="I1218" s="1344">
        <f t="shared" si="166"/>
        <v>0</v>
      </c>
      <c r="J1218" s="902">
        <f t="shared" si="167"/>
        <v>0</v>
      </c>
      <c r="L1218" s="1460">
        <v>4</v>
      </c>
      <c r="M1218" s="1236"/>
      <c r="N1218" s="1240" t="s">
        <v>3927</v>
      </c>
      <c r="O1218" s="1241" t="s">
        <v>4841</v>
      </c>
      <c r="P1218" s="910">
        <f t="shared" si="168"/>
        <v>0</v>
      </c>
      <c r="Q1218" s="910">
        <f t="shared" si="169"/>
        <v>4</v>
      </c>
      <c r="R1218" s="1344">
        <f t="shared" si="170"/>
        <v>3.0609999999999999</v>
      </c>
      <c r="S1218" s="1344">
        <f>(1/9)*cnst_fish!$C$7*(1/cnst_fish!$C$8)^(R1218-1)</f>
        <v>16.229236254344613</v>
      </c>
      <c r="T1218" s="1362">
        <f t="shared" si="171"/>
        <v>5.6087028744128826</v>
      </c>
      <c r="W1218" s="1612"/>
      <c r="X1218" s="1612"/>
      <c r="Y1218" s="1613"/>
      <c r="Z1218" s="1614"/>
      <c r="AA1218" s="1614"/>
      <c r="AB1218" s="1615"/>
      <c r="AC1218" s="1615"/>
      <c r="AD1218" s="583"/>
      <c r="AE1218" s="583"/>
    </row>
    <row r="1219" spans="1:31" ht="14">
      <c r="A1219" s="1384" t="s">
        <v>4672</v>
      </c>
      <c r="B1219" s="19" t="s">
        <v>5074</v>
      </c>
      <c r="C1219" s="1383">
        <v>2047</v>
      </c>
      <c r="D1219" s="1236"/>
      <c r="E1219" s="1236"/>
      <c r="F1219" s="1344">
        <f>(1/S1219)*cnst_fish!$C$6</f>
        <v>3.2291695426024204E-2</v>
      </c>
      <c r="G1219" s="1344">
        <f t="shared" si="174"/>
        <v>1</v>
      </c>
      <c r="H1219" s="1344">
        <f t="shared" si="174"/>
        <v>0.367192066876738</v>
      </c>
      <c r="I1219" s="1344">
        <f t="shared" si="166"/>
        <v>0</v>
      </c>
      <c r="J1219" s="902">
        <f t="shared" si="167"/>
        <v>0</v>
      </c>
      <c r="L1219" s="1460">
        <v>0</v>
      </c>
      <c r="M1219" s="1236"/>
      <c r="N1219" s="1240" t="s">
        <v>3927</v>
      </c>
      <c r="O1219" s="1241" t="s">
        <v>4841</v>
      </c>
      <c r="P1219" s="910">
        <f t="shared" si="168"/>
        <v>0</v>
      </c>
      <c r="Q1219" s="910">
        <f t="shared" si="169"/>
        <v>0</v>
      </c>
      <c r="R1219" s="1344">
        <f t="shared" si="170"/>
        <v>3.97</v>
      </c>
      <c r="S1219" s="1344">
        <f>(1/9)*cnst_fish!$C$7*(1/cnst_fish!$C$8)^(R1219-1)</f>
        <v>131.61278600983218</v>
      </c>
      <c r="T1219" s="1362">
        <f t="shared" si="171"/>
        <v>0</v>
      </c>
      <c r="W1219" s="1612"/>
      <c r="X1219" s="1612"/>
      <c r="Y1219" s="1613"/>
      <c r="Z1219" s="1614"/>
      <c r="AA1219" s="1614"/>
      <c r="AB1219" s="1615"/>
      <c r="AC1219" s="1615"/>
      <c r="AD1219" s="583"/>
      <c r="AE1219" s="583"/>
    </row>
    <row r="1220" spans="1:31" ht="14">
      <c r="A1220" s="1384" t="s">
        <v>4309</v>
      </c>
      <c r="B1220" s="19" t="s">
        <v>5314</v>
      </c>
      <c r="C1220" s="1383">
        <v>2622</v>
      </c>
      <c r="D1220" s="1236"/>
      <c r="E1220" s="1236"/>
      <c r="F1220" s="1344">
        <f>(1/S1220)*cnst_fish!$C$6</f>
        <v>1.9014759972289452</v>
      </c>
      <c r="G1220" s="1344">
        <f t="shared" si="174"/>
        <v>1</v>
      </c>
      <c r="H1220" s="1344">
        <f t="shared" si="174"/>
        <v>0.367192066876738</v>
      </c>
      <c r="I1220" s="1344">
        <f t="shared" si="166"/>
        <v>0</v>
      </c>
      <c r="J1220" s="902">
        <f t="shared" si="167"/>
        <v>0</v>
      </c>
      <c r="L1220" s="1460"/>
      <c r="M1220" s="1236">
        <v>164</v>
      </c>
      <c r="N1220" s="1240" t="s">
        <v>1805</v>
      </c>
      <c r="O1220" s="1241" t="s">
        <v>4840</v>
      </c>
      <c r="P1220" s="910">
        <f t="shared" si="168"/>
        <v>0</v>
      </c>
      <c r="Q1220" s="910">
        <f t="shared" si="169"/>
        <v>164</v>
      </c>
      <c r="R1220" s="1344">
        <f t="shared" si="170"/>
        <v>2.2000000000000002</v>
      </c>
      <c r="S1220" s="1344">
        <f>(1/9)*cnst_fish!$C$7*(1/cnst_fish!$C$8)^(R1220-1)</f>
        <v>2.2351057842400328</v>
      </c>
      <c r="T1220" s="1362">
        <f t="shared" si="171"/>
        <v>31.669870698101885</v>
      </c>
      <c r="W1220" s="1612"/>
      <c r="X1220" s="1612"/>
      <c r="Y1220" s="1613"/>
      <c r="Z1220" s="1614"/>
      <c r="AA1220" s="1614"/>
      <c r="AB1220" s="1615"/>
      <c r="AC1220" s="1615"/>
      <c r="AD1220" s="583"/>
      <c r="AE1220" s="583"/>
    </row>
    <row r="1221" spans="1:31" ht="14">
      <c r="A1221" s="1384" t="s">
        <v>4231</v>
      </c>
      <c r="B1221" s="19" t="s">
        <v>1301</v>
      </c>
      <c r="C1221" s="1383">
        <v>3174</v>
      </c>
      <c r="D1221" s="1236"/>
      <c r="E1221" s="1236"/>
      <c r="F1221" s="1344">
        <f>(1/S1221)*cnst_fish!$C$6</f>
        <v>9.9790878883162681E-2</v>
      </c>
      <c r="G1221" s="1344">
        <f t="shared" si="174"/>
        <v>1</v>
      </c>
      <c r="H1221" s="1344">
        <f t="shared" si="174"/>
        <v>0.367192066876738</v>
      </c>
      <c r="I1221" s="1344">
        <f t="shared" si="166"/>
        <v>0</v>
      </c>
      <c r="J1221" s="902">
        <f t="shared" si="167"/>
        <v>0</v>
      </c>
      <c r="L1221" s="1460">
        <v>2572</v>
      </c>
      <c r="M1221" s="1236"/>
      <c r="N1221" s="1240" t="s">
        <v>1806</v>
      </c>
      <c r="O1221" s="1241" t="s">
        <v>4841</v>
      </c>
      <c r="P1221" s="910">
        <f t="shared" si="168"/>
        <v>0</v>
      </c>
      <c r="Q1221" s="910">
        <f t="shared" si="169"/>
        <v>2572</v>
      </c>
      <c r="R1221" s="1344">
        <f t="shared" si="170"/>
        <v>3.48</v>
      </c>
      <c r="S1221" s="1344">
        <f>(1/9)*cnst_fish!$C$7*(1/cnst_fish!$C$8)^(R1221-1)</f>
        <v>42.589062723618177</v>
      </c>
      <c r="T1221" s="1362">
        <f t="shared" si="171"/>
        <v>9463.9711221775597</v>
      </c>
      <c r="W1221" s="1612"/>
      <c r="X1221" s="1612"/>
      <c r="Y1221" s="1613"/>
      <c r="Z1221" s="1614"/>
      <c r="AA1221" s="1614"/>
      <c r="AB1221" s="1615"/>
      <c r="AC1221" s="1615"/>
      <c r="AD1221" s="583"/>
      <c r="AE1221" s="583"/>
    </row>
    <row r="1222" spans="1:31" ht="14">
      <c r="A1222" s="1384" t="s">
        <v>2239</v>
      </c>
      <c r="B1222" s="19" t="s">
        <v>809</v>
      </c>
      <c r="C1222" s="1383">
        <v>2369</v>
      </c>
      <c r="D1222" s="1236"/>
      <c r="E1222" s="1236"/>
      <c r="F1222" s="1344">
        <f>(1/S1222)*cnst_fish!$C$6</f>
        <v>7.5699122913220479E-2</v>
      </c>
      <c r="G1222" s="1344">
        <f t="shared" si="174"/>
        <v>1</v>
      </c>
      <c r="H1222" s="1344">
        <f t="shared" si="174"/>
        <v>0.367192066876738</v>
      </c>
      <c r="I1222" s="1344">
        <f t="shared" si="166"/>
        <v>0</v>
      </c>
      <c r="J1222" s="902">
        <f t="shared" si="167"/>
        <v>0</v>
      </c>
      <c r="L1222" s="1460">
        <v>6825</v>
      </c>
      <c r="M1222" s="1236"/>
      <c r="N1222" s="1240" t="s">
        <v>1806</v>
      </c>
      <c r="O1222" s="1241" t="s">
        <v>4841</v>
      </c>
      <c r="P1222" s="910">
        <f t="shared" si="168"/>
        <v>0</v>
      </c>
      <c r="Q1222" s="910">
        <f t="shared" si="169"/>
        <v>6825</v>
      </c>
      <c r="R1222" s="1344">
        <f t="shared" si="170"/>
        <v>3.6</v>
      </c>
      <c r="S1222" s="1344">
        <f>(1/9)*cnst_fish!$C$7*(1/cnst_fish!$C$8)^(R1222-1)</f>
        <v>56.143318924211187</v>
      </c>
      <c r="T1222" s="1362">
        <f t="shared" si="171"/>
        <v>33105.877056285695</v>
      </c>
      <c r="W1222" s="1612"/>
      <c r="X1222" s="1612"/>
      <c r="Y1222" s="1613"/>
      <c r="Z1222" s="1614"/>
      <c r="AA1222" s="1614"/>
      <c r="AB1222" s="1615"/>
      <c r="AC1222" s="1615"/>
      <c r="AD1222" s="583"/>
      <c r="AE1222" s="583"/>
    </row>
    <row r="1223" spans="1:31" ht="14">
      <c r="A1223" s="1384" t="s">
        <v>1336</v>
      </c>
      <c r="B1223" s="19" t="s">
        <v>810</v>
      </c>
      <c r="C1223" s="1383">
        <v>3173</v>
      </c>
      <c r="D1223" s="1236"/>
      <c r="E1223" s="1236"/>
      <c r="F1223" s="1344">
        <f>(1/S1223)*cnst_fish!$C$6</f>
        <v>5.6116535073067304E-2</v>
      </c>
      <c r="G1223" s="1344">
        <f t="shared" si="174"/>
        <v>1</v>
      </c>
      <c r="H1223" s="1344">
        <f t="shared" si="174"/>
        <v>0.367192066876738</v>
      </c>
      <c r="I1223" s="1344">
        <f t="shared" ref="I1223:I1286" si="175">IF($F1223=0,0,D1223/$F1223*$H1223*$G1223)</f>
        <v>0</v>
      </c>
      <c r="J1223" s="902">
        <f t="shared" ref="J1223:J1286" si="176">IF($F1223=0,0,E1223/$F1223*$H1223*$G1223)</f>
        <v>0</v>
      </c>
      <c r="L1223" s="1460">
        <v>1390</v>
      </c>
      <c r="M1223" s="1236"/>
      <c r="N1223" s="1240" t="s">
        <v>1806</v>
      </c>
      <c r="O1223" s="1241" t="s">
        <v>4841</v>
      </c>
      <c r="P1223" s="910">
        <f t="shared" ref="P1223:P1286" si="177">D1223+E1223</f>
        <v>0</v>
      </c>
      <c r="Q1223" s="910">
        <f t="shared" ref="Q1223:Q1286" si="178">L1223+M1223</f>
        <v>1390</v>
      </c>
      <c r="R1223" s="1344">
        <f t="shared" ref="R1223:R1286" si="179">VLOOKUP(B1223,constant_fish_trophic,3,FALSE)</f>
        <v>3.73</v>
      </c>
      <c r="S1223" s="1344">
        <f>(1/9)*cnst_fish!$C$7*(1/cnst_fish!$C$8)^(R1223-1)</f>
        <v>75.735253334266432</v>
      </c>
      <c r="T1223" s="1362">
        <f t="shared" ref="T1223:T1286" si="180">IF(F1223=0,0,Q1223/F1223*H1223*G1223)</f>
        <v>9095.3044818981853</v>
      </c>
      <c r="W1223" s="1612"/>
      <c r="X1223" s="1612"/>
      <c r="Y1223" s="1613"/>
      <c r="Z1223" s="1614"/>
      <c r="AA1223" s="1614"/>
      <c r="AB1223" s="1615"/>
      <c r="AC1223" s="1615"/>
      <c r="AD1223" s="583"/>
      <c r="AE1223" s="583"/>
    </row>
    <row r="1224" spans="1:31" ht="14">
      <c r="A1224" s="1384" t="s">
        <v>1545</v>
      </c>
      <c r="B1224" s="19" t="s">
        <v>811</v>
      </c>
      <c r="C1224" s="1383">
        <v>2368</v>
      </c>
      <c r="D1224" s="1236"/>
      <c r="E1224" s="1236"/>
      <c r="F1224" s="1344">
        <f>(1/S1224)*cnst_fish!$C$6</f>
        <v>0.11997502458044032</v>
      </c>
      <c r="G1224" s="1344">
        <f t="shared" si="174"/>
        <v>1</v>
      </c>
      <c r="H1224" s="1344">
        <f t="shared" si="174"/>
        <v>0.367192066876738</v>
      </c>
      <c r="I1224" s="1344">
        <f t="shared" si="175"/>
        <v>0</v>
      </c>
      <c r="J1224" s="902">
        <f t="shared" si="176"/>
        <v>0</v>
      </c>
      <c r="L1224" s="1460">
        <v>15687</v>
      </c>
      <c r="M1224" s="1236"/>
      <c r="N1224" s="1240" t="s">
        <v>1806</v>
      </c>
      <c r="O1224" s="1241" t="s">
        <v>4841</v>
      </c>
      <c r="P1224" s="910">
        <f t="shared" si="177"/>
        <v>0</v>
      </c>
      <c r="Q1224" s="910">
        <f t="shared" si="178"/>
        <v>15687</v>
      </c>
      <c r="R1224" s="1344">
        <f t="shared" si="179"/>
        <v>3.4</v>
      </c>
      <c r="S1224" s="1344">
        <f>(1/9)*cnst_fish!$C$7*(1/cnst_fish!$C$8)^(R1224-1)</f>
        <v>35.424039418724846</v>
      </c>
      <c r="T1224" s="1362">
        <f t="shared" si="180"/>
        <v>48011.175436212179</v>
      </c>
      <c r="W1224" s="1612"/>
      <c r="X1224" s="1612"/>
      <c r="Y1224" s="1613"/>
      <c r="Z1224" s="1614"/>
      <c r="AA1224" s="1614"/>
      <c r="AB1224" s="1615"/>
      <c r="AC1224" s="1615"/>
      <c r="AD1224" s="583"/>
      <c r="AE1224" s="583"/>
    </row>
    <row r="1225" spans="1:31" ht="14">
      <c r="A1225" s="1384" t="s">
        <v>2135</v>
      </c>
      <c r="B1225" s="19" t="s">
        <v>4311</v>
      </c>
      <c r="C1225" s="1383">
        <v>3172</v>
      </c>
      <c r="D1225" s="1236"/>
      <c r="E1225" s="1236"/>
      <c r="F1225" s="1344">
        <f>(1/S1225)*cnst_fish!$C$6</f>
        <v>8.8938714421809756E-2</v>
      </c>
      <c r="G1225" s="1344">
        <f t="shared" si="174"/>
        <v>1</v>
      </c>
      <c r="H1225" s="1344">
        <f t="shared" si="174"/>
        <v>0.367192066876738</v>
      </c>
      <c r="I1225" s="1344">
        <f t="shared" si="175"/>
        <v>0</v>
      </c>
      <c r="J1225" s="902">
        <f t="shared" si="176"/>
        <v>0</v>
      </c>
      <c r="L1225" s="1460">
        <v>3952</v>
      </c>
      <c r="M1225" s="1236"/>
      <c r="N1225" s="1240" t="s">
        <v>1806</v>
      </c>
      <c r="O1225" s="1241" t="s">
        <v>4841</v>
      </c>
      <c r="P1225" s="910">
        <f t="shared" si="177"/>
        <v>0</v>
      </c>
      <c r="Q1225" s="910">
        <f t="shared" si="178"/>
        <v>3952</v>
      </c>
      <c r="R1225" s="1344">
        <f t="shared" si="179"/>
        <v>3.53</v>
      </c>
      <c r="S1225" s="1344">
        <f>(1/9)*cnst_fish!$C$7*(1/cnst_fish!$C$8)^(R1225-1)</f>
        <v>47.785714327323419</v>
      </c>
      <c r="T1225" s="1362">
        <f t="shared" si="180"/>
        <v>16316.213447998927</v>
      </c>
      <c r="W1225" s="1612"/>
      <c r="X1225" s="1612"/>
      <c r="Y1225" s="1613"/>
      <c r="Z1225" s="1614"/>
      <c r="AA1225" s="1614"/>
      <c r="AB1225" s="1615"/>
      <c r="AC1225" s="1615"/>
      <c r="AD1225" s="583"/>
      <c r="AE1225" s="583"/>
    </row>
    <row r="1226" spans="1:31" ht="14">
      <c r="A1226" s="1384" t="s">
        <v>714</v>
      </c>
      <c r="B1226" s="19" t="s">
        <v>4312</v>
      </c>
      <c r="C1226" s="1383">
        <v>3243</v>
      </c>
      <c r="D1226" s="1236"/>
      <c r="E1226" s="1236"/>
      <c r="F1226" s="1344">
        <f>(1/S1226)*cnst_fish!$C$6</f>
        <v>3.6231878188697476E-2</v>
      </c>
      <c r="G1226" s="1344">
        <f t="shared" si="174"/>
        <v>1</v>
      </c>
      <c r="H1226" s="1344">
        <f t="shared" si="174"/>
        <v>0.367192066876738</v>
      </c>
      <c r="I1226" s="1344">
        <f t="shared" si="175"/>
        <v>0</v>
      </c>
      <c r="J1226" s="902">
        <f t="shared" si="176"/>
        <v>0</v>
      </c>
      <c r="L1226" s="1460">
        <v>0</v>
      </c>
      <c r="M1226" s="1236"/>
      <c r="N1226" s="1240" t="s">
        <v>1806</v>
      </c>
      <c r="O1226" s="1241" t="s">
        <v>4841</v>
      </c>
      <c r="P1226" s="910">
        <f t="shared" si="177"/>
        <v>0</v>
      </c>
      <c r="Q1226" s="910">
        <f t="shared" si="178"/>
        <v>0</v>
      </c>
      <c r="R1226" s="1344">
        <f t="shared" si="179"/>
        <v>3.92</v>
      </c>
      <c r="S1226" s="1344">
        <f>(1/9)*cnst_fish!$C$7*(1/cnst_fish!$C$8)^(R1226-1)</f>
        <v>117.30001900165877</v>
      </c>
      <c r="T1226" s="1362">
        <f t="shared" si="180"/>
        <v>0</v>
      </c>
      <c r="W1226" s="1612"/>
      <c r="X1226" s="1612"/>
      <c r="Y1226" s="1613"/>
      <c r="Z1226" s="1614"/>
      <c r="AA1226" s="1614"/>
      <c r="AB1226" s="1615"/>
      <c r="AC1226" s="1615"/>
      <c r="AD1226" s="583"/>
      <c r="AE1226" s="583"/>
    </row>
    <row r="1227" spans="1:31" ht="14">
      <c r="A1227" s="1384" t="s">
        <v>1161</v>
      </c>
      <c r="B1227" s="19" t="s">
        <v>4313</v>
      </c>
      <c r="C1227" s="1383">
        <v>2382</v>
      </c>
      <c r="D1227" s="1236"/>
      <c r="E1227" s="1236"/>
      <c r="F1227" s="1344">
        <f>(1/S1227)*cnst_fish!$C$6</f>
        <v>0.14424170509541331</v>
      </c>
      <c r="G1227" s="1344">
        <f t="shared" si="174"/>
        <v>1</v>
      </c>
      <c r="H1227" s="1344">
        <f t="shared" si="174"/>
        <v>0.367192066876738</v>
      </c>
      <c r="I1227" s="1344">
        <f t="shared" si="175"/>
        <v>0</v>
      </c>
      <c r="J1227" s="902">
        <f t="shared" si="176"/>
        <v>0</v>
      </c>
      <c r="L1227" s="1460">
        <v>22438</v>
      </c>
      <c r="M1227" s="1236"/>
      <c r="N1227" s="1240" t="s">
        <v>1806</v>
      </c>
      <c r="O1227" s="1241" t="s">
        <v>4841</v>
      </c>
      <c r="P1227" s="910">
        <f t="shared" si="177"/>
        <v>0</v>
      </c>
      <c r="Q1227" s="910">
        <f t="shared" si="178"/>
        <v>22438</v>
      </c>
      <c r="R1227" s="1344">
        <f t="shared" si="179"/>
        <v>3.32</v>
      </c>
      <c r="S1227" s="1344">
        <f>(1/9)*cnst_fish!$C$7*(1/cnst_fish!$C$8)^(R1227-1)</f>
        <v>29.464432614608246</v>
      </c>
      <c r="T1227" s="1362">
        <f t="shared" si="180"/>
        <v>57119.787866694023</v>
      </c>
      <c r="W1227" s="1612"/>
      <c r="X1227" s="1612"/>
      <c r="Y1227" s="1613"/>
      <c r="Z1227" s="1614"/>
      <c r="AA1227" s="1614"/>
      <c r="AB1227" s="1615"/>
      <c r="AC1227" s="1615"/>
      <c r="AD1227" s="583"/>
      <c r="AE1227" s="583"/>
    </row>
    <row r="1228" spans="1:31" ht="14">
      <c r="A1228" s="1384" t="s">
        <v>5611</v>
      </c>
      <c r="B1228" s="19" t="s">
        <v>4314</v>
      </c>
      <c r="C1228" s="1383">
        <v>3189</v>
      </c>
      <c r="D1228" s="1236"/>
      <c r="E1228" s="1236"/>
      <c r="F1228" s="1344">
        <f>(1/S1228)*cnst_fish!$C$6</f>
        <v>4.6675700833589753E-2</v>
      </c>
      <c r="G1228" s="1344">
        <f t="shared" ref="G1228:H1247" si="181">G$7</f>
        <v>1</v>
      </c>
      <c r="H1228" s="1344">
        <f t="shared" si="181"/>
        <v>0.367192066876738</v>
      </c>
      <c r="I1228" s="1344">
        <f t="shared" si="175"/>
        <v>0</v>
      </c>
      <c r="J1228" s="902">
        <f t="shared" si="176"/>
        <v>0</v>
      </c>
      <c r="L1228" s="1460">
        <v>0</v>
      </c>
      <c r="M1228" s="1236"/>
      <c r="N1228" s="1240" t="s">
        <v>1806</v>
      </c>
      <c r="O1228" s="1241" t="s">
        <v>4841</v>
      </c>
      <c r="P1228" s="910">
        <f t="shared" si="177"/>
        <v>0</v>
      </c>
      <c r="Q1228" s="910">
        <f t="shared" si="178"/>
        <v>0</v>
      </c>
      <c r="R1228" s="1344">
        <f t="shared" si="179"/>
        <v>3.81</v>
      </c>
      <c r="S1228" s="1344">
        <f>(1/9)*cnst_fish!$C$7*(1/cnst_fish!$C$8)^(R1228-1)</f>
        <v>91.053801530528389</v>
      </c>
      <c r="T1228" s="1362">
        <f t="shared" si="180"/>
        <v>0</v>
      </c>
      <c r="W1228" s="1612"/>
      <c r="X1228" s="1612"/>
      <c r="Y1228" s="1613"/>
      <c r="Z1228" s="1614"/>
      <c r="AA1228" s="1614"/>
      <c r="AB1228" s="1615"/>
      <c r="AC1228" s="1615"/>
      <c r="AD1228" s="583"/>
      <c r="AE1228" s="583"/>
    </row>
    <row r="1229" spans="1:31" ht="14">
      <c r="A1229" s="1384" t="s">
        <v>3283</v>
      </c>
      <c r="B1229" s="19" t="s">
        <v>4315</v>
      </c>
      <c r="C1229" s="1383">
        <v>2381</v>
      </c>
      <c r="D1229" s="1236">
        <v>185</v>
      </c>
      <c r="E1229" s="1236"/>
      <c r="F1229" s="1344">
        <f>(1/S1229)*cnst_fish!$C$6</f>
        <v>6.7466914312309487E-2</v>
      </c>
      <c r="G1229" s="1344">
        <f t="shared" si="181"/>
        <v>1</v>
      </c>
      <c r="H1229" s="1344">
        <f t="shared" si="181"/>
        <v>0.367192066876738</v>
      </c>
      <c r="I1229" s="1344">
        <f t="shared" si="175"/>
        <v>1006.8717839642246</v>
      </c>
      <c r="J1229" s="902">
        <f t="shared" si="176"/>
        <v>0</v>
      </c>
      <c r="L1229" s="1460">
        <v>10517</v>
      </c>
      <c r="M1229" s="1236"/>
      <c r="N1229" s="1240" t="s">
        <v>1806</v>
      </c>
      <c r="O1229" s="1241" t="s">
        <v>4841</v>
      </c>
      <c r="P1229" s="910">
        <f t="shared" si="177"/>
        <v>185</v>
      </c>
      <c r="Q1229" s="910">
        <f t="shared" si="178"/>
        <v>10517</v>
      </c>
      <c r="R1229" s="1344">
        <f t="shared" si="179"/>
        <v>3.65</v>
      </c>
      <c r="S1229" s="1344">
        <f>(1/9)*cnst_fish!$C$7*(1/cnst_fish!$C$8)^(R1229-1)</f>
        <v>62.993839918725584</v>
      </c>
      <c r="T1229" s="1362">
        <f t="shared" si="180"/>
        <v>57239.300280820273</v>
      </c>
      <c r="W1229" s="1612"/>
      <c r="X1229" s="1612"/>
      <c r="Y1229" s="1613"/>
      <c r="Z1229" s="1614"/>
      <c r="AA1229" s="1614"/>
      <c r="AB1229" s="1615"/>
      <c r="AC1229" s="1615"/>
      <c r="AD1229" s="583"/>
      <c r="AE1229" s="583"/>
    </row>
    <row r="1230" spans="1:31" ht="14">
      <c r="A1230" s="1384" t="s">
        <v>75</v>
      </c>
      <c r="B1230" s="19" t="s">
        <v>4316</v>
      </c>
      <c r="C1230" s="1383">
        <v>2380</v>
      </c>
      <c r="D1230" s="1236"/>
      <c r="E1230" s="1236"/>
      <c r="F1230" s="1344">
        <f>(1/S1230)*cnst_fish!$C$6</f>
        <v>8.4935812883106004E-2</v>
      </c>
      <c r="G1230" s="1344">
        <f t="shared" si="181"/>
        <v>1</v>
      </c>
      <c r="H1230" s="1344">
        <f t="shared" si="181"/>
        <v>0.367192066876738</v>
      </c>
      <c r="I1230" s="1344">
        <f t="shared" si="175"/>
        <v>0</v>
      </c>
      <c r="J1230" s="902">
        <f t="shared" si="176"/>
        <v>0</v>
      </c>
      <c r="L1230" s="1460">
        <v>8506</v>
      </c>
      <c r="M1230" s="1236"/>
      <c r="N1230" s="1240" t="s">
        <v>1806</v>
      </c>
      <c r="O1230" s="1241" t="s">
        <v>4841</v>
      </c>
      <c r="P1230" s="910">
        <f t="shared" si="177"/>
        <v>0</v>
      </c>
      <c r="Q1230" s="910">
        <f t="shared" si="178"/>
        <v>8506</v>
      </c>
      <c r="R1230" s="1344">
        <f t="shared" si="179"/>
        <v>3.55</v>
      </c>
      <c r="S1230" s="1344">
        <f>(1/9)*cnst_fish!$C$7*(1/cnst_fish!$C$8)^(R1230-1)</f>
        <v>50.037785661145278</v>
      </c>
      <c r="T1230" s="1362">
        <f t="shared" si="180"/>
        <v>36772.894905380657</v>
      </c>
      <c r="W1230" s="1612"/>
      <c r="X1230" s="1612"/>
      <c r="Y1230" s="1613"/>
      <c r="Z1230" s="1614"/>
      <c r="AA1230" s="1614"/>
      <c r="AB1230" s="1615"/>
      <c r="AC1230" s="1615"/>
      <c r="AD1230" s="583"/>
      <c r="AE1230" s="583"/>
    </row>
    <row r="1231" spans="1:31" ht="14">
      <c r="A1231" s="1384" t="s">
        <v>5133</v>
      </c>
      <c r="B1231" s="19" t="s">
        <v>6438</v>
      </c>
      <c r="C1231" s="1383">
        <v>16484</v>
      </c>
      <c r="D1231" s="1236"/>
      <c r="E1231" s="1236"/>
      <c r="F1231" s="1344">
        <f>(1/S1231)*cnst_fish!$C$6</f>
        <v>3.0136363636363641</v>
      </c>
      <c r="G1231" s="1344">
        <f t="shared" si="181"/>
        <v>1</v>
      </c>
      <c r="H1231" s="1344">
        <f t="shared" si="181"/>
        <v>0.367192066876738</v>
      </c>
      <c r="I1231" s="1344">
        <f t="shared" si="175"/>
        <v>0</v>
      </c>
      <c r="J1231" s="902">
        <f t="shared" si="176"/>
        <v>0</v>
      </c>
      <c r="L1231" s="1460">
        <v>124</v>
      </c>
      <c r="M1231" s="1236"/>
      <c r="N1231" s="1240" t="s">
        <v>2441</v>
      </c>
      <c r="O1231" s="1241" t="s">
        <v>4840</v>
      </c>
      <c r="P1231" s="910">
        <f t="shared" si="177"/>
        <v>0</v>
      </c>
      <c r="Q1231" s="910">
        <f t="shared" si="178"/>
        <v>124</v>
      </c>
      <c r="R1231" s="1344">
        <f t="shared" si="179"/>
        <v>2</v>
      </c>
      <c r="S1231" s="1344">
        <f>(1/9)*cnst_fish!$C$7*(1/cnst_fish!$C$8)^(R1231-1)</f>
        <v>1.4102564102564099</v>
      </c>
      <c r="T1231" s="1362">
        <f t="shared" si="180"/>
        <v>15.108596658216307</v>
      </c>
      <c r="W1231" s="1612"/>
      <c r="X1231" s="1612"/>
      <c r="Y1231" s="1613"/>
      <c r="Z1231" s="1614"/>
      <c r="AA1231" s="1614"/>
      <c r="AB1231" s="1615"/>
      <c r="AC1231" s="1615"/>
      <c r="AD1231" s="583"/>
      <c r="AE1231" s="583"/>
    </row>
    <row r="1232" spans="1:31" ht="14">
      <c r="A1232" s="1384" t="s">
        <v>373</v>
      </c>
      <c r="B1232" s="19" t="s">
        <v>3332</v>
      </c>
      <c r="C1232" s="1383">
        <v>16488</v>
      </c>
      <c r="D1232" s="1236"/>
      <c r="E1232" s="1236"/>
      <c r="F1232" s="1344">
        <f>(1/S1232)*cnst_fish!$C$6</f>
        <v>0.60129950673834842</v>
      </c>
      <c r="G1232" s="1344">
        <f t="shared" si="181"/>
        <v>1</v>
      </c>
      <c r="H1232" s="1344">
        <f t="shared" si="181"/>
        <v>0.367192066876738</v>
      </c>
      <c r="I1232" s="1344">
        <f t="shared" si="175"/>
        <v>0</v>
      </c>
      <c r="J1232" s="902">
        <f t="shared" si="176"/>
        <v>0</v>
      </c>
      <c r="L1232" s="1460">
        <v>16</v>
      </c>
      <c r="M1232" s="1236"/>
      <c r="N1232" s="1240" t="s">
        <v>2441</v>
      </c>
      <c r="O1232" s="1241" t="s">
        <v>4840</v>
      </c>
      <c r="P1232" s="910">
        <f t="shared" si="177"/>
        <v>0</v>
      </c>
      <c r="Q1232" s="910">
        <f t="shared" si="178"/>
        <v>16</v>
      </c>
      <c r="R1232" s="1344">
        <f t="shared" si="179"/>
        <v>2.7</v>
      </c>
      <c r="S1232" s="1344">
        <f>(1/9)*cnst_fish!$C$7*(1/cnst_fish!$C$8)^(R1232-1)</f>
        <v>7.0680250896153813</v>
      </c>
      <c r="T1232" s="1362">
        <f t="shared" si="180"/>
        <v>9.7706267911247568</v>
      </c>
      <c r="W1232" s="1612"/>
      <c r="X1232" s="1612"/>
      <c r="Y1232" s="1613"/>
      <c r="Z1232" s="1614"/>
      <c r="AA1232" s="1614"/>
      <c r="AB1232" s="1615"/>
      <c r="AC1232" s="1615"/>
      <c r="AD1232" s="583"/>
      <c r="AE1232" s="583"/>
    </row>
    <row r="1233" spans="1:31" ht="14">
      <c r="A1233" s="1384" t="s">
        <v>1337</v>
      </c>
      <c r="B1233" s="19" t="s">
        <v>3333</v>
      </c>
      <c r="C1233" s="1383">
        <v>2607</v>
      </c>
      <c r="D1233" s="1236"/>
      <c r="E1233" s="1236"/>
      <c r="F1233" s="1344">
        <f>(1/S1233)*cnst_fish!$C$6</f>
        <v>0.60129950673834842</v>
      </c>
      <c r="G1233" s="1344">
        <f t="shared" si="181"/>
        <v>1</v>
      </c>
      <c r="H1233" s="1344">
        <f t="shared" si="181"/>
        <v>0.367192066876738</v>
      </c>
      <c r="I1233" s="1344">
        <f t="shared" si="175"/>
        <v>0</v>
      </c>
      <c r="J1233" s="902">
        <f t="shared" si="176"/>
        <v>0</v>
      </c>
      <c r="L1233" s="1460">
        <v>405</v>
      </c>
      <c r="M1233" s="1236"/>
      <c r="N1233" s="1240" t="s">
        <v>2441</v>
      </c>
      <c r="O1233" s="1241" t="s">
        <v>4840</v>
      </c>
      <c r="P1233" s="910">
        <f t="shared" si="177"/>
        <v>0</v>
      </c>
      <c r="Q1233" s="910">
        <f t="shared" si="178"/>
        <v>405</v>
      </c>
      <c r="R1233" s="1344">
        <f t="shared" si="179"/>
        <v>2.7</v>
      </c>
      <c r="S1233" s="1344">
        <f>(1/9)*cnst_fish!$C$7*(1/cnst_fish!$C$8)^(R1233-1)</f>
        <v>7.0680250896153813</v>
      </c>
      <c r="T1233" s="1362">
        <f t="shared" si="180"/>
        <v>247.3189906503454</v>
      </c>
      <c r="W1233" s="1612"/>
      <c r="X1233" s="1612"/>
      <c r="Y1233" s="1613"/>
      <c r="Z1233" s="1614"/>
      <c r="AA1233" s="1614"/>
      <c r="AB1233" s="1615"/>
      <c r="AC1233" s="1615"/>
      <c r="AD1233" s="583"/>
      <c r="AE1233" s="583"/>
    </row>
    <row r="1234" spans="1:31" ht="14">
      <c r="A1234" s="1384" t="s">
        <v>5677</v>
      </c>
      <c r="B1234" s="19" t="s">
        <v>5315</v>
      </c>
      <c r="C1234" s="1383">
        <v>3430</v>
      </c>
      <c r="D1234" s="1236"/>
      <c r="E1234" s="1236"/>
      <c r="F1234" s="1344">
        <f>(1/S1234)*cnst_fish!$C$6</f>
        <v>1.9014759972289452</v>
      </c>
      <c r="G1234" s="1344">
        <f t="shared" si="181"/>
        <v>1</v>
      </c>
      <c r="H1234" s="1344">
        <f t="shared" si="181"/>
        <v>0.367192066876738</v>
      </c>
      <c r="I1234" s="1344">
        <f t="shared" si="175"/>
        <v>0</v>
      </c>
      <c r="J1234" s="902">
        <f t="shared" si="176"/>
        <v>0</v>
      </c>
      <c r="L1234" s="1460">
        <v>180</v>
      </c>
      <c r="M1234" s="1236"/>
      <c r="N1234" s="1240" t="s">
        <v>2441</v>
      </c>
      <c r="O1234" s="1241" t="s">
        <v>4840</v>
      </c>
      <c r="P1234" s="910">
        <f t="shared" si="177"/>
        <v>0</v>
      </c>
      <c r="Q1234" s="910">
        <f t="shared" si="178"/>
        <v>180</v>
      </c>
      <c r="R1234" s="1344">
        <f t="shared" si="179"/>
        <v>2.2000000000000002</v>
      </c>
      <c r="S1234" s="1344">
        <f>(1/9)*cnst_fish!$C$7*(1/cnst_fish!$C$8)^(R1234-1)</f>
        <v>2.2351057842400328</v>
      </c>
      <c r="T1234" s="1362">
        <f t="shared" si="180"/>
        <v>34.759614180843528</v>
      </c>
      <c r="W1234" s="1612"/>
      <c r="X1234" s="1612"/>
      <c r="Y1234" s="1613"/>
      <c r="Z1234" s="1614"/>
      <c r="AA1234" s="1614"/>
      <c r="AB1234" s="1615"/>
      <c r="AC1234" s="1615"/>
      <c r="AD1234" s="583"/>
      <c r="AE1234" s="583"/>
    </row>
    <row r="1235" spans="1:31" ht="14">
      <c r="A1235" s="1384" t="s">
        <v>5659</v>
      </c>
      <c r="B1235" s="19" t="s">
        <v>5315</v>
      </c>
      <c r="C1235" s="1383">
        <v>3429</v>
      </c>
      <c r="D1235" s="1236"/>
      <c r="E1235" s="1236"/>
      <c r="F1235" s="1344">
        <f>(1/S1235)*cnst_fish!$C$6</f>
        <v>1.9014759972289452</v>
      </c>
      <c r="G1235" s="1344">
        <f t="shared" si="181"/>
        <v>1</v>
      </c>
      <c r="H1235" s="1344">
        <f t="shared" si="181"/>
        <v>0.367192066876738</v>
      </c>
      <c r="I1235" s="1344">
        <f t="shared" si="175"/>
        <v>0</v>
      </c>
      <c r="J1235" s="902">
        <f t="shared" si="176"/>
        <v>0</v>
      </c>
      <c r="L1235" s="1460"/>
      <c r="M1235" s="1236">
        <v>11623</v>
      </c>
      <c r="N1235" s="1240" t="s">
        <v>2441</v>
      </c>
      <c r="O1235" s="1241" t="s">
        <v>4840</v>
      </c>
      <c r="P1235" s="910">
        <f t="shared" si="177"/>
        <v>0</v>
      </c>
      <c r="Q1235" s="910">
        <f t="shared" si="178"/>
        <v>11623</v>
      </c>
      <c r="R1235" s="1344">
        <f t="shared" si="179"/>
        <v>2.2000000000000002</v>
      </c>
      <c r="S1235" s="1344">
        <f>(1/9)*cnst_fish!$C$7*(1/cnst_fish!$C$8)^(R1235-1)</f>
        <v>2.2351057842400328</v>
      </c>
      <c r="T1235" s="1362">
        <f t="shared" si="180"/>
        <v>2244.5055312441355</v>
      </c>
      <c r="W1235" s="1612"/>
      <c r="X1235" s="1612"/>
      <c r="Y1235" s="1613"/>
      <c r="Z1235" s="1614"/>
      <c r="AA1235" s="1614"/>
      <c r="AB1235" s="1615"/>
      <c r="AC1235" s="1615"/>
      <c r="AD1235" s="583"/>
      <c r="AE1235" s="583"/>
    </row>
    <row r="1236" spans="1:31" ht="14">
      <c r="A1236" s="1384" t="s">
        <v>1076</v>
      </c>
      <c r="B1236" s="19" t="s">
        <v>4976</v>
      </c>
      <c r="C1236" s="1383">
        <v>3442</v>
      </c>
      <c r="D1236" s="1236"/>
      <c r="E1236" s="1236"/>
      <c r="F1236" s="1344">
        <f>(1/S1236)*cnst_fish!$C$6</f>
        <v>0.19014759972289441</v>
      </c>
      <c r="G1236" s="1344">
        <f t="shared" si="181"/>
        <v>1</v>
      </c>
      <c r="H1236" s="1344">
        <f t="shared" si="181"/>
        <v>0.367192066876738</v>
      </c>
      <c r="I1236" s="1344">
        <f t="shared" si="175"/>
        <v>0</v>
      </c>
      <c r="J1236" s="902">
        <f t="shared" si="176"/>
        <v>0</v>
      </c>
      <c r="L1236" s="1460">
        <v>781</v>
      </c>
      <c r="M1236" s="1236"/>
      <c r="N1236" s="1240" t="s">
        <v>2431</v>
      </c>
      <c r="O1236" s="1241" t="s">
        <v>4840</v>
      </c>
      <c r="P1236" s="910">
        <f t="shared" si="177"/>
        <v>0</v>
      </c>
      <c r="Q1236" s="910">
        <f t="shared" si="178"/>
        <v>781</v>
      </c>
      <c r="R1236" s="1344">
        <f t="shared" si="179"/>
        <v>3.2</v>
      </c>
      <c r="S1236" s="1344">
        <f>(1/9)*cnst_fish!$C$7*(1/cnst_fish!$C$8)^(R1236-1)</f>
        <v>22.351057842400341</v>
      </c>
      <c r="T1236" s="1362">
        <f t="shared" si="180"/>
        <v>1508.1810375132675</v>
      </c>
      <c r="W1236" s="1612"/>
      <c r="X1236" s="1612"/>
      <c r="Y1236" s="1613"/>
      <c r="Z1236" s="1614"/>
      <c r="AA1236" s="1614"/>
      <c r="AB1236" s="1615"/>
      <c r="AC1236" s="1615"/>
      <c r="AD1236" s="583"/>
      <c r="AE1236" s="583"/>
    </row>
    <row r="1237" spans="1:31" ht="14">
      <c r="A1237" s="1384" t="s">
        <v>333</v>
      </c>
      <c r="B1237" s="19" t="s">
        <v>4977</v>
      </c>
      <c r="C1237" s="1383">
        <v>2619</v>
      </c>
      <c r="D1237" s="1236"/>
      <c r="E1237" s="1236"/>
      <c r="F1237" s="1344">
        <f>(1/S1237)*cnst_fish!$C$6</f>
        <v>0.75699122913220485</v>
      </c>
      <c r="G1237" s="1344">
        <f t="shared" si="181"/>
        <v>1</v>
      </c>
      <c r="H1237" s="1344">
        <f t="shared" si="181"/>
        <v>0.367192066876738</v>
      </c>
      <c r="I1237" s="1344">
        <f t="shared" si="175"/>
        <v>0</v>
      </c>
      <c r="J1237" s="902">
        <f t="shared" si="176"/>
        <v>0</v>
      </c>
      <c r="L1237" s="1460">
        <v>8</v>
      </c>
      <c r="M1237" s="1236"/>
      <c r="N1237" s="1240" t="s">
        <v>2431</v>
      </c>
      <c r="O1237" s="1241" t="s">
        <v>4840</v>
      </c>
      <c r="P1237" s="910">
        <f t="shared" si="177"/>
        <v>0</v>
      </c>
      <c r="Q1237" s="910">
        <f t="shared" si="178"/>
        <v>8</v>
      </c>
      <c r="R1237" s="1344">
        <f t="shared" si="179"/>
        <v>2.6</v>
      </c>
      <c r="S1237" s="1344">
        <f>(1/9)*cnst_fish!$C$7*(1/cnst_fish!$C$8)^(R1237-1)</f>
        <v>5.6143318924211183</v>
      </c>
      <c r="T1237" s="1362">
        <f t="shared" si="180"/>
        <v>3.8805423655719502</v>
      </c>
      <c r="W1237" s="1612"/>
      <c r="X1237" s="1612"/>
      <c r="Y1237" s="1613"/>
      <c r="Z1237" s="1614"/>
      <c r="AA1237" s="1614"/>
      <c r="AB1237" s="1615"/>
      <c r="AC1237" s="1615"/>
      <c r="AD1237" s="583"/>
      <c r="AE1237" s="583"/>
    </row>
    <row r="1238" spans="1:31" ht="14">
      <c r="A1238" s="1384" t="s">
        <v>967</v>
      </c>
      <c r="B1238" s="19" t="s">
        <v>4978</v>
      </c>
      <c r="C1238" s="1383">
        <v>3452</v>
      </c>
      <c r="D1238" s="1236"/>
      <c r="E1238" s="1236"/>
      <c r="F1238" s="1344">
        <f>(1/S1238)*cnst_fish!$C$6</f>
        <v>0.75699122913220485</v>
      </c>
      <c r="G1238" s="1344">
        <f t="shared" si="181"/>
        <v>1</v>
      </c>
      <c r="H1238" s="1344">
        <f t="shared" si="181"/>
        <v>0.367192066876738</v>
      </c>
      <c r="I1238" s="1344">
        <f t="shared" si="175"/>
        <v>0</v>
      </c>
      <c r="J1238" s="902">
        <f t="shared" si="176"/>
        <v>0</v>
      </c>
      <c r="L1238" s="1460">
        <v>232</v>
      </c>
      <c r="M1238" s="1236"/>
      <c r="N1238" s="1240" t="s">
        <v>2431</v>
      </c>
      <c r="O1238" s="1241" t="s">
        <v>4840</v>
      </c>
      <c r="P1238" s="910">
        <f t="shared" si="177"/>
        <v>0</v>
      </c>
      <c r="Q1238" s="910">
        <f t="shared" si="178"/>
        <v>232</v>
      </c>
      <c r="R1238" s="1344">
        <f t="shared" si="179"/>
        <v>2.6</v>
      </c>
      <c r="S1238" s="1344">
        <f>(1/9)*cnst_fish!$C$7*(1/cnst_fish!$C$8)^(R1238-1)</f>
        <v>5.6143318924211183</v>
      </c>
      <c r="T1238" s="1362">
        <f t="shared" si="180"/>
        <v>112.53572860158654</v>
      </c>
      <c r="W1238" s="1612"/>
      <c r="X1238" s="1612"/>
      <c r="Y1238" s="1613"/>
      <c r="Z1238" s="1614"/>
      <c r="AA1238" s="1614"/>
      <c r="AB1238" s="1615"/>
      <c r="AC1238" s="1615"/>
      <c r="AD1238" s="583"/>
      <c r="AE1238" s="583"/>
    </row>
    <row r="1239" spans="1:31" ht="14">
      <c r="A1239" s="1384" t="s">
        <v>1143</v>
      </c>
      <c r="B1239" s="19" t="s">
        <v>4979</v>
      </c>
      <c r="C1239" s="1383">
        <v>3453</v>
      </c>
      <c r="D1239" s="1236"/>
      <c r="E1239" s="1236"/>
      <c r="F1239" s="1344">
        <f>(1/S1239)*cnst_fish!$C$6</f>
        <v>0.75699122913220485</v>
      </c>
      <c r="G1239" s="1344">
        <f t="shared" si="181"/>
        <v>1</v>
      </c>
      <c r="H1239" s="1344">
        <f t="shared" si="181"/>
        <v>0.367192066876738</v>
      </c>
      <c r="I1239" s="1344">
        <f t="shared" si="175"/>
        <v>0</v>
      </c>
      <c r="J1239" s="902">
        <f t="shared" si="176"/>
        <v>0</v>
      </c>
      <c r="L1239" s="1460">
        <v>652</v>
      </c>
      <c r="M1239" s="1236"/>
      <c r="N1239" s="1240" t="s">
        <v>2431</v>
      </c>
      <c r="O1239" s="1241" t="s">
        <v>4840</v>
      </c>
      <c r="P1239" s="910">
        <f t="shared" si="177"/>
        <v>0</v>
      </c>
      <c r="Q1239" s="910">
        <f t="shared" si="178"/>
        <v>652</v>
      </c>
      <c r="R1239" s="1344">
        <f t="shared" si="179"/>
        <v>2.6</v>
      </c>
      <c r="S1239" s="1344">
        <f>(1/9)*cnst_fish!$C$7*(1/cnst_fish!$C$8)^(R1239-1)</f>
        <v>5.6143318924211183</v>
      </c>
      <c r="T1239" s="1362">
        <f t="shared" si="180"/>
        <v>316.26420279411388</v>
      </c>
      <c r="W1239" s="1612"/>
      <c r="X1239" s="1612"/>
      <c r="Y1239" s="1613"/>
      <c r="Z1239" s="1614"/>
      <c r="AA1239" s="1614"/>
      <c r="AB1239" s="1615"/>
      <c r="AC1239" s="1615"/>
      <c r="AD1239" s="583"/>
      <c r="AE1239" s="583"/>
    </row>
    <row r="1240" spans="1:31" ht="14">
      <c r="A1240" s="1384" t="s">
        <v>1137</v>
      </c>
      <c r="B1240" s="19" t="s">
        <v>4980</v>
      </c>
      <c r="C1240" s="1383">
        <v>2618</v>
      </c>
      <c r="D1240" s="1236"/>
      <c r="E1240" s="1236"/>
      <c r="F1240" s="1344">
        <f>(1/S1240)*cnst_fish!$C$6</f>
        <v>0.75699122913220485</v>
      </c>
      <c r="G1240" s="1344">
        <f t="shared" si="181"/>
        <v>1</v>
      </c>
      <c r="H1240" s="1344">
        <f t="shared" si="181"/>
        <v>0.367192066876738</v>
      </c>
      <c r="I1240" s="1344">
        <f t="shared" si="175"/>
        <v>0</v>
      </c>
      <c r="J1240" s="902">
        <f t="shared" si="176"/>
        <v>0</v>
      </c>
      <c r="L1240" s="1460">
        <v>3</v>
      </c>
      <c r="M1240" s="1236"/>
      <c r="N1240" s="1240" t="s">
        <v>2431</v>
      </c>
      <c r="O1240" s="1241" t="s">
        <v>4840</v>
      </c>
      <c r="P1240" s="910">
        <f t="shared" si="177"/>
        <v>0</v>
      </c>
      <c r="Q1240" s="910">
        <f t="shared" si="178"/>
        <v>3</v>
      </c>
      <c r="R1240" s="1344">
        <f t="shared" si="179"/>
        <v>2.6</v>
      </c>
      <c r="S1240" s="1344">
        <f>(1/9)*cnst_fish!$C$7*(1/cnst_fish!$C$8)^(R1240-1)</f>
        <v>5.6143318924211183</v>
      </c>
      <c r="T1240" s="1362">
        <f t="shared" si="180"/>
        <v>1.4552033870894812</v>
      </c>
      <c r="W1240" s="1612"/>
      <c r="X1240" s="1612"/>
      <c r="Y1240" s="1613"/>
      <c r="Z1240" s="1614"/>
      <c r="AA1240" s="1614"/>
      <c r="AB1240" s="1615"/>
      <c r="AC1240" s="1615"/>
      <c r="AD1240" s="583"/>
      <c r="AE1240" s="583"/>
    </row>
    <row r="1241" spans="1:31" ht="14">
      <c r="A1241" s="1384" t="s">
        <v>2323</v>
      </c>
      <c r="B1241" s="19" t="s">
        <v>4981</v>
      </c>
      <c r="C1241" s="1383">
        <v>3451</v>
      </c>
      <c r="D1241" s="1236"/>
      <c r="E1241" s="1236"/>
      <c r="F1241" s="1344">
        <f>(1/S1241)*cnst_fish!$C$6</f>
        <v>0.19014759972289441</v>
      </c>
      <c r="G1241" s="1344">
        <f t="shared" si="181"/>
        <v>1</v>
      </c>
      <c r="H1241" s="1344">
        <f t="shared" si="181"/>
        <v>0.367192066876738</v>
      </c>
      <c r="I1241" s="1344">
        <f t="shared" si="175"/>
        <v>0</v>
      </c>
      <c r="J1241" s="902">
        <f t="shared" si="176"/>
        <v>0</v>
      </c>
      <c r="L1241" s="1460">
        <v>624</v>
      </c>
      <c r="M1241" s="1236"/>
      <c r="N1241" s="1240" t="s">
        <v>2431</v>
      </c>
      <c r="O1241" s="1241" t="s">
        <v>4840</v>
      </c>
      <c r="P1241" s="910">
        <f t="shared" si="177"/>
        <v>0</v>
      </c>
      <c r="Q1241" s="910">
        <f t="shared" si="178"/>
        <v>624</v>
      </c>
      <c r="R1241" s="1344">
        <f t="shared" si="179"/>
        <v>3.2</v>
      </c>
      <c r="S1241" s="1344">
        <f>(1/9)*cnst_fish!$C$7*(1/cnst_fish!$C$8)^(R1241-1)</f>
        <v>22.351057842400341</v>
      </c>
      <c r="T1241" s="1362">
        <f t="shared" si="180"/>
        <v>1204.9999582692431</v>
      </c>
      <c r="W1241" s="1612"/>
      <c r="X1241" s="1612"/>
      <c r="Y1241" s="1613"/>
      <c r="Z1241" s="1614"/>
      <c r="AA1241" s="1614"/>
      <c r="AB1241" s="1615"/>
      <c r="AC1241" s="1615"/>
      <c r="AD1241" s="583"/>
      <c r="AE1241" s="583"/>
    </row>
    <row r="1242" spans="1:31" ht="14">
      <c r="A1242" s="1384" t="s">
        <v>1457</v>
      </c>
      <c r="B1242" s="19" t="s">
        <v>5097</v>
      </c>
      <c r="C1242" s="1383">
        <v>2505</v>
      </c>
      <c r="D1242" s="1236"/>
      <c r="E1242" s="1236"/>
      <c r="F1242" s="1344">
        <f>(1/S1242)*cnst_fish!$C$6</f>
        <v>0.22860769647470386</v>
      </c>
      <c r="G1242" s="1344">
        <f t="shared" si="181"/>
        <v>1</v>
      </c>
      <c r="H1242" s="1344">
        <f t="shared" si="181"/>
        <v>0.367192066876738</v>
      </c>
      <c r="I1242" s="1344">
        <f t="shared" si="175"/>
        <v>0</v>
      </c>
      <c r="J1242" s="902">
        <f t="shared" si="176"/>
        <v>0</v>
      </c>
      <c r="L1242" s="1460">
        <v>49952</v>
      </c>
      <c r="M1242" s="1236"/>
      <c r="N1242" s="1240" t="s">
        <v>1806</v>
      </c>
      <c r="O1242" s="1241" t="s">
        <v>4859</v>
      </c>
      <c r="P1242" s="910">
        <f t="shared" si="177"/>
        <v>0</v>
      </c>
      <c r="Q1242" s="910">
        <f t="shared" si="178"/>
        <v>49952</v>
      </c>
      <c r="R1242" s="1344">
        <f t="shared" si="179"/>
        <v>3.12</v>
      </c>
      <c r="S1242" s="1344">
        <f>(1/9)*cnst_fish!$C$7*(1/cnst_fish!$C$8)^(R1242-1)</f>
        <v>18.590800159128833</v>
      </c>
      <c r="T1242" s="1362">
        <f t="shared" si="180"/>
        <v>80233.423491305817</v>
      </c>
      <c r="W1242" s="1612"/>
      <c r="X1242" s="1612"/>
      <c r="Y1242" s="1613"/>
      <c r="Z1242" s="1614"/>
      <c r="AA1242" s="1614"/>
      <c r="AB1242" s="1615"/>
      <c r="AC1242" s="1615"/>
      <c r="AD1242" s="583"/>
      <c r="AE1242" s="583"/>
    </row>
    <row r="1243" spans="1:31" ht="14">
      <c r="A1243" s="1384" t="s">
        <v>3153</v>
      </c>
      <c r="B1243" s="19" t="s">
        <v>5098</v>
      </c>
      <c r="C1243" s="1383">
        <v>3310</v>
      </c>
      <c r="D1243" s="1236"/>
      <c r="E1243" s="1236"/>
      <c r="F1243" s="1344">
        <f>(1/S1243)*cnst_fish!$C$6</f>
        <v>0.13154999853419541</v>
      </c>
      <c r="G1243" s="1344">
        <f t="shared" si="181"/>
        <v>1</v>
      </c>
      <c r="H1243" s="1344">
        <f t="shared" si="181"/>
        <v>0.367192066876738</v>
      </c>
      <c r="I1243" s="1344">
        <f t="shared" si="175"/>
        <v>0</v>
      </c>
      <c r="J1243" s="902">
        <f t="shared" si="176"/>
        <v>0</v>
      </c>
      <c r="L1243" s="1460">
        <v>326141</v>
      </c>
      <c r="M1243" s="1236"/>
      <c r="N1243" s="1240" t="s">
        <v>1806</v>
      </c>
      <c r="O1243" s="1241" t="s">
        <v>4859</v>
      </c>
      <c r="P1243" s="910">
        <f t="shared" si="177"/>
        <v>0</v>
      </c>
      <c r="Q1243" s="910">
        <f t="shared" si="178"/>
        <v>326141</v>
      </c>
      <c r="R1243" s="1344">
        <f t="shared" si="179"/>
        <v>3.36</v>
      </c>
      <c r="S1243" s="1344">
        <f>(1/9)*cnst_fish!$C$7*(1/cnst_fish!$C$8)^(R1243-1)</f>
        <v>32.307107923648097</v>
      </c>
      <c r="T1243" s="1362">
        <f t="shared" si="180"/>
        <v>910348.83479771728</v>
      </c>
      <c r="W1243" s="1612"/>
      <c r="X1243" s="1612"/>
      <c r="Y1243" s="1613"/>
      <c r="Z1243" s="1614"/>
      <c r="AA1243" s="1614"/>
      <c r="AB1243" s="1615"/>
      <c r="AC1243" s="1615"/>
      <c r="AD1243" s="583"/>
      <c r="AE1243" s="583"/>
    </row>
    <row r="1244" spans="1:31" ht="14">
      <c r="A1244" s="1384" t="s">
        <v>2717</v>
      </c>
      <c r="B1244" s="19" t="s">
        <v>3334</v>
      </c>
      <c r="C1244" s="1383">
        <v>16511</v>
      </c>
      <c r="D1244" s="1236"/>
      <c r="E1244" s="1236"/>
      <c r="F1244" s="1344">
        <f>(1/S1244)*cnst_fish!$C$6</f>
        <v>1.0179208487545861</v>
      </c>
      <c r="G1244" s="1344">
        <f t="shared" si="181"/>
        <v>1</v>
      </c>
      <c r="H1244" s="1344">
        <f t="shared" si="181"/>
        <v>0.367192066876738</v>
      </c>
      <c r="I1244" s="1344">
        <f t="shared" si="175"/>
        <v>0</v>
      </c>
      <c r="J1244" s="902">
        <f t="shared" si="176"/>
        <v>0</v>
      </c>
      <c r="L1244" s="1460">
        <v>0</v>
      </c>
      <c r="M1244" s="1236"/>
      <c r="N1244" s="1240" t="s">
        <v>2441</v>
      </c>
      <c r="O1244" s="1241" t="s">
        <v>4840</v>
      </c>
      <c r="P1244" s="910">
        <f t="shared" si="177"/>
        <v>0</v>
      </c>
      <c r="Q1244" s="910">
        <f t="shared" si="178"/>
        <v>0</v>
      </c>
      <c r="R1244" s="1344">
        <f t="shared" si="179"/>
        <v>2.4713768380352099</v>
      </c>
      <c r="S1244" s="1344">
        <f>(1/9)*cnst_fish!$C$7*(1/cnst_fish!$C$8)^(R1244-1)</f>
        <v>4.1751772794513675</v>
      </c>
      <c r="T1244" s="1362">
        <f t="shared" si="180"/>
        <v>0</v>
      </c>
      <c r="W1244" s="1612"/>
      <c r="X1244" s="1612"/>
      <c r="Y1244" s="1613"/>
      <c r="Z1244" s="1614"/>
      <c r="AA1244" s="1614"/>
      <c r="AB1244" s="1615"/>
      <c r="AC1244" s="1615"/>
      <c r="AD1244" s="583"/>
      <c r="AE1244" s="583"/>
    </row>
    <row r="1245" spans="1:31" ht="14">
      <c r="A1245" s="1384" t="s">
        <v>1982</v>
      </c>
      <c r="B1245" s="19" t="s">
        <v>1424</v>
      </c>
      <c r="C1245" s="1383">
        <v>3425</v>
      </c>
      <c r="D1245" s="1236">
        <v>307</v>
      </c>
      <c r="E1245" s="1236"/>
      <c r="F1245" s="1344">
        <f>(1/S1245)*cnst_fish!$C$6</f>
        <v>1.044938781136493</v>
      </c>
      <c r="G1245" s="1344">
        <f t="shared" si="181"/>
        <v>1</v>
      </c>
      <c r="H1245" s="1344">
        <f t="shared" si="181"/>
        <v>0.367192066876738</v>
      </c>
      <c r="I1245" s="1344">
        <f t="shared" si="175"/>
        <v>107.87997016299245</v>
      </c>
      <c r="J1245" s="902">
        <f t="shared" si="176"/>
        <v>0</v>
      </c>
      <c r="L1245" s="1460">
        <v>287108</v>
      </c>
      <c r="M1245" s="1236"/>
      <c r="N1245" s="1240" t="s">
        <v>2441</v>
      </c>
      <c r="O1245" s="1241" t="s">
        <v>4840</v>
      </c>
      <c r="P1245" s="910">
        <f t="shared" si="177"/>
        <v>307</v>
      </c>
      <c r="Q1245" s="910">
        <f t="shared" si="178"/>
        <v>287108</v>
      </c>
      <c r="R1245" s="1344">
        <f t="shared" si="179"/>
        <v>2.46</v>
      </c>
      <c r="S1245" s="1344">
        <f>(1/9)*cnst_fish!$C$7*(1/cnst_fish!$C$8)^(R1245-1)</f>
        <v>4.0672239146657265</v>
      </c>
      <c r="T1245" s="1362">
        <f t="shared" si="180"/>
        <v>100889.91033731739</v>
      </c>
      <c r="W1245" s="1612"/>
      <c r="X1245" s="1612"/>
      <c r="Y1245" s="1613"/>
      <c r="Z1245" s="1614"/>
      <c r="AA1245" s="1614"/>
      <c r="AB1245" s="1615"/>
      <c r="AC1245" s="1615"/>
      <c r="AD1245" s="583"/>
      <c r="AE1245" s="583"/>
    </row>
    <row r="1246" spans="1:31" ht="14">
      <c r="A1246" s="1384" t="s">
        <v>2716</v>
      </c>
      <c r="B1246" s="19" t="s">
        <v>1425</v>
      </c>
      <c r="C1246" s="1383">
        <v>16513</v>
      </c>
      <c r="D1246" s="1236"/>
      <c r="E1246" s="1236"/>
      <c r="F1246" s="1344">
        <f>(1/S1246)*cnst_fish!$C$6</f>
        <v>1.0179208487545861</v>
      </c>
      <c r="G1246" s="1344">
        <f t="shared" si="181"/>
        <v>1</v>
      </c>
      <c r="H1246" s="1344">
        <f t="shared" si="181"/>
        <v>0.367192066876738</v>
      </c>
      <c r="I1246" s="1344">
        <f t="shared" si="175"/>
        <v>0</v>
      </c>
      <c r="J1246" s="902">
        <f t="shared" si="176"/>
        <v>0</v>
      </c>
      <c r="L1246" s="1460">
        <v>556</v>
      </c>
      <c r="M1246" s="1236"/>
      <c r="N1246" s="1240" t="s">
        <v>2441</v>
      </c>
      <c r="O1246" s="1241" t="s">
        <v>4840</v>
      </c>
      <c r="P1246" s="910">
        <f t="shared" si="177"/>
        <v>0</v>
      </c>
      <c r="Q1246" s="910">
        <f t="shared" si="178"/>
        <v>556</v>
      </c>
      <c r="R1246" s="1344">
        <f t="shared" si="179"/>
        <v>2.4713768380352099</v>
      </c>
      <c r="S1246" s="1344">
        <f>(1/9)*cnst_fish!$C$7*(1/cnst_fish!$C$8)^(R1246-1)</f>
        <v>4.1751772794513675</v>
      </c>
      <c r="T1246" s="1362">
        <f t="shared" si="180"/>
        <v>200.56450305861421</v>
      </c>
      <c r="W1246" s="1612"/>
      <c r="X1246" s="1612"/>
      <c r="Y1246" s="1613"/>
      <c r="Z1246" s="1614"/>
      <c r="AA1246" s="1614"/>
      <c r="AB1246" s="1615"/>
      <c r="AC1246" s="1615"/>
      <c r="AD1246" s="583"/>
      <c r="AE1246" s="583"/>
    </row>
    <row r="1247" spans="1:31" ht="14">
      <c r="A1247" s="1384" t="s">
        <v>2712</v>
      </c>
      <c r="B1247" s="19" t="s">
        <v>1426</v>
      </c>
      <c r="C1247" s="1383">
        <v>16514</v>
      </c>
      <c r="D1247" s="1236"/>
      <c r="E1247" s="1236"/>
      <c r="F1247" s="1344">
        <f>(1/S1247)*cnst_fish!$C$6</f>
        <v>1.0179208487545861</v>
      </c>
      <c r="G1247" s="1344">
        <f t="shared" si="181"/>
        <v>1</v>
      </c>
      <c r="H1247" s="1344">
        <f t="shared" si="181"/>
        <v>0.367192066876738</v>
      </c>
      <c r="I1247" s="1344">
        <f t="shared" si="175"/>
        <v>0</v>
      </c>
      <c r="J1247" s="902">
        <f t="shared" si="176"/>
        <v>0</v>
      </c>
      <c r="L1247" s="1460">
        <v>514</v>
      </c>
      <c r="M1247" s="1236"/>
      <c r="N1247" s="1240" t="s">
        <v>2441</v>
      </c>
      <c r="O1247" s="1241" t="s">
        <v>4840</v>
      </c>
      <c r="P1247" s="910">
        <f t="shared" si="177"/>
        <v>0</v>
      </c>
      <c r="Q1247" s="910">
        <f t="shared" si="178"/>
        <v>514</v>
      </c>
      <c r="R1247" s="1344">
        <f t="shared" si="179"/>
        <v>2.4713768380352099</v>
      </c>
      <c r="S1247" s="1344">
        <f>(1/9)*cnst_fish!$C$7*(1/cnst_fish!$C$8)^(R1247-1)</f>
        <v>4.1751772794513675</v>
      </c>
      <c r="T1247" s="1362">
        <f t="shared" si="180"/>
        <v>185.41394707217211</v>
      </c>
      <c r="W1247" s="1612"/>
      <c r="X1247" s="1612"/>
      <c r="Y1247" s="1613"/>
      <c r="Z1247" s="1614"/>
      <c r="AA1247" s="1614"/>
      <c r="AB1247" s="1615"/>
      <c r="AC1247" s="1615"/>
      <c r="AD1247" s="583"/>
      <c r="AE1247" s="583"/>
    </row>
    <row r="1248" spans="1:31" ht="14">
      <c r="A1248" s="1384" t="s">
        <v>2067</v>
      </c>
      <c r="B1248" s="19" t="s">
        <v>2068</v>
      </c>
      <c r="C1248" s="1383">
        <v>16515</v>
      </c>
      <c r="D1248" s="1236">
        <v>31601</v>
      </c>
      <c r="E1248" s="1236"/>
      <c r="F1248" s="1344">
        <f>(1/S1248)*cnst_fish!$C$6</f>
        <v>0.14481532779905856</v>
      </c>
      <c r="G1248" s="1344">
        <f t="shared" ref="G1248:H1267" si="182">G$7</f>
        <v>1</v>
      </c>
      <c r="H1248" s="1344">
        <f t="shared" si="182"/>
        <v>0.367192066876738</v>
      </c>
      <c r="I1248" s="1344">
        <f t="shared" si="175"/>
        <v>80127.129370398266</v>
      </c>
      <c r="J1248" s="902">
        <f t="shared" si="176"/>
        <v>0</v>
      </c>
      <c r="L1248" s="1460">
        <v>31601</v>
      </c>
      <c r="M1248" s="1236"/>
      <c r="N1248" s="1240" t="s">
        <v>2441</v>
      </c>
      <c r="O1248" s="1241" t="s">
        <v>4840</v>
      </c>
      <c r="P1248" s="910">
        <f t="shared" si="177"/>
        <v>31601</v>
      </c>
      <c r="Q1248" s="910">
        <f t="shared" si="178"/>
        <v>31601</v>
      </c>
      <c r="R1248" s="1344">
        <f t="shared" si="179"/>
        <v>3.3182763159269002</v>
      </c>
      <c r="S1248" s="1344">
        <f>(1/9)*cnst_fish!$C$7*(1/cnst_fish!$C$8)^(R1248-1)</f>
        <v>29.347722127157517</v>
      </c>
      <c r="T1248" s="1362">
        <f t="shared" si="180"/>
        <v>80127.129370398266</v>
      </c>
      <c r="W1248" s="1612"/>
      <c r="X1248" s="1612"/>
      <c r="Y1248" s="1613"/>
      <c r="Z1248" s="1614"/>
      <c r="AA1248" s="1614"/>
      <c r="AB1248" s="1615"/>
      <c r="AC1248" s="1615"/>
      <c r="AD1248" s="583"/>
      <c r="AE1248" s="583"/>
    </row>
    <row r="1249" spans="1:31" ht="14">
      <c r="A1249" s="1384" t="s">
        <v>2715</v>
      </c>
      <c r="B1249" s="19" t="s">
        <v>2386</v>
      </c>
      <c r="C1249" s="1383">
        <v>16516</v>
      </c>
      <c r="D1249" s="1236"/>
      <c r="E1249" s="1236"/>
      <c r="F1249" s="1344">
        <f>(1/S1249)*cnst_fish!$C$6</f>
        <v>1.0179208487545861</v>
      </c>
      <c r="G1249" s="1344">
        <f t="shared" si="182"/>
        <v>1</v>
      </c>
      <c r="H1249" s="1344">
        <f t="shared" si="182"/>
        <v>0.367192066876738</v>
      </c>
      <c r="I1249" s="1344">
        <f t="shared" si="175"/>
        <v>0</v>
      </c>
      <c r="J1249" s="902">
        <f t="shared" si="176"/>
        <v>0</v>
      </c>
      <c r="L1249" s="1460">
        <v>20</v>
      </c>
      <c r="M1249" s="1236"/>
      <c r="N1249" s="1240" t="s">
        <v>2441</v>
      </c>
      <c r="O1249" s="1241" t="s">
        <v>4840</v>
      </c>
      <c r="P1249" s="910">
        <f t="shared" si="177"/>
        <v>0</v>
      </c>
      <c r="Q1249" s="910">
        <f t="shared" si="178"/>
        <v>20</v>
      </c>
      <c r="R1249" s="1344">
        <f t="shared" si="179"/>
        <v>2.4713768380352099</v>
      </c>
      <c r="S1249" s="1344">
        <f>(1/9)*cnst_fish!$C$7*(1/cnst_fish!$C$8)^(R1249-1)</f>
        <v>4.1751772794513675</v>
      </c>
      <c r="T1249" s="1362">
        <f t="shared" si="180"/>
        <v>7.2145504697343226</v>
      </c>
      <c r="W1249" s="1612"/>
      <c r="X1249" s="1612"/>
      <c r="Y1249" s="1613"/>
      <c r="Z1249" s="1614"/>
      <c r="AA1249" s="1614"/>
      <c r="AB1249" s="1615"/>
      <c r="AC1249" s="1615"/>
      <c r="AD1249" s="583"/>
      <c r="AE1249" s="583"/>
    </row>
    <row r="1250" spans="1:31" ht="14">
      <c r="A1250" s="1384" t="s">
        <v>5432</v>
      </c>
      <c r="B1250" s="19" t="s">
        <v>2387</v>
      </c>
      <c r="C1250" s="1383">
        <v>3426</v>
      </c>
      <c r="D1250" s="1236"/>
      <c r="E1250" s="1236"/>
      <c r="F1250" s="1344">
        <f>(1/S1250)*cnst_fish!$C$6</f>
        <v>1.5103960722494616</v>
      </c>
      <c r="G1250" s="1344">
        <f t="shared" si="182"/>
        <v>1</v>
      </c>
      <c r="H1250" s="1344">
        <f t="shared" si="182"/>
        <v>0.367192066876738</v>
      </c>
      <c r="I1250" s="1344">
        <f t="shared" si="175"/>
        <v>0</v>
      </c>
      <c r="J1250" s="902">
        <f t="shared" si="176"/>
        <v>0</v>
      </c>
      <c r="L1250" s="1460">
        <v>0</v>
      </c>
      <c r="M1250" s="1236"/>
      <c r="N1250" s="1240" t="s">
        <v>2441</v>
      </c>
      <c r="O1250" s="1241" t="s">
        <v>4840</v>
      </c>
      <c r="P1250" s="910">
        <f t="shared" si="177"/>
        <v>0</v>
      </c>
      <c r="Q1250" s="910">
        <f t="shared" si="178"/>
        <v>0</v>
      </c>
      <c r="R1250" s="1344">
        <f t="shared" si="179"/>
        <v>2.2999999999999998</v>
      </c>
      <c r="S1250" s="1344">
        <f>(1/9)*cnst_fish!$C$7*(1/cnst_fish!$C$8)^(R1250-1)</f>
        <v>2.8138314698279068</v>
      </c>
      <c r="T1250" s="1362">
        <f t="shared" si="180"/>
        <v>0</v>
      </c>
      <c r="W1250" s="1612"/>
      <c r="X1250" s="1612"/>
      <c r="Y1250" s="1613"/>
      <c r="Z1250" s="1614"/>
      <c r="AA1250" s="1614"/>
      <c r="AB1250" s="1615"/>
      <c r="AC1250" s="1615"/>
      <c r="AD1250" s="583"/>
      <c r="AE1250" s="583"/>
    </row>
    <row r="1251" spans="1:31" ht="14">
      <c r="A1251" s="1384" t="s">
        <v>6893</v>
      </c>
      <c r="B1251" s="19" t="s">
        <v>6892</v>
      </c>
      <c r="C1251" s="1383">
        <v>16518</v>
      </c>
      <c r="D1251" s="1236">
        <v>169</v>
      </c>
      <c r="E1251" s="1236"/>
      <c r="F1251" s="1344">
        <f>(1/S1251)*cnst_fish!$C$6</f>
        <v>3.0136363636363641</v>
      </c>
      <c r="G1251" s="1344">
        <f t="shared" si="182"/>
        <v>1</v>
      </c>
      <c r="H1251" s="1344">
        <f t="shared" si="182"/>
        <v>0.367192066876738</v>
      </c>
      <c r="I1251" s="1344">
        <f t="shared" si="175"/>
        <v>20.591555122891581</v>
      </c>
      <c r="J1251" s="902">
        <f t="shared" si="176"/>
        <v>0</v>
      </c>
      <c r="L1251" s="1460">
        <v>169</v>
      </c>
      <c r="M1251" s="1236"/>
      <c r="N1251" s="1240" t="s">
        <v>2441</v>
      </c>
      <c r="O1251" s="1241" t="s">
        <v>4840</v>
      </c>
      <c r="P1251" s="910">
        <f t="shared" si="177"/>
        <v>169</v>
      </c>
      <c r="Q1251" s="910">
        <f t="shared" si="178"/>
        <v>169</v>
      </c>
      <c r="R1251" s="1344">
        <f t="shared" si="179"/>
        <v>2</v>
      </c>
      <c r="S1251" s="1344">
        <f>(1/9)*cnst_fish!$C$7*(1/cnst_fish!$C$8)^(R1251-1)</f>
        <v>1.4102564102564099</v>
      </c>
      <c r="T1251" s="1362">
        <f t="shared" si="180"/>
        <v>20.591555122891581</v>
      </c>
      <c r="W1251" s="1612"/>
      <c r="X1251" s="1612"/>
      <c r="Y1251" s="1613"/>
      <c r="Z1251" s="1614"/>
      <c r="AA1251" s="1614"/>
      <c r="AB1251" s="1615"/>
      <c r="AC1251" s="1615"/>
      <c r="AD1251" s="583"/>
      <c r="AE1251" s="583"/>
    </row>
    <row r="1252" spans="1:31" ht="14">
      <c r="A1252" s="1384" t="s">
        <v>1691</v>
      </c>
      <c r="B1252" s="19" t="s">
        <v>2388</v>
      </c>
      <c r="C1252" s="1383">
        <v>2604</v>
      </c>
      <c r="D1252" s="1236"/>
      <c r="E1252" s="1236"/>
      <c r="F1252" s="1344">
        <f>(1/S1252)*cnst_fish!$C$6</f>
        <v>1.5103960722494616</v>
      </c>
      <c r="G1252" s="1344">
        <f t="shared" si="182"/>
        <v>1</v>
      </c>
      <c r="H1252" s="1344">
        <f t="shared" si="182"/>
        <v>0.367192066876738</v>
      </c>
      <c r="I1252" s="1344">
        <f t="shared" si="175"/>
        <v>0</v>
      </c>
      <c r="J1252" s="902">
        <f t="shared" si="176"/>
        <v>0</v>
      </c>
      <c r="L1252" s="1460">
        <v>7006</v>
      </c>
      <c r="M1252" s="1236"/>
      <c r="N1252" s="1240" t="s">
        <v>2441</v>
      </c>
      <c r="O1252" s="1241" t="s">
        <v>4840</v>
      </c>
      <c r="P1252" s="910">
        <f t="shared" si="177"/>
        <v>0</v>
      </c>
      <c r="Q1252" s="910">
        <f t="shared" si="178"/>
        <v>7006</v>
      </c>
      <c r="R1252" s="1344">
        <f t="shared" si="179"/>
        <v>2.2999999999999998</v>
      </c>
      <c r="S1252" s="1344">
        <f>(1/9)*cnst_fish!$C$7*(1/cnst_fish!$C$8)^(R1252-1)</f>
        <v>2.8138314698279068</v>
      </c>
      <c r="T1252" s="1362">
        <f t="shared" si="180"/>
        <v>1703.2271652475115</v>
      </c>
      <c r="W1252" s="1612"/>
      <c r="X1252" s="1612"/>
      <c r="Y1252" s="1613"/>
      <c r="Z1252" s="1614"/>
      <c r="AA1252" s="1614"/>
      <c r="AB1252" s="1615"/>
      <c r="AC1252" s="1615"/>
      <c r="AD1252" s="583"/>
      <c r="AE1252" s="583"/>
    </row>
    <row r="1253" spans="1:31" ht="14">
      <c r="A1253" s="1384" t="s">
        <v>6768</v>
      </c>
      <c r="B1253" s="19" t="s">
        <v>43</v>
      </c>
      <c r="C1253" s="1383">
        <v>19131</v>
      </c>
      <c r="D1253" s="1236"/>
      <c r="E1253" s="1236"/>
      <c r="F1253" s="1344">
        <f>(1/S1253)*cnst_fish!$C$6</f>
        <v>0.52370997702765276</v>
      </c>
      <c r="G1253" s="1344">
        <f t="shared" si="182"/>
        <v>1</v>
      </c>
      <c r="H1253" s="1344">
        <f t="shared" si="182"/>
        <v>0.367192066876738</v>
      </c>
      <c r="I1253" s="1344">
        <f t="shared" si="175"/>
        <v>0</v>
      </c>
      <c r="J1253" s="902">
        <f t="shared" si="176"/>
        <v>0</v>
      </c>
      <c r="L1253" s="1460"/>
      <c r="M1253" s="1236">
        <v>16812</v>
      </c>
      <c r="N1253" s="1240" t="s">
        <v>1806</v>
      </c>
      <c r="O1253" s="1241" t="s">
        <v>4845</v>
      </c>
      <c r="P1253" s="910">
        <f t="shared" si="177"/>
        <v>0</v>
      </c>
      <c r="Q1253" s="910">
        <f t="shared" si="178"/>
        <v>16812</v>
      </c>
      <c r="R1253" s="1344">
        <f t="shared" si="179"/>
        <v>2.76</v>
      </c>
      <c r="S1253" s="1344">
        <f>(1/9)*cnst_fish!$C$7*(1/cnst_fish!$C$8)^(R1253-1)</f>
        <v>8.1151786034727245</v>
      </c>
      <c r="T1253" s="1362">
        <f t="shared" si="180"/>
        <v>11787.503196651458</v>
      </c>
      <c r="W1253" s="1612"/>
      <c r="X1253" s="1612"/>
      <c r="Y1253" s="1613"/>
      <c r="Z1253" s="1614"/>
      <c r="AA1253" s="1614"/>
      <c r="AB1253" s="1615"/>
      <c r="AC1253" s="1615"/>
      <c r="AD1253" s="583"/>
      <c r="AE1253" s="583"/>
    </row>
    <row r="1254" spans="1:31" ht="14">
      <c r="A1254" s="1384" t="s">
        <v>3299</v>
      </c>
      <c r="B1254" s="19" t="s">
        <v>3321</v>
      </c>
      <c r="C1254" s="1383">
        <v>2192</v>
      </c>
      <c r="D1254" s="1236"/>
      <c r="E1254" s="1236"/>
      <c r="F1254" s="1344">
        <f>(1/S1254)*cnst_fish!$C$6</f>
        <v>0.13154999853419541</v>
      </c>
      <c r="G1254" s="1344">
        <f t="shared" si="182"/>
        <v>1</v>
      </c>
      <c r="H1254" s="1344">
        <f t="shared" si="182"/>
        <v>0.367192066876738</v>
      </c>
      <c r="I1254" s="1344">
        <f t="shared" si="175"/>
        <v>0</v>
      </c>
      <c r="J1254" s="902">
        <f t="shared" si="176"/>
        <v>0</v>
      </c>
      <c r="L1254" s="1460"/>
      <c r="M1254" s="1236">
        <v>6031</v>
      </c>
      <c r="N1254" s="1240" t="s">
        <v>1806</v>
      </c>
      <c r="O1254" s="1241" t="s">
        <v>4845</v>
      </c>
      <c r="P1254" s="910">
        <f t="shared" si="177"/>
        <v>0</v>
      </c>
      <c r="Q1254" s="910">
        <f t="shared" si="178"/>
        <v>6031</v>
      </c>
      <c r="R1254" s="1344">
        <f t="shared" si="179"/>
        <v>3.36</v>
      </c>
      <c r="S1254" s="1344">
        <f>(1/9)*cnst_fish!$C$7*(1/cnst_fish!$C$8)^(R1254-1)</f>
        <v>32.307107923648097</v>
      </c>
      <c r="T1254" s="1362">
        <f t="shared" si="180"/>
        <v>16834.172405999347</v>
      </c>
      <c r="W1254" s="1612"/>
      <c r="X1254" s="1612"/>
      <c r="Y1254" s="1613"/>
      <c r="Z1254" s="1614"/>
      <c r="AA1254" s="1614"/>
      <c r="AB1254" s="1615"/>
      <c r="AC1254" s="1615"/>
      <c r="AD1254" s="583"/>
      <c r="AE1254" s="583"/>
    </row>
    <row r="1255" spans="1:31" ht="14">
      <c r="A1255" s="1384" t="s">
        <v>2814</v>
      </c>
      <c r="B1255" s="19" t="s">
        <v>4077</v>
      </c>
      <c r="C1255" s="1383">
        <v>3554</v>
      </c>
      <c r="D1255" s="1236">
        <v>4467</v>
      </c>
      <c r="E1255" s="1236"/>
      <c r="F1255" s="1344">
        <f>(1/S1255)*cnst_fish!$C$6</f>
        <v>2.3938164528281742</v>
      </c>
      <c r="G1255" s="1344">
        <f t="shared" si="182"/>
        <v>1</v>
      </c>
      <c r="H1255" s="1344">
        <f t="shared" si="182"/>
        <v>0.367192066876738</v>
      </c>
      <c r="I1255" s="1344">
        <f t="shared" si="175"/>
        <v>685.20164142096985</v>
      </c>
      <c r="J1255" s="902">
        <f t="shared" si="176"/>
        <v>0</v>
      </c>
      <c r="L1255" s="1460">
        <v>5813</v>
      </c>
      <c r="M1255" s="1236"/>
      <c r="N1255" s="1240" t="s">
        <v>1804</v>
      </c>
      <c r="O1255" s="1241" t="s">
        <v>4851</v>
      </c>
      <c r="P1255" s="910">
        <f t="shared" si="177"/>
        <v>4467</v>
      </c>
      <c r="Q1255" s="910">
        <f t="shared" si="178"/>
        <v>5813</v>
      </c>
      <c r="R1255" s="1344">
        <f t="shared" si="179"/>
        <v>2.1</v>
      </c>
      <c r="S1255" s="1344">
        <f>(1/9)*cnst_fish!$C$7*(1/cnst_fish!$C$8)^(R1255-1)</f>
        <v>1.7754076320174161</v>
      </c>
      <c r="T1255" s="1362">
        <f t="shared" si="180"/>
        <v>891.66714608911968</v>
      </c>
      <c r="W1255" s="1612"/>
      <c r="X1255" s="1612"/>
      <c r="Y1255" s="1613"/>
      <c r="Z1255" s="1614"/>
      <c r="AA1255" s="1614"/>
      <c r="AB1255" s="1615"/>
      <c r="AC1255" s="1615"/>
      <c r="AD1255" s="583"/>
      <c r="AE1255" s="583"/>
    </row>
    <row r="1256" spans="1:31" ht="14">
      <c r="A1256" s="1384" t="s">
        <v>839</v>
      </c>
      <c r="B1256" s="19" t="s">
        <v>4982</v>
      </c>
      <c r="C1256" s="1383">
        <v>3445</v>
      </c>
      <c r="D1256" s="1236">
        <v>2452</v>
      </c>
      <c r="E1256" s="1236"/>
      <c r="F1256" s="1344">
        <f>(1/S1256)*cnst_fish!$C$6</f>
        <v>0.19014759972289441</v>
      </c>
      <c r="G1256" s="1344">
        <f t="shared" si="182"/>
        <v>1</v>
      </c>
      <c r="H1256" s="1344">
        <f t="shared" si="182"/>
        <v>0.367192066876738</v>
      </c>
      <c r="I1256" s="1344">
        <f t="shared" si="175"/>
        <v>4735.0318873015767</v>
      </c>
      <c r="J1256" s="902">
        <f t="shared" si="176"/>
        <v>0</v>
      </c>
      <c r="L1256" s="1460">
        <v>34940</v>
      </c>
      <c r="M1256" s="1236"/>
      <c r="N1256" s="1240" t="s">
        <v>2431</v>
      </c>
      <c r="O1256" s="1241" t="s">
        <v>4840</v>
      </c>
      <c r="P1256" s="910">
        <f t="shared" si="177"/>
        <v>2452</v>
      </c>
      <c r="Q1256" s="910">
        <f t="shared" si="178"/>
        <v>34940</v>
      </c>
      <c r="R1256" s="1344">
        <f t="shared" si="179"/>
        <v>3.2</v>
      </c>
      <c r="S1256" s="1344">
        <f>(1/9)*cnst_fish!$C$7*(1/cnst_fish!$C$8)^(R1256-1)</f>
        <v>22.351057842400341</v>
      </c>
      <c r="T1256" s="1362">
        <f t="shared" si="180"/>
        <v>67472.27330437077</v>
      </c>
      <c r="W1256" s="1612"/>
      <c r="X1256" s="1612"/>
      <c r="Y1256" s="1613"/>
      <c r="Z1256" s="1614"/>
      <c r="AA1256" s="1614"/>
      <c r="AB1256" s="1615"/>
      <c r="AC1256" s="1615"/>
      <c r="AD1256" s="583"/>
      <c r="AE1256" s="583"/>
    </row>
    <row r="1257" spans="1:31" ht="14">
      <c r="A1257" s="1384" t="s">
        <v>3088</v>
      </c>
      <c r="B1257" s="19" t="s">
        <v>4983</v>
      </c>
      <c r="C1257" s="1383">
        <v>2616</v>
      </c>
      <c r="D1257" s="1236"/>
      <c r="E1257" s="1236"/>
      <c r="F1257" s="1344">
        <f>(1/S1257)*cnst_fish!$C$6</f>
        <v>0.75699122913220485</v>
      </c>
      <c r="G1257" s="1344">
        <f t="shared" si="182"/>
        <v>1</v>
      </c>
      <c r="H1257" s="1344">
        <f t="shared" si="182"/>
        <v>0.367192066876738</v>
      </c>
      <c r="I1257" s="1344">
        <f t="shared" si="175"/>
        <v>0</v>
      </c>
      <c r="J1257" s="902">
        <f t="shared" si="176"/>
        <v>0</v>
      </c>
      <c r="L1257" s="1460">
        <v>7379</v>
      </c>
      <c r="M1257" s="1236"/>
      <c r="N1257" s="1240" t="s">
        <v>2431</v>
      </c>
      <c r="O1257" s="1241" t="s">
        <v>4840</v>
      </c>
      <c r="P1257" s="910">
        <f t="shared" si="177"/>
        <v>0</v>
      </c>
      <c r="Q1257" s="910">
        <f t="shared" si="178"/>
        <v>7379</v>
      </c>
      <c r="R1257" s="1344">
        <f t="shared" si="179"/>
        <v>2.6</v>
      </c>
      <c r="S1257" s="1344">
        <f>(1/9)*cnst_fish!$C$7*(1/cnst_fish!$C$8)^(R1257-1)</f>
        <v>5.6143318924211183</v>
      </c>
      <c r="T1257" s="1362">
        <f t="shared" si="180"/>
        <v>3579.3152644444276</v>
      </c>
      <c r="W1257" s="1612"/>
      <c r="X1257" s="1612"/>
      <c r="Y1257" s="1613"/>
      <c r="Z1257" s="1614"/>
      <c r="AA1257" s="1614"/>
      <c r="AB1257" s="1615"/>
      <c r="AC1257" s="1615"/>
      <c r="AD1257" s="583"/>
      <c r="AE1257" s="583"/>
    </row>
    <row r="1258" spans="1:31" ht="14">
      <c r="A1258" s="1384" t="s">
        <v>2777</v>
      </c>
      <c r="B1258" s="19" t="s">
        <v>3510</v>
      </c>
      <c r="C1258" s="1383">
        <v>16234</v>
      </c>
      <c r="D1258" s="1236"/>
      <c r="E1258" s="1236"/>
      <c r="F1258" s="1344">
        <f>(1/S1258)*cnst_fish!$C$6</f>
        <v>0.3314045734418738</v>
      </c>
      <c r="G1258" s="1344">
        <f t="shared" si="182"/>
        <v>1</v>
      </c>
      <c r="H1258" s="1344">
        <f t="shared" si="182"/>
        <v>0.367192066876738</v>
      </c>
      <c r="I1258" s="1344">
        <f t="shared" si="175"/>
        <v>0</v>
      </c>
      <c r="J1258" s="902">
        <f t="shared" si="176"/>
        <v>0</v>
      </c>
      <c r="L1258" s="1460">
        <v>219</v>
      </c>
      <c r="M1258" s="1236"/>
      <c r="N1258" s="1240" t="s">
        <v>3932</v>
      </c>
      <c r="O1258" s="1241" t="s">
        <v>4840</v>
      </c>
      <c r="P1258" s="910">
        <f t="shared" si="177"/>
        <v>0</v>
      </c>
      <c r="Q1258" s="910">
        <f t="shared" si="178"/>
        <v>219</v>
      </c>
      <c r="R1258" s="1344">
        <f t="shared" si="179"/>
        <v>2.9587323501170402</v>
      </c>
      <c r="S1258" s="1344">
        <f>(1/9)*cnst_fish!$C$7*(1/cnst_fish!$C$8)^(R1258-1)</f>
        <v>12.824204433453367</v>
      </c>
      <c r="T1258" s="1362">
        <f t="shared" si="180"/>
        <v>242.64922421207896</v>
      </c>
      <c r="W1258" s="1612"/>
      <c r="X1258" s="1612"/>
      <c r="Y1258" s="1613"/>
      <c r="Z1258" s="1614"/>
      <c r="AA1258" s="1614"/>
      <c r="AB1258" s="1615"/>
      <c r="AC1258" s="1615"/>
      <c r="AD1258" s="583"/>
      <c r="AE1258" s="583"/>
    </row>
    <row r="1259" spans="1:31" ht="14">
      <c r="A1259" s="1384" t="s">
        <v>4874</v>
      </c>
      <c r="B1259" s="19" t="s">
        <v>3511</v>
      </c>
      <c r="C1259" s="1383">
        <v>3446</v>
      </c>
      <c r="D1259" s="1236"/>
      <c r="E1259" s="1236"/>
      <c r="F1259" s="1344">
        <f>(1/S1259)*cnst_fish!$C$6</f>
        <v>0.19014759972289441</v>
      </c>
      <c r="G1259" s="1344">
        <f t="shared" si="182"/>
        <v>1</v>
      </c>
      <c r="H1259" s="1344">
        <f t="shared" si="182"/>
        <v>0.367192066876738</v>
      </c>
      <c r="I1259" s="1344">
        <f t="shared" si="175"/>
        <v>0</v>
      </c>
      <c r="J1259" s="902">
        <f t="shared" si="176"/>
        <v>0</v>
      </c>
      <c r="L1259" s="1460">
        <v>200</v>
      </c>
      <c r="M1259" s="1236"/>
      <c r="N1259" s="1240" t="s">
        <v>2431</v>
      </c>
      <c r="O1259" s="1241" t="s">
        <v>4840</v>
      </c>
      <c r="P1259" s="910">
        <f t="shared" si="177"/>
        <v>0</v>
      </c>
      <c r="Q1259" s="910">
        <f t="shared" si="178"/>
        <v>200</v>
      </c>
      <c r="R1259" s="1344">
        <f t="shared" si="179"/>
        <v>3.2</v>
      </c>
      <c r="S1259" s="1344">
        <f>(1/9)*cnst_fish!$C$7*(1/cnst_fish!$C$8)^(R1259-1)</f>
        <v>22.351057842400341</v>
      </c>
      <c r="T1259" s="1362">
        <f t="shared" si="180"/>
        <v>386.21793534270608</v>
      </c>
      <c r="W1259" s="1612"/>
      <c r="X1259" s="1612"/>
      <c r="Y1259" s="1613"/>
      <c r="Z1259" s="1614"/>
      <c r="AA1259" s="1614"/>
      <c r="AB1259" s="1615"/>
      <c r="AC1259" s="1615"/>
      <c r="AD1259" s="583"/>
      <c r="AE1259" s="583"/>
    </row>
    <row r="1260" spans="1:31" ht="14">
      <c r="A1260" s="1384" t="s">
        <v>4610</v>
      </c>
      <c r="B1260" s="19" t="s">
        <v>4565</v>
      </c>
      <c r="C1260" s="1383">
        <v>2614</v>
      </c>
      <c r="D1260" s="1236"/>
      <c r="E1260" s="1236"/>
      <c r="F1260" s="1344">
        <f>(1/S1260)*cnst_fish!$C$6</f>
        <v>0.75699122913220485</v>
      </c>
      <c r="G1260" s="1344">
        <f t="shared" si="182"/>
        <v>1</v>
      </c>
      <c r="H1260" s="1344">
        <f t="shared" si="182"/>
        <v>0.367192066876738</v>
      </c>
      <c r="I1260" s="1344">
        <f t="shared" si="175"/>
        <v>0</v>
      </c>
      <c r="J1260" s="902">
        <f t="shared" si="176"/>
        <v>0</v>
      </c>
      <c r="L1260" s="1460">
        <v>1907</v>
      </c>
      <c r="M1260" s="1236"/>
      <c r="N1260" s="1240" t="s">
        <v>2431</v>
      </c>
      <c r="O1260" s="1241" t="s">
        <v>4840</v>
      </c>
      <c r="P1260" s="910">
        <f t="shared" si="177"/>
        <v>0</v>
      </c>
      <c r="Q1260" s="910">
        <f t="shared" si="178"/>
        <v>1907</v>
      </c>
      <c r="R1260" s="1344">
        <f t="shared" si="179"/>
        <v>2.6</v>
      </c>
      <c r="S1260" s="1344">
        <f>(1/9)*cnst_fish!$C$7*(1/cnst_fish!$C$8)^(R1260-1)</f>
        <v>5.6143318924211183</v>
      </c>
      <c r="T1260" s="1362">
        <f t="shared" si="180"/>
        <v>925.02428639321363</v>
      </c>
      <c r="W1260" s="1612"/>
      <c r="X1260" s="1612"/>
      <c r="Y1260" s="1613"/>
      <c r="Z1260" s="1614"/>
      <c r="AA1260" s="1614"/>
      <c r="AB1260" s="1615"/>
      <c r="AC1260" s="1615"/>
      <c r="AD1260" s="583"/>
      <c r="AE1260" s="583"/>
    </row>
    <row r="1261" spans="1:31" ht="14">
      <c r="A1261" s="1384" t="s">
        <v>6759</v>
      </c>
      <c r="B1261" s="19" t="s">
        <v>6758</v>
      </c>
      <c r="C1261" s="1383">
        <v>16299</v>
      </c>
      <c r="D1261" s="1236"/>
      <c r="E1261" s="1236"/>
      <c r="F1261" s="1344">
        <f>(1/S1261)*cnst_fish!$C$6</f>
        <v>3.0136363636363641</v>
      </c>
      <c r="G1261" s="1344">
        <f t="shared" si="182"/>
        <v>1</v>
      </c>
      <c r="H1261" s="1344">
        <f t="shared" si="182"/>
        <v>0.367192066876738</v>
      </c>
      <c r="I1261" s="1344">
        <f t="shared" si="175"/>
        <v>0</v>
      </c>
      <c r="J1261" s="902">
        <f t="shared" si="176"/>
        <v>0</v>
      </c>
      <c r="L1261" s="1460">
        <v>497</v>
      </c>
      <c r="M1261" s="1236"/>
      <c r="N1261" s="1240" t="s">
        <v>2431</v>
      </c>
      <c r="O1261" s="1241" t="s">
        <v>4840</v>
      </c>
      <c r="P1261" s="910">
        <f t="shared" si="177"/>
        <v>0</v>
      </c>
      <c r="Q1261" s="910">
        <f t="shared" si="178"/>
        <v>497</v>
      </c>
      <c r="R1261" s="1344">
        <f t="shared" si="179"/>
        <v>2</v>
      </c>
      <c r="S1261" s="1344">
        <f>(1/9)*cnst_fish!$C$7*(1/cnst_fish!$C$8)^(R1261-1)</f>
        <v>1.4102564102564099</v>
      </c>
      <c r="T1261" s="1362">
        <f t="shared" si="180"/>
        <v>60.556230154302455</v>
      </c>
      <c r="W1261" s="1612"/>
      <c r="X1261" s="1612"/>
      <c r="Y1261" s="1613"/>
      <c r="Z1261" s="1614"/>
      <c r="AA1261" s="1614"/>
      <c r="AB1261" s="1615"/>
      <c r="AC1261" s="1615"/>
      <c r="AD1261" s="583"/>
      <c r="AE1261" s="583"/>
    </row>
    <row r="1262" spans="1:31" ht="14">
      <c r="A1262" s="1384" t="s">
        <v>3281</v>
      </c>
      <c r="B1262" s="19" t="s">
        <v>4566</v>
      </c>
      <c r="C1262" s="1383">
        <v>3443</v>
      </c>
      <c r="D1262" s="1236">
        <v>351</v>
      </c>
      <c r="E1262" s="1236"/>
      <c r="F1262" s="1344">
        <f>(1/S1262)*cnst_fish!$C$6</f>
        <v>0.47762917572805397</v>
      </c>
      <c r="G1262" s="1344">
        <f t="shared" si="182"/>
        <v>1</v>
      </c>
      <c r="H1262" s="1344">
        <f t="shared" si="182"/>
        <v>0.367192066876738</v>
      </c>
      <c r="I1262" s="1344">
        <f t="shared" si="175"/>
        <v>269.84200719580309</v>
      </c>
      <c r="J1262" s="902">
        <f t="shared" si="176"/>
        <v>0</v>
      </c>
      <c r="L1262" s="1460">
        <v>31793</v>
      </c>
      <c r="M1262" s="1236"/>
      <c r="N1262" s="1240" t="s">
        <v>2431</v>
      </c>
      <c r="O1262" s="1241" t="s">
        <v>4840</v>
      </c>
      <c r="P1262" s="910">
        <f t="shared" si="177"/>
        <v>351</v>
      </c>
      <c r="Q1262" s="910">
        <f t="shared" si="178"/>
        <v>31793</v>
      </c>
      <c r="R1262" s="1344">
        <f t="shared" si="179"/>
        <v>2.8</v>
      </c>
      <c r="S1262" s="1344">
        <f>(1/9)*cnst_fish!$C$7*(1/cnst_fish!$C$8)^(R1262-1)</f>
        <v>8.8981163965155421</v>
      </c>
      <c r="T1262" s="1362">
        <f t="shared" si="180"/>
        <v>24441.843119020421</v>
      </c>
      <c r="W1262" s="1612"/>
      <c r="X1262" s="1612"/>
      <c r="Y1262" s="1613"/>
      <c r="Z1262" s="1614"/>
      <c r="AA1262" s="1614"/>
      <c r="AB1262" s="1615"/>
      <c r="AC1262" s="1615"/>
      <c r="AD1262" s="583"/>
      <c r="AE1262" s="583"/>
    </row>
    <row r="1263" spans="1:31" ht="14">
      <c r="A1263" s="1384" t="s">
        <v>5703</v>
      </c>
      <c r="B1263" s="19" t="s">
        <v>4078</v>
      </c>
      <c r="C1263" s="1383">
        <v>3545</v>
      </c>
      <c r="D1263" s="1236"/>
      <c r="E1263" s="1236"/>
      <c r="F1263" s="1344">
        <f>(1/S1263)*cnst_fish!$C$6</f>
        <v>2.3938164528281742</v>
      </c>
      <c r="G1263" s="1344">
        <f t="shared" si="182"/>
        <v>1</v>
      </c>
      <c r="H1263" s="1344">
        <f t="shared" si="182"/>
        <v>0.367192066876738</v>
      </c>
      <c r="I1263" s="1344">
        <f t="shared" si="175"/>
        <v>0</v>
      </c>
      <c r="J1263" s="902">
        <f t="shared" si="176"/>
        <v>0</v>
      </c>
      <c r="L1263" s="1460">
        <v>12428</v>
      </c>
      <c r="M1263" s="1236"/>
      <c r="N1263" s="1240" t="s">
        <v>1804</v>
      </c>
      <c r="O1263" s="1241" t="s">
        <v>4851</v>
      </c>
      <c r="P1263" s="910">
        <f t="shared" si="177"/>
        <v>0</v>
      </c>
      <c r="Q1263" s="910">
        <f t="shared" si="178"/>
        <v>12428</v>
      </c>
      <c r="R1263" s="1344">
        <f t="shared" si="179"/>
        <v>2.1</v>
      </c>
      <c r="S1263" s="1344">
        <f>(1/9)*cnst_fish!$C$7*(1/cnst_fish!$C$8)^(R1263-1)</f>
        <v>1.7754076320174161</v>
      </c>
      <c r="T1263" s="1362">
        <f t="shared" si="180"/>
        <v>1906.3546003088902</v>
      </c>
      <c r="W1263" s="1612"/>
      <c r="X1263" s="1612"/>
      <c r="Y1263" s="1613"/>
      <c r="Z1263" s="1614"/>
      <c r="AA1263" s="1614"/>
      <c r="AB1263" s="1615"/>
      <c r="AC1263" s="1615"/>
      <c r="AD1263" s="583"/>
      <c r="AE1263" s="583"/>
    </row>
    <row r="1264" spans="1:31" ht="14">
      <c r="A1264" s="1384" t="s">
        <v>3624</v>
      </c>
      <c r="B1264" s="19" t="s">
        <v>4079</v>
      </c>
      <c r="C1264" s="1383">
        <v>17386</v>
      </c>
      <c r="D1264" s="1236"/>
      <c r="E1264" s="1236"/>
      <c r="F1264" s="1344">
        <f>(1/S1264)*cnst_fish!$C$6</f>
        <v>2.6141530827766903</v>
      </c>
      <c r="G1264" s="1344">
        <f t="shared" si="182"/>
        <v>1</v>
      </c>
      <c r="H1264" s="1344">
        <f t="shared" si="182"/>
        <v>0.367192066876738</v>
      </c>
      <c r="I1264" s="1344">
        <f t="shared" si="175"/>
        <v>0</v>
      </c>
      <c r="J1264" s="902">
        <f t="shared" si="176"/>
        <v>0</v>
      </c>
      <c r="L1264" s="1460">
        <v>491</v>
      </c>
      <c r="M1264" s="1236"/>
      <c r="N1264" s="1240" t="s">
        <v>1804</v>
      </c>
      <c r="O1264" s="1241" t="s">
        <v>4851</v>
      </c>
      <c r="P1264" s="910">
        <f t="shared" si="177"/>
        <v>0</v>
      </c>
      <c r="Q1264" s="910">
        <f t="shared" si="178"/>
        <v>491</v>
      </c>
      <c r="R1264" s="1344">
        <f t="shared" si="179"/>
        <v>2.0617598316454031</v>
      </c>
      <c r="S1264" s="1344">
        <f>(1/9)*cnst_fish!$C$7*(1/cnst_fish!$C$8)^(R1264-1)</f>
        <v>1.6257655406644176</v>
      </c>
      <c r="T1264" s="1362">
        <f t="shared" si="180"/>
        <v>68.967386043428377</v>
      </c>
      <c r="W1264" s="1612"/>
      <c r="X1264" s="1612"/>
      <c r="Y1264" s="1613"/>
      <c r="Z1264" s="1614"/>
      <c r="AA1264" s="1614"/>
      <c r="AB1264" s="1615"/>
      <c r="AC1264" s="1615"/>
      <c r="AD1264" s="583"/>
      <c r="AE1264" s="583"/>
    </row>
    <row r="1265" spans="1:31" ht="14">
      <c r="A1265" s="1384" t="s">
        <v>4398</v>
      </c>
      <c r="B1265" s="19" t="s">
        <v>6812</v>
      </c>
      <c r="C1265" s="1383">
        <v>14054</v>
      </c>
      <c r="D1265" s="1236"/>
      <c r="E1265" s="1236"/>
      <c r="F1265" s="1344">
        <f>(1/S1265)*cnst_fish!$C$6</f>
        <v>7.5699122913220479E-2</v>
      </c>
      <c r="G1265" s="1344">
        <f t="shared" si="182"/>
        <v>1</v>
      </c>
      <c r="H1265" s="1344">
        <f t="shared" si="182"/>
        <v>0.367192066876738</v>
      </c>
      <c r="I1265" s="1344">
        <f t="shared" si="175"/>
        <v>0</v>
      </c>
      <c r="J1265" s="902">
        <f t="shared" si="176"/>
        <v>0</v>
      </c>
      <c r="L1265" s="1460"/>
      <c r="M1265" s="1236">
        <v>10</v>
      </c>
      <c r="N1265" s="1240" t="s">
        <v>1806</v>
      </c>
      <c r="O1265" s="1241" t="s">
        <v>4845</v>
      </c>
      <c r="P1265" s="910">
        <f t="shared" si="177"/>
        <v>0</v>
      </c>
      <c r="Q1265" s="910">
        <f t="shared" si="178"/>
        <v>10</v>
      </c>
      <c r="R1265" s="1344">
        <f t="shared" si="179"/>
        <v>3.6</v>
      </c>
      <c r="S1265" s="1344">
        <f>(1/9)*cnst_fish!$C$7*(1/cnst_fish!$C$8)^(R1265-1)</f>
        <v>56.143318924211187</v>
      </c>
      <c r="T1265" s="1362">
        <f t="shared" si="180"/>
        <v>48.506779569649375</v>
      </c>
      <c r="W1265" s="1612"/>
      <c r="X1265" s="1612"/>
      <c r="Y1265" s="1613"/>
      <c r="Z1265" s="1614"/>
      <c r="AA1265" s="1614"/>
      <c r="AB1265" s="1615"/>
      <c r="AC1265" s="1615"/>
      <c r="AD1265" s="583"/>
      <c r="AE1265" s="583"/>
    </row>
    <row r="1266" spans="1:31" ht="14">
      <c r="A1266" s="1384" t="s">
        <v>726</v>
      </c>
      <c r="B1266" s="19" t="s">
        <v>847</v>
      </c>
      <c r="C1266" s="1383">
        <v>2768</v>
      </c>
      <c r="D1266" s="1236"/>
      <c r="E1266" s="1236"/>
      <c r="F1266" s="1344">
        <f>(1/S1266)*cnst_fish!$C$6</f>
        <v>1.5103960722494616</v>
      </c>
      <c r="G1266" s="1344">
        <f t="shared" si="182"/>
        <v>1</v>
      </c>
      <c r="H1266" s="1344">
        <f t="shared" si="182"/>
        <v>0.367192066876738</v>
      </c>
      <c r="I1266" s="1344">
        <f t="shared" si="175"/>
        <v>0</v>
      </c>
      <c r="J1266" s="902">
        <f t="shared" si="176"/>
        <v>0</v>
      </c>
      <c r="L1266" s="1460">
        <v>110</v>
      </c>
      <c r="M1266" s="1236"/>
      <c r="N1266" s="1240" t="s">
        <v>1804</v>
      </c>
      <c r="O1266" s="1241" t="s">
        <v>4851</v>
      </c>
      <c r="P1266" s="910">
        <f t="shared" si="177"/>
        <v>0</v>
      </c>
      <c r="Q1266" s="910">
        <f t="shared" si="178"/>
        <v>110</v>
      </c>
      <c r="R1266" s="1344">
        <f t="shared" si="179"/>
        <v>2.2999999999999998</v>
      </c>
      <c r="S1266" s="1344">
        <f>(1/9)*cnst_fish!$C$7*(1/cnst_fish!$C$8)^(R1266-1)</f>
        <v>2.8138314698279068</v>
      </c>
      <c r="T1266" s="1362">
        <f t="shared" si="180"/>
        <v>26.742076531148484</v>
      </c>
      <c r="W1266" s="1612"/>
      <c r="X1266" s="1612"/>
      <c r="Y1266" s="1613"/>
      <c r="Z1266" s="1614"/>
      <c r="AA1266" s="1614"/>
      <c r="AB1266" s="1615"/>
      <c r="AC1266" s="1615"/>
      <c r="AD1266" s="583"/>
      <c r="AE1266" s="583"/>
    </row>
    <row r="1267" spans="1:31" ht="14">
      <c r="A1267" s="1384" t="s">
        <v>6769</v>
      </c>
      <c r="B1267" s="19" t="s">
        <v>5678</v>
      </c>
      <c r="C1267" s="1383">
        <v>2448</v>
      </c>
      <c r="D1267" s="1236"/>
      <c r="E1267" s="1236"/>
      <c r="F1267" s="1344">
        <f>(1/S1267)*cnst_fish!$C$6</f>
        <v>2.7484690295134888E-2</v>
      </c>
      <c r="G1267" s="1344">
        <f t="shared" si="182"/>
        <v>1</v>
      </c>
      <c r="H1267" s="1344">
        <f t="shared" si="182"/>
        <v>0.367192066876738</v>
      </c>
      <c r="I1267" s="1344">
        <f t="shared" si="175"/>
        <v>0</v>
      </c>
      <c r="J1267" s="902">
        <f t="shared" si="176"/>
        <v>0</v>
      </c>
      <c r="L1267" s="1460">
        <v>0</v>
      </c>
      <c r="M1267" s="1236"/>
      <c r="N1267" s="1240" t="s">
        <v>1806</v>
      </c>
      <c r="O1267" s="1241" t="s">
        <v>4841</v>
      </c>
      <c r="P1267" s="910">
        <f t="shared" si="177"/>
        <v>0</v>
      </c>
      <c r="Q1267" s="910">
        <f t="shared" si="178"/>
        <v>0</v>
      </c>
      <c r="R1267" s="1344">
        <f t="shared" si="179"/>
        <v>4.04</v>
      </c>
      <c r="S1267" s="1344">
        <f>(1/9)*cnst_fish!$C$7*(1/cnst_fish!$C$8)^(R1267-1)</f>
        <v>154.63154048173138</v>
      </c>
      <c r="T1267" s="1362">
        <f t="shared" si="180"/>
        <v>0</v>
      </c>
      <c r="W1267" s="1612"/>
      <c r="X1267" s="1612"/>
      <c r="Y1267" s="1613"/>
      <c r="Z1267" s="1614"/>
      <c r="AA1267" s="1614"/>
      <c r="AB1267" s="1615"/>
      <c r="AC1267" s="1615"/>
      <c r="AD1267" s="583"/>
      <c r="AE1267" s="583"/>
    </row>
    <row r="1268" spans="1:31" ht="14">
      <c r="A1268" s="1585" t="s">
        <v>8559</v>
      </c>
      <c r="B1268" s="1586" t="s">
        <v>8560</v>
      </c>
      <c r="C1268" s="1383">
        <v>20347</v>
      </c>
      <c r="D1268" s="1236"/>
      <c r="E1268" s="1236"/>
      <c r="F1268" s="1344">
        <f>(1/S1268)*cnst_fish!$C$6</f>
        <v>0.11997502458044032</v>
      </c>
      <c r="G1268" s="1344">
        <f t="shared" ref="G1268:H1287" si="183">G$7</f>
        <v>1</v>
      </c>
      <c r="H1268" s="1344">
        <f t="shared" si="183"/>
        <v>0.367192066876738</v>
      </c>
      <c r="I1268" s="1344">
        <f t="shared" si="175"/>
        <v>0</v>
      </c>
      <c r="J1268" s="902">
        <f t="shared" si="176"/>
        <v>0</v>
      </c>
      <c r="L1268" s="1460"/>
      <c r="M1268" s="1236"/>
      <c r="N1268" s="1240" t="s">
        <v>1806</v>
      </c>
      <c r="O1268" s="1241" t="s">
        <v>4845</v>
      </c>
      <c r="P1268" s="910">
        <f t="shared" si="177"/>
        <v>0</v>
      </c>
      <c r="Q1268" s="910">
        <f t="shared" si="178"/>
        <v>0</v>
      </c>
      <c r="R1268" s="1344">
        <f t="shared" si="179"/>
        <v>3.4</v>
      </c>
      <c r="S1268" s="1344">
        <f>(1/9)*cnst_fish!$C$7*(1/cnst_fish!$C$8)^(R1268-1)</f>
        <v>35.424039418724846</v>
      </c>
      <c r="T1268" s="1362">
        <f t="shared" si="180"/>
        <v>0</v>
      </c>
      <c r="W1268" s="1616"/>
      <c r="X1268" s="1616"/>
      <c r="Y1268" s="1613"/>
      <c r="Z1268" s="1614"/>
      <c r="AA1268" s="1614"/>
      <c r="AB1268" s="1615"/>
      <c r="AC1268" s="1615"/>
      <c r="AD1268" s="583"/>
      <c r="AE1268" s="583"/>
    </row>
    <row r="1269" spans="1:31" ht="14">
      <c r="A1269" s="1384" t="s">
        <v>6434</v>
      </c>
      <c r="B1269" s="19" t="s">
        <v>6433</v>
      </c>
      <c r="C1269" s="1383">
        <v>14093</v>
      </c>
      <c r="D1269" s="1236"/>
      <c r="E1269" s="1236"/>
      <c r="F1269" s="1344">
        <f>(1/S1269)*cnst_fish!$C$6</f>
        <v>3.0136363636363641</v>
      </c>
      <c r="G1269" s="1344">
        <f t="shared" si="183"/>
        <v>1</v>
      </c>
      <c r="H1269" s="1344">
        <f t="shared" si="183"/>
        <v>0.367192066876738</v>
      </c>
      <c r="I1269" s="1344">
        <f t="shared" si="175"/>
        <v>0</v>
      </c>
      <c r="J1269" s="902">
        <f t="shared" si="176"/>
        <v>0</v>
      </c>
      <c r="L1269" s="1460">
        <v>1</v>
      </c>
      <c r="M1269" s="1236"/>
      <c r="N1269" s="1240" t="s">
        <v>3927</v>
      </c>
      <c r="O1269" s="1241" t="s">
        <v>4841</v>
      </c>
      <c r="P1269" s="910">
        <f t="shared" si="177"/>
        <v>0</v>
      </c>
      <c r="Q1269" s="910">
        <f t="shared" si="178"/>
        <v>1</v>
      </c>
      <c r="R1269" s="1344">
        <f t="shared" si="179"/>
        <v>2</v>
      </c>
      <c r="S1269" s="1344">
        <f>(1/9)*cnst_fish!$C$7*(1/cnst_fish!$C$8)^(R1269-1)</f>
        <v>1.4102564102564099</v>
      </c>
      <c r="T1269" s="1362">
        <f t="shared" si="180"/>
        <v>0.12184352143722826</v>
      </c>
      <c r="W1269" s="1612"/>
      <c r="X1269" s="1612"/>
      <c r="Y1269" s="1613"/>
      <c r="Z1269" s="1614"/>
      <c r="AA1269" s="1614"/>
      <c r="AB1269" s="1615"/>
      <c r="AC1269" s="1615"/>
      <c r="AD1269" s="583"/>
      <c r="AE1269" s="583"/>
    </row>
    <row r="1270" spans="1:31" ht="14">
      <c r="A1270" s="1585" t="s">
        <v>8561</v>
      </c>
      <c r="B1270" s="1586" t="s">
        <v>8562</v>
      </c>
      <c r="C1270" s="1383">
        <v>6540</v>
      </c>
      <c r="D1270" s="1236"/>
      <c r="E1270" s="1236"/>
      <c r="F1270" s="1344">
        <f>(1/S1270)*cnst_fish!$C$6</f>
        <v>1.8581931192461947</v>
      </c>
      <c r="G1270" s="1344">
        <f t="shared" si="183"/>
        <v>1</v>
      </c>
      <c r="H1270" s="1344">
        <f t="shared" si="183"/>
        <v>0.367192066876738</v>
      </c>
      <c r="I1270" s="1344">
        <f t="shared" si="175"/>
        <v>0</v>
      </c>
      <c r="J1270" s="902">
        <f t="shared" si="176"/>
        <v>0</v>
      </c>
      <c r="L1270" s="1460">
        <v>0.05</v>
      </c>
      <c r="M1270" s="1236"/>
      <c r="N1270" s="1240" t="s">
        <v>5367</v>
      </c>
      <c r="O1270" s="1241"/>
      <c r="P1270" s="910">
        <f t="shared" si="177"/>
        <v>0</v>
      </c>
      <c r="Q1270" s="910">
        <f t="shared" si="178"/>
        <v>0.05</v>
      </c>
      <c r="R1270" s="1344">
        <f t="shared" si="179"/>
        <v>2.21</v>
      </c>
      <c r="S1270" s="1344">
        <f>(1/9)*cnst_fish!$C$7*(1/cnst_fish!$C$8)^(R1270-1)</f>
        <v>2.2871680860190029</v>
      </c>
      <c r="T1270" s="1362">
        <f t="shared" si="180"/>
        <v>9.8803526682333005E-3</v>
      </c>
      <c r="W1270" s="1616"/>
      <c r="X1270" s="1616"/>
      <c r="Y1270" s="1613"/>
      <c r="Z1270" s="1614"/>
      <c r="AA1270" s="1614"/>
      <c r="AB1270" s="1615"/>
      <c r="AC1270" s="1615"/>
      <c r="AD1270" s="583"/>
      <c r="AE1270" s="583"/>
    </row>
    <row r="1271" spans="1:31" ht="14">
      <c r="A1271" s="1384" t="s">
        <v>3173</v>
      </c>
      <c r="B1271" s="19" t="s">
        <v>3322</v>
      </c>
      <c r="C1271" s="1383">
        <v>14100</v>
      </c>
      <c r="D1271" s="1236"/>
      <c r="E1271" s="1236"/>
      <c r="F1271" s="1344">
        <f>(1/S1271)*cnst_fish!$C$6</f>
        <v>0.10692785320993656</v>
      </c>
      <c r="G1271" s="1344">
        <f t="shared" si="183"/>
        <v>1</v>
      </c>
      <c r="H1271" s="1344">
        <f t="shared" si="183"/>
        <v>0.367192066876738</v>
      </c>
      <c r="I1271" s="1344">
        <f t="shared" si="175"/>
        <v>0</v>
      </c>
      <c r="J1271" s="902">
        <f t="shared" si="176"/>
        <v>0</v>
      </c>
      <c r="L1271" s="1460"/>
      <c r="M1271" s="1236">
        <v>1782</v>
      </c>
      <c r="N1271" s="1240" t="s">
        <v>1806</v>
      </c>
      <c r="O1271" s="1241" t="s">
        <v>4845</v>
      </c>
      <c r="P1271" s="910">
        <f t="shared" si="177"/>
        <v>0</v>
      </c>
      <c r="Q1271" s="910">
        <f t="shared" si="178"/>
        <v>1782</v>
      </c>
      <c r="R1271" s="1344">
        <f t="shared" si="179"/>
        <v>3.45</v>
      </c>
      <c r="S1271" s="1344">
        <f>(1/9)*cnst_fish!$C$7*(1/cnst_fish!$C$8)^(R1271-1)</f>
        <v>39.746425953729492</v>
      </c>
      <c r="T1271" s="1362">
        <f t="shared" si="180"/>
        <v>6119.4183136704096</v>
      </c>
      <c r="W1271" s="1612"/>
      <c r="X1271" s="1612"/>
      <c r="Y1271" s="1613"/>
      <c r="Z1271" s="1614"/>
      <c r="AA1271" s="1614"/>
      <c r="AB1271" s="1615"/>
      <c r="AC1271" s="1615"/>
      <c r="AD1271" s="583"/>
      <c r="AE1271" s="583"/>
    </row>
    <row r="1272" spans="1:31" ht="14">
      <c r="A1272" s="1384" t="s">
        <v>4271</v>
      </c>
      <c r="B1272" s="19" t="s">
        <v>728</v>
      </c>
      <c r="C1272" s="1383">
        <v>3083</v>
      </c>
      <c r="D1272" s="1236"/>
      <c r="E1272" s="1236"/>
      <c r="F1272" s="1344">
        <f>(1/S1272)*cnst_fish!$C$6</f>
        <v>2.3393265378400998E-2</v>
      </c>
      <c r="G1272" s="1344">
        <f t="shared" si="183"/>
        <v>1</v>
      </c>
      <c r="H1272" s="1344">
        <f t="shared" si="183"/>
        <v>0.367192066876738</v>
      </c>
      <c r="I1272" s="1344">
        <f t="shared" si="175"/>
        <v>0</v>
      </c>
      <c r="J1272" s="902">
        <f t="shared" si="176"/>
        <v>0</v>
      </c>
      <c r="L1272" s="1460">
        <v>765</v>
      </c>
      <c r="M1272" s="1236"/>
      <c r="N1272" s="1240" t="s">
        <v>2438</v>
      </c>
      <c r="O1272" s="1241" t="s">
        <v>4841</v>
      </c>
      <c r="P1272" s="910">
        <f t="shared" si="177"/>
        <v>0</v>
      </c>
      <c r="Q1272" s="910">
        <f t="shared" si="178"/>
        <v>765</v>
      </c>
      <c r="R1272" s="1344">
        <f t="shared" si="179"/>
        <v>4.1100000000000003</v>
      </c>
      <c r="S1272" s="1344">
        <f>(1/9)*cnst_fish!$C$7*(1/cnst_fish!$C$8)^(R1272-1)</f>
        <v>181.67621882851913</v>
      </c>
      <c r="T1272" s="1362">
        <f t="shared" si="180"/>
        <v>12007.811932919007</v>
      </c>
      <c r="W1272" s="1612"/>
      <c r="X1272" s="1612"/>
      <c r="Y1272" s="1613"/>
      <c r="Z1272" s="1614"/>
      <c r="AA1272" s="1614"/>
      <c r="AB1272" s="1615"/>
      <c r="AC1272" s="1615"/>
      <c r="AD1272" s="583"/>
      <c r="AE1272" s="583"/>
    </row>
    <row r="1273" spans="1:31" ht="14">
      <c r="A1273" s="1384" t="s">
        <v>6770</v>
      </c>
      <c r="B1273" s="19" t="s">
        <v>2625</v>
      </c>
      <c r="C1273" s="1383">
        <v>19101</v>
      </c>
      <c r="D1273" s="1236"/>
      <c r="E1273" s="1236"/>
      <c r="F1273" s="1344">
        <f>(1/S1273)*cnst_fish!$C$6</f>
        <v>2.7484690295134888E-2</v>
      </c>
      <c r="G1273" s="1344">
        <f t="shared" si="183"/>
        <v>1</v>
      </c>
      <c r="H1273" s="1344">
        <f t="shared" si="183"/>
        <v>0.367192066876738</v>
      </c>
      <c r="I1273" s="1344">
        <f t="shared" si="175"/>
        <v>0</v>
      </c>
      <c r="J1273" s="902">
        <f t="shared" si="176"/>
        <v>0</v>
      </c>
      <c r="L1273" s="1460">
        <v>5317</v>
      </c>
      <c r="M1273" s="1236"/>
      <c r="N1273" s="1240" t="s">
        <v>2438</v>
      </c>
      <c r="O1273" s="1241" t="s">
        <v>4841</v>
      </c>
      <c r="P1273" s="910">
        <f t="shared" si="177"/>
        <v>0</v>
      </c>
      <c r="Q1273" s="910">
        <f t="shared" si="178"/>
        <v>5317</v>
      </c>
      <c r="R1273" s="1344">
        <f t="shared" si="179"/>
        <v>4.04</v>
      </c>
      <c r="S1273" s="1344">
        <f>(1/9)*cnst_fish!$C$7*(1/cnst_fish!$C$8)^(R1273-1)</f>
        <v>154.63154048173138</v>
      </c>
      <c r="T1273" s="1362">
        <f t="shared" si="180"/>
        <v>71034.463136344915</v>
      </c>
      <c r="W1273" s="1612"/>
      <c r="X1273" s="1612"/>
      <c r="Y1273" s="1613"/>
      <c r="Z1273" s="1614"/>
      <c r="AA1273" s="1614"/>
      <c r="AB1273" s="1615"/>
      <c r="AC1273" s="1615"/>
      <c r="AD1273" s="583"/>
      <c r="AE1273" s="583"/>
    </row>
    <row r="1274" spans="1:31" ht="14">
      <c r="A1274" s="1384" t="s">
        <v>55</v>
      </c>
      <c r="B1274" s="19" t="s">
        <v>3040</v>
      </c>
      <c r="C1274" s="1383">
        <v>3372</v>
      </c>
      <c r="D1274" s="1236">
        <v>172</v>
      </c>
      <c r="E1274" s="1236"/>
      <c r="F1274" s="1344">
        <f>(1/S1274)*cnst_fish!$C$6</f>
        <v>9.5299549485983424E-3</v>
      </c>
      <c r="G1274" s="1344">
        <f t="shared" si="183"/>
        <v>1</v>
      </c>
      <c r="H1274" s="1344">
        <f t="shared" si="183"/>
        <v>0.367192066876738</v>
      </c>
      <c r="I1274" s="1344">
        <f t="shared" si="175"/>
        <v>6627.2123890877374</v>
      </c>
      <c r="J1274" s="902">
        <f t="shared" si="176"/>
        <v>0</v>
      </c>
      <c r="L1274" s="1460">
        <v>172</v>
      </c>
      <c r="M1274" s="1236"/>
      <c r="N1274" s="1240" t="s">
        <v>1807</v>
      </c>
      <c r="O1274" s="1241" t="s">
        <v>4841</v>
      </c>
      <c r="P1274" s="910">
        <f t="shared" si="177"/>
        <v>172</v>
      </c>
      <c r="Q1274" s="910">
        <f t="shared" si="178"/>
        <v>172</v>
      </c>
      <c r="R1274" s="1344">
        <f t="shared" si="179"/>
        <v>4.5</v>
      </c>
      <c r="S1274" s="1344">
        <f>(1/9)*cnst_fish!$C$7*(1/cnst_fish!$C$8)^(R1274-1)</f>
        <v>445.96223412630997</v>
      </c>
      <c r="T1274" s="1362">
        <f t="shared" si="180"/>
        <v>6627.2123890877374</v>
      </c>
      <c r="W1274" s="1612"/>
      <c r="X1274" s="1612"/>
      <c r="Y1274" s="1613"/>
      <c r="Z1274" s="1614"/>
      <c r="AA1274" s="1614"/>
      <c r="AB1274" s="1615"/>
      <c r="AC1274" s="1615"/>
      <c r="AD1274" s="583"/>
      <c r="AE1274" s="583"/>
    </row>
    <row r="1275" spans="1:31" ht="14">
      <c r="A1275" s="1384" t="s">
        <v>4273</v>
      </c>
      <c r="B1275" s="19" t="s">
        <v>3041</v>
      </c>
      <c r="C1275" s="1383">
        <v>3351</v>
      </c>
      <c r="D1275" s="1236">
        <v>6224</v>
      </c>
      <c r="E1275" s="1236"/>
      <c r="F1275" s="1344">
        <f>(1/S1275)*cnst_fish!$C$6</f>
        <v>9.7519361156519751E-3</v>
      </c>
      <c r="G1275" s="1344">
        <f t="shared" si="183"/>
        <v>1</v>
      </c>
      <c r="H1275" s="1344">
        <f t="shared" si="183"/>
        <v>0.367192066876738</v>
      </c>
      <c r="I1275" s="1344">
        <f t="shared" si="175"/>
        <v>234353.81416954909</v>
      </c>
      <c r="J1275" s="902">
        <f t="shared" si="176"/>
        <v>0</v>
      </c>
      <c r="L1275" s="1460">
        <v>6224</v>
      </c>
      <c r="M1275" s="1236"/>
      <c r="N1275" s="1240" t="s">
        <v>1807</v>
      </c>
      <c r="O1275" s="1241" t="s">
        <v>4841</v>
      </c>
      <c r="P1275" s="910">
        <f t="shared" si="177"/>
        <v>6224</v>
      </c>
      <c r="Q1275" s="910">
        <f t="shared" si="178"/>
        <v>6224</v>
      </c>
      <c r="R1275" s="1344">
        <f t="shared" si="179"/>
        <v>4.49</v>
      </c>
      <c r="S1275" s="1344">
        <f>(1/9)*cnst_fish!$C$7*(1/cnst_fish!$C$8)^(R1275-1)</f>
        <v>435.81089432883982</v>
      </c>
      <c r="T1275" s="1362">
        <f t="shared" si="180"/>
        <v>234353.81416954909</v>
      </c>
      <c r="W1275" s="1612"/>
      <c r="X1275" s="1612"/>
      <c r="Y1275" s="1613"/>
      <c r="Z1275" s="1614"/>
      <c r="AA1275" s="1614"/>
      <c r="AB1275" s="1615"/>
      <c r="AC1275" s="1615"/>
      <c r="AD1275" s="583"/>
      <c r="AE1275" s="583"/>
    </row>
    <row r="1276" spans="1:31" ht="14">
      <c r="A1276" s="1384" t="s">
        <v>6597</v>
      </c>
      <c r="B1276" s="19" t="s">
        <v>6596</v>
      </c>
      <c r="C1276" s="1383">
        <v>14118</v>
      </c>
      <c r="D1276" s="1236">
        <v>10</v>
      </c>
      <c r="E1276" s="1236"/>
      <c r="F1276" s="1344">
        <f>(1/S1276)*cnst_fish!$C$6</f>
        <v>1.9014759972289439E-2</v>
      </c>
      <c r="G1276" s="1344">
        <f t="shared" si="183"/>
        <v>1</v>
      </c>
      <c r="H1276" s="1344">
        <f t="shared" si="183"/>
        <v>0.367192066876738</v>
      </c>
      <c r="I1276" s="1344">
        <f t="shared" si="175"/>
        <v>193.1089676713531</v>
      </c>
      <c r="J1276" s="902">
        <f t="shared" si="176"/>
        <v>0</v>
      </c>
      <c r="L1276" s="1460">
        <v>10</v>
      </c>
      <c r="M1276" s="1236"/>
      <c r="N1276" s="1240" t="s">
        <v>1807</v>
      </c>
      <c r="O1276" s="1241" t="s">
        <v>4841</v>
      </c>
      <c r="P1276" s="910">
        <f t="shared" si="177"/>
        <v>10</v>
      </c>
      <c r="Q1276" s="910">
        <f t="shared" si="178"/>
        <v>10</v>
      </c>
      <c r="R1276" s="1344">
        <f t="shared" si="179"/>
        <v>4.2</v>
      </c>
      <c r="S1276" s="1344">
        <f>(1/9)*cnst_fish!$C$7*(1/cnst_fish!$C$8)^(R1276-1)</f>
        <v>223.51057842400343</v>
      </c>
      <c r="T1276" s="1362">
        <f t="shared" si="180"/>
        <v>193.1089676713531</v>
      </c>
      <c r="W1276" s="1612"/>
      <c r="X1276" s="1612"/>
      <c r="Y1276" s="1613"/>
      <c r="Z1276" s="1614"/>
      <c r="AA1276" s="1614"/>
      <c r="AB1276" s="1615"/>
      <c r="AC1276" s="1615"/>
      <c r="AD1276" s="583"/>
      <c r="AE1276" s="583"/>
    </row>
    <row r="1277" spans="1:31" ht="14">
      <c r="A1277" s="1384" t="s">
        <v>2867</v>
      </c>
      <c r="B1277" s="19" t="s">
        <v>4744</v>
      </c>
      <c r="C1277" s="1383">
        <v>3350</v>
      </c>
      <c r="D1277" s="1236"/>
      <c r="E1277" s="1236"/>
      <c r="F1277" s="1344">
        <f>(1/S1277)*cnst_fish!$C$6</f>
        <v>1.3461419163458574E-2</v>
      </c>
      <c r="G1277" s="1344">
        <f t="shared" si="183"/>
        <v>1</v>
      </c>
      <c r="H1277" s="1344">
        <f t="shared" si="183"/>
        <v>0.367192066876738</v>
      </c>
      <c r="I1277" s="1344">
        <f t="shared" si="175"/>
        <v>0</v>
      </c>
      <c r="J1277" s="902">
        <f t="shared" si="176"/>
        <v>0</v>
      </c>
      <c r="L1277" s="1460">
        <v>11804</v>
      </c>
      <c r="M1277" s="1236"/>
      <c r="N1277" s="1240" t="s">
        <v>1806</v>
      </c>
      <c r="O1277" s="1241" t="s">
        <v>4841</v>
      </c>
      <c r="P1277" s="910">
        <f t="shared" si="177"/>
        <v>0</v>
      </c>
      <c r="Q1277" s="910">
        <f t="shared" si="178"/>
        <v>11804</v>
      </c>
      <c r="R1277" s="1344">
        <f t="shared" si="179"/>
        <v>4.3499999999999996</v>
      </c>
      <c r="S1277" s="1344">
        <f>(1/9)*cnst_fish!$C$7*(1/cnst_fish!$C$8)^(R1277-1)</f>
        <v>315.71708364425297</v>
      </c>
      <c r="T1277" s="1362">
        <f t="shared" si="180"/>
        <v>321982.03657298617</v>
      </c>
      <c r="W1277" s="1612"/>
      <c r="X1277" s="1612"/>
      <c r="Y1277" s="1613"/>
      <c r="Z1277" s="1614"/>
      <c r="AA1277" s="1614"/>
      <c r="AB1277" s="1615"/>
      <c r="AC1277" s="1615"/>
      <c r="AD1277" s="583"/>
      <c r="AE1277" s="583"/>
    </row>
    <row r="1278" spans="1:31" ht="14">
      <c r="A1278" s="1384" t="s">
        <v>1929</v>
      </c>
      <c r="B1278" s="19" t="s">
        <v>4745</v>
      </c>
      <c r="C1278" s="1383">
        <v>2540</v>
      </c>
      <c r="D1278" s="1236">
        <v>250</v>
      </c>
      <c r="E1278" s="1236"/>
      <c r="F1278" s="1344">
        <f>(1/S1278)*cnst_fish!$C$6</f>
        <v>2.0849269714511572E-2</v>
      </c>
      <c r="G1278" s="1344">
        <f t="shared" si="183"/>
        <v>1</v>
      </c>
      <c r="H1278" s="1344">
        <f t="shared" si="183"/>
        <v>0.367192066876738</v>
      </c>
      <c r="I1278" s="1344">
        <f t="shared" si="175"/>
        <v>4402.9367923275977</v>
      </c>
      <c r="J1278" s="902">
        <f t="shared" si="176"/>
        <v>0</v>
      </c>
      <c r="L1278" s="1460">
        <v>7806</v>
      </c>
      <c r="M1278" s="1236"/>
      <c r="N1278" s="1240" t="s">
        <v>1806</v>
      </c>
      <c r="O1278" s="1241" t="s">
        <v>4841</v>
      </c>
      <c r="P1278" s="910">
        <f t="shared" si="177"/>
        <v>250</v>
      </c>
      <c r="Q1278" s="910">
        <f t="shared" si="178"/>
        <v>7806</v>
      </c>
      <c r="R1278" s="1344">
        <f t="shared" si="179"/>
        <v>4.16</v>
      </c>
      <c r="S1278" s="1344">
        <f>(1/9)*cnst_fish!$C$7*(1/cnst_fish!$C$8)^(R1278-1)</f>
        <v>203.84407023340017</v>
      </c>
      <c r="T1278" s="1362">
        <f t="shared" si="180"/>
        <v>137477.2984036369</v>
      </c>
      <c r="W1278" s="1612"/>
      <c r="X1278" s="1612"/>
      <c r="Y1278" s="1613"/>
      <c r="Z1278" s="1614"/>
      <c r="AA1278" s="1614"/>
      <c r="AB1278" s="1615"/>
      <c r="AC1278" s="1615"/>
      <c r="AD1278" s="583"/>
      <c r="AE1278" s="583"/>
    </row>
    <row r="1279" spans="1:31" ht="14">
      <c r="A1279" s="1384" t="s">
        <v>2711</v>
      </c>
      <c r="B1279" s="19" t="s">
        <v>5306</v>
      </c>
      <c r="C1279" s="1383">
        <v>18569</v>
      </c>
      <c r="D1279" s="1236"/>
      <c r="E1279" s="1236"/>
      <c r="F1279" s="1344">
        <f>(1/S1279)*cnst_fish!$C$6</f>
        <v>1.5103960722494616</v>
      </c>
      <c r="G1279" s="1344">
        <f t="shared" si="183"/>
        <v>1</v>
      </c>
      <c r="H1279" s="1344">
        <f t="shared" si="183"/>
        <v>0.367192066876738</v>
      </c>
      <c r="I1279" s="1344">
        <f t="shared" si="175"/>
        <v>0</v>
      </c>
      <c r="J1279" s="902">
        <f t="shared" si="176"/>
        <v>0</v>
      </c>
      <c r="L1279" s="1460">
        <v>1798</v>
      </c>
      <c r="M1279" s="1236"/>
      <c r="N1279" s="1240" t="s">
        <v>2430</v>
      </c>
      <c r="O1279" s="1241" t="s">
        <v>4840</v>
      </c>
      <c r="P1279" s="910">
        <f t="shared" si="177"/>
        <v>0</v>
      </c>
      <c r="Q1279" s="910">
        <f t="shared" si="178"/>
        <v>1798</v>
      </c>
      <c r="R1279" s="1344">
        <f t="shared" si="179"/>
        <v>2.2999999999999998</v>
      </c>
      <c r="S1279" s="1344">
        <f>(1/9)*cnst_fish!$C$7*(1/cnst_fish!$C$8)^(R1279-1)</f>
        <v>2.8138314698279068</v>
      </c>
      <c r="T1279" s="1362">
        <f t="shared" si="180"/>
        <v>437.11139639095438</v>
      </c>
      <c r="W1279" s="1612"/>
      <c r="X1279" s="1612"/>
      <c r="Y1279" s="1613"/>
      <c r="Z1279" s="1614"/>
      <c r="AA1279" s="1614"/>
      <c r="AB1279" s="1615"/>
      <c r="AC1279" s="1615"/>
      <c r="AD1279" s="583"/>
      <c r="AE1279" s="583"/>
    </row>
    <row r="1280" spans="1:31" ht="14">
      <c r="A1280" s="1384" t="s">
        <v>3466</v>
      </c>
      <c r="B1280" s="19" t="s">
        <v>5307</v>
      </c>
      <c r="C1280" s="1383">
        <v>18567</v>
      </c>
      <c r="D1280" s="1236"/>
      <c r="E1280" s="1236"/>
      <c r="F1280" s="1344">
        <f>(1/S1280)*cnst_fish!$C$6</f>
        <v>1.5103960722494616</v>
      </c>
      <c r="G1280" s="1344">
        <f t="shared" si="183"/>
        <v>1</v>
      </c>
      <c r="H1280" s="1344">
        <f t="shared" si="183"/>
        <v>0.367192066876738</v>
      </c>
      <c r="I1280" s="1344">
        <f t="shared" si="175"/>
        <v>0</v>
      </c>
      <c r="J1280" s="902">
        <f t="shared" si="176"/>
        <v>0</v>
      </c>
      <c r="L1280" s="1460">
        <v>13477</v>
      </c>
      <c r="M1280" s="1236"/>
      <c r="N1280" s="1240" t="s">
        <v>2430</v>
      </c>
      <c r="O1280" s="1241" t="s">
        <v>4840</v>
      </c>
      <c r="P1280" s="910">
        <f t="shared" si="177"/>
        <v>0</v>
      </c>
      <c r="Q1280" s="910">
        <f t="shared" si="178"/>
        <v>13477</v>
      </c>
      <c r="R1280" s="1344">
        <f t="shared" si="179"/>
        <v>2.2999999999999998</v>
      </c>
      <c r="S1280" s="1344">
        <f>(1/9)*cnst_fish!$C$7*(1/cnst_fish!$C$8)^(R1280-1)</f>
        <v>2.8138314698279068</v>
      </c>
      <c r="T1280" s="1362">
        <f t="shared" si="180"/>
        <v>3276.3905946389827</v>
      </c>
      <c r="W1280" s="1612"/>
      <c r="X1280" s="1612"/>
      <c r="Y1280" s="1613"/>
      <c r="Z1280" s="1614"/>
      <c r="AA1280" s="1614"/>
      <c r="AB1280" s="1615"/>
      <c r="AC1280" s="1615"/>
      <c r="AD1280" s="583"/>
      <c r="AE1280" s="583"/>
    </row>
    <row r="1281" spans="1:31" ht="14">
      <c r="A1281" s="1384" t="s">
        <v>2710</v>
      </c>
      <c r="B1281" s="19" t="s">
        <v>5308</v>
      </c>
      <c r="C1281" s="1383">
        <v>18568</v>
      </c>
      <c r="D1281" s="1236"/>
      <c r="E1281" s="1236"/>
      <c r="F1281" s="1344">
        <f>(1/S1281)*cnst_fish!$C$6</f>
        <v>1.5103960722494616</v>
      </c>
      <c r="G1281" s="1344">
        <f t="shared" si="183"/>
        <v>1</v>
      </c>
      <c r="H1281" s="1344">
        <f t="shared" si="183"/>
        <v>0.367192066876738</v>
      </c>
      <c r="I1281" s="1344">
        <f t="shared" si="175"/>
        <v>0</v>
      </c>
      <c r="J1281" s="902">
        <f t="shared" si="176"/>
        <v>0</v>
      </c>
      <c r="L1281" s="1460">
        <v>6401</v>
      </c>
      <c r="M1281" s="1236"/>
      <c r="N1281" s="1240" t="s">
        <v>2430</v>
      </c>
      <c r="O1281" s="1241" t="s">
        <v>4840</v>
      </c>
      <c r="P1281" s="910">
        <f t="shared" si="177"/>
        <v>0</v>
      </c>
      <c r="Q1281" s="910">
        <f t="shared" si="178"/>
        <v>6401</v>
      </c>
      <c r="R1281" s="1344">
        <f t="shared" si="179"/>
        <v>2.2999999999999998</v>
      </c>
      <c r="S1281" s="1344">
        <f>(1/9)*cnst_fish!$C$7*(1/cnst_fish!$C$8)^(R1281-1)</f>
        <v>2.8138314698279068</v>
      </c>
      <c r="T1281" s="1362">
        <f t="shared" si="180"/>
        <v>1556.145744326195</v>
      </c>
      <c r="W1281" s="1612"/>
      <c r="X1281" s="1612"/>
      <c r="Y1281" s="1613"/>
      <c r="Z1281" s="1614"/>
      <c r="AA1281" s="1614"/>
      <c r="AB1281" s="1615"/>
      <c r="AC1281" s="1615"/>
      <c r="AD1281" s="583"/>
      <c r="AE1281" s="583"/>
    </row>
    <row r="1282" spans="1:31" ht="14">
      <c r="A1282" s="1384" t="s">
        <v>4609</v>
      </c>
      <c r="B1282" s="19" t="s">
        <v>5309</v>
      </c>
      <c r="C1282" s="1383">
        <v>2640</v>
      </c>
      <c r="D1282" s="1236">
        <v>7001</v>
      </c>
      <c r="E1282" s="1236"/>
      <c r="F1282" s="1344">
        <f>(1/S1282)*cnst_fish!$C$6</f>
        <v>1.5103960722494616</v>
      </c>
      <c r="G1282" s="1344">
        <f t="shared" si="183"/>
        <v>1</v>
      </c>
      <c r="H1282" s="1344">
        <f t="shared" si="183"/>
        <v>0.367192066876738</v>
      </c>
      <c r="I1282" s="1344">
        <f t="shared" si="175"/>
        <v>1702.0116163142777</v>
      </c>
      <c r="J1282" s="902">
        <f t="shared" si="176"/>
        <v>0</v>
      </c>
      <c r="L1282" s="1460">
        <v>7001</v>
      </c>
      <c r="M1282" s="1236"/>
      <c r="N1282" s="1240" t="s">
        <v>2430</v>
      </c>
      <c r="O1282" s="1241" t="s">
        <v>4840</v>
      </c>
      <c r="P1282" s="910">
        <f t="shared" si="177"/>
        <v>7001</v>
      </c>
      <c r="Q1282" s="910">
        <f t="shared" si="178"/>
        <v>7001</v>
      </c>
      <c r="R1282" s="1344">
        <f t="shared" si="179"/>
        <v>2.2999999999999998</v>
      </c>
      <c r="S1282" s="1344">
        <f>(1/9)*cnst_fish!$C$7*(1/cnst_fish!$C$8)^(R1282-1)</f>
        <v>2.8138314698279068</v>
      </c>
      <c r="T1282" s="1362">
        <f t="shared" si="180"/>
        <v>1702.0116163142777</v>
      </c>
      <c r="W1282" s="1612"/>
      <c r="X1282" s="1612"/>
      <c r="Y1282" s="1613"/>
      <c r="Z1282" s="1614"/>
      <c r="AA1282" s="1614"/>
      <c r="AB1282" s="1615"/>
      <c r="AC1282" s="1615"/>
      <c r="AD1282" s="583"/>
      <c r="AE1282" s="583"/>
    </row>
    <row r="1283" spans="1:31" ht="14">
      <c r="A1283" s="1384" t="s">
        <v>5683</v>
      </c>
      <c r="B1283" s="19" t="s">
        <v>5684</v>
      </c>
      <c r="C1283" s="1383">
        <v>3474</v>
      </c>
      <c r="D1283" s="1236"/>
      <c r="E1283" s="1236"/>
      <c r="F1283" s="1344">
        <f>(1/S1283)*cnst_fish!$C$6</f>
        <v>0.16946922663690964</v>
      </c>
      <c r="G1283" s="1344">
        <f t="shared" si="183"/>
        <v>1</v>
      </c>
      <c r="H1283" s="1344">
        <f t="shared" si="183"/>
        <v>0.367192066876738</v>
      </c>
      <c r="I1283" s="1344">
        <f t="shared" si="175"/>
        <v>0</v>
      </c>
      <c r="J1283" s="902">
        <f t="shared" si="176"/>
        <v>0</v>
      </c>
      <c r="L1283" s="1460">
        <v>0</v>
      </c>
      <c r="M1283" s="1236"/>
      <c r="N1283" s="1240" t="s">
        <v>2430</v>
      </c>
      <c r="O1283" s="1241" t="s">
        <v>4840</v>
      </c>
      <c r="P1283" s="910">
        <f t="shared" si="177"/>
        <v>0</v>
      </c>
      <c r="Q1283" s="910">
        <f t="shared" si="178"/>
        <v>0</v>
      </c>
      <c r="R1283" s="1344">
        <f t="shared" si="179"/>
        <v>3.25</v>
      </c>
      <c r="S1283" s="1344">
        <f>(1/9)*cnst_fish!$C$7*(1/cnst_fish!$C$8)^(R1283-1)</f>
        <v>25.078299372343796</v>
      </c>
      <c r="T1283" s="1362">
        <f t="shared" si="180"/>
        <v>0</v>
      </c>
      <c r="W1283" s="1612"/>
      <c r="X1283" s="1612"/>
      <c r="Y1283" s="1613"/>
      <c r="Z1283" s="1614"/>
      <c r="AA1283" s="1614"/>
      <c r="AB1283" s="1615"/>
      <c r="AC1283" s="1615"/>
      <c r="AD1283" s="583"/>
      <c r="AE1283" s="583"/>
    </row>
    <row r="1284" spans="1:31" ht="14">
      <c r="A1284" s="1384" t="s">
        <v>4600</v>
      </c>
      <c r="B1284" s="19" t="s">
        <v>27</v>
      </c>
      <c r="C1284" s="1383">
        <v>2643</v>
      </c>
      <c r="D1284" s="1236"/>
      <c r="E1284" s="1236"/>
      <c r="F1284" s="1344">
        <f>(1/S1284)*cnst_fish!$C$6</f>
        <v>1.5103960722494616</v>
      </c>
      <c r="G1284" s="1344">
        <f t="shared" si="183"/>
        <v>1</v>
      </c>
      <c r="H1284" s="1344">
        <f t="shared" si="183"/>
        <v>0.367192066876738</v>
      </c>
      <c r="I1284" s="1344">
        <f t="shared" si="175"/>
        <v>0</v>
      </c>
      <c r="J1284" s="902">
        <f t="shared" si="176"/>
        <v>0</v>
      </c>
      <c r="L1284" s="1460">
        <v>0</v>
      </c>
      <c r="M1284" s="1236"/>
      <c r="N1284" s="1240" t="s">
        <v>2430</v>
      </c>
      <c r="O1284" s="1241" t="s">
        <v>4840</v>
      </c>
      <c r="P1284" s="910">
        <f t="shared" si="177"/>
        <v>0</v>
      </c>
      <c r="Q1284" s="910">
        <f t="shared" si="178"/>
        <v>0</v>
      </c>
      <c r="R1284" s="1344">
        <f t="shared" si="179"/>
        <v>2.2999999999999998</v>
      </c>
      <c r="S1284" s="1344">
        <f>(1/9)*cnst_fish!$C$7*(1/cnst_fish!$C$8)^(R1284-1)</f>
        <v>2.8138314698279068</v>
      </c>
      <c r="T1284" s="1362">
        <f t="shared" si="180"/>
        <v>0</v>
      </c>
      <c r="W1284" s="1612"/>
      <c r="X1284" s="1612"/>
      <c r="Y1284" s="1613"/>
      <c r="Z1284" s="1614"/>
      <c r="AA1284" s="1614"/>
      <c r="AB1284" s="1615"/>
      <c r="AC1284" s="1615"/>
      <c r="AD1284" s="583"/>
      <c r="AE1284" s="583"/>
    </row>
    <row r="1285" spans="1:31" ht="14">
      <c r="A1285" s="1384" t="s">
        <v>3570</v>
      </c>
      <c r="B1285" s="19" t="s">
        <v>5576</v>
      </c>
      <c r="C1285" s="1383">
        <v>3473</v>
      </c>
      <c r="D1285" s="1236"/>
      <c r="E1285" s="1236"/>
      <c r="F1285" s="1344">
        <f>(1/S1285)*cnst_fish!$C$6</f>
        <v>1.5103960722494616</v>
      </c>
      <c r="G1285" s="1344">
        <f t="shared" si="183"/>
        <v>1</v>
      </c>
      <c r="H1285" s="1344">
        <f t="shared" si="183"/>
        <v>0.367192066876738</v>
      </c>
      <c r="I1285" s="1344">
        <f t="shared" si="175"/>
        <v>0</v>
      </c>
      <c r="J1285" s="902">
        <f t="shared" si="176"/>
        <v>0</v>
      </c>
      <c r="L1285" s="1460">
        <v>2962</v>
      </c>
      <c r="M1285" s="1236"/>
      <c r="N1285" s="1240" t="s">
        <v>2430</v>
      </c>
      <c r="O1285" s="1241" t="s">
        <v>4840</v>
      </c>
      <c r="P1285" s="910">
        <f t="shared" si="177"/>
        <v>0</v>
      </c>
      <c r="Q1285" s="910">
        <f t="shared" si="178"/>
        <v>2962</v>
      </c>
      <c r="R1285" s="1344">
        <f t="shared" si="179"/>
        <v>2.2999999999999998</v>
      </c>
      <c r="S1285" s="1344">
        <f>(1/9)*cnst_fish!$C$7*(1/cnst_fish!$C$8)^(R1285-1)</f>
        <v>2.8138314698279068</v>
      </c>
      <c r="T1285" s="1362">
        <f t="shared" si="180"/>
        <v>720.09118804783475</v>
      </c>
      <c r="W1285" s="1612"/>
      <c r="X1285" s="1612"/>
      <c r="Y1285" s="1613"/>
      <c r="Z1285" s="1614"/>
      <c r="AA1285" s="1614"/>
      <c r="AB1285" s="1615"/>
      <c r="AC1285" s="1615"/>
      <c r="AD1285" s="583"/>
      <c r="AE1285" s="583"/>
    </row>
    <row r="1286" spans="1:31" ht="14">
      <c r="A1286" s="1384" t="s">
        <v>2724</v>
      </c>
      <c r="B1286" s="19" t="s">
        <v>5577</v>
      </c>
      <c r="C1286" s="1383">
        <v>3475</v>
      </c>
      <c r="D1286" s="1236">
        <v>0</v>
      </c>
      <c r="E1286" s="1236"/>
      <c r="F1286" s="1344">
        <f>(1/S1286)*cnst_fish!$C$6</f>
        <v>1.5103960722494616</v>
      </c>
      <c r="G1286" s="1344">
        <f t="shared" si="183"/>
        <v>1</v>
      </c>
      <c r="H1286" s="1344">
        <f t="shared" si="183"/>
        <v>0.367192066876738</v>
      </c>
      <c r="I1286" s="1344">
        <f t="shared" si="175"/>
        <v>0</v>
      </c>
      <c r="J1286" s="902">
        <f t="shared" si="176"/>
        <v>0</v>
      </c>
      <c r="L1286" s="1460">
        <v>0</v>
      </c>
      <c r="M1286" s="1236"/>
      <c r="N1286" s="1240" t="s">
        <v>2430</v>
      </c>
      <c r="O1286" s="1241" t="s">
        <v>4840</v>
      </c>
      <c r="P1286" s="910">
        <f t="shared" si="177"/>
        <v>0</v>
      </c>
      <c r="Q1286" s="910">
        <f t="shared" si="178"/>
        <v>0</v>
      </c>
      <c r="R1286" s="1344">
        <f t="shared" si="179"/>
        <v>2.2999999999999998</v>
      </c>
      <c r="S1286" s="1344">
        <f>(1/9)*cnst_fish!$C$7*(1/cnst_fish!$C$8)^(R1286-1)</f>
        <v>2.8138314698279068</v>
      </c>
      <c r="T1286" s="1362">
        <f t="shared" si="180"/>
        <v>0</v>
      </c>
      <c r="W1286" s="1612"/>
      <c r="X1286" s="1612"/>
      <c r="Y1286" s="1613"/>
      <c r="Z1286" s="1614"/>
      <c r="AA1286" s="1614"/>
      <c r="AB1286" s="1615"/>
      <c r="AC1286" s="1615"/>
      <c r="AD1286" s="583"/>
      <c r="AE1286" s="583"/>
    </row>
    <row r="1287" spans="1:31" ht="14">
      <c r="A1287" s="1384" t="s">
        <v>6771</v>
      </c>
      <c r="B1287" s="19" t="s">
        <v>2602</v>
      </c>
      <c r="C1287" s="1383">
        <v>18644</v>
      </c>
      <c r="D1287" s="1236"/>
      <c r="E1287" s="1236"/>
      <c r="F1287" s="1344">
        <f>(1/S1287)*cnst_fish!$C$6</f>
        <v>2.4296179854146147</v>
      </c>
      <c r="G1287" s="1344">
        <f t="shared" si="183"/>
        <v>1</v>
      </c>
      <c r="H1287" s="1344">
        <f t="shared" si="183"/>
        <v>0.367192066876738</v>
      </c>
      <c r="I1287" s="1344">
        <f t="shared" ref="I1287:I1350" si="184">IF($F1287=0,0,D1287/$F1287*$H1287*$G1287)</f>
        <v>0</v>
      </c>
      <c r="J1287" s="902">
        <f t="shared" ref="J1287:J1350" si="185">IF($F1287=0,0,E1287/$F1287*$H1287*$G1287)</f>
        <v>0</v>
      </c>
      <c r="L1287" s="1460">
        <v>0</v>
      </c>
      <c r="M1287" s="1236"/>
      <c r="N1287" s="1240" t="s">
        <v>2430</v>
      </c>
      <c r="O1287" s="1241" t="s">
        <v>4840</v>
      </c>
      <c r="P1287" s="910">
        <f t="shared" ref="P1287:P1350" si="186">D1287+E1287</f>
        <v>0</v>
      </c>
      <c r="Q1287" s="910">
        <f t="shared" ref="Q1287:Q1350" si="187">L1287+M1287</f>
        <v>0</v>
      </c>
      <c r="R1287" s="1344">
        <f t="shared" ref="R1287:R1350" si="188">VLOOKUP(B1287,constant_fish_trophic,3,FALSE)</f>
        <v>2.0935528537656198</v>
      </c>
      <c r="S1287" s="1344">
        <f>(1/9)*cnst_fish!$C$7*(1/cnst_fish!$C$8)^(R1287-1)</f>
        <v>1.7492461882952093</v>
      </c>
      <c r="T1287" s="1362">
        <f t="shared" ref="T1287:T1350" si="189">IF(F1287=0,0,Q1287/F1287*H1287*G1287)</f>
        <v>0</v>
      </c>
      <c r="W1287" s="1612"/>
      <c r="X1287" s="1612"/>
      <c r="Y1287" s="1613"/>
      <c r="Z1287" s="1614"/>
      <c r="AA1287" s="1614"/>
      <c r="AB1287" s="1615"/>
      <c r="AC1287" s="1615"/>
      <c r="AD1287" s="583"/>
      <c r="AE1287" s="583"/>
    </row>
    <row r="1288" spans="1:31" ht="14">
      <c r="A1288" s="1384" t="s">
        <v>4003</v>
      </c>
      <c r="B1288" s="19" t="s">
        <v>4004</v>
      </c>
      <c r="C1288" s="1383">
        <v>19127</v>
      </c>
      <c r="D1288" s="1236"/>
      <c r="E1288" s="1236"/>
      <c r="F1288" s="1344">
        <f>(1/S1288)*cnst_fish!$C$6</f>
        <v>0.14481532779905856</v>
      </c>
      <c r="G1288" s="1344">
        <f t="shared" ref="G1288:H1307" si="190">G$7</f>
        <v>1</v>
      </c>
      <c r="H1288" s="1344">
        <f t="shared" si="190"/>
        <v>0.367192066876738</v>
      </c>
      <c r="I1288" s="1344">
        <f t="shared" si="184"/>
        <v>0</v>
      </c>
      <c r="J1288" s="902">
        <f t="shared" si="185"/>
        <v>0</v>
      </c>
      <c r="L1288" s="1460">
        <v>0</v>
      </c>
      <c r="M1288" s="1236"/>
      <c r="N1288" s="1240" t="s">
        <v>2430</v>
      </c>
      <c r="O1288" s="1241" t="s">
        <v>4840</v>
      </c>
      <c r="P1288" s="910">
        <f t="shared" si="186"/>
        <v>0</v>
      </c>
      <c r="Q1288" s="910">
        <f t="shared" si="187"/>
        <v>0</v>
      </c>
      <c r="R1288" s="1344">
        <f t="shared" si="188"/>
        <v>3.3182763159269002</v>
      </c>
      <c r="S1288" s="1344">
        <f>(1/9)*cnst_fish!$C$7*(1/cnst_fish!$C$8)^(R1288-1)</f>
        <v>29.347722127157517</v>
      </c>
      <c r="T1288" s="1362">
        <f t="shared" si="189"/>
        <v>0</v>
      </c>
      <c r="W1288" s="1612"/>
      <c r="X1288" s="1612"/>
      <c r="Y1288" s="1613"/>
      <c r="Z1288" s="1614"/>
      <c r="AA1288" s="1614"/>
      <c r="AB1288" s="1615"/>
      <c r="AC1288" s="1615"/>
      <c r="AD1288" s="583"/>
      <c r="AE1288" s="583"/>
    </row>
    <row r="1289" spans="1:31" ht="14">
      <c r="A1289" s="1384" t="s">
        <v>2100</v>
      </c>
      <c r="B1289" s="19" t="s">
        <v>2338</v>
      </c>
      <c r="C1289" s="1383">
        <v>2360</v>
      </c>
      <c r="D1289" s="1236"/>
      <c r="E1289" s="1236"/>
      <c r="F1289" s="1344">
        <f>(1/S1289)*cnst_fish!$C$6</f>
        <v>0.97519361156519724</v>
      </c>
      <c r="G1289" s="1344">
        <f t="shared" si="190"/>
        <v>1</v>
      </c>
      <c r="H1289" s="1344">
        <f t="shared" si="190"/>
        <v>0.367192066876738</v>
      </c>
      <c r="I1289" s="1344">
        <f t="shared" si="184"/>
        <v>0</v>
      </c>
      <c r="J1289" s="902">
        <f t="shared" si="185"/>
        <v>0</v>
      </c>
      <c r="L1289" s="1460">
        <v>1382</v>
      </c>
      <c r="M1289" s="1236"/>
      <c r="N1289" s="1240" t="s">
        <v>1806</v>
      </c>
      <c r="O1289" s="1241" t="s">
        <v>4841</v>
      </c>
      <c r="P1289" s="910">
        <f t="shared" si="186"/>
        <v>0</v>
      </c>
      <c r="Q1289" s="910">
        <f t="shared" si="187"/>
        <v>1382</v>
      </c>
      <c r="R1289" s="1344">
        <f t="shared" si="188"/>
        <v>2.4900000000000002</v>
      </c>
      <c r="S1289" s="1344">
        <f>(1/9)*cnst_fish!$C$7*(1/cnst_fish!$C$8)^(R1289-1)</f>
        <v>4.3581089432883999</v>
      </c>
      <c r="T1289" s="1362">
        <f t="shared" si="189"/>
        <v>520.36788429035494</v>
      </c>
      <c r="W1289" s="1612"/>
      <c r="X1289" s="1612"/>
      <c r="Y1289" s="1613"/>
      <c r="Z1289" s="1614"/>
      <c r="AA1289" s="1614"/>
      <c r="AB1289" s="1615"/>
      <c r="AC1289" s="1615"/>
      <c r="AD1289" s="583"/>
      <c r="AE1289" s="583"/>
    </row>
    <row r="1290" spans="1:31" ht="14">
      <c r="A1290" s="1384" t="s">
        <v>4814</v>
      </c>
      <c r="B1290" s="19" t="s">
        <v>310</v>
      </c>
      <c r="C1290" s="1383">
        <v>3417</v>
      </c>
      <c r="D1290" s="1236"/>
      <c r="E1290" s="1236"/>
      <c r="F1290" s="1344">
        <f>(1/S1290)*cnst_fish!$C$6</f>
        <v>0.60129950673834842</v>
      </c>
      <c r="G1290" s="1344">
        <f t="shared" si="190"/>
        <v>1</v>
      </c>
      <c r="H1290" s="1344">
        <f t="shared" si="190"/>
        <v>0.367192066876738</v>
      </c>
      <c r="I1290" s="1344">
        <f t="shared" si="184"/>
        <v>0</v>
      </c>
      <c r="J1290" s="902">
        <f t="shared" si="185"/>
        <v>0</v>
      </c>
      <c r="L1290" s="1460">
        <v>5</v>
      </c>
      <c r="M1290" s="1236"/>
      <c r="N1290" s="1240" t="s">
        <v>2441</v>
      </c>
      <c r="O1290" s="1241" t="s">
        <v>4840</v>
      </c>
      <c r="P1290" s="910">
        <f t="shared" si="186"/>
        <v>0</v>
      </c>
      <c r="Q1290" s="910">
        <f t="shared" si="187"/>
        <v>5</v>
      </c>
      <c r="R1290" s="1344">
        <f t="shared" si="188"/>
        <v>2.7</v>
      </c>
      <c r="S1290" s="1344">
        <f>(1/9)*cnst_fish!$C$7*(1/cnst_fish!$C$8)^(R1290-1)</f>
        <v>7.0680250896153813</v>
      </c>
      <c r="T1290" s="1362">
        <f t="shared" si="189"/>
        <v>3.0533208722264864</v>
      </c>
      <c r="W1290" s="1612"/>
      <c r="X1290" s="1612"/>
      <c r="Y1290" s="1613"/>
      <c r="Z1290" s="1614"/>
      <c r="AA1290" s="1614"/>
      <c r="AB1290" s="1615"/>
      <c r="AC1290" s="1615"/>
      <c r="AD1290" s="583"/>
      <c r="AE1290" s="583"/>
    </row>
    <row r="1291" spans="1:31" ht="14">
      <c r="A1291" s="1384" t="s">
        <v>3468</v>
      </c>
      <c r="B1291" s="19" t="s">
        <v>4092</v>
      </c>
      <c r="C1291" s="1383">
        <v>2599</v>
      </c>
      <c r="D1291" s="1236"/>
      <c r="E1291" s="1236"/>
      <c r="F1291" s="1344">
        <f>(1/S1291)*cnst_fish!$C$6</f>
        <v>0.60129950673834842</v>
      </c>
      <c r="G1291" s="1344">
        <f t="shared" si="190"/>
        <v>1</v>
      </c>
      <c r="H1291" s="1344">
        <f t="shared" si="190"/>
        <v>0.367192066876738</v>
      </c>
      <c r="I1291" s="1344">
        <f t="shared" si="184"/>
        <v>0</v>
      </c>
      <c r="J1291" s="902">
        <f t="shared" si="185"/>
        <v>0</v>
      </c>
      <c r="L1291" s="1460">
        <v>11235</v>
      </c>
      <c r="M1291" s="1236"/>
      <c r="N1291" s="1240" t="s">
        <v>2441</v>
      </c>
      <c r="O1291" s="1241" t="s">
        <v>4840</v>
      </c>
      <c r="P1291" s="910">
        <f t="shared" si="186"/>
        <v>0</v>
      </c>
      <c r="Q1291" s="910">
        <f t="shared" si="187"/>
        <v>11235</v>
      </c>
      <c r="R1291" s="1344">
        <f t="shared" si="188"/>
        <v>2.7</v>
      </c>
      <c r="S1291" s="1344">
        <f>(1/9)*cnst_fish!$C$7*(1/cnst_fish!$C$8)^(R1291-1)</f>
        <v>7.0680250896153813</v>
      </c>
      <c r="T1291" s="1362">
        <f t="shared" si="189"/>
        <v>6860.8119998929151</v>
      </c>
      <c r="W1291" s="1612"/>
      <c r="X1291" s="1612"/>
      <c r="Y1291" s="1613"/>
      <c r="Z1291" s="1614"/>
      <c r="AA1291" s="1614"/>
      <c r="AB1291" s="1615"/>
      <c r="AC1291" s="1615"/>
      <c r="AD1291" s="583"/>
      <c r="AE1291" s="583"/>
    </row>
    <row r="1292" spans="1:31" ht="14">
      <c r="A1292" s="1384" t="s">
        <v>4187</v>
      </c>
      <c r="B1292" s="19" t="s">
        <v>4093</v>
      </c>
      <c r="C1292" s="1383">
        <v>2598</v>
      </c>
      <c r="D1292" s="1236"/>
      <c r="E1292" s="1236"/>
      <c r="F1292" s="1344">
        <f>(1/S1292)*cnst_fish!$C$6</f>
        <v>0.14760152601876345</v>
      </c>
      <c r="G1292" s="1344">
        <f t="shared" si="190"/>
        <v>1</v>
      </c>
      <c r="H1292" s="1344">
        <f t="shared" si="190"/>
        <v>0.367192066876738</v>
      </c>
      <c r="I1292" s="1344">
        <f t="shared" si="184"/>
        <v>0</v>
      </c>
      <c r="J1292" s="902">
        <f t="shared" si="185"/>
        <v>0</v>
      </c>
      <c r="L1292" s="1460">
        <v>22877</v>
      </c>
      <c r="M1292" s="1236"/>
      <c r="N1292" s="1240" t="s">
        <v>2441</v>
      </c>
      <c r="O1292" s="1241" t="s">
        <v>4840</v>
      </c>
      <c r="P1292" s="910">
        <f t="shared" si="186"/>
        <v>0</v>
      </c>
      <c r="Q1292" s="910">
        <f t="shared" si="187"/>
        <v>22877</v>
      </c>
      <c r="R1292" s="1344">
        <f t="shared" si="188"/>
        <v>3.31</v>
      </c>
      <c r="S1292" s="1344">
        <f>(1/9)*cnst_fish!$C$7*(1/cnst_fish!$C$8)^(R1292-1)</f>
        <v>28.793740245339542</v>
      </c>
      <c r="T1292" s="1362">
        <f t="shared" si="189"/>
        <v>56911.694211557646</v>
      </c>
      <c r="W1292" s="1612"/>
      <c r="X1292" s="1612"/>
      <c r="Y1292" s="1613"/>
      <c r="Z1292" s="1614"/>
      <c r="AA1292" s="1614"/>
      <c r="AB1292" s="1615"/>
      <c r="AC1292" s="1615"/>
      <c r="AD1292" s="583"/>
      <c r="AE1292" s="583"/>
    </row>
    <row r="1293" spans="1:31" ht="14">
      <c r="A1293" s="1384" t="s">
        <v>3426</v>
      </c>
      <c r="B1293" s="19" t="s">
        <v>2339</v>
      </c>
      <c r="C1293" s="1383">
        <v>2431</v>
      </c>
      <c r="D1293" s="1236"/>
      <c r="E1293" s="1236"/>
      <c r="F1293" s="1344">
        <f>(1/S1293)*cnst_fish!$C$6</f>
        <v>4.0652835961739346E-2</v>
      </c>
      <c r="G1293" s="1344">
        <f t="shared" si="190"/>
        <v>1</v>
      </c>
      <c r="H1293" s="1344">
        <f t="shared" si="190"/>
        <v>0.367192066876738</v>
      </c>
      <c r="I1293" s="1344">
        <f t="shared" si="184"/>
        <v>0</v>
      </c>
      <c r="J1293" s="902">
        <f t="shared" si="185"/>
        <v>0</v>
      </c>
      <c r="L1293" s="1460">
        <v>2283</v>
      </c>
      <c r="M1293" s="1236"/>
      <c r="N1293" s="1240" t="s">
        <v>1806</v>
      </c>
      <c r="O1293" s="1241" t="s">
        <v>4841</v>
      </c>
      <c r="P1293" s="910">
        <f t="shared" si="186"/>
        <v>0</v>
      </c>
      <c r="Q1293" s="910">
        <f t="shared" si="187"/>
        <v>2283</v>
      </c>
      <c r="R1293" s="1344">
        <f t="shared" si="188"/>
        <v>3.87</v>
      </c>
      <c r="S1293" s="1344">
        <f>(1/9)*cnst_fish!$C$7*(1/cnst_fish!$C$8)^(R1293-1)</f>
        <v>104.54375197833461</v>
      </c>
      <c r="T1293" s="1362">
        <f t="shared" si="189"/>
        <v>20620.935018372722</v>
      </c>
      <c r="W1293" s="1612"/>
      <c r="X1293" s="1612"/>
      <c r="Y1293" s="1613"/>
      <c r="Z1293" s="1614"/>
      <c r="AA1293" s="1614"/>
      <c r="AB1293" s="1615"/>
      <c r="AC1293" s="1615"/>
      <c r="AD1293" s="583"/>
      <c r="AE1293" s="583"/>
    </row>
    <row r="1294" spans="1:31" ht="14">
      <c r="A1294" s="1384" t="s">
        <v>6410</v>
      </c>
      <c r="B1294" s="19" t="s">
        <v>6409</v>
      </c>
      <c r="C1294" s="1383">
        <v>2339</v>
      </c>
      <c r="D1294" s="1236"/>
      <c r="E1294" s="1236"/>
      <c r="F1294" s="1344">
        <f>(1/S1294)*cnst_fish!$C$6</f>
        <v>7.5699122913220479E-2</v>
      </c>
      <c r="G1294" s="1344">
        <f t="shared" si="190"/>
        <v>1</v>
      </c>
      <c r="H1294" s="1344">
        <f t="shared" si="190"/>
        <v>0.367192066876738</v>
      </c>
      <c r="I1294" s="1344">
        <f t="shared" si="184"/>
        <v>0</v>
      </c>
      <c r="J1294" s="902">
        <f t="shared" si="185"/>
        <v>0</v>
      </c>
      <c r="L1294" s="1460">
        <v>40</v>
      </c>
      <c r="M1294" s="1236"/>
      <c r="N1294" s="1240" t="s">
        <v>1807</v>
      </c>
      <c r="O1294" s="1241" t="s">
        <v>4841</v>
      </c>
      <c r="P1294" s="910">
        <f t="shared" si="186"/>
        <v>0</v>
      </c>
      <c r="Q1294" s="910">
        <f t="shared" si="187"/>
        <v>40</v>
      </c>
      <c r="R1294" s="1344">
        <f t="shared" si="188"/>
        <v>3.6</v>
      </c>
      <c r="S1294" s="1344">
        <f>(1/9)*cnst_fish!$C$7*(1/cnst_fish!$C$8)^(R1294-1)</f>
        <v>56.143318924211187</v>
      </c>
      <c r="T1294" s="1362">
        <f t="shared" si="189"/>
        <v>194.0271182785975</v>
      </c>
      <c r="W1294" s="1612"/>
      <c r="X1294" s="1612"/>
      <c r="Y1294" s="1613"/>
      <c r="Z1294" s="1614"/>
      <c r="AA1294" s="1614"/>
      <c r="AB1294" s="1615"/>
      <c r="AC1294" s="1615"/>
      <c r="AD1294" s="583"/>
      <c r="AE1294" s="583"/>
    </row>
    <row r="1295" spans="1:31" ht="14">
      <c r="A1295" s="1384" t="s">
        <v>3175</v>
      </c>
      <c r="B1295" s="19" t="s">
        <v>5316</v>
      </c>
      <c r="C1295" s="1383">
        <v>3458</v>
      </c>
      <c r="D1295" s="1236"/>
      <c r="E1295" s="1236"/>
      <c r="F1295" s="1344">
        <f>(1/S1295)*cnst_fish!$C$6</f>
        <v>1.9014759972289452</v>
      </c>
      <c r="G1295" s="1344">
        <f t="shared" si="190"/>
        <v>1</v>
      </c>
      <c r="H1295" s="1344">
        <f t="shared" si="190"/>
        <v>0.367192066876738</v>
      </c>
      <c r="I1295" s="1344">
        <f t="shared" si="184"/>
        <v>0</v>
      </c>
      <c r="J1295" s="902">
        <f t="shared" si="185"/>
        <v>0</v>
      </c>
      <c r="L1295" s="1460"/>
      <c r="M1295" s="1236">
        <v>1</v>
      </c>
      <c r="N1295" s="1240" t="s">
        <v>1805</v>
      </c>
      <c r="O1295" s="1241" t="s">
        <v>4840</v>
      </c>
      <c r="P1295" s="910">
        <f t="shared" si="186"/>
        <v>0</v>
      </c>
      <c r="Q1295" s="910">
        <f t="shared" si="187"/>
        <v>1</v>
      </c>
      <c r="R1295" s="1344">
        <f t="shared" si="188"/>
        <v>2.2000000000000002</v>
      </c>
      <c r="S1295" s="1344">
        <f>(1/9)*cnst_fish!$C$7*(1/cnst_fish!$C$8)^(R1295-1)</f>
        <v>2.2351057842400328</v>
      </c>
      <c r="T1295" s="1362">
        <f t="shared" si="189"/>
        <v>0.19310896767135294</v>
      </c>
      <c r="W1295" s="1612"/>
      <c r="X1295" s="1612"/>
      <c r="Y1295" s="1613"/>
      <c r="Z1295" s="1614"/>
      <c r="AA1295" s="1614"/>
      <c r="AB1295" s="1615"/>
      <c r="AC1295" s="1615"/>
      <c r="AD1295" s="583"/>
      <c r="AE1295" s="583"/>
    </row>
    <row r="1296" spans="1:31" ht="14">
      <c r="A1296" s="1384" t="s">
        <v>4922</v>
      </c>
      <c r="B1296" s="19" t="s">
        <v>5099</v>
      </c>
      <c r="C1296" s="1383">
        <v>3127</v>
      </c>
      <c r="D1296" s="1236"/>
      <c r="E1296" s="1236"/>
      <c r="F1296" s="1344">
        <f>(1/S1296)*cnst_fish!$C$6</f>
        <v>0.35407139951132155</v>
      </c>
      <c r="G1296" s="1344">
        <f t="shared" si="190"/>
        <v>1</v>
      </c>
      <c r="H1296" s="1344">
        <f t="shared" si="190"/>
        <v>0.367192066876738</v>
      </c>
      <c r="I1296" s="1344">
        <f t="shared" si="184"/>
        <v>0</v>
      </c>
      <c r="J1296" s="902">
        <f t="shared" si="185"/>
        <v>0</v>
      </c>
      <c r="L1296" s="1460">
        <v>74948</v>
      </c>
      <c r="M1296" s="1236"/>
      <c r="N1296" s="1240" t="s">
        <v>1806</v>
      </c>
      <c r="O1296" s="1241" t="s">
        <v>4859</v>
      </c>
      <c r="P1296" s="910">
        <f t="shared" si="186"/>
        <v>0</v>
      </c>
      <c r="Q1296" s="910">
        <f t="shared" si="187"/>
        <v>74948</v>
      </c>
      <c r="R1296" s="1344">
        <f t="shared" si="188"/>
        <v>2.93</v>
      </c>
      <c r="S1296" s="1344">
        <f>(1/9)*cnst_fish!$C$7*(1/cnst_fish!$C$8)^(R1296-1)</f>
        <v>12.003228743879678</v>
      </c>
      <c r="T1296" s="1362">
        <f t="shared" si="189"/>
        <v>77725.314911795882</v>
      </c>
      <c r="W1296" s="1612"/>
      <c r="X1296" s="1612"/>
      <c r="Y1296" s="1613"/>
      <c r="Z1296" s="1614"/>
      <c r="AA1296" s="1614"/>
      <c r="AB1296" s="1615"/>
      <c r="AC1296" s="1615"/>
      <c r="AD1296" s="583"/>
      <c r="AE1296" s="583"/>
    </row>
    <row r="1297" spans="1:31" ht="14">
      <c r="A1297" s="1384" t="s">
        <v>711</v>
      </c>
      <c r="B1297" s="19" t="s">
        <v>2889</v>
      </c>
      <c r="C1297" s="1383">
        <v>14169</v>
      </c>
      <c r="D1297" s="1236"/>
      <c r="E1297" s="1236"/>
      <c r="F1297" s="1344">
        <f>(1/S1297)*cnst_fish!$C$6</f>
        <v>9.5299549485983348E-2</v>
      </c>
      <c r="G1297" s="1344">
        <f t="shared" si="190"/>
        <v>1</v>
      </c>
      <c r="H1297" s="1344">
        <f t="shared" si="190"/>
        <v>0.367192066876738</v>
      </c>
      <c r="I1297" s="1344">
        <f t="shared" si="184"/>
        <v>0</v>
      </c>
      <c r="J1297" s="902">
        <f t="shared" si="185"/>
        <v>0</v>
      </c>
      <c r="L1297" s="1460">
        <v>0</v>
      </c>
      <c r="M1297" s="1236"/>
      <c r="N1297" s="1240" t="s">
        <v>1806</v>
      </c>
      <c r="O1297" s="1241" t="s">
        <v>4841</v>
      </c>
      <c r="P1297" s="910">
        <f t="shared" si="186"/>
        <v>0</v>
      </c>
      <c r="Q1297" s="910">
        <f t="shared" si="187"/>
        <v>0</v>
      </c>
      <c r="R1297" s="1344">
        <f t="shared" si="188"/>
        <v>3.5</v>
      </c>
      <c r="S1297" s="1344">
        <f>(1/9)*cnst_fish!$C$7*(1/cnst_fish!$C$8)^(R1297-1)</f>
        <v>44.596223412631026</v>
      </c>
      <c r="T1297" s="1362">
        <f t="shared" si="189"/>
        <v>0</v>
      </c>
      <c r="W1297" s="1612"/>
      <c r="X1297" s="1612"/>
      <c r="Y1297" s="1613"/>
      <c r="Z1297" s="1614"/>
      <c r="AA1297" s="1614"/>
      <c r="AB1297" s="1615"/>
      <c r="AC1297" s="1615"/>
      <c r="AD1297" s="583"/>
      <c r="AE1297" s="583"/>
    </row>
    <row r="1298" spans="1:31" ht="14">
      <c r="A1298" s="1384" t="s">
        <v>5646</v>
      </c>
      <c r="B1298" s="19" t="s">
        <v>5647</v>
      </c>
      <c r="C1298" s="1383">
        <v>18646</v>
      </c>
      <c r="D1298" s="1236"/>
      <c r="E1298" s="1236"/>
      <c r="F1298" s="1344">
        <f>(1/S1298)*cnst_fish!$C$6</f>
        <v>3.0136363636363641</v>
      </c>
      <c r="G1298" s="1344">
        <f t="shared" si="190"/>
        <v>1</v>
      </c>
      <c r="H1298" s="1344">
        <f t="shared" si="190"/>
        <v>0.367192066876738</v>
      </c>
      <c r="I1298" s="1344">
        <f t="shared" si="184"/>
        <v>0</v>
      </c>
      <c r="J1298" s="902">
        <f t="shared" si="185"/>
        <v>0</v>
      </c>
      <c r="L1298" s="1460">
        <v>0</v>
      </c>
      <c r="M1298" s="1236"/>
      <c r="N1298" s="1240" t="s">
        <v>2434</v>
      </c>
      <c r="O1298" s="1241" t="s">
        <v>4835</v>
      </c>
      <c r="P1298" s="910">
        <f t="shared" si="186"/>
        <v>0</v>
      </c>
      <c r="Q1298" s="910">
        <f t="shared" si="187"/>
        <v>0</v>
      </c>
      <c r="R1298" s="1344">
        <f t="shared" si="188"/>
        <v>2</v>
      </c>
      <c r="S1298" s="1344">
        <f>(1/9)*cnst_fish!$C$7*(1/cnst_fish!$C$8)^(R1298-1)</f>
        <v>1.4102564102564099</v>
      </c>
      <c r="T1298" s="1362">
        <f t="shared" si="189"/>
        <v>0</v>
      </c>
      <c r="W1298" s="1612"/>
      <c r="X1298" s="1612"/>
      <c r="Y1298" s="1613"/>
      <c r="Z1298" s="1614"/>
      <c r="AA1298" s="1614"/>
      <c r="AB1298" s="1615"/>
      <c r="AC1298" s="1615"/>
      <c r="AD1298" s="583"/>
      <c r="AE1298" s="583"/>
    </row>
    <row r="1299" spans="1:31" ht="14">
      <c r="A1299" s="1384" t="s">
        <v>3462</v>
      </c>
      <c r="B1299" s="19" t="s">
        <v>2380</v>
      </c>
      <c r="C1299" s="1383">
        <v>14195</v>
      </c>
      <c r="D1299" s="1236"/>
      <c r="E1299" s="1236"/>
      <c r="F1299" s="1344">
        <f>(1/S1299)*cnst_fish!$C$6</f>
        <v>0.33813556145554602</v>
      </c>
      <c r="G1299" s="1344">
        <f t="shared" si="190"/>
        <v>1</v>
      </c>
      <c r="H1299" s="1344">
        <f t="shared" si="190"/>
        <v>0.367192066876738</v>
      </c>
      <c r="I1299" s="1344">
        <f t="shared" si="184"/>
        <v>0</v>
      </c>
      <c r="J1299" s="902">
        <f t="shared" si="185"/>
        <v>0</v>
      </c>
      <c r="L1299" s="1460">
        <v>429</v>
      </c>
      <c r="M1299" s="1236"/>
      <c r="N1299" s="1240" t="s">
        <v>1806</v>
      </c>
      <c r="O1299" s="1241" t="s">
        <v>4841</v>
      </c>
      <c r="P1299" s="910">
        <f t="shared" si="186"/>
        <v>0</v>
      </c>
      <c r="Q1299" s="910">
        <f t="shared" si="187"/>
        <v>429</v>
      </c>
      <c r="R1299" s="1344">
        <f t="shared" si="188"/>
        <v>2.95</v>
      </c>
      <c r="S1299" s="1344">
        <f>(1/9)*cnst_fish!$C$7*(1/cnst_fish!$C$8)^(R1299-1)</f>
        <v>12.568923486501548</v>
      </c>
      <c r="T1299" s="1362">
        <f t="shared" si="189"/>
        <v>465.86462545386593</v>
      </c>
      <c r="W1299" s="1612"/>
      <c r="X1299" s="1612"/>
      <c r="Y1299" s="1613"/>
      <c r="Z1299" s="1614"/>
      <c r="AA1299" s="1614"/>
      <c r="AB1299" s="1615"/>
      <c r="AC1299" s="1615"/>
      <c r="AD1299" s="583"/>
      <c r="AE1299" s="583"/>
    </row>
    <row r="1300" spans="1:31" ht="14">
      <c r="A1300" s="1384" t="s">
        <v>3947</v>
      </c>
      <c r="B1300" s="19" t="s">
        <v>2890</v>
      </c>
      <c r="C1300" s="1383">
        <v>16071</v>
      </c>
      <c r="D1300" s="1236"/>
      <c r="E1300" s="1236"/>
      <c r="F1300" s="1344">
        <f>(1/S1300)*cnst_fish!$C$6</f>
        <v>0.15103960722494611</v>
      </c>
      <c r="G1300" s="1344">
        <f t="shared" si="190"/>
        <v>1</v>
      </c>
      <c r="H1300" s="1344">
        <f t="shared" si="190"/>
        <v>0.367192066876738</v>
      </c>
      <c r="I1300" s="1344">
        <f t="shared" si="184"/>
        <v>0</v>
      </c>
      <c r="J1300" s="902">
        <f t="shared" si="185"/>
        <v>0</v>
      </c>
      <c r="L1300" s="1460">
        <v>5</v>
      </c>
      <c r="M1300" s="1236"/>
      <c r="N1300" s="1240" t="s">
        <v>1806</v>
      </c>
      <c r="O1300" s="1241" t="s">
        <v>4841</v>
      </c>
      <c r="P1300" s="910">
        <f t="shared" si="186"/>
        <v>0</v>
      </c>
      <c r="Q1300" s="910">
        <f t="shared" si="187"/>
        <v>5</v>
      </c>
      <c r="R1300" s="1344">
        <f t="shared" si="188"/>
        <v>3.3</v>
      </c>
      <c r="S1300" s="1344">
        <f>(1/9)*cnst_fish!$C$7*(1/cnst_fish!$C$8)^(R1300-1)</f>
        <v>28.138314698279075</v>
      </c>
      <c r="T1300" s="1362">
        <f t="shared" si="189"/>
        <v>12.155489332340226</v>
      </c>
      <c r="W1300" s="1612"/>
      <c r="X1300" s="1612"/>
      <c r="Y1300" s="1613"/>
      <c r="Z1300" s="1614"/>
      <c r="AA1300" s="1614"/>
      <c r="AB1300" s="1615"/>
      <c r="AC1300" s="1615"/>
      <c r="AD1300" s="583"/>
      <c r="AE1300" s="583"/>
    </row>
    <row r="1301" spans="1:31" ht="14">
      <c r="A1301" s="1384" t="s">
        <v>3559</v>
      </c>
      <c r="B1301" s="19" t="s">
        <v>5100</v>
      </c>
      <c r="C1301" s="1383">
        <v>3125</v>
      </c>
      <c r="D1301" s="1236"/>
      <c r="E1301" s="1236"/>
      <c r="F1301" s="1344">
        <f>(1/S1301)*cnst_fish!$C$6</f>
        <v>8.4935812883106004E-2</v>
      </c>
      <c r="G1301" s="1344">
        <f t="shared" si="190"/>
        <v>1</v>
      </c>
      <c r="H1301" s="1344">
        <f t="shared" si="190"/>
        <v>0.367192066876738</v>
      </c>
      <c r="I1301" s="1344">
        <f t="shared" si="184"/>
        <v>0</v>
      </c>
      <c r="J1301" s="902">
        <f t="shared" si="185"/>
        <v>0</v>
      </c>
      <c r="L1301" s="1460">
        <v>1341</v>
      </c>
      <c r="M1301" s="1236"/>
      <c r="N1301" s="1240" t="s">
        <v>1806</v>
      </c>
      <c r="O1301" s="1241" t="s">
        <v>4859</v>
      </c>
      <c r="P1301" s="910">
        <f t="shared" si="186"/>
        <v>0</v>
      </c>
      <c r="Q1301" s="910">
        <f t="shared" si="187"/>
        <v>1341</v>
      </c>
      <c r="R1301" s="1344">
        <f t="shared" si="188"/>
        <v>3.55</v>
      </c>
      <c r="S1301" s="1344">
        <f>(1/9)*cnst_fish!$C$7*(1/cnst_fish!$C$8)^(R1301-1)</f>
        <v>50.037785661145278</v>
      </c>
      <c r="T1301" s="1362">
        <f t="shared" si="189"/>
        <v>5797.372686117501</v>
      </c>
      <c r="W1301" s="1612"/>
      <c r="X1301" s="1612"/>
      <c r="Y1301" s="1613"/>
      <c r="Z1301" s="1614"/>
      <c r="AA1301" s="1614"/>
      <c r="AB1301" s="1615"/>
      <c r="AC1301" s="1615"/>
      <c r="AD1301" s="583"/>
      <c r="AE1301" s="583"/>
    </row>
    <row r="1302" spans="1:31" ht="14">
      <c r="A1302" s="1384" t="s">
        <v>3562</v>
      </c>
      <c r="B1302" s="19" t="s">
        <v>5255</v>
      </c>
      <c r="C1302" s="1383">
        <v>3241</v>
      </c>
      <c r="D1302" s="1236">
        <v>0</v>
      </c>
      <c r="E1302" s="1236"/>
      <c r="F1302" s="1344">
        <f>(1/S1302)*cnst_fish!$C$6</f>
        <v>4.1599762155986937E-2</v>
      </c>
      <c r="G1302" s="1344">
        <f t="shared" si="190"/>
        <v>1</v>
      </c>
      <c r="H1302" s="1344">
        <f t="shared" si="190"/>
        <v>0.367192066876738</v>
      </c>
      <c r="I1302" s="1344">
        <f t="shared" si="184"/>
        <v>0</v>
      </c>
      <c r="J1302" s="902">
        <f t="shared" si="185"/>
        <v>0</v>
      </c>
      <c r="L1302" s="1460">
        <v>11</v>
      </c>
      <c r="M1302" s="1236"/>
      <c r="N1302" s="1240" t="s">
        <v>1806</v>
      </c>
      <c r="O1302" s="1241" t="s">
        <v>4841</v>
      </c>
      <c r="P1302" s="910">
        <f t="shared" si="186"/>
        <v>0</v>
      </c>
      <c r="Q1302" s="910">
        <f t="shared" si="187"/>
        <v>11</v>
      </c>
      <c r="R1302" s="1344">
        <f t="shared" si="188"/>
        <v>3.86</v>
      </c>
      <c r="S1302" s="1344">
        <f>(1/9)*cnst_fish!$C$7*(1/cnst_fish!$C$8)^(R1302-1)</f>
        <v>102.16404565160117</v>
      </c>
      <c r="T1302" s="1362">
        <f t="shared" si="189"/>
        <v>97.094611274425716</v>
      </c>
      <c r="W1302" s="1612"/>
      <c r="X1302" s="1612"/>
      <c r="Y1302" s="1613"/>
      <c r="Z1302" s="1614"/>
      <c r="AA1302" s="1614"/>
      <c r="AB1302" s="1615"/>
      <c r="AC1302" s="1615"/>
      <c r="AD1302" s="583"/>
      <c r="AE1302" s="583"/>
    </row>
    <row r="1303" spans="1:31" ht="14">
      <c r="A1303" s="1384" t="s">
        <v>3555</v>
      </c>
      <c r="B1303" s="19" t="s">
        <v>5256</v>
      </c>
      <c r="C1303" s="1383">
        <v>2446</v>
      </c>
      <c r="D1303" s="1236"/>
      <c r="E1303" s="1236"/>
      <c r="F1303" s="1344">
        <f>(1/S1303)*cnst_fish!$C$6</f>
        <v>9.7519361156519699E-2</v>
      </c>
      <c r="G1303" s="1344">
        <f t="shared" si="190"/>
        <v>1</v>
      </c>
      <c r="H1303" s="1344">
        <f t="shared" si="190"/>
        <v>0.367192066876738</v>
      </c>
      <c r="I1303" s="1344">
        <f t="shared" si="184"/>
        <v>0</v>
      </c>
      <c r="J1303" s="902">
        <f t="shared" si="185"/>
        <v>0</v>
      </c>
      <c r="L1303" s="1460">
        <v>15446</v>
      </c>
      <c r="M1303" s="1236"/>
      <c r="N1303" s="1240" t="s">
        <v>1806</v>
      </c>
      <c r="O1303" s="1241" t="s">
        <v>4841</v>
      </c>
      <c r="P1303" s="910">
        <f t="shared" si="186"/>
        <v>0</v>
      </c>
      <c r="Q1303" s="910">
        <f t="shared" si="187"/>
        <v>15446</v>
      </c>
      <c r="R1303" s="1344">
        <f t="shared" si="188"/>
        <v>3.49</v>
      </c>
      <c r="S1303" s="1344">
        <f>(1/9)*cnst_fish!$C$7*(1/cnst_fish!$C$8)^(R1303-1)</f>
        <v>43.581089432884006</v>
      </c>
      <c r="T1303" s="1362">
        <f t="shared" si="189"/>
        <v>58159.206517719424</v>
      </c>
      <c r="W1303" s="1612"/>
      <c r="X1303" s="1612"/>
      <c r="Y1303" s="1613"/>
      <c r="Z1303" s="1614"/>
      <c r="AA1303" s="1614"/>
      <c r="AB1303" s="1615"/>
      <c r="AC1303" s="1615"/>
      <c r="AD1303" s="583"/>
      <c r="AE1303" s="583"/>
    </row>
    <row r="1304" spans="1:31" ht="14">
      <c r="A1304" s="1384" t="s">
        <v>2748</v>
      </c>
      <c r="B1304" s="19" t="s">
        <v>1663</v>
      </c>
      <c r="C1304" s="1383">
        <v>3525</v>
      </c>
      <c r="D1304" s="1236">
        <v>918</v>
      </c>
      <c r="E1304" s="1236"/>
      <c r="F1304" s="1344">
        <f>(1/S1304)*cnst_fish!$C$6</f>
        <v>2.3938164528281742</v>
      </c>
      <c r="G1304" s="1344">
        <f t="shared" si="190"/>
        <v>1</v>
      </c>
      <c r="H1304" s="1344">
        <f t="shared" si="190"/>
        <v>0.367192066876738</v>
      </c>
      <c r="I1304" s="1344">
        <f t="shared" si="184"/>
        <v>140.81376915702941</v>
      </c>
      <c r="J1304" s="902">
        <f t="shared" si="185"/>
        <v>0</v>
      </c>
      <c r="L1304" s="1460">
        <v>918</v>
      </c>
      <c r="M1304" s="1236"/>
      <c r="N1304" s="1240" t="s">
        <v>2437</v>
      </c>
      <c r="O1304" s="1241" t="s">
        <v>4851</v>
      </c>
      <c r="P1304" s="910">
        <f t="shared" si="186"/>
        <v>918</v>
      </c>
      <c r="Q1304" s="910">
        <f t="shared" si="187"/>
        <v>918</v>
      </c>
      <c r="R1304" s="1344">
        <f t="shared" si="188"/>
        <v>2.1</v>
      </c>
      <c r="S1304" s="1344">
        <f>(1/9)*cnst_fish!$C$7*(1/cnst_fish!$C$8)^(R1304-1)</f>
        <v>1.7754076320174161</v>
      </c>
      <c r="T1304" s="1362">
        <f t="shared" si="189"/>
        <v>140.81376915702941</v>
      </c>
      <c r="W1304" s="1612"/>
      <c r="X1304" s="1612"/>
      <c r="Y1304" s="1613"/>
      <c r="Z1304" s="1614"/>
      <c r="AA1304" s="1614"/>
      <c r="AB1304" s="1615"/>
      <c r="AC1304" s="1615"/>
      <c r="AD1304" s="583"/>
      <c r="AE1304" s="583"/>
    </row>
    <row r="1305" spans="1:31" ht="14">
      <c r="A1305" s="1384" t="s">
        <v>2768</v>
      </c>
      <c r="B1305" s="19" t="s">
        <v>1664</v>
      </c>
      <c r="C1305" s="1383">
        <v>2679</v>
      </c>
      <c r="D1305" s="1236"/>
      <c r="E1305" s="1236"/>
      <c r="F1305" s="1344">
        <f>(1/S1305)*cnst_fish!$C$6</f>
        <v>2.3938164528281742</v>
      </c>
      <c r="G1305" s="1344">
        <f t="shared" si="190"/>
        <v>1</v>
      </c>
      <c r="H1305" s="1344">
        <f t="shared" si="190"/>
        <v>0.367192066876738</v>
      </c>
      <c r="I1305" s="1344">
        <f t="shared" si="184"/>
        <v>0</v>
      </c>
      <c r="J1305" s="902">
        <f t="shared" si="185"/>
        <v>0</v>
      </c>
      <c r="L1305" s="1460">
        <v>351188</v>
      </c>
      <c r="M1305" s="1236"/>
      <c r="N1305" s="1240" t="s">
        <v>2437</v>
      </c>
      <c r="O1305" s="1241" t="s">
        <v>4851</v>
      </c>
      <c r="P1305" s="910">
        <f t="shared" si="186"/>
        <v>0</v>
      </c>
      <c r="Q1305" s="910">
        <f t="shared" si="187"/>
        <v>351188</v>
      </c>
      <c r="R1305" s="1344">
        <f t="shared" si="188"/>
        <v>2.1</v>
      </c>
      <c r="S1305" s="1344">
        <f>(1/9)*cnst_fish!$C$7*(1/cnst_fish!$C$8)^(R1305-1)</f>
        <v>1.7754076320174161</v>
      </c>
      <c r="T1305" s="1362">
        <f t="shared" si="189"/>
        <v>53869.396473549932</v>
      </c>
      <c r="W1305" s="1612"/>
      <c r="X1305" s="1612"/>
      <c r="Y1305" s="1613"/>
      <c r="Z1305" s="1614"/>
      <c r="AA1305" s="1614"/>
      <c r="AB1305" s="1615"/>
      <c r="AC1305" s="1615"/>
      <c r="AD1305" s="583"/>
      <c r="AE1305" s="583"/>
    </row>
    <row r="1306" spans="1:31" ht="14">
      <c r="A1306" s="1384" t="s">
        <v>1221</v>
      </c>
      <c r="B1306" s="19" t="s">
        <v>3750</v>
      </c>
      <c r="C1306" s="1383">
        <v>3517</v>
      </c>
      <c r="D1306" s="1236"/>
      <c r="E1306" s="1236"/>
      <c r="F1306" s="1344">
        <f>(1/S1306)*cnst_fish!$C$6</f>
        <v>2.3938164528281742</v>
      </c>
      <c r="G1306" s="1344">
        <f t="shared" si="190"/>
        <v>1</v>
      </c>
      <c r="H1306" s="1344">
        <f t="shared" si="190"/>
        <v>0.367192066876738</v>
      </c>
      <c r="I1306" s="1344">
        <f t="shared" si="184"/>
        <v>0</v>
      </c>
      <c r="J1306" s="902">
        <f t="shared" si="185"/>
        <v>0</v>
      </c>
      <c r="L1306" s="1460">
        <v>116</v>
      </c>
      <c r="M1306" s="1236"/>
      <c r="N1306" s="1240" t="s">
        <v>2437</v>
      </c>
      <c r="O1306" s="1241" t="s">
        <v>4851</v>
      </c>
      <c r="P1306" s="910">
        <f t="shared" si="186"/>
        <v>0</v>
      </c>
      <c r="Q1306" s="910">
        <f t="shared" si="187"/>
        <v>116</v>
      </c>
      <c r="R1306" s="1344">
        <f t="shared" si="188"/>
        <v>2.1</v>
      </c>
      <c r="S1306" s="1344">
        <f>(1/9)*cnst_fish!$C$7*(1/cnst_fish!$C$8)^(R1306-1)</f>
        <v>1.7754076320174161</v>
      </c>
      <c r="T1306" s="1362">
        <f t="shared" si="189"/>
        <v>17.793461026378441</v>
      </c>
      <c r="W1306" s="1612"/>
      <c r="X1306" s="1612"/>
      <c r="Y1306" s="1613"/>
      <c r="Z1306" s="1614"/>
      <c r="AA1306" s="1614"/>
      <c r="AB1306" s="1615"/>
      <c r="AC1306" s="1615"/>
      <c r="AD1306" s="583"/>
      <c r="AE1306" s="583"/>
    </row>
    <row r="1307" spans="1:31" ht="14">
      <c r="A1307" s="1384" t="s">
        <v>1339</v>
      </c>
      <c r="B1307" s="19" t="s">
        <v>3751</v>
      </c>
      <c r="C1307" s="1383">
        <v>3516</v>
      </c>
      <c r="D1307" s="1236"/>
      <c r="E1307" s="1236"/>
      <c r="F1307" s="1344">
        <f>(1/S1307)*cnst_fish!$C$6</f>
        <v>2.3938164528281742</v>
      </c>
      <c r="G1307" s="1344">
        <f t="shared" si="190"/>
        <v>1</v>
      </c>
      <c r="H1307" s="1344">
        <f t="shared" si="190"/>
        <v>0.367192066876738</v>
      </c>
      <c r="I1307" s="1344">
        <f t="shared" si="184"/>
        <v>0</v>
      </c>
      <c r="J1307" s="902">
        <f t="shared" si="185"/>
        <v>0</v>
      </c>
      <c r="L1307" s="1460">
        <v>65632</v>
      </c>
      <c r="M1307" s="1236"/>
      <c r="N1307" s="1240" t="s">
        <v>2437</v>
      </c>
      <c r="O1307" s="1241" t="s">
        <v>4851</v>
      </c>
      <c r="P1307" s="910">
        <f t="shared" si="186"/>
        <v>0</v>
      </c>
      <c r="Q1307" s="910">
        <f t="shared" si="187"/>
        <v>65632</v>
      </c>
      <c r="R1307" s="1344">
        <f t="shared" si="188"/>
        <v>2.1</v>
      </c>
      <c r="S1307" s="1344">
        <f>(1/9)*cnst_fish!$C$7*(1/cnst_fish!$C$8)^(R1307-1)</f>
        <v>1.7754076320174161</v>
      </c>
      <c r="T1307" s="1362">
        <f t="shared" si="189"/>
        <v>10067.417535200602</v>
      </c>
      <c r="W1307" s="1612"/>
      <c r="X1307" s="1612"/>
      <c r="Y1307" s="1613"/>
      <c r="Z1307" s="1614"/>
      <c r="AA1307" s="1614"/>
      <c r="AB1307" s="1615"/>
      <c r="AC1307" s="1615"/>
      <c r="AD1307" s="583"/>
      <c r="AE1307" s="583"/>
    </row>
    <row r="1308" spans="1:31" ht="14">
      <c r="A1308" s="1384" t="s">
        <v>5196</v>
      </c>
      <c r="B1308" s="19" t="s">
        <v>3752</v>
      </c>
      <c r="C1308" s="1383">
        <v>2681</v>
      </c>
      <c r="D1308" s="1236"/>
      <c r="E1308" s="1236"/>
      <c r="F1308" s="1344">
        <f>(1/S1308)*cnst_fish!$C$6</f>
        <v>2.3938164528281742</v>
      </c>
      <c r="G1308" s="1344">
        <f t="shared" ref="G1308:H1327" si="191">G$7</f>
        <v>1</v>
      </c>
      <c r="H1308" s="1344">
        <f t="shared" si="191"/>
        <v>0.367192066876738</v>
      </c>
      <c r="I1308" s="1344">
        <f t="shared" si="184"/>
        <v>0</v>
      </c>
      <c r="J1308" s="902">
        <f t="shared" si="185"/>
        <v>0</v>
      </c>
      <c r="L1308" s="1460">
        <v>751</v>
      </c>
      <c r="M1308" s="1236"/>
      <c r="N1308" s="1240" t="s">
        <v>2437</v>
      </c>
      <c r="O1308" s="1241" t="s">
        <v>4851</v>
      </c>
      <c r="P1308" s="910">
        <f t="shared" si="186"/>
        <v>0</v>
      </c>
      <c r="Q1308" s="910">
        <f t="shared" si="187"/>
        <v>751</v>
      </c>
      <c r="R1308" s="1344">
        <f t="shared" si="188"/>
        <v>2.1</v>
      </c>
      <c r="S1308" s="1344">
        <f>(1/9)*cnst_fish!$C$7*(1/cnst_fish!$C$8)^(R1308-1)</f>
        <v>1.7754076320174161</v>
      </c>
      <c r="T1308" s="1362">
        <f t="shared" si="189"/>
        <v>115.19732095526044</v>
      </c>
      <c r="W1308" s="1612"/>
      <c r="X1308" s="1612"/>
      <c r="Y1308" s="1613"/>
      <c r="Z1308" s="1614"/>
      <c r="AA1308" s="1614"/>
      <c r="AB1308" s="1615"/>
      <c r="AC1308" s="1615"/>
      <c r="AD1308" s="583"/>
      <c r="AE1308" s="583"/>
    </row>
    <row r="1309" spans="1:31" ht="14">
      <c r="A1309" s="1384" t="s">
        <v>1642</v>
      </c>
      <c r="B1309" s="19" t="s">
        <v>3753</v>
      </c>
      <c r="C1309" s="1383">
        <v>2678</v>
      </c>
      <c r="D1309" s="1236">
        <v>0</v>
      </c>
      <c r="E1309" s="1236"/>
      <c r="F1309" s="1344">
        <f>(1/S1309)*cnst_fish!$C$6</f>
        <v>2.3938164528281742</v>
      </c>
      <c r="G1309" s="1344">
        <f t="shared" si="191"/>
        <v>1</v>
      </c>
      <c r="H1309" s="1344">
        <f t="shared" si="191"/>
        <v>0.367192066876738</v>
      </c>
      <c r="I1309" s="1344">
        <f t="shared" si="184"/>
        <v>0</v>
      </c>
      <c r="J1309" s="902">
        <f t="shared" si="185"/>
        <v>0</v>
      </c>
      <c r="L1309" s="1460">
        <v>10628</v>
      </c>
      <c r="M1309" s="1236"/>
      <c r="N1309" s="1240" t="s">
        <v>2437</v>
      </c>
      <c r="O1309" s="1241" t="s">
        <v>4851</v>
      </c>
      <c r="P1309" s="910">
        <f t="shared" si="186"/>
        <v>0</v>
      </c>
      <c r="Q1309" s="910">
        <f t="shared" si="187"/>
        <v>10628</v>
      </c>
      <c r="R1309" s="1344">
        <f t="shared" si="188"/>
        <v>2.1</v>
      </c>
      <c r="S1309" s="1344">
        <f>(1/9)*cnst_fish!$C$7*(1/cnst_fish!$C$8)^(R1309-1)</f>
        <v>1.7754076320174161</v>
      </c>
      <c r="T1309" s="1362">
        <f t="shared" si="189"/>
        <v>1630.2491705892248</v>
      </c>
      <c r="W1309" s="1612"/>
      <c r="X1309" s="1612"/>
      <c r="Y1309" s="1613"/>
      <c r="Z1309" s="1614"/>
      <c r="AA1309" s="1614"/>
      <c r="AB1309" s="1615"/>
      <c r="AC1309" s="1615"/>
      <c r="AD1309" s="583"/>
      <c r="AE1309" s="583"/>
    </row>
    <row r="1310" spans="1:31" ht="14">
      <c r="A1310" s="1384" t="s">
        <v>4097</v>
      </c>
      <c r="B1310" s="19" t="s">
        <v>1302</v>
      </c>
      <c r="C1310" s="1383">
        <v>14234</v>
      </c>
      <c r="D1310" s="1236"/>
      <c r="E1310" s="1236"/>
      <c r="F1310" s="1344">
        <f>(1/S1310)*cnst_fish!$C$6</f>
        <v>9.5299549485983348E-2</v>
      </c>
      <c r="G1310" s="1344">
        <f t="shared" si="191"/>
        <v>1</v>
      </c>
      <c r="H1310" s="1344">
        <f t="shared" si="191"/>
        <v>0.367192066876738</v>
      </c>
      <c r="I1310" s="1344">
        <f t="shared" si="184"/>
        <v>0</v>
      </c>
      <c r="J1310" s="902">
        <f t="shared" si="185"/>
        <v>0</v>
      </c>
      <c r="L1310" s="1460">
        <v>25</v>
      </c>
      <c r="M1310" s="1236"/>
      <c r="N1310" s="1240" t="s">
        <v>1806</v>
      </c>
      <c r="O1310" s="1241" t="s">
        <v>4841</v>
      </c>
      <c r="P1310" s="910">
        <f t="shared" si="186"/>
        <v>0</v>
      </c>
      <c r="Q1310" s="910">
        <f t="shared" si="187"/>
        <v>25</v>
      </c>
      <c r="R1310" s="1344">
        <f t="shared" si="188"/>
        <v>3.5</v>
      </c>
      <c r="S1310" s="1344">
        <f>(1/9)*cnst_fish!$C$7*(1/cnst_fish!$C$8)^(R1310-1)</f>
        <v>44.596223412631026</v>
      </c>
      <c r="T1310" s="1362">
        <f t="shared" si="189"/>
        <v>96.325761469298598</v>
      </c>
      <c r="W1310" s="1612"/>
      <c r="X1310" s="1612"/>
      <c r="Y1310" s="1613"/>
      <c r="Z1310" s="1614"/>
      <c r="AA1310" s="1614"/>
      <c r="AB1310" s="1615"/>
      <c r="AC1310" s="1615"/>
      <c r="AD1310" s="583"/>
      <c r="AE1310" s="583"/>
    </row>
    <row r="1311" spans="1:31" ht="14">
      <c r="A1311" s="1384" t="s">
        <v>950</v>
      </c>
      <c r="B1311" s="19" t="s">
        <v>2484</v>
      </c>
      <c r="C1311" s="1383">
        <v>2170</v>
      </c>
      <c r="D1311" s="1236"/>
      <c r="E1311" s="1236"/>
      <c r="F1311" s="1344">
        <f>(1/S1311)*cnst_fish!$C$6</f>
        <v>0.1409583630333692</v>
      </c>
      <c r="G1311" s="1344">
        <f t="shared" si="191"/>
        <v>1</v>
      </c>
      <c r="H1311" s="1344">
        <f t="shared" si="191"/>
        <v>0.367192066876738</v>
      </c>
      <c r="I1311" s="1344">
        <f t="shared" si="184"/>
        <v>0</v>
      </c>
      <c r="J1311" s="902">
        <f t="shared" si="185"/>
        <v>0</v>
      </c>
      <c r="L1311" s="1460">
        <v>349</v>
      </c>
      <c r="M1311" s="1236">
        <v>2784</v>
      </c>
      <c r="N1311" s="1240" t="s">
        <v>1806</v>
      </c>
      <c r="O1311" s="1241" t="s">
        <v>4845</v>
      </c>
      <c r="P1311" s="910">
        <f t="shared" si="186"/>
        <v>0</v>
      </c>
      <c r="Q1311" s="910">
        <f t="shared" si="187"/>
        <v>3133</v>
      </c>
      <c r="R1311" s="1344">
        <f t="shared" si="188"/>
        <v>3.33</v>
      </c>
      <c r="S1311" s="1344">
        <f>(1/9)*cnst_fish!$C$7*(1/cnst_fish!$C$8)^(R1311-1)</f>
        <v>30.15074741605714</v>
      </c>
      <c r="T1311" s="1362">
        <f t="shared" si="189"/>
        <v>8161.3656740074512</v>
      </c>
      <c r="W1311" s="1612"/>
      <c r="X1311" s="1612"/>
      <c r="Y1311" s="1613"/>
      <c r="Z1311" s="1614"/>
      <c r="AA1311" s="1614"/>
      <c r="AB1311" s="1615"/>
      <c r="AC1311" s="1615"/>
      <c r="AD1311" s="583"/>
      <c r="AE1311" s="583"/>
    </row>
    <row r="1312" spans="1:31" ht="14">
      <c r="A1312" s="1384" t="s">
        <v>1081</v>
      </c>
      <c r="B1312" s="19" t="s">
        <v>1568</v>
      </c>
      <c r="C1312" s="1383">
        <v>2925</v>
      </c>
      <c r="D1312" s="1236"/>
      <c r="E1312" s="1236"/>
      <c r="F1312" s="1344">
        <f>(1/S1312)*cnst_fish!$C$6</f>
        <v>3.3813556145554591E-2</v>
      </c>
      <c r="G1312" s="1344">
        <f t="shared" si="191"/>
        <v>1</v>
      </c>
      <c r="H1312" s="1344">
        <f t="shared" si="191"/>
        <v>0.367192066876738</v>
      </c>
      <c r="I1312" s="1344">
        <f t="shared" si="184"/>
        <v>0</v>
      </c>
      <c r="J1312" s="902">
        <f t="shared" si="185"/>
        <v>0</v>
      </c>
      <c r="L1312" s="1460">
        <v>18783</v>
      </c>
      <c r="M1312" s="1236"/>
      <c r="N1312" s="1240" t="s">
        <v>1806</v>
      </c>
      <c r="O1312" s="1241" t="s">
        <v>4845</v>
      </c>
      <c r="P1312" s="910">
        <f t="shared" si="186"/>
        <v>0</v>
      </c>
      <c r="Q1312" s="910">
        <f t="shared" si="187"/>
        <v>18783</v>
      </c>
      <c r="R1312" s="1344">
        <f t="shared" si="188"/>
        <v>3.95</v>
      </c>
      <c r="S1312" s="1344">
        <f>(1/9)*cnst_fish!$C$7*(1/cnst_fish!$C$8)^(R1312-1)</f>
        <v>125.68923486501552</v>
      </c>
      <c r="T1312" s="1362">
        <f t="shared" si="189"/>
        <v>203970.51887878712</v>
      </c>
      <c r="W1312" s="1612"/>
      <c r="X1312" s="1612"/>
      <c r="Y1312" s="1613"/>
      <c r="Z1312" s="1614"/>
      <c r="AA1312" s="1614"/>
      <c r="AB1312" s="1615"/>
      <c r="AC1312" s="1615"/>
      <c r="AD1312" s="583"/>
      <c r="AE1312" s="583"/>
    </row>
    <row r="1313" spans="1:31" ht="14">
      <c r="A1313" s="1384" t="s">
        <v>2729</v>
      </c>
      <c r="B1313" s="19" t="s">
        <v>1569</v>
      </c>
      <c r="C1313" s="1383">
        <v>14236</v>
      </c>
      <c r="D1313" s="1236"/>
      <c r="E1313" s="1236"/>
      <c r="F1313" s="1344">
        <f>(1/S1313)*cnst_fish!$C$6</f>
        <v>9.5299549485983424E-3</v>
      </c>
      <c r="G1313" s="1344">
        <f t="shared" si="191"/>
        <v>1</v>
      </c>
      <c r="H1313" s="1344">
        <f t="shared" si="191"/>
        <v>0.367192066876738</v>
      </c>
      <c r="I1313" s="1344">
        <f t="shared" si="184"/>
        <v>0</v>
      </c>
      <c r="J1313" s="902">
        <f t="shared" si="185"/>
        <v>0</v>
      </c>
      <c r="L1313" s="1460">
        <v>49</v>
      </c>
      <c r="M1313" s="1236">
        <v>67</v>
      </c>
      <c r="N1313" s="1240" t="s">
        <v>1806</v>
      </c>
      <c r="O1313" s="1241" t="s">
        <v>4845</v>
      </c>
      <c r="P1313" s="910">
        <f t="shared" si="186"/>
        <v>0</v>
      </c>
      <c r="Q1313" s="910">
        <f t="shared" si="187"/>
        <v>116</v>
      </c>
      <c r="R1313" s="1344">
        <f t="shared" si="188"/>
        <v>4.5</v>
      </c>
      <c r="S1313" s="1344">
        <f>(1/9)*cnst_fish!$C$7*(1/cnst_fish!$C$8)^(R1313-1)</f>
        <v>445.96223412630997</v>
      </c>
      <c r="T1313" s="1362">
        <f t="shared" si="189"/>
        <v>4469.5153321754515</v>
      </c>
      <c r="W1313" s="1612"/>
      <c r="X1313" s="1612"/>
      <c r="Y1313" s="1613"/>
      <c r="Z1313" s="1614"/>
      <c r="AA1313" s="1614"/>
      <c r="AB1313" s="1615"/>
      <c r="AC1313" s="1615"/>
      <c r="AD1313" s="583"/>
      <c r="AE1313" s="583"/>
    </row>
    <row r="1314" spans="1:31" ht="14">
      <c r="A1314" s="1384" t="s">
        <v>6875</v>
      </c>
      <c r="B1314" s="19" t="s">
        <v>6874</v>
      </c>
      <c r="C1314" s="1383">
        <v>14239</v>
      </c>
      <c r="D1314" s="1236"/>
      <c r="E1314" s="1236"/>
      <c r="F1314" s="1344">
        <f>(1/S1314)*cnst_fish!$C$6</f>
        <v>3.0136363636363641</v>
      </c>
      <c r="G1314" s="1344">
        <f t="shared" si="191"/>
        <v>1</v>
      </c>
      <c r="H1314" s="1344">
        <f t="shared" si="191"/>
        <v>0.367192066876738</v>
      </c>
      <c r="I1314" s="1344">
        <f t="shared" si="184"/>
        <v>0</v>
      </c>
      <c r="J1314" s="902">
        <f t="shared" si="185"/>
        <v>0</v>
      </c>
      <c r="L1314" s="1460"/>
      <c r="M1314" s="1236"/>
      <c r="N1314" s="1240" t="s">
        <v>1807</v>
      </c>
      <c r="O1314" s="1241" t="s">
        <v>4841</v>
      </c>
      <c r="P1314" s="910">
        <f t="shared" si="186"/>
        <v>0</v>
      </c>
      <c r="Q1314" s="910">
        <f t="shared" si="187"/>
        <v>0</v>
      </c>
      <c r="R1314" s="1344">
        <f t="shared" si="188"/>
        <v>2</v>
      </c>
      <c r="S1314" s="1344">
        <f>(1/9)*cnst_fish!$C$7*(1/cnst_fish!$C$8)^(R1314-1)</f>
        <v>1.4102564102564099</v>
      </c>
      <c r="T1314" s="1362">
        <f t="shared" si="189"/>
        <v>0</v>
      </c>
      <c r="W1314" s="1612"/>
      <c r="X1314" s="1612"/>
      <c r="Y1314" s="1613"/>
      <c r="Z1314" s="1614"/>
      <c r="AA1314" s="1614"/>
      <c r="AB1314" s="1615"/>
      <c r="AC1314" s="1615"/>
      <c r="AD1314" s="583"/>
      <c r="AE1314" s="583"/>
    </row>
    <row r="1315" spans="1:31" ht="14">
      <c r="A1315" s="1384" t="s">
        <v>944</v>
      </c>
      <c r="B1315" s="19" t="s">
        <v>1799</v>
      </c>
      <c r="C1315" s="1383">
        <v>3400</v>
      </c>
      <c r="D1315" s="1236">
        <v>47585</v>
      </c>
      <c r="E1315" s="1236"/>
      <c r="F1315" s="1344">
        <f>(1/S1315)*cnst_fish!$C$6</f>
        <v>0.47762917572805397</v>
      </c>
      <c r="G1315" s="1344">
        <f t="shared" si="191"/>
        <v>1</v>
      </c>
      <c r="H1315" s="1344">
        <f t="shared" si="191"/>
        <v>0.367192066876738</v>
      </c>
      <c r="I1315" s="1344">
        <f t="shared" si="184"/>
        <v>36582.427100889712</v>
      </c>
      <c r="J1315" s="902">
        <f t="shared" si="185"/>
        <v>0</v>
      </c>
      <c r="L1315" s="1460">
        <v>53839</v>
      </c>
      <c r="M1315" s="1236"/>
      <c r="N1315" s="1240" t="s">
        <v>2441</v>
      </c>
      <c r="O1315" s="1241" t="s">
        <v>4840</v>
      </c>
      <c r="P1315" s="910">
        <f t="shared" si="186"/>
        <v>47585</v>
      </c>
      <c r="Q1315" s="910">
        <f t="shared" si="187"/>
        <v>53839</v>
      </c>
      <c r="R1315" s="1344">
        <f t="shared" si="188"/>
        <v>2.8</v>
      </c>
      <c r="S1315" s="1344">
        <f>(1/9)*cnst_fish!$C$7*(1/cnst_fish!$C$8)^(R1315-1)</f>
        <v>8.8981163965155421</v>
      </c>
      <c r="T1315" s="1362">
        <f t="shared" si="189"/>
        <v>41390.38126898816</v>
      </c>
      <c r="W1315" s="1612"/>
      <c r="X1315" s="1612"/>
      <c r="Y1315" s="1613"/>
      <c r="Z1315" s="1614"/>
      <c r="AA1315" s="1614"/>
      <c r="AB1315" s="1615"/>
      <c r="AC1315" s="1615"/>
      <c r="AD1315" s="583"/>
      <c r="AE1315" s="583"/>
    </row>
    <row r="1316" spans="1:31" ht="14">
      <c r="A1316" s="1384" t="s">
        <v>2096</v>
      </c>
      <c r="B1316" s="19" t="s">
        <v>1800</v>
      </c>
      <c r="C1316" s="1383">
        <v>3407</v>
      </c>
      <c r="D1316" s="1236">
        <v>0</v>
      </c>
      <c r="E1316" s="1236"/>
      <c r="F1316" s="1344">
        <f>(1/S1316)*cnst_fish!$C$6</f>
        <v>0.60129950673834842</v>
      </c>
      <c r="G1316" s="1344">
        <f t="shared" si="191"/>
        <v>1</v>
      </c>
      <c r="H1316" s="1344">
        <f t="shared" si="191"/>
        <v>0.367192066876738</v>
      </c>
      <c r="I1316" s="1344">
        <f t="shared" si="184"/>
        <v>0</v>
      </c>
      <c r="J1316" s="902">
        <f t="shared" si="185"/>
        <v>0</v>
      </c>
      <c r="L1316" s="1460">
        <v>10033</v>
      </c>
      <c r="M1316" s="1236"/>
      <c r="N1316" s="1240" t="s">
        <v>2441</v>
      </c>
      <c r="O1316" s="1241" t="s">
        <v>4840</v>
      </c>
      <c r="P1316" s="910">
        <f t="shared" si="186"/>
        <v>0</v>
      </c>
      <c r="Q1316" s="910">
        <f t="shared" si="187"/>
        <v>10033</v>
      </c>
      <c r="R1316" s="1344">
        <f t="shared" si="188"/>
        <v>2.7</v>
      </c>
      <c r="S1316" s="1344">
        <f>(1/9)*cnst_fish!$C$7*(1/cnst_fish!$C$8)^(R1316-1)</f>
        <v>7.0680250896153813</v>
      </c>
      <c r="T1316" s="1362">
        <f t="shared" si="189"/>
        <v>6126.7936622096668</v>
      </c>
      <c r="W1316" s="1612"/>
      <c r="X1316" s="1612"/>
      <c r="Y1316" s="1613"/>
      <c r="Z1316" s="1614"/>
      <c r="AA1316" s="1614"/>
      <c r="AB1316" s="1615"/>
      <c r="AC1316" s="1615"/>
      <c r="AD1316" s="583"/>
      <c r="AE1316" s="583"/>
    </row>
    <row r="1317" spans="1:31" ht="14">
      <c r="A1317" s="1384" t="s">
        <v>2707</v>
      </c>
      <c r="B1317" s="19" t="s">
        <v>4094</v>
      </c>
      <c r="C1317" s="1383">
        <v>3410</v>
      </c>
      <c r="D1317" s="1236"/>
      <c r="E1317" s="1236"/>
      <c r="F1317" s="1344">
        <f>(1/S1317)*cnst_fish!$C$6</f>
        <v>0.60129950673834842</v>
      </c>
      <c r="G1317" s="1344">
        <f t="shared" si="191"/>
        <v>1</v>
      </c>
      <c r="H1317" s="1344">
        <f t="shared" si="191"/>
        <v>0.367192066876738</v>
      </c>
      <c r="I1317" s="1344">
        <f t="shared" si="184"/>
        <v>0</v>
      </c>
      <c r="J1317" s="902">
        <f t="shared" si="185"/>
        <v>0</v>
      </c>
      <c r="L1317" s="1460">
        <v>672</v>
      </c>
      <c r="M1317" s="1236"/>
      <c r="N1317" s="1240" t="s">
        <v>2441</v>
      </c>
      <c r="O1317" s="1241" t="s">
        <v>4840</v>
      </c>
      <c r="P1317" s="910">
        <f t="shared" si="186"/>
        <v>0</v>
      </c>
      <c r="Q1317" s="910">
        <f t="shared" si="187"/>
        <v>672</v>
      </c>
      <c r="R1317" s="1344">
        <f t="shared" si="188"/>
        <v>2.7</v>
      </c>
      <c r="S1317" s="1344">
        <f>(1/9)*cnst_fish!$C$7*(1/cnst_fish!$C$8)^(R1317-1)</f>
        <v>7.0680250896153813</v>
      </c>
      <c r="T1317" s="1362">
        <f t="shared" si="189"/>
        <v>410.36632522723971</v>
      </c>
      <c r="W1317" s="1612"/>
      <c r="X1317" s="1612"/>
      <c r="Y1317" s="1613"/>
      <c r="Z1317" s="1614"/>
      <c r="AA1317" s="1614"/>
      <c r="AB1317" s="1615"/>
      <c r="AC1317" s="1615"/>
      <c r="AD1317" s="583"/>
      <c r="AE1317" s="583"/>
    </row>
    <row r="1318" spans="1:31" ht="14">
      <c r="A1318" s="1384" t="s">
        <v>2497</v>
      </c>
      <c r="B1318" s="19" t="s">
        <v>3156</v>
      </c>
      <c r="C1318" s="1383">
        <v>3401</v>
      </c>
      <c r="D1318" s="1236"/>
      <c r="E1318" s="1236"/>
      <c r="F1318" s="1344">
        <f>(1/S1318)*cnst_fish!$C$6</f>
        <v>0.60129950673834842</v>
      </c>
      <c r="G1318" s="1344">
        <f t="shared" si="191"/>
        <v>1</v>
      </c>
      <c r="H1318" s="1344">
        <f t="shared" si="191"/>
        <v>0.367192066876738</v>
      </c>
      <c r="I1318" s="1344">
        <f t="shared" si="184"/>
        <v>0</v>
      </c>
      <c r="J1318" s="902">
        <f t="shared" si="185"/>
        <v>0</v>
      </c>
      <c r="L1318" s="1460">
        <v>18715</v>
      </c>
      <c r="M1318" s="1236"/>
      <c r="N1318" s="1240" t="s">
        <v>2441</v>
      </c>
      <c r="O1318" s="1241" t="s">
        <v>4840</v>
      </c>
      <c r="P1318" s="910">
        <f t="shared" si="186"/>
        <v>0</v>
      </c>
      <c r="Q1318" s="910">
        <f t="shared" si="187"/>
        <v>18715</v>
      </c>
      <c r="R1318" s="1344">
        <f t="shared" si="188"/>
        <v>2.7</v>
      </c>
      <c r="S1318" s="1344">
        <f>(1/9)*cnst_fish!$C$7*(1/cnst_fish!$C$8)^(R1318-1)</f>
        <v>7.0680250896153813</v>
      </c>
      <c r="T1318" s="1362">
        <f t="shared" si="189"/>
        <v>11428.580024743738</v>
      </c>
      <c r="W1318" s="1612"/>
      <c r="X1318" s="1612"/>
      <c r="Y1318" s="1613"/>
      <c r="Z1318" s="1614"/>
      <c r="AA1318" s="1614"/>
      <c r="AB1318" s="1615"/>
      <c r="AC1318" s="1615"/>
      <c r="AD1318" s="583"/>
      <c r="AE1318" s="583"/>
    </row>
    <row r="1319" spans="1:31" ht="14">
      <c r="A1319" s="1384" t="s">
        <v>3741</v>
      </c>
      <c r="B1319" s="19" t="s">
        <v>3157</v>
      </c>
      <c r="C1319" s="1383">
        <v>2586</v>
      </c>
      <c r="D1319" s="1236"/>
      <c r="E1319" s="1236"/>
      <c r="F1319" s="1344">
        <f>(1/S1319)*cnst_fish!$C$6</f>
        <v>0.60129950673834842</v>
      </c>
      <c r="G1319" s="1344">
        <f t="shared" si="191"/>
        <v>1</v>
      </c>
      <c r="H1319" s="1344">
        <f t="shared" si="191"/>
        <v>0.367192066876738</v>
      </c>
      <c r="I1319" s="1344">
        <f t="shared" si="184"/>
        <v>0</v>
      </c>
      <c r="J1319" s="902">
        <f t="shared" si="185"/>
        <v>0</v>
      </c>
      <c r="L1319" s="1460">
        <v>130805</v>
      </c>
      <c r="M1319" s="1236"/>
      <c r="N1319" s="1240" t="s">
        <v>2441</v>
      </c>
      <c r="O1319" s="1241" t="s">
        <v>4840</v>
      </c>
      <c r="P1319" s="910">
        <f t="shared" si="186"/>
        <v>0</v>
      </c>
      <c r="Q1319" s="910">
        <f t="shared" si="187"/>
        <v>130805</v>
      </c>
      <c r="R1319" s="1344">
        <f t="shared" si="188"/>
        <v>2.7</v>
      </c>
      <c r="S1319" s="1344">
        <f>(1/9)*cnst_fish!$C$7*(1/cnst_fish!$C$8)^(R1319-1)</f>
        <v>7.0680250896153813</v>
      </c>
      <c r="T1319" s="1362">
        <f t="shared" si="189"/>
        <v>79877.927338317109</v>
      </c>
      <c r="W1319" s="1612"/>
      <c r="X1319" s="1612"/>
      <c r="Y1319" s="1613"/>
      <c r="Z1319" s="1614"/>
      <c r="AA1319" s="1614"/>
      <c r="AB1319" s="1615"/>
      <c r="AC1319" s="1615"/>
      <c r="AD1319" s="583"/>
      <c r="AE1319" s="583"/>
    </row>
    <row r="1320" spans="1:31" ht="14">
      <c r="A1320" s="1384" t="s">
        <v>4270</v>
      </c>
      <c r="B1320" s="19" t="s">
        <v>3158</v>
      </c>
      <c r="C1320" s="1383">
        <v>3402</v>
      </c>
      <c r="D1320" s="1236">
        <v>2950</v>
      </c>
      <c r="E1320" s="1236"/>
      <c r="F1320" s="1344">
        <f>(1/S1320)*cnst_fish!$C$6</f>
        <v>0.30136363636363639</v>
      </c>
      <c r="G1320" s="1344">
        <f t="shared" si="191"/>
        <v>1</v>
      </c>
      <c r="H1320" s="1344">
        <f t="shared" si="191"/>
        <v>0.367192066876738</v>
      </c>
      <c r="I1320" s="1344">
        <f t="shared" si="184"/>
        <v>3594.3838823982342</v>
      </c>
      <c r="J1320" s="902">
        <f t="shared" si="185"/>
        <v>0</v>
      </c>
      <c r="L1320" s="1460">
        <v>4508</v>
      </c>
      <c r="M1320" s="1236"/>
      <c r="N1320" s="1240" t="s">
        <v>2441</v>
      </c>
      <c r="O1320" s="1241" t="s">
        <v>4840</v>
      </c>
      <c r="P1320" s="910">
        <f t="shared" si="186"/>
        <v>2950</v>
      </c>
      <c r="Q1320" s="910">
        <f t="shared" si="187"/>
        <v>4508</v>
      </c>
      <c r="R1320" s="1344">
        <f t="shared" si="188"/>
        <v>3</v>
      </c>
      <c r="S1320" s="1344">
        <f>(1/9)*cnst_fish!$C$7*(1/cnst_fish!$C$8)^(R1320-1)</f>
        <v>14.1025641025641</v>
      </c>
      <c r="T1320" s="1362">
        <f t="shared" si="189"/>
        <v>5492.7059463902506</v>
      </c>
      <c r="W1320" s="1612"/>
      <c r="X1320" s="1612"/>
      <c r="Y1320" s="1613"/>
      <c r="Z1320" s="1614"/>
      <c r="AA1320" s="1614"/>
      <c r="AB1320" s="1615"/>
      <c r="AC1320" s="1615"/>
      <c r="AD1320" s="583"/>
      <c r="AE1320" s="583"/>
    </row>
    <row r="1321" spans="1:31" ht="14">
      <c r="A1321" s="1384" t="s">
        <v>3282</v>
      </c>
      <c r="B1321" s="19" t="s">
        <v>3159</v>
      </c>
      <c r="C1321" s="1383">
        <v>2589</v>
      </c>
      <c r="D1321" s="1236"/>
      <c r="E1321" s="1236"/>
      <c r="F1321" s="1344">
        <f>(1/S1321)*cnst_fish!$C$6</f>
        <v>0.60129950673834842</v>
      </c>
      <c r="G1321" s="1344">
        <f t="shared" si="191"/>
        <v>1</v>
      </c>
      <c r="H1321" s="1344">
        <f t="shared" si="191"/>
        <v>0.367192066876738</v>
      </c>
      <c r="I1321" s="1344">
        <f t="shared" si="184"/>
        <v>0</v>
      </c>
      <c r="J1321" s="902">
        <f t="shared" si="185"/>
        <v>0</v>
      </c>
      <c r="L1321" s="1460">
        <v>10</v>
      </c>
      <c r="M1321" s="1236"/>
      <c r="N1321" s="1240" t="s">
        <v>2441</v>
      </c>
      <c r="O1321" s="1241" t="s">
        <v>4840</v>
      </c>
      <c r="P1321" s="910">
        <f t="shared" si="186"/>
        <v>0</v>
      </c>
      <c r="Q1321" s="910">
        <f t="shared" si="187"/>
        <v>10</v>
      </c>
      <c r="R1321" s="1344">
        <f t="shared" si="188"/>
        <v>2.7</v>
      </c>
      <c r="S1321" s="1344">
        <f>(1/9)*cnst_fish!$C$7*(1/cnst_fish!$C$8)^(R1321-1)</f>
        <v>7.0680250896153813</v>
      </c>
      <c r="T1321" s="1362">
        <f t="shared" si="189"/>
        <v>6.1066417444529728</v>
      </c>
      <c r="W1321" s="1612"/>
      <c r="X1321" s="1612"/>
      <c r="Y1321" s="1613"/>
      <c r="Z1321" s="1614"/>
      <c r="AA1321" s="1614"/>
      <c r="AB1321" s="1615"/>
      <c r="AC1321" s="1615"/>
      <c r="AD1321" s="583"/>
      <c r="AE1321" s="583"/>
    </row>
    <row r="1322" spans="1:31" ht="14">
      <c r="A1322" s="1384" t="s">
        <v>5195</v>
      </c>
      <c r="B1322" s="19" t="s">
        <v>3160</v>
      </c>
      <c r="C1322" s="1383">
        <v>2584</v>
      </c>
      <c r="D1322" s="1236"/>
      <c r="E1322" s="1236"/>
      <c r="F1322" s="1344">
        <f>(1/S1322)*cnst_fish!$C$6</f>
        <v>0.60129950673834842</v>
      </c>
      <c r="G1322" s="1344">
        <f t="shared" si="191"/>
        <v>1</v>
      </c>
      <c r="H1322" s="1344">
        <f t="shared" si="191"/>
        <v>0.367192066876738</v>
      </c>
      <c r="I1322" s="1344">
        <f t="shared" si="184"/>
        <v>0</v>
      </c>
      <c r="J1322" s="902">
        <f t="shared" si="185"/>
        <v>0</v>
      </c>
      <c r="L1322" s="1460">
        <v>2102</v>
      </c>
      <c r="M1322" s="1236"/>
      <c r="N1322" s="1240" t="s">
        <v>2441</v>
      </c>
      <c r="O1322" s="1241" t="s">
        <v>4840</v>
      </c>
      <c r="P1322" s="910">
        <f t="shared" si="186"/>
        <v>0</v>
      </c>
      <c r="Q1322" s="910">
        <f t="shared" si="187"/>
        <v>2102</v>
      </c>
      <c r="R1322" s="1344">
        <f t="shared" si="188"/>
        <v>2.7</v>
      </c>
      <c r="S1322" s="1344">
        <f>(1/9)*cnst_fish!$C$7*(1/cnst_fish!$C$8)^(R1322-1)</f>
        <v>7.0680250896153813</v>
      </c>
      <c r="T1322" s="1362">
        <f t="shared" si="189"/>
        <v>1283.6160946840148</v>
      </c>
      <c r="W1322" s="1612"/>
      <c r="X1322" s="1612"/>
      <c r="Y1322" s="1613"/>
      <c r="Z1322" s="1614"/>
      <c r="AA1322" s="1614"/>
      <c r="AB1322" s="1615"/>
      <c r="AC1322" s="1615"/>
      <c r="AD1322" s="583"/>
      <c r="AE1322" s="583"/>
    </row>
    <row r="1323" spans="1:31" ht="14">
      <c r="A1323" s="1384" t="s">
        <v>4495</v>
      </c>
      <c r="B1323" s="19" t="s">
        <v>3161</v>
      </c>
      <c r="C1323" s="1383">
        <v>2587</v>
      </c>
      <c r="D1323" s="1236"/>
      <c r="E1323" s="1236"/>
      <c r="F1323" s="1344">
        <f>(1/S1323)*cnst_fish!$C$6</f>
        <v>0.60129950673834842</v>
      </c>
      <c r="G1323" s="1344">
        <f t="shared" si="191"/>
        <v>1</v>
      </c>
      <c r="H1323" s="1344">
        <f t="shared" si="191"/>
        <v>0.367192066876738</v>
      </c>
      <c r="I1323" s="1344">
        <f t="shared" si="184"/>
        <v>0</v>
      </c>
      <c r="J1323" s="902">
        <f t="shared" si="185"/>
        <v>0</v>
      </c>
      <c r="L1323" s="1460">
        <v>7410</v>
      </c>
      <c r="M1323" s="1236"/>
      <c r="N1323" s="1240" t="s">
        <v>2441</v>
      </c>
      <c r="O1323" s="1241" t="s">
        <v>4840</v>
      </c>
      <c r="P1323" s="910">
        <f t="shared" si="186"/>
        <v>0</v>
      </c>
      <c r="Q1323" s="910">
        <f t="shared" si="187"/>
        <v>7410</v>
      </c>
      <c r="R1323" s="1344">
        <f t="shared" si="188"/>
        <v>2.7</v>
      </c>
      <c r="S1323" s="1344">
        <f>(1/9)*cnst_fish!$C$7*(1/cnst_fish!$C$8)^(R1323-1)</f>
        <v>7.0680250896153813</v>
      </c>
      <c r="T1323" s="1362">
        <f t="shared" si="189"/>
        <v>4525.0215326396528</v>
      </c>
      <c r="W1323" s="1612"/>
      <c r="X1323" s="1612"/>
      <c r="Y1323" s="1613"/>
      <c r="Z1323" s="1614"/>
      <c r="AA1323" s="1614"/>
      <c r="AB1323" s="1615"/>
      <c r="AC1323" s="1615"/>
      <c r="AD1323" s="583"/>
      <c r="AE1323" s="583"/>
    </row>
    <row r="1324" spans="1:31" ht="14">
      <c r="A1324" s="1384" t="s">
        <v>4880</v>
      </c>
      <c r="B1324" s="19" t="s">
        <v>5057</v>
      </c>
      <c r="C1324" s="1383">
        <v>3411</v>
      </c>
      <c r="D1324" s="1236"/>
      <c r="E1324" s="1236"/>
      <c r="F1324" s="1344">
        <f>(1/S1324)*cnst_fish!$C$6</f>
        <v>0.60129950673834842</v>
      </c>
      <c r="G1324" s="1344">
        <f t="shared" si="191"/>
        <v>1</v>
      </c>
      <c r="H1324" s="1344">
        <f t="shared" si="191"/>
        <v>0.367192066876738</v>
      </c>
      <c r="I1324" s="1344">
        <f t="shared" si="184"/>
        <v>0</v>
      </c>
      <c r="J1324" s="902">
        <f t="shared" si="185"/>
        <v>0</v>
      </c>
      <c r="L1324" s="1460">
        <v>608</v>
      </c>
      <c r="M1324" s="1236"/>
      <c r="N1324" s="1240" t="s">
        <v>2441</v>
      </c>
      <c r="O1324" s="1241" t="s">
        <v>4840</v>
      </c>
      <c r="P1324" s="910">
        <f t="shared" si="186"/>
        <v>0</v>
      </c>
      <c r="Q1324" s="910">
        <f t="shared" si="187"/>
        <v>608</v>
      </c>
      <c r="R1324" s="1344">
        <f t="shared" si="188"/>
        <v>2.7</v>
      </c>
      <c r="S1324" s="1344">
        <f>(1/9)*cnst_fish!$C$7*(1/cnst_fish!$C$8)^(R1324-1)</f>
        <v>7.0680250896153813</v>
      </c>
      <c r="T1324" s="1362">
        <f t="shared" si="189"/>
        <v>371.28381806274075</v>
      </c>
      <c r="W1324" s="1612"/>
      <c r="X1324" s="1612"/>
      <c r="Y1324" s="1613"/>
      <c r="Z1324" s="1614"/>
      <c r="AA1324" s="1614"/>
      <c r="AB1324" s="1615"/>
      <c r="AC1324" s="1615"/>
      <c r="AD1324" s="583"/>
      <c r="AE1324" s="583"/>
    </row>
    <row r="1325" spans="1:31" ht="14">
      <c r="A1325" s="1384" t="s">
        <v>1547</v>
      </c>
      <c r="B1325" s="19" t="s">
        <v>5058</v>
      </c>
      <c r="C1325" s="1383">
        <v>2583</v>
      </c>
      <c r="D1325" s="1236"/>
      <c r="E1325" s="1236"/>
      <c r="F1325" s="1344">
        <f>(1/S1325)*cnst_fish!$C$6</f>
        <v>0.30136363636363639</v>
      </c>
      <c r="G1325" s="1344">
        <f t="shared" si="191"/>
        <v>1</v>
      </c>
      <c r="H1325" s="1344">
        <f t="shared" si="191"/>
        <v>0.367192066876738</v>
      </c>
      <c r="I1325" s="1344">
        <f t="shared" si="184"/>
        <v>0</v>
      </c>
      <c r="J1325" s="902">
        <f t="shared" si="185"/>
        <v>0</v>
      </c>
      <c r="L1325" s="1460">
        <v>93016</v>
      </c>
      <c r="M1325" s="1236"/>
      <c r="N1325" s="1240" t="s">
        <v>2441</v>
      </c>
      <c r="O1325" s="1241" t="s">
        <v>4840</v>
      </c>
      <c r="P1325" s="910">
        <f t="shared" si="186"/>
        <v>0</v>
      </c>
      <c r="Q1325" s="910">
        <f t="shared" si="187"/>
        <v>93016</v>
      </c>
      <c r="R1325" s="1344">
        <f t="shared" si="188"/>
        <v>3</v>
      </c>
      <c r="S1325" s="1344">
        <f>(1/9)*cnst_fish!$C$7*(1/cnst_fish!$C$8)^(R1325-1)</f>
        <v>14.1025641025641</v>
      </c>
      <c r="T1325" s="1362">
        <f t="shared" si="189"/>
        <v>113333.96990005227</v>
      </c>
      <c r="W1325" s="1612"/>
      <c r="X1325" s="1612"/>
      <c r="Y1325" s="1613"/>
      <c r="Z1325" s="1614"/>
      <c r="AA1325" s="1614"/>
      <c r="AB1325" s="1615"/>
      <c r="AC1325" s="1615"/>
      <c r="AD1325" s="583"/>
      <c r="AE1325" s="583"/>
    </row>
    <row r="1326" spans="1:31" ht="14">
      <c r="A1326" s="1384" t="s">
        <v>3906</v>
      </c>
      <c r="B1326" s="19" t="s">
        <v>5059</v>
      </c>
      <c r="C1326" s="1383">
        <v>3405</v>
      </c>
      <c r="D1326" s="1236"/>
      <c r="E1326" s="1236"/>
      <c r="F1326" s="1344">
        <f>(1/S1326)*cnst_fish!$C$6</f>
        <v>0.75699122913220485</v>
      </c>
      <c r="G1326" s="1344">
        <f t="shared" si="191"/>
        <v>1</v>
      </c>
      <c r="H1326" s="1344">
        <f t="shared" si="191"/>
        <v>0.367192066876738</v>
      </c>
      <c r="I1326" s="1344">
        <f t="shared" si="184"/>
        <v>0</v>
      </c>
      <c r="J1326" s="902">
        <f t="shared" si="185"/>
        <v>0</v>
      </c>
      <c r="L1326" s="1460">
        <v>211216</v>
      </c>
      <c r="M1326" s="1236"/>
      <c r="N1326" s="1240" t="s">
        <v>2441</v>
      </c>
      <c r="O1326" s="1241" t="s">
        <v>4840</v>
      </c>
      <c r="P1326" s="910">
        <f t="shared" si="186"/>
        <v>0</v>
      </c>
      <c r="Q1326" s="910">
        <f t="shared" si="187"/>
        <v>211216</v>
      </c>
      <c r="R1326" s="1344">
        <f t="shared" si="188"/>
        <v>2.6</v>
      </c>
      <c r="S1326" s="1344">
        <f>(1/9)*cnst_fish!$C$7*(1/cnst_fish!$C$8)^(R1326-1)</f>
        <v>5.6143318924211183</v>
      </c>
      <c r="T1326" s="1362">
        <f t="shared" si="189"/>
        <v>102454.07953583062</v>
      </c>
      <c r="W1326" s="1612"/>
      <c r="X1326" s="1612"/>
      <c r="Y1326" s="1613"/>
      <c r="Z1326" s="1614"/>
      <c r="AA1326" s="1614"/>
      <c r="AB1326" s="1615"/>
      <c r="AC1326" s="1615"/>
      <c r="AD1326" s="583"/>
      <c r="AE1326" s="583"/>
    </row>
    <row r="1327" spans="1:31" ht="14">
      <c r="A1327" s="1384" t="s">
        <v>4815</v>
      </c>
      <c r="B1327" s="19" t="s">
        <v>2124</v>
      </c>
      <c r="C1327" s="1383">
        <v>3413</v>
      </c>
      <c r="D1327" s="1236"/>
      <c r="E1327" s="1236"/>
      <c r="F1327" s="1344">
        <f>(1/S1327)*cnst_fish!$C$6</f>
        <v>0.60129950673834842</v>
      </c>
      <c r="G1327" s="1344">
        <f t="shared" si="191"/>
        <v>1</v>
      </c>
      <c r="H1327" s="1344">
        <f t="shared" si="191"/>
        <v>0.367192066876738</v>
      </c>
      <c r="I1327" s="1344">
        <f t="shared" si="184"/>
        <v>0</v>
      </c>
      <c r="J1327" s="902">
        <f t="shared" si="185"/>
        <v>0</v>
      </c>
      <c r="L1327" s="1460">
        <v>14379</v>
      </c>
      <c r="M1327" s="1236"/>
      <c r="N1327" s="1240" t="s">
        <v>2441</v>
      </c>
      <c r="O1327" s="1241" t="s">
        <v>4840</v>
      </c>
      <c r="P1327" s="910">
        <f t="shared" si="186"/>
        <v>0</v>
      </c>
      <c r="Q1327" s="910">
        <f t="shared" si="187"/>
        <v>14379</v>
      </c>
      <c r="R1327" s="1344">
        <f t="shared" si="188"/>
        <v>2.7</v>
      </c>
      <c r="S1327" s="1344">
        <f>(1/9)*cnst_fish!$C$7*(1/cnst_fish!$C$8)^(R1327-1)</f>
        <v>7.0680250896153813</v>
      </c>
      <c r="T1327" s="1362">
        <f t="shared" si="189"/>
        <v>8780.7401643489284</v>
      </c>
      <c r="W1327" s="1612"/>
      <c r="X1327" s="1612"/>
      <c r="Y1327" s="1613"/>
      <c r="Z1327" s="1614"/>
      <c r="AA1327" s="1614"/>
      <c r="AB1327" s="1615"/>
      <c r="AC1327" s="1615"/>
      <c r="AD1327" s="583"/>
      <c r="AE1327" s="583"/>
    </row>
    <row r="1328" spans="1:31" ht="14">
      <c r="A1328" s="1384" t="s">
        <v>2191</v>
      </c>
      <c r="B1328" s="19" t="s">
        <v>2125</v>
      </c>
      <c r="C1328" s="1383">
        <v>3412</v>
      </c>
      <c r="D1328" s="1236"/>
      <c r="E1328" s="1236"/>
      <c r="F1328" s="1344">
        <f>(1/S1328)*cnst_fish!$C$6</f>
        <v>0.60129950673834842</v>
      </c>
      <c r="G1328" s="1344">
        <f t="shared" ref="G1328:H1347" si="192">G$7</f>
        <v>1</v>
      </c>
      <c r="H1328" s="1344">
        <f t="shared" si="192"/>
        <v>0.367192066876738</v>
      </c>
      <c r="I1328" s="1344">
        <f t="shared" si="184"/>
        <v>0</v>
      </c>
      <c r="J1328" s="902">
        <f t="shared" si="185"/>
        <v>0</v>
      </c>
      <c r="L1328" s="1460">
        <v>353</v>
      </c>
      <c r="M1328" s="1236"/>
      <c r="N1328" s="1240" t="s">
        <v>2441</v>
      </c>
      <c r="O1328" s="1241" t="s">
        <v>4840</v>
      </c>
      <c r="P1328" s="910">
        <f t="shared" si="186"/>
        <v>0</v>
      </c>
      <c r="Q1328" s="910">
        <f t="shared" si="187"/>
        <v>353</v>
      </c>
      <c r="R1328" s="1344">
        <f t="shared" si="188"/>
        <v>2.7</v>
      </c>
      <c r="S1328" s="1344">
        <f>(1/9)*cnst_fish!$C$7*(1/cnst_fish!$C$8)^(R1328-1)</f>
        <v>7.0680250896153813</v>
      </c>
      <c r="T1328" s="1362">
        <f t="shared" si="189"/>
        <v>215.56445357918992</v>
      </c>
      <c r="W1328" s="1612"/>
      <c r="X1328" s="1612"/>
      <c r="Y1328" s="1613"/>
      <c r="Z1328" s="1614"/>
      <c r="AA1328" s="1614"/>
      <c r="AB1328" s="1615"/>
      <c r="AC1328" s="1615"/>
      <c r="AD1328" s="583"/>
      <c r="AE1328" s="583"/>
    </row>
    <row r="1329" spans="1:31" ht="14">
      <c r="A1329" s="1384" t="s">
        <v>4717</v>
      </c>
      <c r="B1329" s="19" t="s">
        <v>2126</v>
      </c>
      <c r="C1329" s="1383">
        <v>3414</v>
      </c>
      <c r="D1329" s="1236"/>
      <c r="E1329" s="1236"/>
      <c r="F1329" s="1344">
        <f>(1/S1329)*cnst_fish!$C$6</f>
        <v>0.60129950673834842</v>
      </c>
      <c r="G1329" s="1344">
        <f t="shared" si="192"/>
        <v>1</v>
      </c>
      <c r="H1329" s="1344">
        <f t="shared" si="192"/>
        <v>0.367192066876738</v>
      </c>
      <c r="I1329" s="1344">
        <f t="shared" si="184"/>
        <v>0</v>
      </c>
      <c r="J1329" s="902">
        <f t="shared" si="185"/>
        <v>0</v>
      </c>
      <c r="L1329" s="1460">
        <v>6</v>
      </c>
      <c r="M1329" s="1236"/>
      <c r="N1329" s="1240" t="s">
        <v>2441</v>
      </c>
      <c r="O1329" s="1241" t="s">
        <v>4840</v>
      </c>
      <c r="P1329" s="910">
        <f t="shared" si="186"/>
        <v>0</v>
      </c>
      <c r="Q1329" s="910">
        <f t="shared" si="187"/>
        <v>6</v>
      </c>
      <c r="R1329" s="1344">
        <f t="shared" si="188"/>
        <v>2.7</v>
      </c>
      <c r="S1329" s="1344">
        <f>(1/9)*cnst_fish!$C$7*(1/cnst_fish!$C$8)^(R1329-1)</f>
        <v>7.0680250896153813</v>
      </c>
      <c r="T1329" s="1362">
        <f t="shared" si="189"/>
        <v>3.663985046671784</v>
      </c>
      <c r="W1329" s="1612"/>
      <c r="X1329" s="1612"/>
      <c r="Y1329" s="1613"/>
      <c r="Z1329" s="1614"/>
      <c r="AA1329" s="1614"/>
      <c r="AB1329" s="1615"/>
      <c r="AC1329" s="1615"/>
      <c r="AD1329" s="583"/>
      <c r="AE1329" s="583"/>
    </row>
    <row r="1330" spans="1:31" ht="14">
      <c r="A1330" s="1384" t="s">
        <v>3659</v>
      </c>
      <c r="B1330" s="19" t="s">
        <v>2127</v>
      </c>
      <c r="C1330" s="1383">
        <v>2590</v>
      </c>
      <c r="D1330" s="1236"/>
      <c r="E1330" s="1236"/>
      <c r="F1330" s="1344">
        <f>(1/S1330)*cnst_fish!$C$6</f>
        <v>0.60129950673834842</v>
      </c>
      <c r="G1330" s="1344">
        <f t="shared" si="192"/>
        <v>1</v>
      </c>
      <c r="H1330" s="1344">
        <f t="shared" si="192"/>
        <v>0.367192066876738</v>
      </c>
      <c r="I1330" s="1344">
        <f t="shared" si="184"/>
        <v>0</v>
      </c>
      <c r="J1330" s="902">
        <f t="shared" si="185"/>
        <v>0</v>
      </c>
      <c r="L1330" s="1460">
        <v>56</v>
      </c>
      <c r="M1330" s="1236"/>
      <c r="N1330" s="1240" t="s">
        <v>2441</v>
      </c>
      <c r="O1330" s="1241" t="s">
        <v>4840</v>
      </c>
      <c r="P1330" s="910">
        <f t="shared" si="186"/>
        <v>0</v>
      </c>
      <c r="Q1330" s="910">
        <f t="shared" si="187"/>
        <v>56</v>
      </c>
      <c r="R1330" s="1344">
        <f t="shared" si="188"/>
        <v>2.7</v>
      </c>
      <c r="S1330" s="1344">
        <f>(1/9)*cnst_fish!$C$7*(1/cnst_fish!$C$8)^(R1330-1)</f>
        <v>7.0680250896153813</v>
      </c>
      <c r="T1330" s="1362">
        <f t="shared" si="189"/>
        <v>34.197193768936643</v>
      </c>
      <c r="W1330" s="1612"/>
      <c r="X1330" s="1612"/>
      <c r="Y1330" s="1613"/>
      <c r="Z1330" s="1614"/>
      <c r="AA1330" s="1614"/>
      <c r="AB1330" s="1615"/>
      <c r="AC1330" s="1615"/>
      <c r="AD1330" s="583"/>
      <c r="AE1330" s="583"/>
    </row>
    <row r="1331" spans="1:31" ht="14">
      <c r="A1331" s="1384" t="s">
        <v>4418</v>
      </c>
      <c r="B1331" s="19" t="s">
        <v>6878</v>
      </c>
      <c r="C1331" s="1383">
        <v>3403</v>
      </c>
      <c r="D1331" s="1236"/>
      <c r="E1331" s="1236"/>
      <c r="F1331" s="1344">
        <f>(1/S1331)*cnst_fish!$C$6</f>
        <v>3.0136363636363641</v>
      </c>
      <c r="G1331" s="1344">
        <f t="shared" si="192"/>
        <v>1</v>
      </c>
      <c r="H1331" s="1344">
        <f t="shared" si="192"/>
        <v>0.367192066876738</v>
      </c>
      <c r="I1331" s="1344">
        <f t="shared" si="184"/>
        <v>0</v>
      </c>
      <c r="J1331" s="902">
        <f t="shared" si="185"/>
        <v>0</v>
      </c>
      <c r="L1331" s="1460">
        <v>3994</v>
      </c>
      <c r="M1331" s="1236"/>
      <c r="N1331" s="1240" t="s">
        <v>2441</v>
      </c>
      <c r="O1331" s="1241" t="s">
        <v>4840</v>
      </c>
      <c r="P1331" s="910">
        <f t="shared" si="186"/>
        <v>0</v>
      </c>
      <c r="Q1331" s="910">
        <f t="shared" si="187"/>
        <v>3994</v>
      </c>
      <c r="R1331" s="1344">
        <f t="shared" si="188"/>
        <v>2</v>
      </c>
      <c r="S1331" s="1344">
        <f>(1/9)*cnst_fish!$C$7*(1/cnst_fish!$C$8)^(R1331-1)</f>
        <v>1.4102564102564099</v>
      </c>
      <c r="T1331" s="1362">
        <f t="shared" si="189"/>
        <v>486.64302462028974</v>
      </c>
      <c r="W1331" s="1612"/>
      <c r="X1331" s="1612"/>
      <c r="Y1331" s="1613"/>
      <c r="Z1331" s="1614"/>
      <c r="AA1331" s="1614"/>
      <c r="AB1331" s="1615"/>
      <c r="AC1331" s="1615"/>
      <c r="AD1331" s="583"/>
      <c r="AE1331" s="583"/>
    </row>
    <row r="1332" spans="1:31" ht="14">
      <c r="A1332" s="1384" t="s">
        <v>727</v>
      </c>
      <c r="B1332" s="19" t="s">
        <v>2128</v>
      </c>
      <c r="C1332" s="1383">
        <v>3408</v>
      </c>
      <c r="D1332" s="1236"/>
      <c r="E1332" s="1236"/>
      <c r="F1332" s="1344">
        <f>(1/S1332)*cnst_fish!$C$6</f>
        <v>0.60129950673834842</v>
      </c>
      <c r="G1332" s="1344">
        <f t="shared" si="192"/>
        <v>1</v>
      </c>
      <c r="H1332" s="1344">
        <f t="shared" si="192"/>
        <v>0.367192066876738</v>
      </c>
      <c r="I1332" s="1344">
        <f t="shared" si="184"/>
        <v>0</v>
      </c>
      <c r="J1332" s="902">
        <f t="shared" si="185"/>
        <v>0</v>
      </c>
      <c r="L1332" s="1460">
        <v>10204</v>
      </c>
      <c r="M1332" s="1236"/>
      <c r="N1332" s="1240" t="s">
        <v>2441</v>
      </c>
      <c r="O1332" s="1241" t="s">
        <v>4840</v>
      </c>
      <c r="P1332" s="910">
        <f t="shared" si="186"/>
        <v>0</v>
      </c>
      <c r="Q1332" s="910">
        <f t="shared" si="187"/>
        <v>10204</v>
      </c>
      <c r="R1332" s="1344">
        <f t="shared" si="188"/>
        <v>2.7</v>
      </c>
      <c r="S1332" s="1344">
        <f>(1/9)*cnst_fish!$C$7*(1/cnst_fish!$C$8)^(R1332-1)</f>
        <v>7.0680250896153813</v>
      </c>
      <c r="T1332" s="1362">
        <f t="shared" si="189"/>
        <v>6231.2172360398135</v>
      </c>
      <c r="W1332" s="1612"/>
      <c r="X1332" s="1612"/>
      <c r="Y1332" s="1613"/>
      <c r="Z1332" s="1614"/>
      <c r="AA1332" s="1614"/>
      <c r="AB1332" s="1615"/>
      <c r="AC1332" s="1615"/>
      <c r="AD1332" s="583"/>
      <c r="AE1332" s="583"/>
    </row>
    <row r="1333" spans="1:31" ht="14">
      <c r="A1333" s="1384" t="s">
        <v>4654</v>
      </c>
      <c r="B1333" s="19" t="s">
        <v>2129</v>
      </c>
      <c r="C1333" s="1383">
        <v>3409</v>
      </c>
      <c r="D1333" s="1236">
        <v>42013</v>
      </c>
      <c r="E1333" s="1236"/>
      <c r="F1333" s="1344">
        <f>(1/S1333)*cnst_fish!$C$6</f>
        <v>0.60129950673834842</v>
      </c>
      <c r="G1333" s="1344">
        <f t="shared" si="192"/>
        <v>1</v>
      </c>
      <c r="H1333" s="1344">
        <f t="shared" si="192"/>
        <v>0.367192066876738</v>
      </c>
      <c r="I1333" s="1344">
        <f t="shared" si="184"/>
        <v>25655.833960970274</v>
      </c>
      <c r="J1333" s="902">
        <f t="shared" si="185"/>
        <v>0</v>
      </c>
      <c r="L1333" s="1460">
        <v>42503</v>
      </c>
      <c r="M1333" s="1236"/>
      <c r="N1333" s="1240" t="s">
        <v>2441</v>
      </c>
      <c r="O1333" s="1241" t="s">
        <v>4840</v>
      </c>
      <c r="P1333" s="910">
        <f t="shared" si="186"/>
        <v>42013</v>
      </c>
      <c r="Q1333" s="910">
        <f t="shared" si="187"/>
        <v>42503</v>
      </c>
      <c r="R1333" s="1344">
        <f t="shared" si="188"/>
        <v>2.7</v>
      </c>
      <c r="S1333" s="1344">
        <f>(1/9)*cnst_fish!$C$7*(1/cnst_fish!$C$8)^(R1333-1)</f>
        <v>7.0680250896153813</v>
      </c>
      <c r="T1333" s="1362">
        <f t="shared" si="189"/>
        <v>25955.059406448472</v>
      </c>
      <c r="W1333" s="1612"/>
      <c r="X1333" s="1612"/>
      <c r="Y1333" s="1613"/>
      <c r="Z1333" s="1614"/>
      <c r="AA1333" s="1614"/>
      <c r="AB1333" s="1615"/>
      <c r="AC1333" s="1615"/>
      <c r="AD1333" s="583"/>
      <c r="AE1333" s="583"/>
    </row>
    <row r="1334" spans="1:31" ht="14">
      <c r="A1334" s="1384" t="s">
        <v>4082</v>
      </c>
      <c r="B1334" s="19" t="s">
        <v>2130</v>
      </c>
      <c r="C1334" s="1383">
        <v>3399</v>
      </c>
      <c r="D1334" s="1236"/>
      <c r="E1334" s="1236"/>
      <c r="F1334" s="1344">
        <f>(1/S1334)*cnst_fish!$C$6</f>
        <v>1.5103960722494616</v>
      </c>
      <c r="G1334" s="1344">
        <f t="shared" si="192"/>
        <v>1</v>
      </c>
      <c r="H1334" s="1344">
        <f t="shared" si="192"/>
        <v>0.367192066876738</v>
      </c>
      <c r="I1334" s="1344">
        <f t="shared" si="184"/>
        <v>0</v>
      </c>
      <c r="J1334" s="902">
        <f t="shared" si="185"/>
        <v>0</v>
      </c>
      <c r="L1334" s="1460">
        <v>94587</v>
      </c>
      <c r="M1334" s="1236">
        <v>20797</v>
      </c>
      <c r="N1334" s="1240" t="s">
        <v>2441</v>
      </c>
      <c r="O1334" s="1241" t="s">
        <v>4840</v>
      </c>
      <c r="P1334" s="910">
        <f t="shared" si="186"/>
        <v>0</v>
      </c>
      <c r="Q1334" s="910">
        <f t="shared" si="187"/>
        <v>115384</v>
      </c>
      <c r="R1334" s="1344">
        <f t="shared" si="188"/>
        <v>2.2999999999999998</v>
      </c>
      <c r="S1334" s="1344">
        <f>(1/9)*cnst_fish!$C$7*(1/cnst_fish!$C$8)^(R1334-1)</f>
        <v>2.8138314698279068</v>
      </c>
      <c r="T1334" s="1362">
        <f t="shared" si="189"/>
        <v>28050.979622454881</v>
      </c>
      <c r="W1334" s="1612"/>
      <c r="X1334" s="1612"/>
      <c r="Y1334" s="1613"/>
      <c r="Z1334" s="1614"/>
      <c r="AA1334" s="1614"/>
      <c r="AB1334" s="1615"/>
      <c r="AC1334" s="1615"/>
      <c r="AD1334" s="583"/>
      <c r="AE1334" s="583"/>
    </row>
    <row r="1335" spans="1:31" ht="14">
      <c r="A1335" s="1384" t="s">
        <v>1644</v>
      </c>
      <c r="B1335" s="19" t="s">
        <v>2131</v>
      </c>
      <c r="C1335" s="1383">
        <v>2585</v>
      </c>
      <c r="D1335" s="1236"/>
      <c r="E1335" s="1236"/>
      <c r="F1335" s="1344">
        <f>(1/S1335)*cnst_fish!$C$6</f>
        <v>0.60129950673834842</v>
      </c>
      <c r="G1335" s="1344">
        <f t="shared" si="192"/>
        <v>1</v>
      </c>
      <c r="H1335" s="1344">
        <f t="shared" si="192"/>
        <v>0.367192066876738</v>
      </c>
      <c r="I1335" s="1344">
        <f t="shared" si="184"/>
        <v>0</v>
      </c>
      <c r="J1335" s="902">
        <f t="shared" si="185"/>
        <v>0</v>
      </c>
      <c r="L1335" s="1460">
        <v>22541</v>
      </c>
      <c r="M1335" s="1236"/>
      <c r="N1335" s="1240" t="s">
        <v>2441</v>
      </c>
      <c r="O1335" s="1241" t="s">
        <v>4840</v>
      </c>
      <c r="P1335" s="910">
        <f t="shared" si="186"/>
        <v>0</v>
      </c>
      <c r="Q1335" s="910">
        <f t="shared" si="187"/>
        <v>22541</v>
      </c>
      <c r="R1335" s="1344">
        <f t="shared" si="188"/>
        <v>2.7</v>
      </c>
      <c r="S1335" s="1344">
        <f>(1/9)*cnst_fish!$C$7*(1/cnst_fish!$C$8)^(R1335-1)</f>
        <v>7.0680250896153813</v>
      </c>
      <c r="T1335" s="1362">
        <f t="shared" si="189"/>
        <v>13764.981156171445</v>
      </c>
      <c r="W1335" s="1612"/>
      <c r="X1335" s="1612"/>
      <c r="Y1335" s="1613"/>
      <c r="Z1335" s="1614"/>
      <c r="AA1335" s="1614"/>
      <c r="AB1335" s="1615"/>
      <c r="AC1335" s="1615"/>
      <c r="AD1335" s="583"/>
      <c r="AE1335" s="583"/>
    </row>
    <row r="1336" spans="1:31" ht="14">
      <c r="A1336" s="1384" t="s">
        <v>4033</v>
      </c>
      <c r="B1336" s="19" t="s">
        <v>4034</v>
      </c>
      <c r="C1336" s="1383">
        <v>2591</v>
      </c>
      <c r="D1336" s="1236"/>
      <c r="E1336" s="1236"/>
      <c r="F1336" s="1344">
        <f>(1/S1336)*cnst_fish!$C$6</f>
        <v>0.60129950673834842</v>
      </c>
      <c r="G1336" s="1344">
        <f t="shared" si="192"/>
        <v>1</v>
      </c>
      <c r="H1336" s="1344">
        <f t="shared" si="192"/>
        <v>0.367192066876738</v>
      </c>
      <c r="I1336" s="1344">
        <f t="shared" si="184"/>
        <v>0</v>
      </c>
      <c r="J1336" s="902">
        <f t="shared" si="185"/>
        <v>0</v>
      </c>
      <c r="L1336" s="1460"/>
      <c r="M1336" s="1236"/>
      <c r="N1336" s="1240" t="s">
        <v>2441</v>
      </c>
      <c r="O1336" s="1241" t="s">
        <v>4840</v>
      </c>
      <c r="P1336" s="910">
        <f t="shared" si="186"/>
        <v>0</v>
      </c>
      <c r="Q1336" s="910">
        <f t="shared" si="187"/>
        <v>0</v>
      </c>
      <c r="R1336" s="1344">
        <f t="shared" si="188"/>
        <v>2.7</v>
      </c>
      <c r="S1336" s="1344">
        <f>(1/9)*cnst_fish!$C$7*(1/cnst_fish!$C$8)^(R1336-1)</f>
        <v>7.0680250896153813</v>
      </c>
      <c r="T1336" s="1362">
        <f t="shared" si="189"/>
        <v>0</v>
      </c>
      <c r="W1336" s="1612"/>
      <c r="X1336" s="1612"/>
      <c r="Y1336" s="1613"/>
      <c r="Z1336" s="1614"/>
      <c r="AA1336" s="1614"/>
      <c r="AB1336" s="1615"/>
      <c r="AC1336" s="1615"/>
      <c r="AD1336" s="583"/>
      <c r="AE1336" s="583"/>
    </row>
    <row r="1337" spans="1:31" ht="14">
      <c r="A1337" s="1384" t="s">
        <v>2666</v>
      </c>
      <c r="B1337" s="19" t="s">
        <v>182</v>
      </c>
      <c r="C1337" s="1383">
        <v>3404</v>
      </c>
      <c r="D1337" s="1236"/>
      <c r="E1337" s="1236"/>
      <c r="F1337" s="1344">
        <f>(1/S1337)*cnst_fish!$C$6</f>
        <v>0.60129950673834842</v>
      </c>
      <c r="G1337" s="1344">
        <f t="shared" si="192"/>
        <v>1</v>
      </c>
      <c r="H1337" s="1344">
        <f t="shared" si="192"/>
        <v>0.367192066876738</v>
      </c>
      <c r="I1337" s="1344">
        <f t="shared" si="184"/>
        <v>0</v>
      </c>
      <c r="J1337" s="902">
        <f t="shared" si="185"/>
        <v>0</v>
      </c>
      <c r="L1337" s="1460">
        <v>8392</v>
      </c>
      <c r="M1337" s="1236"/>
      <c r="N1337" s="1240" t="s">
        <v>2441</v>
      </c>
      <c r="O1337" s="1241" t="s">
        <v>4840</v>
      </c>
      <c r="P1337" s="910">
        <f t="shared" si="186"/>
        <v>0</v>
      </c>
      <c r="Q1337" s="910">
        <f t="shared" si="187"/>
        <v>8392</v>
      </c>
      <c r="R1337" s="1344">
        <f t="shared" si="188"/>
        <v>2.7</v>
      </c>
      <c r="S1337" s="1344">
        <f>(1/9)*cnst_fish!$C$7*(1/cnst_fish!$C$8)^(R1337-1)</f>
        <v>7.0680250896153813</v>
      </c>
      <c r="T1337" s="1362">
        <f t="shared" si="189"/>
        <v>5124.6937519449348</v>
      </c>
      <c r="W1337" s="1612"/>
      <c r="X1337" s="1612"/>
      <c r="Y1337" s="1613"/>
      <c r="Z1337" s="1614"/>
      <c r="AA1337" s="1614"/>
      <c r="AB1337" s="1615"/>
      <c r="AC1337" s="1615"/>
      <c r="AD1337" s="583"/>
      <c r="AE1337" s="583"/>
    </row>
    <row r="1338" spans="1:31" ht="14">
      <c r="A1338" s="1384" t="s">
        <v>3607</v>
      </c>
      <c r="B1338" s="19" t="s">
        <v>1303</v>
      </c>
      <c r="C1338" s="1383">
        <v>18865</v>
      </c>
      <c r="D1338" s="1236"/>
      <c r="E1338" s="1236"/>
      <c r="F1338" s="1344">
        <f>(1/S1338)*cnst_fish!$C$6</f>
        <v>3.0838329721915438E-2</v>
      </c>
      <c r="G1338" s="1344">
        <f t="shared" si="192"/>
        <v>1</v>
      </c>
      <c r="H1338" s="1344">
        <f t="shared" si="192"/>
        <v>0.367192066876738</v>
      </c>
      <c r="I1338" s="1344">
        <f t="shared" si="184"/>
        <v>0</v>
      </c>
      <c r="J1338" s="902">
        <f t="shared" si="185"/>
        <v>0</v>
      </c>
      <c r="L1338" s="1460">
        <v>4719</v>
      </c>
      <c r="M1338" s="1236"/>
      <c r="N1338" s="1240" t="s">
        <v>1806</v>
      </c>
      <c r="O1338" s="1241" t="s">
        <v>4841</v>
      </c>
      <c r="P1338" s="910">
        <f t="shared" si="186"/>
        <v>0</v>
      </c>
      <c r="Q1338" s="910">
        <f t="shared" si="187"/>
        <v>4719</v>
      </c>
      <c r="R1338" s="1344">
        <f t="shared" si="188"/>
        <v>3.99</v>
      </c>
      <c r="S1338" s="1344">
        <f>(1/9)*cnst_fish!$C$7*(1/cnst_fish!$C$8)^(R1338-1)</f>
        <v>137.81550551940927</v>
      </c>
      <c r="T1338" s="1362">
        <f t="shared" si="189"/>
        <v>56189.144458103285</v>
      </c>
      <c r="W1338" s="1612"/>
      <c r="X1338" s="1612"/>
      <c r="Y1338" s="1613"/>
      <c r="Z1338" s="1614"/>
      <c r="AA1338" s="1614"/>
      <c r="AB1338" s="1615"/>
      <c r="AC1338" s="1615"/>
      <c r="AD1338" s="583"/>
      <c r="AE1338" s="583"/>
    </row>
    <row r="1339" spans="1:31" ht="14">
      <c r="A1339" s="1384" t="s">
        <v>3152</v>
      </c>
      <c r="B1339" s="19" t="s">
        <v>1304</v>
      </c>
      <c r="C1339" s="1383">
        <v>3169</v>
      </c>
      <c r="D1339" s="1236"/>
      <c r="E1339" s="1236"/>
      <c r="F1339" s="1344">
        <f>(1/S1339)*cnst_fish!$C$6</f>
        <v>0.10211530705467774</v>
      </c>
      <c r="G1339" s="1344">
        <f t="shared" si="192"/>
        <v>1</v>
      </c>
      <c r="H1339" s="1344">
        <f t="shared" si="192"/>
        <v>0.367192066876738</v>
      </c>
      <c r="I1339" s="1344">
        <f t="shared" si="184"/>
        <v>0</v>
      </c>
      <c r="J1339" s="902">
        <f t="shared" si="185"/>
        <v>0</v>
      </c>
      <c r="L1339" s="1460">
        <v>121781</v>
      </c>
      <c r="M1339" s="1236"/>
      <c r="N1339" s="1240" t="s">
        <v>1806</v>
      </c>
      <c r="O1339" s="1241" t="s">
        <v>4841</v>
      </c>
      <c r="P1339" s="910">
        <f t="shared" si="186"/>
        <v>0</v>
      </c>
      <c r="Q1339" s="910">
        <f t="shared" si="187"/>
        <v>121781</v>
      </c>
      <c r="R1339" s="1344">
        <f t="shared" si="188"/>
        <v>3.47</v>
      </c>
      <c r="S1339" s="1344">
        <f>(1/9)*cnst_fish!$C$7*(1/cnst_fish!$C$8)^(R1339-1)</f>
        <v>41.619617299141382</v>
      </c>
      <c r="T1339" s="1362">
        <f t="shared" si="189"/>
        <v>437907.09136654955</v>
      </c>
      <c r="W1339" s="1612"/>
      <c r="X1339" s="1612"/>
      <c r="Y1339" s="1613"/>
      <c r="Z1339" s="1614"/>
      <c r="AA1339" s="1614"/>
      <c r="AB1339" s="1615"/>
      <c r="AC1339" s="1615"/>
      <c r="AD1339" s="583"/>
      <c r="AE1339" s="583"/>
    </row>
    <row r="1340" spans="1:31" ht="14">
      <c r="A1340" s="1585" t="s">
        <v>8563</v>
      </c>
      <c r="B1340" s="1586" t="s">
        <v>8564</v>
      </c>
      <c r="C1340" s="1383">
        <v>19155</v>
      </c>
      <c r="D1340" s="1236"/>
      <c r="E1340" s="1236"/>
      <c r="F1340" s="1344">
        <f>(1/S1340)*cnst_fish!$C$6</f>
        <v>3.0136363636363641</v>
      </c>
      <c r="G1340" s="1344">
        <f t="shared" si="192"/>
        <v>1</v>
      </c>
      <c r="H1340" s="1344">
        <f t="shared" si="192"/>
        <v>0.367192066876738</v>
      </c>
      <c r="I1340" s="1344">
        <f t="shared" si="184"/>
        <v>0</v>
      </c>
      <c r="J1340" s="902">
        <f t="shared" si="185"/>
        <v>0</v>
      </c>
      <c r="L1340" s="1460">
        <v>0</v>
      </c>
      <c r="M1340" s="1236"/>
      <c r="N1340" s="1240" t="s">
        <v>5367</v>
      </c>
      <c r="O1340" s="1241"/>
      <c r="P1340" s="910">
        <f t="shared" si="186"/>
        <v>0</v>
      </c>
      <c r="Q1340" s="910">
        <f t="shared" si="187"/>
        <v>0</v>
      </c>
      <c r="R1340" s="1344">
        <f t="shared" si="188"/>
        <v>2</v>
      </c>
      <c r="S1340" s="1344">
        <f>(1/9)*cnst_fish!$C$7*(1/cnst_fish!$C$8)^(R1340-1)</f>
        <v>1.4102564102564099</v>
      </c>
      <c r="T1340" s="1362">
        <f t="shared" si="189"/>
        <v>0</v>
      </c>
      <c r="W1340" s="1612"/>
      <c r="X1340" s="1612"/>
      <c r="Y1340" s="1613"/>
      <c r="Z1340" s="1614"/>
      <c r="AA1340" s="1614"/>
      <c r="AB1340" s="1615"/>
      <c r="AC1340" s="1615"/>
      <c r="AD1340" s="583"/>
      <c r="AE1340" s="583"/>
    </row>
    <row r="1341" spans="1:31" ht="14">
      <c r="A1341" s="1384" t="s">
        <v>1403</v>
      </c>
      <c r="B1341" s="19" t="s">
        <v>2794</v>
      </c>
      <c r="C1341" s="1383">
        <v>18826</v>
      </c>
      <c r="D1341" s="1236"/>
      <c r="E1341" s="1236"/>
      <c r="F1341" s="1344">
        <f>(1/S1341)*cnst_fish!$C$6</f>
        <v>0.1409583630333692</v>
      </c>
      <c r="G1341" s="1344">
        <f t="shared" si="192"/>
        <v>1</v>
      </c>
      <c r="H1341" s="1344">
        <f t="shared" si="192"/>
        <v>0.367192066876738</v>
      </c>
      <c r="I1341" s="1344">
        <f t="shared" si="184"/>
        <v>0</v>
      </c>
      <c r="J1341" s="902">
        <f t="shared" si="185"/>
        <v>0</v>
      </c>
      <c r="L1341" s="1460">
        <v>1</v>
      </c>
      <c r="M1341" s="1236"/>
      <c r="N1341" s="1240" t="s">
        <v>1806</v>
      </c>
      <c r="O1341" s="1241" t="s">
        <v>4841</v>
      </c>
      <c r="P1341" s="910">
        <f t="shared" si="186"/>
        <v>0</v>
      </c>
      <c r="Q1341" s="910">
        <f t="shared" si="187"/>
        <v>1</v>
      </c>
      <c r="R1341" s="1344">
        <f t="shared" si="188"/>
        <v>3.33</v>
      </c>
      <c r="S1341" s="1344">
        <f>(1/9)*cnst_fish!$C$7*(1/cnst_fish!$C$8)^(R1341-1)</f>
        <v>30.15074741605714</v>
      </c>
      <c r="T1341" s="1362">
        <f t="shared" si="189"/>
        <v>2.6049682968424674</v>
      </c>
      <c r="W1341" s="1612"/>
      <c r="X1341" s="1612"/>
      <c r="Y1341" s="1613"/>
      <c r="Z1341" s="1614"/>
      <c r="AA1341" s="1614"/>
      <c r="AB1341" s="1615"/>
      <c r="AC1341" s="1615"/>
      <c r="AD1341" s="583"/>
      <c r="AE1341" s="583"/>
    </row>
    <row r="1342" spans="1:31" ht="14">
      <c r="A1342" s="1384" t="s">
        <v>129</v>
      </c>
      <c r="B1342" s="19" t="s">
        <v>1305</v>
      </c>
      <c r="C1342" s="1383">
        <v>2269</v>
      </c>
      <c r="D1342" s="1236"/>
      <c r="E1342" s="1236"/>
      <c r="F1342" s="1344">
        <f>(1/S1342)*cnst_fish!$C$6</f>
        <v>8.3002437741509269E-2</v>
      </c>
      <c r="G1342" s="1344">
        <f t="shared" si="192"/>
        <v>1</v>
      </c>
      <c r="H1342" s="1344">
        <f t="shared" si="192"/>
        <v>0.367192066876738</v>
      </c>
      <c r="I1342" s="1344">
        <f t="shared" si="184"/>
        <v>0</v>
      </c>
      <c r="J1342" s="902">
        <f t="shared" si="185"/>
        <v>0</v>
      </c>
      <c r="L1342" s="1460">
        <v>3733</v>
      </c>
      <c r="M1342" s="1236"/>
      <c r="N1342" s="1240" t="s">
        <v>1806</v>
      </c>
      <c r="O1342" s="1241" t="s">
        <v>4841</v>
      </c>
      <c r="P1342" s="910">
        <f t="shared" si="186"/>
        <v>0</v>
      </c>
      <c r="Q1342" s="910">
        <f t="shared" si="187"/>
        <v>3733</v>
      </c>
      <c r="R1342" s="1344">
        <f t="shared" si="188"/>
        <v>3.56</v>
      </c>
      <c r="S1342" s="1344">
        <f>(1/9)*cnst_fish!$C$7*(1/cnst_fish!$C$8)^(R1342-1)</f>
        <v>51.203315416296356</v>
      </c>
      <c r="T1342" s="1362">
        <f t="shared" si="189"/>
        <v>16514.309976288394</v>
      </c>
      <c r="W1342" s="1612"/>
      <c r="X1342" s="1612"/>
      <c r="Y1342" s="1613"/>
      <c r="Z1342" s="1614"/>
      <c r="AA1342" s="1614"/>
      <c r="AB1342" s="1615"/>
      <c r="AC1342" s="1615"/>
      <c r="AD1342" s="583"/>
      <c r="AE1342" s="583"/>
    </row>
    <row r="1343" spans="1:31" ht="14">
      <c r="A1343" s="1384" t="s">
        <v>1949</v>
      </c>
      <c r="B1343" s="19" t="s">
        <v>1950</v>
      </c>
      <c r="C1343" s="1383">
        <v>14262</v>
      </c>
      <c r="D1343" s="1236">
        <v>140</v>
      </c>
      <c r="E1343" s="1236"/>
      <c r="F1343" s="1344">
        <f>(1/S1343)*cnst_fish!$C$6</f>
        <v>3.0136363636363642E-2</v>
      </c>
      <c r="G1343" s="1344">
        <f t="shared" si="192"/>
        <v>1</v>
      </c>
      <c r="H1343" s="1344">
        <f t="shared" si="192"/>
        <v>0.367192066876738</v>
      </c>
      <c r="I1343" s="1344">
        <f t="shared" si="184"/>
        <v>1705.8093001211957</v>
      </c>
      <c r="J1343" s="902">
        <f t="shared" si="185"/>
        <v>0</v>
      </c>
      <c r="L1343" s="1460">
        <v>450</v>
      </c>
      <c r="M1343" s="1236"/>
      <c r="N1343" s="1240" t="s">
        <v>1806</v>
      </c>
      <c r="O1343" s="1241" t="s">
        <v>4859</v>
      </c>
      <c r="P1343" s="910">
        <f t="shared" si="186"/>
        <v>140</v>
      </c>
      <c r="Q1343" s="910">
        <f t="shared" si="187"/>
        <v>450</v>
      </c>
      <c r="R1343" s="1344">
        <f t="shared" si="188"/>
        <v>4</v>
      </c>
      <c r="S1343" s="1344">
        <f>(1/9)*cnst_fish!$C$7*(1/cnst_fish!$C$8)^(R1343-1)</f>
        <v>141.02564102564099</v>
      </c>
      <c r="T1343" s="1362">
        <f t="shared" si="189"/>
        <v>5482.9584646752719</v>
      </c>
      <c r="W1343" s="1612"/>
      <c r="X1343" s="1612"/>
      <c r="Y1343" s="1613"/>
      <c r="Z1343" s="1614"/>
      <c r="AA1343" s="1614"/>
      <c r="AB1343" s="1615"/>
      <c r="AC1343" s="1615"/>
      <c r="AD1343" s="583"/>
      <c r="AE1343" s="583"/>
    </row>
    <row r="1344" spans="1:31" ht="14">
      <c r="A1344" s="1384" t="s">
        <v>4239</v>
      </c>
      <c r="B1344" s="19" t="s">
        <v>5101</v>
      </c>
      <c r="C1344" s="1383">
        <v>3314</v>
      </c>
      <c r="D1344" s="1236">
        <v>0</v>
      </c>
      <c r="E1344" s="1236"/>
      <c r="F1344" s="1344">
        <f>(1/S1344)*cnst_fish!$C$6</f>
        <v>2.4495756009854434E-2</v>
      </c>
      <c r="G1344" s="1344">
        <f t="shared" si="192"/>
        <v>1</v>
      </c>
      <c r="H1344" s="1344">
        <f t="shared" si="192"/>
        <v>0.367192066876738</v>
      </c>
      <c r="I1344" s="1344">
        <f t="shared" si="184"/>
        <v>0</v>
      </c>
      <c r="J1344" s="902">
        <f t="shared" si="185"/>
        <v>0</v>
      </c>
      <c r="L1344" s="1460">
        <v>0</v>
      </c>
      <c r="M1344" s="1236"/>
      <c r="N1344" s="1240" t="s">
        <v>1806</v>
      </c>
      <c r="O1344" s="1241" t="s">
        <v>4859</v>
      </c>
      <c r="P1344" s="910">
        <f t="shared" si="186"/>
        <v>0</v>
      </c>
      <c r="Q1344" s="910">
        <f t="shared" si="187"/>
        <v>0</v>
      </c>
      <c r="R1344" s="1344">
        <f t="shared" si="188"/>
        <v>4.09</v>
      </c>
      <c r="S1344" s="1344">
        <f>(1/9)*cnst_fish!$C$7*(1/cnst_fish!$C$8)^(R1344-1)</f>
        <v>173.49944203764363</v>
      </c>
      <c r="T1344" s="1362">
        <f t="shared" si="189"/>
        <v>0</v>
      </c>
      <c r="W1344" s="1612"/>
      <c r="X1344" s="1612"/>
      <c r="Y1344" s="1613"/>
      <c r="Z1344" s="1614"/>
      <c r="AA1344" s="1614"/>
      <c r="AB1344" s="1615"/>
      <c r="AC1344" s="1615"/>
      <c r="AD1344" s="583"/>
      <c r="AE1344" s="583"/>
    </row>
    <row r="1345" spans="1:31" ht="14">
      <c r="A1345" s="1384" t="s">
        <v>2576</v>
      </c>
      <c r="B1345" s="19" t="s">
        <v>5102</v>
      </c>
      <c r="C1345" s="1383">
        <v>3312</v>
      </c>
      <c r="D1345" s="1236"/>
      <c r="E1345" s="1236"/>
      <c r="F1345" s="1344">
        <f>(1/S1345)*cnst_fish!$C$6</f>
        <v>2.8780003842373291E-2</v>
      </c>
      <c r="G1345" s="1344">
        <f t="shared" si="192"/>
        <v>1</v>
      </c>
      <c r="H1345" s="1344">
        <f t="shared" si="192"/>
        <v>0.367192066876738</v>
      </c>
      <c r="I1345" s="1344">
        <f t="shared" si="184"/>
        <v>0</v>
      </c>
      <c r="J1345" s="902">
        <f t="shared" si="185"/>
        <v>0</v>
      </c>
      <c r="L1345" s="1460">
        <v>0</v>
      </c>
      <c r="M1345" s="1236"/>
      <c r="N1345" s="1240" t="s">
        <v>1806</v>
      </c>
      <c r="O1345" s="1241" t="s">
        <v>4859</v>
      </c>
      <c r="P1345" s="910">
        <f t="shared" si="186"/>
        <v>0</v>
      </c>
      <c r="Q1345" s="910">
        <f t="shared" si="187"/>
        <v>0</v>
      </c>
      <c r="R1345" s="1344">
        <f t="shared" si="188"/>
        <v>4.0199999999999996</v>
      </c>
      <c r="S1345" s="1344">
        <f>(1/9)*cnst_fish!$C$7*(1/cnst_fish!$C$8)^(R1345-1)</f>
        <v>147.67197472512677</v>
      </c>
      <c r="T1345" s="1362">
        <f t="shared" si="189"/>
        <v>0</v>
      </c>
      <c r="W1345" s="1612"/>
      <c r="X1345" s="1612"/>
      <c r="Y1345" s="1613"/>
      <c r="Z1345" s="1614"/>
      <c r="AA1345" s="1614"/>
      <c r="AB1345" s="1615"/>
      <c r="AC1345" s="1615"/>
      <c r="AD1345" s="583"/>
      <c r="AE1345" s="583"/>
    </row>
    <row r="1346" spans="1:31" ht="14">
      <c r="A1346" s="1384" t="s">
        <v>5625</v>
      </c>
      <c r="B1346" s="19" t="s">
        <v>5103</v>
      </c>
      <c r="C1346" s="1383">
        <v>3313</v>
      </c>
      <c r="D1346" s="1236"/>
      <c r="E1346" s="1236"/>
      <c r="F1346" s="1344">
        <f>(1/S1346)*cnst_fish!$C$6</f>
        <v>3.2291695426024204E-2</v>
      </c>
      <c r="G1346" s="1344">
        <f t="shared" si="192"/>
        <v>1</v>
      </c>
      <c r="H1346" s="1344">
        <f t="shared" si="192"/>
        <v>0.367192066876738</v>
      </c>
      <c r="I1346" s="1344">
        <f t="shared" si="184"/>
        <v>0</v>
      </c>
      <c r="J1346" s="902">
        <f t="shared" si="185"/>
        <v>0</v>
      </c>
      <c r="L1346" s="1460">
        <v>0</v>
      </c>
      <c r="M1346" s="1236"/>
      <c r="N1346" s="1240" t="s">
        <v>1806</v>
      </c>
      <c r="O1346" s="1241" t="s">
        <v>4859</v>
      </c>
      <c r="P1346" s="910">
        <f t="shared" si="186"/>
        <v>0</v>
      </c>
      <c r="Q1346" s="910">
        <f t="shared" si="187"/>
        <v>0</v>
      </c>
      <c r="R1346" s="1344">
        <f t="shared" si="188"/>
        <v>3.97</v>
      </c>
      <c r="S1346" s="1344">
        <f>(1/9)*cnst_fish!$C$7*(1/cnst_fish!$C$8)^(R1346-1)</f>
        <v>131.61278600983218</v>
      </c>
      <c r="T1346" s="1362">
        <f t="shared" si="189"/>
        <v>0</v>
      </c>
      <c r="W1346" s="1612"/>
      <c r="X1346" s="1612"/>
      <c r="Y1346" s="1613"/>
      <c r="Z1346" s="1614"/>
      <c r="AA1346" s="1614"/>
      <c r="AB1346" s="1615"/>
      <c r="AC1346" s="1615"/>
      <c r="AD1346" s="583"/>
      <c r="AE1346" s="583"/>
    </row>
    <row r="1347" spans="1:31" ht="14">
      <c r="A1347" s="1384" t="s">
        <v>4802</v>
      </c>
      <c r="B1347" s="19" t="s">
        <v>3375</v>
      </c>
      <c r="C1347" s="1383">
        <v>3096</v>
      </c>
      <c r="D1347" s="1236"/>
      <c r="E1347" s="1236">
        <v>933</v>
      </c>
      <c r="F1347" s="1344">
        <f>(1/S1347)*cnst_fish!$C$6</f>
        <v>6.0129950673834844E-2</v>
      </c>
      <c r="G1347" s="1344">
        <f t="shared" si="192"/>
        <v>1</v>
      </c>
      <c r="H1347" s="1344">
        <f t="shared" si="192"/>
        <v>0.367192066876738</v>
      </c>
      <c r="I1347" s="1344">
        <f t="shared" si="184"/>
        <v>0</v>
      </c>
      <c r="J1347" s="902">
        <f t="shared" si="185"/>
        <v>5697.4967475746234</v>
      </c>
      <c r="L1347" s="1460"/>
      <c r="M1347" s="1236">
        <v>4714</v>
      </c>
      <c r="N1347" s="1240" t="s">
        <v>1806</v>
      </c>
      <c r="O1347" s="1241" t="s">
        <v>4845</v>
      </c>
      <c r="P1347" s="910">
        <f t="shared" si="186"/>
        <v>933</v>
      </c>
      <c r="Q1347" s="910">
        <f t="shared" si="187"/>
        <v>4714</v>
      </c>
      <c r="R1347" s="1344">
        <f t="shared" si="188"/>
        <v>3.7</v>
      </c>
      <c r="S1347" s="1344">
        <f>(1/9)*cnst_fish!$C$7*(1/cnst_fish!$C$8)^(R1347-1)</f>
        <v>70.680250896153822</v>
      </c>
      <c r="T1347" s="1362">
        <f t="shared" si="189"/>
        <v>28786.709183351311</v>
      </c>
      <c r="W1347" s="1612"/>
      <c r="X1347" s="1612"/>
      <c r="Y1347" s="1613"/>
      <c r="Z1347" s="1614"/>
      <c r="AA1347" s="1614"/>
      <c r="AB1347" s="1615"/>
      <c r="AC1347" s="1615"/>
      <c r="AD1347" s="583"/>
      <c r="AE1347" s="583"/>
    </row>
    <row r="1348" spans="1:31" ht="14">
      <c r="A1348" s="1384" t="s">
        <v>4159</v>
      </c>
      <c r="B1348" s="19" t="s">
        <v>3376</v>
      </c>
      <c r="C1348" s="1383">
        <v>2298</v>
      </c>
      <c r="D1348" s="1236"/>
      <c r="E1348" s="1236"/>
      <c r="F1348" s="1344">
        <f>(1/S1348)*cnst_fish!$C$6</f>
        <v>1.3461419163458574E-2</v>
      </c>
      <c r="G1348" s="1344">
        <f t="shared" ref="G1348:H1367" si="193">G$7</f>
        <v>1</v>
      </c>
      <c r="H1348" s="1344">
        <f t="shared" si="193"/>
        <v>0.367192066876738</v>
      </c>
      <c r="I1348" s="1344">
        <f t="shared" si="184"/>
        <v>0</v>
      </c>
      <c r="J1348" s="902">
        <f t="shared" si="185"/>
        <v>0</v>
      </c>
      <c r="L1348" s="1460">
        <v>5396</v>
      </c>
      <c r="M1348" s="1236">
        <v>26630</v>
      </c>
      <c r="N1348" s="1240" t="s">
        <v>1806</v>
      </c>
      <c r="O1348" s="1241" t="s">
        <v>4845</v>
      </c>
      <c r="P1348" s="910">
        <f t="shared" si="186"/>
        <v>0</v>
      </c>
      <c r="Q1348" s="910">
        <f t="shared" si="187"/>
        <v>32026</v>
      </c>
      <c r="R1348" s="1344">
        <f t="shared" si="188"/>
        <v>4.3499999999999996</v>
      </c>
      <c r="S1348" s="1344">
        <f>(1/9)*cnst_fish!$C$7*(1/cnst_fish!$C$8)^(R1348-1)</f>
        <v>315.71708364425297</v>
      </c>
      <c r="T1348" s="1362">
        <f t="shared" si="189"/>
        <v>873584.94605950988</v>
      </c>
      <c r="W1348" s="1612"/>
      <c r="X1348" s="1612"/>
      <c r="Y1348" s="1613"/>
      <c r="Z1348" s="1614"/>
      <c r="AA1348" s="1614"/>
      <c r="AB1348" s="1615"/>
      <c r="AC1348" s="1615"/>
      <c r="AD1348" s="583"/>
      <c r="AE1348" s="583"/>
    </row>
    <row r="1349" spans="1:31" ht="14">
      <c r="A1349" s="1384" t="s">
        <v>2089</v>
      </c>
      <c r="B1349" s="19" t="s">
        <v>3625</v>
      </c>
      <c r="C1349" s="1383">
        <v>14264</v>
      </c>
      <c r="D1349" s="1236"/>
      <c r="E1349" s="1236"/>
      <c r="F1349" s="1344">
        <f>(1/S1349)*cnst_fish!$C$6</f>
        <v>9.5299549485983348E-2</v>
      </c>
      <c r="G1349" s="1344">
        <f t="shared" si="193"/>
        <v>1</v>
      </c>
      <c r="H1349" s="1344">
        <f t="shared" si="193"/>
        <v>0.367192066876738</v>
      </c>
      <c r="I1349" s="1344">
        <f t="shared" si="184"/>
        <v>0</v>
      </c>
      <c r="J1349" s="902">
        <f t="shared" si="185"/>
        <v>0</v>
      </c>
      <c r="L1349" s="1460">
        <v>0</v>
      </c>
      <c r="M1349" s="1236"/>
      <c r="N1349" s="1240" t="s">
        <v>1806</v>
      </c>
      <c r="O1349" s="1241" t="s">
        <v>4845</v>
      </c>
      <c r="P1349" s="910">
        <f t="shared" si="186"/>
        <v>0</v>
      </c>
      <c r="Q1349" s="910">
        <f t="shared" si="187"/>
        <v>0</v>
      </c>
      <c r="R1349" s="1344">
        <f t="shared" si="188"/>
        <v>3.5</v>
      </c>
      <c r="S1349" s="1344">
        <f>(1/9)*cnst_fish!$C$7*(1/cnst_fish!$C$8)^(R1349-1)</f>
        <v>44.596223412631026</v>
      </c>
      <c r="T1349" s="1362">
        <f t="shared" si="189"/>
        <v>0</v>
      </c>
      <c r="W1349" s="1612"/>
      <c r="X1349" s="1612"/>
      <c r="Y1349" s="1613"/>
      <c r="Z1349" s="1614"/>
      <c r="AA1349" s="1614"/>
      <c r="AB1349" s="1615"/>
      <c r="AC1349" s="1615"/>
      <c r="AD1349" s="583"/>
      <c r="AE1349" s="583"/>
    </row>
    <row r="1350" spans="1:31" ht="14">
      <c r="A1350" s="1384" t="s">
        <v>5651</v>
      </c>
      <c r="B1350" s="19" t="s">
        <v>2795</v>
      </c>
      <c r="C1350" s="1383">
        <v>3063</v>
      </c>
      <c r="D1350" s="1236"/>
      <c r="E1350" s="1236"/>
      <c r="F1350" s="1344">
        <f>(1/S1350)*cnst_fish!$C$6</f>
        <v>0.11196720767792057</v>
      </c>
      <c r="G1350" s="1344">
        <f t="shared" si="193"/>
        <v>1</v>
      </c>
      <c r="H1350" s="1344">
        <f t="shared" si="193"/>
        <v>0.367192066876738</v>
      </c>
      <c r="I1350" s="1344">
        <f t="shared" si="184"/>
        <v>0</v>
      </c>
      <c r="J1350" s="902">
        <f t="shared" si="185"/>
        <v>0</v>
      </c>
      <c r="L1350" s="1460">
        <v>67899</v>
      </c>
      <c r="M1350" s="1236"/>
      <c r="N1350" s="1240" t="s">
        <v>1806</v>
      </c>
      <c r="O1350" s="1241" t="s">
        <v>4841</v>
      </c>
      <c r="P1350" s="910">
        <f t="shared" si="186"/>
        <v>0</v>
      </c>
      <c r="Q1350" s="910">
        <f t="shared" si="187"/>
        <v>67899</v>
      </c>
      <c r="R1350" s="1344">
        <f t="shared" si="188"/>
        <v>3.43</v>
      </c>
      <c r="S1350" s="1344">
        <f>(1/9)*cnst_fish!$C$7*(1/cnst_fish!$C$8)^(R1350-1)</f>
        <v>37.957542106661656</v>
      </c>
      <c r="T1350" s="1362">
        <f t="shared" si="189"/>
        <v>222672.10789592736</v>
      </c>
      <c r="W1350" s="1612"/>
      <c r="X1350" s="1612"/>
      <c r="Y1350" s="1613"/>
      <c r="Z1350" s="1614"/>
      <c r="AA1350" s="1614"/>
      <c r="AB1350" s="1615"/>
      <c r="AC1350" s="1615"/>
      <c r="AD1350" s="583"/>
      <c r="AE1350" s="583"/>
    </row>
    <row r="1351" spans="1:31" ht="14">
      <c r="A1351" s="1384" t="s">
        <v>5680</v>
      </c>
      <c r="B1351" s="19" t="s">
        <v>2795</v>
      </c>
      <c r="C1351" s="1383">
        <v>3064</v>
      </c>
      <c r="D1351" s="1236"/>
      <c r="E1351" s="1236"/>
      <c r="F1351" s="1344">
        <f>(1/S1351)*cnst_fish!$C$6</f>
        <v>0.11196720767792057</v>
      </c>
      <c r="G1351" s="1344">
        <f t="shared" si="193"/>
        <v>1</v>
      </c>
      <c r="H1351" s="1344">
        <f t="shared" si="193"/>
        <v>0.367192066876738</v>
      </c>
      <c r="I1351" s="1344">
        <f t="shared" ref="I1351:I1414" si="194">IF($F1351=0,0,D1351/$F1351*$H1351*$G1351)</f>
        <v>0</v>
      </c>
      <c r="J1351" s="902">
        <f t="shared" ref="J1351:J1414" si="195">IF($F1351=0,0,E1351/$F1351*$H1351*$G1351)</f>
        <v>0</v>
      </c>
      <c r="L1351" s="1460">
        <v>48917</v>
      </c>
      <c r="M1351" s="1236"/>
      <c r="N1351" s="1240" t="s">
        <v>1806</v>
      </c>
      <c r="O1351" s="1241" t="s">
        <v>4841</v>
      </c>
      <c r="P1351" s="910">
        <f t="shared" ref="P1351:P1414" si="196">D1351+E1351</f>
        <v>0</v>
      </c>
      <c r="Q1351" s="910">
        <f t="shared" ref="Q1351:Q1414" si="197">L1351+M1351</f>
        <v>48917</v>
      </c>
      <c r="R1351" s="1344">
        <f t="shared" ref="R1351:R1414" si="198">VLOOKUP(B1351,constant_fish_trophic,3,FALSE)</f>
        <v>3.43</v>
      </c>
      <c r="S1351" s="1344">
        <f>(1/9)*cnst_fish!$C$7*(1/cnst_fish!$C$8)^(R1351-1)</f>
        <v>37.957542106661656</v>
      </c>
      <c r="T1351" s="1362">
        <f t="shared" ref="T1351:T1414" si="199">IF(F1351=0,0,Q1351/F1351*H1351*G1351)</f>
        <v>160421.38325962206</v>
      </c>
      <c r="W1351" s="1612"/>
      <c r="X1351" s="1612"/>
      <c r="Y1351" s="1613"/>
      <c r="Z1351" s="1614"/>
      <c r="AA1351" s="1614"/>
      <c r="AB1351" s="1615"/>
      <c r="AC1351" s="1615"/>
      <c r="AD1351" s="583"/>
      <c r="AE1351" s="583"/>
    </row>
    <row r="1352" spans="1:31" ht="14">
      <c r="A1352" s="1384" t="s">
        <v>3310</v>
      </c>
      <c r="B1352" s="19" t="s">
        <v>2282</v>
      </c>
      <c r="C1352" s="1383">
        <v>2273</v>
      </c>
      <c r="D1352" s="1236"/>
      <c r="E1352" s="1236"/>
      <c r="F1352" s="1344">
        <f>(1/S1352)*cnst_fish!$C$6</f>
        <v>0.11196720767792057</v>
      </c>
      <c r="G1352" s="1344">
        <f t="shared" si="193"/>
        <v>1</v>
      </c>
      <c r="H1352" s="1344">
        <f t="shared" si="193"/>
        <v>0.367192066876738</v>
      </c>
      <c r="I1352" s="1344">
        <f t="shared" si="194"/>
        <v>0</v>
      </c>
      <c r="J1352" s="902">
        <f t="shared" si="195"/>
        <v>0</v>
      </c>
      <c r="L1352" s="1460">
        <v>120821</v>
      </c>
      <c r="M1352" s="1236"/>
      <c r="N1352" s="1240" t="s">
        <v>1806</v>
      </c>
      <c r="O1352" s="1241" t="s">
        <v>4841</v>
      </c>
      <c r="P1352" s="910">
        <f t="shared" si="196"/>
        <v>0</v>
      </c>
      <c r="Q1352" s="910">
        <f t="shared" si="197"/>
        <v>120821</v>
      </c>
      <c r="R1352" s="1344">
        <f t="shared" si="198"/>
        <v>3.43</v>
      </c>
      <c r="S1352" s="1344">
        <f>(1/9)*cnst_fish!$C$7*(1/cnst_fish!$C$8)^(R1352-1)</f>
        <v>37.957542106661656</v>
      </c>
      <c r="T1352" s="1362">
        <f t="shared" si="199"/>
        <v>396227.7316027311</v>
      </c>
      <c r="W1352" s="1612"/>
      <c r="X1352" s="1612"/>
      <c r="Y1352" s="1613"/>
      <c r="Z1352" s="1614"/>
      <c r="AA1352" s="1614"/>
      <c r="AB1352" s="1615"/>
      <c r="AC1352" s="1615"/>
      <c r="AD1352" s="583"/>
      <c r="AE1352" s="583"/>
    </row>
    <row r="1353" spans="1:31" ht="14">
      <c r="A1353" s="1384" t="s">
        <v>1934</v>
      </c>
      <c r="B1353" s="19" t="s">
        <v>1935</v>
      </c>
      <c r="C1353" s="1383">
        <v>3233</v>
      </c>
      <c r="D1353" s="1236"/>
      <c r="E1353" s="1236"/>
      <c r="F1353" s="1344">
        <f>(1/S1353)*cnst_fish!$C$6</f>
        <v>1.4095836303336913E-2</v>
      </c>
      <c r="G1353" s="1344">
        <f t="shared" si="193"/>
        <v>1</v>
      </c>
      <c r="H1353" s="1344">
        <f t="shared" si="193"/>
        <v>0.367192066876738</v>
      </c>
      <c r="I1353" s="1344">
        <f t="shared" si="194"/>
        <v>0</v>
      </c>
      <c r="J1353" s="902">
        <f t="shared" si="195"/>
        <v>0</v>
      </c>
      <c r="L1353" s="1460">
        <v>6951</v>
      </c>
      <c r="M1353" s="1236"/>
      <c r="N1353" s="1240" t="s">
        <v>1806</v>
      </c>
      <c r="O1353" s="1241" t="s">
        <v>4841</v>
      </c>
      <c r="P1353" s="910">
        <f t="shared" si="196"/>
        <v>0</v>
      </c>
      <c r="Q1353" s="910">
        <f t="shared" si="197"/>
        <v>6951</v>
      </c>
      <c r="R1353" s="1344">
        <f t="shared" si="198"/>
        <v>4.33</v>
      </c>
      <c r="S1353" s="1344">
        <f>(1/9)*cnst_fish!$C$7*(1/cnst_fish!$C$8)^(R1353-1)</f>
        <v>301.50747416057146</v>
      </c>
      <c r="T1353" s="1362">
        <f t="shared" si="199"/>
        <v>181071.34631352001</v>
      </c>
      <c r="W1353" s="1612"/>
      <c r="X1353" s="1612"/>
      <c r="Y1353" s="1613"/>
      <c r="Z1353" s="1614"/>
      <c r="AA1353" s="1614"/>
      <c r="AB1353" s="1615"/>
      <c r="AC1353" s="1615"/>
      <c r="AD1353" s="583"/>
      <c r="AE1353" s="583"/>
    </row>
    <row r="1354" spans="1:31" ht="14">
      <c r="A1354" s="1384" t="s">
        <v>5194</v>
      </c>
      <c r="B1354" s="19" t="s">
        <v>981</v>
      </c>
      <c r="C1354" s="1383">
        <v>3531</v>
      </c>
      <c r="D1354" s="1236"/>
      <c r="E1354" s="1236"/>
      <c r="F1354" s="1344">
        <f>(1/S1354)*cnst_fish!$C$6</f>
        <v>2.3938164528281742</v>
      </c>
      <c r="G1354" s="1344">
        <f t="shared" si="193"/>
        <v>1</v>
      </c>
      <c r="H1354" s="1344">
        <f t="shared" si="193"/>
        <v>0.367192066876738</v>
      </c>
      <c r="I1354" s="1344">
        <f t="shared" si="194"/>
        <v>0</v>
      </c>
      <c r="J1354" s="902">
        <f t="shared" si="195"/>
        <v>0</v>
      </c>
      <c r="L1354" s="1460">
        <v>1600</v>
      </c>
      <c r="M1354" s="1236"/>
      <c r="N1354" s="1240" t="s">
        <v>2433</v>
      </c>
      <c r="O1354" s="1241" t="s">
        <v>4851</v>
      </c>
      <c r="P1354" s="910">
        <f t="shared" si="196"/>
        <v>0</v>
      </c>
      <c r="Q1354" s="910">
        <f t="shared" si="197"/>
        <v>1600</v>
      </c>
      <c r="R1354" s="1344">
        <f t="shared" si="198"/>
        <v>2.1</v>
      </c>
      <c r="S1354" s="1344">
        <f>(1/9)*cnst_fish!$C$7*(1/cnst_fish!$C$8)^(R1354-1)</f>
        <v>1.7754076320174161</v>
      </c>
      <c r="T1354" s="1362">
        <f t="shared" si="199"/>
        <v>245.42704863970266</v>
      </c>
      <c r="W1354" s="1612"/>
      <c r="X1354" s="1612"/>
      <c r="Y1354" s="1613"/>
      <c r="Z1354" s="1614"/>
      <c r="AA1354" s="1614"/>
      <c r="AB1354" s="1615"/>
      <c r="AC1354" s="1615"/>
      <c r="AD1354" s="583"/>
      <c r="AE1354" s="583"/>
    </row>
    <row r="1355" spans="1:31" ht="14">
      <c r="A1355" s="1384" t="s">
        <v>1552</v>
      </c>
      <c r="B1355" s="19" t="s">
        <v>291</v>
      </c>
      <c r="C1355" s="1383">
        <v>2691</v>
      </c>
      <c r="D1355" s="1236"/>
      <c r="E1355" s="1236"/>
      <c r="F1355" s="1344">
        <f>(1/S1355)*cnst_fish!$C$6</f>
        <v>3.0136363636363641</v>
      </c>
      <c r="G1355" s="1344">
        <f t="shared" si="193"/>
        <v>1</v>
      </c>
      <c r="H1355" s="1344">
        <f t="shared" si="193"/>
        <v>0.367192066876738</v>
      </c>
      <c r="I1355" s="1344">
        <f t="shared" si="194"/>
        <v>0</v>
      </c>
      <c r="J1355" s="902">
        <f t="shared" si="195"/>
        <v>0</v>
      </c>
      <c r="L1355" s="1460">
        <v>8093</v>
      </c>
      <c r="M1355" s="1236"/>
      <c r="N1355" s="1240" t="s">
        <v>2433</v>
      </c>
      <c r="O1355" s="1241" t="s">
        <v>4851</v>
      </c>
      <c r="P1355" s="910">
        <f t="shared" si="196"/>
        <v>0</v>
      </c>
      <c r="Q1355" s="910">
        <f t="shared" si="197"/>
        <v>8093</v>
      </c>
      <c r="R1355" s="1344">
        <f t="shared" si="198"/>
        <v>2</v>
      </c>
      <c r="S1355" s="1344">
        <f>(1/9)*cnst_fish!$C$7*(1/cnst_fish!$C$8)^(R1355-1)</f>
        <v>1.4102564102564099</v>
      </c>
      <c r="T1355" s="1362">
        <f t="shared" si="199"/>
        <v>986.07961899148836</v>
      </c>
      <c r="W1355" s="1612"/>
      <c r="X1355" s="1612"/>
      <c r="Y1355" s="1613"/>
      <c r="Z1355" s="1614"/>
      <c r="AA1355" s="1614"/>
      <c r="AB1355" s="1615"/>
      <c r="AC1355" s="1615"/>
      <c r="AD1355" s="583"/>
      <c r="AE1355" s="583"/>
    </row>
    <row r="1356" spans="1:31" ht="14">
      <c r="A1356" s="1384" t="s">
        <v>4136</v>
      </c>
      <c r="B1356" s="19" t="s">
        <v>536</v>
      </c>
      <c r="C1356" s="1383">
        <v>14293</v>
      </c>
      <c r="D1356" s="1236"/>
      <c r="E1356" s="1236"/>
      <c r="F1356" s="1344">
        <f>(1/S1356)*cnst_fish!$C$6</f>
        <v>1.2855555498429807E-2</v>
      </c>
      <c r="G1356" s="1344">
        <f t="shared" si="193"/>
        <v>1</v>
      </c>
      <c r="H1356" s="1344">
        <f t="shared" si="193"/>
        <v>0.367192066876738</v>
      </c>
      <c r="I1356" s="1344">
        <f t="shared" si="194"/>
        <v>0</v>
      </c>
      <c r="J1356" s="902">
        <f t="shared" si="195"/>
        <v>0</v>
      </c>
      <c r="L1356" s="1460">
        <v>59</v>
      </c>
      <c r="M1356" s="1236"/>
      <c r="N1356" s="1240" t="s">
        <v>1806</v>
      </c>
      <c r="O1356" s="1241" t="s">
        <v>4845</v>
      </c>
      <c r="P1356" s="910">
        <f t="shared" si="196"/>
        <v>0</v>
      </c>
      <c r="Q1356" s="910">
        <f t="shared" si="197"/>
        <v>59</v>
      </c>
      <c r="R1356" s="1344">
        <f t="shared" si="198"/>
        <v>4.37</v>
      </c>
      <c r="S1356" s="1344">
        <f>(1/9)*cnst_fish!$C$7*(1/cnst_fish!$C$8)^(R1356-1)</f>
        <v>330.59637139127125</v>
      </c>
      <c r="T1356" s="1362">
        <f t="shared" si="199"/>
        <v>1685.2116540878881</v>
      </c>
      <c r="W1356" s="1612"/>
      <c r="X1356" s="1612"/>
      <c r="Y1356" s="1613"/>
      <c r="Z1356" s="1614"/>
      <c r="AA1356" s="1614"/>
      <c r="AB1356" s="1615"/>
      <c r="AC1356" s="1615"/>
      <c r="AD1356" s="583"/>
      <c r="AE1356" s="583"/>
    </row>
    <row r="1357" spans="1:31" ht="14">
      <c r="A1357" s="1384" t="s">
        <v>3177</v>
      </c>
      <c r="B1357" s="19" t="s">
        <v>537</v>
      </c>
      <c r="C1357" s="1383">
        <v>2000</v>
      </c>
      <c r="D1357" s="1236"/>
      <c r="E1357" s="1236">
        <v>0</v>
      </c>
      <c r="F1357" s="1344">
        <f>(1/S1357)*cnst_fish!$C$6</f>
        <v>2.8780003842373291E-2</v>
      </c>
      <c r="G1357" s="1344">
        <f t="shared" si="193"/>
        <v>1</v>
      </c>
      <c r="H1357" s="1344">
        <f t="shared" si="193"/>
        <v>0.367192066876738</v>
      </c>
      <c r="I1357" s="1344">
        <f t="shared" si="194"/>
        <v>0</v>
      </c>
      <c r="J1357" s="902">
        <f t="shared" si="195"/>
        <v>0</v>
      </c>
      <c r="L1357" s="1460">
        <v>45</v>
      </c>
      <c r="M1357" s="1236">
        <v>858</v>
      </c>
      <c r="N1357" s="1240" t="s">
        <v>1806</v>
      </c>
      <c r="O1357" s="1241" t="s">
        <v>4845</v>
      </c>
      <c r="P1357" s="910">
        <f t="shared" si="196"/>
        <v>0</v>
      </c>
      <c r="Q1357" s="910">
        <f t="shared" si="197"/>
        <v>903</v>
      </c>
      <c r="R1357" s="1344">
        <f t="shared" si="198"/>
        <v>4.0199999999999996</v>
      </c>
      <c r="S1357" s="1344">
        <f>(1/9)*cnst_fish!$C$7*(1/cnst_fish!$C$8)^(R1357-1)</f>
        <v>147.67197472512677</v>
      </c>
      <c r="T1357" s="1362">
        <f t="shared" si="199"/>
        <v>11521.000421185201</v>
      </c>
      <c r="W1357" s="1612"/>
      <c r="X1357" s="1612"/>
      <c r="Y1357" s="1613"/>
      <c r="Z1357" s="1614"/>
      <c r="AA1357" s="1614"/>
      <c r="AB1357" s="1615"/>
      <c r="AC1357" s="1615"/>
      <c r="AD1357" s="583"/>
      <c r="AE1357" s="583"/>
    </row>
    <row r="1358" spans="1:31" ht="14">
      <c r="A1358" s="1384" t="s">
        <v>2597</v>
      </c>
      <c r="B1358" s="19" t="s">
        <v>2283</v>
      </c>
      <c r="C1358" s="1383">
        <v>3191</v>
      </c>
      <c r="D1358" s="1236"/>
      <c r="E1358" s="1236"/>
      <c r="F1358" s="1344">
        <f>(1/S1358)*cnst_fish!$C$6</f>
        <v>9.5299549485983424E-3</v>
      </c>
      <c r="G1358" s="1344">
        <f t="shared" si="193"/>
        <v>1</v>
      </c>
      <c r="H1358" s="1344">
        <f t="shared" si="193"/>
        <v>0.367192066876738</v>
      </c>
      <c r="I1358" s="1344">
        <f t="shared" si="194"/>
        <v>0</v>
      </c>
      <c r="J1358" s="902">
        <f t="shared" si="195"/>
        <v>0</v>
      </c>
      <c r="L1358" s="1460">
        <v>0</v>
      </c>
      <c r="M1358" s="1236"/>
      <c r="N1358" s="1240" t="s">
        <v>1806</v>
      </c>
      <c r="O1358" s="1241" t="s">
        <v>4841</v>
      </c>
      <c r="P1358" s="910">
        <f t="shared" si="196"/>
        <v>0</v>
      </c>
      <c r="Q1358" s="910">
        <f t="shared" si="197"/>
        <v>0</v>
      </c>
      <c r="R1358" s="1344">
        <f t="shared" si="198"/>
        <v>4.5</v>
      </c>
      <c r="S1358" s="1344">
        <f>(1/9)*cnst_fish!$C$7*(1/cnst_fish!$C$8)^(R1358-1)</f>
        <v>445.96223412630997</v>
      </c>
      <c r="T1358" s="1362">
        <f t="shared" si="199"/>
        <v>0</v>
      </c>
      <c r="W1358" s="1612"/>
      <c r="X1358" s="1612"/>
      <c r="Y1358" s="1613"/>
      <c r="Z1358" s="1614"/>
      <c r="AA1358" s="1614"/>
      <c r="AB1358" s="1615"/>
      <c r="AC1358" s="1615"/>
      <c r="AD1358" s="583"/>
      <c r="AE1358" s="583"/>
    </row>
    <row r="1359" spans="1:31" ht="14">
      <c r="A1359" s="1384" t="s">
        <v>1514</v>
      </c>
      <c r="B1359" s="19" t="s">
        <v>5593</v>
      </c>
      <c r="C1359" s="1383">
        <v>3628</v>
      </c>
      <c r="D1359" s="1236">
        <v>93</v>
      </c>
      <c r="E1359" s="1236"/>
      <c r="F1359" s="1344">
        <f>(1/S1359)*cnst_fish!$C$6</f>
        <v>30.136363636363644</v>
      </c>
      <c r="G1359" s="1344">
        <f t="shared" si="193"/>
        <v>1</v>
      </c>
      <c r="H1359" s="1344">
        <f t="shared" si="193"/>
        <v>0.367192066876738</v>
      </c>
      <c r="I1359" s="1344">
        <f t="shared" si="194"/>
        <v>1.1331447493662228</v>
      </c>
      <c r="J1359" s="902">
        <f t="shared" si="195"/>
        <v>0</v>
      </c>
      <c r="L1359" s="1460">
        <v>182158</v>
      </c>
      <c r="M1359" s="1236"/>
      <c r="N1359" s="1240" t="s">
        <v>1808</v>
      </c>
      <c r="O1359" s="1241" t="s">
        <v>4831</v>
      </c>
      <c r="P1359" s="910">
        <f t="shared" si="196"/>
        <v>93</v>
      </c>
      <c r="Q1359" s="910">
        <f t="shared" si="197"/>
        <v>182158</v>
      </c>
      <c r="R1359" s="1344">
        <f t="shared" si="198"/>
        <v>1</v>
      </c>
      <c r="S1359" s="1344">
        <f>(1/9)*cnst_fish!$C$7*(1/cnst_fish!$C$8)^(R1359-1)</f>
        <v>0.141025641025641</v>
      </c>
      <c r="T1359" s="1362">
        <f t="shared" si="199"/>
        <v>2219.4772177962627</v>
      </c>
      <c r="W1359" s="1612"/>
      <c r="X1359" s="1612"/>
      <c r="Y1359" s="1613"/>
      <c r="Z1359" s="1614"/>
      <c r="AA1359" s="1614"/>
      <c r="AB1359" s="1615"/>
      <c r="AC1359" s="1615"/>
      <c r="AD1359" s="583"/>
      <c r="AE1359" s="583"/>
    </row>
    <row r="1360" spans="1:31" ht="14">
      <c r="A1360" s="1384" t="s">
        <v>6457</v>
      </c>
      <c r="B1360" s="19" t="s">
        <v>6456</v>
      </c>
      <c r="C1360" s="1383">
        <v>17311</v>
      </c>
      <c r="D1360" s="1236"/>
      <c r="E1360" s="1236"/>
      <c r="F1360" s="1344">
        <f>(1/S1360)*cnst_fish!$C$6</f>
        <v>3.0136363636363641</v>
      </c>
      <c r="G1360" s="1344">
        <f t="shared" si="193"/>
        <v>1</v>
      </c>
      <c r="H1360" s="1344">
        <f t="shared" si="193"/>
        <v>0.367192066876738</v>
      </c>
      <c r="I1360" s="1344">
        <f t="shared" si="194"/>
        <v>0</v>
      </c>
      <c r="J1360" s="902">
        <f t="shared" si="195"/>
        <v>0</v>
      </c>
      <c r="L1360" s="1460">
        <v>59</v>
      </c>
      <c r="M1360" s="1236"/>
      <c r="N1360" s="1240" t="s">
        <v>1804</v>
      </c>
      <c r="O1360" s="1241" t="s">
        <v>4835</v>
      </c>
      <c r="P1360" s="910">
        <f t="shared" si="196"/>
        <v>0</v>
      </c>
      <c r="Q1360" s="910">
        <f t="shared" si="197"/>
        <v>59</v>
      </c>
      <c r="R1360" s="1344">
        <f t="shared" si="198"/>
        <v>2</v>
      </c>
      <c r="S1360" s="1344">
        <f>(1/9)*cnst_fish!$C$7*(1/cnst_fish!$C$8)^(R1360-1)</f>
        <v>1.4102564102564099</v>
      </c>
      <c r="T1360" s="1362">
        <f t="shared" si="199"/>
        <v>7.1887677647964683</v>
      </c>
      <c r="W1360" s="1612"/>
      <c r="X1360" s="1612"/>
      <c r="Y1360" s="1613"/>
      <c r="Z1360" s="1614"/>
      <c r="AA1360" s="1614"/>
      <c r="AB1360" s="1615"/>
      <c r="AC1360" s="1615"/>
      <c r="AD1360" s="583"/>
      <c r="AE1360" s="583"/>
    </row>
    <row r="1361" spans="1:31" ht="14">
      <c r="A1361" s="1384" t="s">
        <v>6811</v>
      </c>
      <c r="B1361" s="19" t="s">
        <v>6810</v>
      </c>
      <c r="C1361" s="1383">
        <v>14333</v>
      </c>
      <c r="D1361" s="1236"/>
      <c r="E1361" s="1236"/>
      <c r="F1361" s="1344">
        <f>(1/S1361)*cnst_fish!$C$6</f>
        <v>1.9014759972289439E-2</v>
      </c>
      <c r="G1361" s="1344">
        <f t="shared" si="193"/>
        <v>1</v>
      </c>
      <c r="H1361" s="1344">
        <f t="shared" si="193"/>
        <v>0.367192066876738</v>
      </c>
      <c r="I1361" s="1344">
        <f t="shared" si="194"/>
        <v>0</v>
      </c>
      <c r="J1361" s="902">
        <f t="shared" si="195"/>
        <v>0</v>
      </c>
      <c r="L1361" s="1460"/>
      <c r="M1361" s="1236">
        <v>692</v>
      </c>
      <c r="N1361" s="1240" t="s">
        <v>1806</v>
      </c>
      <c r="O1361" s="1241" t="s">
        <v>4845</v>
      </c>
      <c r="P1361" s="910">
        <f t="shared" si="196"/>
        <v>0</v>
      </c>
      <c r="Q1361" s="910">
        <f t="shared" si="197"/>
        <v>692</v>
      </c>
      <c r="R1361" s="1344">
        <f t="shared" si="198"/>
        <v>4.2</v>
      </c>
      <c r="S1361" s="1344">
        <f>(1/9)*cnst_fish!$C$7*(1/cnst_fish!$C$8)^(R1361-1)</f>
        <v>223.51057842400343</v>
      </c>
      <c r="T1361" s="1362">
        <f t="shared" si="199"/>
        <v>13363.140562857634</v>
      </c>
      <c r="W1361" s="1612"/>
      <c r="X1361" s="1612"/>
      <c r="Y1361" s="1613"/>
      <c r="Z1361" s="1614"/>
      <c r="AA1361" s="1614"/>
      <c r="AB1361" s="1615"/>
      <c r="AC1361" s="1615"/>
      <c r="AD1361" s="583"/>
      <c r="AE1361" s="583"/>
    </row>
    <row r="1362" spans="1:31" ht="14">
      <c r="A1362" s="1384" t="s">
        <v>68</v>
      </c>
      <c r="B1362" s="19" t="s">
        <v>1936</v>
      </c>
      <c r="C1362" s="1383">
        <v>2223</v>
      </c>
      <c r="D1362" s="1236"/>
      <c r="E1362" s="1236"/>
      <c r="F1362" s="1344">
        <f>(1/S1362)*cnst_fish!$C$6</f>
        <v>5.6116535073067304E-2</v>
      </c>
      <c r="G1362" s="1344">
        <f t="shared" si="193"/>
        <v>1</v>
      </c>
      <c r="H1362" s="1344">
        <f t="shared" si="193"/>
        <v>0.367192066876738</v>
      </c>
      <c r="I1362" s="1344">
        <f t="shared" si="194"/>
        <v>0</v>
      </c>
      <c r="J1362" s="902">
        <f t="shared" si="195"/>
        <v>0</v>
      </c>
      <c r="L1362" s="1460">
        <v>2593</v>
      </c>
      <c r="M1362" s="1236"/>
      <c r="N1362" s="1240" t="s">
        <v>1806</v>
      </c>
      <c r="O1362" s="1241" t="s">
        <v>4841</v>
      </c>
      <c r="P1362" s="910">
        <f t="shared" si="196"/>
        <v>0</v>
      </c>
      <c r="Q1362" s="910">
        <f t="shared" si="197"/>
        <v>2593</v>
      </c>
      <c r="R1362" s="1344">
        <f t="shared" si="198"/>
        <v>3.73</v>
      </c>
      <c r="S1362" s="1344">
        <f>(1/9)*cnst_fish!$C$7*(1/cnst_fish!$C$8)^(R1362-1)</f>
        <v>75.735253334266432</v>
      </c>
      <c r="T1362" s="1362">
        <f t="shared" si="199"/>
        <v>16966.996058677698</v>
      </c>
      <c r="W1362" s="1612"/>
      <c r="X1362" s="1612"/>
      <c r="Y1362" s="1613"/>
      <c r="Z1362" s="1614"/>
      <c r="AA1362" s="1614"/>
      <c r="AB1362" s="1615"/>
      <c r="AC1362" s="1615"/>
      <c r="AD1362" s="583"/>
      <c r="AE1362" s="583"/>
    </row>
    <row r="1363" spans="1:31" ht="14">
      <c r="A1363" s="1384" t="s">
        <v>6682</v>
      </c>
      <c r="B1363" s="19" t="s">
        <v>6681</v>
      </c>
      <c r="C1363" s="1383">
        <v>14343</v>
      </c>
      <c r="D1363" s="1236"/>
      <c r="E1363" s="1236"/>
      <c r="F1363" s="1344">
        <f>(1/S1363)*cnst_fish!$C$6</f>
        <v>3.0136363636363641</v>
      </c>
      <c r="G1363" s="1344">
        <f t="shared" si="193"/>
        <v>1</v>
      </c>
      <c r="H1363" s="1344">
        <f t="shared" si="193"/>
        <v>0.367192066876738</v>
      </c>
      <c r="I1363" s="1344">
        <f t="shared" si="194"/>
        <v>0</v>
      </c>
      <c r="J1363" s="902">
        <f t="shared" si="195"/>
        <v>0</v>
      </c>
      <c r="L1363" s="1460">
        <v>19</v>
      </c>
      <c r="M1363" s="1236"/>
      <c r="N1363" s="1240" t="s">
        <v>1806</v>
      </c>
      <c r="O1363" s="1241" t="s">
        <v>4841</v>
      </c>
      <c r="P1363" s="910">
        <f t="shared" si="196"/>
        <v>0</v>
      </c>
      <c r="Q1363" s="910">
        <f t="shared" si="197"/>
        <v>19</v>
      </c>
      <c r="R1363" s="1344">
        <f t="shared" si="198"/>
        <v>2</v>
      </c>
      <c r="S1363" s="1344">
        <f>(1/9)*cnst_fish!$C$7*(1/cnst_fish!$C$8)^(R1363-1)</f>
        <v>1.4102564102564099</v>
      </c>
      <c r="T1363" s="1362">
        <f t="shared" si="199"/>
        <v>2.3150269073073373</v>
      </c>
      <c r="W1363" s="1612"/>
      <c r="X1363" s="1612"/>
      <c r="Y1363" s="1613"/>
      <c r="Z1363" s="1614"/>
      <c r="AA1363" s="1614"/>
      <c r="AB1363" s="1615"/>
      <c r="AC1363" s="1615"/>
      <c r="AD1363" s="583"/>
      <c r="AE1363" s="583"/>
    </row>
    <row r="1364" spans="1:31" ht="14">
      <c r="A1364" s="1384" t="s">
        <v>3486</v>
      </c>
      <c r="B1364" s="19" t="s">
        <v>1937</v>
      </c>
      <c r="C1364" s="1383">
        <v>2224</v>
      </c>
      <c r="D1364" s="1236"/>
      <c r="E1364" s="1236"/>
      <c r="F1364" s="1344">
        <f>(1/S1364)*cnst_fish!$C$6</f>
        <v>1.6561163607618418E-2</v>
      </c>
      <c r="G1364" s="1344">
        <f t="shared" si="193"/>
        <v>1</v>
      </c>
      <c r="H1364" s="1344">
        <f t="shared" si="193"/>
        <v>0.367192066876738</v>
      </c>
      <c r="I1364" s="1344">
        <f t="shared" si="194"/>
        <v>0</v>
      </c>
      <c r="J1364" s="902">
        <f t="shared" si="195"/>
        <v>0</v>
      </c>
      <c r="L1364" s="1460">
        <v>1193</v>
      </c>
      <c r="M1364" s="1236"/>
      <c r="N1364" s="1240" t="s">
        <v>1806</v>
      </c>
      <c r="O1364" s="1241" t="s">
        <v>4841</v>
      </c>
      <c r="P1364" s="910">
        <f t="shared" si="196"/>
        <v>0</v>
      </c>
      <c r="Q1364" s="910">
        <f t="shared" si="197"/>
        <v>1193</v>
      </c>
      <c r="R1364" s="1344">
        <f t="shared" si="198"/>
        <v>4.26</v>
      </c>
      <c r="S1364" s="1344">
        <f>(1/9)*cnst_fish!$C$7*(1/cnst_fish!$C$8)^(R1364-1)</f>
        <v>256.62448006038221</v>
      </c>
      <c r="T1364" s="1362">
        <f t="shared" si="199"/>
        <v>26451.048136643811</v>
      </c>
      <c r="W1364" s="1612"/>
      <c r="X1364" s="1612"/>
      <c r="Y1364" s="1613"/>
      <c r="Z1364" s="1614"/>
      <c r="AA1364" s="1614"/>
      <c r="AB1364" s="1615"/>
      <c r="AC1364" s="1615"/>
      <c r="AD1364" s="583"/>
      <c r="AE1364" s="583"/>
    </row>
    <row r="1365" spans="1:31" ht="14">
      <c r="A1365" s="1384" t="s">
        <v>2219</v>
      </c>
      <c r="B1365" s="19" t="s">
        <v>4152</v>
      </c>
      <c r="C1365" s="1383">
        <v>2222</v>
      </c>
      <c r="D1365" s="1236"/>
      <c r="E1365" s="1236"/>
      <c r="F1365" s="1344">
        <f>(1/S1365)*cnst_fish!$C$6</f>
        <v>5.7423657091346926E-2</v>
      </c>
      <c r="G1365" s="1344">
        <f t="shared" si="193"/>
        <v>1</v>
      </c>
      <c r="H1365" s="1344">
        <f t="shared" si="193"/>
        <v>0.367192066876738</v>
      </c>
      <c r="I1365" s="1344">
        <f t="shared" si="194"/>
        <v>0</v>
      </c>
      <c r="J1365" s="902">
        <f t="shared" si="195"/>
        <v>0</v>
      </c>
      <c r="L1365" s="1460">
        <v>635</v>
      </c>
      <c r="M1365" s="1236"/>
      <c r="N1365" s="1240" t="s">
        <v>1806</v>
      </c>
      <c r="O1365" s="1241" t="s">
        <v>4841</v>
      </c>
      <c r="P1365" s="910">
        <f t="shared" si="196"/>
        <v>0</v>
      </c>
      <c r="Q1365" s="910">
        <f t="shared" si="197"/>
        <v>635</v>
      </c>
      <c r="R1365" s="1344">
        <f t="shared" si="198"/>
        <v>3.72</v>
      </c>
      <c r="S1365" s="1344">
        <f>(1/9)*cnst_fish!$C$7*(1/cnst_fish!$C$8)^(R1365-1)</f>
        <v>74.011308496762837</v>
      </c>
      <c r="T1365" s="1362">
        <f t="shared" si="199"/>
        <v>4060.4687036183941</v>
      </c>
      <c r="W1365" s="1612"/>
      <c r="X1365" s="1612"/>
      <c r="Y1365" s="1613"/>
      <c r="Z1365" s="1614"/>
      <c r="AA1365" s="1614"/>
      <c r="AB1365" s="1615"/>
      <c r="AC1365" s="1615"/>
      <c r="AD1365" s="583"/>
      <c r="AE1365" s="583"/>
    </row>
    <row r="1366" spans="1:31" ht="14">
      <c r="A1366" s="1384" t="s">
        <v>709</v>
      </c>
      <c r="B1366" s="19" t="s">
        <v>2880</v>
      </c>
      <c r="C1366" s="1383">
        <v>6275</v>
      </c>
      <c r="D1366" s="1236"/>
      <c r="E1366" s="1236"/>
      <c r="F1366" s="1344">
        <f>(1/S1366)*cnst_fish!$C$6</f>
        <v>30.136363636363644</v>
      </c>
      <c r="G1366" s="1344">
        <f t="shared" si="193"/>
        <v>1</v>
      </c>
      <c r="H1366" s="1344">
        <f t="shared" si="193"/>
        <v>0.367192066876738</v>
      </c>
      <c r="I1366" s="1344">
        <f t="shared" si="194"/>
        <v>0</v>
      </c>
      <c r="J1366" s="902">
        <f t="shared" si="195"/>
        <v>0</v>
      </c>
      <c r="L1366" s="1460">
        <v>0</v>
      </c>
      <c r="M1366" s="1236"/>
      <c r="N1366" s="1240" t="s">
        <v>1808</v>
      </c>
      <c r="O1366" s="1241" t="s">
        <v>4831</v>
      </c>
      <c r="P1366" s="910">
        <f t="shared" si="196"/>
        <v>0</v>
      </c>
      <c r="Q1366" s="910">
        <f t="shared" si="197"/>
        <v>0</v>
      </c>
      <c r="R1366" s="1344">
        <f t="shared" si="198"/>
        <v>1</v>
      </c>
      <c r="S1366" s="1344">
        <f>(1/9)*cnst_fish!$C$7*(1/cnst_fish!$C$8)^(R1366-1)</f>
        <v>0.141025641025641</v>
      </c>
      <c r="T1366" s="1362">
        <f t="shared" si="199"/>
        <v>0</v>
      </c>
      <c r="W1366" s="1612"/>
      <c r="X1366" s="1612"/>
      <c r="Y1366" s="1613"/>
      <c r="Z1366" s="1614"/>
      <c r="AA1366" s="1614"/>
      <c r="AB1366" s="1615"/>
      <c r="AC1366" s="1615"/>
      <c r="AD1366" s="583"/>
      <c r="AE1366" s="583"/>
    </row>
    <row r="1367" spans="1:31" ht="14">
      <c r="A1367" s="1384" t="s">
        <v>2382</v>
      </c>
      <c r="B1367" s="19" t="s">
        <v>651</v>
      </c>
      <c r="C1367" s="1383">
        <v>2150</v>
      </c>
      <c r="D1367" s="1236"/>
      <c r="E1367" s="1236"/>
      <c r="F1367" s="1344">
        <f>(1/S1367)*cnst_fish!$C$6</f>
        <v>0.91010363210297096</v>
      </c>
      <c r="G1367" s="1344">
        <f t="shared" si="193"/>
        <v>1</v>
      </c>
      <c r="H1367" s="1344">
        <f t="shared" si="193"/>
        <v>0.367192066876738</v>
      </c>
      <c r="I1367" s="1344">
        <f t="shared" si="194"/>
        <v>0</v>
      </c>
      <c r="J1367" s="902">
        <f t="shared" si="195"/>
        <v>0</v>
      </c>
      <c r="L1367" s="1460"/>
      <c r="M1367" s="1236">
        <v>2297</v>
      </c>
      <c r="N1367" s="1240" t="s">
        <v>1806</v>
      </c>
      <c r="O1367" s="1241" t="s">
        <v>4845</v>
      </c>
      <c r="P1367" s="910">
        <f t="shared" si="196"/>
        <v>0</v>
      </c>
      <c r="Q1367" s="910">
        <f t="shared" si="197"/>
        <v>2297</v>
      </c>
      <c r="R1367" s="1344">
        <f t="shared" si="198"/>
        <v>2.52</v>
      </c>
      <c r="S1367" s="1344">
        <f>(1/9)*cnst_fish!$C$7*(1/cnst_fish!$C$8)^(R1367-1)</f>
        <v>4.6697978670621838</v>
      </c>
      <c r="T1367" s="1362">
        <f t="shared" si="199"/>
        <v>926.75179821767665</v>
      </c>
      <c r="W1367" s="1612"/>
      <c r="X1367" s="1612"/>
      <c r="Y1367" s="1613"/>
      <c r="Z1367" s="1614"/>
      <c r="AA1367" s="1614"/>
      <c r="AB1367" s="1615"/>
      <c r="AC1367" s="1615"/>
      <c r="AD1367" s="583"/>
      <c r="AE1367" s="583"/>
    </row>
    <row r="1368" spans="1:31" ht="14">
      <c r="A1368" s="1585" t="s">
        <v>8565</v>
      </c>
      <c r="B1368" s="1586" t="s">
        <v>8566</v>
      </c>
      <c r="C1368" s="1383">
        <v>14365</v>
      </c>
      <c r="D1368" s="1236"/>
      <c r="E1368" s="1236"/>
      <c r="F1368" s="1344">
        <f>(1/S1368)*cnst_fish!$C$6</f>
        <v>0.11997502458044032</v>
      </c>
      <c r="G1368" s="1344">
        <f t="shared" ref="G1368:H1387" si="200">G$7</f>
        <v>1</v>
      </c>
      <c r="H1368" s="1344">
        <f t="shared" si="200"/>
        <v>0.367192066876738</v>
      </c>
      <c r="I1368" s="1344">
        <f t="shared" si="194"/>
        <v>0</v>
      </c>
      <c r="J1368" s="902">
        <f t="shared" si="195"/>
        <v>0</v>
      </c>
      <c r="L1368" s="1460"/>
      <c r="M1368" s="1236">
        <v>52</v>
      </c>
      <c r="N1368" s="1240" t="s">
        <v>1806</v>
      </c>
      <c r="O1368" s="1241" t="s">
        <v>4845</v>
      </c>
      <c r="P1368" s="910">
        <f t="shared" si="196"/>
        <v>0</v>
      </c>
      <c r="Q1368" s="910">
        <f t="shared" si="197"/>
        <v>52</v>
      </c>
      <c r="R1368" s="1344">
        <f t="shared" si="198"/>
        <v>3.4</v>
      </c>
      <c r="S1368" s="1344">
        <f>(1/9)*cnst_fish!$C$7*(1/cnst_fish!$C$8)^(R1368-1)</f>
        <v>35.424039418724846</v>
      </c>
      <c r="T1368" s="1362">
        <f t="shared" si="199"/>
        <v>159.1496858980706</v>
      </c>
      <c r="W1368" s="1616"/>
      <c r="X1368" s="1616"/>
      <c r="Y1368" s="1613"/>
      <c r="Z1368" s="1614"/>
      <c r="AA1368" s="1614"/>
      <c r="AB1368" s="1615"/>
      <c r="AC1368" s="1615"/>
      <c r="AD1368" s="583"/>
      <c r="AE1368" s="583"/>
    </row>
    <row r="1369" spans="1:31" ht="14">
      <c r="A1369" s="1384" t="s">
        <v>6787</v>
      </c>
      <c r="B1369" s="19" t="s">
        <v>6786</v>
      </c>
      <c r="C1369" s="1383">
        <v>14372</v>
      </c>
      <c r="D1369" s="1236"/>
      <c r="E1369" s="1236"/>
      <c r="F1369" s="1344">
        <f>(1/S1369)*cnst_fish!$C$6</f>
        <v>3.0136363636363641</v>
      </c>
      <c r="G1369" s="1344">
        <f t="shared" si="200"/>
        <v>1</v>
      </c>
      <c r="H1369" s="1344">
        <f t="shared" si="200"/>
        <v>0.367192066876738</v>
      </c>
      <c r="I1369" s="1344">
        <f t="shared" si="194"/>
        <v>0</v>
      </c>
      <c r="J1369" s="902">
        <f t="shared" si="195"/>
        <v>0</v>
      </c>
      <c r="L1369" s="1460"/>
      <c r="M1369" s="1236">
        <v>29</v>
      </c>
      <c r="N1369" s="1240" t="s">
        <v>1806</v>
      </c>
      <c r="O1369" s="1241" t="s">
        <v>4845</v>
      </c>
      <c r="P1369" s="910">
        <f t="shared" si="196"/>
        <v>0</v>
      </c>
      <c r="Q1369" s="910">
        <f t="shared" si="197"/>
        <v>29</v>
      </c>
      <c r="R1369" s="1344">
        <f t="shared" si="198"/>
        <v>2</v>
      </c>
      <c r="S1369" s="1344">
        <f>(1/9)*cnst_fish!$C$7*(1/cnst_fish!$C$8)^(R1369-1)</f>
        <v>1.4102564102564099</v>
      </c>
      <c r="T1369" s="1362">
        <f t="shared" si="199"/>
        <v>3.5334621216796198</v>
      </c>
      <c r="W1369" s="1612"/>
      <c r="X1369" s="1612"/>
      <c r="Y1369" s="1613"/>
      <c r="Z1369" s="1614"/>
      <c r="AA1369" s="1614"/>
      <c r="AB1369" s="1615"/>
      <c r="AC1369" s="1615"/>
      <c r="AD1369" s="583"/>
      <c r="AE1369" s="583"/>
    </row>
    <row r="1370" spans="1:31" ht="14">
      <c r="A1370" s="1384" t="s">
        <v>6487</v>
      </c>
      <c r="B1370" s="19" t="s">
        <v>6486</v>
      </c>
      <c r="C1370" s="1383">
        <v>14379</v>
      </c>
      <c r="D1370" s="1236"/>
      <c r="E1370" s="1236"/>
      <c r="F1370" s="1344">
        <f>(1/S1370)*cnst_fish!$C$6</f>
        <v>3.0136363636363641</v>
      </c>
      <c r="G1370" s="1344">
        <f t="shared" si="200"/>
        <v>1</v>
      </c>
      <c r="H1370" s="1344">
        <f t="shared" si="200"/>
        <v>0.367192066876738</v>
      </c>
      <c r="I1370" s="1344">
        <f t="shared" si="194"/>
        <v>0</v>
      </c>
      <c r="J1370" s="902">
        <f t="shared" si="195"/>
        <v>0</v>
      </c>
      <c r="L1370" s="1460">
        <v>3</v>
      </c>
      <c r="M1370" s="1236"/>
      <c r="N1370" s="1240" t="s">
        <v>1806</v>
      </c>
      <c r="O1370" s="1241" t="s">
        <v>4841</v>
      </c>
      <c r="P1370" s="910">
        <f t="shared" si="196"/>
        <v>0</v>
      </c>
      <c r="Q1370" s="910">
        <f t="shared" si="197"/>
        <v>3</v>
      </c>
      <c r="R1370" s="1344">
        <f t="shared" si="198"/>
        <v>2</v>
      </c>
      <c r="S1370" s="1344">
        <f>(1/9)*cnst_fish!$C$7*(1/cnst_fish!$C$8)^(R1370-1)</f>
        <v>1.4102564102564099</v>
      </c>
      <c r="T1370" s="1362">
        <f t="shared" si="199"/>
        <v>0.36553056431168479</v>
      </c>
      <c r="W1370" s="1612"/>
      <c r="X1370" s="1612"/>
      <c r="Y1370" s="1613"/>
      <c r="Z1370" s="1614"/>
      <c r="AA1370" s="1614"/>
      <c r="AB1370" s="1615"/>
      <c r="AC1370" s="1615"/>
      <c r="AD1370" s="583"/>
      <c r="AE1370" s="583"/>
    </row>
    <row r="1371" spans="1:31" ht="14">
      <c r="A1371" s="1384" t="s">
        <v>6528</v>
      </c>
      <c r="B1371" s="19" t="s">
        <v>6527</v>
      </c>
      <c r="C1371" s="1383">
        <v>19409</v>
      </c>
      <c r="D1371" s="1236"/>
      <c r="E1371" s="1236"/>
      <c r="F1371" s="1344">
        <f>(1/S1371)*cnst_fish!$C$6</f>
        <v>3.0136363636363641</v>
      </c>
      <c r="G1371" s="1344">
        <f t="shared" si="200"/>
        <v>1</v>
      </c>
      <c r="H1371" s="1344">
        <f t="shared" si="200"/>
        <v>0.367192066876738</v>
      </c>
      <c r="I1371" s="1344">
        <f t="shared" si="194"/>
        <v>0</v>
      </c>
      <c r="J1371" s="902">
        <f t="shared" si="195"/>
        <v>0</v>
      </c>
      <c r="L1371" s="1460">
        <v>31</v>
      </c>
      <c r="M1371" s="1236"/>
      <c r="N1371" s="1240" t="s">
        <v>1806</v>
      </c>
      <c r="O1371" s="1241" t="s">
        <v>4841</v>
      </c>
      <c r="P1371" s="910">
        <f t="shared" si="196"/>
        <v>0</v>
      </c>
      <c r="Q1371" s="910">
        <f t="shared" si="197"/>
        <v>31</v>
      </c>
      <c r="R1371" s="1344">
        <f t="shared" si="198"/>
        <v>2</v>
      </c>
      <c r="S1371" s="1344">
        <f>(1/9)*cnst_fish!$C$7*(1/cnst_fish!$C$8)^(R1371-1)</f>
        <v>1.4102564102564099</v>
      </c>
      <c r="T1371" s="1362">
        <f t="shared" si="199"/>
        <v>3.7771491645540767</v>
      </c>
      <c r="W1371" s="1612"/>
      <c r="X1371" s="1612"/>
      <c r="Y1371" s="1613"/>
      <c r="Z1371" s="1614"/>
      <c r="AA1371" s="1614"/>
      <c r="AB1371" s="1615"/>
      <c r="AC1371" s="1615"/>
      <c r="AD1371" s="583"/>
      <c r="AE1371" s="583"/>
    </row>
    <row r="1372" spans="1:31" ht="14">
      <c r="A1372" s="1384" t="s">
        <v>4716</v>
      </c>
      <c r="B1372" s="19" t="s">
        <v>4080</v>
      </c>
      <c r="C1372" s="1383">
        <v>17260</v>
      </c>
      <c r="D1372" s="1236"/>
      <c r="E1372" s="1236"/>
      <c r="F1372" s="1344">
        <f>(1/S1372)*cnst_fish!$C$6</f>
        <v>2.6141530827766903</v>
      </c>
      <c r="G1372" s="1344">
        <f t="shared" si="200"/>
        <v>1</v>
      </c>
      <c r="H1372" s="1344">
        <f t="shared" si="200"/>
        <v>0.367192066876738</v>
      </c>
      <c r="I1372" s="1344">
        <f t="shared" si="194"/>
        <v>0</v>
      </c>
      <c r="J1372" s="902">
        <f t="shared" si="195"/>
        <v>0</v>
      </c>
      <c r="L1372" s="1460"/>
      <c r="M1372" s="1236"/>
      <c r="N1372" s="1240" t="s">
        <v>1804</v>
      </c>
      <c r="O1372" s="1241" t="s">
        <v>4851</v>
      </c>
      <c r="P1372" s="910">
        <f t="shared" si="196"/>
        <v>0</v>
      </c>
      <c r="Q1372" s="910">
        <f t="shared" si="197"/>
        <v>0</v>
      </c>
      <c r="R1372" s="1344">
        <f t="shared" si="198"/>
        <v>2.0617598316454031</v>
      </c>
      <c r="S1372" s="1344">
        <f>(1/9)*cnst_fish!$C$7*(1/cnst_fish!$C$8)^(R1372-1)</f>
        <v>1.6257655406644176</v>
      </c>
      <c r="T1372" s="1362">
        <f t="shared" si="199"/>
        <v>0</v>
      </c>
      <c r="W1372" s="1612"/>
      <c r="X1372" s="1612"/>
      <c r="Y1372" s="1613"/>
      <c r="Z1372" s="1614"/>
      <c r="AA1372" s="1614"/>
      <c r="AB1372" s="1615"/>
      <c r="AC1372" s="1615"/>
      <c r="AD1372" s="583"/>
      <c r="AE1372" s="583"/>
    </row>
    <row r="1373" spans="1:31" ht="14">
      <c r="A1373" s="1384" t="s">
        <v>4648</v>
      </c>
      <c r="B1373" s="19" t="s">
        <v>3754</v>
      </c>
      <c r="C1373" s="1383">
        <v>3519</v>
      </c>
      <c r="D1373" s="1236">
        <v>154738</v>
      </c>
      <c r="E1373" s="1236"/>
      <c r="F1373" s="1344">
        <f>(1/S1373)*cnst_fish!$C$6</f>
        <v>2.3938164528281742</v>
      </c>
      <c r="G1373" s="1344">
        <f t="shared" si="200"/>
        <v>1</v>
      </c>
      <c r="H1373" s="1344">
        <f t="shared" si="200"/>
        <v>0.367192066876738</v>
      </c>
      <c r="I1373" s="1344">
        <f t="shared" si="194"/>
        <v>23735.556657756446</v>
      </c>
      <c r="J1373" s="902">
        <f t="shared" si="195"/>
        <v>0</v>
      </c>
      <c r="L1373" s="1460">
        <v>218987</v>
      </c>
      <c r="M1373" s="1236"/>
      <c r="N1373" s="1240" t="s">
        <v>2437</v>
      </c>
      <c r="O1373" s="1241" t="s">
        <v>4851</v>
      </c>
      <c r="P1373" s="910">
        <f t="shared" si="196"/>
        <v>154738</v>
      </c>
      <c r="Q1373" s="910">
        <f t="shared" si="197"/>
        <v>218987</v>
      </c>
      <c r="R1373" s="1344">
        <f t="shared" si="198"/>
        <v>2.1</v>
      </c>
      <c r="S1373" s="1344">
        <f>(1/9)*cnst_fish!$C$7*(1/cnst_fish!$C$8)^(R1373-1)</f>
        <v>1.7754076320174161</v>
      </c>
      <c r="T1373" s="1362">
        <f t="shared" si="199"/>
        <v>33590.833187789103</v>
      </c>
      <c r="W1373" s="1612"/>
      <c r="X1373" s="1612"/>
      <c r="Y1373" s="1613"/>
      <c r="Z1373" s="1614"/>
      <c r="AA1373" s="1614"/>
      <c r="AB1373" s="1615"/>
      <c r="AC1373" s="1615"/>
      <c r="AD1373" s="583"/>
      <c r="AE1373" s="583"/>
    </row>
    <row r="1374" spans="1:31" ht="14">
      <c r="A1374" s="1384" t="s">
        <v>4009</v>
      </c>
      <c r="B1374" s="19" t="s">
        <v>4010</v>
      </c>
      <c r="C1374" s="1383">
        <v>18561</v>
      </c>
      <c r="D1374" s="1236"/>
      <c r="E1374" s="1236"/>
      <c r="F1374" s="1344">
        <f>(1/S1374)*cnst_fish!$C$6</f>
        <v>0.11997502458044032</v>
      </c>
      <c r="G1374" s="1344">
        <f t="shared" si="200"/>
        <v>1</v>
      </c>
      <c r="H1374" s="1344">
        <f t="shared" si="200"/>
        <v>0.367192066876738</v>
      </c>
      <c r="I1374" s="1344">
        <f t="shared" si="194"/>
        <v>0</v>
      </c>
      <c r="J1374" s="902">
        <f t="shared" si="195"/>
        <v>0</v>
      </c>
      <c r="L1374" s="1460">
        <v>886</v>
      </c>
      <c r="M1374" s="1236"/>
      <c r="N1374" s="1240" t="s">
        <v>1806</v>
      </c>
      <c r="O1374" s="1241" t="s">
        <v>4841</v>
      </c>
      <c r="P1374" s="910">
        <f t="shared" si="196"/>
        <v>0</v>
      </c>
      <c r="Q1374" s="910">
        <f t="shared" si="197"/>
        <v>886</v>
      </c>
      <c r="R1374" s="1344">
        <f t="shared" si="198"/>
        <v>3.4</v>
      </c>
      <c r="S1374" s="1344">
        <f>(1/9)*cnst_fish!$C$7*(1/cnst_fish!$C$8)^(R1374-1)</f>
        <v>35.424039418724846</v>
      </c>
      <c r="T1374" s="1362">
        <f t="shared" si="199"/>
        <v>2711.6658020325108</v>
      </c>
      <c r="W1374" s="1612"/>
      <c r="X1374" s="1612"/>
      <c r="Y1374" s="1613"/>
      <c r="Z1374" s="1614"/>
      <c r="AA1374" s="1614"/>
      <c r="AB1374" s="1615"/>
      <c r="AC1374" s="1615"/>
      <c r="AD1374" s="583"/>
      <c r="AE1374" s="583"/>
    </row>
    <row r="1375" spans="1:31" ht="14">
      <c r="A1375" s="1384" t="s">
        <v>3516</v>
      </c>
      <c r="B1375" s="19" t="s">
        <v>3517</v>
      </c>
      <c r="C1375" s="1383">
        <v>14391</v>
      </c>
      <c r="D1375" s="1236"/>
      <c r="E1375" s="1236"/>
      <c r="F1375" s="1344">
        <f>(1/S1375)*cnst_fish!$C$6</f>
        <v>1.3461419163458574E-2</v>
      </c>
      <c r="G1375" s="1344">
        <f t="shared" si="200"/>
        <v>1</v>
      </c>
      <c r="H1375" s="1344">
        <f t="shared" si="200"/>
        <v>0.367192066876738</v>
      </c>
      <c r="I1375" s="1344">
        <f t="shared" si="194"/>
        <v>0</v>
      </c>
      <c r="J1375" s="902">
        <f t="shared" si="195"/>
        <v>0</v>
      </c>
      <c r="L1375" s="1460"/>
      <c r="M1375" s="1236">
        <v>20072</v>
      </c>
      <c r="N1375" s="1240" t="s">
        <v>1806</v>
      </c>
      <c r="O1375" s="1241" t="s">
        <v>4841</v>
      </c>
      <c r="P1375" s="910">
        <f t="shared" si="196"/>
        <v>0</v>
      </c>
      <c r="Q1375" s="910">
        <f t="shared" si="197"/>
        <v>20072</v>
      </c>
      <c r="R1375" s="1344">
        <f t="shared" si="198"/>
        <v>4.3499999999999996</v>
      </c>
      <c r="S1375" s="1344">
        <f>(1/9)*cnst_fish!$C$7*(1/cnst_fish!$C$8)^(R1375-1)</f>
        <v>315.71708364425297</v>
      </c>
      <c r="T1375" s="1362">
        <f t="shared" si="199"/>
        <v>547511.30448093684</v>
      </c>
      <c r="W1375" s="1612"/>
      <c r="X1375" s="1612"/>
      <c r="Y1375" s="1613"/>
      <c r="Z1375" s="1614"/>
      <c r="AA1375" s="1614"/>
      <c r="AB1375" s="1615"/>
      <c r="AC1375" s="1615"/>
      <c r="AD1375" s="583"/>
      <c r="AE1375" s="583"/>
    </row>
    <row r="1376" spans="1:31" ht="14">
      <c r="A1376" s="1384" t="s">
        <v>3429</v>
      </c>
      <c r="B1376" s="19" t="s">
        <v>4091</v>
      </c>
      <c r="C1376" s="1383">
        <v>3642</v>
      </c>
      <c r="D1376" s="1236"/>
      <c r="E1376" s="1236"/>
      <c r="F1376" s="1344">
        <f>(1/S1376)*cnst_fish!$C$6</f>
        <v>30.136363636363644</v>
      </c>
      <c r="G1376" s="1344">
        <f t="shared" si="200"/>
        <v>1</v>
      </c>
      <c r="H1376" s="1344">
        <f t="shared" si="200"/>
        <v>0.367192066876738</v>
      </c>
      <c r="I1376" s="1344">
        <f t="shared" si="194"/>
        <v>0</v>
      </c>
      <c r="J1376" s="902">
        <f t="shared" si="195"/>
        <v>0</v>
      </c>
      <c r="L1376" s="1460">
        <v>311539</v>
      </c>
      <c r="M1376" s="1236">
        <v>2650</v>
      </c>
      <c r="N1376" s="1240" t="s">
        <v>1808</v>
      </c>
      <c r="O1376" s="1241" t="s">
        <v>4831</v>
      </c>
      <c r="P1376" s="910">
        <f t="shared" si="196"/>
        <v>0</v>
      </c>
      <c r="Q1376" s="910">
        <f t="shared" si="197"/>
        <v>314189</v>
      </c>
      <c r="R1376" s="1344">
        <f t="shared" si="198"/>
        <v>1</v>
      </c>
      <c r="S1376" s="1344">
        <f>(1/9)*cnst_fish!$C$7*(1/cnst_fish!$C$8)^(R1376-1)</f>
        <v>0.141025641025641</v>
      </c>
      <c r="T1376" s="1362">
        <f t="shared" si="199"/>
        <v>3828.1894156841313</v>
      </c>
      <c r="W1376" s="1612"/>
      <c r="X1376" s="1612"/>
      <c r="Y1376" s="1613"/>
      <c r="Z1376" s="1614"/>
      <c r="AA1376" s="1614"/>
      <c r="AB1376" s="1615"/>
      <c r="AC1376" s="1615"/>
      <c r="AD1376" s="583"/>
      <c r="AE1376" s="583"/>
    </row>
    <row r="1377" spans="1:31" ht="14">
      <c r="A1377" s="1384" t="s">
        <v>835</v>
      </c>
      <c r="B1377" s="19" t="s">
        <v>2284</v>
      </c>
      <c r="C1377" s="1383">
        <v>2406</v>
      </c>
      <c r="D1377" s="1236"/>
      <c r="E1377" s="1236"/>
      <c r="F1377" s="1344">
        <f>(1/S1377)*cnst_fish!$C$6</f>
        <v>6.9038420626592392E-2</v>
      </c>
      <c r="G1377" s="1344">
        <f t="shared" si="200"/>
        <v>1</v>
      </c>
      <c r="H1377" s="1344">
        <f t="shared" si="200"/>
        <v>0.367192066876738</v>
      </c>
      <c r="I1377" s="1344">
        <f t="shared" si="194"/>
        <v>0</v>
      </c>
      <c r="J1377" s="902">
        <f t="shared" si="195"/>
        <v>0</v>
      </c>
      <c r="L1377" s="1460">
        <v>2885</v>
      </c>
      <c r="M1377" s="1236"/>
      <c r="N1377" s="1240" t="s">
        <v>1806</v>
      </c>
      <c r="O1377" s="1241" t="s">
        <v>4841</v>
      </c>
      <c r="P1377" s="910">
        <f t="shared" si="196"/>
        <v>0</v>
      </c>
      <c r="Q1377" s="910">
        <f t="shared" si="197"/>
        <v>2885</v>
      </c>
      <c r="R1377" s="1344">
        <f t="shared" si="198"/>
        <v>3.64</v>
      </c>
      <c r="S1377" s="1344">
        <f>(1/9)*cnst_fish!$C$7*(1/cnst_fish!$C$8)^(R1377-1)</f>
        <v>61.559925059510611</v>
      </c>
      <c r="T1377" s="1362">
        <f t="shared" si="199"/>
        <v>15344.341648095966</v>
      </c>
      <c r="W1377" s="1612"/>
      <c r="X1377" s="1612"/>
      <c r="Y1377" s="1613"/>
      <c r="Z1377" s="1614"/>
      <c r="AA1377" s="1614"/>
      <c r="AB1377" s="1615"/>
      <c r="AC1377" s="1615"/>
      <c r="AD1377" s="583"/>
      <c r="AE1377" s="583"/>
    </row>
    <row r="1378" spans="1:31" ht="14">
      <c r="A1378" s="1384" t="s">
        <v>3285</v>
      </c>
      <c r="B1378" s="19" t="s">
        <v>4746</v>
      </c>
      <c r="C1378" s="1383">
        <v>2550</v>
      </c>
      <c r="D1378" s="1236"/>
      <c r="E1378" s="1236"/>
      <c r="F1378" s="1344">
        <f>(1/S1378)*cnst_fish!$C$6</f>
        <v>0.19457670629544385</v>
      </c>
      <c r="G1378" s="1344">
        <f t="shared" si="200"/>
        <v>1</v>
      </c>
      <c r="H1378" s="1344">
        <f t="shared" si="200"/>
        <v>0.367192066876738</v>
      </c>
      <c r="I1378" s="1344">
        <f t="shared" si="194"/>
        <v>0</v>
      </c>
      <c r="J1378" s="902">
        <f t="shared" si="195"/>
        <v>0</v>
      </c>
      <c r="L1378" s="1460">
        <v>23476</v>
      </c>
      <c r="M1378" s="1236">
        <v>88</v>
      </c>
      <c r="N1378" s="1240" t="s">
        <v>1807</v>
      </c>
      <c r="O1378" s="1241" t="s">
        <v>4841</v>
      </c>
      <c r="P1378" s="910">
        <f t="shared" si="196"/>
        <v>0</v>
      </c>
      <c r="Q1378" s="910">
        <f t="shared" si="197"/>
        <v>23564</v>
      </c>
      <c r="R1378" s="1344">
        <f t="shared" si="198"/>
        <v>3.19</v>
      </c>
      <c r="S1378" s="1344">
        <f>(1/9)*cnst_fish!$C$7*(1/cnst_fish!$C$8)^(R1378-1)</f>
        <v>21.84228565132987</v>
      </c>
      <c r="T1378" s="1362">
        <f t="shared" si="199"/>
        <v>44468.395156949264</v>
      </c>
      <c r="W1378" s="1612"/>
      <c r="X1378" s="1612"/>
      <c r="Y1378" s="1613"/>
      <c r="Z1378" s="1614"/>
      <c r="AA1378" s="1614"/>
      <c r="AB1378" s="1615"/>
      <c r="AC1378" s="1615"/>
      <c r="AD1378" s="583"/>
      <c r="AE1378" s="583"/>
    </row>
    <row r="1379" spans="1:31" ht="14">
      <c r="A1379" s="1384" t="s">
        <v>5388</v>
      </c>
      <c r="B1379" s="19" t="s">
        <v>4747</v>
      </c>
      <c r="C1379" s="1383">
        <v>18727</v>
      </c>
      <c r="D1379" s="1236">
        <v>2</v>
      </c>
      <c r="E1379" s="1236"/>
      <c r="F1379" s="1344">
        <f>(1/S1379)*cnst_fish!$C$6</f>
        <v>0.14424170509541331</v>
      </c>
      <c r="G1379" s="1344">
        <f t="shared" si="200"/>
        <v>1</v>
      </c>
      <c r="H1379" s="1344">
        <f t="shared" si="200"/>
        <v>0.367192066876738</v>
      </c>
      <c r="I1379" s="1344">
        <f t="shared" si="194"/>
        <v>5.091343958168645</v>
      </c>
      <c r="J1379" s="902">
        <f t="shared" si="195"/>
        <v>0</v>
      </c>
      <c r="L1379" s="1460">
        <v>2</v>
      </c>
      <c r="M1379" s="1236"/>
      <c r="N1379" s="1240" t="s">
        <v>1807</v>
      </c>
      <c r="O1379" s="1241" t="s">
        <v>4841</v>
      </c>
      <c r="P1379" s="910">
        <f t="shared" si="196"/>
        <v>2</v>
      </c>
      <c r="Q1379" s="910">
        <f t="shared" si="197"/>
        <v>2</v>
      </c>
      <c r="R1379" s="1344">
        <f t="shared" si="198"/>
        <v>3.32</v>
      </c>
      <c r="S1379" s="1344">
        <f>(1/9)*cnst_fish!$C$7*(1/cnst_fish!$C$8)^(R1379-1)</f>
        <v>29.464432614608246</v>
      </c>
      <c r="T1379" s="1362">
        <f t="shared" si="199"/>
        <v>5.091343958168645</v>
      </c>
      <c r="W1379" s="1612"/>
      <c r="X1379" s="1612"/>
      <c r="Y1379" s="1613"/>
      <c r="Z1379" s="1614"/>
      <c r="AA1379" s="1614"/>
      <c r="AB1379" s="1615"/>
      <c r="AC1379" s="1615"/>
      <c r="AD1379" s="583"/>
      <c r="AE1379" s="583"/>
    </row>
    <row r="1380" spans="1:31" ht="14">
      <c r="A1380" s="1384" t="s">
        <v>5537</v>
      </c>
      <c r="B1380" s="19" t="s">
        <v>1703</v>
      </c>
      <c r="C1380" s="1383">
        <v>3342</v>
      </c>
      <c r="D1380" s="1236"/>
      <c r="E1380" s="1236"/>
      <c r="F1380" s="1344">
        <f>(1/S1380)*cnst_fish!$C$6</f>
        <v>3.7939434000887833E-2</v>
      </c>
      <c r="G1380" s="1344">
        <f t="shared" si="200"/>
        <v>1</v>
      </c>
      <c r="H1380" s="1344">
        <f t="shared" si="200"/>
        <v>0.367192066876738</v>
      </c>
      <c r="I1380" s="1344">
        <f t="shared" si="194"/>
        <v>0</v>
      </c>
      <c r="J1380" s="902">
        <f t="shared" si="195"/>
        <v>0</v>
      </c>
      <c r="L1380" s="1460">
        <v>4060</v>
      </c>
      <c r="M1380" s="1236"/>
      <c r="N1380" s="1240" t="s">
        <v>1806</v>
      </c>
      <c r="O1380" s="1241" t="s">
        <v>4841</v>
      </c>
      <c r="P1380" s="910">
        <f t="shared" si="196"/>
        <v>0</v>
      </c>
      <c r="Q1380" s="910">
        <f t="shared" si="197"/>
        <v>4060</v>
      </c>
      <c r="R1380" s="1344">
        <f t="shared" si="198"/>
        <v>3.9</v>
      </c>
      <c r="S1380" s="1344">
        <f>(1/9)*cnst_fish!$C$7*(1/cnst_fish!$C$8)^(R1380-1)</f>
        <v>112.02064848675771</v>
      </c>
      <c r="T1380" s="1362">
        <f t="shared" si="199"/>
        <v>39294.202214104451</v>
      </c>
      <c r="W1380" s="1612"/>
      <c r="X1380" s="1612"/>
      <c r="Y1380" s="1613"/>
      <c r="Z1380" s="1614"/>
      <c r="AA1380" s="1614"/>
      <c r="AB1380" s="1615"/>
      <c r="AC1380" s="1615"/>
      <c r="AD1380" s="583"/>
      <c r="AE1380" s="583"/>
    </row>
    <row r="1381" spans="1:31" ht="14">
      <c r="A1381" s="1384" t="s">
        <v>3606</v>
      </c>
      <c r="B1381" s="19" t="s">
        <v>1704</v>
      </c>
      <c r="C1381" s="1383">
        <v>2535</v>
      </c>
      <c r="D1381" s="1236"/>
      <c r="E1381" s="1236"/>
      <c r="F1381" s="1344">
        <f>(1/S1381)*cnst_fish!$C$6</f>
        <v>7.5699122913220479E-2</v>
      </c>
      <c r="G1381" s="1344">
        <f t="shared" si="200"/>
        <v>1</v>
      </c>
      <c r="H1381" s="1344">
        <f t="shared" si="200"/>
        <v>0.367192066876738</v>
      </c>
      <c r="I1381" s="1344">
        <f t="shared" si="194"/>
        <v>0</v>
      </c>
      <c r="J1381" s="902">
        <f t="shared" si="195"/>
        <v>0</v>
      </c>
      <c r="L1381" s="1460">
        <v>3487</v>
      </c>
      <c r="M1381" s="1236"/>
      <c r="N1381" s="1240" t="s">
        <v>1806</v>
      </c>
      <c r="O1381" s="1241" t="s">
        <v>4841</v>
      </c>
      <c r="P1381" s="910">
        <f t="shared" si="196"/>
        <v>0</v>
      </c>
      <c r="Q1381" s="910">
        <f t="shared" si="197"/>
        <v>3487</v>
      </c>
      <c r="R1381" s="1344">
        <f t="shared" si="198"/>
        <v>3.6</v>
      </c>
      <c r="S1381" s="1344">
        <f>(1/9)*cnst_fish!$C$7*(1/cnst_fish!$C$8)^(R1381-1)</f>
        <v>56.143318924211187</v>
      </c>
      <c r="T1381" s="1362">
        <f t="shared" si="199"/>
        <v>16914.314035936735</v>
      </c>
      <c r="W1381" s="1612"/>
      <c r="X1381" s="1612"/>
      <c r="Y1381" s="1613"/>
      <c r="Z1381" s="1614"/>
      <c r="AA1381" s="1614"/>
      <c r="AB1381" s="1615"/>
      <c r="AC1381" s="1615"/>
      <c r="AD1381" s="583"/>
      <c r="AE1381" s="583"/>
    </row>
    <row r="1382" spans="1:31" ht="14">
      <c r="A1382" s="1384" t="s">
        <v>6803</v>
      </c>
      <c r="B1382" s="19" t="s">
        <v>6802</v>
      </c>
      <c r="C1382" s="1383">
        <v>14405</v>
      </c>
      <c r="D1382" s="1236"/>
      <c r="E1382" s="1236"/>
      <c r="F1382" s="1344">
        <f>(1/S1382)*cnst_fish!$C$6</f>
        <v>0.30136363636363639</v>
      </c>
      <c r="G1382" s="1344">
        <f t="shared" si="200"/>
        <v>1</v>
      </c>
      <c r="H1382" s="1344">
        <f t="shared" si="200"/>
        <v>0.367192066876738</v>
      </c>
      <c r="I1382" s="1344">
        <f t="shared" si="194"/>
        <v>0</v>
      </c>
      <c r="J1382" s="902">
        <f t="shared" si="195"/>
        <v>0</v>
      </c>
      <c r="L1382" s="1460"/>
      <c r="M1382" s="1236">
        <v>210</v>
      </c>
      <c r="N1382" s="1240" t="s">
        <v>1806</v>
      </c>
      <c r="O1382" s="1241" t="s">
        <v>4845</v>
      </c>
      <c r="P1382" s="910">
        <f t="shared" si="196"/>
        <v>0</v>
      </c>
      <c r="Q1382" s="910">
        <f t="shared" si="197"/>
        <v>210</v>
      </c>
      <c r="R1382" s="1344">
        <f t="shared" si="198"/>
        <v>3</v>
      </c>
      <c r="S1382" s="1344">
        <f>(1/9)*cnst_fish!$C$7*(1/cnst_fish!$C$8)^(R1382-1)</f>
        <v>14.1025641025641</v>
      </c>
      <c r="T1382" s="1362">
        <f t="shared" si="199"/>
        <v>255.87139501817941</v>
      </c>
      <c r="W1382" s="1612"/>
      <c r="X1382" s="1612"/>
      <c r="Y1382" s="1613"/>
      <c r="Z1382" s="1614"/>
      <c r="AA1382" s="1614"/>
      <c r="AB1382" s="1615"/>
      <c r="AC1382" s="1615"/>
      <c r="AD1382" s="583"/>
      <c r="AE1382" s="583"/>
    </row>
    <row r="1383" spans="1:31" ht="14">
      <c r="A1383" s="1384" t="s">
        <v>3062</v>
      </c>
      <c r="B1383" s="19" t="s">
        <v>1343</v>
      </c>
      <c r="C1383" s="1383">
        <v>2124</v>
      </c>
      <c r="D1383" s="1236"/>
      <c r="E1383" s="1236"/>
      <c r="F1383" s="1344">
        <f>(1/S1383)*cnst_fish!$C$6</f>
        <v>0.30136363636363639</v>
      </c>
      <c r="G1383" s="1344">
        <f t="shared" si="200"/>
        <v>1</v>
      </c>
      <c r="H1383" s="1344">
        <f t="shared" si="200"/>
        <v>0.367192066876738</v>
      </c>
      <c r="I1383" s="1344">
        <f t="shared" si="194"/>
        <v>0</v>
      </c>
      <c r="J1383" s="902">
        <f t="shared" si="195"/>
        <v>0</v>
      </c>
      <c r="L1383" s="1460"/>
      <c r="M1383" s="1236">
        <v>2533</v>
      </c>
      <c r="N1383" s="1240" t="s">
        <v>1806</v>
      </c>
      <c r="O1383" s="1241" t="s">
        <v>4845</v>
      </c>
      <c r="P1383" s="910">
        <f t="shared" si="196"/>
        <v>0</v>
      </c>
      <c r="Q1383" s="910">
        <f t="shared" si="197"/>
        <v>2533</v>
      </c>
      <c r="R1383" s="1344">
        <f t="shared" si="198"/>
        <v>3</v>
      </c>
      <c r="S1383" s="1344">
        <f>(1/9)*cnst_fish!$C$7*(1/cnst_fish!$C$8)^(R1383-1)</f>
        <v>14.1025641025641</v>
      </c>
      <c r="T1383" s="1362">
        <f t="shared" si="199"/>
        <v>3086.2963980049926</v>
      </c>
      <c r="W1383" s="1612"/>
      <c r="X1383" s="1612"/>
      <c r="Y1383" s="1613"/>
      <c r="Z1383" s="1614"/>
      <c r="AA1383" s="1614"/>
      <c r="AB1383" s="1615"/>
      <c r="AC1383" s="1615"/>
      <c r="AD1383" s="583"/>
      <c r="AE1383" s="583"/>
    </row>
    <row r="1384" spans="1:31" ht="14">
      <c r="A1384" s="1384" t="s">
        <v>3897</v>
      </c>
      <c r="B1384" s="19" t="s">
        <v>2629</v>
      </c>
      <c r="C1384" s="1383">
        <v>18951</v>
      </c>
      <c r="D1384" s="1236"/>
      <c r="E1384" s="1236"/>
      <c r="F1384" s="1344">
        <f>(1/S1384)*cnst_fish!$C$6</f>
        <v>3.0838329721915438E-2</v>
      </c>
      <c r="G1384" s="1344">
        <f t="shared" si="200"/>
        <v>1</v>
      </c>
      <c r="H1384" s="1344">
        <f t="shared" si="200"/>
        <v>0.367192066876738</v>
      </c>
      <c r="I1384" s="1344">
        <f t="shared" si="194"/>
        <v>0</v>
      </c>
      <c r="J1384" s="902">
        <f t="shared" si="195"/>
        <v>0</v>
      </c>
      <c r="L1384" s="1460">
        <v>317</v>
      </c>
      <c r="M1384" s="1236"/>
      <c r="N1384" s="1240" t="s">
        <v>1806</v>
      </c>
      <c r="O1384" s="1241" t="s">
        <v>4841</v>
      </c>
      <c r="P1384" s="910">
        <f t="shared" si="196"/>
        <v>0</v>
      </c>
      <c r="Q1384" s="910">
        <f t="shared" si="197"/>
        <v>317</v>
      </c>
      <c r="R1384" s="1344">
        <f t="shared" si="198"/>
        <v>3.99</v>
      </c>
      <c r="S1384" s="1344">
        <f>(1/9)*cnst_fish!$C$7*(1/cnst_fish!$C$8)^(R1384-1)</f>
        <v>137.81550551940927</v>
      </c>
      <c r="T1384" s="1362">
        <f t="shared" si="199"/>
        <v>3774.5197697009407</v>
      </c>
      <c r="W1384" s="1612"/>
      <c r="X1384" s="1612"/>
      <c r="Y1384" s="1613"/>
      <c r="Z1384" s="1614"/>
      <c r="AA1384" s="1614"/>
      <c r="AB1384" s="1615"/>
      <c r="AC1384" s="1615"/>
      <c r="AD1384" s="583"/>
      <c r="AE1384" s="583"/>
    </row>
    <row r="1385" spans="1:31" ht="14">
      <c r="A1385" s="1384" t="s">
        <v>2945</v>
      </c>
      <c r="B1385" s="19" t="s">
        <v>3300</v>
      </c>
      <c r="C1385" s="1383">
        <v>3144</v>
      </c>
      <c r="D1385" s="1236"/>
      <c r="E1385" s="1236"/>
      <c r="F1385" s="1344">
        <f>(1/S1385)*cnst_fish!$C$6</f>
        <v>6.1530557150722649E-2</v>
      </c>
      <c r="G1385" s="1344">
        <f t="shared" si="200"/>
        <v>1</v>
      </c>
      <c r="H1385" s="1344">
        <f t="shared" si="200"/>
        <v>0.367192066876738</v>
      </c>
      <c r="I1385" s="1344">
        <f t="shared" si="194"/>
        <v>0</v>
      </c>
      <c r="J1385" s="902">
        <f t="shared" si="195"/>
        <v>0</v>
      </c>
      <c r="L1385" s="1460"/>
      <c r="M1385" s="1236"/>
      <c r="N1385" s="1240" t="s">
        <v>1806</v>
      </c>
      <c r="O1385" s="1241" t="s">
        <v>4841</v>
      </c>
      <c r="P1385" s="910">
        <f t="shared" si="196"/>
        <v>0</v>
      </c>
      <c r="Q1385" s="910">
        <f t="shared" si="197"/>
        <v>0</v>
      </c>
      <c r="R1385" s="1344">
        <f t="shared" si="198"/>
        <v>3.69</v>
      </c>
      <c r="S1385" s="1344">
        <f>(1/9)*cnst_fish!$C$7*(1/cnst_fish!$C$8)^(R1385-1)</f>
        <v>69.071371962216759</v>
      </c>
      <c r="T1385" s="1362">
        <f t="shared" si="199"/>
        <v>0</v>
      </c>
      <c r="W1385" s="1612"/>
      <c r="X1385" s="1612"/>
      <c r="Y1385" s="1613"/>
      <c r="Z1385" s="1614"/>
      <c r="AA1385" s="1614"/>
      <c r="AB1385" s="1615"/>
      <c r="AC1385" s="1615"/>
      <c r="AD1385" s="583"/>
      <c r="AE1385" s="583"/>
    </row>
    <row r="1386" spans="1:31" ht="12.75" customHeight="1">
      <c r="A1386" s="1384" t="s">
        <v>2850</v>
      </c>
      <c r="B1386" s="19" t="s">
        <v>3301</v>
      </c>
      <c r="C1386" s="1383">
        <v>3145</v>
      </c>
      <c r="D1386" s="1236"/>
      <c r="E1386" s="1236"/>
      <c r="F1386" s="1344">
        <f>(1/S1386)*cnst_fish!$C$6</f>
        <v>9.7519361156519699E-2</v>
      </c>
      <c r="G1386" s="1344">
        <f t="shared" si="200"/>
        <v>1</v>
      </c>
      <c r="H1386" s="1344">
        <f t="shared" si="200"/>
        <v>0.367192066876738</v>
      </c>
      <c r="I1386" s="1344">
        <f t="shared" si="194"/>
        <v>0</v>
      </c>
      <c r="J1386" s="902">
        <f t="shared" si="195"/>
        <v>0</v>
      </c>
      <c r="L1386" s="1460">
        <v>7356</v>
      </c>
      <c r="M1386" s="1236"/>
      <c r="N1386" s="1240" t="s">
        <v>1806</v>
      </c>
      <c r="O1386" s="1241" t="s">
        <v>4841</v>
      </c>
      <c r="P1386" s="910">
        <f t="shared" si="196"/>
        <v>0</v>
      </c>
      <c r="Q1386" s="910">
        <f t="shared" si="197"/>
        <v>7356</v>
      </c>
      <c r="R1386" s="1344">
        <f t="shared" si="198"/>
        <v>3.49</v>
      </c>
      <c r="S1386" s="1344">
        <f>(1/9)*cnst_fish!$C$7*(1/cnst_fish!$C$8)^(R1386-1)</f>
        <v>43.581089432884006</v>
      </c>
      <c r="T1386" s="1362">
        <f t="shared" si="199"/>
        <v>27697.729065411375</v>
      </c>
      <c r="W1386" s="1612"/>
      <c r="X1386" s="1612"/>
      <c r="Y1386" s="1613"/>
      <c r="Z1386" s="1614"/>
      <c r="AA1386" s="1614"/>
      <c r="AB1386" s="1615"/>
      <c r="AC1386" s="1615"/>
      <c r="AD1386" s="583"/>
      <c r="AE1386" s="583"/>
    </row>
    <row r="1387" spans="1:31" ht="12.75" customHeight="1">
      <c r="A1387" s="1384" t="s">
        <v>4327</v>
      </c>
      <c r="B1387" s="19" t="s">
        <v>3302</v>
      </c>
      <c r="C1387" s="1383">
        <v>14425</v>
      </c>
      <c r="D1387" s="1236"/>
      <c r="E1387" s="1236"/>
      <c r="F1387" s="1344">
        <f>(1/S1387)*cnst_fish!$C$6</f>
        <v>9.9790878883162681E-2</v>
      </c>
      <c r="G1387" s="1344">
        <f t="shared" si="200"/>
        <v>1</v>
      </c>
      <c r="H1387" s="1344">
        <f t="shared" si="200"/>
        <v>0.367192066876738</v>
      </c>
      <c r="I1387" s="1344">
        <f t="shared" si="194"/>
        <v>0</v>
      </c>
      <c r="J1387" s="902">
        <f t="shared" si="195"/>
        <v>0</v>
      </c>
      <c r="L1387" s="1460">
        <v>10</v>
      </c>
      <c r="M1387" s="1236"/>
      <c r="N1387" s="1240" t="s">
        <v>2442</v>
      </c>
      <c r="O1387" s="1241" t="s">
        <v>4841</v>
      </c>
      <c r="P1387" s="910">
        <f t="shared" si="196"/>
        <v>0</v>
      </c>
      <c r="Q1387" s="910">
        <f t="shared" si="197"/>
        <v>10</v>
      </c>
      <c r="R1387" s="1344">
        <f t="shared" si="198"/>
        <v>3.48</v>
      </c>
      <c r="S1387" s="1344">
        <f>(1/9)*cnst_fish!$C$7*(1/cnst_fish!$C$8)^(R1387-1)</f>
        <v>42.589062723618177</v>
      </c>
      <c r="T1387" s="1362">
        <f t="shared" si="199"/>
        <v>36.796155218419756</v>
      </c>
      <c r="W1387" s="1612"/>
      <c r="X1387" s="1612"/>
      <c r="Y1387" s="1613"/>
      <c r="Z1387" s="1614"/>
      <c r="AA1387" s="1614"/>
      <c r="AB1387" s="1615"/>
      <c r="AC1387" s="1615"/>
      <c r="AD1387" s="583"/>
      <c r="AE1387" s="583"/>
    </row>
    <row r="1388" spans="1:31" ht="12.75" customHeight="1">
      <c r="A1388" s="1384" t="s">
        <v>2331</v>
      </c>
      <c r="B1388" s="19" t="s">
        <v>3303</v>
      </c>
      <c r="C1388" s="1383">
        <v>14426</v>
      </c>
      <c r="D1388" s="1236"/>
      <c r="E1388" s="1236"/>
      <c r="F1388" s="1344">
        <f>(1/S1388)*cnst_fish!$C$6</f>
        <v>4.5613232168782068E-2</v>
      </c>
      <c r="G1388" s="1344">
        <f t="shared" ref="G1388:H1407" si="201">G$7</f>
        <v>1</v>
      </c>
      <c r="H1388" s="1344">
        <f t="shared" si="201"/>
        <v>0.367192066876738</v>
      </c>
      <c r="I1388" s="1344">
        <f t="shared" si="194"/>
        <v>0</v>
      </c>
      <c r="J1388" s="902">
        <f t="shared" si="195"/>
        <v>0</v>
      </c>
      <c r="L1388" s="1460">
        <v>234</v>
      </c>
      <c r="M1388" s="1236"/>
      <c r="N1388" s="1240" t="s">
        <v>1806</v>
      </c>
      <c r="O1388" s="1241" t="s">
        <v>4841</v>
      </c>
      <c r="P1388" s="910">
        <f t="shared" si="196"/>
        <v>0</v>
      </c>
      <c r="Q1388" s="910">
        <f t="shared" si="197"/>
        <v>234</v>
      </c>
      <c r="R1388" s="1344">
        <f t="shared" si="198"/>
        <v>3.82</v>
      </c>
      <c r="S1388" s="1344">
        <f>(1/9)*cnst_fish!$C$7*(1/cnst_fish!$C$8)^(R1388-1)</f>
        <v>93.174717026712301</v>
      </c>
      <c r="T1388" s="1362">
        <f t="shared" si="199"/>
        <v>1883.7284613205466</v>
      </c>
      <c r="W1388" s="1612"/>
      <c r="X1388" s="1612"/>
      <c r="Y1388" s="1613"/>
      <c r="Z1388" s="1614"/>
      <c r="AA1388" s="1614"/>
      <c r="AB1388" s="1615"/>
      <c r="AC1388" s="1615"/>
      <c r="AD1388" s="583"/>
      <c r="AE1388" s="583"/>
    </row>
    <row r="1389" spans="1:31" ht="12.75" customHeight="1">
      <c r="A1389" s="1384" t="s">
        <v>4320</v>
      </c>
      <c r="B1389" s="19" t="s">
        <v>4321</v>
      </c>
      <c r="C1389" s="1383">
        <v>18952</v>
      </c>
      <c r="D1389" s="1236"/>
      <c r="E1389" s="1236"/>
      <c r="F1389" s="1344">
        <f>(1/S1389)*cnst_fish!$C$6</f>
        <v>3.0838329721915438E-2</v>
      </c>
      <c r="G1389" s="1344">
        <f t="shared" si="201"/>
        <v>1</v>
      </c>
      <c r="H1389" s="1344">
        <f t="shared" si="201"/>
        <v>0.367192066876738</v>
      </c>
      <c r="I1389" s="1344">
        <f t="shared" si="194"/>
        <v>0</v>
      </c>
      <c r="J1389" s="902">
        <f t="shared" si="195"/>
        <v>0</v>
      </c>
      <c r="L1389" s="1460">
        <v>124</v>
      </c>
      <c r="M1389" s="1236"/>
      <c r="N1389" s="1240" t="s">
        <v>1806</v>
      </c>
      <c r="O1389" s="1241" t="s">
        <v>4841</v>
      </c>
      <c r="P1389" s="910">
        <f t="shared" si="196"/>
        <v>0</v>
      </c>
      <c r="Q1389" s="910">
        <f t="shared" si="197"/>
        <v>124</v>
      </c>
      <c r="R1389" s="1344">
        <f t="shared" si="198"/>
        <v>3.99</v>
      </c>
      <c r="S1389" s="1344">
        <f>(1/9)*cnst_fish!$C$7*(1/cnst_fish!$C$8)^(R1389-1)</f>
        <v>137.81550551940927</v>
      </c>
      <c r="T1389" s="1362">
        <f t="shared" si="199"/>
        <v>1476.4683010817562</v>
      </c>
      <c r="W1389" s="1612"/>
      <c r="X1389" s="1612"/>
      <c r="Y1389" s="1613"/>
      <c r="Z1389" s="1614"/>
      <c r="AA1389" s="1614"/>
      <c r="AB1389" s="1615"/>
      <c r="AC1389" s="1615"/>
      <c r="AD1389" s="583"/>
      <c r="AE1389" s="583"/>
    </row>
    <row r="1390" spans="1:31" ht="12.75" customHeight="1">
      <c r="A1390" s="1384" t="s">
        <v>5151</v>
      </c>
      <c r="B1390" s="19" t="s">
        <v>5152</v>
      </c>
      <c r="C1390" s="1383">
        <v>19138</v>
      </c>
      <c r="D1390" s="1236"/>
      <c r="E1390" s="1236"/>
      <c r="F1390" s="1344">
        <f>(1/S1390)*cnst_fish!$C$6</f>
        <v>5.4839166784473523E-2</v>
      </c>
      <c r="G1390" s="1344">
        <f t="shared" si="201"/>
        <v>1</v>
      </c>
      <c r="H1390" s="1344">
        <f t="shared" si="201"/>
        <v>0.367192066876738</v>
      </c>
      <c r="I1390" s="1344">
        <f t="shared" si="194"/>
        <v>0</v>
      </c>
      <c r="J1390" s="902">
        <f t="shared" si="195"/>
        <v>0</v>
      </c>
      <c r="L1390" s="1460">
        <v>3349</v>
      </c>
      <c r="M1390" s="1236"/>
      <c r="N1390" s="1240" t="s">
        <v>1806</v>
      </c>
      <c r="O1390" s="1241" t="s">
        <v>4841</v>
      </c>
      <c r="P1390" s="910">
        <f t="shared" si="196"/>
        <v>0</v>
      </c>
      <c r="Q1390" s="910">
        <f t="shared" si="197"/>
        <v>3349</v>
      </c>
      <c r="R1390" s="1344">
        <f t="shared" si="198"/>
        <v>3.74</v>
      </c>
      <c r="S1390" s="1344">
        <f>(1/9)*cnst_fish!$C$7*(1/cnst_fish!$C$8)^(R1390-1)</f>
        <v>77.499354005562537</v>
      </c>
      <c r="T1390" s="1362">
        <f t="shared" si="199"/>
        <v>22424.232607384634</v>
      </c>
      <c r="W1390" s="1612"/>
      <c r="X1390" s="1612"/>
      <c r="Y1390" s="1613"/>
      <c r="Z1390" s="1614"/>
      <c r="AA1390" s="1614"/>
      <c r="AB1390" s="1615"/>
      <c r="AC1390" s="1615"/>
      <c r="AD1390" s="583"/>
      <c r="AE1390" s="583"/>
    </row>
    <row r="1391" spans="1:31" ht="12.75" customHeight="1">
      <c r="A1391" s="1384" t="s">
        <v>5405</v>
      </c>
      <c r="B1391" s="19" t="s">
        <v>3304</v>
      </c>
      <c r="C1391" s="1383">
        <v>14431</v>
      </c>
      <c r="D1391" s="1236"/>
      <c r="E1391" s="1236"/>
      <c r="F1391" s="1344">
        <f>(1/S1391)*cnst_fish!$C$6</f>
        <v>9.5299549485983424E-3</v>
      </c>
      <c r="G1391" s="1344">
        <f t="shared" si="201"/>
        <v>1</v>
      </c>
      <c r="H1391" s="1344">
        <f t="shared" si="201"/>
        <v>0.367192066876738</v>
      </c>
      <c r="I1391" s="1344">
        <f t="shared" si="194"/>
        <v>0</v>
      </c>
      <c r="J1391" s="902">
        <f t="shared" si="195"/>
        <v>0</v>
      </c>
      <c r="L1391" s="1460">
        <v>467</v>
      </c>
      <c r="M1391" s="1236"/>
      <c r="N1391" s="1240" t="s">
        <v>1806</v>
      </c>
      <c r="O1391" s="1241" t="s">
        <v>4841</v>
      </c>
      <c r="P1391" s="910">
        <f t="shared" si="196"/>
        <v>0</v>
      </c>
      <c r="Q1391" s="910">
        <f t="shared" si="197"/>
        <v>467</v>
      </c>
      <c r="R1391" s="1344">
        <f t="shared" si="198"/>
        <v>4.5</v>
      </c>
      <c r="S1391" s="1344">
        <f>(1/9)*cnst_fish!$C$7*(1/cnst_fish!$C$8)^(R1391-1)</f>
        <v>445.96223412630997</v>
      </c>
      <c r="T1391" s="1362">
        <f t="shared" si="199"/>
        <v>17993.652242464967</v>
      </c>
      <c r="W1391" s="1612"/>
      <c r="X1391" s="1612"/>
      <c r="Y1391" s="1613"/>
      <c r="Z1391" s="1614"/>
      <c r="AA1391" s="1614"/>
      <c r="AB1391" s="1615"/>
      <c r="AC1391" s="1615"/>
      <c r="AD1391" s="583"/>
      <c r="AE1391" s="583"/>
    </row>
    <row r="1392" spans="1:31" ht="12.75" customHeight="1">
      <c r="A1392" s="1384" t="s">
        <v>306</v>
      </c>
      <c r="B1392" s="19" t="s">
        <v>307</v>
      </c>
      <c r="C1392" s="1383">
        <v>14433</v>
      </c>
      <c r="D1392" s="1236"/>
      <c r="E1392" s="1236"/>
      <c r="F1392" s="1344">
        <f>(1/S1392)*cnst_fish!$C$6</f>
        <v>9.7519361156519751E-3</v>
      </c>
      <c r="G1392" s="1344">
        <f t="shared" si="201"/>
        <v>1</v>
      </c>
      <c r="H1392" s="1344">
        <f t="shared" si="201"/>
        <v>0.367192066876738</v>
      </c>
      <c r="I1392" s="1344">
        <f t="shared" si="194"/>
        <v>0</v>
      </c>
      <c r="J1392" s="902">
        <f t="shared" si="195"/>
        <v>0</v>
      </c>
      <c r="L1392" s="1460">
        <v>18913</v>
      </c>
      <c r="M1392" s="1236"/>
      <c r="N1392" s="1240" t="s">
        <v>1806</v>
      </c>
      <c r="O1392" s="1241" t="s">
        <v>4841</v>
      </c>
      <c r="P1392" s="910">
        <f t="shared" si="196"/>
        <v>0</v>
      </c>
      <c r="Q1392" s="910">
        <f t="shared" si="197"/>
        <v>18913</v>
      </c>
      <c r="R1392" s="1344">
        <f t="shared" si="198"/>
        <v>4.49</v>
      </c>
      <c r="S1392" s="1344">
        <f>(1/9)*cnst_fish!$C$7*(1/cnst_fish!$C$8)^(R1392-1)</f>
        <v>435.81089432883982</v>
      </c>
      <c r="T1392" s="1362">
        <f t="shared" si="199"/>
        <v>712135.8752231173</v>
      </c>
      <c r="W1392" s="1612"/>
      <c r="X1392" s="1612"/>
      <c r="Y1392" s="1613"/>
      <c r="Z1392" s="1614"/>
      <c r="AA1392" s="1614"/>
      <c r="AB1392" s="1615"/>
      <c r="AC1392" s="1615"/>
      <c r="AD1392" s="583"/>
      <c r="AE1392" s="583"/>
    </row>
    <row r="1393" spans="1:31" ht="12.75" customHeight="1">
      <c r="A1393" s="1384" t="s">
        <v>3470</v>
      </c>
      <c r="B1393" s="19" t="s">
        <v>3305</v>
      </c>
      <c r="C1393" s="1383">
        <v>14434</v>
      </c>
      <c r="D1393" s="1236"/>
      <c r="E1393" s="1236"/>
      <c r="F1393" s="1344">
        <f>(1/S1393)*cnst_fish!$C$6</f>
        <v>1.581578846116358E-2</v>
      </c>
      <c r="G1393" s="1344">
        <f t="shared" si="201"/>
        <v>1</v>
      </c>
      <c r="H1393" s="1344">
        <f t="shared" si="201"/>
        <v>0.367192066876738</v>
      </c>
      <c r="I1393" s="1344">
        <f t="shared" si="194"/>
        <v>0</v>
      </c>
      <c r="J1393" s="902">
        <f t="shared" si="195"/>
        <v>0</v>
      </c>
      <c r="L1393" s="1460">
        <v>402</v>
      </c>
      <c r="M1393" s="1236"/>
      <c r="N1393" s="1240" t="s">
        <v>1806</v>
      </c>
      <c r="O1393" s="1241" t="s">
        <v>4841</v>
      </c>
      <c r="P1393" s="910">
        <f t="shared" si="196"/>
        <v>0</v>
      </c>
      <c r="Q1393" s="910">
        <f t="shared" si="197"/>
        <v>402</v>
      </c>
      <c r="R1393" s="1344">
        <f t="shared" si="198"/>
        <v>4.28</v>
      </c>
      <c r="S1393" s="1344">
        <f>(1/9)*cnst_fish!$C$7*(1/cnst_fish!$C$8)^(R1393-1)</f>
        <v>268.71881919994547</v>
      </c>
      <c r="T1393" s="1362">
        <f t="shared" si="199"/>
        <v>9333.1553622454558</v>
      </c>
      <c r="W1393" s="1612"/>
      <c r="X1393" s="1612"/>
      <c r="Y1393" s="1613"/>
      <c r="Z1393" s="1614"/>
      <c r="AA1393" s="1614"/>
      <c r="AB1393" s="1615"/>
      <c r="AC1393" s="1615"/>
      <c r="AD1393" s="583"/>
      <c r="AE1393" s="583"/>
    </row>
    <row r="1394" spans="1:31" ht="12.75" customHeight="1">
      <c r="A1394" s="1384" t="s">
        <v>3667</v>
      </c>
      <c r="B1394" s="19" t="s">
        <v>183</v>
      </c>
      <c r="C1394" s="1383">
        <v>3437</v>
      </c>
      <c r="D1394" s="1236"/>
      <c r="E1394" s="1236"/>
      <c r="F1394" s="1344">
        <f>(1/S1394)*cnst_fish!$C$6</f>
        <v>1.9014759972289452</v>
      </c>
      <c r="G1394" s="1344">
        <f t="shared" si="201"/>
        <v>1</v>
      </c>
      <c r="H1394" s="1344">
        <f t="shared" si="201"/>
        <v>0.367192066876738</v>
      </c>
      <c r="I1394" s="1344">
        <f t="shared" si="194"/>
        <v>0</v>
      </c>
      <c r="J1394" s="902">
        <f t="shared" si="195"/>
        <v>0</v>
      </c>
      <c r="L1394" s="1460">
        <v>102041</v>
      </c>
      <c r="M1394" s="1236"/>
      <c r="N1394" s="1240" t="s">
        <v>2441</v>
      </c>
      <c r="O1394" s="1241" t="s">
        <v>4840</v>
      </c>
      <c r="P1394" s="910">
        <f t="shared" si="196"/>
        <v>0</v>
      </c>
      <c r="Q1394" s="910">
        <f t="shared" si="197"/>
        <v>102041</v>
      </c>
      <c r="R1394" s="1344">
        <f t="shared" si="198"/>
        <v>2.2000000000000002</v>
      </c>
      <c r="S1394" s="1344">
        <f>(1/9)*cnst_fish!$C$7*(1/cnst_fish!$C$8)^(R1394-1)</f>
        <v>2.2351057842400328</v>
      </c>
      <c r="T1394" s="1362">
        <f t="shared" si="199"/>
        <v>19705.032170152528</v>
      </c>
      <c r="W1394" s="1612"/>
      <c r="X1394" s="1612"/>
      <c r="Y1394" s="1613"/>
      <c r="Z1394" s="1614"/>
      <c r="AA1394" s="1614"/>
      <c r="AB1394" s="1615"/>
      <c r="AC1394" s="1615"/>
      <c r="AD1394" s="583"/>
      <c r="AE1394" s="583"/>
    </row>
    <row r="1395" spans="1:31" ht="12.75" customHeight="1">
      <c r="A1395" s="1384" t="s">
        <v>885</v>
      </c>
      <c r="B1395" s="19" t="s">
        <v>184</v>
      </c>
      <c r="C1395" s="1383">
        <v>2611</v>
      </c>
      <c r="D1395" s="1236">
        <v>596</v>
      </c>
      <c r="E1395" s="1236"/>
      <c r="F1395" s="1344">
        <f>(1/S1395)*cnst_fish!$C$6</f>
        <v>1.9014759972289452</v>
      </c>
      <c r="G1395" s="1344">
        <f t="shared" si="201"/>
        <v>1</v>
      </c>
      <c r="H1395" s="1344">
        <f t="shared" si="201"/>
        <v>0.367192066876738</v>
      </c>
      <c r="I1395" s="1344">
        <f t="shared" si="194"/>
        <v>115.09294473212636</v>
      </c>
      <c r="J1395" s="902">
        <f t="shared" si="195"/>
        <v>0</v>
      </c>
      <c r="L1395" s="1460">
        <v>596</v>
      </c>
      <c r="M1395" s="1236"/>
      <c r="N1395" s="1240" t="s">
        <v>2441</v>
      </c>
      <c r="O1395" s="1241" t="s">
        <v>4840</v>
      </c>
      <c r="P1395" s="910">
        <f t="shared" si="196"/>
        <v>596</v>
      </c>
      <c r="Q1395" s="910">
        <f t="shared" si="197"/>
        <v>596</v>
      </c>
      <c r="R1395" s="1344">
        <f t="shared" si="198"/>
        <v>2.2000000000000002</v>
      </c>
      <c r="S1395" s="1344">
        <f>(1/9)*cnst_fish!$C$7*(1/cnst_fish!$C$8)^(R1395-1)</f>
        <v>2.2351057842400328</v>
      </c>
      <c r="T1395" s="1362">
        <f t="shared" si="199"/>
        <v>115.09294473212636</v>
      </c>
      <c r="W1395" s="1612"/>
      <c r="X1395" s="1612"/>
      <c r="Y1395" s="1613"/>
      <c r="Z1395" s="1614"/>
      <c r="AA1395" s="1614"/>
      <c r="AB1395" s="1615"/>
      <c r="AC1395" s="1615"/>
      <c r="AD1395" s="583"/>
      <c r="AE1395" s="583"/>
    </row>
    <row r="1396" spans="1:31" ht="12.75" customHeight="1">
      <c r="A1396" s="1384" t="s">
        <v>6613</v>
      </c>
      <c r="B1396" s="19" t="s">
        <v>6612</v>
      </c>
      <c r="C1396" s="1383">
        <v>16521</v>
      </c>
      <c r="D1396" s="1236"/>
      <c r="E1396" s="1236"/>
      <c r="F1396" s="1344">
        <f>(1/S1396)*cnst_fish!$C$6</f>
        <v>3.0136363636363641</v>
      </c>
      <c r="G1396" s="1344">
        <f t="shared" si="201"/>
        <v>1</v>
      </c>
      <c r="H1396" s="1344">
        <f t="shared" si="201"/>
        <v>0.367192066876738</v>
      </c>
      <c r="I1396" s="1344">
        <f t="shared" si="194"/>
        <v>0</v>
      </c>
      <c r="J1396" s="902">
        <f t="shared" si="195"/>
        <v>0</v>
      </c>
      <c r="L1396" s="1460">
        <v>10</v>
      </c>
      <c r="M1396" s="1236"/>
      <c r="N1396" s="1240" t="s">
        <v>2441</v>
      </c>
      <c r="O1396" s="1241" t="s">
        <v>4840</v>
      </c>
      <c r="P1396" s="910">
        <f t="shared" si="196"/>
        <v>0</v>
      </c>
      <c r="Q1396" s="910">
        <f t="shared" si="197"/>
        <v>10</v>
      </c>
      <c r="R1396" s="1344">
        <f t="shared" si="198"/>
        <v>2</v>
      </c>
      <c r="S1396" s="1344">
        <f>(1/9)*cnst_fish!$C$7*(1/cnst_fish!$C$8)^(R1396-1)</f>
        <v>1.4102564102564099</v>
      </c>
      <c r="T1396" s="1362">
        <f t="shared" si="199"/>
        <v>1.2184352143722827</v>
      </c>
      <c r="W1396" s="1612"/>
      <c r="X1396" s="1612"/>
      <c r="Y1396" s="1613"/>
      <c r="Z1396" s="1614"/>
      <c r="AA1396" s="1614"/>
      <c r="AB1396" s="1615"/>
      <c r="AC1396" s="1615"/>
      <c r="AD1396" s="583"/>
      <c r="AE1396" s="583"/>
    </row>
    <row r="1397" spans="1:31" ht="12.75" customHeight="1">
      <c r="A1397" s="1384" t="s">
        <v>3493</v>
      </c>
      <c r="B1397" s="19" t="s">
        <v>107</v>
      </c>
      <c r="C1397" s="1383">
        <v>3421</v>
      </c>
      <c r="D1397" s="1236"/>
      <c r="E1397" s="1236"/>
      <c r="F1397" s="1344">
        <f>(1/S1397)*cnst_fish!$C$6</f>
        <v>1.5103960722494616</v>
      </c>
      <c r="G1397" s="1344">
        <f t="shared" si="201"/>
        <v>1</v>
      </c>
      <c r="H1397" s="1344">
        <f t="shared" si="201"/>
        <v>0.367192066876738</v>
      </c>
      <c r="I1397" s="1344">
        <f t="shared" si="194"/>
        <v>0</v>
      </c>
      <c r="J1397" s="902">
        <f t="shared" si="195"/>
        <v>0</v>
      </c>
      <c r="L1397" s="1460">
        <v>77</v>
      </c>
      <c r="M1397" s="1236"/>
      <c r="N1397" s="1240" t="s">
        <v>2441</v>
      </c>
      <c r="O1397" s="1241" t="s">
        <v>4840</v>
      </c>
      <c r="P1397" s="910">
        <f t="shared" si="196"/>
        <v>0</v>
      </c>
      <c r="Q1397" s="910">
        <f t="shared" si="197"/>
        <v>77</v>
      </c>
      <c r="R1397" s="1344">
        <f t="shared" si="198"/>
        <v>2.2999999999999998</v>
      </c>
      <c r="S1397" s="1344">
        <f>(1/9)*cnst_fish!$C$7*(1/cnst_fish!$C$8)^(R1397-1)</f>
        <v>2.8138314698279068</v>
      </c>
      <c r="T1397" s="1362">
        <f t="shared" si="199"/>
        <v>18.719453571803939</v>
      </c>
      <c r="W1397" s="1612"/>
      <c r="X1397" s="1612"/>
      <c r="Y1397" s="1613"/>
      <c r="Z1397" s="1614"/>
      <c r="AA1397" s="1614"/>
      <c r="AB1397" s="1615"/>
      <c r="AC1397" s="1615"/>
      <c r="AD1397" s="583"/>
      <c r="AE1397" s="583"/>
    </row>
    <row r="1398" spans="1:31" ht="12.75" customHeight="1">
      <c r="A1398" s="1384" t="s">
        <v>2103</v>
      </c>
      <c r="B1398" s="19" t="s">
        <v>3306</v>
      </c>
      <c r="C1398" s="1383">
        <v>3244</v>
      </c>
      <c r="D1398" s="1236">
        <v>0</v>
      </c>
      <c r="E1398" s="1236"/>
      <c r="F1398" s="1344">
        <f>(1/S1398)*cnst_fish!$C$6</f>
        <v>0.30136363636363639</v>
      </c>
      <c r="G1398" s="1344">
        <f t="shared" si="201"/>
        <v>1</v>
      </c>
      <c r="H1398" s="1344">
        <f t="shared" si="201"/>
        <v>0.367192066876738</v>
      </c>
      <c r="I1398" s="1344">
        <f t="shared" si="194"/>
        <v>0</v>
      </c>
      <c r="J1398" s="902">
        <f t="shared" si="195"/>
        <v>0</v>
      </c>
      <c r="L1398" s="1460">
        <v>0</v>
      </c>
      <c r="M1398" s="1236"/>
      <c r="N1398" s="1240" t="s">
        <v>1806</v>
      </c>
      <c r="O1398" s="1241" t="s">
        <v>4841</v>
      </c>
      <c r="P1398" s="910">
        <f t="shared" si="196"/>
        <v>0</v>
      </c>
      <c r="Q1398" s="910">
        <f t="shared" si="197"/>
        <v>0</v>
      </c>
      <c r="R1398" s="1344">
        <f t="shared" si="198"/>
        <v>3</v>
      </c>
      <c r="S1398" s="1344">
        <f>(1/9)*cnst_fish!$C$7*(1/cnst_fish!$C$8)^(R1398-1)</f>
        <v>14.1025641025641</v>
      </c>
      <c r="T1398" s="1362">
        <f t="shared" si="199"/>
        <v>0</v>
      </c>
      <c r="W1398" s="1612"/>
      <c r="X1398" s="1612"/>
      <c r="Y1398" s="1613"/>
      <c r="Z1398" s="1614"/>
      <c r="AA1398" s="1614"/>
      <c r="AB1398" s="1615"/>
      <c r="AC1398" s="1615"/>
      <c r="AD1398" s="583"/>
      <c r="AE1398" s="583"/>
    </row>
    <row r="1399" spans="1:31" ht="12.75" customHeight="1">
      <c r="A1399" s="1384" t="s">
        <v>3047</v>
      </c>
      <c r="B1399" s="19" t="s">
        <v>5380</v>
      </c>
      <c r="C1399" s="1383">
        <v>2534</v>
      </c>
      <c r="D1399" s="1236"/>
      <c r="E1399" s="1236"/>
      <c r="F1399" s="1344">
        <f>(1/S1399)*cnst_fish!$C$6</f>
        <v>7.9266712664847111E-2</v>
      </c>
      <c r="G1399" s="1344">
        <f t="shared" si="201"/>
        <v>1</v>
      </c>
      <c r="H1399" s="1344">
        <f t="shared" si="201"/>
        <v>0.367192066876738</v>
      </c>
      <c r="I1399" s="1344">
        <f t="shared" si="194"/>
        <v>0</v>
      </c>
      <c r="J1399" s="902">
        <f t="shared" si="195"/>
        <v>0</v>
      </c>
      <c r="L1399" s="1460">
        <v>107090</v>
      </c>
      <c r="M1399" s="1236"/>
      <c r="N1399" s="1240" t="s">
        <v>2432</v>
      </c>
      <c r="O1399" s="1241" t="s">
        <v>4841</v>
      </c>
      <c r="P1399" s="910">
        <f t="shared" si="196"/>
        <v>0</v>
      </c>
      <c r="Q1399" s="910">
        <f t="shared" si="197"/>
        <v>107090</v>
      </c>
      <c r="R1399" s="1344">
        <f t="shared" si="198"/>
        <v>3.58</v>
      </c>
      <c r="S1399" s="1344">
        <f>(1/9)*cnst_fish!$C$7*(1/cnst_fish!$C$8)^(R1399-1)</f>
        <v>53.616453327258682</v>
      </c>
      <c r="T1399" s="1362">
        <f t="shared" si="199"/>
        <v>496079.5915442133</v>
      </c>
      <c r="W1399" s="1612"/>
      <c r="X1399" s="1612"/>
      <c r="Y1399" s="1613"/>
      <c r="Z1399" s="1614"/>
      <c r="AA1399" s="1614"/>
      <c r="AB1399" s="1615"/>
      <c r="AC1399" s="1615"/>
      <c r="AD1399" s="583"/>
      <c r="AE1399" s="583"/>
    </row>
    <row r="1400" spans="1:31" ht="12.75" customHeight="1">
      <c r="A1400" s="1384" t="s">
        <v>3477</v>
      </c>
      <c r="B1400" s="19" t="s">
        <v>5381</v>
      </c>
      <c r="C1400" s="1383">
        <v>14439</v>
      </c>
      <c r="D1400" s="1236">
        <v>23326</v>
      </c>
      <c r="E1400" s="1236"/>
      <c r="F1400" s="1344">
        <f>(1/S1400)*cnst_fish!$C$6</f>
        <v>0.1409583630333692</v>
      </c>
      <c r="G1400" s="1344">
        <f t="shared" si="201"/>
        <v>1</v>
      </c>
      <c r="H1400" s="1344">
        <f t="shared" si="201"/>
        <v>0.367192066876738</v>
      </c>
      <c r="I1400" s="1344">
        <f t="shared" si="194"/>
        <v>60763.490492147401</v>
      </c>
      <c r="J1400" s="902">
        <f t="shared" si="195"/>
        <v>0</v>
      </c>
      <c r="L1400" s="1460">
        <v>23326</v>
      </c>
      <c r="M1400" s="1236"/>
      <c r="N1400" s="1240" t="s">
        <v>2432</v>
      </c>
      <c r="O1400" s="1241" t="s">
        <v>4841</v>
      </c>
      <c r="P1400" s="910">
        <f t="shared" si="196"/>
        <v>23326</v>
      </c>
      <c r="Q1400" s="910">
        <f t="shared" si="197"/>
        <v>23326</v>
      </c>
      <c r="R1400" s="1344">
        <f t="shared" si="198"/>
        <v>3.33</v>
      </c>
      <c r="S1400" s="1344">
        <f>(1/9)*cnst_fish!$C$7*(1/cnst_fish!$C$8)^(R1400-1)</f>
        <v>30.15074741605714</v>
      </c>
      <c r="T1400" s="1362">
        <f t="shared" si="199"/>
        <v>60763.490492147401</v>
      </c>
      <c r="W1400" s="1612"/>
      <c r="X1400" s="1612"/>
      <c r="Y1400" s="1613"/>
      <c r="Z1400" s="1614"/>
      <c r="AA1400" s="1614"/>
      <c r="AB1400" s="1615"/>
      <c r="AC1400" s="1615"/>
      <c r="AD1400" s="583"/>
      <c r="AE1400" s="583"/>
    </row>
    <row r="1401" spans="1:31" ht="12.75" customHeight="1">
      <c r="A1401" s="1384" t="s">
        <v>1544</v>
      </c>
      <c r="B1401" s="19" t="s">
        <v>5578</v>
      </c>
      <c r="C1401" s="1383">
        <v>16599</v>
      </c>
      <c r="D1401" s="1236"/>
      <c r="E1401" s="1236"/>
      <c r="F1401" s="1344">
        <f>(1/S1401)*cnst_fish!$C$6</f>
        <v>2.4296179854146147</v>
      </c>
      <c r="G1401" s="1344">
        <f t="shared" si="201"/>
        <v>1</v>
      </c>
      <c r="H1401" s="1344">
        <f t="shared" si="201"/>
        <v>0.367192066876738</v>
      </c>
      <c r="I1401" s="1344">
        <f t="shared" si="194"/>
        <v>0</v>
      </c>
      <c r="J1401" s="902">
        <f t="shared" si="195"/>
        <v>0</v>
      </c>
      <c r="L1401" s="1460">
        <v>8404</v>
      </c>
      <c r="M1401" s="1236"/>
      <c r="N1401" s="1240" t="s">
        <v>3932</v>
      </c>
      <c r="O1401" s="1241" t="s">
        <v>4840</v>
      </c>
      <c r="P1401" s="910">
        <f t="shared" si="196"/>
        <v>0</v>
      </c>
      <c r="Q1401" s="910">
        <f t="shared" si="197"/>
        <v>8404</v>
      </c>
      <c r="R1401" s="1344">
        <f t="shared" si="198"/>
        <v>2.0935528537656198</v>
      </c>
      <c r="S1401" s="1344">
        <f>(1/9)*cnst_fish!$C$7*(1/cnst_fish!$C$8)^(R1401-1)</f>
        <v>1.7492461882952093</v>
      </c>
      <c r="T1401" s="1362">
        <f t="shared" si="199"/>
        <v>1270.1100125851679</v>
      </c>
      <c r="W1401" s="1612"/>
      <c r="X1401" s="1612"/>
      <c r="Y1401" s="1613"/>
      <c r="Z1401" s="1614"/>
      <c r="AA1401" s="1614"/>
      <c r="AB1401" s="1615"/>
      <c r="AC1401" s="1615"/>
      <c r="AD1401" s="583"/>
      <c r="AE1401" s="583"/>
    </row>
    <row r="1402" spans="1:31" ht="12.75" customHeight="1">
      <c r="A1402" s="1384" t="s">
        <v>5077</v>
      </c>
      <c r="B1402" s="19" t="s">
        <v>3960</v>
      </c>
      <c r="C1402" s="1383">
        <v>16853</v>
      </c>
      <c r="D1402" s="1236"/>
      <c r="E1402" s="1236"/>
      <c r="F1402" s="1344">
        <f>(1/S1402)*cnst_fish!$C$6</f>
        <v>2.4296179854146147</v>
      </c>
      <c r="G1402" s="1344">
        <f t="shared" si="201"/>
        <v>1</v>
      </c>
      <c r="H1402" s="1344">
        <f t="shared" si="201"/>
        <v>0.367192066876738</v>
      </c>
      <c r="I1402" s="1344">
        <f t="shared" si="194"/>
        <v>0</v>
      </c>
      <c r="J1402" s="902">
        <f t="shared" si="195"/>
        <v>0</v>
      </c>
      <c r="L1402" s="1460">
        <v>0</v>
      </c>
      <c r="M1402" s="1236"/>
      <c r="N1402" s="1240" t="s">
        <v>2430</v>
      </c>
      <c r="O1402" s="1241" t="s">
        <v>4840</v>
      </c>
      <c r="P1402" s="910">
        <f t="shared" si="196"/>
        <v>0</v>
      </c>
      <c r="Q1402" s="910">
        <f t="shared" si="197"/>
        <v>0</v>
      </c>
      <c r="R1402" s="1344">
        <f t="shared" si="198"/>
        <v>2.0935528537656198</v>
      </c>
      <c r="S1402" s="1344">
        <f>(1/9)*cnst_fish!$C$7*(1/cnst_fish!$C$8)^(R1402-1)</f>
        <v>1.7492461882952093</v>
      </c>
      <c r="T1402" s="1362">
        <f t="shared" si="199"/>
        <v>0</v>
      </c>
      <c r="W1402" s="1612"/>
      <c r="X1402" s="1612"/>
      <c r="Y1402" s="1613"/>
      <c r="Z1402" s="1614"/>
      <c r="AA1402" s="1614"/>
      <c r="AB1402" s="1615"/>
      <c r="AC1402" s="1615"/>
      <c r="AD1402" s="583"/>
      <c r="AE1402" s="583"/>
    </row>
    <row r="1403" spans="1:31" ht="12.75" customHeight="1">
      <c r="A1403" s="1384" t="s">
        <v>4789</v>
      </c>
      <c r="B1403" s="19" t="s">
        <v>4748</v>
      </c>
      <c r="C1403" s="1383">
        <v>3354</v>
      </c>
      <c r="D1403" s="1236"/>
      <c r="E1403" s="1236"/>
      <c r="F1403" s="1344">
        <f>(1/S1403)*cnst_fish!$C$6</f>
        <v>0.16561163607618423</v>
      </c>
      <c r="G1403" s="1344">
        <f t="shared" si="201"/>
        <v>1</v>
      </c>
      <c r="H1403" s="1344">
        <f t="shared" si="201"/>
        <v>0.367192066876738</v>
      </c>
      <c r="I1403" s="1344">
        <f t="shared" si="194"/>
        <v>0</v>
      </c>
      <c r="J1403" s="902">
        <f t="shared" si="195"/>
        <v>0</v>
      </c>
      <c r="L1403" s="1460">
        <v>108773</v>
      </c>
      <c r="M1403" s="1236"/>
      <c r="N1403" s="1240" t="s">
        <v>2436</v>
      </c>
      <c r="O1403" s="1241" t="s">
        <v>4841</v>
      </c>
      <c r="P1403" s="910">
        <f t="shared" si="196"/>
        <v>0</v>
      </c>
      <c r="Q1403" s="910">
        <f t="shared" si="197"/>
        <v>108773</v>
      </c>
      <c r="R1403" s="1344">
        <f t="shared" si="198"/>
        <v>3.26</v>
      </c>
      <c r="S1403" s="1344">
        <f>(1/9)*cnst_fish!$C$7*(1/cnst_fish!$C$8)^(R1403-1)</f>
        <v>25.662448006038215</v>
      </c>
      <c r="T1403" s="1362">
        <f t="shared" si="199"/>
        <v>241170.14744066691</v>
      </c>
      <c r="W1403" s="1612"/>
      <c r="X1403" s="1612"/>
      <c r="Y1403" s="1613"/>
      <c r="Z1403" s="1614"/>
      <c r="AA1403" s="1614"/>
      <c r="AB1403" s="1615"/>
      <c r="AC1403" s="1615"/>
      <c r="AD1403" s="583"/>
      <c r="AE1403" s="583"/>
    </row>
    <row r="1404" spans="1:31" ht="12.75" customHeight="1">
      <c r="A1404" s="1384" t="s">
        <v>2723</v>
      </c>
      <c r="B1404" s="19" t="s">
        <v>4749</v>
      </c>
      <c r="C1404" s="1383">
        <v>2543</v>
      </c>
      <c r="D1404" s="1236"/>
      <c r="E1404" s="1236"/>
      <c r="F1404" s="1344">
        <f>(1/S1404)*cnst_fish!$C$6</f>
        <v>0.23938164528281752</v>
      </c>
      <c r="G1404" s="1344">
        <f t="shared" si="201"/>
        <v>1</v>
      </c>
      <c r="H1404" s="1344">
        <f t="shared" si="201"/>
        <v>0.367192066876738</v>
      </c>
      <c r="I1404" s="1344">
        <f t="shared" si="194"/>
        <v>0</v>
      </c>
      <c r="J1404" s="902">
        <f t="shared" si="195"/>
        <v>0</v>
      </c>
      <c r="L1404" s="1460">
        <v>0</v>
      </c>
      <c r="M1404" s="1236"/>
      <c r="N1404" s="1240" t="s">
        <v>2436</v>
      </c>
      <c r="O1404" s="1241" t="s">
        <v>4841</v>
      </c>
      <c r="P1404" s="910">
        <f t="shared" si="196"/>
        <v>0</v>
      </c>
      <c r="Q1404" s="910">
        <f t="shared" si="197"/>
        <v>0</v>
      </c>
      <c r="R1404" s="1344">
        <f t="shared" si="198"/>
        <v>3.1</v>
      </c>
      <c r="S1404" s="1344">
        <f>(1/9)*cnst_fish!$C$7*(1/cnst_fish!$C$8)^(R1404-1)</f>
        <v>17.754076320174157</v>
      </c>
      <c r="T1404" s="1362">
        <f t="shared" si="199"/>
        <v>0</v>
      </c>
      <c r="W1404" s="1612"/>
      <c r="X1404" s="1612"/>
      <c r="Y1404" s="1613"/>
      <c r="Z1404" s="1614"/>
      <c r="AA1404" s="1614"/>
      <c r="AB1404" s="1615"/>
      <c r="AC1404" s="1615"/>
      <c r="AD1404" s="583"/>
      <c r="AE1404" s="583"/>
    </row>
    <row r="1405" spans="1:31" ht="12.75" customHeight="1">
      <c r="A1405" s="1384" t="s">
        <v>3774</v>
      </c>
      <c r="B1405" s="19" t="s">
        <v>4750</v>
      </c>
      <c r="C1405" s="1383">
        <v>3355</v>
      </c>
      <c r="D1405" s="1236">
        <v>367</v>
      </c>
      <c r="E1405" s="1236"/>
      <c r="F1405" s="1344">
        <f>(1/S1405)*cnst_fish!$C$6</f>
        <v>0.12276960190187568</v>
      </c>
      <c r="G1405" s="1344">
        <f t="shared" si="201"/>
        <v>1</v>
      </c>
      <c r="H1405" s="1344">
        <f t="shared" si="201"/>
        <v>0.367192066876738</v>
      </c>
      <c r="I1405" s="1344">
        <f t="shared" si="194"/>
        <v>1097.6616886928587</v>
      </c>
      <c r="J1405" s="902">
        <f t="shared" si="195"/>
        <v>0</v>
      </c>
      <c r="L1405" s="1460">
        <v>367</v>
      </c>
      <c r="M1405" s="1236"/>
      <c r="N1405" s="1240" t="s">
        <v>1809</v>
      </c>
      <c r="O1405" s="1241" t="s">
        <v>4841</v>
      </c>
      <c r="P1405" s="910">
        <f t="shared" si="196"/>
        <v>367</v>
      </c>
      <c r="Q1405" s="910">
        <f t="shared" si="197"/>
        <v>367</v>
      </c>
      <c r="R1405" s="1344">
        <f t="shared" si="198"/>
        <v>3.39</v>
      </c>
      <c r="S1405" s="1344">
        <f>(1/9)*cnst_fish!$C$7*(1/cnst_fish!$C$8)^(R1405-1)</f>
        <v>34.617689836583793</v>
      </c>
      <c r="T1405" s="1362">
        <f t="shared" si="199"/>
        <v>1097.6616886928587</v>
      </c>
      <c r="W1405" s="1612"/>
      <c r="X1405" s="1612"/>
      <c r="Y1405" s="1613"/>
      <c r="Z1405" s="1614"/>
      <c r="AA1405" s="1614"/>
      <c r="AB1405" s="1615"/>
      <c r="AC1405" s="1615"/>
      <c r="AD1405" s="583"/>
      <c r="AE1405" s="583"/>
    </row>
    <row r="1406" spans="1:31" ht="12.75" customHeight="1">
      <c r="A1406" s="1384" t="s">
        <v>4005</v>
      </c>
      <c r="B1406" s="19" t="s">
        <v>4006</v>
      </c>
      <c r="C1406" s="1383">
        <v>3352</v>
      </c>
      <c r="D1406" s="1236"/>
      <c r="E1406" s="1236"/>
      <c r="F1406" s="1344">
        <f>(1/S1406)*cnst_fish!$C$6</f>
        <v>0.12855555498429813</v>
      </c>
      <c r="G1406" s="1344">
        <f t="shared" si="201"/>
        <v>1</v>
      </c>
      <c r="H1406" s="1344">
        <f t="shared" si="201"/>
        <v>0.367192066876738</v>
      </c>
      <c r="I1406" s="1344">
        <f t="shared" si="194"/>
        <v>0</v>
      </c>
      <c r="J1406" s="902">
        <f t="shared" si="195"/>
        <v>0</v>
      </c>
      <c r="L1406" s="1460">
        <v>21</v>
      </c>
      <c r="M1406" s="1236"/>
      <c r="N1406" s="1240" t="s">
        <v>2436</v>
      </c>
      <c r="O1406" s="1241" t="s">
        <v>4841</v>
      </c>
      <c r="P1406" s="910">
        <f t="shared" si="196"/>
        <v>0</v>
      </c>
      <c r="Q1406" s="910">
        <f t="shared" si="197"/>
        <v>21</v>
      </c>
      <c r="R1406" s="1344">
        <f t="shared" si="198"/>
        <v>3.37</v>
      </c>
      <c r="S1406" s="1344">
        <f>(1/9)*cnst_fish!$C$7*(1/cnst_fish!$C$8)^(R1406-1)</f>
        <v>33.059637139127112</v>
      </c>
      <c r="T1406" s="1362">
        <f t="shared" si="199"/>
        <v>59.982109721772268</v>
      </c>
      <c r="W1406" s="1612"/>
      <c r="X1406" s="1612"/>
      <c r="Y1406" s="1613"/>
      <c r="Z1406" s="1614"/>
      <c r="AA1406" s="1614"/>
      <c r="AB1406" s="1615"/>
      <c r="AC1406" s="1615"/>
      <c r="AD1406" s="583"/>
      <c r="AE1406" s="583"/>
    </row>
    <row r="1407" spans="1:31" ht="12.75" customHeight="1">
      <c r="A1407" s="1384" t="s">
        <v>4885</v>
      </c>
      <c r="B1407" s="19" t="s">
        <v>189</v>
      </c>
      <c r="C1407" s="1383">
        <v>3345</v>
      </c>
      <c r="D1407" s="1236">
        <v>22982</v>
      </c>
      <c r="E1407" s="1236"/>
      <c r="F1407" s="1344">
        <f>(1/S1407)*cnst_fish!$C$6</f>
        <v>9.3130266898023228E-2</v>
      </c>
      <c r="G1407" s="1344">
        <f t="shared" si="201"/>
        <v>1</v>
      </c>
      <c r="H1407" s="1344">
        <f t="shared" si="201"/>
        <v>0.367192066876738</v>
      </c>
      <c r="I1407" s="1344">
        <f t="shared" si="194"/>
        <v>90612.948529414265</v>
      </c>
      <c r="J1407" s="902">
        <f t="shared" si="195"/>
        <v>0</v>
      </c>
      <c r="L1407" s="1460">
        <v>240763</v>
      </c>
      <c r="M1407" s="1236">
        <v>448</v>
      </c>
      <c r="N1407" s="1240" t="s">
        <v>1806</v>
      </c>
      <c r="O1407" s="1241" t="s">
        <v>4841</v>
      </c>
      <c r="P1407" s="910">
        <f t="shared" si="196"/>
        <v>22982</v>
      </c>
      <c r="Q1407" s="910">
        <f t="shared" si="197"/>
        <v>241211</v>
      </c>
      <c r="R1407" s="1344">
        <f t="shared" si="198"/>
        <v>3.51</v>
      </c>
      <c r="S1407" s="1344">
        <f>(1/9)*cnst_fish!$C$7*(1/cnst_fish!$C$8)^(R1407-1)</f>
        <v>45.635002900332182</v>
      </c>
      <c r="T1407" s="1362">
        <f t="shared" si="199"/>
        <v>951041.68165209936</v>
      </c>
      <c r="W1407" s="1612"/>
      <c r="X1407" s="1612"/>
      <c r="Y1407" s="1613"/>
      <c r="Z1407" s="1614"/>
      <c r="AA1407" s="1614"/>
      <c r="AB1407" s="1615"/>
      <c r="AC1407" s="1615"/>
      <c r="AD1407" s="583"/>
      <c r="AE1407" s="583"/>
    </row>
    <row r="1408" spans="1:31" ht="12.75" customHeight="1">
      <c r="A1408" s="1384" t="s">
        <v>62</v>
      </c>
      <c r="B1408" s="19" t="s">
        <v>190</v>
      </c>
      <c r="C1408" s="1383">
        <v>14449</v>
      </c>
      <c r="D1408" s="1236">
        <v>0</v>
      </c>
      <c r="E1408" s="1236"/>
      <c r="F1408" s="1344">
        <f>(1/S1408)*cnst_fish!$C$6</f>
        <v>4.2568745094767511E-2</v>
      </c>
      <c r="G1408" s="1344">
        <f t="shared" ref="G1408:H1427" si="202">G$7</f>
        <v>1</v>
      </c>
      <c r="H1408" s="1344">
        <f t="shared" si="202"/>
        <v>0.367192066876738</v>
      </c>
      <c r="I1408" s="1344">
        <f t="shared" si="194"/>
        <v>0</v>
      </c>
      <c r="J1408" s="902">
        <f t="shared" si="195"/>
        <v>0</v>
      </c>
      <c r="L1408" s="1460">
        <v>0</v>
      </c>
      <c r="M1408" s="1236"/>
      <c r="N1408" s="1240" t="s">
        <v>1809</v>
      </c>
      <c r="O1408" s="1241" t="s">
        <v>4841</v>
      </c>
      <c r="P1408" s="910">
        <f t="shared" si="196"/>
        <v>0</v>
      </c>
      <c r="Q1408" s="910">
        <f t="shared" si="197"/>
        <v>0</v>
      </c>
      <c r="R1408" s="1344">
        <f t="shared" si="198"/>
        <v>3.85</v>
      </c>
      <c r="S1408" s="1344">
        <f>(1/9)*cnst_fish!$C$7*(1/cnst_fish!$C$8)^(R1408-1)</f>
        <v>99.838508054173388</v>
      </c>
      <c r="T1408" s="1362">
        <f t="shared" si="199"/>
        <v>0</v>
      </c>
      <c r="W1408" s="1612"/>
      <c r="X1408" s="1612"/>
      <c r="Y1408" s="1613"/>
      <c r="Z1408" s="1614"/>
      <c r="AA1408" s="1614"/>
      <c r="AB1408" s="1615"/>
      <c r="AC1408" s="1615"/>
      <c r="AD1408" s="583"/>
      <c r="AE1408" s="583"/>
    </row>
    <row r="1409" spans="1:31" ht="12.75" customHeight="1">
      <c r="A1409" s="1384" t="s">
        <v>1080</v>
      </c>
      <c r="B1409" s="19" t="s">
        <v>5382</v>
      </c>
      <c r="C1409" s="1383">
        <v>2183</v>
      </c>
      <c r="D1409" s="1236"/>
      <c r="E1409" s="1236"/>
      <c r="F1409" s="1344">
        <f>(1/S1409)*cnst_fish!$C$6</f>
        <v>6.2963787943464855E-2</v>
      </c>
      <c r="G1409" s="1344">
        <f t="shared" si="202"/>
        <v>1</v>
      </c>
      <c r="H1409" s="1344">
        <f t="shared" si="202"/>
        <v>0.367192066876738</v>
      </c>
      <c r="I1409" s="1344">
        <f t="shared" si="194"/>
        <v>0</v>
      </c>
      <c r="J1409" s="902">
        <f t="shared" si="195"/>
        <v>0</v>
      </c>
      <c r="L1409" s="1460">
        <v>3939</v>
      </c>
      <c r="M1409" s="1236"/>
      <c r="N1409" s="1240" t="s">
        <v>1806</v>
      </c>
      <c r="O1409" s="1241" t="s">
        <v>4841</v>
      </c>
      <c r="P1409" s="910">
        <f t="shared" si="196"/>
        <v>0</v>
      </c>
      <c r="Q1409" s="910">
        <f t="shared" si="197"/>
        <v>3939</v>
      </c>
      <c r="R1409" s="1344">
        <f t="shared" si="198"/>
        <v>3.68</v>
      </c>
      <c r="S1409" s="1344">
        <f>(1/9)*cnst_fish!$C$7*(1/cnst_fish!$C$8)^(R1409-1)</f>
        <v>67.499115583961881</v>
      </c>
      <c r="T1409" s="1362">
        <f t="shared" si="199"/>
        <v>22971.450712688464</v>
      </c>
      <c r="W1409" s="1612"/>
      <c r="X1409" s="1612"/>
      <c r="Y1409" s="1613"/>
      <c r="Z1409" s="1614"/>
      <c r="AA1409" s="1614"/>
      <c r="AB1409" s="1615"/>
      <c r="AC1409" s="1615"/>
      <c r="AD1409" s="583"/>
      <c r="AE1409" s="583"/>
    </row>
    <row r="1410" spans="1:31" ht="12.75" customHeight="1">
      <c r="A1410" s="1384" t="s">
        <v>1930</v>
      </c>
      <c r="B1410" s="19" t="s">
        <v>5383</v>
      </c>
      <c r="C1410" s="1383">
        <v>3161</v>
      </c>
      <c r="D1410" s="1236">
        <v>2577</v>
      </c>
      <c r="E1410" s="1236"/>
      <c r="F1410" s="1344">
        <f>(1/S1410)*cnst_fish!$C$6</f>
        <v>3.8823156944206696E-2</v>
      </c>
      <c r="G1410" s="1344">
        <f t="shared" si="202"/>
        <v>1</v>
      </c>
      <c r="H1410" s="1344">
        <f t="shared" si="202"/>
        <v>0.367192066876738</v>
      </c>
      <c r="I1410" s="1344">
        <f t="shared" si="194"/>
        <v>24373.441801789293</v>
      </c>
      <c r="J1410" s="902">
        <f t="shared" si="195"/>
        <v>0</v>
      </c>
      <c r="L1410" s="1460">
        <v>3511</v>
      </c>
      <c r="M1410" s="1236"/>
      <c r="N1410" s="1240" t="s">
        <v>1806</v>
      </c>
      <c r="O1410" s="1241" t="s">
        <v>4841</v>
      </c>
      <c r="P1410" s="910">
        <f t="shared" si="196"/>
        <v>2577</v>
      </c>
      <c r="Q1410" s="910">
        <f t="shared" si="197"/>
        <v>3511</v>
      </c>
      <c r="R1410" s="1344">
        <f t="shared" si="198"/>
        <v>3.89</v>
      </c>
      <c r="S1410" s="1344">
        <f>(1/9)*cnst_fish!$C$7*(1/cnst_fish!$C$8)^(R1410-1)</f>
        <v>109.47074721686684</v>
      </c>
      <c r="T1410" s="1362">
        <f t="shared" si="199"/>
        <v>33207.277518852236</v>
      </c>
      <c r="W1410" s="1612"/>
      <c r="X1410" s="1612"/>
      <c r="Y1410" s="1613"/>
      <c r="Z1410" s="1614"/>
      <c r="AA1410" s="1614"/>
      <c r="AB1410" s="1615"/>
      <c r="AC1410" s="1615"/>
      <c r="AD1410" s="583"/>
      <c r="AE1410" s="583"/>
    </row>
    <row r="1411" spans="1:31" ht="12.75" customHeight="1">
      <c r="A1411" s="1384" t="s">
        <v>5681</v>
      </c>
      <c r="B1411" s="19" t="s">
        <v>5682</v>
      </c>
      <c r="C1411" s="1383">
        <v>2454</v>
      </c>
      <c r="D1411" s="1236"/>
      <c r="E1411" s="1236"/>
      <c r="F1411" s="1344">
        <f>(1/S1411)*cnst_fish!$C$6</f>
        <v>0.15455777163012493</v>
      </c>
      <c r="G1411" s="1344">
        <f t="shared" si="202"/>
        <v>1</v>
      </c>
      <c r="H1411" s="1344">
        <f t="shared" si="202"/>
        <v>0.367192066876738</v>
      </c>
      <c r="I1411" s="1344">
        <f t="shared" si="194"/>
        <v>0</v>
      </c>
      <c r="J1411" s="902">
        <f t="shared" si="195"/>
        <v>0</v>
      </c>
      <c r="L1411" s="1460">
        <v>0</v>
      </c>
      <c r="M1411" s="1236"/>
      <c r="N1411" s="1240" t="s">
        <v>1806</v>
      </c>
      <c r="O1411" s="1241" t="s">
        <v>4841</v>
      </c>
      <c r="P1411" s="910">
        <f t="shared" si="196"/>
        <v>0</v>
      </c>
      <c r="Q1411" s="910">
        <f t="shared" si="197"/>
        <v>0</v>
      </c>
      <c r="R1411" s="1344">
        <f t="shared" si="198"/>
        <v>3.29</v>
      </c>
      <c r="S1411" s="1344">
        <f>(1/9)*cnst_fish!$C$7*(1/cnst_fish!$C$8)^(R1411-1)</f>
        <v>27.497808458126283</v>
      </c>
      <c r="T1411" s="1362">
        <f t="shared" si="199"/>
        <v>0</v>
      </c>
      <c r="W1411" s="1612"/>
      <c r="X1411" s="1612"/>
      <c r="Y1411" s="1613"/>
      <c r="Z1411" s="1614"/>
      <c r="AA1411" s="1614"/>
      <c r="AB1411" s="1615"/>
      <c r="AC1411" s="1615"/>
      <c r="AD1411" s="583"/>
      <c r="AE1411" s="583"/>
    </row>
    <row r="1412" spans="1:31" ht="12.75" customHeight="1">
      <c r="A1412" s="1384" t="s">
        <v>198</v>
      </c>
      <c r="B1412" s="19" t="s">
        <v>4153</v>
      </c>
      <c r="C1412" s="1383">
        <v>2232</v>
      </c>
      <c r="D1412" s="1236"/>
      <c r="E1412" s="1236"/>
      <c r="F1412" s="1344">
        <f>(1/S1412)*cnst_fish!$C$6</f>
        <v>2.1334911593031029E-2</v>
      </c>
      <c r="G1412" s="1344">
        <f t="shared" si="202"/>
        <v>1</v>
      </c>
      <c r="H1412" s="1344">
        <f t="shared" si="202"/>
        <v>0.367192066876738</v>
      </c>
      <c r="I1412" s="1344">
        <f t="shared" si="194"/>
        <v>0</v>
      </c>
      <c r="J1412" s="902">
        <f t="shared" si="195"/>
        <v>0</v>
      </c>
      <c r="L1412" s="1460">
        <v>9067</v>
      </c>
      <c r="M1412" s="1236"/>
      <c r="N1412" s="1240" t="s">
        <v>1806</v>
      </c>
      <c r="O1412" s="1241" t="s">
        <v>4841</v>
      </c>
      <c r="P1412" s="910">
        <f t="shared" si="196"/>
        <v>0</v>
      </c>
      <c r="Q1412" s="910">
        <f t="shared" si="197"/>
        <v>9067</v>
      </c>
      <c r="R1412" s="1344">
        <f t="shared" si="198"/>
        <v>4.1500000000000004</v>
      </c>
      <c r="S1412" s="1344">
        <f>(1/9)*cnst_fish!$C$7*(1/cnst_fish!$C$8)^(R1412-1)</f>
        <v>199.20401270320929</v>
      </c>
      <c r="T1412" s="1362">
        <f t="shared" si="199"/>
        <v>156050.82101483361</v>
      </c>
      <c r="W1412" s="1612"/>
      <c r="X1412" s="1612"/>
      <c r="Y1412" s="1613"/>
      <c r="Z1412" s="1614"/>
      <c r="AA1412" s="1614"/>
      <c r="AB1412" s="1615"/>
      <c r="AC1412" s="1615"/>
      <c r="AD1412" s="583"/>
      <c r="AE1412" s="583"/>
    </row>
    <row r="1413" spans="1:31" ht="12.75" customHeight="1">
      <c r="A1413" s="1384" t="s">
        <v>3188</v>
      </c>
      <c r="B1413" s="19" t="s">
        <v>4154</v>
      </c>
      <c r="C1413" s="1383">
        <v>3016</v>
      </c>
      <c r="D1413" s="1236">
        <v>5058</v>
      </c>
      <c r="E1413" s="1236"/>
      <c r="F1413" s="1344">
        <f>(1/S1413)*cnst_fish!$C$6</f>
        <v>1.256292732912874E-2</v>
      </c>
      <c r="G1413" s="1344">
        <f t="shared" si="202"/>
        <v>1</v>
      </c>
      <c r="H1413" s="1344">
        <f t="shared" si="202"/>
        <v>0.367192066876738</v>
      </c>
      <c r="I1413" s="1344">
        <f t="shared" si="194"/>
        <v>147836.36214755886</v>
      </c>
      <c r="J1413" s="902">
        <f t="shared" si="195"/>
        <v>0</v>
      </c>
      <c r="L1413" s="1460">
        <v>308615</v>
      </c>
      <c r="M1413" s="1236"/>
      <c r="N1413" s="1240" t="s">
        <v>4154</v>
      </c>
      <c r="O1413" s="1241" t="s">
        <v>4841</v>
      </c>
      <c r="P1413" s="910">
        <f t="shared" si="196"/>
        <v>5058</v>
      </c>
      <c r="Q1413" s="910">
        <f t="shared" si="197"/>
        <v>308615</v>
      </c>
      <c r="R1413" s="1344">
        <f t="shared" si="198"/>
        <v>4.38</v>
      </c>
      <c r="S1413" s="1344">
        <f>(1/9)*cnst_fish!$C$7*(1/cnst_fish!$C$8)^(R1413-1)</f>
        <v>338.2969501181334</v>
      </c>
      <c r="T1413" s="1362">
        <f t="shared" si="199"/>
        <v>9020268.6643275768</v>
      </c>
      <c r="W1413" s="1612"/>
      <c r="X1413" s="1612"/>
      <c r="Y1413" s="1613"/>
      <c r="Z1413" s="1614"/>
      <c r="AA1413" s="1614"/>
      <c r="AB1413" s="1615"/>
      <c r="AC1413" s="1615"/>
      <c r="AD1413" s="583"/>
      <c r="AE1413" s="583"/>
    </row>
    <row r="1414" spans="1:31" ht="12.75" customHeight="1">
      <c r="A1414" s="1384" t="s">
        <v>2604</v>
      </c>
      <c r="B1414" s="19" t="s">
        <v>6449</v>
      </c>
      <c r="C1414" s="1383">
        <v>2577</v>
      </c>
      <c r="D1414" s="1236"/>
      <c r="E1414" s="1236"/>
      <c r="F1414" s="1344">
        <f>(1/S1414)*cnst_fish!$C$6</f>
        <v>3.0136363636363641</v>
      </c>
      <c r="G1414" s="1344">
        <f t="shared" si="202"/>
        <v>1</v>
      </c>
      <c r="H1414" s="1344">
        <f t="shared" si="202"/>
        <v>0.367192066876738</v>
      </c>
      <c r="I1414" s="1344">
        <f t="shared" si="194"/>
        <v>0</v>
      </c>
      <c r="J1414" s="902">
        <f t="shared" si="195"/>
        <v>0</v>
      </c>
      <c r="L1414" s="1460">
        <v>423</v>
      </c>
      <c r="M1414" s="1236"/>
      <c r="N1414" s="1240" t="s">
        <v>1805</v>
      </c>
      <c r="O1414" s="1241" t="s">
        <v>4840</v>
      </c>
      <c r="P1414" s="910">
        <f t="shared" si="196"/>
        <v>0</v>
      </c>
      <c r="Q1414" s="910">
        <f t="shared" si="197"/>
        <v>423</v>
      </c>
      <c r="R1414" s="1344">
        <f t="shared" si="198"/>
        <v>2</v>
      </c>
      <c r="S1414" s="1344">
        <f>(1/9)*cnst_fish!$C$7*(1/cnst_fish!$C$8)^(R1414-1)</f>
        <v>1.4102564102564099</v>
      </c>
      <c r="T1414" s="1362">
        <f t="shared" si="199"/>
        <v>51.539809567947557</v>
      </c>
      <c r="W1414" s="1612"/>
      <c r="X1414" s="1612"/>
      <c r="Y1414" s="1613"/>
      <c r="Z1414" s="1614"/>
      <c r="AA1414" s="1614"/>
      <c r="AB1414" s="1615"/>
      <c r="AC1414" s="1615"/>
      <c r="AD1414" s="583"/>
      <c r="AE1414" s="583"/>
    </row>
    <row r="1415" spans="1:31" ht="12.75" customHeight="1">
      <c r="A1415" s="1585" t="s">
        <v>8567</v>
      </c>
      <c r="B1415" s="1586" t="s">
        <v>8568</v>
      </c>
      <c r="C1415" s="1383">
        <v>19349</v>
      </c>
      <c r="D1415" s="1236"/>
      <c r="E1415" s="1236"/>
      <c r="F1415" s="1344">
        <f>(1/S1415)*cnst_fish!$C$6</f>
        <v>0.73976000504507966</v>
      </c>
      <c r="G1415" s="1344">
        <f t="shared" si="202"/>
        <v>1</v>
      </c>
      <c r="H1415" s="1344">
        <f t="shared" si="202"/>
        <v>0.367192066876738</v>
      </c>
      <c r="I1415" s="1344">
        <f t="shared" ref="I1415:I1478" si="203">IF($F1415=0,0,D1415/$F1415*$H1415*$G1415)</f>
        <v>0</v>
      </c>
      <c r="J1415" s="902">
        <f t="shared" ref="J1415:J1478" si="204">IF($F1415=0,0,E1415/$F1415*$H1415*$G1415)</f>
        <v>0</v>
      </c>
      <c r="L1415" s="1460">
        <v>44</v>
      </c>
      <c r="M1415" s="1236"/>
      <c r="N1415" s="1240" t="s">
        <v>2430</v>
      </c>
      <c r="O1415" s="1241" t="s">
        <v>4840</v>
      </c>
      <c r="P1415" s="910">
        <f t="shared" ref="P1415:P1478" si="205">D1415+E1415</f>
        <v>0</v>
      </c>
      <c r="Q1415" s="910">
        <f t="shared" ref="Q1415:Q1478" si="206">L1415+M1415</f>
        <v>44</v>
      </c>
      <c r="R1415" s="1344">
        <f t="shared" ref="R1415:R1478" si="207">VLOOKUP(B1415,constant_fish_trophic,3,FALSE)</f>
        <v>2.61</v>
      </c>
      <c r="S1415" s="1344">
        <f>(1/9)*cnst_fish!$C$7*(1/cnst_fish!$C$8)^(R1415-1)</f>
        <v>5.7451064818528712</v>
      </c>
      <c r="T1415" s="1362">
        <f t="shared" ref="T1415:T1478" si="208">IF(F1415=0,0,Q1415/F1415*H1415*G1415)</f>
        <v>21.840124949160945</v>
      </c>
      <c r="W1415" s="1616"/>
      <c r="X1415" s="1616"/>
      <c r="Y1415" s="1613"/>
      <c r="Z1415" s="1614"/>
      <c r="AA1415" s="1614"/>
      <c r="AB1415" s="1615"/>
      <c r="AC1415" s="1615"/>
      <c r="AD1415" s="583"/>
      <c r="AE1415" s="583"/>
    </row>
    <row r="1416" spans="1:31" ht="12.75" customHeight="1">
      <c r="A1416" s="1384" t="s">
        <v>2476</v>
      </c>
      <c r="B1416" s="19" t="s">
        <v>1361</v>
      </c>
      <c r="C1416" s="1383">
        <v>2765</v>
      </c>
      <c r="D1416" s="1236">
        <v>329</v>
      </c>
      <c r="E1416" s="1236"/>
      <c r="F1416" s="1344">
        <f>(1/S1416)*cnst_fish!$C$6</f>
        <v>1.5103960722494616</v>
      </c>
      <c r="G1416" s="1344">
        <f t="shared" si="202"/>
        <v>1</v>
      </c>
      <c r="H1416" s="1344">
        <f t="shared" si="202"/>
        <v>0.367192066876738</v>
      </c>
      <c r="I1416" s="1344">
        <f t="shared" si="203"/>
        <v>79.983119806798655</v>
      </c>
      <c r="J1416" s="902">
        <f t="shared" si="204"/>
        <v>0</v>
      </c>
      <c r="L1416" s="1460">
        <v>383</v>
      </c>
      <c r="M1416" s="1236">
        <v>24</v>
      </c>
      <c r="N1416" s="1240" t="s">
        <v>1806</v>
      </c>
      <c r="O1416" s="1241"/>
      <c r="P1416" s="910">
        <f t="shared" si="205"/>
        <v>329</v>
      </c>
      <c r="Q1416" s="910">
        <f t="shared" si="206"/>
        <v>407</v>
      </c>
      <c r="R1416" s="1344">
        <f t="shared" si="207"/>
        <v>2.2999999999999998</v>
      </c>
      <c r="S1416" s="1344">
        <f>(1/9)*cnst_fish!$C$7*(1/cnst_fish!$C$8)^(R1416-1)</f>
        <v>2.8138314698279068</v>
      </c>
      <c r="T1416" s="1362">
        <f t="shared" si="208"/>
        <v>98.945683165249406</v>
      </c>
      <c r="W1416" s="1612"/>
      <c r="X1416" s="1612"/>
      <c r="Y1416" s="1613"/>
      <c r="Z1416" s="1614"/>
      <c r="AA1416" s="1614"/>
      <c r="AB1416" s="1615"/>
      <c r="AC1416" s="1615"/>
      <c r="AD1416" s="583"/>
      <c r="AE1416" s="583"/>
    </row>
    <row r="1417" spans="1:31" ht="12.75" customHeight="1">
      <c r="A1417" s="1384" t="s">
        <v>126</v>
      </c>
      <c r="B1417" s="19" t="s">
        <v>5384</v>
      </c>
      <c r="C1417" s="1383">
        <v>2266</v>
      </c>
      <c r="D1417" s="1236"/>
      <c r="E1417" s="1236"/>
      <c r="F1417" s="1344">
        <f>(1/S1417)*cnst_fish!$C$6</f>
        <v>2.945037624971374E-2</v>
      </c>
      <c r="G1417" s="1344">
        <f t="shared" si="202"/>
        <v>1</v>
      </c>
      <c r="H1417" s="1344">
        <f t="shared" si="202"/>
        <v>0.367192066876738</v>
      </c>
      <c r="I1417" s="1344">
        <f t="shared" si="203"/>
        <v>0</v>
      </c>
      <c r="J1417" s="902">
        <f t="shared" si="204"/>
        <v>0</v>
      </c>
      <c r="L1417" s="1460">
        <v>25108</v>
      </c>
      <c r="M1417" s="1236"/>
      <c r="N1417" s="1240" t="s">
        <v>1806</v>
      </c>
      <c r="O1417" s="1241" t="s">
        <v>4841</v>
      </c>
      <c r="P1417" s="910">
        <f t="shared" si="205"/>
        <v>0</v>
      </c>
      <c r="Q1417" s="910">
        <f t="shared" si="206"/>
        <v>25108</v>
      </c>
      <c r="R1417" s="1344">
        <f t="shared" si="207"/>
        <v>4.01</v>
      </c>
      <c r="S1417" s="1344">
        <f>(1/9)*cnst_fish!$C$7*(1/cnst_fish!$C$8)^(R1417-1)</f>
        <v>144.31055019343972</v>
      </c>
      <c r="T1417" s="1362">
        <f t="shared" si="208"/>
        <v>313050.61561754247</v>
      </c>
      <c r="W1417" s="1612"/>
      <c r="X1417" s="1612"/>
      <c r="Y1417" s="1613"/>
      <c r="Z1417" s="1614"/>
      <c r="AA1417" s="1614"/>
      <c r="AB1417" s="1615"/>
      <c r="AC1417" s="1615"/>
      <c r="AD1417" s="583"/>
      <c r="AE1417" s="583"/>
    </row>
    <row r="1418" spans="1:31" ht="12.75" customHeight="1">
      <c r="A1418" s="1384" t="s">
        <v>5149</v>
      </c>
      <c r="B1418" s="19" t="s">
        <v>5150</v>
      </c>
      <c r="C1418" s="1383">
        <v>18872</v>
      </c>
      <c r="D1418" s="1236"/>
      <c r="E1418" s="1236"/>
      <c r="F1418" s="1344">
        <f>(1/S1418)*cnst_fish!$C$6</f>
        <v>1.9014759972289439E-2</v>
      </c>
      <c r="G1418" s="1344">
        <f t="shared" si="202"/>
        <v>1</v>
      </c>
      <c r="H1418" s="1344">
        <f t="shared" si="202"/>
        <v>0.367192066876738</v>
      </c>
      <c r="I1418" s="1344">
        <f t="shared" si="203"/>
        <v>0</v>
      </c>
      <c r="J1418" s="902">
        <f t="shared" si="204"/>
        <v>0</v>
      </c>
      <c r="L1418" s="1460">
        <v>0</v>
      </c>
      <c r="M1418" s="1236"/>
      <c r="N1418" s="1240" t="s">
        <v>1806</v>
      </c>
      <c r="O1418" s="1241" t="s">
        <v>4841</v>
      </c>
      <c r="P1418" s="910">
        <f t="shared" si="205"/>
        <v>0</v>
      </c>
      <c r="Q1418" s="910">
        <f t="shared" si="206"/>
        <v>0</v>
      </c>
      <c r="R1418" s="1344">
        <f t="shared" si="207"/>
        <v>4.2</v>
      </c>
      <c r="S1418" s="1344">
        <f>(1/9)*cnst_fish!$C$7*(1/cnst_fish!$C$8)^(R1418-1)</f>
        <v>223.51057842400343</v>
      </c>
      <c r="T1418" s="1362">
        <f t="shared" si="208"/>
        <v>0</v>
      </c>
      <c r="W1418" s="1612"/>
      <c r="X1418" s="1612"/>
      <c r="Y1418" s="1613"/>
      <c r="Z1418" s="1614"/>
      <c r="AA1418" s="1614"/>
      <c r="AB1418" s="1615"/>
      <c r="AC1418" s="1615"/>
      <c r="AD1418" s="583"/>
      <c r="AE1418" s="583"/>
    </row>
    <row r="1419" spans="1:31" ht="12.75" customHeight="1">
      <c r="A1419" s="1384" t="s">
        <v>4283</v>
      </c>
      <c r="B1419" s="19" t="s">
        <v>5385</v>
      </c>
      <c r="C1419" s="1383">
        <v>2265</v>
      </c>
      <c r="D1419" s="1236"/>
      <c r="E1419" s="1236"/>
      <c r="F1419" s="1344">
        <f>(1/S1419)*cnst_fish!$C$6</f>
        <v>6.4430402969999093E-2</v>
      </c>
      <c r="G1419" s="1344">
        <f t="shared" si="202"/>
        <v>1</v>
      </c>
      <c r="H1419" s="1344">
        <f t="shared" si="202"/>
        <v>0.367192066876738</v>
      </c>
      <c r="I1419" s="1344">
        <f t="shared" si="203"/>
        <v>0</v>
      </c>
      <c r="J1419" s="902">
        <f t="shared" si="204"/>
        <v>0</v>
      </c>
      <c r="L1419" s="1460">
        <v>111785</v>
      </c>
      <c r="M1419" s="1236"/>
      <c r="N1419" s="1240" t="s">
        <v>1806</v>
      </c>
      <c r="O1419" s="1241" t="s">
        <v>4841</v>
      </c>
      <c r="P1419" s="910">
        <f t="shared" si="205"/>
        <v>0</v>
      </c>
      <c r="Q1419" s="910">
        <f t="shared" si="206"/>
        <v>111785</v>
      </c>
      <c r="R1419" s="1344">
        <f t="shared" si="207"/>
        <v>3.67</v>
      </c>
      <c r="S1419" s="1344">
        <f>(1/9)*cnst_fish!$C$7*(1/cnst_fish!$C$8)^(R1419-1)</f>
        <v>65.962648130245896</v>
      </c>
      <c r="T1419" s="1362">
        <f t="shared" si="208"/>
        <v>637068.26752160443</v>
      </c>
      <c r="W1419" s="1612"/>
      <c r="X1419" s="1612"/>
      <c r="Y1419" s="1613"/>
      <c r="Z1419" s="1614"/>
      <c r="AA1419" s="1614"/>
      <c r="AB1419" s="1615"/>
      <c r="AC1419" s="1615"/>
      <c r="AD1419" s="583"/>
      <c r="AE1419" s="583"/>
    </row>
    <row r="1420" spans="1:31" ht="12.75" customHeight="1">
      <c r="A1420" s="1384" t="s">
        <v>2365</v>
      </c>
      <c r="B1420" s="19" t="s">
        <v>1130</v>
      </c>
      <c r="C1420" s="1383">
        <v>2880</v>
      </c>
      <c r="D1420" s="1236"/>
      <c r="E1420" s="1236">
        <v>0</v>
      </c>
      <c r="F1420" s="1344">
        <f>(1/S1420)*cnst_fish!$C$6</f>
        <v>0.30136363636363639</v>
      </c>
      <c r="G1420" s="1344">
        <f t="shared" si="202"/>
        <v>1</v>
      </c>
      <c r="H1420" s="1344">
        <f t="shared" si="202"/>
        <v>0.367192066876738</v>
      </c>
      <c r="I1420" s="1344">
        <f t="shared" si="203"/>
        <v>0</v>
      </c>
      <c r="J1420" s="902">
        <f t="shared" si="204"/>
        <v>0</v>
      </c>
      <c r="L1420" s="1460"/>
      <c r="M1420" s="1236">
        <v>0</v>
      </c>
      <c r="N1420" s="1240" t="s">
        <v>1806</v>
      </c>
      <c r="O1420" s="1241" t="s">
        <v>4845</v>
      </c>
      <c r="P1420" s="910">
        <f t="shared" si="205"/>
        <v>0</v>
      </c>
      <c r="Q1420" s="910">
        <f t="shared" si="206"/>
        <v>0</v>
      </c>
      <c r="R1420" s="1344">
        <f t="shared" si="207"/>
        <v>3</v>
      </c>
      <c r="S1420" s="1344">
        <f>(1/9)*cnst_fish!$C$7*(1/cnst_fish!$C$8)^(R1420-1)</f>
        <v>14.1025641025641</v>
      </c>
      <c r="T1420" s="1362">
        <f t="shared" si="208"/>
        <v>0</v>
      </c>
      <c r="W1420" s="1612"/>
      <c r="X1420" s="1612"/>
      <c r="Y1420" s="1613"/>
      <c r="Z1420" s="1614"/>
      <c r="AA1420" s="1614"/>
      <c r="AB1420" s="1615"/>
      <c r="AC1420" s="1615"/>
      <c r="AD1420" s="583"/>
      <c r="AE1420" s="583"/>
    </row>
    <row r="1421" spans="1:31" ht="12.75" customHeight="1">
      <c r="A1421" s="1384" t="s">
        <v>4229</v>
      </c>
      <c r="B1421" s="19" t="s">
        <v>2796</v>
      </c>
      <c r="C1421" s="1383">
        <v>3077</v>
      </c>
      <c r="D1421" s="1236">
        <v>103</v>
      </c>
      <c r="E1421" s="1236"/>
      <c r="F1421" s="1344">
        <f>(1/S1421)*cnst_fish!$C$6</f>
        <v>2.1831865524078106E-2</v>
      </c>
      <c r="G1421" s="1344">
        <f t="shared" si="202"/>
        <v>1</v>
      </c>
      <c r="H1421" s="1344">
        <f t="shared" si="202"/>
        <v>0.367192066876738</v>
      </c>
      <c r="I1421" s="1344">
        <f t="shared" si="203"/>
        <v>1732.3660612782687</v>
      </c>
      <c r="J1421" s="902">
        <f t="shared" si="204"/>
        <v>0</v>
      </c>
      <c r="L1421" s="1460">
        <v>652</v>
      </c>
      <c r="M1421" s="1236"/>
      <c r="N1421" s="1240" t="s">
        <v>1806</v>
      </c>
      <c r="O1421" s="1241" t="s">
        <v>4841</v>
      </c>
      <c r="P1421" s="910">
        <f t="shared" si="205"/>
        <v>103</v>
      </c>
      <c r="Q1421" s="910">
        <f t="shared" si="206"/>
        <v>652</v>
      </c>
      <c r="R1421" s="1344">
        <f t="shared" si="207"/>
        <v>4.1399999999999997</v>
      </c>
      <c r="S1421" s="1344">
        <f>(1/9)*cnst_fish!$C$7*(1/cnst_fish!$C$8)^(R1421-1)</f>
        <v>194.66957577732992</v>
      </c>
      <c r="T1421" s="1362">
        <f t="shared" si="208"/>
        <v>10966.045358771176</v>
      </c>
      <c r="W1421" s="1612"/>
      <c r="X1421" s="1612"/>
      <c r="Y1421" s="1613"/>
      <c r="Z1421" s="1614"/>
      <c r="AA1421" s="1614"/>
      <c r="AB1421" s="1615"/>
      <c r="AC1421" s="1615"/>
      <c r="AD1421" s="583"/>
      <c r="AE1421" s="583"/>
    </row>
    <row r="1422" spans="1:31" ht="12.75" customHeight="1">
      <c r="A1422" s="1384" t="s">
        <v>2407</v>
      </c>
      <c r="B1422" s="19" t="s">
        <v>2797</v>
      </c>
      <c r="C1422" s="1383">
        <v>3078</v>
      </c>
      <c r="D1422" s="1236"/>
      <c r="E1422" s="1236"/>
      <c r="F1422" s="1344">
        <f>(1/S1422)*cnst_fish!$C$6</f>
        <v>1.0692785320993655E-2</v>
      </c>
      <c r="G1422" s="1344">
        <f t="shared" si="202"/>
        <v>1</v>
      </c>
      <c r="H1422" s="1344">
        <f t="shared" si="202"/>
        <v>0.367192066876738</v>
      </c>
      <c r="I1422" s="1344">
        <f t="shared" si="203"/>
        <v>0</v>
      </c>
      <c r="J1422" s="902">
        <f t="shared" si="204"/>
        <v>0</v>
      </c>
      <c r="L1422" s="1460">
        <v>1482</v>
      </c>
      <c r="M1422" s="1236"/>
      <c r="N1422" s="1240" t="s">
        <v>1806</v>
      </c>
      <c r="O1422" s="1241" t="s">
        <v>4841</v>
      </c>
      <c r="P1422" s="910">
        <f t="shared" si="205"/>
        <v>0</v>
      </c>
      <c r="Q1422" s="910">
        <f t="shared" si="206"/>
        <v>1482</v>
      </c>
      <c r="R1422" s="1344">
        <f t="shared" si="207"/>
        <v>4.45</v>
      </c>
      <c r="S1422" s="1344">
        <f>(1/9)*cnst_fish!$C$7*(1/cnst_fish!$C$8)^(R1422-1)</f>
        <v>397.46425953729499</v>
      </c>
      <c r="T1422" s="1362">
        <f t="shared" si="208"/>
        <v>50892.132103588934</v>
      </c>
      <c r="W1422" s="1612"/>
      <c r="X1422" s="1612"/>
      <c r="Y1422" s="1613"/>
      <c r="Z1422" s="1614"/>
      <c r="AA1422" s="1614"/>
      <c r="AB1422" s="1615"/>
      <c r="AC1422" s="1615"/>
      <c r="AD1422" s="583"/>
      <c r="AE1422" s="583"/>
    </row>
    <row r="1423" spans="1:31" ht="12.75" customHeight="1">
      <c r="A1423" s="1384" t="s">
        <v>840</v>
      </c>
      <c r="B1423" s="19" t="s">
        <v>5386</v>
      </c>
      <c r="C1423" s="1383">
        <v>2426</v>
      </c>
      <c r="D1423" s="1236"/>
      <c r="E1423" s="1236"/>
      <c r="F1423" s="1344">
        <f>(1/S1423)*cnst_fish!$C$6</f>
        <v>0.47762917572805397</v>
      </c>
      <c r="G1423" s="1344">
        <f t="shared" si="202"/>
        <v>1</v>
      </c>
      <c r="H1423" s="1344">
        <f t="shared" si="202"/>
        <v>0.367192066876738</v>
      </c>
      <c r="I1423" s="1344">
        <f t="shared" si="203"/>
        <v>0</v>
      </c>
      <c r="J1423" s="902">
        <f t="shared" si="204"/>
        <v>0</v>
      </c>
      <c r="L1423" s="1460">
        <v>2</v>
      </c>
      <c r="M1423" s="1236"/>
      <c r="N1423" s="1240" t="s">
        <v>1806</v>
      </c>
      <c r="O1423" s="1241" t="s">
        <v>4841</v>
      </c>
      <c r="P1423" s="910">
        <f t="shared" si="205"/>
        <v>0</v>
      </c>
      <c r="Q1423" s="910">
        <f t="shared" si="206"/>
        <v>2</v>
      </c>
      <c r="R1423" s="1344">
        <f t="shared" si="207"/>
        <v>2.8</v>
      </c>
      <c r="S1423" s="1344">
        <f>(1/9)*cnst_fish!$C$7*(1/cnst_fish!$C$8)^(R1423-1)</f>
        <v>8.8981163965155421</v>
      </c>
      <c r="T1423" s="1362">
        <f t="shared" si="208"/>
        <v>1.5375612945629806</v>
      </c>
      <c r="W1423" s="1612"/>
      <c r="X1423" s="1612"/>
      <c r="Y1423" s="1613"/>
      <c r="Z1423" s="1614"/>
      <c r="AA1423" s="1614"/>
      <c r="AB1423" s="1615"/>
      <c r="AC1423" s="1615"/>
      <c r="AD1423" s="583"/>
      <c r="AE1423" s="583"/>
    </row>
    <row r="1424" spans="1:31" ht="12.75" customHeight="1">
      <c r="A1424" s="1384" t="s">
        <v>4781</v>
      </c>
      <c r="B1424" s="19" t="s">
        <v>99</v>
      </c>
      <c r="C1424" s="1383">
        <v>18974</v>
      </c>
      <c r="D1424" s="1236"/>
      <c r="E1424" s="1236"/>
      <c r="F1424" s="1344">
        <f>(1/S1424)*cnst_fish!$C$6</f>
        <v>0.64430402969999101</v>
      </c>
      <c r="G1424" s="1344">
        <f t="shared" si="202"/>
        <v>1</v>
      </c>
      <c r="H1424" s="1344">
        <f t="shared" si="202"/>
        <v>0.367192066876738</v>
      </c>
      <c r="I1424" s="1344">
        <f t="shared" si="203"/>
        <v>0</v>
      </c>
      <c r="J1424" s="902">
        <f t="shared" si="204"/>
        <v>0</v>
      </c>
      <c r="L1424" s="1460">
        <v>381</v>
      </c>
      <c r="M1424" s="1236"/>
      <c r="N1424" s="1240" t="s">
        <v>1806</v>
      </c>
      <c r="O1424" s="1241" t="s">
        <v>4841</v>
      </c>
      <c r="P1424" s="910">
        <f t="shared" si="205"/>
        <v>0</v>
      </c>
      <c r="Q1424" s="910">
        <f t="shared" si="206"/>
        <v>381</v>
      </c>
      <c r="R1424" s="1344">
        <f t="shared" si="207"/>
        <v>2.67</v>
      </c>
      <c r="S1424" s="1344">
        <f>(1/9)*cnst_fish!$C$7*(1/cnst_fish!$C$8)^(R1424-1)</f>
        <v>6.5962648130245887</v>
      </c>
      <c r="T1424" s="1362">
        <f t="shared" si="208"/>
        <v>217.13379248175627</v>
      </c>
      <c r="W1424" s="1612"/>
      <c r="X1424" s="1612"/>
      <c r="Y1424" s="1613"/>
      <c r="Z1424" s="1614"/>
      <c r="AA1424" s="1614"/>
      <c r="AB1424" s="1615"/>
      <c r="AC1424" s="1615"/>
      <c r="AD1424" s="583"/>
      <c r="AE1424" s="583"/>
    </row>
    <row r="1425" spans="1:31" ht="12.75" customHeight="1">
      <c r="A1425" s="1384" t="s">
        <v>1772</v>
      </c>
      <c r="B1425" s="19" t="s">
        <v>100</v>
      </c>
      <c r="C1425" s="1383">
        <v>2340</v>
      </c>
      <c r="D1425" s="1236"/>
      <c r="E1425" s="1236"/>
      <c r="F1425" s="1344">
        <f>(1/S1425)*cnst_fish!$C$6</f>
        <v>0.11457525898206007</v>
      </c>
      <c r="G1425" s="1344">
        <f t="shared" si="202"/>
        <v>1</v>
      </c>
      <c r="H1425" s="1344">
        <f t="shared" si="202"/>
        <v>0.367192066876738</v>
      </c>
      <c r="I1425" s="1344">
        <f t="shared" si="203"/>
        <v>0</v>
      </c>
      <c r="J1425" s="902">
        <f t="shared" si="204"/>
        <v>0</v>
      </c>
      <c r="L1425" s="1460">
        <v>3131</v>
      </c>
      <c r="M1425" s="1236"/>
      <c r="N1425" s="1240" t="s">
        <v>1806</v>
      </c>
      <c r="O1425" s="1241" t="s">
        <v>4841</v>
      </c>
      <c r="P1425" s="910">
        <f t="shared" si="205"/>
        <v>0</v>
      </c>
      <c r="Q1425" s="910">
        <f t="shared" si="206"/>
        <v>3131</v>
      </c>
      <c r="R1425" s="1344">
        <f t="shared" si="207"/>
        <v>3.42</v>
      </c>
      <c r="S1425" s="1344">
        <f>(1/9)*cnst_fish!$C$7*(1/cnst_fish!$C$8)^(R1425-1)</f>
        <v>37.093522962627169</v>
      </c>
      <c r="T1425" s="1362">
        <f t="shared" si="208"/>
        <v>10034.263693622377</v>
      </c>
      <c r="W1425" s="1612"/>
      <c r="X1425" s="1612"/>
      <c r="Y1425" s="1613"/>
      <c r="Z1425" s="1614"/>
      <c r="AA1425" s="1614"/>
      <c r="AB1425" s="1615"/>
      <c r="AC1425" s="1615"/>
      <c r="AD1425" s="583"/>
      <c r="AE1425" s="583"/>
    </row>
    <row r="1426" spans="1:31" ht="12.75" customHeight="1">
      <c r="A1426" s="1384" t="s">
        <v>3483</v>
      </c>
      <c r="B1426" s="19" t="s">
        <v>1857</v>
      </c>
      <c r="C1426" s="1383">
        <v>3146</v>
      </c>
      <c r="D1426" s="1236"/>
      <c r="E1426" s="1236"/>
      <c r="F1426" s="1344">
        <f>(1/S1426)*cnst_fish!$C$6</f>
        <v>4.7762917572805388E-2</v>
      </c>
      <c r="G1426" s="1344">
        <f t="shared" si="202"/>
        <v>1</v>
      </c>
      <c r="H1426" s="1344">
        <f t="shared" si="202"/>
        <v>0.367192066876738</v>
      </c>
      <c r="I1426" s="1344">
        <f t="shared" si="203"/>
        <v>0</v>
      </c>
      <c r="J1426" s="902">
        <f t="shared" si="204"/>
        <v>0</v>
      </c>
      <c r="L1426" s="1460">
        <v>103</v>
      </c>
      <c r="M1426" s="1236"/>
      <c r="N1426" s="1240" t="s">
        <v>1806</v>
      </c>
      <c r="O1426" s="1241" t="s">
        <v>4841</v>
      </c>
      <c r="P1426" s="910">
        <f t="shared" si="205"/>
        <v>0</v>
      </c>
      <c r="Q1426" s="910">
        <f t="shared" si="206"/>
        <v>103</v>
      </c>
      <c r="R1426" s="1344">
        <f t="shared" si="207"/>
        <v>3.8</v>
      </c>
      <c r="S1426" s="1344">
        <f>(1/9)*cnst_fish!$C$7*(1/cnst_fish!$C$8)^(R1426-1)</f>
        <v>88.981163965155432</v>
      </c>
      <c r="T1426" s="1362">
        <f t="shared" si="208"/>
        <v>791.84406669993518</v>
      </c>
      <c r="W1426" s="1612"/>
      <c r="X1426" s="1612"/>
      <c r="Y1426" s="1613"/>
      <c r="Z1426" s="1614"/>
      <c r="AA1426" s="1614"/>
      <c r="AB1426" s="1615"/>
      <c r="AC1426" s="1615"/>
      <c r="AD1426" s="583"/>
      <c r="AE1426" s="583"/>
    </row>
    <row r="1427" spans="1:31" ht="12.75" customHeight="1">
      <c r="A1427" s="1384" t="s">
        <v>4642</v>
      </c>
      <c r="B1427" s="19" t="s">
        <v>1858</v>
      </c>
      <c r="C1427" s="1383">
        <v>2341</v>
      </c>
      <c r="D1427" s="1236"/>
      <c r="E1427" s="1236"/>
      <c r="F1427" s="1344">
        <f>(1/S1427)*cnst_fish!$C$6</f>
        <v>0.1409583630333692</v>
      </c>
      <c r="G1427" s="1344">
        <f t="shared" si="202"/>
        <v>1</v>
      </c>
      <c r="H1427" s="1344">
        <f t="shared" si="202"/>
        <v>0.367192066876738</v>
      </c>
      <c r="I1427" s="1344">
        <f t="shared" si="203"/>
        <v>0</v>
      </c>
      <c r="J1427" s="902">
        <f t="shared" si="204"/>
        <v>0</v>
      </c>
      <c r="L1427" s="1460">
        <v>7264</v>
      </c>
      <c r="M1427" s="1236"/>
      <c r="N1427" s="1240" t="s">
        <v>1806</v>
      </c>
      <c r="O1427" s="1241" t="s">
        <v>4841</v>
      </c>
      <c r="P1427" s="910">
        <f t="shared" si="205"/>
        <v>0</v>
      </c>
      <c r="Q1427" s="910">
        <f t="shared" si="206"/>
        <v>7264</v>
      </c>
      <c r="R1427" s="1344">
        <f t="shared" si="207"/>
        <v>3.33</v>
      </c>
      <c r="S1427" s="1344">
        <f>(1/9)*cnst_fish!$C$7*(1/cnst_fish!$C$8)^(R1427-1)</f>
        <v>30.15074741605714</v>
      </c>
      <c r="T1427" s="1362">
        <f t="shared" si="208"/>
        <v>18922.489708263685</v>
      </c>
      <c r="W1427" s="1612"/>
      <c r="X1427" s="1612"/>
      <c r="Y1427" s="1613"/>
      <c r="Z1427" s="1614"/>
      <c r="AA1427" s="1614"/>
      <c r="AB1427" s="1615"/>
      <c r="AC1427" s="1615"/>
      <c r="AD1427" s="583"/>
      <c r="AE1427" s="583"/>
    </row>
    <row r="1428" spans="1:31" ht="12.75" customHeight="1">
      <c r="A1428" s="1384" t="s">
        <v>4730</v>
      </c>
      <c r="B1428" s="19" t="s">
        <v>1859</v>
      </c>
      <c r="C1428" s="1383">
        <v>18668</v>
      </c>
      <c r="D1428" s="1236"/>
      <c r="E1428" s="1236"/>
      <c r="F1428" s="1344">
        <f>(1/S1428)*cnst_fish!$C$6</f>
        <v>0.10449387811364928</v>
      </c>
      <c r="G1428" s="1344">
        <f t="shared" ref="G1428:H1447" si="209">G$7</f>
        <v>1</v>
      </c>
      <c r="H1428" s="1344">
        <f t="shared" si="209"/>
        <v>0.367192066876738</v>
      </c>
      <c r="I1428" s="1344">
        <f t="shared" si="203"/>
        <v>0</v>
      </c>
      <c r="J1428" s="902">
        <f t="shared" si="204"/>
        <v>0</v>
      </c>
      <c r="L1428" s="1460">
        <v>5595</v>
      </c>
      <c r="M1428" s="1236"/>
      <c r="N1428" s="1240" t="s">
        <v>1806</v>
      </c>
      <c r="O1428" s="1241" t="s">
        <v>4841</v>
      </c>
      <c r="P1428" s="910">
        <f t="shared" si="205"/>
        <v>0</v>
      </c>
      <c r="Q1428" s="910">
        <f t="shared" si="206"/>
        <v>5595</v>
      </c>
      <c r="R1428" s="1344">
        <f t="shared" si="207"/>
        <v>3.46</v>
      </c>
      <c r="S1428" s="1344">
        <f>(1/9)*cnst_fish!$C$7*(1/cnst_fish!$C$8)^(R1428-1)</f>
        <v>40.672239146657276</v>
      </c>
      <c r="T1428" s="1362">
        <f t="shared" si="208"/>
        <v>19660.861011789671</v>
      </c>
      <c r="W1428" s="1612"/>
      <c r="X1428" s="1612"/>
      <c r="Y1428" s="1613"/>
      <c r="Z1428" s="1614"/>
      <c r="AA1428" s="1614"/>
      <c r="AB1428" s="1615"/>
      <c r="AC1428" s="1615"/>
      <c r="AD1428" s="583"/>
      <c r="AE1428" s="583"/>
    </row>
    <row r="1429" spans="1:31" ht="12.75" customHeight="1">
      <c r="A1429" s="1585" t="s">
        <v>8569</v>
      </c>
      <c r="B1429" s="1586" t="s">
        <v>8570</v>
      </c>
      <c r="C1429" s="1383">
        <v>14512</v>
      </c>
      <c r="D1429" s="1236"/>
      <c r="E1429" s="1236"/>
      <c r="F1429" s="1344">
        <f>(1/S1429)*cnst_fish!$C$6</f>
        <v>0.15103960722494611</v>
      </c>
      <c r="G1429" s="1344">
        <f t="shared" si="209"/>
        <v>1</v>
      </c>
      <c r="H1429" s="1344">
        <f t="shared" si="209"/>
        <v>0.367192066876738</v>
      </c>
      <c r="I1429" s="1344">
        <f t="shared" si="203"/>
        <v>0</v>
      </c>
      <c r="J1429" s="902">
        <f t="shared" si="204"/>
        <v>0</v>
      </c>
      <c r="L1429" s="1460">
        <v>28</v>
      </c>
      <c r="M1429" s="1236"/>
      <c r="N1429" s="1240" t="s">
        <v>1806</v>
      </c>
      <c r="O1429" s="1241" t="s">
        <v>4841</v>
      </c>
      <c r="P1429" s="910">
        <f t="shared" si="205"/>
        <v>0</v>
      </c>
      <c r="Q1429" s="910">
        <f t="shared" si="206"/>
        <v>28</v>
      </c>
      <c r="R1429" s="1344">
        <f t="shared" si="207"/>
        <v>3.3</v>
      </c>
      <c r="S1429" s="1344">
        <f>(1/9)*cnst_fish!$C$7*(1/cnst_fish!$C$8)^(R1429-1)</f>
        <v>28.138314698279075</v>
      </c>
      <c r="T1429" s="1362">
        <f t="shared" si="208"/>
        <v>68.070740261105257</v>
      </c>
      <c r="W1429" s="1616"/>
      <c r="X1429" s="1616"/>
      <c r="Y1429" s="1613"/>
      <c r="Z1429" s="1614"/>
      <c r="AA1429" s="1614"/>
      <c r="AB1429" s="1615"/>
      <c r="AC1429" s="1615"/>
      <c r="AD1429" s="583"/>
      <c r="AE1429" s="583"/>
    </row>
    <row r="1430" spans="1:31" ht="12.75" customHeight="1">
      <c r="A1430" s="1384" t="s">
        <v>4324</v>
      </c>
      <c r="B1430" s="19" t="s">
        <v>1860</v>
      </c>
      <c r="C1430" s="1383">
        <v>14513</v>
      </c>
      <c r="D1430" s="1236"/>
      <c r="E1430" s="1236"/>
      <c r="F1430" s="1344">
        <f>(1/S1430)*cnst_fish!$C$6</f>
        <v>2.8780003842373291E-2</v>
      </c>
      <c r="G1430" s="1344">
        <f t="shared" si="209"/>
        <v>1</v>
      </c>
      <c r="H1430" s="1344">
        <f t="shared" si="209"/>
        <v>0.367192066876738</v>
      </c>
      <c r="I1430" s="1344">
        <f t="shared" si="203"/>
        <v>0</v>
      </c>
      <c r="J1430" s="902">
        <f t="shared" si="204"/>
        <v>0</v>
      </c>
      <c r="L1430" s="1460">
        <v>779</v>
      </c>
      <c r="M1430" s="1236"/>
      <c r="N1430" s="1240" t="s">
        <v>1806</v>
      </c>
      <c r="O1430" s="1241" t="s">
        <v>4841</v>
      </c>
      <c r="P1430" s="910">
        <f t="shared" si="205"/>
        <v>0</v>
      </c>
      <c r="Q1430" s="910">
        <f t="shared" si="206"/>
        <v>779</v>
      </c>
      <c r="R1430" s="1344">
        <f t="shared" si="207"/>
        <v>4.0199999999999996</v>
      </c>
      <c r="S1430" s="1344">
        <f>(1/9)*cnst_fish!$C$7*(1/cnst_fish!$C$8)^(R1430-1)</f>
        <v>147.67197472512677</v>
      </c>
      <c r="T1430" s="1362">
        <f t="shared" si="208"/>
        <v>9938.9361330047323</v>
      </c>
      <c r="W1430" s="1612"/>
      <c r="X1430" s="1612"/>
      <c r="Y1430" s="1613"/>
      <c r="Z1430" s="1614"/>
      <c r="AA1430" s="1614"/>
      <c r="AB1430" s="1615"/>
      <c r="AC1430" s="1615"/>
      <c r="AD1430" s="583"/>
      <c r="AE1430" s="583"/>
    </row>
    <row r="1431" spans="1:31" ht="12.75" customHeight="1">
      <c r="A1431" s="1384" t="s">
        <v>3987</v>
      </c>
      <c r="B1431" s="19" t="s">
        <v>5104</v>
      </c>
      <c r="C1431" s="1383">
        <v>3102</v>
      </c>
      <c r="D1431" s="1236">
        <v>2079</v>
      </c>
      <c r="E1431" s="1236"/>
      <c r="F1431" s="1344">
        <f>(1/S1431)*cnst_fish!$C$6</f>
        <v>9.5299549485983424E-3</v>
      </c>
      <c r="G1431" s="1344">
        <f t="shared" si="209"/>
        <v>1</v>
      </c>
      <c r="H1431" s="1344">
        <f t="shared" si="209"/>
        <v>0.367192066876738</v>
      </c>
      <c r="I1431" s="1344">
        <f t="shared" si="203"/>
        <v>80104.503237868645</v>
      </c>
      <c r="J1431" s="902">
        <f t="shared" si="204"/>
        <v>0</v>
      </c>
      <c r="L1431" s="1460">
        <v>13818</v>
      </c>
      <c r="M1431" s="1236"/>
      <c r="N1431" s="1240" t="s">
        <v>1806</v>
      </c>
      <c r="O1431" s="1241" t="s">
        <v>4859</v>
      </c>
      <c r="P1431" s="910">
        <f t="shared" si="205"/>
        <v>2079</v>
      </c>
      <c r="Q1431" s="910">
        <f t="shared" si="206"/>
        <v>13818</v>
      </c>
      <c r="R1431" s="1344">
        <f t="shared" si="207"/>
        <v>4.5</v>
      </c>
      <c r="S1431" s="1344">
        <f>(1/9)*cnst_fish!$C$7*(1/cnst_fish!$C$8)^(R1431-1)</f>
        <v>445.96223412630997</v>
      </c>
      <c r="T1431" s="1362">
        <f t="shared" si="208"/>
        <v>532411.74879310688</v>
      </c>
      <c r="W1431" s="1612"/>
      <c r="X1431" s="1612"/>
      <c r="Y1431" s="1613"/>
      <c r="Z1431" s="1614"/>
      <c r="AA1431" s="1614"/>
      <c r="AB1431" s="1615"/>
      <c r="AC1431" s="1615"/>
      <c r="AD1431" s="583"/>
      <c r="AE1431" s="583"/>
    </row>
    <row r="1432" spans="1:31" ht="12.75" customHeight="1">
      <c r="A1432" s="1384" t="s">
        <v>6546</v>
      </c>
      <c r="B1432" s="19" t="s">
        <v>6545</v>
      </c>
      <c r="C1432" s="1383">
        <v>6513</v>
      </c>
      <c r="D1432" s="1236"/>
      <c r="E1432" s="1236"/>
      <c r="F1432" s="1344">
        <f>(1/S1432)*cnst_fish!$C$6</f>
        <v>0.15103960722494611</v>
      </c>
      <c r="G1432" s="1344">
        <f t="shared" si="209"/>
        <v>1</v>
      </c>
      <c r="H1432" s="1344">
        <f t="shared" si="209"/>
        <v>0.367192066876738</v>
      </c>
      <c r="I1432" s="1344">
        <f t="shared" si="203"/>
        <v>0</v>
      </c>
      <c r="J1432" s="902">
        <f t="shared" si="204"/>
        <v>0</v>
      </c>
      <c r="L1432" s="1460"/>
      <c r="M1432" s="1236"/>
      <c r="N1432" s="1240" t="s">
        <v>1806</v>
      </c>
      <c r="O1432" s="1241" t="s">
        <v>4841</v>
      </c>
      <c r="P1432" s="910">
        <f t="shared" si="205"/>
        <v>0</v>
      </c>
      <c r="Q1432" s="910">
        <f t="shared" si="206"/>
        <v>0</v>
      </c>
      <c r="R1432" s="1344">
        <f t="shared" si="207"/>
        <v>3.3</v>
      </c>
      <c r="S1432" s="1344">
        <f>(1/9)*cnst_fish!$C$7*(1/cnst_fish!$C$8)^(R1432-1)</f>
        <v>28.138314698279075</v>
      </c>
      <c r="T1432" s="1362">
        <f t="shared" si="208"/>
        <v>0</v>
      </c>
      <c r="W1432" s="1612"/>
      <c r="X1432" s="1612"/>
      <c r="Y1432" s="1613"/>
      <c r="Z1432" s="1614"/>
      <c r="AA1432" s="1614"/>
      <c r="AB1432" s="1615"/>
      <c r="AC1432" s="1615"/>
      <c r="AD1432" s="583"/>
      <c r="AE1432" s="583"/>
    </row>
    <row r="1433" spans="1:31" ht="12.75" customHeight="1">
      <c r="A1433" s="1384" t="s">
        <v>2069</v>
      </c>
      <c r="B1433" s="19" t="s">
        <v>2070</v>
      </c>
      <c r="C1433" s="1383">
        <v>3333</v>
      </c>
      <c r="D1433" s="1236"/>
      <c r="E1433" s="1236"/>
      <c r="F1433" s="1344">
        <f>(1/S1433)*cnst_fish!$C$6</f>
        <v>2.6859062362848789E-2</v>
      </c>
      <c r="G1433" s="1344">
        <f t="shared" si="209"/>
        <v>1</v>
      </c>
      <c r="H1433" s="1344">
        <f t="shared" si="209"/>
        <v>0.367192066876738</v>
      </c>
      <c r="I1433" s="1344">
        <f t="shared" si="203"/>
        <v>0</v>
      </c>
      <c r="J1433" s="902">
        <f t="shared" si="204"/>
        <v>0</v>
      </c>
      <c r="L1433" s="1460">
        <v>67</v>
      </c>
      <c r="M1433" s="1236"/>
      <c r="N1433" s="1240" t="s">
        <v>1806</v>
      </c>
      <c r="O1433" s="1241" t="s">
        <v>4841</v>
      </c>
      <c r="P1433" s="910">
        <f t="shared" si="205"/>
        <v>0</v>
      </c>
      <c r="Q1433" s="910">
        <f t="shared" si="206"/>
        <v>67</v>
      </c>
      <c r="R1433" s="1344">
        <f t="shared" si="207"/>
        <v>4.05</v>
      </c>
      <c r="S1433" s="1344">
        <f>(1/9)*cnst_fish!$C$7*(1/cnst_fish!$C$8)^(R1433-1)</f>
        <v>158.23337176053329</v>
      </c>
      <c r="T1433" s="1362">
        <f t="shared" si="208"/>
        <v>915.96155325103712</v>
      </c>
      <c r="W1433" s="1612"/>
      <c r="X1433" s="1612"/>
      <c r="Y1433" s="1613"/>
      <c r="Z1433" s="1614"/>
      <c r="AA1433" s="1614"/>
      <c r="AB1433" s="1615"/>
      <c r="AC1433" s="1615"/>
      <c r="AD1433" s="583"/>
      <c r="AE1433" s="583"/>
    </row>
    <row r="1434" spans="1:31" ht="12.75" customHeight="1">
      <c r="A1434" s="1384" t="s">
        <v>1450</v>
      </c>
      <c r="B1434" s="19" t="s">
        <v>2881</v>
      </c>
      <c r="C1434" s="1383">
        <v>3638</v>
      </c>
      <c r="D1434" s="1236"/>
      <c r="E1434" s="1236"/>
      <c r="F1434" s="1344">
        <f>(1/S1434)*cnst_fish!$C$6</f>
        <v>30.136363636363644</v>
      </c>
      <c r="G1434" s="1344">
        <f t="shared" si="209"/>
        <v>1</v>
      </c>
      <c r="H1434" s="1344">
        <f t="shared" si="209"/>
        <v>0.367192066876738</v>
      </c>
      <c r="I1434" s="1344">
        <f t="shared" si="203"/>
        <v>0</v>
      </c>
      <c r="J1434" s="902">
        <f t="shared" si="204"/>
        <v>0</v>
      </c>
      <c r="L1434" s="1460">
        <v>90</v>
      </c>
      <c r="M1434" s="1236"/>
      <c r="N1434" s="1240" t="s">
        <v>1808</v>
      </c>
      <c r="O1434" s="1241" t="s">
        <v>4831</v>
      </c>
      <c r="P1434" s="910">
        <f t="shared" si="205"/>
        <v>0</v>
      </c>
      <c r="Q1434" s="910">
        <f t="shared" si="206"/>
        <v>90</v>
      </c>
      <c r="R1434" s="1344">
        <f t="shared" si="207"/>
        <v>1</v>
      </c>
      <c r="S1434" s="1344">
        <f>(1/9)*cnst_fish!$C$7*(1/cnst_fish!$C$8)^(R1434-1)</f>
        <v>0.141025641025641</v>
      </c>
      <c r="T1434" s="1362">
        <f t="shared" si="208"/>
        <v>1.0965916929350543</v>
      </c>
      <c r="W1434" s="1612"/>
      <c r="X1434" s="1612"/>
      <c r="Y1434" s="1613"/>
      <c r="Z1434" s="1614"/>
      <c r="AA1434" s="1614"/>
      <c r="AB1434" s="1615"/>
      <c r="AC1434" s="1615"/>
      <c r="AD1434" s="583"/>
      <c r="AE1434" s="583"/>
    </row>
    <row r="1435" spans="1:31" ht="12.75" customHeight="1">
      <c r="A1435" s="1384" t="s">
        <v>5329</v>
      </c>
      <c r="B1435" s="19" t="s">
        <v>1795</v>
      </c>
      <c r="C1435" s="1383">
        <v>2790</v>
      </c>
      <c r="D1435" s="1236"/>
      <c r="E1435" s="1236"/>
      <c r="F1435" s="1344">
        <f>(1/S1435)*cnst_fish!$C$6</f>
        <v>30.136363636363644</v>
      </c>
      <c r="G1435" s="1344">
        <f t="shared" si="209"/>
        <v>1</v>
      </c>
      <c r="H1435" s="1344">
        <f t="shared" si="209"/>
        <v>0.367192066876738</v>
      </c>
      <c r="I1435" s="1344">
        <f t="shared" si="203"/>
        <v>0</v>
      </c>
      <c r="J1435" s="902">
        <f t="shared" si="204"/>
        <v>0</v>
      </c>
      <c r="L1435" s="1460">
        <v>39</v>
      </c>
      <c r="M1435" s="1236"/>
      <c r="N1435" s="1240" t="s">
        <v>1808</v>
      </c>
      <c r="O1435" s="1241" t="s">
        <v>4831</v>
      </c>
      <c r="P1435" s="910">
        <f t="shared" si="205"/>
        <v>0</v>
      </c>
      <c r="Q1435" s="910">
        <f t="shared" si="206"/>
        <v>39</v>
      </c>
      <c r="R1435" s="1344">
        <f t="shared" si="207"/>
        <v>1</v>
      </c>
      <c r="S1435" s="1344">
        <f>(1/9)*cnst_fish!$C$7*(1/cnst_fish!$C$8)^(R1435-1)</f>
        <v>0.141025641025641</v>
      </c>
      <c r="T1435" s="1362">
        <f t="shared" si="208"/>
        <v>0.47518973360519023</v>
      </c>
      <c r="W1435" s="1612"/>
      <c r="X1435" s="1612"/>
      <c r="Y1435" s="1613"/>
      <c r="Z1435" s="1614"/>
      <c r="AA1435" s="1614"/>
      <c r="AB1435" s="1615"/>
      <c r="AC1435" s="1615"/>
      <c r="AD1435" s="583"/>
      <c r="AE1435" s="583"/>
    </row>
    <row r="1436" spans="1:31" ht="12.75" customHeight="1">
      <c r="A1436" s="1384" t="s">
        <v>24</v>
      </c>
      <c r="B1436" s="19" t="s">
        <v>175</v>
      </c>
      <c r="C1436" s="1383">
        <v>2629</v>
      </c>
      <c r="D1436" s="1236"/>
      <c r="E1436" s="1236"/>
      <c r="F1436" s="1344">
        <f>(1/S1436)*cnst_fish!$C$6</f>
        <v>0.30136363636363639</v>
      </c>
      <c r="G1436" s="1344">
        <f t="shared" si="209"/>
        <v>1</v>
      </c>
      <c r="H1436" s="1344">
        <f t="shared" si="209"/>
        <v>0.367192066876738</v>
      </c>
      <c r="I1436" s="1344">
        <f t="shared" si="203"/>
        <v>0</v>
      </c>
      <c r="J1436" s="902">
        <f t="shared" si="204"/>
        <v>0</v>
      </c>
      <c r="L1436" s="1460">
        <v>201100</v>
      </c>
      <c r="M1436" s="1236">
        <v>210</v>
      </c>
      <c r="N1436" s="1240" t="s">
        <v>2430</v>
      </c>
      <c r="O1436" s="1241" t="s">
        <v>4840</v>
      </c>
      <c r="P1436" s="910">
        <f t="shared" si="205"/>
        <v>0</v>
      </c>
      <c r="Q1436" s="910">
        <f t="shared" si="206"/>
        <v>201310</v>
      </c>
      <c r="R1436" s="1344">
        <f t="shared" si="207"/>
        <v>3</v>
      </c>
      <c r="S1436" s="1344">
        <f>(1/9)*cnst_fish!$C$7*(1/cnst_fish!$C$8)^(R1436-1)</f>
        <v>14.1025641025641</v>
      </c>
      <c r="T1436" s="1362">
        <f t="shared" si="208"/>
        <v>245283.19300528427</v>
      </c>
      <c r="W1436" s="1612"/>
      <c r="X1436" s="1612"/>
      <c r="Y1436" s="1613"/>
      <c r="Z1436" s="1614"/>
      <c r="AA1436" s="1614"/>
      <c r="AB1436" s="1615"/>
      <c r="AC1436" s="1615"/>
      <c r="AD1436" s="583"/>
      <c r="AE1436" s="583"/>
    </row>
    <row r="1437" spans="1:31" ht="12.75" customHeight="1">
      <c r="A1437" s="1384" t="s">
        <v>3057</v>
      </c>
      <c r="B1437" s="19" t="s">
        <v>176</v>
      </c>
      <c r="C1437" s="1383">
        <v>3465</v>
      </c>
      <c r="D1437" s="1236"/>
      <c r="E1437" s="1236"/>
      <c r="F1437" s="1344">
        <f>(1/S1437)*cnst_fish!$C$6</f>
        <v>0.95299549485983426</v>
      </c>
      <c r="G1437" s="1344">
        <f t="shared" si="209"/>
        <v>1</v>
      </c>
      <c r="H1437" s="1344">
        <f t="shared" si="209"/>
        <v>0.367192066876738</v>
      </c>
      <c r="I1437" s="1344">
        <f t="shared" si="203"/>
        <v>0</v>
      </c>
      <c r="J1437" s="902">
        <f t="shared" si="204"/>
        <v>0</v>
      </c>
      <c r="L1437" s="1460">
        <v>1916</v>
      </c>
      <c r="M1437" s="1236"/>
      <c r="N1437" s="1240" t="s">
        <v>2430</v>
      </c>
      <c r="O1437" s="1241" t="s">
        <v>4840</v>
      </c>
      <c r="P1437" s="910">
        <f t="shared" si="205"/>
        <v>0</v>
      </c>
      <c r="Q1437" s="910">
        <f t="shared" si="206"/>
        <v>1916</v>
      </c>
      <c r="R1437" s="1344">
        <f t="shared" si="207"/>
        <v>2.5</v>
      </c>
      <c r="S1437" s="1344">
        <f>(1/9)*cnst_fish!$C$7*(1/cnst_fish!$C$8)^(R1437-1)</f>
        <v>4.4596223412630991</v>
      </c>
      <c r="T1437" s="1362">
        <f t="shared" si="208"/>
        <v>738.24063590070386</v>
      </c>
      <c r="W1437" s="1612"/>
      <c r="X1437" s="1612"/>
      <c r="Y1437" s="1613"/>
      <c r="Z1437" s="1614"/>
      <c r="AA1437" s="1614"/>
      <c r="AB1437" s="1615"/>
      <c r="AC1437" s="1615"/>
      <c r="AD1437" s="583"/>
      <c r="AE1437" s="583"/>
    </row>
    <row r="1438" spans="1:31" ht="12.75" customHeight="1">
      <c r="A1438" s="1384" t="s">
        <v>1071</v>
      </c>
      <c r="B1438" s="19" t="s">
        <v>177</v>
      </c>
      <c r="C1438" s="1383">
        <v>2630</v>
      </c>
      <c r="D1438" s="1236"/>
      <c r="E1438" s="1236"/>
      <c r="F1438" s="1344">
        <f>(1/S1438)*cnst_fish!$C$6</f>
        <v>0.75699122913220485</v>
      </c>
      <c r="G1438" s="1344">
        <f t="shared" si="209"/>
        <v>1</v>
      </c>
      <c r="H1438" s="1344">
        <f t="shared" si="209"/>
        <v>0.367192066876738</v>
      </c>
      <c r="I1438" s="1344">
        <f t="shared" si="203"/>
        <v>0</v>
      </c>
      <c r="J1438" s="902">
        <f t="shared" si="204"/>
        <v>0</v>
      </c>
      <c r="L1438" s="1460">
        <v>503868</v>
      </c>
      <c r="M1438" s="1236"/>
      <c r="N1438" s="1240" t="s">
        <v>2430</v>
      </c>
      <c r="O1438" s="1241" t="s">
        <v>4840</v>
      </c>
      <c r="P1438" s="910">
        <f t="shared" si="205"/>
        <v>0</v>
      </c>
      <c r="Q1438" s="910">
        <f t="shared" si="206"/>
        <v>503868</v>
      </c>
      <c r="R1438" s="1344">
        <f t="shared" si="207"/>
        <v>2.6</v>
      </c>
      <c r="S1438" s="1344">
        <f>(1/9)*cnst_fish!$C$7*(1/cnst_fish!$C$8)^(R1438-1)</f>
        <v>5.6143318924211183</v>
      </c>
      <c r="T1438" s="1362">
        <f t="shared" si="208"/>
        <v>244410.1400820009</v>
      </c>
      <c r="W1438" s="1612"/>
      <c r="X1438" s="1612"/>
      <c r="Y1438" s="1613"/>
      <c r="Z1438" s="1614"/>
      <c r="AA1438" s="1614"/>
      <c r="AB1438" s="1615"/>
      <c r="AC1438" s="1615"/>
      <c r="AD1438" s="583"/>
      <c r="AE1438" s="583"/>
    </row>
    <row r="1439" spans="1:31" ht="12.75" customHeight="1">
      <c r="A1439" s="1585" t="s">
        <v>8571</v>
      </c>
      <c r="B1439" s="1586" t="s">
        <v>8572</v>
      </c>
      <c r="C1439" s="1383">
        <v>6791</v>
      </c>
      <c r="D1439" s="1236"/>
      <c r="E1439" s="1236"/>
      <c r="F1439" s="1344">
        <f>(1/S1439)*cnst_fish!$C$6</f>
        <v>0.19014759972289441</v>
      </c>
      <c r="G1439" s="1344">
        <f t="shared" si="209"/>
        <v>1</v>
      </c>
      <c r="H1439" s="1344">
        <f t="shared" si="209"/>
        <v>0.367192066876738</v>
      </c>
      <c r="I1439" s="1344">
        <f t="shared" si="203"/>
        <v>0</v>
      </c>
      <c r="J1439" s="902">
        <f t="shared" si="204"/>
        <v>0</v>
      </c>
      <c r="L1439" s="1460"/>
      <c r="M1439" s="1236">
        <v>755</v>
      </c>
      <c r="N1439" s="1240" t="s">
        <v>1806</v>
      </c>
      <c r="O1439" s="1241" t="s">
        <v>4841</v>
      </c>
      <c r="P1439" s="910">
        <f t="shared" si="205"/>
        <v>0</v>
      </c>
      <c r="Q1439" s="910">
        <f t="shared" si="206"/>
        <v>755</v>
      </c>
      <c r="R1439" s="1344">
        <f t="shared" si="207"/>
        <v>3.2</v>
      </c>
      <c r="S1439" s="1344">
        <f>(1/9)*cnst_fish!$C$7*(1/cnst_fish!$C$8)^(R1439-1)</f>
        <v>22.351057842400341</v>
      </c>
      <c r="T1439" s="1362">
        <f t="shared" si="208"/>
        <v>1457.9727059187157</v>
      </c>
      <c r="W1439" s="1616"/>
      <c r="X1439" s="1616"/>
      <c r="Y1439" s="1613"/>
      <c r="Z1439" s="1614"/>
      <c r="AA1439" s="1614"/>
      <c r="AB1439" s="1615"/>
      <c r="AC1439" s="1615"/>
      <c r="AD1439" s="583"/>
      <c r="AE1439" s="583"/>
    </row>
    <row r="1440" spans="1:31" ht="12.75" customHeight="1">
      <c r="A1440" s="1384" t="s">
        <v>4720</v>
      </c>
      <c r="B1440" s="19" t="s">
        <v>4797</v>
      </c>
      <c r="C1440" s="1383">
        <v>3091</v>
      </c>
      <c r="D1440" s="1236"/>
      <c r="E1440" s="1236"/>
      <c r="F1440" s="1344">
        <f>(1/S1440)*cnst_fish!$C$6</f>
        <v>2.3393265378400998E-2</v>
      </c>
      <c r="G1440" s="1344">
        <f t="shared" si="209"/>
        <v>1</v>
      </c>
      <c r="H1440" s="1344">
        <f t="shared" si="209"/>
        <v>0.367192066876738</v>
      </c>
      <c r="I1440" s="1344">
        <f t="shared" si="203"/>
        <v>0</v>
      </c>
      <c r="J1440" s="902">
        <f t="shared" si="204"/>
        <v>0</v>
      </c>
      <c r="L1440" s="1460">
        <v>2441</v>
      </c>
      <c r="M1440" s="1236"/>
      <c r="N1440" s="1240" t="s">
        <v>1806</v>
      </c>
      <c r="O1440" s="1241" t="s">
        <v>4841</v>
      </c>
      <c r="P1440" s="910">
        <f t="shared" si="205"/>
        <v>0</v>
      </c>
      <c r="Q1440" s="910">
        <f t="shared" si="206"/>
        <v>2441</v>
      </c>
      <c r="R1440" s="1344">
        <f t="shared" si="207"/>
        <v>4.1100000000000003</v>
      </c>
      <c r="S1440" s="1344">
        <f>(1/9)*cnst_fish!$C$7*(1/cnst_fish!$C$8)^(R1440-1)</f>
        <v>181.67621882851913</v>
      </c>
      <c r="T1440" s="1362">
        <f t="shared" si="208"/>
        <v>38315.122782033068</v>
      </c>
      <c r="W1440" s="1612"/>
      <c r="X1440" s="1612"/>
      <c r="Y1440" s="1613"/>
      <c r="Z1440" s="1614"/>
      <c r="AA1440" s="1614"/>
      <c r="AB1440" s="1615"/>
      <c r="AC1440" s="1615"/>
      <c r="AD1440" s="583"/>
      <c r="AE1440" s="583"/>
    </row>
    <row r="1441" spans="1:31" ht="12.75" customHeight="1">
      <c r="A1441" s="1384" t="s">
        <v>5175</v>
      </c>
      <c r="B1441" s="19" t="s">
        <v>4798</v>
      </c>
      <c r="C1441" s="1383">
        <v>2295</v>
      </c>
      <c r="D1441" s="1236">
        <v>1</v>
      </c>
      <c r="E1441" s="1236"/>
      <c r="F1441" s="1344">
        <f>(1/S1441)*cnst_fish!$C$6</f>
        <v>3.9727464439222634E-2</v>
      </c>
      <c r="G1441" s="1344">
        <f t="shared" si="209"/>
        <v>1</v>
      </c>
      <c r="H1441" s="1344">
        <f t="shared" si="209"/>
        <v>0.367192066876738</v>
      </c>
      <c r="I1441" s="1344">
        <f t="shared" si="203"/>
        <v>9.2427763024869005</v>
      </c>
      <c r="J1441" s="902">
        <f t="shared" si="204"/>
        <v>0</v>
      </c>
      <c r="L1441" s="1460">
        <v>104870</v>
      </c>
      <c r="M1441" s="1236"/>
      <c r="N1441" s="1240" t="s">
        <v>1806</v>
      </c>
      <c r="O1441" s="1241" t="s">
        <v>4841</v>
      </c>
      <c r="P1441" s="910">
        <f t="shared" si="205"/>
        <v>1</v>
      </c>
      <c r="Q1441" s="910">
        <f t="shared" si="206"/>
        <v>104870</v>
      </c>
      <c r="R1441" s="1344">
        <f t="shared" si="207"/>
        <v>3.88</v>
      </c>
      <c r="S1441" s="1344">
        <f>(1/9)*cnst_fish!$C$7*(1/cnst_fish!$C$8)^(R1441-1)</f>
        <v>106.97888878616692</v>
      </c>
      <c r="T1441" s="1362">
        <f t="shared" si="208"/>
        <v>969289.95084180112</v>
      </c>
      <c r="W1441" s="1612"/>
      <c r="X1441" s="1612"/>
      <c r="Y1441" s="1613"/>
      <c r="Z1441" s="1614"/>
      <c r="AA1441" s="1614"/>
      <c r="AB1441" s="1615"/>
      <c r="AC1441" s="1615"/>
      <c r="AD1441" s="583"/>
      <c r="AE1441" s="583"/>
    </row>
    <row r="1442" spans="1:31" ht="12.75" customHeight="1">
      <c r="A1442" s="1384" t="s">
        <v>123</v>
      </c>
      <c r="B1442" s="19" t="s">
        <v>5075</v>
      </c>
      <c r="C1442" s="1383">
        <v>2018</v>
      </c>
      <c r="D1442" s="1236">
        <v>8</v>
      </c>
      <c r="E1442" s="1236"/>
      <c r="F1442" s="1344">
        <f>(1/S1442)*cnst_fish!$C$6</f>
        <v>1.7341667202478851E-2</v>
      </c>
      <c r="G1442" s="1344">
        <f t="shared" si="209"/>
        <v>1</v>
      </c>
      <c r="H1442" s="1344">
        <f t="shared" si="209"/>
        <v>0.367192066876738</v>
      </c>
      <c r="I1442" s="1344">
        <f t="shared" si="203"/>
        <v>169.39181802508625</v>
      </c>
      <c r="J1442" s="902">
        <f t="shared" si="204"/>
        <v>0</v>
      </c>
      <c r="L1442" s="1460">
        <v>139879</v>
      </c>
      <c r="M1442" s="1236"/>
      <c r="N1442" s="1240" t="s">
        <v>3927</v>
      </c>
      <c r="O1442" s="1241" t="s">
        <v>4841</v>
      </c>
      <c r="P1442" s="910">
        <f t="shared" si="205"/>
        <v>8</v>
      </c>
      <c r="Q1442" s="910">
        <f t="shared" si="206"/>
        <v>139879</v>
      </c>
      <c r="R1442" s="1344">
        <f t="shared" si="207"/>
        <v>4.24</v>
      </c>
      <c r="S1442" s="1344">
        <f>(1/9)*cnst_fish!$C$7*(1/cnst_fish!$C$8)^(R1442-1)</f>
        <v>245.0744758492711</v>
      </c>
      <c r="T1442" s="1362">
        <f t="shared" si="208"/>
        <v>2961794.7641913798</v>
      </c>
      <c r="W1442" s="1612"/>
      <c r="X1442" s="1612"/>
      <c r="Y1442" s="1613"/>
      <c r="Z1442" s="1614"/>
      <c r="AA1442" s="1614"/>
      <c r="AB1442" s="1615"/>
      <c r="AC1442" s="1615"/>
      <c r="AD1442" s="583"/>
      <c r="AE1442" s="583"/>
    </row>
    <row r="1443" spans="1:31" ht="12.75" customHeight="1">
      <c r="A1443" s="1384" t="s">
        <v>1924</v>
      </c>
      <c r="B1443" s="19" t="s">
        <v>2798</v>
      </c>
      <c r="C1443" s="1383">
        <v>3338</v>
      </c>
      <c r="D1443" s="1236">
        <v>66</v>
      </c>
      <c r="E1443" s="1236"/>
      <c r="F1443" s="1344">
        <f>(1/S1443)*cnst_fish!$C$6</f>
        <v>4.4574948243432784E-2</v>
      </c>
      <c r="G1443" s="1344">
        <f t="shared" si="209"/>
        <v>1</v>
      </c>
      <c r="H1443" s="1344">
        <f t="shared" si="209"/>
        <v>0.367192066876738</v>
      </c>
      <c r="I1443" s="1344">
        <f t="shared" si="203"/>
        <v>543.68378133641909</v>
      </c>
      <c r="J1443" s="902">
        <f t="shared" si="204"/>
        <v>0</v>
      </c>
      <c r="L1443" s="1460">
        <v>4867</v>
      </c>
      <c r="M1443" s="1236"/>
      <c r="N1443" s="1240" t="s">
        <v>1806</v>
      </c>
      <c r="O1443" s="1241" t="s">
        <v>4841</v>
      </c>
      <c r="P1443" s="910">
        <f t="shared" si="205"/>
        <v>66</v>
      </c>
      <c r="Q1443" s="910">
        <f t="shared" si="206"/>
        <v>4867</v>
      </c>
      <c r="R1443" s="1344">
        <f t="shared" si="207"/>
        <v>3.83</v>
      </c>
      <c r="S1443" s="1344">
        <f>(1/9)*cnst_fish!$C$7*(1/cnst_fish!$C$8)^(R1443-1)</f>
        <v>95.345034991176945</v>
      </c>
      <c r="T1443" s="1362">
        <f t="shared" si="208"/>
        <v>40092.560057035633</v>
      </c>
      <c r="W1443" s="1612"/>
      <c r="X1443" s="1612"/>
      <c r="Y1443" s="1613"/>
      <c r="Z1443" s="1614"/>
      <c r="AA1443" s="1614"/>
      <c r="AB1443" s="1615"/>
      <c r="AC1443" s="1615"/>
      <c r="AD1443" s="583"/>
      <c r="AE1443" s="583"/>
    </row>
    <row r="1444" spans="1:31" ht="12.75" customHeight="1">
      <c r="A1444" s="1384" t="s">
        <v>2097</v>
      </c>
      <c r="B1444" s="19" t="s">
        <v>5087</v>
      </c>
      <c r="C1444" s="1383">
        <v>2050</v>
      </c>
      <c r="D1444" s="1236"/>
      <c r="E1444" s="1236"/>
      <c r="F1444" s="1344">
        <f>(1/S1444)*cnst_fish!$C$6</f>
        <v>2.6247675460949162E-2</v>
      </c>
      <c r="G1444" s="1344">
        <f t="shared" si="209"/>
        <v>1</v>
      </c>
      <c r="H1444" s="1344">
        <f t="shared" si="209"/>
        <v>0.367192066876738</v>
      </c>
      <c r="I1444" s="1344">
        <f t="shared" si="203"/>
        <v>0</v>
      </c>
      <c r="J1444" s="902">
        <f t="shared" si="204"/>
        <v>0</v>
      </c>
      <c r="L1444" s="1460">
        <v>313</v>
      </c>
      <c r="M1444" s="1236"/>
      <c r="N1444" s="1240" t="s">
        <v>1806</v>
      </c>
      <c r="O1444" s="1241" t="s">
        <v>4841</v>
      </c>
      <c r="P1444" s="910">
        <f t="shared" si="205"/>
        <v>0</v>
      </c>
      <c r="Q1444" s="910">
        <f t="shared" si="206"/>
        <v>313</v>
      </c>
      <c r="R1444" s="1344">
        <f t="shared" si="207"/>
        <v>4.0599999999999996</v>
      </c>
      <c r="S1444" s="1344">
        <f>(1/9)*cnst_fish!$C$7*(1/cnst_fish!$C$8)^(R1444-1)</f>
        <v>161.91910046750908</v>
      </c>
      <c r="T1444" s="1362">
        <f t="shared" si="208"/>
        <v>4378.7160163349145</v>
      </c>
      <c r="W1444" s="1612"/>
      <c r="X1444" s="1612"/>
      <c r="Y1444" s="1613"/>
      <c r="Z1444" s="1614"/>
      <c r="AA1444" s="1614"/>
      <c r="AB1444" s="1615"/>
      <c r="AC1444" s="1615"/>
      <c r="AD1444" s="583"/>
      <c r="AE1444" s="583"/>
    </row>
    <row r="1445" spans="1:31" ht="12.75" customHeight="1">
      <c r="A1445" s="1384" t="s">
        <v>1766</v>
      </c>
      <c r="B1445" s="19" t="s">
        <v>5088</v>
      </c>
      <c r="C1445" s="1383">
        <v>18780</v>
      </c>
      <c r="D1445" s="1236"/>
      <c r="E1445" s="1236"/>
      <c r="F1445" s="1344">
        <f>(1/S1445)*cnst_fish!$C$6</f>
        <v>3.2291695426024204E-2</v>
      </c>
      <c r="G1445" s="1344">
        <f t="shared" si="209"/>
        <v>1</v>
      </c>
      <c r="H1445" s="1344">
        <f t="shared" si="209"/>
        <v>0.367192066876738</v>
      </c>
      <c r="I1445" s="1344">
        <f t="shared" si="203"/>
        <v>0</v>
      </c>
      <c r="J1445" s="902">
        <f t="shared" si="204"/>
        <v>0</v>
      </c>
      <c r="L1445" s="1460">
        <v>314</v>
      </c>
      <c r="M1445" s="1236"/>
      <c r="N1445" s="1240" t="s">
        <v>3927</v>
      </c>
      <c r="O1445" s="1241" t="s">
        <v>4841</v>
      </c>
      <c r="P1445" s="910">
        <f t="shared" si="205"/>
        <v>0</v>
      </c>
      <c r="Q1445" s="910">
        <f t="shared" si="206"/>
        <v>314</v>
      </c>
      <c r="R1445" s="1344">
        <f t="shared" si="207"/>
        <v>3.97</v>
      </c>
      <c r="S1445" s="1344">
        <f>(1/9)*cnst_fish!$C$7*(1/cnst_fish!$C$8)^(R1445-1)</f>
        <v>131.61278600983218</v>
      </c>
      <c r="T1445" s="1362">
        <f t="shared" si="208"/>
        <v>3570.5250987340742</v>
      </c>
      <c r="W1445" s="1612"/>
      <c r="X1445" s="1612"/>
      <c r="Y1445" s="1613"/>
      <c r="Z1445" s="1614"/>
      <c r="AA1445" s="1614"/>
      <c r="AB1445" s="1615"/>
      <c r="AC1445" s="1615"/>
      <c r="AD1445" s="583"/>
      <c r="AE1445" s="583"/>
    </row>
    <row r="1446" spans="1:31" ht="12.75" customHeight="1">
      <c r="A1446" s="1585" t="s">
        <v>8573</v>
      </c>
      <c r="B1446" s="1586" t="s">
        <v>8574</v>
      </c>
      <c r="C1446" s="1383">
        <v>14568</v>
      </c>
      <c r="D1446" s="1236">
        <v>11</v>
      </c>
      <c r="E1446" s="1236"/>
      <c r="F1446" s="1344">
        <f>(1/S1446)*cnst_fish!$C$6</f>
        <v>3.7939434000887833E-2</v>
      </c>
      <c r="G1446" s="719">
        <f t="shared" si="209"/>
        <v>1</v>
      </c>
      <c r="H1446" s="719">
        <f t="shared" si="209"/>
        <v>0.367192066876738</v>
      </c>
      <c r="I1446" s="719">
        <f t="shared" si="203"/>
        <v>106.46212422540613</v>
      </c>
      <c r="J1446" s="1386">
        <f t="shared" si="204"/>
        <v>0</v>
      </c>
      <c r="L1446" s="1460">
        <v>11</v>
      </c>
      <c r="M1446" s="1236"/>
      <c r="N1446" s="1240" t="s">
        <v>1806</v>
      </c>
      <c r="O1446" s="1241" t="s">
        <v>4841</v>
      </c>
      <c r="P1446" s="910">
        <f t="shared" si="205"/>
        <v>11</v>
      </c>
      <c r="Q1446" s="910">
        <f t="shared" si="206"/>
        <v>11</v>
      </c>
      <c r="R1446" s="1344">
        <f t="shared" si="207"/>
        <v>3.9</v>
      </c>
      <c r="S1446" s="1344">
        <f>(1/9)*cnst_fish!$C$7*(1/cnst_fish!$C$8)^(R1446-1)</f>
        <v>112.02064848675771</v>
      </c>
      <c r="T1446" s="1362">
        <f t="shared" si="208"/>
        <v>106.46212422540613</v>
      </c>
      <c r="W1446" s="1616"/>
      <c r="X1446" s="1616"/>
      <c r="Y1446" s="1613"/>
      <c r="Z1446" s="1614"/>
      <c r="AA1446" s="1614"/>
      <c r="AB1446" s="1615"/>
      <c r="AC1446" s="1615"/>
      <c r="AD1446" s="583"/>
      <c r="AE1446" s="583"/>
    </row>
    <row r="1447" spans="1:31" ht="12.75" customHeight="1">
      <c r="A1447" s="1585" t="s">
        <v>8575</v>
      </c>
      <c r="B1447" s="1586" t="s">
        <v>8576</v>
      </c>
      <c r="C1447" s="1383">
        <v>20408</v>
      </c>
      <c r="D1447" s="1236"/>
      <c r="E1447" s="1236"/>
      <c r="F1447" s="1344">
        <f>(1/S1447)*cnst_fish!$C$6</f>
        <v>3.7939434000887833E-2</v>
      </c>
      <c r="G1447" s="719">
        <f t="shared" si="209"/>
        <v>1</v>
      </c>
      <c r="H1447" s="719">
        <f t="shared" si="209"/>
        <v>0.367192066876738</v>
      </c>
      <c r="I1447" s="719">
        <f t="shared" si="203"/>
        <v>0</v>
      </c>
      <c r="J1447" s="1386">
        <f t="shared" si="204"/>
        <v>0</v>
      </c>
      <c r="L1447" s="1460">
        <v>4</v>
      </c>
      <c r="M1447" s="1236"/>
      <c r="N1447" s="1240" t="s">
        <v>1806</v>
      </c>
      <c r="O1447" s="1241" t="s">
        <v>4841</v>
      </c>
      <c r="P1447" s="910">
        <f t="shared" si="205"/>
        <v>0</v>
      </c>
      <c r="Q1447" s="910">
        <f t="shared" si="206"/>
        <v>4</v>
      </c>
      <c r="R1447" s="1344">
        <f t="shared" si="207"/>
        <v>3.9</v>
      </c>
      <c r="S1447" s="1344">
        <f>(1/9)*cnst_fish!$C$7*(1/cnst_fish!$C$8)^(R1447-1)</f>
        <v>112.02064848675771</v>
      </c>
      <c r="T1447" s="1362">
        <f t="shared" si="208"/>
        <v>38.713499718329508</v>
      </c>
      <c r="W1447" s="1616"/>
      <c r="X1447" s="1616"/>
      <c r="Y1447" s="1613"/>
      <c r="Z1447" s="1614"/>
      <c r="AA1447" s="1614"/>
      <c r="AB1447" s="1615"/>
      <c r="AC1447" s="1615"/>
      <c r="AD1447" s="583"/>
      <c r="AE1447" s="583"/>
    </row>
    <row r="1448" spans="1:31" ht="12.75" customHeight="1">
      <c r="A1448" s="1384" t="s">
        <v>304</v>
      </c>
      <c r="B1448" s="19" t="s">
        <v>305</v>
      </c>
      <c r="C1448" s="1383">
        <v>19037</v>
      </c>
      <c r="D1448" s="1236"/>
      <c r="E1448" s="1236"/>
      <c r="F1448" s="1344">
        <f>(1/S1448)*cnst_fish!$C$6</f>
        <v>4.3560298545661361E-2</v>
      </c>
      <c r="G1448" s="719">
        <f t="shared" ref="G1448:H1467" si="210">G$7</f>
        <v>1</v>
      </c>
      <c r="H1448" s="719">
        <f t="shared" si="210"/>
        <v>0.367192066876738</v>
      </c>
      <c r="I1448" s="719">
        <f t="shared" si="203"/>
        <v>0</v>
      </c>
      <c r="J1448" s="1386">
        <f t="shared" si="204"/>
        <v>0</v>
      </c>
      <c r="L1448" s="1460">
        <v>4064</v>
      </c>
      <c r="M1448" s="1236"/>
      <c r="N1448" s="1240" t="s">
        <v>1806</v>
      </c>
      <c r="O1448" s="1241" t="s">
        <v>4841</v>
      </c>
      <c r="P1448" s="910">
        <f t="shared" si="205"/>
        <v>0</v>
      </c>
      <c r="Q1448" s="910">
        <f t="shared" si="206"/>
        <v>4064</v>
      </c>
      <c r="R1448" s="1344">
        <f t="shared" si="207"/>
        <v>3.84</v>
      </c>
      <c r="S1448" s="1344">
        <f>(1/9)*cnst_fish!$C$7*(1/cnst_fish!$C$8)^(R1448-1)</f>
        <v>97.565906155234643</v>
      </c>
      <c r="T1448" s="1362">
        <f t="shared" si="208"/>
        <v>34257.537473550998</v>
      </c>
      <c r="W1448" s="1612"/>
      <c r="X1448" s="1612"/>
      <c r="Y1448" s="1613"/>
      <c r="Z1448" s="1614"/>
      <c r="AA1448" s="1614"/>
      <c r="AB1448" s="1615"/>
      <c r="AC1448" s="1615"/>
      <c r="AD1448" s="583"/>
      <c r="AE1448" s="583"/>
    </row>
    <row r="1449" spans="1:31" ht="12.75" customHeight="1">
      <c r="A1449" s="1384" t="s">
        <v>3307</v>
      </c>
      <c r="B1449" s="19" t="s">
        <v>3308</v>
      </c>
      <c r="C1449" s="1383">
        <v>14579</v>
      </c>
      <c r="D1449" s="1236"/>
      <c r="E1449" s="1236"/>
      <c r="F1449" s="1344">
        <f>(1/S1449)*cnst_fish!$C$6</f>
        <v>0.21831865524078092</v>
      </c>
      <c r="G1449" s="719">
        <f t="shared" si="210"/>
        <v>1</v>
      </c>
      <c r="H1449" s="719">
        <f t="shared" si="210"/>
        <v>0.367192066876738</v>
      </c>
      <c r="I1449" s="719">
        <f t="shared" si="203"/>
        <v>0</v>
      </c>
      <c r="J1449" s="1386">
        <f t="shared" si="204"/>
        <v>0</v>
      </c>
      <c r="L1449" s="1460"/>
      <c r="M1449" s="1236">
        <v>244</v>
      </c>
      <c r="N1449" s="1240" t="s">
        <v>1806</v>
      </c>
      <c r="O1449" s="1241" t="s">
        <v>4845</v>
      </c>
      <c r="P1449" s="910">
        <f t="shared" si="205"/>
        <v>0</v>
      </c>
      <c r="Q1449" s="910">
        <f t="shared" si="206"/>
        <v>244</v>
      </c>
      <c r="R1449" s="1344">
        <f t="shared" si="207"/>
        <v>3.14</v>
      </c>
      <c r="S1449" s="1344">
        <f>(1/9)*cnst_fish!$C$7*(1/cnst_fish!$C$8)^(R1449-1)</f>
        <v>19.466957577733005</v>
      </c>
      <c r="T1449" s="1362">
        <f t="shared" si="208"/>
        <v>410.38574655524059</v>
      </c>
      <c r="W1449" s="1612"/>
      <c r="X1449" s="1612"/>
      <c r="Y1449" s="1613"/>
      <c r="Z1449" s="1614"/>
      <c r="AA1449" s="1614"/>
      <c r="AB1449" s="1615"/>
      <c r="AC1449" s="1615"/>
      <c r="AD1449" s="583"/>
      <c r="AE1449" s="583"/>
    </row>
    <row r="1450" spans="1:31" ht="12.75" customHeight="1">
      <c r="A1450" s="1384" t="s">
        <v>3848</v>
      </c>
      <c r="B1450" s="19" t="s">
        <v>5317</v>
      </c>
      <c r="C1450" s="1383">
        <v>3454</v>
      </c>
      <c r="D1450" s="1236"/>
      <c r="E1450" s="1236"/>
      <c r="F1450" s="1344">
        <f>(1/S1450)*cnst_fish!$C$6</f>
        <v>1.9014759972289452</v>
      </c>
      <c r="G1450" s="719">
        <f t="shared" si="210"/>
        <v>1</v>
      </c>
      <c r="H1450" s="719">
        <f t="shared" si="210"/>
        <v>0.367192066876738</v>
      </c>
      <c r="I1450" s="719">
        <f t="shared" si="203"/>
        <v>0</v>
      </c>
      <c r="J1450" s="1386">
        <f t="shared" si="204"/>
        <v>0</v>
      </c>
      <c r="L1450" s="1460"/>
      <c r="M1450" s="1236">
        <v>1524</v>
      </c>
      <c r="N1450" s="1240" t="s">
        <v>2441</v>
      </c>
      <c r="O1450" s="1241" t="s">
        <v>4840</v>
      </c>
      <c r="P1450" s="910">
        <f t="shared" si="205"/>
        <v>0</v>
      </c>
      <c r="Q1450" s="910">
        <f t="shared" si="206"/>
        <v>1524</v>
      </c>
      <c r="R1450" s="1344">
        <f t="shared" si="207"/>
        <v>2.2000000000000002</v>
      </c>
      <c r="S1450" s="1344">
        <f>(1/9)*cnst_fish!$C$7*(1/cnst_fish!$C$8)^(R1450-1)</f>
        <v>2.2351057842400328</v>
      </c>
      <c r="T1450" s="1362">
        <f t="shared" si="208"/>
        <v>294.29806673114189</v>
      </c>
      <c r="W1450" s="1612"/>
      <c r="X1450" s="1612"/>
      <c r="Y1450" s="1613"/>
      <c r="Z1450" s="1614"/>
      <c r="AA1450" s="1614"/>
      <c r="AB1450" s="1615"/>
      <c r="AC1450" s="1615"/>
      <c r="AD1450" s="583"/>
      <c r="AE1450" s="583"/>
    </row>
    <row r="1451" spans="1:31" ht="12.75" customHeight="1">
      <c r="A1451" s="1384" t="s">
        <v>6902</v>
      </c>
      <c r="B1451" s="19" t="s">
        <v>6901</v>
      </c>
      <c r="C1451" s="1383">
        <v>2951</v>
      </c>
      <c r="D1451" s="1236"/>
      <c r="E1451" s="1236"/>
      <c r="F1451" s="1344">
        <f>(1/S1451)*cnst_fish!$C$6</f>
        <v>1.9014759972289452</v>
      </c>
      <c r="G1451" s="719">
        <f t="shared" si="210"/>
        <v>1</v>
      </c>
      <c r="H1451" s="719">
        <f t="shared" si="210"/>
        <v>0.367192066876738</v>
      </c>
      <c r="I1451" s="719">
        <f t="shared" si="203"/>
        <v>0</v>
      </c>
      <c r="J1451" s="1386">
        <f t="shared" si="204"/>
        <v>0</v>
      </c>
      <c r="L1451" s="1460"/>
      <c r="M1451" s="1236">
        <v>1330</v>
      </c>
      <c r="N1451" s="1240" t="s">
        <v>1806</v>
      </c>
      <c r="O1451" s="1241" t="s">
        <v>4845</v>
      </c>
      <c r="P1451" s="910">
        <f t="shared" si="205"/>
        <v>0</v>
      </c>
      <c r="Q1451" s="910">
        <f t="shared" si="206"/>
        <v>1330</v>
      </c>
      <c r="R1451" s="1344">
        <f t="shared" si="207"/>
        <v>2.2000000000000002</v>
      </c>
      <c r="S1451" s="1344">
        <f>(1/9)*cnst_fish!$C$7*(1/cnst_fish!$C$8)^(R1451-1)</f>
        <v>2.2351057842400328</v>
      </c>
      <c r="T1451" s="1362">
        <f t="shared" si="208"/>
        <v>256.83492700289946</v>
      </c>
      <c r="W1451" s="1612"/>
      <c r="X1451" s="1612"/>
      <c r="Y1451" s="1613"/>
      <c r="Z1451" s="1614"/>
      <c r="AA1451" s="1614"/>
      <c r="AB1451" s="1615"/>
      <c r="AC1451" s="1615"/>
      <c r="AD1451" s="583"/>
      <c r="AE1451" s="583"/>
    </row>
    <row r="1452" spans="1:31" ht="12.75" customHeight="1">
      <c r="A1452" s="1384" t="s">
        <v>5604</v>
      </c>
      <c r="B1452" s="19" t="s">
        <v>652</v>
      </c>
      <c r="C1452" s="1383">
        <v>2952</v>
      </c>
      <c r="D1452" s="1236"/>
      <c r="E1452" s="1236"/>
      <c r="F1452" s="1344">
        <f>(1/S1452)*cnst_fish!$C$6</f>
        <v>3.0136363636363641</v>
      </c>
      <c r="G1452" s="719">
        <f t="shared" si="210"/>
        <v>1</v>
      </c>
      <c r="H1452" s="719">
        <f t="shared" si="210"/>
        <v>0.367192066876738</v>
      </c>
      <c r="I1452" s="719">
        <f t="shared" si="203"/>
        <v>0</v>
      </c>
      <c r="J1452" s="1386">
        <f t="shared" si="204"/>
        <v>0</v>
      </c>
      <c r="L1452" s="1460"/>
      <c r="M1452" s="1236">
        <v>7197</v>
      </c>
      <c r="N1452" s="1240" t="s">
        <v>1806</v>
      </c>
      <c r="O1452" s="1241" t="s">
        <v>4845</v>
      </c>
      <c r="P1452" s="910">
        <f t="shared" si="205"/>
        <v>0</v>
      </c>
      <c r="Q1452" s="910">
        <f t="shared" si="206"/>
        <v>7197</v>
      </c>
      <c r="R1452" s="1344">
        <f t="shared" si="207"/>
        <v>2</v>
      </c>
      <c r="S1452" s="1344">
        <f>(1/9)*cnst_fish!$C$7*(1/cnst_fish!$C$8)^(R1452-1)</f>
        <v>1.4102564102564099</v>
      </c>
      <c r="T1452" s="1362">
        <f t="shared" si="208"/>
        <v>876.90782378373194</v>
      </c>
      <c r="W1452" s="1612"/>
      <c r="X1452" s="1612"/>
      <c r="Y1452" s="1613"/>
      <c r="Z1452" s="1614"/>
      <c r="AA1452" s="1614"/>
      <c r="AB1452" s="1615"/>
      <c r="AC1452" s="1615"/>
      <c r="AD1452" s="583"/>
      <c r="AE1452" s="583"/>
    </row>
    <row r="1453" spans="1:31" ht="12.75" customHeight="1">
      <c r="A1453" s="1384" t="s">
        <v>3298</v>
      </c>
      <c r="B1453" s="19" t="s">
        <v>653</v>
      </c>
      <c r="C1453" s="1383">
        <v>2146</v>
      </c>
      <c r="D1453" s="1236"/>
      <c r="E1453" s="1236"/>
      <c r="F1453" s="1344">
        <f>(1/S1453)*cnst_fish!$C$6</f>
        <v>2.4495756009854457</v>
      </c>
      <c r="G1453" s="719">
        <f t="shared" si="210"/>
        <v>1</v>
      </c>
      <c r="H1453" s="719">
        <f t="shared" si="210"/>
        <v>0.367192066876738</v>
      </c>
      <c r="I1453" s="719">
        <f t="shared" si="203"/>
        <v>0</v>
      </c>
      <c r="J1453" s="1386">
        <f t="shared" si="204"/>
        <v>0</v>
      </c>
      <c r="L1453" s="1460"/>
      <c r="M1453" s="1236">
        <v>57535</v>
      </c>
      <c r="N1453" s="1240" t="s">
        <v>1806</v>
      </c>
      <c r="O1453" s="1241" t="s">
        <v>4845</v>
      </c>
      <c r="P1453" s="910">
        <f t="shared" si="205"/>
        <v>0</v>
      </c>
      <c r="Q1453" s="910">
        <f t="shared" si="206"/>
        <v>57535</v>
      </c>
      <c r="R1453" s="1344">
        <f t="shared" si="207"/>
        <v>2.09</v>
      </c>
      <c r="S1453" s="1344">
        <f>(1/9)*cnst_fish!$C$7*(1/cnst_fish!$C$8)^(R1453-1)</f>
        <v>1.7349944203764347</v>
      </c>
      <c r="T1453" s="1362">
        <f t="shared" si="208"/>
        <v>8624.5125724040245</v>
      </c>
      <c r="W1453" s="1612"/>
      <c r="X1453" s="1612"/>
      <c r="Y1453" s="1613"/>
      <c r="Z1453" s="1614"/>
      <c r="AA1453" s="1614"/>
      <c r="AB1453" s="1615"/>
      <c r="AC1453" s="1615"/>
      <c r="AD1453" s="583"/>
      <c r="AE1453" s="583"/>
    </row>
    <row r="1454" spans="1:31" ht="12.75" customHeight="1">
      <c r="A1454" s="1585" t="s">
        <v>8577</v>
      </c>
      <c r="B1454" s="1586" t="s">
        <v>8578</v>
      </c>
      <c r="C1454" s="1383">
        <v>16301</v>
      </c>
      <c r="D1454" s="1236"/>
      <c r="E1454" s="1236"/>
      <c r="F1454" s="1344">
        <f>(1/S1454)*cnst_fish!$C$6</f>
        <v>0.19014759972289441</v>
      </c>
      <c r="G1454" s="719">
        <f t="shared" si="210"/>
        <v>1</v>
      </c>
      <c r="H1454" s="719">
        <f t="shared" si="210"/>
        <v>0.367192066876738</v>
      </c>
      <c r="I1454" s="719">
        <f t="shared" si="203"/>
        <v>0</v>
      </c>
      <c r="J1454" s="1386">
        <f t="shared" si="204"/>
        <v>0</v>
      </c>
      <c r="L1454" s="1460">
        <v>5</v>
      </c>
      <c r="M1454" s="1236"/>
      <c r="N1454" s="1240" t="s">
        <v>3932</v>
      </c>
      <c r="O1454" s="1241" t="s">
        <v>4840</v>
      </c>
      <c r="P1454" s="910">
        <f t="shared" si="205"/>
        <v>0</v>
      </c>
      <c r="Q1454" s="910">
        <f t="shared" si="206"/>
        <v>5</v>
      </c>
      <c r="R1454" s="1344">
        <f t="shared" si="207"/>
        <v>3.2</v>
      </c>
      <c r="S1454" s="1344">
        <f>(1/9)*cnst_fish!$C$7*(1/cnst_fish!$C$8)^(R1454-1)</f>
        <v>22.351057842400341</v>
      </c>
      <c r="T1454" s="1362">
        <f t="shared" si="208"/>
        <v>9.6554483835676539</v>
      </c>
      <c r="W1454" s="1616"/>
      <c r="X1454" s="1616"/>
      <c r="Y1454" s="1613"/>
      <c r="Z1454" s="1614"/>
      <c r="AA1454" s="1614"/>
      <c r="AB1454" s="1615"/>
      <c r="AC1454" s="1615"/>
      <c r="AD1454" s="583"/>
      <c r="AE1454" s="583"/>
    </row>
    <row r="1455" spans="1:31" ht="12.75" customHeight="1">
      <c r="A1455" s="1384" t="s">
        <v>1452</v>
      </c>
      <c r="B1455" s="19" t="s">
        <v>4799</v>
      </c>
      <c r="C1455" s="1383">
        <v>14591</v>
      </c>
      <c r="D1455" s="1236"/>
      <c r="E1455" s="1236"/>
      <c r="F1455" s="1344">
        <f>(1/S1455)*cnst_fish!$C$6</f>
        <v>6.0129950673834844E-2</v>
      </c>
      <c r="G1455" s="719">
        <f t="shared" si="210"/>
        <v>1</v>
      </c>
      <c r="H1455" s="719">
        <f t="shared" si="210"/>
        <v>0.367192066876738</v>
      </c>
      <c r="I1455" s="719">
        <f t="shared" si="203"/>
        <v>0</v>
      </c>
      <c r="J1455" s="1386">
        <f t="shared" si="204"/>
        <v>0</v>
      </c>
      <c r="L1455" s="1460">
        <v>61</v>
      </c>
      <c r="M1455" s="1236"/>
      <c r="N1455" s="1240" t="s">
        <v>1806</v>
      </c>
      <c r="O1455" s="1241" t="s">
        <v>4841</v>
      </c>
      <c r="P1455" s="910">
        <f t="shared" si="205"/>
        <v>0</v>
      </c>
      <c r="Q1455" s="910">
        <f t="shared" si="206"/>
        <v>61</v>
      </c>
      <c r="R1455" s="1344">
        <f t="shared" si="207"/>
        <v>3.7</v>
      </c>
      <c r="S1455" s="1344">
        <f>(1/9)*cnst_fish!$C$7*(1/cnst_fish!$C$8)^(R1455-1)</f>
        <v>70.680250896153822</v>
      </c>
      <c r="T1455" s="1362">
        <f t="shared" si="208"/>
        <v>372.50514641163136</v>
      </c>
      <c r="W1455" s="1612"/>
      <c r="X1455" s="1612"/>
      <c r="Y1455" s="1613"/>
      <c r="Z1455" s="1614"/>
      <c r="AA1455" s="1614"/>
      <c r="AB1455" s="1615"/>
      <c r="AC1455" s="1615"/>
      <c r="AD1455" s="583"/>
      <c r="AE1455" s="583"/>
    </row>
    <row r="1456" spans="1:31" ht="12.75" customHeight="1">
      <c r="A1456" s="1384" t="s">
        <v>3080</v>
      </c>
      <c r="B1456" s="19" t="s">
        <v>2799</v>
      </c>
      <c r="C1456" s="1383">
        <v>14592</v>
      </c>
      <c r="D1456" s="1236"/>
      <c r="E1456" s="1236"/>
      <c r="F1456" s="1344">
        <f>(1/S1456)*cnst_fish!$C$6</f>
        <v>1.9910898001319833E-2</v>
      </c>
      <c r="G1456" s="719">
        <f t="shared" si="210"/>
        <v>1</v>
      </c>
      <c r="H1456" s="719">
        <f t="shared" si="210"/>
        <v>0.367192066876738</v>
      </c>
      <c r="I1456" s="719">
        <f t="shared" si="203"/>
        <v>0</v>
      </c>
      <c r="J1456" s="1386">
        <f t="shared" si="204"/>
        <v>0</v>
      </c>
      <c r="L1456" s="1460">
        <v>2</v>
      </c>
      <c r="M1456" s="1236"/>
      <c r="N1456" s="1240" t="s">
        <v>1806</v>
      </c>
      <c r="O1456" s="1241" t="s">
        <v>4841</v>
      </c>
      <c r="P1456" s="910">
        <f t="shared" si="205"/>
        <v>0</v>
      </c>
      <c r="Q1456" s="910">
        <f t="shared" si="206"/>
        <v>2</v>
      </c>
      <c r="R1456" s="1344">
        <f t="shared" si="207"/>
        <v>4.18</v>
      </c>
      <c r="S1456" s="1344">
        <f>(1/9)*cnst_fish!$C$7*(1/cnst_fish!$C$8)^(R1456-1)</f>
        <v>213.4509452922857</v>
      </c>
      <c r="T1456" s="1362">
        <f t="shared" si="208"/>
        <v>36.883526484079013</v>
      </c>
      <c r="W1456" s="1612"/>
      <c r="X1456" s="1612"/>
      <c r="Y1456" s="1613"/>
      <c r="Z1456" s="1614"/>
      <c r="AA1456" s="1614"/>
      <c r="AB1456" s="1615"/>
      <c r="AC1456" s="1615"/>
      <c r="AD1456" s="583"/>
      <c r="AE1456" s="583"/>
    </row>
    <row r="1457" spans="1:31" ht="12.75" customHeight="1">
      <c r="A1457" s="1384" t="s">
        <v>6934</v>
      </c>
      <c r="B1457" s="19" t="s">
        <v>6933</v>
      </c>
      <c r="C1457" s="1383">
        <v>14600</v>
      </c>
      <c r="D1457" s="1236"/>
      <c r="E1457" s="1236"/>
      <c r="F1457" s="1344">
        <f>(1/S1457)*cnst_fish!$C$6</f>
        <v>0.11997502458044032</v>
      </c>
      <c r="G1457" s="719">
        <f t="shared" si="210"/>
        <v>1</v>
      </c>
      <c r="H1457" s="719">
        <f t="shared" si="210"/>
        <v>0.367192066876738</v>
      </c>
      <c r="I1457" s="719">
        <f t="shared" si="203"/>
        <v>0</v>
      </c>
      <c r="J1457" s="1386">
        <f t="shared" si="204"/>
        <v>0</v>
      </c>
      <c r="L1457" s="1460"/>
      <c r="M1457" s="1236"/>
      <c r="N1457" s="1240" t="s">
        <v>1806</v>
      </c>
      <c r="O1457" s="1241" t="s">
        <v>4841</v>
      </c>
      <c r="P1457" s="910">
        <f t="shared" si="205"/>
        <v>0</v>
      </c>
      <c r="Q1457" s="910">
        <f t="shared" si="206"/>
        <v>0</v>
      </c>
      <c r="R1457" s="1344">
        <f t="shared" si="207"/>
        <v>3.4</v>
      </c>
      <c r="S1457" s="1344">
        <f>(1/9)*cnst_fish!$C$7*(1/cnst_fish!$C$8)^(R1457-1)</f>
        <v>35.424039418724846</v>
      </c>
      <c r="T1457" s="1362">
        <f t="shared" si="208"/>
        <v>0</v>
      </c>
      <c r="W1457" s="1612"/>
      <c r="X1457" s="1612"/>
      <c r="Y1457" s="1613"/>
      <c r="Z1457" s="1614"/>
      <c r="AA1457" s="1614"/>
      <c r="AB1457" s="1615"/>
      <c r="AC1457" s="1615"/>
      <c r="AD1457" s="583"/>
      <c r="AE1457" s="583"/>
    </row>
    <row r="1458" spans="1:31" ht="12.75" customHeight="1">
      <c r="A1458" s="1384" t="s">
        <v>6700</v>
      </c>
      <c r="B1458" s="19" t="s">
        <v>6699</v>
      </c>
      <c r="C1458" s="1383">
        <v>14611</v>
      </c>
      <c r="D1458" s="1236"/>
      <c r="E1458" s="1236"/>
      <c r="F1458" s="1344">
        <f>(1/S1458)*cnst_fish!$C$6</f>
        <v>3.0136363636363641</v>
      </c>
      <c r="G1458" s="719">
        <f t="shared" si="210"/>
        <v>1</v>
      </c>
      <c r="H1458" s="719">
        <f t="shared" si="210"/>
        <v>0.367192066876738</v>
      </c>
      <c r="I1458" s="719">
        <f t="shared" si="203"/>
        <v>0</v>
      </c>
      <c r="J1458" s="1386">
        <f t="shared" si="204"/>
        <v>0</v>
      </c>
      <c r="L1458" s="1460"/>
      <c r="M1458" s="1236">
        <v>539</v>
      </c>
      <c r="N1458" s="1240" t="s">
        <v>1806</v>
      </c>
      <c r="O1458" s="1241" t="s">
        <v>4845</v>
      </c>
      <c r="P1458" s="910">
        <f t="shared" si="205"/>
        <v>0</v>
      </c>
      <c r="Q1458" s="910">
        <f t="shared" si="206"/>
        <v>539</v>
      </c>
      <c r="R1458" s="1344">
        <f t="shared" si="207"/>
        <v>2</v>
      </c>
      <c r="S1458" s="1344">
        <f>(1/9)*cnst_fish!$C$7*(1/cnst_fish!$C$8)^(R1458-1)</f>
        <v>1.4102564102564099</v>
      </c>
      <c r="T1458" s="1362">
        <f t="shared" si="208"/>
        <v>65.673658054666049</v>
      </c>
      <c r="W1458" s="1612"/>
      <c r="X1458" s="1612"/>
      <c r="Y1458" s="1613"/>
      <c r="Z1458" s="1614"/>
      <c r="AA1458" s="1614"/>
      <c r="AB1458" s="1615"/>
      <c r="AC1458" s="1615"/>
      <c r="AD1458" s="583"/>
      <c r="AE1458" s="583"/>
    </row>
    <row r="1459" spans="1:31" ht="12.75" customHeight="1">
      <c r="A1459" s="1384" t="s">
        <v>369</v>
      </c>
      <c r="B1459" s="19" t="s">
        <v>654</v>
      </c>
      <c r="C1459" s="1383">
        <v>2875</v>
      </c>
      <c r="D1459" s="1236"/>
      <c r="E1459" s="1236"/>
      <c r="F1459" s="1344">
        <f>(1/S1459)*cnst_fish!$C$6</f>
        <v>7.0646532025323075E-2</v>
      </c>
      <c r="G1459" s="719">
        <f t="shared" si="210"/>
        <v>1</v>
      </c>
      <c r="H1459" s="719">
        <f t="shared" si="210"/>
        <v>0.367192066876738</v>
      </c>
      <c r="I1459" s="719">
        <f t="shared" si="203"/>
        <v>0</v>
      </c>
      <c r="J1459" s="1386">
        <f t="shared" si="204"/>
        <v>0</v>
      </c>
      <c r="L1459" s="1460"/>
      <c r="M1459" s="1236">
        <v>14644</v>
      </c>
      <c r="N1459" s="1240" t="s">
        <v>1806</v>
      </c>
      <c r="O1459" s="1241" t="s">
        <v>4845</v>
      </c>
      <c r="P1459" s="910">
        <f t="shared" si="205"/>
        <v>0</v>
      </c>
      <c r="Q1459" s="910">
        <f t="shared" si="206"/>
        <v>14644</v>
      </c>
      <c r="R1459" s="1344">
        <f t="shared" si="207"/>
        <v>3.63</v>
      </c>
      <c r="S1459" s="1344">
        <f>(1/9)*cnst_fish!$C$7*(1/cnst_fish!$C$8)^(R1459-1)</f>
        <v>60.158650087404119</v>
      </c>
      <c r="T1459" s="1362">
        <f t="shared" si="208"/>
        <v>76113.582269197883</v>
      </c>
      <c r="W1459" s="1612"/>
      <c r="X1459" s="1612"/>
      <c r="Y1459" s="1613"/>
      <c r="Z1459" s="1614"/>
      <c r="AA1459" s="1614"/>
      <c r="AB1459" s="1615"/>
      <c r="AC1459" s="1615"/>
      <c r="AD1459" s="583"/>
      <c r="AE1459" s="583"/>
    </row>
    <row r="1460" spans="1:31" ht="12.75" customHeight="1">
      <c r="A1460" s="1384" t="s">
        <v>2815</v>
      </c>
      <c r="B1460" s="19" t="s">
        <v>4081</v>
      </c>
      <c r="C1460" s="1383">
        <v>3546</v>
      </c>
      <c r="D1460" s="1236">
        <v>49</v>
      </c>
      <c r="E1460" s="1236"/>
      <c r="F1460" s="1344">
        <f>(1/S1460)*cnst_fish!$C$6</f>
        <v>2.3938164528281742</v>
      </c>
      <c r="G1460" s="719">
        <f t="shared" si="210"/>
        <v>1</v>
      </c>
      <c r="H1460" s="719">
        <f t="shared" si="210"/>
        <v>0.367192066876738</v>
      </c>
      <c r="I1460" s="719">
        <f t="shared" si="203"/>
        <v>7.5162033645908943</v>
      </c>
      <c r="J1460" s="1386">
        <f t="shared" si="204"/>
        <v>0</v>
      </c>
      <c r="L1460" s="1460">
        <v>49</v>
      </c>
      <c r="M1460" s="1236"/>
      <c r="N1460" s="1240" t="s">
        <v>1804</v>
      </c>
      <c r="O1460" s="1241" t="s">
        <v>4851</v>
      </c>
      <c r="P1460" s="910">
        <f t="shared" si="205"/>
        <v>49</v>
      </c>
      <c r="Q1460" s="910">
        <f t="shared" si="206"/>
        <v>49</v>
      </c>
      <c r="R1460" s="1344">
        <f t="shared" si="207"/>
        <v>2.1</v>
      </c>
      <c r="S1460" s="1344">
        <f>(1/9)*cnst_fish!$C$7*(1/cnst_fish!$C$8)^(R1460-1)</f>
        <v>1.7754076320174161</v>
      </c>
      <c r="T1460" s="1362">
        <f t="shared" si="208"/>
        <v>7.5162033645908943</v>
      </c>
      <c r="W1460" s="1612"/>
      <c r="X1460" s="1612"/>
      <c r="Y1460" s="1613"/>
      <c r="Z1460" s="1614"/>
      <c r="AA1460" s="1614"/>
      <c r="AB1460" s="1615"/>
      <c r="AC1460" s="1615"/>
      <c r="AD1460" s="583"/>
      <c r="AE1460" s="583"/>
    </row>
    <row r="1461" spans="1:31" ht="12.75" customHeight="1">
      <c r="A1461" s="1384" t="s">
        <v>1710</v>
      </c>
      <c r="B1461" s="19" t="s">
        <v>5638</v>
      </c>
      <c r="C1461" s="1383">
        <v>2703</v>
      </c>
      <c r="D1461" s="1236"/>
      <c r="E1461" s="1236"/>
      <c r="F1461" s="1344">
        <f>(1/S1461)*cnst_fish!$C$6</f>
        <v>2.3938164528281742</v>
      </c>
      <c r="G1461" s="719">
        <f t="shared" si="210"/>
        <v>1</v>
      </c>
      <c r="H1461" s="719">
        <f t="shared" si="210"/>
        <v>0.367192066876738</v>
      </c>
      <c r="I1461" s="719">
        <f t="shared" si="203"/>
        <v>0</v>
      </c>
      <c r="J1461" s="1386">
        <f t="shared" si="204"/>
        <v>0</v>
      </c>
      <c r="L1461" s="1460">
        <v>6299</v>
      </c>
      <c r="M1461" s="1236"/>
      <c r="N1461" s="1240" t="s">
        <v>1804</v>
      </c>
      <c r="O1461" s="1241" t="s">
        <v>4851</v>
      </c>
      <c r="P1461" s="910">
        <f t="shared" si="205"/>
        <v>0</v>
      </c>
      <c r="Q1461" s="910">
        <f t="shared" si="206"/>
        <v>6299</v>
      </c>
      <c r="R1461" s="1344">
        <f t="shared" si="207"/>
        <v>2.1</v>
      </c>
      <c r="S1461" s="1344">
        <f>(1/9)*cnst_fish!$C$7*(1/cnst_fish!$C$8)^(R1461-1)</f>
        <v>1.7754076320174161</v>
      </c>
      <c r="T1461" s="1362">
        <f t="shared" si="208"/>
        <v>966.21561211342953</v>
      </c>
      <c r="W1461" s="1612"/>
      <c r="X1461" s="1612"/>
      <c r="Y1461" s="1613"/>
      <c r="Z1461" s="1614"/>
      <c r="AA1461" s="1614"/>
      <c r="AB1461" s="1615"/>
      <c r="AC1461" s="1615"/>
      <c r="AD1461" s="583"/>
      <c r="AE1461" s="583"/>
    </row>
    <row r="1462" spans="1:31" ht="12.75" customHeight="1">
      <c r="A1462" s="1384" t="s">
        <v>5153</v>
      </c>
      <c r="B1462" s="19" t="s">
        <v>553</v>
      </c>
      <c r="C1462" s="1383">
        <v>16600</v>
      </c>
      <c r="D1462" s="1236"/>
      <c r="E1462" s="1236"/>
      <c r="F1462" s="1344">
        <f>(1/S1462)*cnst_fish!$C$6</f>
        <v>0.14481532779905856</v>
      </c>
      <c r="G1462" s="719">
        <f t="shared" si="210"/>
        <v>1</v>
      </c>
      <c r="H1462" s="719">
        <f t="shared" si="210"/>
        <v>0.367192066876738</v>
      </c>
      <c r="I1462" s="719">
        <f t="shared" si="203"/>
        <v>0</v>
      </c>
      <c r="J1462" s="1386">
        <f t="shared" si="204"/>
        <v>0</v>
      </c>
      <c r="L1462" s="1460">
        <v>6958</v>
      </c>
      <c r="M1462" s="1236"/>
      <c r="N1462" s="1240" t="s">
        <v>2441</v>
      </c>
      <c r="O1462" s="1241" t="s">
        <v>4840</v>
      </c>
      <c r="P1462" s="910">
        <f t="shared" si="205"/>
        <v>0</v>
      </c>
      <c r="Q1462" s="910">
        <f t="shared" si="206"/>
        <v>6958</v>
      </c>
      <c r="R1462" s="1344">
        <f t="shared" si="207"/>
        <v>3.3182763159269002</v>
      </c>
      <c r="S1462" s="1344">
        <f>(1/9)*cnst_fish!$C$7*(1/cnst_fish!$C$8)^(R1462-1)</f>
        <v>29.347722127157517</v>
      </c>
      <c r="T1462" s="1362">
        <f t="shared" si="208"/>
        <v>17642.624162502172</v>
      </c>
      <c r="W1462" s="1612"/>
      <c r="X1462" s="1612"/>
      <c r="Y1462" s="1613"/>
      <c r="Z1462" s="1614"/>
      <c r="AA1462" s="1614"/>
      <c r="AB1462" s="1615"/>
      <c r="AC1462" s="1615"/>
      <c r="AD1462" s="583"/>
      <c r="AE1462" s="583"/>
    </row>
    <row r="1463" spans="1:31" ht="12.75" customHeight="1">
      <c r="A1463" s="1384" t="s">
        <v>5584</v>
      </c>
      <c r="B1463" s="19" t="s">
        <v>2800</v>
      </c>
      <c r="C1463" s="1383">
        <v>3320</v>
      </c>
      <c r="D1463" s="1236"/>
      <c r="E1463" s="1236"/>
      <c r="F1463" s="1344">
        <f>(1/S1463)*cnst_fish!$C$6</f>
        <v>3.0136363636363642E-2</v>
      </c>
      <c r="G1463" s="719">
        <f t="shared" si="210"/>
        <v>1</v>
      </c>
      <c r="H1463" s="719">
        <f t="shared" si="210"/>
        <v>0.367192066876738</v>
      </c>
      <c r="I1463" s="719">
        <f t="shared" si="203"/>
        <v>0</v>
      </c>
      <c r="J1463" s="1386">
        <f t="shared" si="204"/>
        <v>0</v>
      </c>
      <c r="L1463" s="1460">
        <v>4117</v>
      </c>
      <c r="M1463" s="1236"/>
      <c r="N1463" s="1240" t="s">
        <v>1806</v>
      </c>
      <c r="O1463" s="1241" t="s">
        <v>4841</v>
      </c>
      <c r="P1463" s="910">
        <f t="shared" si="205"/>
        <v>0</v>
      </c>
      <c r="Q1463" s="910">
        <f t="shared" si="206"/>
        <v>4117</v>
      </c>
      <c r="R1463" s="1344">
        <f t="shared" si="207"/>
        <v>4</v>
      </c>
      <c r="S1463" s="1344">
        <f>(1/9)*cnst_fish!$C$7*(1/cnst_fish!$C$8)^(R1463-1)</f>
        <v>141.02564102564099</v>
      </c>
      <c r="T1463" s="1362">
        <f t="shared" si="208"/>
        <v>50162.97777570688</v>
      </c>
      <c r="W1463" s="1612"/>
      <c r="X1463" s="1612"/>
      <c r="Y1463" s="1613"/>
      <c r="Z1463" s="1614"/>
      <c r="AA1463" s="1614"/>
      <c r="AB1463" s="1615"/>
      <c r="AC1463" s="1615"/>
      <c r="AD1463" s="583"/>
      <c r="AE1463" s="583"/>
    </row>
    <row r="1464" spans="1:31" ht="12.75" customHeight="1">
      <c r="A1464" s="1384" t="s">
        <v>3286</v>
      </c>
      <c r="B1464" s="19" t="s">
        <v>191</v>
      </c>
      <c r="C1464" s="1383">
        <v>2563</v>
      </c>
      <c r="D1464" s="1236"/>
      <c r="E1464" s="1236"/>
      <c r="F1464" s="1344">
        <f>(1/S1464)*cnst_fish!$C$6</f>
        <v>3.304386563831508E-2</v>
      </c>
      <c r="G1464" s="719">
        <f t="shared" si="210"/>
        <v>1</v>
      </c>
      <c r="H1464" s="719">
        <f t="shared" si="210"/>
        <v>0.367192066876738</v>
      </c>
      <c r="I1464" s="719">
        <f t="shared" si="203"/>
        <v>0</v>
      </c>
      <c r="J1464" s="1386">
        <f t="shared" si="204"/>
        <v>0</v>
      </c>
      <c r="L1464" s="1460">
        <v>5774</v>
      </c>
      <c r="M1464" s="1236"/>
      <c r="N1464" s="1240" t="s">
        <v>1806</v>
      </c>
      <c r="O1464" s="1241" t="s">
        <v>4841</v>
      </c>
      <c r="P1464" s="910">
        <f t="shared" si="205"/>
        <v>0</v>
      </c>
      <c r="Q1464" s="910">
        <f t="shared" si="206"/>
        <v>5774</v>
      </c>
      <c r="R1464" s="1344">
        <f t="shared" si="207"/>
        <v>3.96</v>
      </c>
      <c r="S1464" s="1344">
        <f>(1/9)*cnst_fish!$C$7*(1/cnst_fish!$C$8)^(R1464-1)</f>
        <v>128.61691324250009</v>
      </c>
      <c r="T1464" s="1362">
        <f t="shared" si="208"/>
        <v>64162.196316641166</v>
      </c>
      <c r="W1464" s="1612"/>
      <c r="X1464" s="1612"/>
      <c r="Y1464" s="1613"/>
      <c r="Z1464" s="1614"/>
      <c r="AA1464" s="1614"/>
      <c r="AB1464" s="1615"/>
      <c r="AC1464" s="1615"/>
      <c r="AD1464" s="583"/>
      <c r="AE1464" s="583"/>
    </row>
    <row r="1465" spans="1:31" ht="12.75" customHeight="1">
      <c r="A1465" s="1384" t="s">
        <v>1914</v>
      </c>
      <c r="B1465" s="19" t="s">
        <v>5047</v>
      </c>
      <c r="C1465" s="1383">
        <v>3364</v>
      </c>
      <c r="D1465" s="1236">
        <v>24</v>
      </c>
      <c r="E1465" s="1236"/>
      <c r="F1465" s="1344">
        <f>(1/S1465)*cnst_fish!$C$6</f>
        <v>2.6247675460949162E-2</v>
      </c>
      <c r="G1465" s="719">
        <f t="shared" si="210"/>
        <v>1</v>
      </c>
      <c r="H1465" s="719">
        <f t="shared" si="210"/>
        <v>0.367192066876738</v>
      </c>
      <c r="I1465" s="719">
        <f t="shared" si="203"/>
        <v>335.74819294580811</v>
      </c>
      <c r="J1465" s="1386">
        <f t="shared" si="204"/>
        <v>0</v>
      </c>
      <c r="L1465" s="1460">
        <v>24</v>
      </c>
      <c r="M1465" s="1236"/>
      <c r="N1465" s="1240" t="s">
        <v>1809</v>
      </c>
      <c r="O1465" s="1241" t="s">
        <v>4841</v>
      </c>
      <c r="P1465" s="910">
        <f t="shared" si="205"/>
        <v>24</v>
      </c>
      <c r="Q1465" s="910">
        <f t="shared" si="206"/>
        <v>24</v>
      </c>
      <c r="R1465" s="1344">
        <f t="shared" si="207"/>
        <v>4.0599999999999996</v>
      </c>
      <c r="S1465" s="1344">
        <f>(1/9)*cnst_fish!$C$7*(1/cnst_fish!$C$8)^(R1465-1)</f>
        <v>161.91910046750908</v>
      </c>
      <c r="T1465" s="1362">
        <f t="shared" si="208"/>
        <v>335.74819294580811</v>
      </c>
      <c r="W1465" s="1612"/>
      <c r="X1465" s="1612"/>
      <c r="Y1465" s="1613"/>
      <c r="Z1465" s="1614"/>
      <c r="AA1465" s="1614"/>
      <c r="AB1465" s="1615"/>
      <c r="AC1465" s="1615"/>
      <c r="AD1465" s="583"/>
      <c r="AE1465" s="583"/>
    </row>
    <row r="1466" spans="1:31" ht="12.75" customHeight="1">
      <c r="A1466" s="1384" t="s">
        <v>5000</v>
      </c>
      <c r="B1466" s="19" t="s">
        <v>2389</v>
      </c>
      <c r="C1466" s="1383">
        <v>3347</v>
      </c>
      <c r="D1466" s="1236"/>
      <c r="E1466" s="1236"/>
      <c r="F1466" s="1344">
        <f>(1/S1466)*cnst_fish!$C$6</f>
        <v>2.5650205424007942E-2</v>
      </c>
      <c r="G1466" s="719">
        <f t="shared" si="210"/>
        <v>1</v>
      </c>
      <c r="H1466" s="719">
        <f t="shared" si="210"/>
        <v>0.367192066876738</v>
      </c>
      <c r="I1466" s="719">
        <f t="shared" si="203"/>
        <v>0</v>
      </c>
      <c r="J1466" s="1386">
        <f t="shared" si="204"/>
        <v>0</v>
      </c>
      <c r="L1466" s="1460"/>
      <c r="M1466" s="1236"/>
      <c r="N1466" s="1240" t="s">
        <v>1806</v>
      </c>
      <c r="O1466" s="1241" t="s">
        <v>4841</v>
      </c>
      <c r="P1466" s="910">
        <f t="shared" si="205"/>
        <v>0</v>
      </c>
      <c r="Q1466" s="910">
        <f t="shared" si="206"/>
        <v>0</v>
      </c>
      <c r="R1466" s="1344">
        <f t="shared" si="207"/>
        <v>4.07</v>
      </c>
      <c r="S1466" s="1344">
        <f>(1/9)*cnst_fish!$C$7*(1/cnst_fish!$C$8)^(R1466-1)</f>
        <v>165.6906808248057</v>
      </c>
      <c r="T1466" s="1362">
        <f t="shared" si="208"/>
        <v>0</v>
      </c>
      <c r="W1466" s="1612"/>
      <c r="X1466" s="1612"/>
      <c r="Y1466" s="1613"/>
      <c r="Z1466" s="1614"/>
      <c r="AA1466" s="1614"/>
      <c r="AB1466" s="1615"/>
      <c r="AC1466" s="1615"/>
      <c r="AD1466" s="583"/>
      <c r="AE1466" s="583"/>
    </row>
    <row r="1467" spans="1:31" ht="12.75" customHeight="1">
      <c r="A1467" s="1384" t="s">
        <v>5078</v>
      </c>
      <c r="B1467" s="19" t="s">
        <v>2390</v>
      </c>
      <c r="C1467" s="1383">
        <v>3346</v>
      </c>
      <c r="D1467" s="1236"/>
      <c r="E1467" s="1236"/>
      <c r="F1467" s="1344">
        <f>(1/S1467)*cnst_fish!$C$6</f>
        <v>1.2276960190187586E-2</v>
      </c>
      <c r="G1467" s="719">
        <f t="shared" si="210"/>
        <v>1</v>
      </c>
      <c r="H1467" s="719">
        <f t="shared" si="210"/>
        <v>0.367192066876738</v>
      </c>
      <c r="I1467" s="719">
        <f t="shared" si="203"/>
        <v>0</v>
      </c>
      <c r="J1467" s="1386">
        <f t="shared" si="204"/>
        <v>0</v>
      </c>
      <c r="L1467" s="1460">
        <v>27103</v>
      </c>
      <c r="M1467" s="1236"/>
      <c r="N1467" s="1240" t="s">
        <v>1806</v>
      </c>
      <c r="O1467" s="1241" t="s">
        <v>4841</v>
      </c>
      <c r="P1467" s="910">
        <f t="shared" si="205"/>
        <v>0</v>
      </c>
      <c r="Q1467" s="910">
        <f t="shared" si="206"/>
        <v>27103</v>
      </c>
      <c r="R1467" s="1344">
        <f t="shared" si="207"/>
        <v>4.3899999999999997</v>
      </c>
      <c r="S1467" s="1344">
        <f>(1/9)*cnst_fish!$C$7*(1/cnst_fish!$C$8)^(R1467-1)</f>
        <v>346.17689836583742</v>
      </c>
      <c r="T1467" s="1362">
        <f t="shared" si="208"/>
        <v>810624.65255156683</v>
      </c>
      <c r="W1467" s="1612"/>
      <c r="X1467" s="1612"/>
      <c r="Y1467" s="1613"/>
      <c r="Z1467" s="1614"/>
      <c r="AA1467" s="1614"/>
      <c r="AB1467" s="1615"/>
      <c r="AC1467" s="1615"/>
      <c r="AD1467" s="583"/>
      <c r="AE1467" s="583"/>
    </row>
    <row r="1468" spans="1:31" ht="12.75" customHeight="1">
      <c r="A1468" s="1384" t="s">
        <v>4881</v>
      </c>
      <c r="B1468" s="19" t="s">
        <v>5105</v>
      </c>
      <c r="C1468" s="1383">
        <v>2316</v>
      </c>
      <c r="D1468" s="1236"/>
      <c r="E1468" s="1236"/>
      <c r="F1468" s="1344">
        <f>(1/S1468)*cnst_fish!$C$6</f>
        <v>3.6231878188697476E-2</v>
      </c>
      <c r="G1468" s="719">
        <f t="shared" ref="G1468:H1487" si="211">G$7</f>
        <v>1</v>
      </c>
      <c r="H1468" s="719">
        <f t="shared" si="211"/>
        <v>0.367192066876738</v>
      </c>
      <c r="I1468" s="719">
        <f t="shared" si="203"/>
        <v>0</v>
      </c>
      <c r="J1468" s="1386">
        <f t="shared" si="204"/>
        <v>0</v>
      </c>
      <c r="L1468" s="1460">
        <v>3882</v>
      </c>
      <c r="M1468" s="1236"/>
      <c r="N1468" s="1240" t="s">
        <v>1806</v>
      </c>
      <c r="O1468" s="1241" t="s">
        <v>4859</v>
      </c>
      <c r="P1468" s="910">
        <f t="shared" si="205"/>
        <v>0</v>
      </c>
      <c r="Q1468" s="910">
        <f t="shared" si="206"/>
        <v>3882</v>
      </c>
      <c r="R1468" s="1344">
        <f t="shared" si="207"/>
        <v>3.92</v>
      </c>
      <c r="S1468" s="1344">
        <f>(1/9)*cnst_fish!$C$7*(1/cnst_fish!$C$8)^(R1468-1)</f>
        <v>117.30001900165877</v>
      </c>
      <c r="T1468" s="1362">
        <f t="shared" si="208"/>
        <v>39342.139432897588</v>
      </c>
      <c r="W1468" s="1612"/>
      <c r="X1468" s="1612"/>
      <c r="Y1468" s="1613"/>
      <c r="Z1468" s="1614"/>
      <c r="AA1468" s="1614"/>
      <c r="AB1468" s="1615"/>
      <c r="AC1468" s="1615"/>
      <c r="AD1468" s="583"/>
      <c r="AE1468" s="583"/>
    </row>
    <row r="1469" spans="1:31" ht="12.75" customHeight="1">
      <c r="A1469" s="1384" t="s">
        <v>4950</v>
      </c>
      <c r="B1469" s="19" t="s">
        <v>4951</v>
      </c>
      <c r="C1469" s="1383">
        <v>14647</v>
      </c>
      <c r="D1469" s="1236"/>
      <c r="E1469" s="1236"/>
      <c r="F1469" s="1344">
        <f>(1/S1469)*cnst_fish!$C$6</f>
        <v>1.8581931192461935E-2</v>
      </c>
      <c r="G1469" s="719">
        <f t="shared" si="211"/>
        <v>1</v>
      </c>
      <c r="H1469" s="719">
        <f t="shared" si="211"/>
        <v>0.367192066876738</v>
      </c>
      <c r="I1469" s="719">
        <f t="shared" si="203"/>
        <v>0</v>
      </c>
      <c r="J1469" s="1386">
        <f t="shared" si="204"/>
        <v>0</v>
      </c>
      <c r="L1469" s="1460"/>
      <c r="M1469" s="1236"/>
      <c r="N1469" s="1240" t="s">
        <v>3927</v>
      </c>
      <c r="O1469" s="1241" t="s">
        <v>4841</v>
      </c>
      <c r="P1469" s="910">
        <f t="shared" si="205"/>
        <v>0</v>
      </c>
      <c r="Q1469" s="910">
        <f t="shared" si="206"/>
        <v>0</v>
      </c>
      <c r="R1469" s="1344">
        <f t="shared" si="207"/>
        <v>4.21</v>
      </c>
      <c r="S1469" s="1344">
        <f>(1/9)*cnst_fish!$C$7*(1/cnst_fish!$C$8)^(R1469-1)</f>
        <v>228.71680860190045</v>
      </c>
      <c r="T1469" s="1362">
        <f t="shared" si="208"/>
        <v>0</v>
      </c>
      <c r="W1469" s="1612"/>
      <c r="X1469" s="1612"/>
      <c r="Y1469" s="1613"/>
      <c r="Z1469" s="1614"/>
      <c r="AA1469" s="1614"/>
      <c r="AB1469" s="1615"/>
      <c r="AC1469" s="1615"/>
      <c r="AD1469" s="583"/>
      <c r="AE1469" s="583"/>
    </row>
    <row r="1470" spans="1:31" ht="12.75" customHeight="1">
      <c r="A1470" s="1384" t="s">
        <v>4602</v>
      </c>
      <c r="B1470" s="19" t="s">
        <v>5639</v>
      </c>
      <c r="C1470" s="1383">
        <v>3536</v>
      </c>
      <c r="D1470" s="1236"/>
      <c r="E1470" s="1236"/>
      <c r="F1470" s="1344">
        <f>(1/S1470)*cnst_fish!$C$6</f>
        <v>2.3938164528281742</v>
      </c>
      <c r="G1470" s="719">
        <f t="shared" si="211"/>
        <v>1</v>
      </c>
      <c r="H1470" s="719">
        <f t="shared" si="211"/>
        <v>0.367192066876738</v>
      </c>
      <c r="I1470" s="719">
        <f t="shared" si="203"/>
        <v>0</v>
      </c>
      <c r="J1470" s="1386">
        <f t="shared" si="204"/>
        <v>0</v>
      </c>
      <c r="L1470" s="1460">
        <v>504</v>
      </c>
      <c r="M1470" s="1236"/>
      <c r="N1470" s="1240" t="s">
        <v>1804</v>
      </c>
      <c r="O1470" s="1241" t="s">
        <v>4851</v>
      </c>
      <c r="P1470" s="910">
        <f t="shared" si="205"/>
        <v>0</v>
      </c>
      <c r="Q1470" s="910">
        <f t="shared" si="206"/>
        <v>504</v>
      </c>
      <c r="R1470" s="1344">
        <f t="shared" si="207"/>
        <v>2.1</v>
      </c>
      <c r="S1470" s="1344">
        <f>(1/9)*cnst_fish!$C$7*(1/cnst_fish!$C$8)^(R1470-1)</f>
        <v>1.7754076320174161</v>
      </c>
      <c r="T1470" s="1362">
        <f t="shared" si="208"/>
        <v>77.309520321506326</v>
      </c>
      <c r="W1470" s="1612"/>
      <c r="X1470" s="1612"/>
      <c r="Y1470" s="1613"/>
      <c r="Z1470" s="1614"/>
      <c r="AA1470" s="1614"/>
      <c r="AB1470" s="1615"/>
      <c r="AC1470" s="1615"/>
      <c r="AD1470" s="583"/>
      <c r="AE1470" s="583"/>
    </row>
    <row r="1471" spans="1:31" ht="12.75" customHeight="1">
      <c r="A1471" s="1384" t="s">
        <v>1458</v>
      </c>
      <c r="B1471" s="19" t="s">
        <v>2801</v>
      </c>
      <c r="C1471" s="1383">
        <v>3246</v>
      </c>
      <c r="D1471" s="1236">
        <v>0</v>
      </c>
      <c r="E1471" s="1236"/>
      <c r="F1471" s="1344">
        <f>(1/S1471)*cnst_fish!$C$6</f>
        <v>0.1409583630333692</v>
      </c>
      <c r="G1471" s="719">
        <f t="shared" si="211"/>
        <v>1</v>
      </c>
      <c r="H1471" s="719">
        <f t="shared" si="211"/>
        <v>0.367192066876738</v>
      </c>
      <c r="I1471" s="719">
        <f t="shared" si="203"/>
        <v>0</v>
      </c>
      <c r="J1471" s="1386">
        <f t="shared" si="204"/>
        <v>0</v>
      </c>
      <c r="L1471" s="1460">
        <v>2</v>
      </c>
      <c r="M1471" s="1236"/>
      <c r="N1471" s="1240" t="s">
        <v>1806</v>
      </c>
      <c r="O1471" s="1241" t="s">
        <v>4841</v>
      </c>
      <c r="P1471" s="910">
        <f t="shared" si="205"/>
        <v>0</v>
      </c>
      <c r="Q1471" s="910">
        <f t="shared" si="206"/>
        <v>2</v>
      </c>
      <c r="R1471" s="1344">
        <f t="shared" si="207"/>
        <v>3.33</v>
      </c>
      <c r="S1471" s="1344">
        <f>(1/9)*cnst_fish!$C$7*(1/cnst_fish!$C$8)^(R1471-1)</f>
        <v>30.15074741605714</v>
      </c>
      <c r="T1471" s="1362">
        <f t="shared" si="208"/>
        <v>5.2099365936849349</v>
      </c>
      <c r="W1471" s="1612"/>
      <c r="X1471" s="1612"/>
      <c r="Y1471" s="1613"/>
      <c r="Z1471" s="1614"/>
      <c r="AA1471" s="1614"/>
      <c r="AB1471" s="1615"/>
      <c r="AC1471" s="1615"/>
      <c r="AD1471" s="583"/>
      <c r="AE1471" s="583"/>
    </row>
    <row r="1472" spans="1:31" ht="12.75" customHeight="1">
      <c r="A1472" s="1384" t="s">
        <v>6796</v>
      </c>
      <c r="B1472" s="19" t="s">
        <v>6795</v>
      </c>
      <c r="C1472" s="1383">
        <v>14657</v>
      </c>
      <c r="D1472" s="1236"/>
      <c r="E1472" s="1236"/>
      <c r="F1472" s="1344">
        <f>(1/S1472)*cnst_fish!$C$6</f>
        <v>3.0136363636363641</v>
      </c>
      <c r="G1472" s="719">
        <f t="shared" si="211"/>
        <v>1</v>
      </c>
      <c r="H1472" s="719">
        <f t="shared" si="211"/>
        <v>0.367192066876738</v>
      </c>
      <c r="I1472" s="719">
        <f t="shared" si="203"/>
        <v>0</v>
      </c>
      <c r="J1472" s="1386">
        <f t="shared" si="204"/>
        <v>0</v>
      </c>
      <c r="L1472" s="1460"/>
      <c r="M1472" s="1236">
        <v>79</v>
      </c>
      <c r="N1472" s="1240" t="s">
        <v>1806</v>
      </c>
      <c r="O1472" s="1241" t="s">
        <v>4845</v>
      </c>
      <c r="P1472" s="910">
        <f t="shared" si="205"/>
        <v>0</v>
      </c>
      <c r="Q1472" s="910">
        <f t="shared" si="206"/>
        <v>79</v>
      </c>
      <c r="R1472" s="1344">
        <f t="shared" si="207"/>
        <v>2</v>
      </c>
      <c r="S1472" s="1344">
        <f>(1/9)*cnst_fish!$C$7*(1/cnst_fish!$C$8)^(R1472-1)</f>
        <v>1.4102564102564099</v>
      </c>
      <c r="T1472" s="1362">
        <f t="shared" si="208"/>
        <v>9.6256381935410342</v>
      </c>
      <c r="W1472" s="1612"/>
      <c r="X1472" s="1612"/>
      <c r="Y1472" s="1613"/>
      <c r="Z1472" s="1614"/>
      <c r="AA1472" s="1614"/>
      <c r="AB1472" s="1615"/>
      <c r="AC1472" s="1615"/>
      <c r="AD1472" s="583"/>
      <c r="AE1472" s="583"/>
    </row>
    <row r="1473" spans="1:31" ht="12.75" customHeight="1">
      <c r="A1473" s="1384" t="s">
        <v>712</v>
      </c>
      <c r="B1473" s="19" t="s">
        <v>3621</v>
      </c>
      <c r="C1473" s="1383">
        <v>3046</v>
      </c>
      <c r="D1473" s="1236"/>
      <c r="E1473" s="1236"/>
      <c r="F1473" s="1344">
        <f>(1/S1473)*cnst_fish!$C$6</f>
        <v>7.3976000504507963E-2</v>
      </c>
      <c r="G1473" s="719">
        <f t="shared" si="211"/>
        <v>1</v>
      </c>
      <c r="H1473" s="719">
        <f t="shared" si="211"/>
        <v>0.367192066876738</v>
      </c>
      <c r="I1473" s="719">
        <f t="shared" si="203"/>
        <v>0</v>
      </c>
      <c r="J1473" s="1386">
        <f t="shared" si="204"/>
        <v>0</v>
      </c>
      <c r="L1473" s="1460">
        <v>5</v>
      </c>
      <c r="M1473" s="1236"/>
      <c r="N1473" s="1240" t="s">
        <v>1806</v>
      </c>
      <c r="O1473" s="1241" t="s">
        <v>4841</v>
      </c>
      <c r="P1473" s="910">
        <f t="shared" si="205"/>
        <v>0</v>
      </c>
      <c r="Q1473" s="910">
        <f t="shared" si="206"/>
        <v>5</v>
      </c>
      <c r="R1473" s="1344">
        <f t="shared" si="207"/>
        <v>3.61</v>
      </c>
      <c r="S1473" s="1344">
        <f>(1/9)*cnst_fish!$C$7*(1/cnst_fish!$C$8)^(R1473-1)</f>
        <v>57.451064818528707</v>
      </c>
      <c r="T1473" s="1362">
        <f t="shared" si="208"/>
        <v>24.818323805864711</v>
      </c>
      <c r="W1473" s="1612"/>
      <c r="X1473" s="1612"/>
      <c r="Y1473" s="1613"/>
      <c r="Z1473" s="1614"/>
      <c r="AA1473" s="1614"/>
      <c r="AB1473" s="1615"/>
      <c r="AC1473" s="1615"/>
      <c r="AD1473" s="583"/>
      <c r="AE1473" s="583"/>
    </row>
    <row r="1474" spans="1:31" ht="12.75" customHeight="1">
      <c r="A1474" s="1384" t="s">
        <v>512</v>
      </c>
      <c r="B1474" s="19" t="s">
        <v>3622</v>
      </c>
      <c r="C1474" s="1383">
        <v>2407</v>
      </c>
      <c r="D1474" s="1236"/>
      <c r="E1474" s="1236"/>
      <c r="F1474" s="1344">
        <f>(1/S1474)*cnst_fish!$C$6</f>
        <v>9.5299549485983348E-2</v>
      </c>
      <c r="G1474" s="719">
        <f t="shared" si="211"/>
        <v>1</v>
      </c>
      <c r="H1474" s="719">
        <f t="shared" si="211"/>
        <v>0.367192066876738</v>
      </c>
      <c r="I1474" s="719">
        <f t="shared" si="203"/>
        <v>0</v>
      </c>
      <c r="J1474" s="1386">
        <f t="shared" si="204"/>
        <v>0</v>
      </c>
      <c r="L1474" s="1460">
        <v>36</v>
      </c>
      <c r="M1474" s="1236"/>
      <c r="N1474" s="1240" t="s">
        <v>1806</v>
      </c>
      <c r="O1474" s="1241" t="s">
        <v>4841</v>
      </c>
      <c r="P1474" s="910">
        <f t="shared" si="205"/>
        <v>0</v>
      </c>
      <c r="Q1474" s="910">
        <f t="shared" si="206"/>
        <v>36</v>
      </c>
      <c r="R1474" s="1344">
        <f t="shared" si="207"/>
        <v>3.5</v>
      </c>
      <c r="S1474" s="1344">
        <f>(1/9)*cnst_fish!$C$7*(1/cnst_fish!$C$8)^(R1474-1)</f>
        <v>44.596223412631026</v>
      </c>
      <c r="T1474" s="1362">
        <f t="shared" si="208"/>
        <v>138.70909651578998</v>
      </c>
      <c r="W1474" s="1612"/>
      <c r="X1474" s="1612"/>
      <c r="Y1474" s="1613"/>
      <c r="Z1474" s="1614"/>
      <c r="AA1474" s="1614"/>
      <c r="AB1474" s="1615"/>
      <c r="AC1474" s="1615"/>
      <c r="AD1474" s="583"/>
      <c r="AE1474" s="583"/>
    </row>
    <row r="1475" spans="1:31" ht="12.75" customHeight="1">
      <c r="A1475" s="1384" t="s">
        <v>6857</v>
      </c>
      <c r="B1475" s="19" t="s">
        <v>6856</v>
      </c>
      <c r="C1475" s="1383">
        <v>19049</v>
      </c>
      <c r="D1475" s="1236"/>
      <c r="E1475" s="1236"/>
      <c r="F1475" s="1344">
        <f>(1/S1475)*cnst_fish!$C$6</f>
        <v>0.11997502458044032</v>
      </c>
      <c r="G1475" s="719">
        <f t="shared" si="211"/>
        <v>1</v>
      </c>
      <c r="H1475" s="719">
        <f t="shared" si="211"/>
        <v>0.367192066876738</v>
      </c>
      <c r="I1475" s="719">
        <f t="shared" si="203"/>
        <v>0</v>
      </c>
      <c r="J1475" s="1386">
        <f t="shared" si="204"/>
        <v>0</v>
      </c>
      <c r="L1475" s="1460">
        <v>0</v>
      </c>
      <c r="M1475" s="1236"/>
      <c r="N1475" s="1240" t="s">
        <v>1806</v>
      </c>
      <c r="O1475" s="1241" t="s">
        <v>4841</v>
      </c>
      <c r="P1475" s="910">
        <f t="shared" si="205"/>
        <v>0</v>
      </c>
      <c r="Q1475" s="910">
        <f t="shared" si="206"/>
        <v>0</v>
      </c>
      <c r="R1475" s="1344">
        <f t="shared" si="207"/>
        <v>3.4</v>
      </c>
      <c r="S1475" s="1344">
        <f>(1/9)*cnst_fish!$C$7*(1/cnst_fish!$C$8)^(R1475-1)</f>
        <v>35.424039418724846</v>
      </c>
      <c r="T1475" s="1362">
        <f t="shared" si="208"/>
        <v>0</v>
      </c>
      <c r="W1475" s="1612"/>
      <c r="X1475" s="1612"/>
      <c r="Y1475" s="1613"/>
      <c r="Z1475" s="1614"/>
      <c r="AA1475" s="1614"/>
      <c r="AB1475" s="1615"/>
      <c r="AC1475" s="1615"/>
      <c r="AD1475" s="583"/>
      <c r="AE1475" s="583"/>
    </row>
    <row r="1476" spans="1:31" ht="12.75" customHeight="1">
      <c r="A1476" s="1384" t="s">
        <v>5555</v>
      </c>
      <c r="B1476" s="19" t="s">
        <v>3890</v>
      </c>
      <c r="C1476" s="1383">
        <v>18733</v>
      </c>
      <c r="D1476" s="1236"/>
      <c r="E1476" s="1236"/>
      <c r="F1476" s="1344">
        <f>(1/S1476)*cnst_fish!$C$6</f>
        <v>3.9727464439222634E-2</v>
      </c>
      <c r="G1476" s="719">
        <f t="shared" si="211"/>
        <v>1</v>
      </c>
      <c r="H1476" s="719">
        <f t="shared" si="211"/>
        <v>0.367192066876738</v>
      </c>
      <c r="I1476" s="719">
        <f t="shared" si="203"/>
        <v>0</v>
      </c>
      <c r="J1476" s="1386">
        <f t="shared" si="204"/>
        <v>0</v>
      </c>
      <c r="L1476" s="1460">
        <v>1689</v>
      </c>
      <c r="M1476" s="1236"/>
      <c r="N1476" s="1240" t="s">
        <v>1806</v>
      </c>
      <c r="O1476" s="1241" t="s">
        <v>4841</v>
      </c>
      <c r="P1476" s="910">
        <f t="shared" si="205"/>
        <v>0</v>
      </c>
      <c r="Q1476" s="910">
        <f t="shared" si="206"/>
        <v>1689</v>
      </c>
      <c r="R1476" s="1344">
        <f t="shared" si="207"/>
        <v>3.88</v>
      </c>
      <c r="S1476" s="1344">
        <f>(1/9)*cnst_fish!$C$7*(1/cnst_fish!$C$8)^(R1476-1)</f>
        <v>106.97888878616692</v>
      </c>
      <c r="T1476" s="1362">
        <f t="shared" si="208"/>
        <v>15611.049174900376</v>
      </c>
      <c r="W1476" s="1612"/>
      <c r="X1476" s="1612"/>
      <c r="Y1476" s="1613"/>
      <c r="Z1476" s="1614"/>
      <c r="AA1476" s="1614"/>
      <c r="AB1476" s="1615"/>
      <c r="AC1476" s="1615"/>
      <c r="AD1476" s="583"/>
      <c r="AE1476" s="583"/>
    </row>
    <row r="1477" spans="1:31" ht="12.75" customHeight="1">
      <c r="A1477" s="1384" t="s">
        <v>5022</v>
      </c>
      <c r="B1477" s="19" t="s">
        <v>939</v>
      </c>
      <c r="C1477" s="1383">
        <v>2231</v>
      </c>
      <c r="D1477" s="1236"/>
      <c r="E1477" s="1236"/>
      <c r="F1477" s="1344">
        <f>(1/S1477)*cnst_fish!$C$6</f>
        <v>9.5299549485983424E-3</v>
      </c>
      <c r="G1477" s="719">
        <f t="shared" si="211"/>
        <v>1</v>
      </c>
      <c r="H1477" s="719">
        <f t="shared" si="211"/>
        <v>0.367192066876738</v>
      </c>
      <c r="I1477" s="719">
        <f t="shared" si="203"/>
        <v>0</v>
      </c>
      <c r="J1477" s="1386">
        <f t="shared" si="204"/>
        <v>0</v>
      </c>
      <c r="L1477" s="1460">
        <v>6804</v>
      </c>
      <c r="M1477" s="1236"/>
      <c r="N1477" s="1240" t="s">
        <v>1806</v>
      </c>
      <c r="O1477" s="1241" t="s">
        <v>4841</v>
      </c>
      <c r="P1477" s="910">
        <f t="shared" si="205"/>
        <v>0</v>
      </c>
      <c r="Q1477" s="910">
        <f t="shared" si="206"/>
        <v>6804</v>
      </c>
      <c r="R1477" s="1344">
        <f t="shared" si="207"/>
        <v>4.5</v>
      </c>
      <c r="S1477" s="1344">
        <f>(1/9)*cnst_fish!$C$7*(1/cnst_fish!$C$8)^(R1477-1)</f>
        <v>445.96223412630997</v>
      </c>
      <c r="T1477" s="1362">
        <f t="shared" si="208"/>
        <v>262160.19241484284</v>
      </c>
      <c r="W1477" s="1612"/>
      <c r="X1477" s="1612"/>
      <c r="Y1477" s="1613"/>
      <c r="Z1477" s="1614"/>
      <c r="AA1477" s="1614"/>
      <c r="AB1477" s="1615"/>
      <c r="AC1477" s="1615"/>
      <c r="AD1477" s="583"/>
      <c r="AE1477" s="583"/>
    </row>
    <row r="1478" spans="1:31" ht="12.75" customHeight="1">
      <c r="A1478" s="1384" t="s">
        <v>6897</v>
      </c>
      <c r="B1478" s="19" t="s">
        <v>6896</v>
      </c>
      <c r="C1478" s="1383">
        <v>14682</v>
      </c>
      <c r="D1478" s="1236"/>
      <c r="E1478" s="1236"/>
      <c r="F1478" s="1344">
        <f>(1/S1478)*cnst_fish!$C$6</f>
        <v>9.5299549485983424E-3</v>
      </c>
      <c r="G1478" s="719">
        <f t="shared" si="211"/>
        <v>1</v>
      </c>
      <c r="H1478" s="719">
        <f t="shared" si="211"/>
        <v>0.367192066876738</v>
      </c>
      <c r="I1478" s="719">
        <f t="shared" si="203"/>
        <v>0</v>
      </c>
      <c r="J1478" s="1386">
        <f t="shared" si="204"/>
        <v>0</v>
      </c>
      <c r="L1478" s="1460"/>
      <c r="M1478" s="1236">
        <v>1958</v>
      </c>
      <c r="N1478" s="1240" t="s">
        <v>1806</v>
      </c>
      <c r="O1478" s="1241" t="s">
        <v>4845</v>
      </c>
      <c r="P1478" s="910">
        <f t="shared" si="205"/>
        <v>0</v>
      </c>
      <c r="Q1478" s="910">
        <f t="shared" si="206"/>
        <v>1958</v>
      </c>
      <c r="R1478" s="1344">
        <f t="shared" si="207"/>
        <v>4.5</v>
      </c>
      <c r="S1478" s="1344">
        <f>(1/9)*cnst_fish!$C$7*(1/cnst_fish!$C$8)^(R1478-1)</f>
        <v>445.96223412630997</v>
      </c>
      <c r="T1478" s="1362">
        <f t="shared" si="208"/>
        <v>75442.336382754598</v>
      </c>
      <c r="W1478" s="1612"/>
      <c r="X1478" s="1612"/>
      <c r="Y1478" s="1613"/>
      <c r="Z1478" s="1614"/>
      <c r="AA1478" s="1614"/>
      <c r="AB1478" s="1615"/>
      <c r="AC1478" s="1615"/>
      <c r="AD1478" s="583"/>
      <c r="AE1478" s="583"/>
    </row>
    <row r="1479" spans="1:31" ht="12.75" customHeight="1">
      <c r="A1479" s="1384" t="s">
        <v>5134</v>
      </c>
      <c r="B1479" s="19" t="s">
        <v>6450</v>
      </c>
      <c r="C1479" s="1383">
        <v>2202</v>
      </c>
      <c r="D1479" s="1236"/>
      <c r="E1479" s="1236"/>
      <c r="F1479" s="1344">
        <f>(1/S1479)*cnst_fish!$C$6</f>
        <v>1.1997502458044018E-2</v>
      </c>
      <c r="G1479" s="719">
        <f t="shared" si="211"/>
        <v>1</v>
      </c>
      <c r="H1479" s="719">
        <f t="shared" si="211"/>
        <v>0.367192066876738</v>
      </c>
      <c r="I1479" s="719">
        <f t="shared" ref="I1479:I1542" si="212">IF($F1479=0,0,D1479/$F1479*$H1479*$G1479)</f>
        <v>0</v>
      </c>
      <c r="J1479" s="1386">
        <f t="shared" ref="J1479:J1542" si="213">IF($F1479=0,0,E1479/$F1479*$H1479*$G1479)</f>
        <v>0</v>
      </c>
      <c r="L1479" s="1460"/>
      <c r="M1479" s="1236">
        <v>995</v>
      </c>
      <c r="N1479" s="1240" t="s">
        <v>1806</v>
      </c>
      <c r="O1479" s="1241" t="s">
        <v>4845</v>
      </c>
      <c r="P1479" s="910">
        <f t="shared" ref="P1479:P1542" si="214">D1479+E1479</f>
        <v>0</v>
      </c>
      <c r="Q1479" s="910">
        <f t="shared" ref="Q1479:Q1542" si="215">L1479+M1479</f>
        <v>995</v>
      </c>
      <c r="R1479" s="1344">
        <f t="shared" ref="R1479:R1542" si="216">VLOOKUP(B1479,constant_fish_trophic,3,FALSE)</f>
        <v>4.4000000000000004</v>
      </c>
      <c r="S1479" s="1344">
        <f>(1/9)*cnst_fish!$C$7*(1/cnst_fish!$C$8)^(R1479-1)</f>
        <v>354.24039418724885</v>
      </c>
      <c r="T1479" s="1362">
        <f t="shared" ref="T1479:T1542" si="217">IF(F1479=0,0,Q1479/F1479*H1479*G1479)</f>
        <v>30452.680282419315</v>
      </c>
      <c r="W1479" s="1612"/>
      <c r="X1479" s="1612"/>
      <c r="Y1479" s="1613"/>
      <c r="Z1479" s="1614"/>
      <c r="AA1479" s="1614"/>
      <c r="AB1479" s="1615"/>
      <c r="AC1479" s="1615"/>
      <c r="AD1479" s="583"/>
      <c r="AE1479" s="583"/>
    </row>
    <row r="1480" spans="1:31" ht="12.75" customHeight="1">
      <c r="A1480" s="1384" t="s">
        <v>6870</v>
      </c>
      <c r="B1480" s="19" t="s">
        <v>6869</v>
      </c>
      <c r="C1480" s="1383">
        <v>6614</v>
      </c>
      <c r="D1480" s="1236"/>
      <c r="E1480" s="1236"/>
      <c r="F1480" s="1344">
        <f>(1/S1480)*cnst_fish!$C$6</f>
        <v>3.0136363636363641</v>
      </c>
      <c r="G1480" s="719">
        <f t="shared" si="211"/>
        <v>1</v>
      </c>
      <c r="H1480" s="719">
        <f t="shared" si="211"/>
        <v>0.367192066876738</v>
      </c>
      <c r="I1480" s="719">
        <f t="shared" si="212"/>
        <v>0</v>
      </c>
      <c r="J1480" s="1386">
        <f t="shared" si="213"/>
        <v>0</v>
      </c>
      <c r="L1480" s="1460"/>
      <c r="M1480" s="1236">
        <v>8327</v>
      </c>
      <c r="N1480" s="1240" t="s">
        <v>1806</v>
      </c>
      <c r="O1480" s="1241" t="s">
        <v>4845</v>
      </c>
      <c r="P1480" s="910">
        <f t="shared" si="214"/>
        <v>0</v>
      </c>
      <c r="Q1480" s="910">
        <f t="shared" si="215"/>
        <v>8327</v>
      </c>
      <c r="R1480" s="1344">
        <f t="shared" si="216"/>
        <v>2</v>
      </c>
      <c r="S1480" s="1344">
        <f>(1/9)*cnst_fish!$C$7*(1/cnst_fish!$C$8)^(R1480-1)</f>
        <v>1.4102564102564099</v>
      </c>
      <c r="T1480" s="1362">
        <f t="shared" si="217"/>
        <v>1014.5910030077998</v>
      </c>
      <c r="W1480" s="1612"/>
      <c r="X1480" s="1612"/>
      <c r="Y1480" s="1613"/>
      <c r="Z1480" s="1614"/>
      <c r="AA1480" s="1614"/>
      <c r="AB1480" s="1615"/>
      <c r="AC1480" s="1615"/>
      <c r="AD1480" s="583"/>
      <c r="AE1480" s="583"/>
    </row>
    <row r="1481" spans="1:31" ht="12.75" customHeight="1">
      <c r="A1481" s="1384" t="s">
        <v>921</v>
      </c>
      <c r="B1481" s="19" t="s">
        <v>2391</v>
      </c>
      <c r="C1481" s="1383">
        <v>2551</v>
      </c>
      <c r="D1481" s="1236">
        <v>2752</v>
      </c>
      <c r="E1481" s="1236"/>
      <c r="F1481" s="1344">
        <f>(1/S1481)*cnst_fish!$C$6</f>
        <v>0.44574948243432794</v>
      </c>
      <c r="G1481" s="719">
        <f t="shared" si="211"/>
        <v>1</v>
      </c>
      <c r="H1481" s="719">
        <f t="shared" si="211"/>
        <v>0.367192066876738</v>
      </c>
      <c r="I1481" s="719">
        <f t="shared" si="212"/>
        <v>2266.9966155118559</v>
      </c>
      <c r="J1481" s="1386">
        <f t="shared" si="213"/>
        <v>0</v>
      </c>
      <c r="L1481" s="1460">
        <v>4712</v>
      </c>
      <c r="M1481" s="1236"/>
      <c r="N1481" s="1240" t="s">
        <v>1807</v>
      </c>
      <c r="O1481" s="1241" t="s">
        <v>4841</v>
      </c>
      <c r="P1481" s="910">
        <f t="shared" si="214"/>
        <v>2752</v>
      </c>
      <c r="Q1481" s="910">
        <f t="shared" si="215"/>
        <v>4712</v>
      </c>
      <c r="R1481" s="1344">
        <f t="shared" si="216"/>
        <v>2.83</v>
      </c>
      <c r="S1481" s="1344">
        <f>(1/9)*cnst_fish!$C$7*(1/cnst_fish!$C$8)^(R1481-1)</f>
        <v>9.534503499117692</v>
      </c>
      <c r="T1481" s="1362">
        <f t="shared" si="217"/>
        <v>3881.5726934200097</v>
      </c>
      <c r="W1481" s="1612"/>
      <c r="X1481" s="1612"/>
      <c r="Y1481" s="1613"/>
      <c r="Z1481" s="1614"/>
      <c r="AA1481" s="1614"/>
      <c r="AB1481" s="1615"/>
      <c r="AC1481" s="1615"/>
      <c r="AD1481" s="583"/>
      <c r="AE1481" s="583"/>
    </row>
    <row r="1482" spans="1:31" ht="12.75" customHeight="1">
      <c r="A1482" s="1384" t="s">
        <v>5714</v>
      </c>
      <c r="B1482" s="19" t="s">
        <v>1407</v>
      </c>
      <c r="C1482" s="1383">
        <v>3365</v>
      </c>
      <c r="D1482" s="1236"/>
      <c r="E1482" s="1236"/>
      <c r="F1482" s="1344">
        <f>(1/S1482)*cnst_fish!$C$6</f>
        <v>0.2133491159303107</v>
      </c>
      <c r="G1482" s="719">
        <f t="shared" si="211"/>
        <v>1</v>
      </c>
      <c r="H1482" s="719">
        <f t="shared" si="211"/>
        <v>0.367192066876738</v>
      </c>
      <c r="I1482" s="719">
        <f t="shared" si="212"/>
        <v>0</v>
      </c>
      <c r="J1482" s="1386">
        <f t="shared" si="213"/>
        <v>0</v>
      </c>
      <c r="L1482" s="1460">
        <v>18171</v>
      </c>
      <c r="M1482" s="1236"/>
      <c r="N1482" s="1240" t="s">
        <v>1807</v>
      </c>
      <c r="O1482" s="1241" t="s">
        <v>4841</v>
      </c>
      <c r="P1482" s="910">
        <f t="shared" si="214"/>
        <v>0</v>
      </c>
      <c r="Q1482" s="910">
        <f t="shared" si="215"/>
        <v>18171</v>
      </c>
      <c r="R1482" s="1344">
        <f t="shared" si="216"/>
        <v>3.15</v>
      </c>
      <c r="S1482" s="1344">
        <f>(1/9)*cnst_fish!$C$7*(1/cnst_fish!$C$8)^(R1482-1)</f>
        <v>19.920401270320887</v>
      </c>
      <c r="T1482" s="1362">
        <f t="shared" si="217"/>
        <v>31273.844365948338</v>
      </c>
      <c r="W1482" s="1612"/>
      <c r="X1482" s="1612"/>
      <c r="Y1482" s="1613"/>
      <c r="Z1482" s="1614"/>
      <c r="AA1482" s="1614"/>
      <c r="AB1482" s="1615"/>
      <c r="AC1482" s="1615"/>
      <c r="AD1482" s="583"/>
      <c r="AE1482" s="583"/>
    </row>
    <row r="1483" spans="1:31" ht="12.75" customHeight="1">
      <c r="A1483" s="1384" t="s">
        <v>6834</v>
      </c>
      <c r="B1483" s="19" t="s">
        <v>6833</v>
      </c>
      <c r="C1483" s="1383">
        <v>19410</v>
      </c>
      <c r="D1483" s="1236"/>
      <c r="E1483" s="1236"/>
      <c r="F1483" s="1344">
        <f>(1/S1483)*cnst_fish!$C$6</f>
        <v>3.0136363636363641</v>
      </c>
      <c r="G1483" s="719">
        <f t="shared" si="211"/>
        <v>1</v>
      </c>
      <c r="H1483" s="719">
        <f t="shared" si="211"/>
        <v>0.367192066876738</v>
      </c>
      <c r="I1483" s="719">
        <f t="shared" si="212"/>
        <v>0</v>
      </c>
      <c r="J1483" s="1386">
        <f t="shared" si="213"/>
        <v>0</v>
      </c>
      <c r="L1483" s="1460">
        <v>0</v>
      </c>
      <c r="M1483" s="1236"/>
      <c r="N1483" s="1240" t="s">
        <v>5367</v>
      </c>
      <c r="O1483" s="1241"/>
      <c r="P1483" s="910">
        <f t="shared" si="214"/>
        <v>0</v>
      </c>
      <c r="Q1483" s="910">
        <f t="shared" si="215"/>
        <v>0</v>
      </c>
      <c r="R1483" s="1344">
        <f t="shared" si="216"/>
        <v>2</v>
      </c>
      <c r="S1483" s="1344">
        <f>(1/9)*cnst_fish!$C$7*(1/cnst_fish!$C$8)^(R1483-1)</f>
        <v>1.4102564102564099</v>
      </c>
      <c r="T1483" s="1362">
        <f t="shared" si="217"/>
        <v>0</v>
      </c>
      <c r="W1483" s="1612"/>
      <c r="X1483" s="1612"/>
      <c r="Y1483" s="1613"/>
      <c r="Z1483" s="1614"/>
      <c r="AA1483" s="1614"/>
      <c r="AB1483" s="1615"/>
      <c r="AC1483" s="1615"/>
      <c r="AD1483" s="583"/>
      <c r="AE1483" s="583"/>
    </row>
    <row r="1484" spans="1:31" ht="12.75" customHeight="1">
      <c r="A1484" s="1384" t="s">
        <v>4640</v>
      </c>
      <c r="B1484" s="19" t="s">
        <v>3892</v>
      </c>
      <c r="C1484" s="1383">
        <v>2365</v>
      </c>
      <c r="D1484" s="1236"/>
      <c r="E1484" s="1236"/>
      <c r="F1484" s="1344">
        <f>(1/S1484)*cnst_fish!$C$6</f>
        <v>2.6247675460949162E-2</v>
      </c>
      <c r="G1484" s="719">
        <f t="shared" si="211"/>
        <v>1</v>
      </c>
      <c r="H1484" s="719">
        <f t="shared" si="211"/>
        <v>0.367192066876738</v>
      </c>
      <c r="I1484" s="719">
        <f t="shared" si="212"/>
        <v>0</v>
      </c>
      <c r="J1484" s="1386">
        <f t="shared" si="213"/>
        <v>0</v>
      </c>
      <c r="L1484" s="1460">
        <v>20666</v>
      </c>
      <c r="M1484" s="1236"/>
      <c r="N1484" s="1240" t="s">
        <v>1806</v>
      </c>
      <c r="O1484" s="1241" t="s">
        <v>4841</v>
      </c>
      <c r="P1484" s="910">
        <f t="shared" si="214"/>
        <v>0</v>
      </c>
      <c r="Q1484" s="910">
        <f t="shared" si="215"/>
        <v>20666</v>
      </c>
      <c r="R1484" s="1344">
        <f t="shared" si="216"/>
        <v>4.0599999999999996</v>
      </c>
      <c r="S1484" s="1344">
        <f>(1/9)*cnst_fish!$C$7*(1/cnst_fish!$C$8)^(R1484-1)</f>
        <v>161.91910046750908</v>
      </c>
      <c r="T1484" s="1362">
        <f t="shared" si="217"/>
        <v>289107.1731424196</v>
      </c>
      <c r="W1484" s="1612"/>
      <c r="X1484" s="1612"/>
      <c r="Y1484" s="1613"/>
      <c r="Z1484" s="1614"/>
      <c r="AA1484" s="1614"/>
      <c r="AB1484" s="1615"/>
      <c r="AC1484" s="1615"/>
      <c r="AD1484" s="583"/>
      <c r="AE1484" s="583"/>
    </row>
    <row r="1485" spans="1:31" ht="12.75" customHeight="1">
      <c r="A1485" s="1384" t="s">
        <v>4641</v>
      </c>
      <c r="B1485" s="19" t="s">
        <v>3893</v>
      </c>
      <c r="C1485" s="1383">
        <v>2364</v>
      </c>
      <c r="D1485" s="1236"/>
      <c r="E1485" s="1236"/>
      <c r="F1485" s="1344">
        <f>(1/S1485)*cnst_fish!$C$6</f>
        <v>4.3560298545661361E-2</v>
      </c>
      <c r="G1485" s="719">
        <f t="shared" si="211"/>
        <v>1</v>
      </c>
      <c r="H1485" s="719">
        <f t="shared" si="211"/>
        <v>0.367192066876738</v>
      </c>
      <c r="I1485" s="719">
        <f t="shared" si="212"/>
        <v>0</v>
      </c>
      <c r="J1485" s="1386">
        <f t="shared" si="213"/>
        <v>0</v>
      </c>
      <c r="L1485" s="1460">
        <v>6811</v>
      </c>
      <c r="M1485" s="1236"/>
      <c r="N1485" s="1240" t="s">
        <v>1806</v>
      </c>
      <c r="O1485" s="1241" t="s">
        <v>4841</v>
      </c>
      <c r="P1485" s="910">
        <f t="shared" si="214"/>
        <v>0</v>
      </c>
      <c r="Q1485" s="910">
        <f t="shared" si="215"/>
        <v>6811</v>
      </c>
      <c r="R1485" s="1344">
        <f t="shared" si="216"/>
        <v>3.84</v>
      </c>
      <c r="S1485" s="1344">
        <f>(1/9)*cnst_fish!$C$7*(1/cnst_fish!$C$8)^(R1485-1)</f>
        <v>97.565906155234643</v>
      </c>
      <c r="T1485" s="1362">
        <f t="shared" si="217"/>
        <v>57413.407414457644</v>
      </c>
      <c r="W1485" s="1612"/>
      <c r="X1485" s="1612"/>
      <c r="Y1485" s="1613"/>
      <c r="Z1485" s="1614"/>
      <c r="AA1485" s="1614"/>
      <c r="AB1485" s="1615"/>
      <c r="AC1485" s="1615"/>
      <c r="AD1485" s="583"/>
      <c r="AE1485" s="583"/>
    </row>
    <row r="1486" spans="1:31" ht="12.75" customHeight="1">
      <c r="A1486" s="1384" t="s">
        <v>2849</v>
      </c>
      <c r="B1486" s="19" t="s">
        <v>6664</v>
      </c>
      <c r="C1486" s="1383">
        <v>3166</v>
      </c>
      <c r="D1486" s="1236"/>
      <c r="E1486" s="1236"/>
      <c r="F1486" s="1344">
        <f>(1/S1486)*cnst_fish!$C$6</f>
        <v>3.7939434000887833E-2</v>
      </c>
      <c r="G1486" s="719">
        <f t="shared" si="211"/>
        <v>1</v>
      </c>
      <c r="H1486" s="719">
        <f t="shared" si="211"/>
        <v>0.367192066876738</v>
      </c>
      <c r="I1486" s="719">
        <f t="shared" si="212"/>
        <v>0</v>
      </c>
      <c r="J1486" s="1386">
        <f t="shared" si="213"/>
        <v>0</v>
      </c>
      <c r="L1486" s="1460">
        <v>2732</v>
      </c>
      <c r="M1486" s="1236"/>
      <c r="N1486" s="1240" t="s">
        <v>1806</v>
      </c>
      <c r="O1486" s="1241" t="s">
        <v>4841</v>
      </c>
      <c r="P1486" s="910">
        <f t="shared" si="214"/>
        <v>0</v>
      </c>
      <c r="Q1486" s="910">
        <f t="shared" si="215"/>
        <v>2732</v>
      </c>
      <c r="R1486" s="1344">
        <f t="shared" si="216"/>
        <v>3.9</v>
      </c>
      <c r="S1486" s="1344">
        <f>(1/9)*cnst_fish!$C$7*(1/cnst_fish!$C$8)^(R1486-1)</f>
        <v>112.02064848675771</v>
      </c>
      <c r="T1486" s="1362">
        <f t="shared" si="217"/>
        <v>26441.320307619055</v>
      </c>
      <c r="W1486" s="1612"/>
      <c r="X1486" s="1612"/>
      <c r="Y1486" s="1613"/>
      <c r="Z1486" s="1614"/>
      <c r="AA1486" s="1614"/>
      <c r="AB1486" s="1615"/>
      <c r="AC1486" s="1615"/>
      <c r="AD1486" s="583"/>
      <c r="AE1486" s="583"/>
    </row>
    <row r="1487" spans="1:31" ht="12.75" customHeight="1">
      <c r="A1487" s="1384" t="s">
        <v>2246</v>
      </c>
      <c r="B1487" s="19" t="s">
        <v>3894</v>
      </c>
      <c r="C1487" s="1383">
        <v>2363</v>
      </c>
      <c r="D1487" s="1236"/>
      <c r="E1487" s="1236"/>
      <c r="F1487" s="1344">
        <f>(1/S1487)*cnst_fish!$C$6</f>
        <v>5.001391452868649E-2</v>
      </c>
      <c r="G1487" s="719">
        <f t="shared" si="211"/>
        <v>1</v>
      </c>
      <c r="H1487" s="719">
        <f t="shared" si="211"/>
        <v>0.367192066876738</v>
      </c>
      <c r="I1487" s="719">
        <f t="shared" si="212"/>
        <v>0</v>
      </c>
      <c r="J1487" s="1386">
        <f t="shared" si="213"/>
        <v>0</v>
      </c>
      <c r="L1487" s="1460">
        <v>44110</v>
      </c>
      <c r="M1487" s="1236"/>
      <c r="N1487" s="1240" t="s">
        <v>1806</v>
      </c>
      <c r="O1487" s="1241" t="s">
        <v>4841</v>
      </c>
      <c r="P1487" s="910">
        <f t="shared" si="214"/>
        <v>0</v>
      </c>
      <c r="Q1487" s="910">
        <f t="shared" si="215"/>
        <v>44110</v>
      </c>
      <c r="R1487" s="1344">
        <f t="shared" si="216"/>
        <v>3.78</v>
      </c>
      <c r="S1487" s="1344">
        <f>(1/9)*cnst_fish!$C$7*(1/cnst_fish!$C$8)^(R1487-1)</f>
        <v>84.976351882281207</v>
      </c>
      <c r="T1487" s="1362">
        <f t="shared" si="217"/>
        <v>323846.71790973062</v>
      </c>
      <c r="W1487" s="1612"/>
      <c r="X1487" s="1612"/>
      <c r="Y1487" s="1613"/>
      <c r="Z1487" s="1614"/>
      <c r="AA1487" s="1614"/>
      <c r="AB1487" s="1615"/>
      <c r="AC1487" s="1615"/>
      <c r="AD1487" s="583"/>
      <c r="AE1487" s="583"/>
    </row>
    <row r="1488" spans="1:31" ht="12.75" customHeight="1">
      <c r="A1488" s="1384" t="s">
        <v>836</v>
      </c>
      <c r="B1488" s="19" t="s">
        <v>3895</v>
      </c>
      <c r="C1488" s="1383">
        <v>3209</v>
      </c>
      <c r="D1488" s="1236"/>
      <c r="E1488" s="1236"/>
      <c r="F1488" s="1344">
        <f>(1/S1488)*cnst_fish!$C$6</f>
        <v>0.17341667202478855</v>
      </c>
      <c r="G1488" s="719">
        <f t="shared" ref="G1488:H1507" si="218">G$7</f>
        <v>1</v>
      </c>
      <c r="H1488" s="719">
        <f t="shared" si="218"/>
        <v>0.367192066876738</v>
      </c>
      <c r="I1488" s="719">
        <f t="shared" si="212"/>
        <v>0</v>
      </c>
      <c r="J1488" s="1386">
        <f t="shared" si="213"/>
        <v>0</v>
      </c>
      <c r="L1488" s="1460">
        <v>2478</v>
      </c>
      <c r="M1488" s="1236"/>
      <c r="N1488" s="1240" t="s">
        <v>1806</v>
      </c>
      <c r="O1488" s="1241" t="s">
        <v>4841</v>
      </c>
      <c r="P1488" s="910">
        <f t="shared" si="214"/>
        <v>0</v>
      </c>
      <c r="Q1488" s="910">
        <f t="shared" si="215"/>
        <v>2478</v>
      </c>
      <c r="R1488" s="1344">
        <f t="shared" si="216"/>
        <v>3.24</v>
      </c>
      <c r="S1488" s="1344">
        <f>(1/9)*cnst_fish!$C$7*(1/cnst_fish!$C$8)^(R1488-1)</f>
        <v>24.507447584927103</v>
      </c>
      <c r="T1488" s="1362">
        <f t="shared" si="217"/>
        <v>5246.9115633270449</v>
      </c>
      <c r="W1488" s="1612"/>
      <c r="X1488" s="1612"/>
      <c r="Y1488" s="1613"/>
      <c r="Z1488" s="1614"/>
      <c r="AA1488" s="1614"/>
      <c r="AB1488" s="1615"/>
      <c r="AC1488" s="1615"/>
      <c r="AD1488" s="583"/>
      <c r="AE1488" s="583"/>
    </row>
    <row r="1489" spans="1:31" ht="12.75" customHeight="1">
      <c r="A1489" s="1384" t="s">
        <v>160</v>
      </c>
      <c r="B1489" s="19" t="s">
        <v>3896</v>
      </c>
      <c r="C1489" s="1383">
        <v>2383</v>
      </c>
      <c r="D1489" s="1236"/>
      <c r="E1489" s="1236"/>
      <c r="F1489" s="1344">
        <f>(1/S1489)*cnst_fish!$C$6</f>
        <v>6.2963787943464855E-2</v>
      </c>
      <c r="G1489" s="719">
        <f t="shared" si="218"/>
        <v>1</v>
      </c>
      <c r="H1489" s="719">
        <f t="shared" si="218"/>
        <v>0.367192066876738</v>
      </c>
      <c r="I1489" s="719">
        <f t="shared" si="212"/>
        <v>0</v>
      </c>
      <c r="J1489" s="1386">
        <f t="shared" si="213"/>
        <v>0</v>
      </c>
      <c r="L1489" s="1460">
        <v>1805</v>
      </c>
      <c r="M1489" s="1236"/>
      <c r="N1489" s="1240" t="s">
        <v>1806</v>
      </c>
      <c r="O1489" s="1241" t="s">
        <v>4841</v>
      </c>
      <c r="P1489" s="910">
        <f t="shared" si="214"/>
        <v>0</v>
      </c>
      <c r="Q1489" s="910">
        <f t="shared" si="215"/>
        <v>1805</v>
      </c>
      <c r="R1489" s="1344">
        <f t="shared" si="216"/>
        <v>3.68</v>
      </c>
      <c r="S1489" s="1344">
        <f>(1/9)*cnst_fish!$C$7*(1/cnst_fish!$C$8)^(R1489-1)</f>
        <v>67.499115583961881</v>
      </c>
      <c r="T1489" s="1362">
        <f t="shared" si="217"/>
        <v>10526.394652552088</v>
      </c>
      <c r="W1489" s="1612"/>
      <c r="X1489" s="1612"/>
      <c r="Y1489" s="1613"/>
      <c r="Z1489" s="1614"/>
      <c r="AA1489" s="1614"/>
      <c r="AB1489" s="1615"/>
      <c r="AC1489" s="1615"/>
      <c r="AD1489" s="583"/>
      <c r="AE1489" s="583"/>
    </row>
    <row r="1490" spans="1:31" ht="12.75" customHeight="1">
      <c r="A1490" s="1585" t="s">
        <v>8579</v>
      </c>
      <c r="B1490" s="1586" t="s">
        <v>8580</v>
      </c>
      <c r="C1490" s="1383">
        <v>14740</v>
      </c>
      <c r="D1490" s="1236">
        <v>7</v>
      </c>
      <c r="E1490" s="1236"/>
      <c r="F1490" s="1344">
        <f>(1/S1490)*cnst_fish!$C$6</f>
        <v>1.1997502458044018E-2</v>
      </c>
      <c r="G1490" s="719">
        <f t="shared" si="218"/>
        <v>1</v>
      </c>
      <c r="H1490" s="719">
        <f t="shared" si="218"/>
        <v>0.367192066876738</v>
      </c>
      <c r="I1490" s="719">
        <f t="shared" si="212"/>
        <v>214.23996178586452</v>
      </c>
      <c r="J1490" s="1386">
        <f t="shared" si="213"/>
        <v>0</v>
      </c>
      <c r="L1490" s="1460">
        <v>14</v>
      </c>
      <c r="M1490" s="1236"/>
      <c r="N1490" s="1240" t="s">
        <v>1806</v>
      </c>
      <c r="O1490" s="1241" t="s">
        <v>4841</v>
      </c>
      <c r="P1490" s="910">
        <f t="shared" si="214"/>
        <v>7</v>
      </c>
      <c r="Q1490" s="910">
        <f t="shared" si="215"/>
        <v>14</v>
      </c>
      <c r="R1490" s="1344">
        <f t="shared" si="216"/>
        <v>4.4000000000000004</v>
      </c>
      <c r="S1490" s="1344">
        <f>(1/9)*cnst_fish!$C$7*(1/cnst_fish!$C$8)^(R1490-1)</f>
        <v>354.24039418724885</v>
      </c>
      <c r="T1490" s="1362">
        <f t="shared" si="217"/>
        <v>428.47992357172905</v>
      </c>
      <c r="W1490" s="1616"/>
      <c r="X1490" s="1616"/>
      <c r="Y1490" s="1613"/>
      <c r="Z1490" s="1614"/>
      <c r="AA1490" s="1614"/>
      <c r="AB1490" s="1615"/>
      <c r="AC1490" s="1615"/>
      <c r="AD1490" s="583"/>
      <c r="AE1490" s="583"/>
    </row>
    <row r="1491" spans="1:31" ht="12.75" customHeight="1">
      <c r="A1491" s="1384" t="s">
        <v>124</v>
      </c>
      <c r="B1491" s="19" t="s">
        <v>3422</v>
      </c>
      <c r="C1491" s="1383">
        <v>2359</v>
      </c>
      <c r="D1491" s="1236"/>
      <c r="E1491" s="1236"/>
      <c r="F1491" s="1344">
        <f>(1/S1491)*cnst_fish!$C$6</f>
        <v>8.3002437741509269E-2</v>
      </c>
      <c r="G1491" s="719">
        <f t="shared" si="218"/>
        <v>1</v>
      </c>
      <c r="H1491" s="719">
        <f t="shared" si="218"/>
        <v>0.367192066876738</v>
      </c>
      <c r="I1491" s="719">
        <f t="shared" si="212"/>
        <v>0</v>
      </c>
      <c r="J1491" s="1386">
        <f t="shared" si="213"/>
        <v>0</v>
      </c>
      <c r="L1491" s="1460">
        <v>2160</v>
      </c>
      <c r="M1491" s="1236"/>
      <c r="N1491" s="1240" t="s">
        <v>1806</v>
      </c>
      <c r="O1491" s="1241" t="s">
        <v>4841</v>
      </c>
      <c r="P1491" s="910">
        <f t="shared" si="214"/>
        <v>0</v>
      </c>
      <c r="Q1491" s="910">
        <f t="shared" si="215"/>
        <v>2160</v>
      </c>
      <c r="R1491" s="1344">
        <f t="shared" si="216"/>
        <v>3.56</v>
      </c>
      <c r="S1491" s="1344">
        <f>(1/9)*cnst_fish!$C$7*(1/cnst_fish!$C$8)^(R1491-1)</f>
        <v>51.203315416296356</v>
      </c>
      <c r="T1491" s="1362">
        <f t="shared" si="217"/>
        <v>9555.5610899498879</v>
      </c>
      <c r="W1491" s="1612"/>
      <c r="X1491" s="1612"/>
      <c r="Y1491" s="1613"/>
      <c r="Z1491" s="1614"/>
      <c r="AA1491" s="1614"/>
      <c r="AB1491" s="1615"/>
      <c r="AC1491" s="1615"/>
      <c r="AD1491" s="583"/>
      <c r="AE1491" s="583"/>
    </row>
    <row r="1492" spans="1:31" ht="12.75" customHeight="1">
      <c r="A1492" s="1384" t="s">
        <v>1708</v>
      </c>
      <c r="B1492" s="19" t="s">
        <v>3423</v>
      </c>
      <c r="C1492" s="1383">
        <v>2884</v>
      </c>
      <c r="D1492" s="1236"/>
      <c r="E1492" s="1236"/>
      <c r="F1492" s="1344">
        <f>(1/S1492)*cnst_fish!$C$6</f>
        <v>0.28124890974018413</v>
      </c>
      <c r="G1492" s="719">
        <f t="shared" si="218"/>
        <v>1</v>
      </c>
      <c r="H1492" s="719">
        <f t="shared" si="218"/>
        <v>0.367192066876738</v>
      </c>
      <c r="I1492" s="719">
        <f t="shared" si="212"/>
        <v>0</v>
      </c>
      <c r="J1492" s="1386">
        <f t="shared" si="213"/>
        <v>0</v>
      </c>
      <c r="L1492" s="1460">
        <v>0</v>
      </c>
      <c r="M1492" s="1236"/>
      <c r="N1492" s="1240" t="s">
        <v>1806</v>
      </c>
      <c r="O1492" s="1241" t="s">
        <v>4841</v>
      </c>
      <c r="P1492" s="910">
        <f t="shared" si="214"/>
        <v>0</v>
      </c>
      <c r="Q1492" s="910">
        <f t="shared" si="215"/>
        <v>0</v>
      </c>
      <c r="R1492" s="1344">
        <f t="shared" si="216"/>
        <v>3.03</v>
      </c>
      <c r="S1492" s="1344">
        <f>(1/9)*cnst_fish!$C$7*(1/cnst_fish!$C$8)^(R1492-1)</f>
        <v>15.111169689248294</v>
      </c>
      <c r="T1492" s="1362">
        <f t="shared" si="217"/>
        <v>0</v>
      </c>
      <c r="W1492" s="1612"/>
      <c r="X1492" s="1612"/>
      <c r="Y1492" s="1613"/>
      <c r="Z1492" s="1614"/>
      <c r="AA1492" s="1614"/>
      <c r="AB1492" s="1615"/>
      <c r="AC1492" s="1615"/>
      <c r="AD1492" s="583"/>
      <c r="AE1492" s="583"/>
    </row>
    <row r="1493" spans="1:31" ht="12.75" customHeight="1">
      <c r="A1493" s="1585" t="s">
        <v>6954</v>
      </c>
      <c r="B1493" s="1586" t="s">
        <v>8581</v>
      </c>
      <c r="C1493" s="1383">
        <v>19882</v>
      </c>
      <c r="D1493" s="1236"/>
      <c r="E1493" s="1236"/>
      <c r="F1493" s="1344">
        <f>(1/S1493)*cnst_fish!$C$6</f>
        <v>3.0136363636363641</v>
      </c>
      <c r="G1493" s="719">
        <f t="shared" si="218"/>
        <v>1</v>
      </c>
      <c r="H1493" s="719">
        <f t="shared" si="218"/>
        <v>0.367192066876738</v>
      </c>
      <c r="I1493" s="719">
        <f t="shared" si="212"/>
        <v>0</v>
      </c>
      <c r="J1493" s="1386">
        <f t="shared" si="213"/>
        <v>0</v>
      </c>
      <c r="L1493" s="1460"/>
      <c r="M1493" s="1236">
        <v>1465</v>
      </c>
      <c r="N1493" s="1240" t="s">
        <v>1806</v>
      </c>
      <c r="O1493" s="1241" t="s">
        <v>4845</v>
      </c>
      <c r="P1493" s="910">
        <f t="shared" si="214"/>
        <v>0</v>
      </c>
      <c r="Q1493" s="910">
        <f t="shared" si="215"/>
        <v>1465</v>
      </c>
      <c r="R1493" s="1344">
        <f t="shared" si="216"/>
        <v>2</v>
      </c>
      <c r="S1493" s="1344">
        <f>(1/9)*cnst_fish!$C$7*(1/cnst_fish!$C$8)^(R1493-1)</f>
        <v>1.4102564102564099</v>
      </c>
      <c r="T1493" s="1362">
        <f t="shared" si="217"/>
        <v>178.50075890553944</v>
      </c>
      <c r="W1493" s="1616"/>
      <c r="X1493" s="1616"/>
      <c r="Y1493" s="1613"/>
      <c r="Z1493" s="1614"/>
      <c r="AA1493" s="1614"/>
      <c r="AB1493" s="1615"/>
      <c r="AC1493" s="1615"/>
      <c r="AD1493" s="583"/>
      <c r="AE1493" s="583"/>
    </row>
    <row r="1494" spans="1:31" ht="12.75" customHeight="1">
      <c r="A1494" s="1384" t="s">
        <v>5708</v>
      </c>
      <c r="B1494" s="19" t="s">
        <v>4116</v>
      </c>
      <c r="C1494" s="1383">
        <v>18575</v>
      </c>
      <c r="D1494" s="1236"/>
      <c r="E1494" s="1236"/>
      <c r="F1494" s="1344">
        <f>(1/S1494)*cnst_fish!$C$6</f>
        <v>6.2963787943464855E-2</v>
      </c>
      <c r="G1494" s="719">
        <f t="shared" si="218"/>
        <v>1</v>
      </c>
      <c r="H1494" s="719">
        <f t="shared" si="218"/>
        <v>0.367192066876738</v>
      </c>
      <c r="I1494" s="719">
        <f t="shared" si="212"/>
        <v>0</v>
      </c>
      <c r="J1494" s="1386">
        <f t="shared" si="213"/>
        <v>0</v>
      </c>
      <c r="L1494" s="1460">
        <v>108</v>
      </c>
      <c r="M1494" s="1236"/>
      <c r="N1494" s="1240" t="s">
        <v>1806</v>
      </c>
      <c r="O1494" s="1241" t="s">
        <v>4841</v>
      </c>
      <c r="P1494" s="910">
        <f t="shared" si="214"/>
        <v>0</v>
      </c>
      <c r="Q1494" s="910">
        <f t="shared" si="215"/>
        <v>108</v>
      </c>
      <c r="R1494" s="1344">
        <f t="shared" si="216"/>
        <v>3.68</v>
      </c>
      <c r="S1494" s="1344">
        <f>(1/9)*cnst_fish!$C$7*(1/cnst_fish!$C$8)^(R1494-1)</f>
        <v>67.499115583961881</v>
      </c>
      <c r="T1494" s="1362">
        <f t="shared" si="217"/>
        <v>629.83413987569281</v>
      </c>
      <c r="W1494" s="1612"/>
      <c r="X1494" s="1612"/>
      <c r="Y1494" s="1613"/>
      <c r="Z1494" s="1614"/>
      <c r="AA1494" s="1614"/>
      <c r="AB1494" s="1615"/>
      <c r="AC1494" s="1615"/>
      <c r="AD1494" s="583"/>
      <c r="AE1494" s="583"/>
    </row>
    <row r="1495" spans="1:31" ht="12.75" customHeight="1">
      <c r="A1495" s="1384" t="s">
        <v>3256</v>
      </c>
      <c r="B1495" s="19" t="s">
        <v>4117</v>
      </c>
      <c r="C1495" s="1383">
        <v>3339</v>
      </c>
      <c r="D1495" s="1236"/>
      <c r="E1495" s="1236"/>
      <c r="F1495" s="1344">
        <f>(1/S1495)*cnst_fish!$C$6</f>
        <v>5.1178888253733429E-2</v>
      </c>
      <c r="G1495" s="719">
        <f t="shared" si="218"/>
        <v>1</v>
      </c>
      <c r="H1495" s="719">
        <f t="shared" si="218"/>
        <v>0.367192066876738</v>
      </c>
      <c r="I1495" s="719">
        <f t="shared" si="212"/>
        <v>0</v>
      </c>
      <c r="J1495" s="1386">
        <f t="shared" si="213"/>
        <v>0</v>
      </c>
      <c r="L1495" s="1460">
        <v>237</v>
      </c>
      <c r="M1495" s="1236"/>
      <c r="N1495" s="1240" t="s">
        <v>1806</v>
      </c>
      <c r="O1495" s="1241" t="s">
        <v>4841</v>
      </c>
      <c r="P1495" s="910">
        <f t="shared" si="214"/>
        <v>0</v>
      </c>
      <c r="Q1495" s="910">
        <f t="shared" si="215"/>
        <v>237</v>
      </c>
      <c r="R1495" s="1344">
        <f t="shared" si="216"/>
        <v>3.77</v>
      </c>
      <c r="S1495" s="1344">
        <f>(1/9)*cnst_fish!$C$7*(1/cnst_fish!$C$8)^(R1495-1)</f>
        <v>83.042053960403649</v>
      </c>
      <c r="T1495" s="1362">
        <f t="shared" si="217"/>
        <v>1700.3987937045231</v>
      </c>
      <c r="W1495" s="1612"/>
      <c r="X1495" s="1612"/>
      <c r="Y1495" s="1613"/>
      <c r="Z1495" s="1614"/>
      <c r="AA1495" s="1614"/>
      <c r="AB1495" s="1615"/>
      <c r="AC1495" s="1615"/>
      <c r="AD1495" s="583"/>
      <c r="AE1495" s="583"/>
    </row>
    <row r="1496" spans="1:31" ht="12.75" customHeight="1">
      <c r="A1496" s="1384" t="s">
        <v>4719</v>
      </c>
      <c r="B1496" s="19" t="s">
        <v>4567</v>
      </c>
      <c r="C1496" s="1383">
        <v>16303</v>
      </c>
      <c r="D1496" s="1236"/>
      <c r="E1496" s="1236"/>
      <c r="F1496" s="1344">
        <f>(1/S1496)*cnst_fish!$C$6</f>
        <v>0.3314045734418738</v>
      </c>
      <c r="G1496" s="719">
        <f t="shared" si="218"/>
        <v>1</v>
      </c>
      <c r="H1496" s="719">
        <f t="shared" si="218"/>
        <v>0.367192066876738</v>
      </c>
      <c r="I1496" s="719">
        <f t="shared" si="212"/>
        <v>0</v>
      </c>
      <c r="J1496" s="1386">
        <f t="shared" si="213"/>
        <v>0</v>
      </c>
      <c r="L1496" s="1460">
        <v>0</v>
      </c>
      <c r="M1496" s="1236"/>
      <c r="N1496" s="1240" t="s">
        <v>3932</v>
      </c>
      <c r="O1496" s="1241" t="s">
        <v>4840</v>
      </c>
      <c r="P1496" s="910">
        <f t="shared" si="214"/>
        <v>0</v>
      </c>
      <c r="Q1496" s="910">
        <f t="shared" si="215"/>
        <v>0</v>
      </c>
      <c r="R1496" s="1344">
        <f t="shared" si="216"/>
        <v>2.9587323501170402</v>
      </c>
      <c r="S1496" s="1344">
        <f>(1/9)*cnst_fish!$C$7*(1/cnst_fish!$C$8)^(R1496-1)</f>
        <v>12.824204433453367</v>
      </c>
      <c r="T1496" s="1362">
        <f t="shared" si="217"/>
        <v>0</v>
      </c>
      <c r="W1496" s="1612"/>
      <c r="X1496" s="1612"/>
      <c r="Y1496" s="1613"/>
      <c r="Z1496" s="1614"/>
      <c r="AA1496" s="1614"/>
      <c r="AB1496" s="1615"/>
      <c r="AC1496" s="1615"/>
      <c r="AD1496" s="583"/>
      <c r="AE1496" s="583"/>
    </row>
    <row r="1497" spans="1:31" ht="12.75" customHeight="1">
      <c r="A1497" s="1384" t="s">
        <v>6797</v>
      </c>
      <c r="B1497" s="19" t="s">
        <v>44</v>
      </c>
      <c r="C1497" s="1383">
        <v>19132</v>
      </c>
      <c r="D1497" s="1236"/>
      <c r="E1497" s="1236"/>
      <c r="F1497" s="1344">
        <f>(1/S1497)*cnst_fish!$C$6</f>
        <v>1.3154999853419551</v>
      </c>
      <c r="G1497" s="719">
        <f t="shared" si="218"/>
        <v>1</v>
      </c>
      <c r="H1497" s="719">
        <f t="shared" si="218"/>
        <v>0.367192066876738</v>
      </c>
      <c r="I1497" s="719">
        <f t="shared" si="212"/>
        <v>0</v>
      </c>
      <c r="J1497" s="1386">
        <f t="shared" si="213"/>
        <v>0</v>
      </c>
      <c r="L1497" s="1460"/>
      <c r="M1497" s="1236">
        <v>2455</v>
      </c>
      <c r="N1497" s="1240" t="s">
        <v>1806</v>
      </c>
      <c r="O1497" s="1241" t="s">
        <v>4845</v>
      </c>
      <c r="P1497" s="910">
        <f t="shared" si="214"/>
        <v>0</v>
      </c>
      <c r="Q1497" s="910">
        <f t="shared" si="215"/>
        <v>2455</v>
      </c>
      <c r="R1497" s="1344">
        <f t="shared" si="216"/>
        <v>2.36</v>
      </c>
      <c r="S1497" s="1344">
        <f>(1/9)*cnst_fish!$C$7*(1/cnst_fish!$C$8)^(R1497-1)</f>
        <v>3.2307107923648068</v>
      </c>
      <c r="T1497" s="1362">
        <f t="shared" si="217"/>
        <v>685.25772271146354</v>
      </c>
      <c r="W1497" s="1612"/>
      <c r="X1497" s="1612"/>
      <c r="Y1497" s="1613"/>
      <c r="Z1497" s="1614"/>
      <c r="AA1497" s="1614"/>
      <c r="AB1497" s="1615"/>
      <c r="AC1497" s="1615"/>
      <c r="AD1497" s="583"/>
      <c r="AE1497" s="583"/>
    </row>
    <row r="1498" spans="1:31" ht="12.75" customHeight="1">
      <c r="A1498" s="1384" t="s">
        <v>3518</v>
      </c>
      <c r="B1498" s="19" t="s">
        <v>3519</v>
      </c>
      <c r="C1498" s="1383">
        <v>14763</v>
      </c>
      <c r="D1498" s="1236"/>
      <c r="E1498" s="1236"/>
      <c r="F1498" s="1344">
        <f>(1/S1498)*cnst_fish!$C$6</f>
        <v>0.75699122913220485</v>
      </c>
      <c r="G1498" s="719">
        <f t="shared" si="218"/>
        <v>1</v>
      </c>
      <c r="H1498" s="719">
        <f t="shared" si="218"/>
        <v>0.367192066876738</v>
      </c>
      <c r="I1498" s="719">
        <f t="shared" si="212"/>
        <v>0</v>
      </c>
      <c r="J1498" s="1386">
        <f t="shared" si="213"/>
        <v>0</v>
      </c>
      <c r="L1498" s="1460"/>
      <c r="M1498" s="1236">
        <v>76</v>
      </c>
      <c r="N1498" s="1240" t="s">
        <v>1806</v>
      </c>
      <c r="O1498" s="1241" t="s">
        <v>4845</v>
      </c>
      <c r="P1498" s="910">
        <f t="shared" si="214"/>
        <v>0</v>
      </c>
      <c r="Q1498" s="910">
        <f t="shared" si="215"/>
        <v>76</v>
      </c>
      <c r="R1498" s="1344">
        <f t="shared" si="216"/>
        <v>2.6</v>
      </c>
      <c r="S1498" s="1344">
        <f>(1/9)*cnst_fish!$C$7*(1/cnst_fish!$C$8)^(R1498-1)</f>
        <v>5.6143318924211183</v>
      </c>
      <c r="T1498" s="1362">
        <f t="shared" si="217"/>
        <v>36.865152472933524</v>
      </c>
      <c r="W1498" s="1612"/>
      <c r="X1498" s="1612"/>
      <c r="Y1498" s="1613"/>
      <c r="Z1498" s="1614"/>
      <c r="AA1498" s="1614"/>
      <c r="AB1498" s="1615"/>
      <c r="AC1498" s="1615"/>
      <c r="AD1498" s="583"/>
      <c r="AE1498" s="583"/>
    </row>
    <row r="1499" spans="1:31" ht="12.75" customHeight="1">
      <c r="A1499" s="1384" t="s">
        <v>2505</v>
      </c>
      <c r="B1499" s="19" t="s">
        <v>2506</v>
      </c>
      <c r="C1499" s="1383">
        <v>14780</v>
      </c>
      <c r="D1499" s="1236"/>
      <c r="E1499" s="1236">
        <v>100</v>
      </c>
      <c r="F1499" s="1344">
        <f>(1/S1499)*cnst_fish!$C$6</f>
        <v>4.8875458843134996E-2</v>
      </c>
      <c r="G1499" s="719">
        <f t="shared" si="218"/>
        <v>1</v>
      </c>
      <c r="H1499" s="719">
        <f t="shared" si="218"/>
        <v>0.367192066876738</v>
      </c>
      <c r="I1499" s="719">
        <f t="shared" si="212"/>
        <v>0</v>
      </c>
      <c r="J1499" s="1386">
        <f t="shared" si="213"/>
        <v>751.2810632739737</v>
      </c>
      <c r="L1499" s="1460"/>
      <c r="M1499" s="1236">
        <v>100</v>
      </c>
      <c r="N1499" s="1240" t="s">
        <v>1806</v>
      </c>
      <c r="O1499" s="1241" t="s">
        <v>4845</v>
      </c>
      <c r="P1499" s="910">
        <f t="shared" si="214"/>
        <v>100</v>
      </c>
      <c r="Q1499" s="910">
        <f t="shared" si="215"/>
        <v>100</v>
      </c>
      <c r="R1499" s="1344">
        <f t="shared" si="216"/>
        <v>3.79</v>
      </c>
      <c r="S1499" s="1344">
        <f>(1/9)*cnst_fish!$C$7*(1/cnst_fish!$C$8)^(R1499-1)</f>
        <v>86.955705390721903</v>
      </c>
      <c r="T1499" s="1362">
        <f t="shared" si="217"/>
        <v>751.2810632739737</v>
      </c>
      <c r="W1499" s="1612"/>
      <c r="X1499" s="1612"/>
      <c r="Y1499" s="1613"/>
      <c r="Z1499" s="1614"/>
      <c r="AA1499" s="1614"/>
      <c r="AB1499" s="1615"/>
      <c r="AC1499" s="1615"/>
      <c r="AD1499" s="583"/>
      <c r="AE1499" s="583"/>
    </row>
    <row r="1500" spans="1:31" ht="12.75" customHeight="1">
      <c r="A1500" s="1384" t="s">
        <v>244</v>
      </c>
      <c r="B1500" s="19" t="s">
        <v>5489</v>
      </c>
      <c r="C1500" s="1383">
        <v>2772</v>
      </c>
      <c r="D1500" s="1236"/>
      <c r="E1500" s="1236"/>
      <c r="F1500" s="1344">
        <f>(1/S1500)*cnst_fish!$C$6</f>
        <v>0.30136363636363639</v>
      </c>
      <c r="G1500" s="719">
        <f t="shared" si="218"/>
        <v>1</v>
      </c>
      <c r="H1500" s="719">
        <f t="shared" si="218"/>
        <v>0.367192066876738</v>
      </c>
      <c r="I1500" s="719">
        <f t="shared" si="212"/>
        <v>0</v>
      </c>
      <c r="J1500" s="1386">
        <f t="shared" si="213"/>
        <v>0</v>
      </c>
      <c r="L1500" s="1460">
        <v>1121</v>
      </c>
      <c r="M1500" s="1236"/>
      <c r="N1500" s="1240" t="s">
        <v>1806</v>
      </c>
      <c r="O1500" s="1241"/>
      <c r="P1500" s="910">
        <f t="shared" si="214"/>
        <v>0</v>
      </c>
      <c r="Q1500" s="910">
        <f t="shared" si="215"/>
        <v>1121</v>
      </c>
      <c r="R1500" s="1344">
        <f t="shared" si="216"/>
        <v>3</v>
      </c>
      <c r="S1500" s="1344">
        <f>(1/9)*cnst_fish!$C$7*(1/cnst_fish!$C$8)^(R1500-1)</f>
        <v>14.1025641025641</v>
      </c>
      <c r="T1500" s="1362">
        <f t="shared" si="217"/>
        <v>1365.8658753113291</v>
      </c>
      <c r="W1500" s="1612"/>
      <c r="X1500" s="1612"/>
      <c r="Y1500" s="1613"/>
      <c r="Z1500" s="1614"/>
      <c r="AA1500" s="1614"/>
      <c r="AB1500" s="1615"/>
      <c r="AC1500" s="1615"/>
      <c r="AD1500" s="583"/>
      <c r="AE1500" s="583"/>
    </row>
    <row r="1501" spans="1:31" ht="12.75" customHeight="1">
      <c r="A1501" s="1384" t="s">
        <v>2161</v>
      </c>
      <c r="B1501" s="19" t="s">
        <v>5490</v>
      </c>
      <c r="C1501" s="1383">
        <v>2771</v>
      </c>
      <c r="D1501" s="1236"/>
      <c r="E1501" s="1236"/>
      <c r="F1501" s="1344">
        <f>(1/S1501)*cnst_fish!$C$6</f>
        <v>0.30136363636363639</v>
      </c>
      <c r="G1501" s="719">
        <f t="shared" si="218"/>
        <v>1</v>
      </c>
      <c r="H1501" s="719">
        <f t="shared" si="218"/>
        <v>0.367192066876738</v>
      </c>
      <c r="I1501" s="719">
        <f t="shared" si="212"/>
        <v>0</v>
      </c>
      <c r="J1501" s="1386">
        <f t="shared" si="213"/>
        <v>0</v>
      </c>
      <c r="L1501" s="1460">
        <v>0</v>
      </c>
      <c r="M1501" s="1236"/>
      <c r="N1501" s="1240" t="s">
        <v>1806</v>
      </c>
      <c r="O1501" s="1241"/>
      <c r="P1501" s="910">
        <f t="shared" si="214"/>
        <v>0</v>
      </c>
      <c r="Q1501" s="910">
        <f t="shared" si="215"/>
        <v>0</v>
      </c>
      <c r="R1501" s="1344">
        <f t="shared" si="216"/>
        <v>3</v>
      </c>
      <c r="S1501" s="1344">
        <f>(1/9)*cnst_fish!$C$7*(1/cnst_fish!$C$8)^(R1501-1)</f>
        <v>14.1025641025641</v>
      </c>
      <c r="T1501" s="1362">
        <f t="shared" si="217"/>
        <v>0</v>
      </c>
      <c r="W1501" s="1612"/>
      <c r="X1501" s="1612"/>
      <c r="Y1501" s="1613"/>
      <c r="Z1501" s="1614"/>
      <c r="AA1501" s="1614"/>
      <c r="AB1501" s="1615"/>
      <c r="AC1501" s="1615"/>
      <c r="AD1501" s="583"/>
      <c r="AE1501" s="583"/>
    </row>
    <row r="1502" spans="1:31" ht="12.75" customHeight="1">
      <c r="A1502" s="1384" t="s">
        <v>5019</v>
      </c>
      <c r="B1502" s="19" t="s">
        <v>5106</v>
      </c>
      <c r="C1502" s="1383">
        <v>2304</v>
      </c>
      <c r="D1502" s="1236">
        <v>92</v>
      </c>
      <c r="E1502" s="1236"/>
      <c r="F1502" s="1344">
        <f>(1/S1502)*cnst_fish!$C$6</f>
        <v>3.304386563831508E-2</v>
      </c>
      <c r="G1502" s="719">
        <f t="shared" si="218"/>
        <v>1</v>
      </c>
      <c r="H1502" s="719">
        <f t="shared" si="218"/>
        <v>0.367192066876738</v>
      </c>
      <c r="I1502" s="719">
        <f t="shared" si="212"/>
        <v>1022.3280327556264</v>
      </c>
      <c r="J1502" s="1386">
        <f t="shared" si="213"/>
        <v>0</v>
      </c>
      <c r="L1502" s="1460">
        <v>13991</v>
      </c>
      <c r="M1502" s="1236"/>
      <c r="N1502" s="1240" t="s">
        <v>1806</v>
      </c>
      <c r="O1502" s="1241" t="s">
        <v>4859</v>
      </c>
      <c r="P1502" s="910">
        <f t="shared" si="214"/>
        <v>92</v>
      </c>
      <c r="Q1502" s="910">
        <f t="shared" si="215"/>
        <v>13991</v>
      </c>
      <c r="R1502" s="1344">
        <f t="shared" si="216"/>
        <v>3.96</v>
      </c>
      <c r="S1502" s="1344">
        <f>(1/9)*cnst_fish!$C$7*(1/cnst_fish!$C$8)^(R1502-1)</f>
        <v>128.61691324250009</v>
      </c>
      <c r="T1502" s="1362">
        <f t="shared" si="217"/>
        <v>155471.64680743444</v>
      </c>
      <c r="W1502" s="1612"/>
      <c r="X1502" s="1612"/>
      <c r="Y1502" s="1613"/>
      <c r="Z1502" s="1614"/>
      <c r="AA1502" s="1614"/>
      <c r="AB1502" s="1615"/>
      <c r="AC1502" s="1615"/>
      <c r="AD1502" s="583"/>
      <c r="AE1502" s="583"/>
    </row>
    <row r="1503" spans="1:31" ht="12.75" customHeight="1">
      <c r="A1503" s="1384" t="s">
        <v>6941</v>
      </c>
      <c r="B1503" s="19" t="s">
        <v>6940</v>
      </c>
      <c r="C1503" s="1383">
        <v>2056</v>
      </c>
      <c r="D1503" s="1236"/>
      <c r="E1503" s="1236"/>
      <c r="F1503" s="1344">
        <f>(1/S1503)*cnst_fish!$C$6</f>
        <v>3.0136363636363641</v>
      </c>
      <c r="G1503" s="719">
        <f t="shared" si="218"/>
        <v>1</v>
      </c>
      <c r="H1503" s="719">
        <f t="shared" si="218"/>
        <v>0.367192066876738</v>
      </c>
      <c r="I1503" s="719">
        <f t="shared" si="212"/>
        <v>0</v>
      </c>
      <c r="J1503" s="1386">
        <f t="shared" si="213"/>
        <v>0</v>
      </c>
      <c r="L1503" s="1460">
        <v>28</v>
      </c>
      <c r="M1503" s="1236"/>
      <c r="N1503" s="1240" t="s">
        <v>1806</v>
      </c>
      <c r="O1503" s="1241" t="s">
        <v>4841</v>
      </c>
      <c r="P1503" s="910">
        <f t="shared" si="214"/>
        <v>0</v>
      </c>
      <c r="Q1503" s="910">
        <f t="shared" si="215"/>
        <v>28</v>
      </c>
      <c r="R1503" s="1344">
        <f t="shared" si="216"/>
        <v>2</v>
      </c>
      <c r="S1503" s="1344">
        <f>(1/9)*cnst_fish!$C$7*(1/cnst_fish!$C$8)^(R1503-1)</f>
        <v>1.4102564102564099</v>
      </c>
      <c r="T1503" s="1362">
        <f t="shared" si="217"/>
        <v>3.4116186002423921</v>
      </c>
      <c r="W1503" s="1612"/>
      <c r="X1503" s="1612"/>
      <c r="Y1503" s="1613"/>
      <c r="Z1503" s="1614"/>
      <c r="AA1503" s="1614"/>
      <c r="AB1503" s="1615"/>
      <c r="AC1503" s="1615"/>
      <c r="AD1503" s="583"/>
      <c r="AE1503" s="583"/>
    </row>
    <row r="1504" spans="1:31" ht="12.75" customHeight="1">
      <c r="A1504" s="1384" t="s">
        <v>6718</v>
      </c>
      <c r="B1504" s="19" t="s">
        <v>6717</v>
      </c>
      <c r="C1504" s="1383">
        <v>14800</v>
      </c>
      <c r="D1504" s="1236"/>
      <c r="E1504" s="1236"/>
      <c r="F1504" s="1344">
        <f>(1/S1504)*cnst_fish!$C$6</f>
        <v>3.0136363636363641</v>
      </c>
      <c r="G1504" s="719">
        <f t="shared" si="218"/>
        <v>1</v>
      </c>
      <c r="H1504" s="719">
        <f t="shared" si="218"/>
        <v>0.367192066876738</v>
      </c>
      <c r="I1504" s="719">
        <f t="shared" si="212"/>
        <v>0</v>
      </c>
      <c r="J1504" s="1386">
        <f t="shared" si="213"/>
        <v>0</v>
      </c>
      <c r="L1504" s="1460">
        <v>38</v>
      </c>
      <c r="M1504" s="1236"/>
      <c r="N1504" s="1240" t="s">
        <v>1806</v>
      </c>
      <c r="O1504" s="1241" t="s">
        <v>4841</v>
      </c>
      <c r="P1504" s="910">
        <f t="shared" si="214"/>
        <v>0</v>
      </c>
      <c r="Q1504" s="910">
        <f t="shared" si="215"/>
        <v>38</v>
      </c>
      <c r="R1504" s="1344">
        <f t="shared" si="216"/>
        <v>2</v>
      </c>
      <c r="S1504" s="1344">
        <f>(1/9)*cnst_fish!$C$7*(1/cnst_fish!$C$8)^(R1504-1)</f>
        <v>1.4102564102564099</v>
      </c>
      <c r="T1504" s="1362">
        <f t="shared" si="217"/>
        <v>4.6300538146146746</v>
      </c>
      <c r="W1504" s="1612"/>
      <c r="X1504" s="1612"/>
      <c r="Y1504" s="1613"/>
      <c r="Z1504" s="1614"/>
      <c r="AA1504" s="1614"/>
      <c r="AB1504" s="1615"/>
      <c r="AC1504" s="1615"/>
      <c r="AD1504" s="583"/>
      <c r="AE1504" s="583"/>
    </row>
    <row r="1505" spans="1:31" ht="12.75" customHeight="1">
      <c r="A1505" s="1384" t="s">
        <v>4278</v>
      </c>
      <c r="B1505" s="19" t="s">
        <v>5089</v>
      </c>
      <c r="C1505" s="1383">
        <v>2051</v>
      </c>
      <c r="D1505" s="1236"/>
      <c r="E1505" s="1236"/>
      <c r="F1505" s="1344">
        <f>(1/S1505)*cnst_fish!$C$6</f>
        <v>3.304386563831508E-2</v>
      </c>
      <c r="G1505" s="719">
        <f t="shared" si="218"/>
        <v>1</v>
      </c>
      <c r="H1505" s="719">
        <f t="shared" si="218"/>
        <v>0.367192066876738</v>
      </c>
      <c r="I1505" s="719">
        <f t="shared" si="212"/>
        <v>0</v>
      </c>
      <c r="J1505" s="1386">
        <f t="shared" si="213"/>
        <v>0</v>
      </c>
      <c r="L1505" s="1460">
        <v>96</v>
      </c>
      <c r="M1505" s="1236"/>
      <c r="N1505" s="1240" t="s">
        <v>1806</v>
      </c>
      <c r="O1505" s="1241" t="s">
        <v>4841</v>
      </c>
      <c r="P1505" s="910">
        <f t="shared" si="214"/>
        <v>0</v>
      </c>
      <c r="Q1505" s="910">
        <f t="shared" si="215"/>
        <v>96</v>
      </c>
      <c r="R1505" s="1344">
        <f t="shared" si="216"/>
        <v>3.96</v>
      </c>
      <c r="S1505" s="1344">
        <f>(1/9)*cnst_fish!$C$7*(1/cnst_fish!$C$8)^(R1505-1)</f>
        <v>128.61691324250009</v>
      </c>
      <c r="T1505" s="1362">
        <f t="shared" si="217"/>
        <v>1066.7770776580451</v>
      </c>
      <c r="W1505" s="1612"/>
      <c r="X1505" s="1612"/>
      <c r="Y1505" s="1613"/>
      <c r="Z1505" s="1614"/>
      <c r="AA1505" s="1614"/>
      <c r="AB1505" s="1615"/>
      <c r="AC1505" s="1615"/>
      <c r="AD1505" s="583"/>
      <c r="AE1505" s="583"/>
    </row>
    <row r="1506" spans="1:31" ht="12.75" customHeight="1">
      <c r="A1506" s="1384" t="s">
        <v>886</v>
      </c>
      <c r="B1506" s="19" t="s">
        <v>2693</v>
      </c>
      <c r="C1506" s="1383">
        <v>2853</v>
      </c>
      <c r="D1506" s="1236"/>
      <c r="E1506" s="1236"/>
      <c r="F1506" s="1344">
        <f>(1/S1506)*cnst_fish!$C$6</f>
        <v>3.1556646698079359E-2</v>
      </c>
      <c r="G1506" s="719">
        <f t="shared" si="218"/>
        <v>1</v>
      </c>
      <c r="H1506" s="719">
        <f t="shared" si="218"/>
        <v>0.367192066876738</v>
      </c>
      <c r="I1506" s="719">
        <f t="shared" si="212"/>
        <v>0</v>
      </c>
      <c r="J1506" s="1386">
        <f t="shared" si="213"/>
        <v>0</v>
      </c>
      <c r="L1506" s="1460">
        <v>2321</v>
      </c>
      <c r="M1506" s="1236"/>
      <c r="N1506" s="1240" t="s">
        <v>1806</v>
      </c>
      <c r="O1506" s="1241" t="s">
        <v>4841</v>
      </c>
      <c r="P1506" s="910">
        <f t="shared" si="214"/>
        <v>0</v>
      </c>
      <c r="Q1506" s="910">
        <f t="shared" si="215"/>
        <v>2321</v>
      </c>
      <c r="R1506" s="1344">
        <f t="shared" si="216"/>
        <v>3.98</v>
      </c>
      <c r="S1506" s="1344">
        <f>(1/9)*cnst_fish!$C$7*(1/cnst_fish!$C$8)^(R1506-1)</f>
        <v>134.67844161840773</v>
      </c>
      <c r="T1506" s="1362">
        <f t="shared" si="217"/>
        <v>27007.076999495635</v>
      </c>
      <c r="W1506" s="1612"/>
      <c r="X1506" s="1612"/>
      <c r="Y1506" s="1613"/>
      <c r="Z1506" s="1614"/>
      <c r="AA1506" s="1614"/>
      <c r="AB1506" s="1615"/>
      <c r="AC1506" s="1615"/>
      <c r="AD1506" s="583"/>
      <c r="AE1506" s="583"/>
    </row>
    <row r="1507" spans="1:31" ht="12.75" customHeight="1">
      <c r="A1507" s="1384" t="s">
        <v>6895</v>
      </c>
      <c r="B1507" s="19" t="s">
        <v>6894</v>
      </c>
      <c r="C1507" s="1383">
        <v>14809</v>
      </c>
      <c r="D1507" s="1236"/>
      <c r="E1507" s="1236"/>
      <c r="F1507" s="1344">
        <f>(1/S1507)*cnst_fish!$C$6</f>
        <v>3.0136363636363641</v>
      </c>
      <c r="G1507" s="719">
        <f t="shared" si="218"/>
        <v>1</v>
      </c>
      <c r="H1507" s="719">
        <f t="shared" si="218"/>
        <v>0.367192066876738</v>
      </c>
      <c r="I1507" s="719">
        <f t="shared" si="212"/>
        <v>0</v>
      </c>
      <c r="J1507" s="1386">
        <f t="shared" si="213"/>
        <v>0</v>
      </c>
      <c r="L1507" s="1460">
        <v>5</v>
      </c>
      <c r="M1507" s="1236"/>
      <c r="N1507" s="1240" t="s">
        <v>1806</v>
      </c>
      <c r="O1507" s="1241" t="s">
        <v>4841</v>
      </c>
      <c r="P1507" s="910">
        <f t="shared" si="214"/>
        <v>0</v>
      </c>
      <c r="Q1507" s="910">
        <f t="shared" si="215"/>
        <v>5</v>
      </c>
      <c r="R1507" s="1344">
        <f t="shared" si="216"/>
        <v>2</v>
      </c>
      <c r="S1507" s="1344">
        <f>(1/9)*cnst_fish!$C$7*(1/cnst_fish!$C$8)^(R1507-1)</f>
        <v>1.4102564102564099</v>
      </c>
      <c r="T1507" s="1362">
        <f t="shared" si="217"/>
        <v>0.60921760718614137</v>
      </c>
      <c r="W1507" s="1612"/>
      <c r="X1507" s="1612"/>
      <c r="Y1507" s="1613"/>
      <c r="Z1507" s="1614"/>
      <c r="AA1507" s="1614"/>
      <c r="AB1507" s="1615"/>
      <c r="AC1507" s="1615"/>
      <c r="AD1507" s="583"/>
      <c r="AE1507" s="583"/>
    </row>
    <row r="1508" spans="1:31" ht="12.75" customHeight="1">
      <c r="A1508" s="1384" t="s">
        <v>1139</v>
      </c>
      <c r="B1508" s="19" t="s">
        <v>3538</v>
      </c>
      <c r="C1508" s="1383">
        <v>2053</v>
      </c>
      <c r="D1508" s="1236"/>
      <c r="E1508" s="1236"/>
      <c r="F1508" s="1344">
        <f>(1/S1508)*cnst_fish!$C$6</f>
        <v>9.5299549485983348E-2</v>
      </c>
      <c r="G1508" s="719">
        <f t="shared" ref="G1508:H1527" si="219">G$7</f>
        <v>1</v>
      </c>
      <c r="H1508" s="719">
        <f t="shared" si="219"/>
        <v>0.367192066876738</v>
      </c>
      <c r="I1508" s="719">
        <f t="shared" si="212"/>
        <v>0</v>
      </c>
      <c r="J1508" s="1386">
        <f t="shared" si="213"/>
        <v>0</v>
      </c>
      <c r="L1508" s="1460">
        <v>239</v>
      </c>
      <c r="M1508" s="1236"/>
      <c r="N1508" s="1240" t="s">
        <v>1806</v>
      </c>
      <c r="O1508" s="1241" t="s">
        <v>4841</v>
      </c>
      <c r="P1508" s="910">
        <f t="shared" si="214"/>
        <v>0</v>
      </c>
      <c r="Q1508" s="910">
        <f t="shared" si="215"/>
        <v>239</v>
      </c>
      <c r="R1508" s="1344">
        <f t="shared" si="216"/>
        <v>3.5</v>
      </c>
      <c r="S1508" s="1344">
        <f>(1/9)*cnst_fish!$C$7*(1/cnst_fish!$C$8)^(R1508-1)</f>
        <v>44.596223412631026</v>
      </c>
      <c r="T1508" s="1362">
        <f t="shared" si="217"/>
        <v>920.87427964649464</v>
      </c>
      <c r="W1508" s="1612"/>
      <c r="X1508" s="1612"/>
      <c r="Y1508" s="1613"/>
      <c r="Z1508" s="1614"/>
      <c r="AA1508" s="1614"/>
      <c r="AB1508" s="1615"/>
      <c r="AC1508" s="1615"/>
      <c r="AD1508" s="583"/>
      <c r="AE1508" s="583"/>
    </row>
    <row r="1509" spans="1:31" ht="12.75" customHeight="1">
      <c r="A1509" s="1384" t="s">
        <v>3072</v>
      </c>
      <c r="B1509" s="19" t="s">
        <v>3539</v>
      </c>
      <c r="C1509" s="1383">
        <v>2851</v>
      </c>
      <c r="D1509" s="1236"/>
      <c r="E1509" s="1236"/>
      <c r="F1509" s="1344">
        <f>(1/S1509)*cnst_fish!$C$6</f>
        <v>5.2370997702765265E-2</v>
      </c>
      <c r="G1509" s="719">
        <f t="shared" si="219"/>
        <v>1</v>
      </c>
      <c r="H1509" s="719">
        <f t="shared" si="219"/>
        <v>0.367192066876738</v>
      </c>
      <c r="I1509" s="719">
        <f t="shared" si="212"/>
        <v>0</v>
      </c>
      <c r="J1509" s="1386">
        <f t="shared" si="213"/>
        <v>0</v>
      </c>
      <c r="L1509" s="1460">
        <v>5984</v>
      </c>
      <c r="M1509" s="1236"/>
      <c r="N1509" s="1240" t="s">
        <v>1806</v>
      </c>
      <c r="O1509" s="1241" t="s">
        <v>4841</v>
      </c>
      <c r="P1509" s="910">
        <f t="shared" si="214"/>
        <v>0</v>
      </c>
      <c r="Q1509" s="910">
        <f t="shared" si="215"/>
        <v>5984</v>
      </c>
      <c r="R1509" s="1344">
        <f t="shared" si="216"/>
        <v>3.76</v>
      </c>
      <c r="S1509" s="1344">
        <f>(1/9)*cnst_fish!$C$7*(1/cnst_fish!$C$8)^(R1509-1)</f>
        <v>81.151786034727266</v>
      </c>
      <c r="T1509" s="1362">
        <f t="shared" si="217"/>
        <v>41955.995199121069</v>
      </c>
      <c r="W1509" s="1612"/>
      <c r="X1509" s="1612"/>
      <c r="Y1509" s="1613"/>
      <c r="Z1509" s="1614"/>
      <c r="AA1509" s="1614"/>
      <c r="AB1509" s="1615"/>
      <c r="AC1509" s="1615"/>
      <c r="AD1509" s="583"/>
      <c r="AE1509" s="583"/>
    </row>
    <row r="1510" spans="1:31" ht="12.75" customHeight="1">
      <c r="A1510" s="1384" t="s">
        <v>6587</v>
      </c>
      <c r="B1510" s="19" t="s">
        <v>6586</v>
      </c>
      <c r="C1510" s="1383">
        <v>14817</v>
      </c>
      <c r="D1510" s="1236"/>
      <c r="E1510" s="1236"/>
      <c r="F1510" s="1344">
        <f>(1/S1510)*cnst_fish!$C$6</f>
        <v>3.0136363636363641</v>
      </c>
      <c r="G1510" s="719">
        <f t="shared" si="219"/>
        <v>1</v>
      </c>
      <c r="H1510" s="719">
        <f t="shared" si="219"/>
        <v>0.367192066876738</v>
      </c>
      <c r="I1510" s="719">
        <f t="shared" si="212"/>
        <v>0</v>
      </c>
      <c r="J1510" s="1386">
        <f t="shared" si="213"/>
        <v>0</v>
      </c>
      <c r="L1510" s="1460">
        <v>16</v>
      </c>
      <c r="M1510" s="1236"/>
      <c r="N1510" s="1240" t="s">
        <v>1806</v>
      </c>
      <c r="O1510" s="1241" t="s">
        <v>4841</v>
      </c>
      <c r="P1510" s="910">
        <f t="shared" si="214"/>
        <v>0</v>
      </c>
      <c r="Q1510" s="910">
        <f t="shared" si="215"/>
        <v>16</v>
      </c>
      <c r="R1510" s="1344">
        <f t="shared" si="216"/>
        <v>2</v>
      </c>
      <c r="S1510" s="1344">
        <f>(1/9)*cnst_fish!$C$7*(1/cnst_fish!$C$8)^(R1510-1)</f>
        <v>1.4102564102564099</v>
      </c>
      <c r="T1510" s="1362">
        <f t="shared" si="217"/>
        <v>1.9494963429956522</v>
      </c>
      <c r="W1510" s="1612"/>
      <c r="X1510" s="1612"/>
      <c r="Y1510" s="1613"/>
      <c r="Z1510" s="1614"/>
      <c r="AA1510" s="1614"/>
      <c r="AB1510" s="1615"/>
      <c r="AC1510" s="1615"/>
      <c r="AD1510" s="583"/>
      <c r="AE1510" s="583"/>
    </row>
    <row r="1511" spans="1:31" ht="12.75" customHeight="1">
      <c r="A1511" s="1384" t="s">
        <v>6677</v>
      </c>
      <c r="B1511" s="19" t="s">
        <v>6676</v>
      </c>
      <c r="C1511" s="1383">
        <v>2057</v>
      </c>
      <c r="D1511" s="1236">
        <v>5009</v>
      </c>
      <c r="E1511" s="1236"/>
      <c r="F1511" s="1344">
        <f>(1/S1511)*cnst_fish!$C$6</f>
        <v>3.0136363636363641</v>
      </c>
      <c r="G1511" s="719">
        <f t="shared" si="219"/>
        <v>1</v>
      </c>
      <c r="H1511" s="719">
        <f t="shared" si="219"/>
        <v>0.367192066876738</v>
      </c>
      <c r="I1511" s="719">
        <f t="shared" si="212"/>
        <v>610.31419887907646</v>
      </c>
      <c r="J1511" s="1386">
        <f t="shared" si="213"/>
        <v>0</v>
      </c>
      <c r="L1511" s="1460">
        <v>5009</v>
      </c>
      <c r="M1511" s="1236"/>
      <c r="N1511" s="1240" t="s">
        <v>1806</v>
      </c>
      <c r="O1511" s="1241" t="s">
        <v>4841</v>
      </c>
      <c r="P1511" s="910">
        <f t="shared" si="214"/>
        <v>5009</v>
      </c>
      <c r="Q1511" s="910">
        <f t="shared" si="215"/>
        <v>5009</v>
      </c>
      <c r="R1511" s="1344">
        <f t="shared" si="216"/>
        <v>2</v>
      </c>
      <c r="S1511" s="1344">
        <f>(1/9)*cnst_fish!$C$7*(1/cnst_fish!$C$8)^(R1511-1)</f>
        <v>1.4102564102564099</v>
      </c>
      <c r="T1511" s="1362">
        <f t="shared" si="217"/>
        <v>610.31419887907646</v>
      </c>
      <c r="W1511" s="1612"/>
      <c r="X1511" s="1612"/>
      <c r="Y1511" s="1613"/>
      <c r="Z1511" s="1614"/>
      <c r="AA1511" s="1614"/>
      <c r="AB1511" s="1615"/>
      <c r="AC1511" s="1615"/>
      <c r="AD1511" s="583"/>
      <c r="AE1511" s="583"/>
    </row>
    <row r="1512" spans="1:31" ht="12.75" customHeight="1">
      <c r="A1512" s="1384" t="s">
        <v>1140</v>
      </c>
      <c r="B1512" s="19" t="s">
        <v>3540</v>
      </c>
      <c r="C1512" s="1383">
        <v>2854</v>
      </c>
      <c r="D1512" s="1236"/>
      <c r="E1512" s="1236"/>
      <c r="F1512" s="1344">
        <f>(1/S1512)*cnst_fish!$C$6</f>
        <v>9.5299549485983348E-2</v>
      </c>
      <c r="G1512" s="719">
        <f t="shared" si="219"/>
        <v>1</v>
      </c>
      <c r="H1512" s="719">
        <f t="shared" si="219"/>
        <v>0.367192066876738</v>
      </c>
      <c r="I1512" s="719">
        <f t="shared" si="212"/>
        <v>0</v>
      </c>
      <c r="J1512" s="1386">
        <f t="shared" si="213"/>
        <v>0</v>
      </c>
      <c r="L1512" s="1460">
        <v>316</v>
      </c>
      <c r="M1512" s="1236"/>
      <c r="N1512" s="1240" t="s">
        <v>1806</v>
      </c>
      <c r="O1512" s="1241" t="s">
        <v>4841</v>
      </c>
      <c r="P1512" s="910">
        <f t="shared" si="214"/>
        <v>0</v>
      </c>
      <c r="Q1512" s="910">
        <f t="shared" si="215"/>
        <v>316</v>
      </c>
      <c r="R1512" s="1344">
        <f t="shared" si="216"/>
        <v>3.5</v>
      </c>
      <c r="S1512" s="1344">
        <f>(1/9)*cnst_fish!$C$7*(1/cnst_fish!$C$8)^(R1512-1)</f>
        <v>44.596223412631026</v>
      </c>
      <c r="T1512" s="1362">
        <f t="shared" si="217"/>
        <v>1217.5576249719343</v>
      </c>
      <c r="W1512" s="1612"/>
      <c r="X1512" s="1612"/>
      <c r="Y1512" s="1613"/>
      <c r="Z1512" s="1614"/>
      <c r="AA1512" s="1614"/>
      <c r="AB1512" s="1615"/>
      <c r="AC1512" s="1615"/>
      <c r="AD1512" s="583"/>
      <c r="AE1512" s="583"/>
    </row>
    <row r="1513" spans="1:31" ht="12.75" customHeight="1">
      <c r="A1513" s="1384" t="s">
        <v>6822</v>
      </c>
      <c r="B1513" s="19" t="s">
        <v>6821</v>
      </c>
      <c r="C1513" s="1383">
        <v>2858</v>
      </c>
      <c r="D1513" s="1236"/>
      <c r="E1513" s="1236"/>
      <c r="F1513" s="1344">
        <f>(1/S1513)*cnst_fish!$C$6</f>
        <v>3.0136363636363641</v>
      </c>
      <c r="G1513" s="719">
        <f t="shared" si="219"/>
        <v>1</v>
      </c>
      <c r="H1513" s="719">
        <f t="shared" si="219"/>
        <v>0.367192066876738</v>
      </c>
      <c r="I1513" s="719">
        <f t="shared" si="212"/>
        <v>0</v>
      </c>
      <c r="J1513" s="1386">
        <f t="shared" si="213"/>
        <v>0</v>
      </c>
      <c r="L1513" s="1460">
        <v>0</v>
      </c>
      <c r="M1513" s="1236"/>
      <c r="N1513" s="1240" t="s">
        <v>1806</v>
      </c>
      <c r="O1513" s="1241" t="s">
        <v>4841</v>
      </c>
      <c r="P1513" s="910">
        <f t="shared" si="214"/>
        <v>0</v>
      </c>
      <c r="Q1513" s="910">
        <f t="shared" si="215"/>
        <v>0</v>
      </c>
      <c r="R1513" s="1344">
        <f t="shared" si="216"/>
        <v>2</v>
      </c>
      <c r="S1513" s="1344">
        <f>(1/9)*cnst_fish!$C$7*(1/cnst_fish!$C$8)^(R1513-1)</f>
        <v>1.4102564102564099</v>
      </c>
      <c r="T1513" s="1362">
        <f t="shared" si="217"/>
        <v>0</v>
      </c>
      <c r="W1513" s="1612"/>
      <c r="X1513" s="1612"/>
      <c r="Y1513" s="1613"/>
      <c r="Z1513" s="1614"/>
      <c r="AA1513" s="1614"/>
      <c r="AB1513" s="1615"/>
      <c r="AC1513" s="1615"/>
      <c r="AD1513" s="583"/>
      <c r="AE1513" s="583"/>
    </row>
    <row r="1514" spans="1:31" ht="12.75" customHeight="1">
      <c r="A1514" s="1384" t="s">
        <v>1439</v>
      </c>
      <c r="B1514" s="19" t="s">
        <v>3541</v>
      </c>
      <c r="C1514" s="1383">
        <v>2859</v>
      </c>
      <c r="D1514" s="1236"/>
      <c r="E1514" s="1236"/>
      <c r="F1514" s="1344">
        <f>(1/S1514)*cnst_fish!$C$6</f>
        <v>4.4574948243432784E-2</v>
      </c>
      <c r="G1514" s="719">
        <f t="shared" si="219"/>
        <v>1</v>
      </c>
      <c r="H1514" s="719">
        <f t="shared" si="219"/>
        <v>0.367192066876738</v>
      </c>
      <c r="I1514" s="719">
        <f t="shared" si="212"/>
        <v>0</v>
      </c>
      <c r="J1514" s="1386">
        <f t="shared" si="213"/>
        <v>0</v>
      </c>
      <c r="L1514" s="1460">
        <v>1</v>
      </c>
      <c r="M1514" s="1236"/>
      <c r="N1514" s="1240" t="s">
        <v>1806</v>
      </c>
      <c r="O1514" s="1241" t="s">
        <v>4841</v>
      </c>
      <c r="P1514" s="910">
        <f t="shared" si="214"/>
        <v>0</v>
      </c>
      <c r="Q1514" s="910">
        <f t="shared" si="215"/>
        <v>1</v>
      </c>
      <c r="R1514" s="1344">
        <f t="shared" si="216"/>
        <v>3.83</v>
      </c>
      <c r="S1514" s="1344">
        <f>(1/9)*cnst_fish!$C$7*(1/cnst_fish!$C$8)^(R1514-1)</f>
        <v>95.345034991176945</v>
      </c>
      <c r="T1514" s="1362">
        <f t="shared" si="217"/>
        <v>8.2376330505518034</v>
      </c>
      <c r="W1514" s="1612"/>
      <c r="X1514" s="1612"/>
      <c r="Y1514" s="1613"/>
      <c r="Z1514" s="1614"/>
      <c r="AA1514" s="1614"/>
      <c r="AB1514" s="1615"/>
      <c r="AC1514" s="1615"/>
      <c r="AD1514" s="583"/>
      <c r="AE1514" s="583"/>
    </row>
    <row r="1515" spans="1:31" ht="12.75" customHeight="1">
      <c r="A1515" s="1384" t="s">
        <v>4110</v>
      </c>
      <c r="B1515" s="19" t="s">
        <v>2172</v>
      </c>
      <c r="C1515" s="1383">
        <v>14830</v>
      </c>
      <c r="D1515" s="1236"/>
      <c r="E1515" s="1236"/>
      <c r="F1515" s="1344">
        <f>(1/S1515)*cnst_fish!$C$6</f>
        <v>4.3560298545661361E-2</v>
      </c>
      <c r="G1515" s="719">
        <f t="shared" si="219"/>
        <v>1</v>
      </c>
      <c r="H1515" s="719">
        <f t="shared" si="219"/>
        <v>0.367192066876738</v>
      </c>
      <c r="I1515" s="719">
        <f t="shared" si="212"/>
        <v>0</v>
      </c>
      <c r="J1515" s="1386">
        <f t="shared" si="213"/>
        <v>0</v>
      </c>
      <c r="L1515" s="1460">
        <v>2</v>
      </c>
      <c r="M1515" s="1236"/>
      <c r="N1515" s="1240" t="s">
        <v>1806</v>
      </c>
      <c r="O1515" s="1241" t="s">
        <v>4841</v>
      </c>
      <c r="P1515" s="910">
        <f t="shared" si="214"/>
        <v>0</v>
      </c>
      <c r="Q1515" s="910">
        <f t="shared" si="215"/>
        <v>2</v>
      </c>
      <c r="R1515" s="1344">
        <f t="shared" si="216"/>
        <v>3.84</v>
      </c>
      <c r="S1515" s="1344">
        <f>(1/9)*cnst_fish!$C$7*(1/cnst_fish!$C$8)^(R1515-1)</f>
        <v>97.565906155234643</v>
      </c>
      <c r="T1515" s="1362">
        <f t="shared" si="217"/>
        <v>16.859024347219982</v>
      </c>
      <c r="W1515" s="1612"/>
      <c r="X1515" s="1612"/>
      <c r="Y1515" s="1613"/>
      <c r="Z1515" s="1614"/>
      <c r="AA1515" s="1614"/>
      <c r="AB1515" s="1615"/>
      <c r="AC1515" s="1615"/>
      <c r="AD1515" s="583"/>
      <c r="AE1515" s="583"/>
    </row>
    <row r="1516" spans="1:31" ht="12.75" customHeight="1">
      <c r="A1516" s="1384" t="s">
        <v>1224</v>
      </c>
      <c r="B1516" s="19" t="s">
        <v>3545</v>
      </c>
      <c r="C1516" s="1383">
        <v>14842</v>
      </c>
      <c r="D1516" s="1236"/>
      <c r="E1516" s="1236"/>
      <c r="F1516" s="1344">
        <f>(1/S1516)*cnst_fish!$C$6</f>
        <v>7.2292101150450983E-2</v>
      </c>
      <c r="G1516" s="719">
        <f t="shared" si="219"/>
        <v>1</v>
      </c>
      <c r="H1516" s="719">
        <f t="shared" si="219"/>
        <v>0.367192066876738</v>
      </c>
      <c r="I1516" s="719">
        <f t="shared" si="212"/>
        <v>0</v>
      </c>
      <c r="J1516" s="1386">
        <f t="shared" si="213"/>
        <v>0</v>
      </c>
      <c r="L1516" s="1460">
        <v>13</v>
      </c>
      <c r="M1516" s="1236"/>
      <c r="N1516" s="1240" t="s">
        <v>1806</v>
      </c>
      <c r="O1516" s="1241" t="s">
        <v>4841</v>
      </c>
      <c r="P1516" s="910">
        <f t="shared" si="214"/>
        <v>0</v>
      </c>
      <c r="Q1516" s="910">
        <f t="shared" si="215"/>
        <v>13</v>
      </c>
      <c r="R1516" s="1344">
        <f t="shared" si="216"/>
        <v>3.62</v>
      </c>
      <c r="S1516" s="1344">
        <f>(1/9)*cnst_fish!$C$7*(1/cnst_fish!$C$8)^(R1516-1)</f>
        <v>58.789272027867845</v>
      </c>
      <c r="T1516" s="1362">
        <f t="shared" si="217"/>
        <v>66.030683759809563</v>
      </c>
      <c r="W1516" s="1612"/>
      <c r="X1516" s="1612"/>
      <c r="Y1516" s="1613"/>
      <c r="Z1516" s="1614"/>
      <c r="AA1516" s="1614"/>
      <c r="AB1516" s="1615"/>
      <c r="AC1516" s="1615"/>
      <c r="AD1516" s="583"/>
      <c r="AE1516" s="583"/>
    </row>
    <row r="1517" spans="1:31" ht="12.75" customHeight="1">
      <c r="A1517" s="1384" t="s">
        <v>6696</v>
      </c>
      <c r="B1517" s="19" t="s">
        <v>6695</v>
      </c>
      <c r="C1517" s="1383">
        <v>14844</v>
      </c>
      <c r="D1517" s="1236"/>
      <c r="E1517" s="1236"/>
      <c r="F1517" s="1344">
        <f>(1/S1517)*cnst_fish!$C$6</f>
        <v>3.0136363636363641</v>
      </c>
      <c r="G1517" s="719">
        <f t="shared" si="219"/>
        <v>1</v>
      </c>
      <c r="H1517" s="719">
        <f t="shared" si="219"/>
        <v>0.367192066876738</v>
      </c>
      <c r="I1517" s="719">
        <f t="shared" si="212"/>
        <v>0</v>
      </c>
      <c r="J1517" s="1386">
        <f t="shared" si="213"/>
        <v>0</v>
      </c>
      <c r="L1517" s="1460">
        <v>0</v>
      </c>
      <c r="M1517" s="1236"/>
      <c r="N1517" s="1240" t="s">
        <v>1806</v>
      </c>
      <c r="O1517" s="1241" t="s">
        <v>4841</v>
      </c>
      <c r="P1517" s="910">
        <f t="shared" si="214"/>
        <v>0</v>
      </c>
      <c r="Q1517" s="910">
        <f t="shared" si="215"/>
        <v>0</v>
      </c>
      <c r="R1517" s="1344">
        <f t="shared" si="216"/>
        <v>2</v>
      </c>
      <c r="S1517" s="1344">
        <f>(1/9)*cnst_fish!$C$7*(1/cnst_fish!$C$8)^(R1517-1)</f>
        <v>1.4102564102564099</v>
      </c>
      <c r="T1517" s="1362">
        <f t="shared" si="217"/>
        <v>0</v>
      </c>
      <c r="W1517" s="1612"/>
      <c r="X1517" s="1612"/>
      <c r="Y1517" s="1613"/>
      <c r="Z1517" s="1614"/>
      <c r="AA1517" s="1614"/>
      <c r="AB1517" s="1615"/>
      <c r="AC1517" s="1615"/>
      <c r="AD1517" s="583"/>
      <c r="AE1517" s="583"/>
    </row>
    <row r="1518" spans="1:31" ht="12.75" customHeight="1">
      <c r="A1518" s="1384" t="s">
        <v>1141</v>
      </c>
      <c r="B1518" s="19" t="s">
        <v>3433</v>
      </c>
      <c r="C1518" s="1383">
        <v>2054</v>
      </c>
      <c r="D1518" s="1236"/>
      <c r="E1518" s="1236"/>
      <c r="F1518" s="1344">
        <f>(1/S1518)*cnst_fish!$C$6</f>
        <v>3.8823156944206696E-2</v>
      </c>
      <c r="G1518" s="719">
        <f t="shared" si="219"/>
        <v>1</v>
      </c>
      <c r="H1518" s="719">
        <f t="shared" si="219"/>
        <v>0.367192066876738</v>
      </c>
      <c r="I1518" s="719">
        <f t="shared" si="212"/>
        <v>0</v>
      </c>
      <c r="J1518" s="1386">
        <f t="shared" si="213"/>
        <v>0</v>
      </c>
      <c r="L1518" s="1460">
        <v>223</v>
      </c>
      <c r="M1518" s="1236"/>
      <c r="N1518" s="1240" t="s">
        <v>1806</v>
      </c>
      <c r="O1518" s="1241" t="s">
        <v>4841</v>
      </c>
      <c r="P1518" s="910">
        <f t="shared" si="214"/>
        <v>0</v>
      </c>
      <c r="Q1518" s="910">
        <f t="shared" si="215"/>
        <v>223</v>
      </c>
      <c r="R1518" s="1344">
        <f t="shared" si="216"/>
        <v>3.89</v>
      </c>
      <c r="S1518" s="1344">
        <f>(1/9)*cnst_fish!$C$7*(1/cnst_fish!$C$8)^(R1518-1)</f>
        <v>109.47074721686684</v>
      </c>
      <c r="T1518" s="1362">
        <f t="shared" si="217"/>
        <v>2109.1492129604239</v>
      </c>
      <c r="W1518" s="1612"/>
      <c r="X1518" s="1612"/>
      <c r="Y1518" s="1613"/>
      <c r="Z1518" s="1614"/>
      <c r="AA1518" s="1614"/>
      <c r="AB1518" s="1615"/>
      <c r="AC1518" s="1615"/>
      <c r="AD1518" s="583"/>
      <c r="AE1518" s="583"/>
    </row>
    <row r="1519" spans="1:31" ht="12.75" customHeight="1">
      <c r="A1519" s="1384" t="s">
        <v>1241</v>
      </c>
      <c r="B1519" s="19" t="s">
        <v>1242</v>
      </c>
      <c r="C1519" s="1383">
        <v>14847</v>
      </c>
      <c r="D1519" s="1236"/>
      <c r="E1519" s="1236"/>
      <c r="F1519" s="1344">
        <f>(1/S1519)*cnst_fish!$C$6</f>
        <v>4.7762917572805388E-2</v>
      </c>
      <c r="G1519" s="719">
        <f t="shared" si="219"/>
        <v>1</v>
      </c>
      <c r="H1519" s="719">
        <f t="shared" si="219"/>
        <v>0.367192066876738</v>
      </c>
      <c r="I1519" s="719">
        <f t="shared" si="212"/>
        <v>0</v>
      </c>
      <c r="J1519" s="1386">
        <f t="shared" si="213"/>
        <v>0</v>
      </c>
      <c r="L1519" s="1460"/>
      <c r="M1519" s="1236"/>
      <c r="N1519" s="1240" t="s">
        <v>1806</v>
      </c>
      <c r="O1519" s="1241" t="s">
        <v>4841</v>
      </c>
      <c r="P1519" s="910">
        <f t="shared" si="214"/>
        <v>0</v>
      </c>
      <c r="Q1519" s="910">
        <f t="shared" si="215"/>
        <v>0</v>
      </c>
      <c r="R1519" s="1344">
        <f t="shared" si="216"/>
        <v>3.8</v>
      </c>
      <c r="S1519" s="1344">
        <f>(1/9)*cnst_fish!$C$7*(1/cnst_fish!$C$8)^(R1519-1)</f>
        <v>88.981163965155432</v>
      </c>
      <c r="T1519" s="1362">
        <f t="shared" si="217"/>
        <v>0</v>
      </c>
      <c r="W1519" s="1612"/>
      <c r="X1519" s="1612"/>
      <c r="Y1519" s="1613"/>
      <c r="Z1519" s="1614"/>
      <c r="AA1519" s="1614"/>
      <c r="AB1519" s="1615"/>
      <c r="AC1519" s="1615"/>
      <c r="AD1519" s="583"/>
      <c r="AE1519" s="583"/>
    </row>
    <row r="1520" spans="1:31" ht="12.75" customHeight="1">
      <c r="A1520" s="1384" t="s">
        <v>1146</v>
      </c>
      <c r="B1520" s="19" t="s">
        <v>3434</v>
      </c>
      <c r="C1520" s="1383">
        <v>2852</v>
      </c>
      <c r="D1520" s="1236"/>
      <c r="E1520" s="1236"/>
      <c r="F1520" s="1344">
        <f>(1/S1520)*cnst_fish!$C$6</f>
        <v>6.4430402969999093E-2</v>
      </c>
      <c r="G1520" s="719">
        <f t="shared" si="219"/>
        <v>1</v>
      </c>
      <c r="H1520" s="719">
        <f t="shared" si="219"/>
        <v>0.367192066876738</v>
      </c>
      <c r="I1520" s="719">
        <f t="shared" si="212"/>
        <v>0</v>
      </c>
      <c r="J1520" s="1386">
        <f t="shared" si="213"/>
        <v>0</v>
      </c>
      <c r="L1520" s="1460">
        <v>1678</v>
      </c>
      <c r="M1520" s="1236"/>
      <c r="N1520" s="1240" t="s">
        <v>1806</v>
      </c>
      <c r="O1520" s="1241" t="s">
        <v>4841</v>
      </c>
      <c r="P1520" s="910">
        <f t="shared" si="214"/>
        <v>0</v>
      </c>
      <c r="Q1520" s="910">
        <f t="shared" si="215"/>
        <v>1678</v>
      </c>
      <c r="R1520" s="1344">
        <f t="shared" si="216"/>
        <v>3.67</v>
      </c>
      <c r="S1520" s="1344">
        <f>(1/9)*cnst_fish!$C$7*(1/cnst_fish!$C$8)^(R1520-1)</f>
        <v>65.962648130245896</v>
      </c>
      <c r="T1520" s="1362">
        <f t="shared" si="217"/>
        <v>9563.0053486715769</v>
      </c>
      <c r="W1520" s="1612"/>
      <c r="X1520" s="1612"/>
      <c r="Y1520" s="1613"/>
      <c r="Z1520" s="1614"/>
      <c r="AA1520" s="1614"/>
      <c r="AB1520" s="1615"/>
      <c r="AC1520" s="1615"/>
      <c r="AD1520" s="583"/>
      <c r="AE1520" s="583"/>
    </row>
    <row r="1521" spans="1:31" ht="12.75" customHeight="1">
      <c r="A1521" s="1384" t="s">
        <v>372</v>
      </c>
      <c r="B1521" s="19" t="s">
        <v>3435</v>
      </c>
      <c r="C1521" s="1383">
        <v>2855</v>
      </c>
      <c r="D1521" s="1236"/>
      <c r="E1521" s="1236"/>
      <c r="F1521" s="1344">
        <f>(1/S1521)*cnst_fish!$C$6</f>
        <v>3.460117504783787E-2</v>
      </c>
      <c r="G1521" s="719">
        <f t="shared" si="219"/>
        <v>1</v>
      </c>
      <c r="H1521" s="719">
        <f t="shared" si="219"/>
        <v>0.367192066876738</v>
      </c>
      <c r="I1521" s="719">
        <f t="shared" si="212"/>
        <v>0</v>
      </c>
      <c r="J1521" s="1386">
        <f t="shared" si="213"/>
        <v>0</v>
      </c>
      <c r="L1521" s="1460">
        <v>3266</v>
      </c>
      <c r="M1521" s="1236"/>
      <c r="N1521" s="1240" t="s">
        <v>1806</v>
      </c>
      <c r="O1521" s="1241" t="s">
        <v>4841</v>
      </c>
      <c r="P1521" s="910">
        <f t="shared" si="214"/>
        <v>0</v>
      </c>
      <c r="Q1521" s="910">
        <f t="shared" si="215"/>
        <v>3266</v>
      </c>
      <c r="R1521" s="1344">
        <f t="shared" si="216"/>
        <v>3.94</v>
      </c>
      <c r="S1521" s="1344">
        <f>(1/9)*cnst_fish!$C$7*(1/cnst_fish!$C$8)^(R1521-1)</f>
        <v>122.82819858354985</v>
      </c>
      <c r="T1521" s="1362">
        <f t="shared" si="217"/>
        <v>34659.207057604362</v>
      </c>
      <c r="W1521" s="1612"/>
      <c r="X1521" s="1612"/>
      <c r="Y1521" s="1613"/>
      <c r="Z1521" s="1614"/>
      <c r="AA1521" s="1614"/>
      <c r="AB1521" s="1615"/>
      <c r="AC1521" s="1615"/>
      <c r="AD1521" s="583"/>
      <c r="AE1521" s="583"/>
    </row>
    <row r="1522" spans="1:31" ht="12.75" customHeight="1">
      <c r="A1522" s="1384" t="s">
        <v>6741</v>
      </c>
      <c r="B1522" s="19" t="s">
        <v>6740</v>
      </c>
      <c r="C1522" s="1383">
        <v>14849</v>
      </c>
      <c r="D1522" s="1236"/>
      <c r="E1522" s="1236"/>
      <c r="F1522" s="1344">
        <f>(1/S1522)*cnst_fish!$C$6</f>
        <v>3.0136363636363641</v>
      </c>
      <c r="G1522" s="719">
        <f t="shared" si="219"/>
        <v>1</v>
      </c>
      <c r="H1522" s="719">
        <f t="shared" si="219"/>
        <v>0.367192066876738</v>
      </c>
      <c r="I1522" s="719">
        <f t="shared" si="212"/>
        <v>0</v>
      </c>
      <c r="J1522" s="1386">
        <f t="shared" si="213"/>
        <v>0</v>
      </c>
      <c r="L1522" s="1460">
        <v>0</v>
      </c>
      <c r="M1522" s="1236"/>
      <c r="N1522" s="1240" t="s">
        <v>1806</v>
      </c>
      <c r="O1522" s="1241" t="s">
        <v>4841</v>
      </c>
      <c r="P1522" s="910">
        <f t="shared" si="214"/>
        <v>0</v>
      </c>
      <c r="Q1522" s="910">
        <f t="shared" si="215"/>
        <v>0</v>
      </c>
      <c r="R1522" s="1344">
        <f t="shared" si="216"/>
        <v>2</v>
      </c>
      <c r="S1522" s="1344">
        <f>(1/9)*cnst_fish!$C$7*(1/cnst_fish!$C$8)^(R1522-1)</f>
        <v>1.4102564102564099</v>
      </c>
      <c r="T1522" s="1362">
        <f t="shared" si="217"/>
        <v>0</v>
      </c>
      <c r="W1522" s="1612"/>
      <c r="X1522" s="1612"/>
      <c r="Y1522" s="1613"/>
      <c r="Z1522" s="1614"/>
      <c r="AA1522" s="1614"/>
      <c r="AB1522" s="1615"/>
      <c r="AC1522" s="1615"/>
      <c r="AD1522" s="583"/>
      <c r="AE1522" s="583"/>
    </row>
    <row r="1523" spans="1:31" ht="12.75" customHeight="1">
      <c r="A1523" s="1384" t="s">
        <v>2891</v>
      </c>
      <c r="B1523" s="19" t="s">
        <v>3436</v>
      </c>
      <c r="C1523" s="1383">
        <v>2856</v>
      </c>
      <c r="D1523" s="1236"/>
      <c r="E1523" s="1236"/>
      <c r="F1523" s="1344">
        <f>(1/S1523)*cnst_fish!$C$6</f>
        <v>9.5299549485983348E-2</v>
      </c>
      <c r="G1523" s="719">
        <f t="shared" si="219"/>
        <v>1</v>
      </c>
      <c r="H1523" s="719">
        <f t="shared" si="219"/>
        <v>0.367192066876738</v>
      </c>
      <c r="I1523" s="719">
        <f t="shared" si="212"/>
        <v>0</v>
      </c>
      <c r="J1523" s="1386">
        <f t="shared" si="213"/>
        <v>0</v>
      </c>
      <c r="L1523" s="1460">
        <v>42</v>
      </c>
      <c r="M1523" s="1236"/>
      <c r="N1523" s="1240" t="s">
        <v>1806</v>
      </c>
      <c r="O1523" s="1241" t="s">
        <v>4841</v>
      </c>
      <c r="P1523" s="910">
        <f t="shared" si="214"/>
        <v>0</v>
      </c>
      <c r="Q1523" s="910">
        <f t="shared" si="215"/>
        <v>42</v>
      </c>
      <c r="R1523" s="1344">
        <f t="shared" si="216"/>
        <v>3.5</v>
      </c>
      <c r="S1523" s="1344">
        <f>(1/9)*cnst_fish!$C$7*(1/cnst_fish!$C$8)^(R1523-1)</f>
        <v>44.596223412631026</v>
      </c>
      <c r="T1523" s="1362">
        <f t="shared" si="217"/>
        <v>161.82727926842165</v>
      </c>
      <c r="W1523" s="1612"/>
      <c r="X1523" s="1612"/>
      <c r="Y1523" s="1613"/>
      <c r="Z1523" s="1614"/>
      <c r="AA1523" s="1614"/>
      <c r="AB1523" s="1615"/>
      <c r="AC1523" s="1615"/>
      <c r="AD1523" s="583"/>
      <c r="AE1523" s="583"/>
    </row>
    <row r="1524" spans="1:31" ht="12.75" customHeight="1">
      <c r="A1524" s="1384" t="s">
        <v>1225</v>
      </c>
      <c r="B1524" s="19" t="s">
        <v>3437</v>
      </c>
      <c r="C1524" s="1383">
        <v>2052</v>
      </c>
      <c r="D1524" s="1236"/>
      <c r="E1524" s="1236"/>
      <c r="F1524" s="1344">
        <f>(1/S1524)*cnst_fish!$C$6</f>
        <v>2.8780003842373291E-2</v>
      </c>
      <c r="G1524" s="719">
        <f t="shared" si="219"/>
        <v>1</v>
      </c>
      <c r="H1524" s="719">
        <f t="shared" si="219"/>
        <v>0.367192066876738</v>
      </c>
      <c r="I1524" s="719">
        <f t="shared" si="212"/>
        <v>0</v>
      </c>
      <c r="J1524" s="1386">
        <f t="shared" si="213"/>
        <v>0</v>
      </c>
      <c r="L1524" s="1460">
        <v>1752</v>
      </c>
      <c r="M1524" s="1236"/>
      <c r="N1524" s="1240" t="s">
        <v>1806</v>
      </c>
      <c r="O1524" s="1241" t="s">
        <v>4841</v>
      </c>
      <c r="P1524" s="910">
        <f t="shared" si="214"/>
        <v>0</v>
      </c>
      <c r="Q1524" s="910">
        <f t="shared" si="215"/>
        <v>1752</v>
      </c>
      <c r="R1524" s="1344">
        <f t="shared" si="216"/>
        <v>4.0199999999999996</v>
      </c>
      <c r="S1524" s="1344">
        <f>(1/9)*cnst_fish!$C$7*(1/cnst_fish!$C$8)^(R1524-1)</f>
        <v>147.67197472512677</v>
      </c>
      <c r="T1524" s="1362">
        <f t="shared" si="217"/>
        <v>22353.037362033749</v>
      </c>
      <c r="W1524" s="1612"/>
      <c r="X1524" s="1612"/>
      <c r="Y1524" s="1613"/>
      <c r="Z1524" s="1614"/>
      <c r="AA1524" s="1614"/>
      <c r="AB1524" s="1615"/>
      <c r="AC1524" s="1615"/>
      <c r="AD1524" s="583"/>
      <c r="AE1524" s="583"/>
    </row>
    <row r="1525" spans="1:31" ht="12.75" customHeight="1">
      <c r="A1525" s="1384" t="s">
        <v>200</v>
      </c>
      <c r="B1525" s="19" t="s">
        <v>3438</v>
      </c>
      <c r="C1525" s="1383">
        <v>2850</v>
      </c>
      <c r="D1525" s="1236"/>
      <c r="E1525" s="1236"/>
      <c r="F1525" s="1344">
        <f>(1/S1525)*cnst_fish!$C$6</f>
        <v>3.460117504783787E-2</v>
      </c>
      <c r="G1525" s="719">
        <f t="shared" si="219"/>
        <v>1</v>
      </c>
      <c r="H1525" s="719">
        <f t="shared" si="219"/>
        <v>0.367192066876738</v>
      </c>
      <c r="I1525" s="719">
        <f t="shared" si="212"/>
        <v>0</v>
      </c>
      <c r="J1525" s="1386">
        <f t="shared" si="213"/>
        <v>0</v>
      </c>
      <c r="L1525" s="1460"/>
      <c r="M1525" s="1236"/>
      <c r="N1525" s="1240" t="s">
        <v>1806</v>
      </c>
      <c r="O1525" s="1241" t="s">
        <v>4841</v>
      </c>
      <c r="P1525" s="910">
        <f t="shared" si="214"/>
        <v>0</v>
      </c>
      <c r="Q1525" s="910">
        <f t="shared" si="215"/>
        <v>0</v>
      </c>
      <c r="R1525" s="1344">
        <f t="shared" si="216"/>
        <v>3.94</v>
      </c>
      <c r="S1525" s="1344">
        <f>(1/9)*cnst_fish!$C$7*(1/cnst_fish!$C$8)^(R1525-1)</f>
        <v>122.82819858354985</v>
      </c>
      <c r="T1525" s="1362">
        <f t="shared" si="217"/>
        <v>0</v>
      </c>
      <c r="W1525" s="1612"/>
      <c r="X1525" s="1612"/>
      <c r="Y1525" s="1613"/>
      <c r="Z1525" s="1614"/>
      <c r="AA1525" s="1614"/>
      <c r="AB1525" s="1615"/>
      <c r="AC1525" s="1615"/>
      <c r="AD1525" s="583"/>
      <c r="AE1525" s="583"/>
    </row>
    <row r="1526" spans="1:31" ht="12.75" customHeight="1">
      <c r="A1526" s="1384" t="s">
        <v>6801</v>
      </c>
      <c r="B1526" s="19" t="s">
        <v>6800</v>
      </c>
      <c r="C1526" s="1383">
        <v>14869</v>
      </c>
      <c r="D1526" s="1236"/>
      <c r="E1526" s="1236"/>
      <c r="F1526" s="1344">
        <f>(1/S1526)*cnst_fish!$C$6</f>
        <v>3.0136363636363641</v>
      </c>
      <c r="G1526" s="719">
        <f t="shared" si="219"/>
        <v>1</v>
      </c>
      <c r="H1526" s="719">
        <f t="shared" si="219"/>
        <v>0.367192066876738</v>
      </c>
      <c r="I1526" s="719">
        <f t="shared" si="212"/>
        <v>0</v>
      </c>
      <c r="J1526" s="1386">
        <f t="shared" si="213"/>
        <v>0</v>
      </c>
      <c r="L1526" s="1460">
        <v>33</v>
      </c>
      <c r="M1526" s="1236"/>
      <c r="N1526" s="1240" t="s">
        <v>1806</v>
      </c>
      <c r="O1526" s="1241" t="s">
        <v>4841</v>
      </c>
      <c r="P1526" s="910">
        <f t="shared" si="214"/>
        <v>0</v>
      </c>
      <c r="Q1526" s="910">
        <f t="shared" si="215"/>
        <v>33</v>
      </c>
      <c r="R1526" s="1344">
        <f t="shared" si="216"/>
        <v>2</v>
      </c>
      <c r="S1526" s="1344">
        <f>(1/9)*cnst_fish!$C$7*(1/cnst_fish!$C$8)^(R1526-1)</f>
        <v>1.4102564102564099</v>
      </c>
      <c r="T1526" s="1362">
        <f t="shared" si="217"/>
        <v>4.0208362074285331</v>
      </c>
      <c r="W1526" s="1612"/>
      <c r="X1526" s="1612"/>
      <c r="Y1526" s="1613"/>
      <c r="Z1526" s="1614"/>
      <c r="AA1526" s="1614"/>
      <c r="AB1526" s="1615"/>
      <c r="AC1526" s="1615"/>
      <c r="AD1526" s="583"/>
      <c r="AE1526" s="583"/>
    </row>
    <row r="1527" spans="1:31" ht="12.75" customHeight="1">
      <c r="A1527" s="1384" t="s">
        <v>6930</v>
      </c>
      <c r="B1527" s="19" t="s">
        <v>6929</v>
      </c>
      <c r="C1527" s="1383">
        <v>2055</v>
      </c>
      <c r="D1527" s="1236"/>
      <c r="E1527" s="1236"/>
      <c r="F1527" s="1344">
        <f>(1/S1527)*cnst_fish!$C$6</f>
        <v>3.0136363636363641</v>
      </c>
      <c r="G1527" s="719">
        <f t="shared" si="219"/>
        <v>1</v>
      </c>
      <c r="H1527" s="719">
        <f t="shared" si="219"/>
        <v>0.367192066876738</v>
      </c>
      <c r="I1527" s="719">
        <f t="shared" si="212"/>
        <v>0</v>
      </c>
      <c r="J1527" s="1386">
        <f t="shared" si="213"/>
        <v>0</v>
      </c>
      <c r="L1527" s="1460">
        <v>3</v>
      </c>
      <c r="M1527" s="1236"/>
      <c r="N1527" s="1240" t="s">
        <v>1806</v>
      </c>
      <c r="O1527" s="1241" t="s">
        <v>4841</v>
      </c>
      <c r="P1527" s="910">
        <f t="shared" si="214"/>
        <v>0</v>
      </c>
      <c r="Q1527" s="910">
        <f t="shared" si="215"/>
        <v>3</v>
      </c>
      <c r="R1527" s="1344">
        <f t="shared" si="216"/>
        <v>2</v>
      </c>
      <c r="S1527" s="1344">
        <f>(1/9)*cnst_fish!$C$7*(1/cnst_fish!$C$8)^(R1527-1)</f>
        <v>1.4102564102564099</v>
      </c>
      <c r="T1527" s="1362">
        <f t="shared" si="217"/>
        <v>0.36553056431168479</v>
      </c>
      <c r="W1527" s="1612"/>
      <c r="X1527" s="1612"/>
      <c r="Y1527" s="1613"/>
      <c r="Z1527" s="1614"/>
      <c r="AA1527" s="1614"/>
      <c r="AB1527" s="1615"/>
      <c r="AC1527" s="1615"/>
      <c r="AD1527" s="583"/>
      <c r="AE1527" s="583"/>
    </row>
    <row r="1528" spans="1:31" ht="12.75" customHeight="1">
      <c r="A1528" s="1384" t="s">
        <v>5699</v>
      </c>
      <c r="B1528" s="19" t="s">
        <v>3439</v>
      </c>
      <c r="C1528" s="1383">
        <v>2849</v>
      </c>
      <c r="D1528" s="1236">
        <v>9002</v>
      </c>
      <c r="E1528" s="1236"/>
      <c r="F1528" s="1344">
        <f>(1/S1528)*cnst_fish!$C$6</f>
        <v>4.6675700833589753E-2</v>
      </c>
      <c r="G1528" s="719">
        <f t="shared" ref="G1528:H1547" si="220">G$7</f>
        <v>1</v>
      </c>
      <c r="H1528" s="719">
        <f t="shared" si="220"/>
        <v>0.367192066876738</v>
      </c>
      <c r="I1528" s="719">
        <f t="shared" si="212"/>
        <v>70817.640163758362</v>
      </c>
      <c r="J1528" s="1386">
        <f t="shared" si="213"/>
        <v>0</v>
      </c>
      <c r="L1528" s="1460">
        <v>15699</v>
      </c>
      <c r="M1528" s="1236"/>
      <c r="N1528" s="1240" t="s">
        <v>1806</v>
      </c>
      <c r="O1528" s="1241" t="s">
        <v>4841</v>
      </c>
      <c r="P1528" s="910">
        <f t="shared" si="214"/>
        <v>9002</v>
      </c>
      <c r="Q1528" s="910">
        <f t="shared" si="215"/>
        <v>15699</v>
      </c>
      <c r="R1528" s="1344">
        <f t="shared" si="216"/>
        <v>3.81</v>
      </c>
      <c r="S1528" s="1344">
        <f>(1/9)*cnst_fish!$C$7*(1/cnst_fish!$C$8)^(R1528-1)</f>
        <v>91.053801530528389</v>
      </c>
      <c r="T1528" s="1362">
        <f t="shared" si="217"/>
        <v>123502.12540889163</v>
      </c>
      <c r="W1528" s="1612"/>
      <c r="X1528" s="1612"/>
      <c r="Y1528" s="1613"/>
      <c r="Z1528" s="1614"/>
      <c r="AA1528" s="1614"/>
      <c r="AB1528" s="1615"/>
      <c r="AC1528" s="1615"/>
      <c r="AD1528" s="583"/>
      <c r="AE1528" s="583"/>
    </row>
    <row r="1529" spans="1:31" ht="12.75" customHeight="1">
      <c r="A1529" s="1384" t="s">
        <v>1423</v>
      </c>
      <c r="B1529" s="19" t="s">
        <v>83</v>
      </c>
      <c r="C1529" s="1383">
        <v>2845</v>
      </c>
      <c r="D1529" s="1236">
        <v>11433</v>
      </c>
      <c r="E1529" s="1236"/>
      <c r="F1529" s="1344">
        <f>(1/S1529)*cnst_fish!$C$6</f>
        <v>6.1530557150722649E-2</v>
      </c>
      <c r="G1529" s="719">
        <f t="shared" si="220"/>
        <v>1</v>
      </c>
      <c r="H1529" s="719">
        <f t="shared" si="220"/>
        <v>0.367192066876738</v>
      </c>
      <c r="I1529" s="719">
        <f t="shared" si="212"/>
        <v>68228.000769085207</v>
      </c>
      <c r="J1529" s="1386">
        <f t="shared" si="213"/>
        <v>0</v>
      </c>
      <c r="L1529" s="1460">
        <v>115646</v>
      </c>
      <c r="M1529" s="1236"/>
      <c r="N1529" s="1240" t="s">
        <v>1806</v>
      </c>
      <c r="O1529" s="1241" t="s">
        <v>4841</v>
      </c>
      <c r="P1529" s="910">
        <f t="shared" si="214"/>
        <v>11433</v>
      </c>
      <c r="Q1529" s="910">
        <f t="shared" si="215"/>
        <v>115646</v>
      </c>
      <c r="R1529" s="1344">
        <f t="shared" si="216"/>
        <v>3.69</v>
      </c>
      <c r="S1529" s="1344">
        <f>(1/9)*cnst_fish!$C$7*(1/cnst_fish!$C$8)^(R1529-1)</f>
        <v>69.071371962216759</v>
      </c>
      <c r="T1529" s="1362">
        <f t="shared" si="217"/>
        <v>690133.41878261406</v>
      </c>
      <c r="W1529" s="1612"/>
      <c r="X1529" s="1612"/>
      <c r="Y1529" s="1613"/>
      <c r="Z1529" s="1614"/>
      <c r="AA1529" s="1614"/>
      <c r="AB1529" s="1615"/>
      <c r="AC1529" s="1615"/>
      <c r="AD1529" s="583"/>
      <c r="AE1529" s="583"/>
    </row>
    <row r="1530" spans="1:31" ht="12.75" customHeight="1">
      <c r="A1530" s="1384" t="s">
        <v>3297</v>
      </c>
      <c r="B1530" s="19" t="s">
        <v>3591</v>
      </c>
      <c r="C1530" s="1383">
        <v>2746</v>
      </c>
      <c r="D1530" s="1236"/>
      <c r="E1530" s="1236">
        <v>1</v>
      </c>
      <c r="F1530" s="1344">
        <f>(1/S1530)*cnst_fish!$C$6</f>
        <v>0.75699122913220485</v>
      </c>
      <c r="G1530" s="719">
        <f t="shared" si="220"/>
        <v>1</v>
      </c>
      <c r="H1530" s="719">
        <f t="shared" si="220"/>
        <v>0.367192066876738</v>
      </c>
      <c r="I1530" s="719">
        <f t="shared" si="212"/>
        <v>0</v>
      </c>
      <c r="J1530" s="1386">
        <f t="shared" si="213"/>
        <v>0.48506779569649378</v>
      </c>
      <c r="L1530" s="1460"/>
      <c r="M1530" s="1236">
        <v>2748</v>
      </c>
      <c r="N1530" s="1240" t="s">
        <v>2429</v>
      </c>
      <c r="O1530" s="1241"/>
      <c r="P1530" s="910">
        <f t="shared" si="214"/>
        <v>1</v>
      </c>
      <c r="Q1530" s="910">
        <f t="shared" si="215"/>
        <v>2748</v>
      </c>
      <c r="R1530" s="1344">
        <f t="shared" si="216"/>
        <v>2.6</v>
      </c>
      <c r="S1530" s="1344">
        <f>(1/9)*cnst_fish!$C$7*(1/cnst_fish!$C$8)^(R1530-1)</f>
        <v>5.6143318924211183</v>
      </c>
      <c r="T1530" s="1362">
        <f t="shared" si="217"/>
        <v>1332.9663025739646</v>
      </c>
      <c r="W1530" s="1612"/>
      <c r="X1530" s="1612"/>
      <c r="Y1530" s="1613"/>
      <c r="Z1530" s="1614"/>
      <c r="AA1530" s="1614"/>
      <c r="AB1530" s="1615"/>
      <c r="AC1530" s="1615"/>
      <c r="AD1530" s="583"/>
      <c r="AE1530" s="583"/>
    </row>
    <row r="1531" spans="1:31" ht="12.75" customHeight="1">
      <c r="A1531" s="1384" t="s">
        <v>4215</v>
      </c>
      <c r="B1531" s="19" t="s">
        <v>379</v>
      </c>
      <c r="C1531" s="1383">
        <v>2658</v>
      </c>
      <c r="D1531" s="1236"/>
      <c r="E1531" s="1236"/>
      <c r="F1531" s="1344">
        <f>(1/S1531)*cnst_fish!$C$6</f>
        <v>2.3938164528281742</v>
      </c>
      <c r="G1531" s="719">
        <f t="shared" si="220"/>
        <v>1</v>
      </c>
      <c r="H1531" s="719">
        <f t="shared" si="220"/>
        <v>0.367192066876738</v>
      </c>
      <c r="I1531" s="719">
        <f t="shared" si="212"/>
        <v>0</v>
      </c>
      <c r="J1531" s="1386">
        <f t="shared" si="213"/>
        <v>0</v>
      </c>
      <c r="L1531" s="1460">
        <v>7342</v>
      </c>
      <c r="M1531" s="1236"/>
      <c r="N1531" s="1240" t="s">
        <v>1804</v>
      </c>
      <c r="O1531" s="1241" t="s">
        <v>4851</v>
      </c>
      <c r="P1531" s="910">
        <f t="shared" si="214"/>
        <v>0</v>
      </c>
      <c r="Q1531" s="910">
        <f t="shared" si="215"/>
        <v>7342</v>
      </c>
      <c r="R1531" s="1344">
        <f t="shared" si="216"/>
        <v>2.1</v>
      </c>
      <c r="S1531" s="1344">
        <f>(1/9)*cnst_fish!$C$7*(1/cnst_fish!$C$8)^(R1531-1)</f>
        <v>1.7754076320174161</v>
      </c>
      <c r="T1531" s="1362">
        <f t="shared" si="217"/>
        <v>1126.2033694454356</v>
      </c>
      <c r="W1531" s="1612"/>
      <c r="X1531" s="1612"/>
      <c r="Y1531" s="1613"/>
      <c r="Z1531" s="1614"/>
      <c r="AA1531" s="1614"/>
      <c r="AB1531" s="1615"/>
      <c r="AC1531" s="1615"/>
      <c r="AD1531" s="583"/>
      <c r="AE1531" s="583"/>
    </row>
    <row r="1532" spans="1:31" ht="12.75" customHeight="1">
      <c r="A1532" s="1384" t="s">
        <v>5258</v>
      </c>
      <c r="B1532" s="19" t="s">
        <v>3513</v>
      </c>
      <c r="C1532" s="1383">
        <v>19133</v>
      </c>
      <c r="D1532" s="1236"/>
      <c r="E1532" s="1236"/>
      <c r="F1532" s="1344">
        <f>(1/S1532)*cnst_fish!$C$6</f>
        <v>3.0136363636363641</v>
      </c>
      <c r="G1532" s="719">
        <f t="shared" si="220"/>
        <v>1</v>
      </c>
      <c r="H1532" s="719">
        <f t="shared" si="220"/>
        <v>0.367192066876738</v>
      </c>
      <c r="I1532" s="719">
        <f t="shared" si="212"/>
        <v>0</v>
      </c>
      <c r="J1532" s="1386">
        <f t="shared" si="213"/>
        <v>0</v>
      </c>
      <c r="L1532" s="1460"/>
      <c r="M1532" s="1236">
        <v>2178</v>
      </c>
      <c r="N1532" s="1240" t="s">
        <v>1806</v>
      </c>
      <c r="O1532" s="1241" t="s">
        <v>4845</v>
      </c>
      <c r="P1532" s="910">
        <f t="shared" si="214"/>
        <v>0</v>
      </c>
      <c r="Q1532" s="910">
        <f t="shared" si="215"/>
        <v>2178</v>
      </c>
      <c r="R1532" s="1344">
        <f t="shared" si="216"/>
        <v>2</v>
      </c>
      <c r="S1532" s="1344">
        <f>(1/9)*cnst_fish!$C$7*(1/cnst_fish!$C$8)^(R1532-1)</f>
        <v>1.4102564102564099</v>
      </c>
      <c r="T1532" s="1362">
        <f t="shared" si="217"/>
        <v>265.37518969028315</v>
      </c>
      <c r="W1532" s="1612"/>
      <c r="X1532" s="1612"/>
      <c r="Y1532" s="1613"/>
      <c r="Z1532" s="1614"/>
      <c r="AA1532" s="1614"/>
      <c r="AB1532" s="1615"/>
      <c r="AC1532" s="1615"/>
      <c r="AD1532" s="583"/>
      <c r="AE1532" s="583"/>
    </row>
    <row r="1533" spans="1:31" ht="12.75" customHeight="1">
      <c r="A1533" s="1384" t="s">
        <v>5394</v>
      </c>
      <c r="B1533" s="19" t="s">
        <v>5107</v>
      </c>
      <c r="C1533" s="1383">
        <v>2477</v>
      </c>
      <c r="D1533" s="1236"/>
      <c r="E1533" s="1236"/>
      <c r="F1533" s="1344">
        <f>(1/S1533)*cnst_fish!$C$6</f>
        <v>0.57423657091346914</v>
      </c>
      <c r="G1533" s="719">
        <f t="shared" si="220"/>
        <v>1</v>
      </c>
      <c r="H1533" s="719">
        <f t="shared" si="220"/>
        <v>0.367192066876738</v>
      </c>
      <c r="I1533" s="719">
        <f t="shared" si="212"/>
        <v>0</v>
      </c>
      <c r="J1533" s="1386">
        <f t="shared" si="213"/>
        <v>0</v>
      </c>
      <c r="L1533" s="1460">
        <v>282396</v>
      </c>
      <c r="M1533" s="1236"/>
      <c r="N1533" s="1240" t="s">
        <v>2432</v>
      </c>
      <c r="O1533" s="1241" t="s">
        <v>4859</v>
      </c>
      <c r="P1533" s="910">
        <f t="shared" si="214"/>
        <v>0</v>
      </c>
      <c r="Q1533" s="910">
        <f t="shared" si="215"/>
        <v>282396</v>
      </c>
      <c r="R1533" s="1344">
        <f t="shared" si="216"/>
        <v>2.72</v>
      </c>
      <c r="S1533" s="1344">
        <f>(1/9)*cnst_fish!$C$7*(1/cnst_fish!$C$8)^(R1533-1)</f>
        <v>7.4011308496762851</v>
      </c>
      <c r="T1533" s="1362">
        <f t="shared" si="217"/>
        <v>180576.39685464883</v>
      </c>
      <c r="W1533" s="1612"/>
      <c r="X1533" s="1612"/>
      <c r="Y1533" s="1613"/>
      <c r="Z1533" s="1614"/>
      <c r="AA1533" s="1614"/>
      <c r="AB1533" s="1615"/>
      <c r="AC1533" s="1615"/>
      <c r="AD1533" s="583"/>
      <c r="AE1533" s="583"/>
    </row>
    <row r="1534" spans="1:31" ht="12.75" customHeight="1">
      <c r="A1534" s="1384" t="s">
        <v>3674</v>
      </c>
      <c r="B1534" s="19" t="s">
        <v>5108</v>
      </c>
      <c r="C1534" s="1383">
        <v>2478</v>
      </c>
      <c r="D1534" s="1236"/>
      <c r="E1534" s="1236"/>
      <c r="F1534" s="1344">
        <f>(1/S1534)*cnst_fish!$C$6</f>
        <v>0.19457670629544385</v>
      </c>
      <c r="G1534" s="719">
        <f t="shared" si="220"/>
        <v>1</v>
      </c>
      <c r="H1534" s="719">
        <f t="shared" si="220"/>
        <v>0.367192066876738</v>
      </c>
      <c r="I1534" s="719">
        <f t="shared" si="212"/>
        <v>0</v>
      </c>
      <c r="J1534" s="1386">
        <f t="shared" si="213"/>
        <v>0</v>
      </c>
      <c r="L1534" s="1460">
        <v>421623</v>
      </c>
      <c r="M1534" s="1236"/>
      <c r="N1534" s="1240" t="s">
        <v>2432</v>
      </c>
      <c r="O1534" s="1241" t="s">
        <v>4859</v>
      </c>
      <c r="P1534" s="910">
        <f t="shared" si="214"/>
        <v>0</v>
      </c>
      <c r="Q1534" s="910">
        <f t="shared" si="215"/>
        <v>421623</v>
      </c>
      <c r="R1534" s="1344">
        <f t="shared" si="216"/>
        <v>3.19</v>
      </c>
      <c r="S1534" s="1344">
        <f>(1/9)*cnst_fish!$C$7*(1/cnst_fish!$C$8)^(R1534-1)</f>
        <v>21.84228565132987</v>
      </c>
      <c r="T1534" s="1362">
        <f t="shared" si="217"/>
        <v>795658.55420380307</v>
      </c>
      <c r="W1534" s="1612"/>
      <c r="X1534" s="1612"/>
      <c r="Y1534" s="1613"/>
      <c r="Z1534" s="1614"/>
      <c r="AA1534" s="1614"/>
      <c r="AB1534" s="1615"/>
      <c r="AC1534" s="1615"/>
      <c r="AD1534" s="583"/>
      <c r="AE1534" s="583"/>
    </row>
    <row r="1535" spans="1:31" ht="12.75" customHeight="1">
      <c r="A1535" s="1384" t="s">
        <v>186</v>
      </c>
      <c r="B1535" s="19" t="s">
        <v>5109</v>
      </c>
      <c r="C1535" s="1383">
        <v>2476</v>
      </c>
      <c r="D1535" s="1236"/>
      <c r="E1535" s="1236"/>
      <c r="F1535" s="1344">
        <f>(1/S1535)*cnst_fish!$C$6</f>
        <v>0.23938164528281752</v>
      </c>
      <c r="G1535" s="719">
        <f t="shared" si="220"/>
        <v>1</v>
      </c>
      <c r="H1535" s="719">
        <f t="shared" si="220"/>
        <v>0.367192066876738</v>
      </c>
      <c r="I1535" s="719">
        <f t="shared" si="212"/>
        <v>0</v>
      </c>
      <c r="J1535" s="1386">
        <f t="shared" si="213"/>
        <v>0</v>
      </c>
      <c r="L1535" s="1460">
        <v>336677</v>
      </c>
      <c r="M1535" s="1236"/>
      <c r="N1535" s="1240" t="s">
        <v>2432</v>
      </c>
      <c r="O1535" s="1241" t="s">
        <v>4859</v>
      </c>
      <c r="P1535" s="910">
        <f t="shared" si="214"/>
        <v>0</v>
      </c>
      <c r="Q1535" s="910">
        <f t="shared" si="215"/>
        <v>336677</v>
      </c>
      <c r="R1535" s="1344">
        <f t="shared" si="216"/>
        <v>3.1</v>
      </c>
      <c r="S1535" s="1344">
        <f>(1/9)*cnst_fish!$C$7*(1/cnst_fish!$C$8)^(R1535-1)</f>
        <v>17.754076320174157</v>
      </c>
      <c r="T1535" s="1362">
        <f t="shared" si="217"/>
        <v>516435.26534293214</v>
      </c>
      <c r="W1535" s="1612"/>
      <c r="X1535" s="1612"/>
      <c r="Y1535" s="1613"/>
      <c r="Z1535" s="1614"/>
      <c r="AA1535" s="1614"/>
      <c r="AB1535" s="1615"/>
      <c r="AC1535" s="1615"/>
      <c r="AD1535" s="583"/>
      <c r="AE1535" s="583"/>
    </row>
    <row r="1536" spans="1:31" ht="12.75" customHeight="1">
      <c r="A1536" s="1384" t="s">
        <v>2474</v>
      </c>
      <c r="B1536" s="19" t="s">
        <v>2901</v>
      </c>
      <c r="C1536" s="1383">
        <v>2169</v>
      </c>
      <c r="D1536" s="1236"/>
      <c r="E1536" s="1236"/>
      <c r="F1536" s="1344">
        <f>(1/S1536)*cnst_fish!$C$6</f>
        <v>0.11724405960509449</v>
      </c>
      <c r="G1536" s="719">
        <f t="shared" si="220"/>
        <v>1</v>
      </c>
      <c r="H1536" s="719">
        <f t="shared" si="220"/>
        <v>0.367192066876738</v>
      </c>
      <c r="I1536" s="719">
        <f t="shared" si="212"/>
        <v>0</v>
      </c>
      <c r="J1536" s="1386">
        <f t="shared" si="213"/>
        <v>0</v>
      </c>
      <c r="L1536" s="1460"/>
      <c r="M1536" s="1236">
        <v>271350</v>
      </c>
      <c r="N1536" s="1240" t="s">
        <v>1806</v>
      </c>
      <c r="O1536" s="1241" t="s">
        <v>4845</v>
      </c>
      <c r="P1536" s="910">
        <f t="shared" si="214"/>
        <v>0</v>
      </c>
      <c r="Q1536" s="910">
        <f t="shared" si="215"/>
        <v>271350</v>
      </c>
      <c r="R1536" s="1344">
        <f t="shared" si="216"/>
        <v>3.41</v>
      </c>
      <c r="S1536" s="1344">
        <f>(1/9)*cnst_fish!$C$7*(1/cnst_fish!$C$8)^(R1536-1)</f>
        <v>36.24917129545836</v>
      </c>
      <c r="T1536" s="1362">
        <f t="shared" si="217"/>
        <v>849830.41087629995</v>
      </c>
      <c r="W1536" s="1612"/>
      <c r="X1536" s="1612"/>
      <c r="Y1536" s="1613"/>
      <c r="Z1536" s="1614"/>
      <c r="AA1536" s="1614"/>
      <c r="AB1536" s="1615"/>
      <c r="AC1536" s="1615"/>
      <c r="AD1536" s="583"/>
      <c r="AE1536" s="583"/>
    </row>
    <row r="1537" spans="1:31" ht="12.75" customHeight="1">
      <c r="A1537" s="1384" t="s">
        <v>4777</v>
      </c>
      <c r="B1537" s="19" t="s">
        <v>5110</v>
      </c>
      <c r="C1537" s="1383">
        <v>14892</v>
      </c>
      <c r="D1537" s="1236"/>
      <c r="E1537" s="1236"/>
      <c r="F1537" s="1344">
        <f>(1/S1537)*cnst_fish!$C$6</f>
        <v>0.19014759972289441</v>
      </c>
      <c r="G1537" s="719">
        <f t="shared" si="220"/>
        <v>1</v>
      </c>
      <c r="H1537" s="719">
        <f t="shared" si="220"/>
        <v>0.367192066876738</v>
      </c>
      <c r="I1537" s="719">
        <f t="shared" si="212"/>
        <v>0</v>
      </c>
      <c r="J1537" s="1386">
        <f t="shared" si="213"/>
        <v>0</v>
      </c>
      <c r="L1537" s="1460">
        <v>0</v>
      </c>
      <c r="M1537" s="1236"/>
      <c r="N1537" s="1240" t="s">
        <v>1806</v>
      </c>
      <c r="O1537" s="1241" t="s">
        <v>4859</v>
      </c>
      <c r="P1537" s="910">
        <f t="shared" si="214"/>
        <v>0</v>
      </c>
      <c r="Q1537" s="910">
        <f t="shared" si="215"/>
        <v>0</v>
      </c>
      <c r="R1537" s="1344">
        <f t="shared" si="216"/>
        <v>3.2</v>
      </c>
      <c r="S1537" s="1344">
        <f>(1/9)*cnst_fish!$C$7*(1/cnst_fish!$C$8)^(R1537-1)</f>
        <v>22.351057842400341</v>
      </c>
      <c r="T1537" s="1362">
        <f t="shared" si="217"/>
        <v>0</v>
      </c>
      <c r="W1537" s="1612"/>
      <c r="X1537" s="1612"/>
      <c r="Y1537" s="1613"/>
      <c r="Z1537" s="1614"/>
      <c r="AA1537" s="1614"/>
      <c r="AB1537" s="1615"/>
      <c r="AC1537" s="1615"/>
      <c r="AD1537" s="583"/>
      <c r="AE1537" s="583"/>
    </row>
    <row r="1538" spans="1:31" ht="12.75" customHeight="1">
      <c r="A1538" s="1384" t="s">
        <v>4740</v>
      </c>
      <c r="B1538" s="19" t="s">
        <v>1408</v>
      </c>
      <c r="C1538" s="1383">
        <v>2544</v>
      </c>
      <c r="D1538" s="1236">
        <v>1394</v>
      </c>
      <c r="E1538" s="1236"/>
      <c r="F1538" s="1344">
        <f>(1/S1538)*cnst_fish!$C$6</f>
        <v>9.979087888316248E-3</v>
      </c>
      <c r="G1538" s="719">
        <f t="shared" si="220"/>
        <v>1</v>
      </c>
      <c r="H1538" s="719">
        <f t="shared" si="220"/>
        <v>0.367192066876738</v>
      </c>
      <c r="I1538" s="719">
        <f t="shared" si="212"/>
        <v>51293.840374477237</v>
      </c>
      <c r="J1538" s="1386">
        <f t="shared" si="213"/>
        <v>0</v>
      </c>
      <c r="L1538" s="1460">
        <v>121164</v>
      </c>
      <c r="M1538" s="1236"/>
      <c r="N1538" s="1240" t="s">
        <v>3929</v>
      </c>
      <c r="O1538" s="1241" t="s">
        <v>4841</v>
      </c>
      <c r="P1538" s="910">
        <f t="shared" si="214"/>
        <v>1394</v>
      </c>
      <c r="Q1538" s="910">
        <f t="shared" si="215"/>
        <v>121164</v>
      </c>
      <c r="R1538" s="1344">
        <f t="shared" si="216"/>
        <v>4.4800000000000004</v>
      </c>
      <c r="S1538" s="1344">
        <f>(1/9)*cnst_fish!$C$7*(1/cnst_fish!$C$8)^(R1538-1)</f>
        <v>425.89062723618264</v>
      </c>
      <c r="T1538" s="1362">
        <f t="shared" si="217"/>
        <v>4458369.3508846201</v>
      </c>
      <c r="W1538" s="1612"/>
      <c r="X1538" s="1612"/>
      <c r="Y1538" s="1613"/>
      <c r="Z1538" s="1614"/>
      <c r="AA1538" s="1614"/>
      <c r="AB1538" s="1615"/>
      <c r="AC1538" s="1615"/>
      <c r="AD1538" s="583"/>
      <c r="AE1538" s="583"/>
    </row>
    <row r="1539" spans="1:31" ht="12.75" customHeight="1">
      <c r="A1539" s="1384" t="s">
        <v>2237</v>
      </c>
      <c r="B1539" s="19" t="s">
        <v>4568</v>
      </c>
      <c r="C1539" s="1383">
        <v>2613</v>
      </c>
      <c r="D1539" s="1236"/>
      <c r="E1539" s="1236"/>
      <c r="F1539" s="1344">
        <f>(1/S1539)*cnst_fish!$C$6</f>
        <v>0.75699122913220485</v>
      </c>
      <c r="G1539" s="719">
        <f t="shared" si="220"/>
        <v>1</v>
      </c>
      <c r="H1539" s="719">
        <f t="shared" si="220"/>
        <v>0.367192066876738</v>
      </c>
      <c r="I1539" s="719">
        <f t="shared" si="212"/>
        <v>0</v>
      </c>
      <c r="J1539" s="1386">
        <f t="shared" si="213"/>
        <v>0</v>
      </c>
      <c r="L1539" s="1460">
        <v>917</v>
      </c>
      <c r="M1539" s="1236"/>
      <c r="N1539" s="1240" t="s">
        <v>3932</v>
      </c>
      <c r="O1539" s="1241" t="s">
        <v>4840</v>
      </c>
      <c r="P1539" s="910">
        <f t="shared" si="214"/>
        <v>0</v>
      </c>
      <c r="Q1539" s="910">
        <f t="shared" si="215"/>
        <v>917</v>
      </c>
      <c r="R1539" s="1344">
        <f t="shared" si="216"/>
        <v>2.6</v>
      </c>
      <c r="S1539" s="1344">
        <f>(1/9)*cnst_fish!$C$7*(1/cnst_fish!$C$8)^(R1539-1)</f>
        <v>5.6143318924211183</v>
      </c>
      <c r="T1539" s="1362">
        <f t="shared" si="217"/>
        <v>444.8071686536847</v>
      </c>
      <c r="W1539" s="1612"/>
      <c r="X1539" s="1612"/>
      <c r="Y1539" s="1613"/>
      <c r="Z1539" s="1614"/>
      <c r="AA1539" s="1614"/>
      <c r="AB1539" s="1615"/>
      <c r="AC1539" s="1615"/>
      <c r="AD1539" s="583"/>
      <c r="AE1539" s="583"/>
    </row>
    <row r="1540" spans="1:31" ht="12.75" customHeight="1">
      <c r="A1540" s="1384" t="s">
        <v>1771</v>
      </c>
      <c r="B1540" s="19" t="s">
        <v>4118</v>
      </c>
      <c r="C1540" s="1383">
        <v>3268</v>
      </c>
      <c r="D1540" s="1236"/>
      <c r="E1540" s="1236"/>
      <c r="F1540" s="1344">
        <f>(1/S1540)*cnst_fish!$C$6</f>
        <v>1.4760152601876367E-2</v>
      </c>
      <c r="G1540" s="719">
        <f t="shared" si="220"/>
        <v>1</v>
      </c>
      <c r="H1540" s="719">
        <f t="shared" si="220"/>
        <v>0.367192066876738</v>
      </c>
      <c r="I1540" s="719">
        <f t="shared" si="212"/>
        <v>0</v>
      </c>
      <c r="J1540" s="1386">
        <f t="shared" si="213"/>
        <v>0</v>
      </c>
      <c r="L1540" s="1460">
        <v>823</v>
      </c>
      <c r="M1540" s="1236"/>
      <c r="N1540" s="1240" t="s">
        <v>1806</v>
      </c>
      <c r="O1540" s="1241" t="s">
        <v>4841</v>
      </c>
      <c r="P1540" s="910">
        <f t="shared" si="214"/>
        <v>0</v>
      </c>
      <c r="Q1540" s="910">
        <f t="shared" si="215"/>
        <v>823</v>
      </c>
      <c r="R1540" s="1344">
        <f t="shared" si="216"/>
        <v>4.3099999999999996</v>
      </c>
      <c r="S1540" s="1344">
        <f>(1/9)*cnst_fish!$C$7*(1/cnst_fish!$C$8)^(R1540-1)</f>
        <v>287.93740245339495</v>
      </c>
      <c r="T1540" s="1362">
        <f t="shared" si="217"/>
        <v>20473.980126813774</v>
      </c>
      <c r="W1540" s="1612"/>
      <c r="X1540" s="1612"/>
      <c r="Y1540" s="1613"/>
      <c r="Z1540" s="1614"/>
      <c r="AA1540" s="1614"/>
      <c r="AB1540" s="1615"/>
      <c r="AC1540" s="1615"/>
      <c r="AD1540" s="583"/>
      <c r="AE1540" s="583"/>
    </row>
    <row r="1541" spans="1:31" ht="12.75" customHeight="1">
      <c r="A1541" s="1585" t="s">
        <v>5543</v>
      </c>
      <c r="B1541" s="1587" t="s">
        <v>8582</v>
      </c>
      <c r="C1541" s="1383">
        <v>20200</v>
      </c>
      <c r="D1541" s="1236">
        <v>0</v>
      </c>
      <c r="E1541" s="1236"/>
      <c r="F1541" s="1344">
        <f>(1/S1541)*cnst_fish!$C$6</f>
        <v>0.34601175047837884</v>
      </c>
      <c r="G1541" s="719">
        <f t="shared" si="220"/>
        <v>1</v>
      </c>
      <c r="H1541" s="719">
        <f t="shared" si="220"/>
        <v>0.367192066876738</v>
      </c>
      <c r="I1541" s="719">
        <f t="shared" si="212"/>
        <v>0</v>
      </c>
      <c r="J1541" s="1386">
        <f t="shared" si="213"/>
        <v>0</v>
      </c>
      <c r="L1541" s="1460">
        <v>47798</v>
      </c>
      <c r="M1541" s="1236"/>
      <c r="N1541" s="1240" t="s">
        <v>1806</v>
      </c>
      <c r="O1541" s="1241" t="s">
        <v>4859</v>
      </c>
      <c r="P1541" s="910">
        <f t="shared" si="214"/>
        <v>0</v>
      </c>
      <c r="Q1541" s="910">
        <f t="shared" si="215"/>
        <v>47798</v>
      </c>
      <c r="R1541" s="1344">
        <f t="shared" si="216"/>
        <v>2.94</v>
      </c>
      <c r="S1541" s="1344">
        <f>(1/9)*cnst_fish!$C$7*(1/cnst_fish!$C$8)^(R1541-1)</f>
        <v>12.282819858354982</v>
      </c>
      <c r="T1541" s="1362">
        <f t="shared" si="217"/>
        <v>50723.845037947722</v>
      </c>
      <c r="W1541" s="1616"/>
      <c r="X1541" s="1616"/>
      <c r="Y1541" s="1613"/>
      <c r="Z1541" s="1614"/>
      <c r="AA1541" s="1614"/>
      <c r="AB1541" s="1615"/>
      <c r="AC1541" s="1615"/>
      <c r="AD1541" s="583"/>
      <c r="AE1541" s="583"/>
    </row>
    <row r="1542" spans="1:31" ht="12.75" customHeight="1">
      <c r="A1542" s="1384" t="s">
        <v>2601</v>
      </c>
      <c r="B1542" s="19" t="s">
        <v>5717</v>
      </c>
      <c r="C1542" s="1383">
        <v>3192</v>
      </c>
      <c r="D1542" s="1236"/>
      <c r="E1542" s="1236"/>
      <c r="F1542" s="1344">
        <f>(1/S1542)*cnst_fish!$C$6</f>
        <v>0.40652835961739353</v>
      </c>
      <c r="G1542" s="719">
        <f t="shared" si="220"/>
        <v>1</v>
      </c>
      <c r="H1542" s="719">
        <f t="shared" si="220"/>
        <v>0.367192066876738</v>
      </c>
      <c r="I1542" s="719">
        <f t="shared" si="212"/>
        <v>0</v>
      </c>
      <c r="J1542" s="1386">
        <f t="shared" si="213"/>
        <v>0</v>
      </c>
      <c r="L1542" s="1460">
        <v>89</v>
      </c>
      <c r="M1542" s="1236"/>
      <c r="N1542" s="1240" t="s">
        <v>1806</v>
      </c>
      <c r="O1542" s="1241" t="s">
        <v>4841</v>
      </c>
      <c r="P1542" s="910">
        <f t="shared" si="214"/>
        <v>0</v>
      </c>
      <c r="Q1542" s="910">
        <f t="shared" si="215"/>
        <v>89</v>
      </c>
      <c r="R1542" s="1344">
        <f t="shared" si="216"/>
        <v>2.87</v>
      </c>
      <c r="S1542" s="1344">
        <f>(1/9)*cnst_fish!$C$7*(1/cnst_fish!$C$8)^(R1542-1)</f>
        <v>10.454375197833459</v>
      </c>
      <c r="T1542" s="1362">
        <f t="shared" si="217"/>
        <v>80.388226747050894</v>
      </c>
      <c r="W1542" s="1612"/>
      <c r="X1542" s="1612"/>
      <c r="Y1542" s="1613"/>
      <c r="Z1542" s="1614"/>
      <c r="AA1542" s="1614"/>
      <c r="AB1542" s="1615"/>
      <c r="AC1542" s="1615"/>
      <c r="AD1542" s="583"/>
      <c r="AE1542" s="583"/>
    </row>
    <row r="1543" spans="1:31" ht="12.75" customHeight="1">
      <c r="A1543" s="1384" t="s">
        <v>4084</v>
      </c>
      <c r="B1543" s="19" t="s">
        <v>5718</v>
      </c>
      <c r="C1543" s="1383">
        <v>18956</v>
      </c>
      <c r="D1543" s="1236"/>
      <c r="E1543" s="1236"/>
      <c r="F1543" s="1344">
        <f>(1/S1543)*cnst_fish!$C$6</f>
        <v>9.5299549485983348E-2</v>
      </c>
      <c r="G1543" s="719">
        <f t="shared" si="220"/>
        <v>1</v>
      </c>
      <c r="H1543" s="719">
        <f t="shared" si="220"/>
        <v>0.367192066876738</v>
      </c>
      <c r="I1543" s="719">
        <f t="shared" ref="I1543:I1606" si="221">IF($F1543=0,0,D1543/$F1543*$H1543*$G1543)</f>
        <v>0</v>
      </c>
      <c r="J1543" s="1386">
        <f t="shared" ref="J1543:J1606" si="222">IF($F1543=0,0,E1543/$F1543*$H1543*$G1543)</f>
        <v>0</v>
      </c>
      <c r="L1543" s="1460">
        <v>1638</v>
      </c>
      <c r="M1543" s="1236"/>
      <c r="N1543" s="1240" t="s">
        <v>1806</v>
      </c>
      <c r="O1543" s="1241" t="s">
        <v>4841</v>
      </c>
      <c r="P1543" s="910">
        <f t="shared" ref="P1543:P1606" si="223">D1543+E1543</f>
        <v>0</v>
      </c>
      <c r="Q1543" s="910">
        <f t="shared" ref="Q1543:Q1606" si="224">L1543+M1543</f>
        <v>1638</v>
      </c>
      <c r="R1543" s="1344">
        <f t="shared" ref="R1543:R1606" si="225">VLOOKUP(B1543,constant_fish_trophic,3,FALSE)</f>
        <v>3.5</v>
      </c>
      <c r="S1543" s="1344">
        <f>(1/9)*cnst_fish!$C$7*(1/cnst_fish!$C$8)^(R1543-1)</f>
        <v>44.596223412631026</v>
      </c>
      <c r="T1543" s="1362">
        <f t="shared" ref="T1543:T1606" si="226">IF(F1543=0,0,Q1543/F1543*H1543*G1543)</f>
        <v>6311.2638914684449</v>
      </c>
      <c r="W1543" s="1612"/>
      <c r="X1543" s="1612"/>
      <c r="Y1543" s="1613"/>
      <c r="Z1543" s="1614"/>
      <c r="AA1543" s="1614"/>
      <c r="AB1543" s="1615"/>
      <c r="AC1543" s="1615"/>
      <c r="AD1543" s="583"/>
      <c r="AE1543" s="583"/>
    </row>
    <row r="1544" spans="1:31" ht="12.75" customHeight="1">
      <c r="A1544" s="1585" t="s">
        <v>8583</v>
      </c>
      <c r="B1544" s="1586" t="s">
        <v>8584</v>
      </c>
      <c r="C1544" s="1383">
        <v>20104</v>
      </c>
      <c r="D1544" s="1236"/>
      <c r="E1544" s="1236"/>
      <c r="F1544" s="1344">
        <f>(1/S1544)*cnst_fish!$C$6</f>
        <v>0.33813556145554602</v>
      </c>
      <c r="G1544" s="719">
        <f t="shared" si="220"/>
        <v>1</v>
      </c>
      <c r="H1544" s="719">
        <f t="shared" si="220"/>
        <v>0.367192066876738</v>
      </c>
      <c r="I1544" s="719">
        <f t="shared" si="221"/>
        <v>0</v>
      </c>
      <c r="J1544" s="1386">
        <f t="shared" si="222"/>
        <v>0</v>
      </c>
      <c r="L1544" s="1460">
        <v>450</v>
      </c>
      <c r="M1544" s="1236"/>
      <c r="N1544" s="1240" t="s">
        <v>1806</v>
      </c>
      <c r="O1544" s="1241" t="s">
        <v>4841</v>
      </c>
      <c r="P1544" s="910">
        <f t="shared" si="223"/>
        <v>0</v>
      </c>
      <c r="Q1544" s="910">
        <f t="shared" si="224"/>
        <v>450</v>
      </c>
      <c r="R1544" s="1344">
        <f t="shared" si="225"/>
        <v>2.95</v>
      </c>
      <c r="S1544" s="1344">
        <f>(1/9)*cnst_fish!$C$7*(1/cnst_fish!$C$8)^(R1544-1)</f>
        <v>12.568923486501548</v>
      </c>
      <c r="T1544" s="1362">
        <f t="shared" si="226"/>
        <v>488.66918753902019</v>
      </c>
      <c r="W1544" s="1616"/>
      <c r="X1544" s="1616"/>
      <c r="Y1544" s="1613"/>
      <c r="Z1544" s="1614"/>
      <c r="AA1544" s="1614"/>
      <c r="AB1544" s="1615"/>
      <c r="AC1544" s="1615"/>
      <c r="AD1544" s="583"/>
      <c r="AE1544" s="583"/>
    </row>
    <row r="1545" spans="1:31" ht="12.75" customHeight="1">
      <c r="A1545" s="1384" t="s">
        <v>4416</v>
      </c>
      <c r="B1545" s="19" t="s">
        <v>6871</v>
      </c>
      <c r="C1545" s="1383">
        <v>14918</v>
      </c>
      <c r="D1545" s="1236"/>
      <c r="E1545" s="1236"/>
      <c r="F1545" s="1344">
        <f>(1/S1545)*cnst_fish!$C$6</f>
        <v>0.19014759972289441</v>
      </c>
      <c r="G1545" s="719">
        <f t="shared" si="220"/>
        <v>1</v>
      </c>
      <c r="H1545" s="719">
        <f t="shared" si="220"/>
        <v>0.367192066876738</v>
      </c>
      <c r="I1545" s="719">
        <f t="shared" si="221"/>
        <v>0</v>
      </c>
      <c r="J1545" s="1386">
        <f t="shared" si="222"/>
        <v>0</v>
      </c>
      <c r="L1545" s="1460"/>
      <c r="M1545" s="1236">
        <v>21</v>
      </c>
      <c r="N1545" s="1240" t="s">
        <v>1806</v>
      </c>
      <c r="O1545" s="1241" t="s">
        <v>4845</v>
      </c>
      <c r="P1545" s="910">
        <f t="shared" si="223"/>
        <v>0</v>
      </c>
      <c r="Q1545" s="910">
        <f t="shared" si="224"/>
        <v>21</v>
      </c>
      <c r="R1545" s="1344">
        <f t="shared" si="225"/>
        <v>3.2</v>
      </c>
      <c r="S1545" s="1344">
        <f>(1/9)*cnst_fish!$C$7*(1/cnst_fish!$C$8)^(R1545-1)</f>
        <v>22.351057842400341</v>
      </c>
      <c r="T1545" s="1362">
        <f t="shared" si="226"/>
        <v>40.552883210984142</v>
      </c>
      <c r="W1545" s="1612"/>
      <c r="X1545" s="1612"/>
      <c r="Y1545" s="1613"/>
      <c r="Z1545" s="1614"/>
      <c r="AA1545" s="1614"/>
      <c r="AB1545" s="1615"/>
      <c r="AC1545" s="1615"/>
      <c r="AD1545" s="583"/>
      <c r="AE1545" s="583"/>
    </row>
    <row r="1546" spans="1:31" ht="12.75" customHeight="1">
      <c r="A1546" s="1384" t="s">
        <v>3417</v>
      </c>
      <c r="B1546" s="19" t="s">
        <v>84</v>
      </c>
      <c r="C1546" s="1383">
        <v>2048</v>
      </c>
      <c r="D1546" s="1236"/>
      <c r="E1546" s="1236"/>
      <c r="F1546" s="1344">
        <f>(1/S1546)*cnst_fish!$C$6</f>
        <v>7.0646532025323075E-2</v>
      </c>
      <c r="G1546" s="719">
        <f t="shared" si="220"/>
        <v>1</v>
      </c>
      <c r="H1546" s="719">
        <f t="shared" si="220"/>
        <v>0.367192066876738</v>
      </c>
      <c r="I1546" s="719">
        <f t="shared" si="221"/>
        <v>0</v>
      </c>
      <c r="J1546" s="1386">
        <f t="shared" si="222"/>
        <v>0</v>
      </c>
      <c r="L1546" s="1460">
        <v>2516</v>
      </c>
      <c r="M1546" s="1236"/>
      <c r="N1546" s="1240" t="s">
        <v>1806</v>
      </c>
      <c r="O1546" s="1241" t="s">
        <v>4841</v>
      </c>
      <c r="P1546" s="910">
        <f t="shared" si="223"/>
        <v>0</v>
      </c>
      <c r="Q1546" s="910">
        <f t="shared" si="224"/>
        <v>2516</v>
      </c>
      <c r="R1546" s="1344">
        <f t="shared" si="225"/>
        <v>3.63</v>
      </c>
      <c r="S1546" s="1344">
        <f>(1/9)*cnst_fish!$C$7*(1/cnst_fish!$C$8)^(R1546-1)</f>
        <v>60.158650087404119</v>
      </c>
      <c r="T1546" s="1362">
        <f t="shared" si="226"/>
        <v>13077.149207136159</v>
      </c>
      <c r="W1546" s="1612"/>
      <c r="X1546" s="1612"/>
      <c r="Y1546" s="1613"/>
      <c r="Z1546" s="1614"/>
      <c r="AA1546" s="1614"/>
      <c r="AB1546" s="1615"/>
      <c r="AC1546" s="1615"/>
      <c r="AD1546" s="583"/>
      <c r="AE1546" s="583"/>
    </row>
    <row r="1547" spans="1:31" ht="12.75" customHeight="1">
      <c r="A1547" s="1384" t="s">
        <v>6469</v>
      </c>
      <c r="B1547" s="19" t="s">
        <v>6468</v>
      </c>
      <c r="C1547" s="1383">
        <v>14939</v>
      </c>
      <c r="D1547" s="1236"/>
      <c r="E1547" s="1236"/>
      <c r="F1547" s="1344">
        <f>(1/S1547)*cnst_fish!$C$6</f>
        <v>3.0136363636363642E-2</v>
      </c>
      <c r="G1547" s="719">
        <f t="shared" si="220"/>
        <v>1</v>
      </c>
      <c r="H1547" s="719">
        <f t="shared" si="220"/>
        <v>0.367192066876738</v>
      </c>
      <c r="I1547" s="719">
        <f t="shared" si="221"/>
        <v>0</v>
      </c>
      <c r="J1547" s="1386">
        <f t="shared" si="222"/>
        <v>0</v>
      </c>
      <c r="L1547" s="1460">
        <v>97</v>
      </c>
      <c r="M1547" s="1236"/>
      <c r="N1547" s="1240" t="s">
        <v>1806</v>
      </c>
      <c r="O1547" s="1241" t="s">
        <v>4841</v>
      </c>
      <c r="P1547" s="910">
        <f t="shared" si="223"/>
        <v>0</v>
      </c>
      <c r="Q1547" s="910">
        <f t="shared" si="224"/>
        <v>97</v>
      </c>
      <c r="R1547" s="1344">
        <f t="shared" si="225"/>
        <v>4</v>
      </c>
      <c r="S1547" s="1344">
        <f>(1/9)*cnst_fish!$C$7*(1/cnst_fish!$C$8)^(R1547-1)</f>
        <v>141.02564102564099</v>
      </c>
      <c r="T1547" s="1362">
        <f t="shared" si="226"/>
        <v>1181.8821579411142</v>
      </c>
      <c r="W1547" s="1612"/>
      <c r="X1547" s="1612"/>
      <c r="Y1547" s="1613"/>
      <c r="Z1547" s="1614"/>
      <c r="AA1547" s="1614"/>
      <c r="AB1547" s="1615"/>
      <c r="AC1547" s="1615"/>
      <c r="AD1547" s="583"/>
      <c r="AE1547" s="583"/>
    </row>
    <row r="1548" spans="1:31" ht="12.75" customHeight="1">
      <c r="A1548" s="1384" t="s">
        <v>3954</v>
      </c>
      <c r="B1548" s="19" t="s">
        <v>85</v>
      </c>
      <c r="C1548" s="1383">
        <v>2847</v>
      </c>
      <c r="D1548" s="1236"/>
      <c r="E1548" s="1236"/>
      <c r="F1548" s="1344">
        <f>(1/S1548)*cnst_fish!$C$6</f>
        <v>7.9266712664847111E-2</v>
      </c>
      <c r="G1548" s="719">
        <f t="shared" ref="G1548:H1567" si="227">G$7</f>
        <v>1</v>
      </c>
      <c r="H1548" s="719">
        <f t="shared" si="227"/>
        <v>0.367192066876738</v>
      </c>
      <c r="I1548" s="719">
        <f t="shared" si="221"/>
        <v>0</v>
      </c>
      <c r="J1548" s="1386">
        <f t="shared" si="222"/>
        <v>0</v>
      </c>
      <c r="L1548" s="1460">
        <v>12</v>
      </c>
      <c r="M1548" s="1236"/>
      <c r="N1548" s="1240" t="s">
        <v>1806</v>
      </c>
      <c r="O1548" s="1241" t="s">
        <v>4841</v>
      </c>
      <c r="P1548" s="910">
        <f t="shared" si="223"/>
        <v>0</v>
      </c>
      <c r="Q1548" s="910">
        <f t="shared" si="224"/>
        <v>12</v>
      </c>
      <c r="R1548" s="1344">
        <f t="shared" si="225"/>
        <v>3.58</v>
      </c>
      <c r="S1548" s="1344">
        <f>(1/9)*cnst_fish!$C$7*(1/cnst_fish!$C$8)^(R1548-1)</f>
        <v>53.616453327258682</v>
      </c>
      <c r="T1548" s="1362">
        <f t="shared" si="226"/>
        <v>55.588337832949478</v>
      </c>
      <c r="W1548" s="1612"/>
      <c r="X1548" s="1612"/>
      <c r="Y1548" s="1613"/>
      <c r="Z1548" s="1614"/>
      <c r="AA1548" s="1614"/>
      <c r="AB1548" s="1615"/>
      <c r="AC1548" s="1615"/>
      <c r="AD1548" s="583"/>
      <c r="AE1548" s="583"/>
    </row>
    <row r="1549" spans="1:31" ht="12.75" customHeight="1">
      <c r="A1549" s="1384" t="s">
        <v>2099</v>
      </c>
      <c r="B1549" s="19" t="s">
        <v>3193</v>
      </c>
      <c r="C1549" s="1383">
        <v>2049</v>
      </c>
      <c r="D1549" s="1236"/>
      <c r="E1549" s="1236"/>
      <c r="F1549" s="1344">
        <f>(1/S1549)*cnst_fish!$C$6</f>
        <v>8.6914222116951781E-2</v>
      </c>
      <c r="G1549" s="719">
        <f t="shared" si="227"/>
        <v>1</v>
      </c>
      <c r="H1549" s="719">
        <f t="shared" si="227"/>
        <v>0.367192066876738</v>
      </c>
      <c r="I1549" s="719">
        <f t="shared" si="221"/>
        <v>0</v>
      </c>
      <c r="J1549" s="1386">
        <f t="shared" si="222"/>
        <v>0</v>
      </c>
      <c r="L1549" s="1460">
        <v>147</v>
      </c>
      <c r="M1549" s="1236"/>
      <c r="N1549" s="1240" t="s">
        <v>1806</v>
      </c>
      <c r="O1549" s="1241" t="s">
        <v>4841</v>
      </c>
      <c r="P1549" s="910">
        <f t="shared" si="223"/>
        <v>0</v>
      </c>
      <c r="Q1549" s="910">
        <f t="shared" si="224"/>
        <v>147</v>
      </c>
      <c r="R1549" s="1344">
        <f t="shared" si="225"/>
        <v>3.54</v>
      </c>
      <c r="S1549" s="1344">
        <f>(1/9)*cnst_fish!$C$7*(1/cnst_fish!$C$8)^(R1549-1)</f>
        <v>48.898786602280119</v>
      </c>
      <c r="T1549" s="1362">
        <f t="shared" si="226"/>
        <v>621.04029140649402</v>
      </c>
      <c r="W1549" s="1612"/>
      <c r="X1549" s="1612"/>
      <c r="Y1549" s="1613"/>
      <c r="Z1549" s="1614"/>
      <c r="AA1549" s="1614"/>
      <c r="AB1549" s="1615"/>
      <c r="AC1549" s="1615"/>
      <c r="AD1549" s="583"/>
      <c r="AE1549" s="583"/>
    </row>
    <row r="1550" spans="1:31" ht="12.75" customHeight="1">
      <c r="A1550" s="1384" t="s">
        <v>6548</v>
      </c>
      <c r="B1550" s="19" t="s">
        <v>6547</v>
      </c>
      <c r="C1550" s="1383">
        <v>14955</v>
      </c>
      <c r="D1550" s="1236"/>
      <c r="E1550" s="1236"/>
      <c r="F1550" s="1344">
        <f>(1/S1550)*cnst_fish!$C$6</f>
        <v>3.0136363636363641</v>
      </c>
      <c r="G1550" s="719">
        <f t="shared" si="227"/>
        <v>1</v>
      </c>
      <c r="H1550" s="719">
        <f t="shared" si="227"/>
        <v>0.367192066876738</v>
      </c>
      <c r="I1550" s="719">
        <f t="shared" si="221"/>
        <v>0</v>
      </c>
      <c r="J1550" s="1386">
        <f t="shared" si="222"/>
        <v>0</v>
      </c>
      <c r="L1550" s="1460">
        <v>0</v>
      </c>
      <c r="M1550" s="1236"/>
      <c r="N1550" s="1240" t="s">
        <v>1806</v>
      </c>
      <c r="O1550" s="1241" t="s">
        <v>4841</v>
      </c>
      <c r="P1550" s="910">
        <f t="shared" si="223"/>
        <v>0</v>
      </c>
      <c r="Q1550" s="910">
        <f t="shared" si="224"/>
        <v>0</v>
      </c>
      <c r="R1550" s="1344">
        <f t="shared" si="225"/>
        <v>2</v>
      </c>
      <c r="S1550" s="1344">
        <f>(1/9)*cnst_fish!$C$7*(1/cnst_fish!$C$8)^(R1550-1)</f>
        <v>1.4102564102564099</v>
      </c>
      <c r="T1550" s="1362">
        <f t="shared" si="226"/>
        <v>0</v>
      </c>
      <c r="W1550" s="1612"/>
      <c r="X1550" s="1612"/>
      <c r="Y1550" s="1613"/>
      <c r="Z1550" s="1614"/>
      <c r="AA1550" s="1614"/>
      <c r="AB1550" s="1615"/>
      <c r="AC1550" s="1615"/>
      <c r="AD1550" s="583"/>
      <c r="AE1550" s="583"/>
    </row>
    <row r="1551" spans="1:31" ht="12.75" customHeight="1">
      <c r="A1551" s="1384" t="s">
        <v>3476</v>
      </c>
      <c r="B1551" s="19" t="s">
        <v>3824</v>
      </c>
      <c r="C1551" s="1383">
        <v>14961</v>
      </c>
      <c r="D1551" s="1236"/>
      <c r="E1551" s="1236"/>
      <c r="F1551" s="1344">
        <f>(1/S1551)*cnst_fish!$C$6</f>
        <v>8.4935812883106004E-2</v>
      </c>
      <c r="G1551" s="719">
        <f t="shared" si="227"/>
        <v>1</v>
      </c>
      <c r="H1551" s="719">
        <f t="shared" si="227"/>
        <v>0.367192066876738</v>
      </c>
      <c r="I1551" s="719">
        <f t="shared" si="221"/>
        <v>0</v>
      </c>
      <c r="J1551" s="1386">
        <f t="shared" si="222"/>
        <v>0</v>
      </c>
      <c r="L1551" s="1460">
        <v>0</v>
      </c>
      <c r="M1551" s="1236"/>
      <c r="N1551" s="1240" t="s">
        <v>1806</v>
      </c>
      <c r="O1551" s="1241" t="s">
        <v>4841</v>
      </c>
      <c r="P1551" s="910">
        <f t="shared" si="223"/>
        <v>0</v>
      </c>
      <c r="Q1551" s="910">
        <f t="shared" si="224"/>
        <v>0</v>
      </c>
      <c r="R1551" s="1344">
        <f t="shared" si="225"/>
        <v>3.55</v>
      </c>
      <c r="S1551" s="1344">
        <f>(1/9)*cnst_fish!$C$7*(1/cnst_fish!$C$8)^(R1551-1)</f>
        <v>50.037785661145278</v>
      </c>
      <c r="T1551" s="1362">
        <f t="shared" si="226"/>
        <v>0</v>
      </c>
      <c r="W1551" s="1612"/>
      <c r="X1551" s="1612"/>
      <c r="Y1551" s="1613"/>
      <c r="Z1551" s="1614"/>
      <c r="AA1551" s="1614"/>
      <c r="AB1551" s="1615"/>
      <c r="AC1551" s="1615"/>
      <c r="AD1551" s="583"/>
      <c r="AE1551" s="583"/>
    </row>
    <row r="1552" spans="1:31" ht="12.75" customHeight="1">
      <c r="A1552" s="1384" t="s">
        <v>6553</v>
      </c>
      <c r="B1552" s="19" t="s">
        <v>6552</v>
      </c>
      <c r="C1552" s="1383">
        <v>14972</v>
      </c>
      <c r="D1552" s="1236">
        <v>46</v>
      </c>
      <c r="E1552" s="1236"/>
      <c r="F1552" s="1344">
        <f>(1/S1552)*cnst_fish!$C$6</f>
        <v>9.5299549485983348E-2</v>
      </c>
      <c r="G1552" s="719">
        <f t="shared" si="227"/>
        <v>1</v>
      </c>
      <c r="H1552" s="719">
        <f t="shared" si="227"/>
        <v>0.367192066876738</v>
      </c>
      <c r="I1552" s="719">
        <f t="shared" si="221"/>
        <v>177.23940110350944</v>
      </c>
      <c r="J1552" s="1386">
        <f t="shared" si="222"/>
        <v>0</v>
      </c>
      <c r="L1552" s="1460">
        <v>46</v>
      </c>
      <c r="M1552" s="1236"/>
      <c r="N1552" s="1240" t="s">
        <v>1806</v>
      </c>
      <c r="O1552" s="1241" t="s">
        <v>4841</v>
      </c>
      <c r="P1552" s="910">
        <f t="shared" si="223"/>
        <v>46</v>
      </c>
      <c r="Q1552" s="910">
        <f t="shared" si="224"/>
        <v>46</v>
      </c>
      <c r="R1552" s="1344">
        <f t="shared" si="225"/>
        <v>3.5</v>
      </c>
      <c r="S1552" s="1344">
        <f>(1/9)*cnst_fish!$C$7*(1/cnst_fish!$C$8)^(R1552-1)</f>
        <v>44.596223412631026</v>
      </c>
      <c r="T1552" s="1362">
        <f t="shared" si="226"/>
        <v>177.23940110350944</v>
      </c>
      <c r="W1552" s="1612"/>
      <c r="X1552" s="1612"/>
      <c r="Y1552" s="1613"/>
      <c r="Z1552" s="1614"/>
      <c r="AA1552" s="1614"/>
      <c r="AB1552" s="1615"/>
      <c r="AC1552" s="1615"/>
      <c r="AD1552" s="583"/>
      <c r="AE1552" s="583"/>
    </row>
    <row r="1553" spans="1:31" ht="12.75" customHeight="1">
      <c r="A1553" s="1384" t="s">
        <v>6694</v>
      </c>
      <c r="B1553" s="19" t="s">
        <v>6693</v>
      </c>
      <c r="C1553" s="1383">
        <v>14976</v>
      </c>
      <c r="D1553" s="1236"/>
      <c r="E1553" s="1236"/>
      <c r="F1553" s="1344">
        <f>(1/S1553)*cnst_fish!$C$6</f>
        <v>4.7762917572805388E-2</v>
      </c>
      <c r="G1553" s="719">
        <f t="shared" si="227"/>
        <v>1</v>
      </c>
      <c r="H1553" s="719">
        <f t="shared" si="227"/>
        <v>0.367192066876738</v>
      </c>
      <c r="I1553" s="719">
        <f t="shared" si="221"/>
        <v>0</v>
      </c>
      <c r="J1553" s="1386">
        <f t="shared" si="222"/>
        <v>0</v>
      </c>
      <c r="L1553" s="1460">
        <v>1129</v>
      </c>
      <c r="M1553" s="1236"/>
      <c r="N1553" s="1240" t="s">
        <v>1806</v>
      </c>
      <c r="O1553" s="1241" t="s">
        <v>4841</v>
      </c>
      <c r="P1553" s="910">
        <f t="shared" si="223"/>
        <v>0</v>
      </c>
      <c r="Q1553" s="910">
        <f t="shared" si="224"/>
        <v>1129</v>
      </c>
      <c r="R1553" s="1344">
        <f t="shared" si="225"/>
        <v>3.8</v>
      </c>
      <c r="S1553" s="1344">
        <f>(1/9)*cnst_fish!$C$7*(1/cnst_fish!$C$8)^(R1553-1)</f>
        <v>88.981163965155432</v>
      </c>
      <c r="T1553" s="1362">
        <f t="shared" si="226"/>
        <v>8679.5335078080279</v>
      </c>
      <c r="W1553" s="1612"/>
      <c r="X1553" s="1612"/>
      <c r="Y1553" s="1613"/>
      <c r="Z1553" s="1614"/>
      <c r="AA1553" s="1614"/>
      <c r="AB1553" s="1615"/>
      <c r="AC1553" s="1615"/>
      <c r="AD1553" s="583"/>
      <c r="AE1553" s="583"/>
    </row>
    <row r="1554" spans="1:31" ht="12.75" customHeight="1">
      <c r="A1554" s="1384" t="s">
        <v>6727</v>
      </c>
      <c r="B1554" s="19" t="s">
        <v>6726</v>
      </c>
      <c r="C1554" s="1383">
        <v>14984</v>
      </c>
      <c r="D1554" s="1236"/>
      <c r="E1554" s="1236"/>
      <c r="F1554" s="1344">
        <f>(1/S1554)*cnst_fish!$C$6</f>
        <v>1.5103960722494611E-2</v>
      </c>
      <c r="G1554" s="719">
        <f t="shared" si="227"/>
        <v>1</v>
      </c>
      <c r="H1554" s="719">
        <f t="shared" si="227"/>
        <v>0.367192066876738</v>
      </c>
      <c r="I1554" s="719">
        <f t="shared" si="221"/>
        <v>0</v>
      </c>
      <c r="J1554" s="1386">
        <f t="shared" si="222"/>
        <v>0</v>
      </c>
      <c r="L1554" s="1460">
        <v>3295</v>
      </c>
      <c r="M1554" s="1236"/>
      <c r="N1554" s="1240" t="s">
        <v>1806</v>
      </c>
      <c r="O1554" s="1241" t="s">
        <v>4841</v>
      </c>
      <c r="P1554" s="910">
        <f t="shared" si="223"/>
        <v>0</v>
      </c>
      <c r="Q1554" s="910">
        <f t="shared" si="224"/>
        <v>3295</v>
      </c>
      <c r="R1554" s="1344">
        <f t="shared" si="225"/>
        <v>4.3</v>
      </c>
      <c r="S1554" s="1344">
        <f>(1/9)*cnst_fish!$C$7*(1/cnst_fish!$C$8)^(R1554-1)</f>
        <v>281.38314698279078</v>
      </c>
      <c r="T1554" s="1362">
        <f t="shared" si="226"/>
        <v>80104.674700122079</v>
      </c>
      <c r="W1554" s="1612"/>
      <c r="X1554" s="1612"/>
      <c r="Y1554" s="1613"/>
      <c r="Z1554" s="1614"/>
      <c r="AA1554" s="1614"/>
      <c r="AB1554" s="1615"/>
      <c r="AC1554" s="1615"/>
      <c r="AD1554" s="583"/>
      <c r="AE1554" s="583"/>
    </row>
    <row r="1555" spans="1:31" ht="12.75" customHeight="1">
      <c r="A1555" s="1384" t="s">
        <v>340</v>
      </c>
      <c r="B1555" s="19" t="s">
        <v>341</v>
      </c>
      <c r="C1555" s="1383">
        <v>2820</v>
      </c>
      <c r="D1555" s="1236">
        <v>217</v>
      </c>
      <c r="E1555" s="1236"/>
      <c r="F1555" s="1344">
        <f>(1/S1555)*cnst_fish!$C$6</f>
        <v>1.6184185499703532E-2</v>
      </c>
      <c r="G1555" s="719">
        <f t="shared" si="227"/>
        <v>1</v>
      </c>
      <c r="H1555" s="719">
        <f t="shared" si="227"/>
        <v>0.367192066876738</v>
      </c>
      <c r="I1555" s="719">
        <f t="shared" si="221"/>
        <v>4923.3666108011284</v>
      </c>
      <c r="J1555" s="1386">
        <f t="shared" si="222"/>
        <v>0</v>
      </c>
      <c r="L1555" s="1460">
        <v>407</v>
      </c>
      <c r="M1555" s="1236"/>
      <c r="N1555" s="1240" t="s">
        <v>3927</v>
      </c>
      <c r="O1555" s="1241" t="s">
        <v>4841</v>
      </c>
      <c r="P1555" s="910">
        <f t="shared" si="223"/>
        <v>217</v>
      </c>
      <c r="Q1555" s="910">
        <f t="shared" si="224"/>
        <v>407</v>
      </c>
      <c r="R1555" s="1344">
        <f t="shared" si="225"/>
        <v>4.2699999999999996</v>
      </c>
      <c r="S1555" s="1344">
        <f>(1/9)*cnst_fish!$C$7*(1/cnst_fish!$C$8)^(R1555-1)</f>
        <v>262.60203209348123</v>
      </c>
      <c r="T1555" s="1362">
        <f t="shared" si="226"/>
        <v>9234.1484359265396</v>
      </c>
      <c r="W1555" s="1612"/>
      <c r="X1555" s="1612"/>
      <c r="Y1555" s="1613"/>
      <c r="Z1555" s="1614"/>
      <c r="AA1555" s="1614"/>
      <c r="AB1555" s="1615"/>
      <c r="AC1555" s="1615"/>
      <c r="AD1555" s="583"/>
      <c r="AE1555" s="583"/>
    </row>
    <row r="1556" spans="1:31" ht="12.75" customHeight="1">
      <c r="A1556" s="1384" t="s">
        <v>1515</v>
      </c>
      <c r="B1556" s="19" t="s">
        <v>1796</v>
      </c>
      <c r="C1556" s="1383">
        <v>3634</v>
      </c>
      <c r="D1556" s="1236"/>
      <c r="E1556" s="1236"/>
      <c r="F1556" s="1344">
        <f>(1/S1556)*cnst_fish!$C$6</f>
        <v>30.136363636363644</v>
      </c>
      <c r="G1556" s="719">
        <f t="shared" si="227"/>
        <v>1</v>
      </c>
      <c r="H1556" s="719">
        <f t="shared" si="227"/>
        <v>0.367192066876738</v>
      </c>
      <c r="I1556" s="719">
        <f t="shared" si="221"/>
        <v>0</v>
      </c>
      <c r="J1556" s="1386">
        <f t="shared" si="222"/>
        <v>0</v>
      </c>
      <c r="L1556" s="1460">
        <v>65811</v>
      </c>
      <c r="M1556" s="1236"/>
      <c r="N1556" s="1240" t="s">
        <v>1808</v>
      </c>
      <c r="O1556" s="1241" t="s">
        <v>4831</v>
      </c>
      <c r="P1556" s="910">
        <f t="shared" si="223"/>
        <v>0</v>
      </c>
      <c r="Q1556" s="910">
        <f t="shared" si="224"/>
        <v>65811</v>
      </c>
      <c r="R1556" s="1344">
        <f t="shared" si="225"/>
        <v>1</v>
      </c>
      <c r="S1556" s="1344">
        <f>(1/9)*cnst_fish!$C$7*(1/cnst_fish!$C$8)^(R1556-1)</f>
        <v>0.141025641025641</v>
      </c>
      <c r="T1556" s="1362">
        <f t="shared" si="226"/>
        <v>801.86439893054296</v>
      </c>
      <c r="W1556" s="1612"/>
      <c r="X1556" s="1612"/>
      <c r="Y1556" s="1613"/>
      <c r="Z1556" s="1614"/>
      <c r="AA1556" s="1614"/>
      <c r="AB1556" s="1615"/>
      <c r="AC1556" s="1615"/>
      <c r="AD1556" s="583"/>
      <c r="AE1556" s="583"/>
    </row>
    <row r="1557" spans="1:31" ht="12.75" customHeight="1">
      <c r="A1557" s="1384" t="s">
        <v>5391</v>
      </c>
      <c r="B1557" s="19" t="s">
        <v>3271</v>
      </c>
      <c r="C1557" s="1383">
        <v>14996</v>
      </c>
      <c r="D1557" s="1236">
        <v>1075</v>
      </c>
      <c r="E1557" s="1236"/>
      <c r="F1557" s="1344">
        <f>(1/S1557)*cnst_fish!$C$6</f>
        <v>1.4095836303336913E-2</v>
      </c>
      <c r="G1557" s="719">
        <f t="shared" si="227"/>
        <v>1</v>
      </c>
      <c r="H1557" s="719">
        <f t="shared" si="227"/>
        <v>0.367192066876738</v>
      </c>
      <c r="I1557" s="719">
        <f t="shared" si="221"/>
        <v>28003.409191056537</v>
      </c>
      <c r="J1557" s="1386">
        <f t="shared" si="222"/>
        <v>0</v>
      </c>
      <c r="L1557" s="1460">
        <v>2221</v>
      </c>
      <c r="M1557" s="1236"/>
      <c r="N1557" s="1240" t="s">
        <v>1806</v>
      </c>
      <c r="O1557" s="1241" t="s">
        <v>4841</v>
      </c>
      <c r="P1557" s="910">
        <f t="shared" si="223"/>
        <v>1075</v>
      </c>
      <c r="Q1557" s="910">
        <f t="shared" si="224"/>
        <v>2221</v>
      </c>
      <c r="R1557" s="1344">
        <f t="shared" si="225"/>
        <v>4.33</v>
      </c>
      <c r="S1557" s="1344">
        <f>(1/9)*cnst_fish!$C$7*(1/cnst_fish!$C$8)^(R1557-1)</f>
        <v>301.50747416057146</v>
      </c>
      <c r="T1557" s="1362">
        <f t="shared" si="226"/>
        <v>57856.345872871236</v>
      </c>
      <c r="W1557" s="1612"/>
      <c r="X1557" s="1612"/>
      <c r="Y1557" s="1613"/>
      <c r="Z1557" s="1614"/>
      <c r="AA1557" s="1614"/>
      <c r="AB1557" s="1615"/>
      <c r="AC1557" s="1615"/>
      <c r="AD1557" s="583"/>
      <c r="AE1557" s="583"/>
    </row>
    <row r="1558" spans="1:31" ht="12.75" customHeight="1">
      <c r="A1558" s="1384" t="s">
        <v>6813</v>
      </c>
      <c r="B1558" s="19" t="s">
        <v>1409</v>
      </c>
      <c r="C1558" s="1383">
        <v>3366</v>
      </c>
      <c r="D1558" s="1236"/>
      <c r="E1558" s="1236"/>
      <c r="F1558" s="1344">
        <f>(1/S1558)*cnst_fish!$C$6</f>
        <v>0.26247675460949144</v>
      </c>
      <c r="G1558" s="719">
        <f t="shared" si="227"/>
        <v>1</v>
      </c>
      <c r="H1558" s="719">
        <f t="shared" si="227"/>
        <v>0.367192066876738</v>
      </c>
      <c r="I1558" s="719">
        <f t="shared" si="221"/>
        <v>0</v>
      </c>
      <c r="J1558" s="1386">
        <f t="shared" si="222"/>
        <v>0</v>
      </c>
      <c r="L1558" s="1460"/>
      <c r="M1558" s="1236"/>
      <c r="N1558" s="1240" t="s">
        <v>1807</v>
      </c>
      <c r="O1558" s="1241" t="s">
        <v>4841</v>
      </c>
      <c r="P1558" s="910">
        <f t="shared" si="223"/>
        <v>0</v>
      </c>
      <c r="Q1558" s="910">
        <f t="shared" si="224"/>
        <v>0</v>
      </c>
      <c r="R1558" s="1344">
        <f t="shared" si="225"/>
        <v>3.06</v>
      </c>
      <c r="S1558" s="1344">
        <f>(1/9)*cnst_fish!$C$7*(1/cnst_fish!$C$8)^(R1558-1)</f>
        <v>16.19191004675092</v>
      </c>
      <c r="T1558" s="1362">
        <f t="shared" si="226"/>
        <v>0</v>
      </c>
      <c r="W1558" s="1612"/>
      <c r="X1558" s="1612"/>
      <c r="Y1558" s="1613"/>
      <c r="Z1558" s="1614"/>
      <c r="AA1558" s="1614"/>
      <c r="AB1558" s="1615"/>
      <c r="AC1558" s="1615"/>
      <c r="AD1558" s="583"/>
      <c r="AE1558" s="583"/>
    </row>
    <row r="1559" spans="1:31" ht="12.75" customHeight="1">
      <c r="A1559" s="1384" t="s">
        <v>6814</v>
      </c>
      <c r="B1559" s="19" t="s">
        <v>5369</v>
      </c>
      <c r="C1559" s="1383">
        <v>2758</v>
      </c>
      <c r="D1559" s="1236">
        <v>2423</v>
      </c>
      <c r="E1559" s="1236"/>
      <c r="F1559" s="1344">
        <f>(1/S1559)*cnst_fish!$C$6</f>
        <v>1.5103960722494616</v>
      </c>
      <c r="G1559" s="719">
        <f t="shared" si="227"/>
        <v>1</v>
      </c>
      <c r="H1559" s="719">
        <f t="shared" si="227"/>
        <v>0.367192066876738</v>
      </c>
      <c r="I1559" s="719">
        <f t="shared" si="221"/>
        <v>589.05501304520715</v>
      </c>
      <c r="J1559" s="1386">
        <f t="shared" si="222"/>
        <v>0</v>
      </c>
      <c r="L1559" s="1460">
        <v>377826</v>
      </c>
      <c r="M1559" s="1236"/>
      <c r="N1559" s="1240" t="s">
        <v>1806</v>
      </c>
      <c r="O1559" s="1241"/>
      <c r="P1559" s="910">
        <f t="shared" si="223"/>
        <v>2423</v>
      </c>
      <c r="Q1559" s="910">
        <f t="shared" si="224"/>
        <v>377826</v>
      </c>
      <c r="R1559" s="1344">
        <f t="shared" si="225"/>
        <v>2.2999999999999998</v>
      </c>
      <c r="S1559" s="1344">
        <f>(1/9)*cnst_fish!$C$7*(1/cnst_fish!$C$8)^(R1559-1)</f>
        <v>2.8138314698279068</v>
      </c>
      <c r="T1559" s="1362">
        <f t="shared" si="226"/>
        <v>91853.198249615525</v>
      </c>
      <c r="W1559" s="1612"/>
      <c r="X1559" s="1612"/>
      <c r="Y1559" s="1613"/>
      <c r="Z1559" s="1614"/>
      <c r="AA1559" s="1614"/>
      <c r="AB1559" s="1615"/>
      <c r="AC1559" s="1615"/>
      <c r="AD1559" s="583"/>
      <c r="AE1559" s="583"/>
    </row>
    <row r="1560" spans="1:31" ht="12.75" customHeight="1">
      <c r="A1560" s="1384" t="s">
        <v>38</v>
      </c>
      <c r="B1560" s="19" t="s">
        <v>39</v>
      </c>
      <c r="C1560" s="1383">
        <v>15002</v>
      </c>
      <c r="D1560" s="1236"/>
      <c r="E1560" s="1236"/>
      <c r="F1560" s="1344">
        <f>(1/S1560)*cnst_fish!$C$6</f>
        <v>8.6914222116951781E-2</v>
      </c>
      <c r="G1560" s="719">
        <f t="shared" si="227"/>
        <v>1</v>
      </c>
      <c r="H1560" s="719">
        <f t="shared" si="227"/>
        <v>0.367192066876738</v>
      </c>
      <c r="I1560" s="719">
        <f t="shared" si="221"/>
        <v>0</v>
      </c>
      <c r="J1560" s="1386">
        <f t="shared" si="222"/>
        <v>0</v>
      </c>
      <c r="L1560" s="1460">
        <v>3492</v>
      </c>
      <c r="M1560" s="1236"/>
      <c r="N1560" s="1240" t="s">
        <v>1806</v>
      </c>
      <c r="O1560" s="1241" t="s">
        <v>4841</v>
      </c>
      <c r="P1560" s="910">
        <f t="shared" si="223"/>
        <v>0</v>
      </c>
      <c r="Q1560" s="910">
        <f t="shared" si="224"/>
        <v>3492</v>
      </c>
      <c r="R1560" s="1344">
        <f t="shared" si="225"/>
        <v>3.54</v>
      </c>
      <c r="S1560" s="1344">
        <f>(1/9)*cnst_fish!$C$7*(1/cnst_fish!$C$8)^(R1560-1)</f>
        <v>48.898786602280119</v>
      </c>
      <c r="T1560" s="1362">
        <f t="shared" si="226"/>
        <v>14752.875493819574</v>
      </c>
      <c r="W1560" s="1612"/>
      <c r="X1560" s="1612"/>
      <c r="Y1560" s="1613"/>
      <c r="Z1560" s="1614"/>
      <c r="AA1560" s="1614"/>
      <c r="AB1560" s="1615"/>
      <c r="AC1560" s="1615"/>
      <c r="AD1560" s="583"/>
      <c r="AE1560" s="583"/>
    </row>
    <row r="1561" spans="1:31" ht="12.75" customHeight="1">
      <c r="A1561" s="1384" t="s">
        <v>909</v>
      </c>
      <c r="B1561" s="19" t="s">
        <v>3825</v>
      </c>
      <c r="C1561" s="1383">
        <v>15003</v>
      </c>
      <c r="D1561" s="1236"/>
      <c r="E1561" s="1236"/>
      <c r="F1561" s="1344">
        <f>(1/S1561)*cnst_fish!$C$6</f>
        <v>7.5699122913220479E-2</v>
      </c>
      <c r="G1561" s="719">
        <f t="shared" si="227"/>
        <v>1</v>
      </c>
      <c r="H1561" s="719">
        <f t="shared" si="227"/>
        <v>0.367192066876738</v>
      </c>
      <c r="I1561" s="719">
        <f t="shared" si="221"/>
        <v>0</v>
      </c>
      <c r="J1561" s="1386">
        <f t="shared" si="222"/>
        <v>0</v>
      </c>
      <c r="L1561" s="1460">
        <v>215</v>
      </c>
      <c r="M1561" s="1236"/>
      <c r="N1561" s="1240" t="s">
        <v>1806</v>
      </c>
      <c r="O1561" s="1241" t="s">
        <v>4841</v>
      </c>
      <c r="P1561" s="910">
        <f t="shared" si="223"/>
        <v>0</v>
      </c>
      <c r="Q1561" s="910">
        <f t="shared" si="224"/>
        <v>215</v>
      </c>
      <c r="R1561" s="1344">
        <f t="shared" si="225"/>
        <v>3.6</v>
      </c>
      <c r="S1561" s="1344">
        <f>(1/9)*cnst_fish!$C$7*(1/cnst_fish!$C$8)^(R1561-1)</f>
        <v>56.143318924211187</v>
      </c>
      <c r="T1561" s="1362">
        <f t="shared" si="226"/>
        <v>1042.8957607474615</v>
      </c>
      <c r="W1561" s="1612"/>
      <c r="X1561" s="1612"/>
      <c r="Y1561" s="1613"/>
      <c r="Z1561" s="1614"/>
      <c r="AA1561" s="1614"/>
      <c r="AB1561" s="1615"/>
      <c r="AC1561" s="1615"/>
      <c r="AD1561" s="583"/>
      <c r="AE1561" s="583"/>
    </row>
    <row r="1562" spans="1:31" ht="12.75" customHeight="1">
      <c r="A1562" s="1384" t="s">
        <v>6816</v>
      </c>
      <c r="B1562" s="19" t="s">
        <v>6815</v>
      </c>
      <c r="C1562" s="1383">
        <v>19256</v>
      </c>
      <c r="D1562" s="1236"/>
      <c r="E1562" s="1236"/>
      <c r="F1562" s="1344">
        <f>(1/S1562)*cnst_fish!$C$6</f>
        <v>3.0136363636363641</v>
      </c>
      <c r="G1562" s="719">
        <f t="shared" si="227"/>
        <v>1</v>
      </c>
      <c r="H1562" s="719">
        <f t="shared" si="227"/>
        <v>0.367192066876738</v>
      </c>
      <c r="I1562" s="719">
        <f t="shared" si="221"/>
        <v>0</v>
      </c>
      <c r="J1562" s="1386">
        <f t="shared" si="222"/>
        <v>0</v>
      </c>
      <c r="L1562" s="1460">
        <v>89</v>
      </c>
      <c r="M1562" s="1236"/>
      <c r="N1562" s="1240" t="s">
        <v>1806</v>
      </c>
      <c r="O1562" s="1241" t="s">
        <v>4841</v>
      </c>
      <c r="P1562" s="910">
        <f t="shared" si="223"/>
        <v>0</v>
      </c>
      <c r="Q1562" s="910">
        <f t="shared" si="224"/>
        <v>89</v>
      </c>
      <c r="R1562" s="1344">
        <f t="shared" si="225"/>
        <v>2</v>
      </c>
      <c r="S1562" s="1344">
        <f>(1/9)*cnst_fish!$C$7*(1/cnst_fish!$C$8)^(R1562-1)</f>
        <v>1.4102564102564099</v>
      </c>
      <c r="T1562" s="1362">
        <f t="shared" si="226"/>
        <v>10.844073407913315</v>
      </c>
      <c r="W1562" s="1612"/>
      <c r="X1562" s="1612"/>
      <c r="Y1562" s="1613"/>
      <c r="Z1562" s="1614"/>
      <c r="AA1562" s="1614"/>
      <c r="AB1562" s="1615"/>
      <c r="AC1562" s="1615"/>
      <c r="AD1562" s="583"/>
      <c r="AE1562" s="583"/>
    </row>
    <row r="1563" spans="1:31" ht="12.75" customHeight="1">
      <c r="A1563" s="1384" t="s">
        <v>3609</v>
      </c>
      <c r="B1563" s="19" t="s">
        <v>5640</v>
      </c>
      <c r="C1563" s="1383">
        <v>3542</v>
      </c>
      <c r="D1563" s="1236"/>
      <c r="E1563" s="1236"/>
      <c r="F1563" s="1344">
        <f>(1/S1563)*cnst_fish!$C$6</f>
        <v>2.3938164528281742</v>
      </c>
      <c r="G1563" s="719">
        <f t="shared" si="227"/>
        <v>1</v>
      </c>
      <c r="H1563" s="719">
        <f t="shared" si="227"/>
        <v>0.367192066876738</v>
      </c>
      <c r="I1563" s="719">
        <f t="shared" si="221"/>
        <v>0</v>
      </c>
      <c r="J1563" s="1386">
        <f t="shared" si="222"/>
        <v>0</v>
      </c>
      <c r="L1563" s="1460">
        <v>1783</v>
      </c>
      <c r="M1563" s="1236"/>
      <c r="N1563" s="1240" t="s">
        <v>1804</v>
      </c>
      <c r="O1563" s="1241" t="s">
        <v>4851</v>
      </c>
      <c r="P1563" s="910">
        <f t="shared" si="223"/>
        <v>0</v>
      </c>
      <c r="Q1563" s="910">
        <f t="shared" si="224"/>
        <v>1783</v>
      </c>
      <c r="R1563" s="1344">
        <f t="shared" si="225"/>
        <v>2.1</v>
      </c>
      <c r="S1563" s="1344">
        <f>(1/9)*cnst_fish!$C$7*(1/cnst_fish!$C$8)^(R1563-1)</f>
        <v>1.7754076320174161</v>
      </c>
      <c r="T1563" s="1362">
        <f t="shared" si="226"/>
        <v>273.49776732786864</v>
      </c>
      <c r="W1563" s="1612"/>
      <c r="X1563" s="1612"/>
      <c r="Y1563" s="1613"/>
      <c r="Z1563" s="1614"/>
      <c r="AA1563" s="1614"/>
      <c r="AB1563" s="1615"/>
      <c r="AC1563" s="1615"/>
      <c r="AD1563" s="583"/>
      <c r="AE1563" s="583"/>
    </row>
    <row r="1564" spans="1:31" ht="12.75" customHeight="1">
      <c r="A1564" s="1384" t="s">
        <v>5324</v>
      </c>
      <c r="B1564" s="19" t="s">
        <v>1368</v>
      </c>
      <c r="C1564" s="1383">
        <v>3543</v>
      </c>
      <c r="D1564" s="1236"/>
      <c r="E1564" s="1236"/>
      <c r="F1564" s="1344">
        <f>(1/S1564)*cnst_fish!$C$6</f>
        <v>2.3938164528281742</v>
      </c>
      <c r="G1564" s="719">
        <f t="shared" si="227"/>
        <v>1</v>
      </c>
      <c r="H1564" s="719">
        <f t="shared" si="227"/>
        <v>0.367192066876738</v>
      </c>
      <c r="I1564" s="719">
        <f t="shared" si="221"/>
        <v>0</v>
      </c>
      <c r="J1564" s="1386">
        <f t="shared" si="222"/>
        <v>0</v>
      </c>
      <c r="L1564" s="1460">
        <v>37428</v>
      </c>
      <c r="M1564" s="1236"/>
      <c r="N1564" s="1240" t="s">
        <v>1804</v>
      </c>
      <c r="O1564" s="1241" t="s">
        <v>4851</v>
      </c>
      <c r="P1564" s="910">
        <f t="shared" si="223"/>
        <v>0</v>
      </c>
      <c r="Q1564" s="910">
        <f t="shared" si="224"/>
        <v>37428</v>
      </c>
      <c r="R1564" s="1344">
        <f t="shared" si="225"/>
        <v>2.1</v>
      </c>
      <c r="S1564" s="1344">
        <f>(1/9)*cnst_fish!$C$7*(1/cnst_fish!$C$8)^(R1564-1)</f>
        <v>1.7754076320174161</v>
      </c>
      <c r="T1564" s="1362">
        <f t="shared" si="226"/>
        <v>5741.1522353042446</v>
      </c>
      <c r="W1564" s="1612"/>
      <c r="X1564" s="1612"/>
      <c r="Y1564" s="1613"/>
      <c r="Z1564" s="1614"/>
      <c r="AA1564" s="1614"/>
      <c r="AB1564" s="1615"/>
      <c r="AC1564" s="1615"/>
      <c r="AD1564" s="583"/>
      <c r="AE1564" s="583"/>
    </row>
    <row r="1565" spans="1:31" ht="12.75" customHeight="1">
      <c r="A1565" s="1384" t="s">
        <v>4169</v>
      </c>
      <c r="B1565" s="19" t="s">
        <v>6521</v>
      </c>
      <c r="C1565" s="1383">
        <v>2700</v>
      </c>
      <c r="D1565" s="1236"/>
      <c r="E1565" s="1236"/>
      <c r="F1565" s="1344">
        <f>(1/S1565)*cnst_fish!$C$6</f>
        <v>3.0136363636363641</v>
      </c>
      <c r="G1565" s="719">
        <f t="shared" si="227"/>
        <v>1</v>
      </c>
      <c r="H1565" s="719">
        <f t="shared" si="227"/>
        <v>0.367192066876738</v>
      </c>
      <c r="I1565" s="719">
        <f t="shared" si="221"/>
        <v>0</v>
      </c>
      <c r="J1565" s="1386">
        <f t="shared" si="222"/>
        <v>0</v>
      </c>
      <c r="L1565" s="1460">
        <v>417</v>
      </c>
      <c r="M1565" s="1236"/>
      <c r="N1565" s="1240" t="s">
        <v>1804</v>
      </c>
      <c r="O1565" s="1241" t="s">
        <v>4851</v>
      </c>
      <c r="P1565" s="910">
        <f t="shared" si="223"/>
        <v>0</v>
      </c>
      <c r="Q1565" s="910">
        <f t="shared" si="224"/>
        <v>417</v>
      </c>
      <c r="R1565" s="1344">
        <f t="shared" si="225"/>
        <v>2</v>
      </c>
      <c r="S1565" s="1344">
        <f>(1/9)*cnst_fish!$C$7*(1/cnst_fish!$C$8)^(R1565-1)</f>
        <v>1.4102564102564099</v>
      </c>
      <c r="T1565" s="1362">
        <f t="shared" si="226"/>
        <v>50.808748439324191</v>
      </c>
      <c r="W1565" s="1612"/>
      <c r="X1565" s="1612"/>
      <c r="Y1565" s="1613"/>
      <c r="Z1565" s="1614"/>
      <c r="AA1565" s="1614"/>
      <c r="AB1565" s="1615"/>
      <c r="AC1565" s="1615"/>
      <c r="AD1565" s="583"/>
      <c r="AE1565" s="583"/>
    </row>
    <row r="1566" spans="1:31" ht="12.75" customHeight="1">
      <c r="A1566" s="1585" t="s">
        <v>8585</v>
      </c>
      <c r="B1566" s="1586" t="s">
        <v>8586</v>
      </c>
      <c r="C1566" s="1383">
        <v>19856</v>
      </c>
      <c r="D1566" s="1236"/>
      <c r="E1566" s="1236"/>
      <c r="F1566" s="1344">
        <f>(1/S1566)*cnst_fish!$C$6</f>
        <v>0.15103960722494611</v>
      </c>
      <c r="G1566" s="719">
        <f t="shared" si="227"/>
        <v>1</v>
      </c>
      <c r="H1566" s="719">
        <f t="shared" si="227"/>
        <v>0.367192066876738</v>
      </c>
      <c r="I1566" s="719">
        <f t="shared" si="221"/>
        <v>0</v>
      </c>
      <c r="J1566" s="1386">
        <f t="shared" si="222"/>
        <v>0</v>
      </c>
      <c r="L1566" s="1460"/>
      <c r="M1566" s="1236">
        <v>1785</v>
      </c>
      <c r="N1566" s="1240" t="s">
        <v>1806</v>
      </c>
      <c r="O1566" s="1241" t="s">
        <v>4845</v>
      </c>
      <c r="P1566" s="910">
        <f t="shared" si="223"/>
        <v>0</v>
      </c>
      <c r="Q1566" s="910">
        <f t="shared" si="224"/>
        <v>1785</v>
      </c>
      <c r="R1566" s="1344">
        <f t="shared" si="225"/>
        <v>3.3</v>
      </c>
      <c r="S1566" s="1344">
        <f>(1/9)*cnst_fish!$C$7*(1/cnst_fish!$C$8)^(R1566-1)</f>
        <v>28.138314698279075</v>
      </c>
      <c r="T1566" s="1362">
        <f t="shared" si="226"/>
        <v>4339.5096916454604</v>
      </c>
      <c r="W1566" s="1616"/>
      <c r="X1566" s="1616"/>
      <c r="Y1566" s="1613"/>
      <c r="Z1566" s="1614"/>
      <c r="AA1566" s="1614"/>
      <c r="AB1566" s="1615"/>
      <c r="AC1566" s="1615"/>
      <c r="AD1566" s="583"/>
      <c r="AE1566" s="583"/>
    </row>
    <row r="1567" spans="1:31" ht="12.75" customHeight="1">
      <c r="A1567" s="1384" t="s">
        <v>224</v>
      </c>
      <c r="B1567" s="19" t="s">
        <v>2902</v>
      </c>
      <c r="C1567" s="1383">
        <v>2158</v>
      </c>
      <c r="D1567" s="1236"/>
      <c r="E1567" s="1236"/>
      <c r="F1567" s="1344">
        <f>(1/S1567)*cnst_fish!$C$6</f>
        <v>9.3130266898023228E-2</v>
      </c>
      <c r="G1567" s="719">
        <f t="shared" si="227"/>
        <v>1</v>
      </c>
      <c r="H1567" s="719">
        <f t="shared" si="227"/>
        <v>0.367192066876738</v>
      </c>
      <c r="I1567" s="719">
        <f t="shared" si="221"/>
        <v>0</v>
      </c>
      <c r="J1567" s="1386">
        <f t="shared" si="222"/>
        <v>0</v>
      </c>
      <c r="L1567" s="1460"/>
      <c r="M1567" s="1236">
        <v>13956</v>
      </c>
      <c r="N1567" s="1240" t="s">
        <v>1806</v>
      </c>
      <c r="O1567" s="1241" t="s">
        <v>4845</v>
      </c>
      <c r="P1567" s="910">
        <f t="shared" si="223"/>
        <v>0</v>
      </c>
      <c r="Q1567" s="910">
        <f t="shared" si="224"/>
        <v>13956</v>
      </c>
      <c r="R1567" s="1344">
        <f t="shared" si="225"/>
        <v>3.51</v>
      </c>
      <c r="S1567" s="1344">
        <f>(1/9)*cnst_fish!$C$7*(1/cnst_fish!$C$8)^(R1567-1)</f>
        <v>45.635002900332182</v>
      </c>
      <c r="T1567" s="1362">
        <f t="shared" si="226"/>
        <v>55025.424666108498</v>
      </c>
      <c r="W1567" s="1612"/>
      <c r="X1567" s="1612"/>
      <c r="Y1567" s="1613"/>
      <c r="Z1567" s="1614"/>
      <c r="AA1567" s="1614"/>
      <c r="AB1567" s="1615"/>
      <c r="AC1567" s="1615"/>
      <c r="AD1567" s="583"/>
      <c r="AE1567" s="583"/>
    </row>
    <row r="1568" spans="1:31" ht="12.75" customHeight="1">
      <c r="A1568" s="1384" t="s">
        <v>4307</v>
      </c>
      <c r="B1568" s="19" t="s">
        <v>2903</v>
      </c>
      <c r="C1568" s="1383">
        <v>2157</v>
      </c>
      <c r="D1568" s="1236"/>
      <c r="E1568" s="1236"/>
      <c r="F1568" s="1344">
        <f>(1/S1568)*cnst_fish!$C$6</f>
        <v>0.48875458843135011</v>
      </c>
      <c r="G1568" s="719">
        <f t="shared" ref="G1568:H1587" si="228">G$7</f>
        <v>1</v>
      </c>
      <c r="H1568" s="719">
        <f t="shared" si="228"/>
        <v>0.367192066876738</v>
      </c>
      <c r="I1568" s="719">
        <f t="shared" si="221"/>
        <v>0</v>
      </c>
      <c r="J1568" s="1386">
        <f t="shared" si="222"/>
        <v>0</v>
      </c>
      <c r="L1568" s="1460">
        <v>3680</v>
      </c>
      <c r="M1568" s="1236">
        <v>5660</v>
      </c>
      <c r="N1568" s="1240" t="s">
        <v>1806</v>
      </c>
      <c r="O1568" s="1241" t="s">
        <v>4845</v>
      </c>
      <c r="P1568" s="910">
        <f t="shared" si="223"/>
        <v>0</v>
      </c>
      <c r="Q1568" s="910">
        <f t="shared" si="224"/>
        <v>9340</v>
      </c>
      <c r="R1568" s="1344">
        <f t="shared" si="225"/>
        <v>2.79</v>
      </c>
      <c r="S1568" s="1344">
        <f>(1/9)*cnst_fish!$C$7*(1/cnst_fish!$C$8)^(R1568-1)</f>
        <v>8.6955705390721878</v>
      </c>
      <c r="T1568" s="1362">
        <f t="shared" si="226"/>
        <v>7016.9651309789124</v>
      </c>
      <c r="W1568" s="1612"/>
      <c r="X1568" s="1612"/>
      <c r="Y1568" s="1613"/>
      <c r="Z1568" s="1614"/>
      <c r="AA1568" s="1614"/>
      <c r="AB1568" s="1615"/>
      <c r="AC1568" s="1615"/>
      <c r="AD1568" s="583"/>
      <c r="AE1568" s="583"/>
    </row>
    <row r="1569" spans="1:31" ht="12.75" customHeight="1">
      <c r="A1569" s="1384" t="s">
        <v>3885</v>
      </c>
      <c r="B1569" s="19" t="s">
        <v>2904</v>
      </c>
      <c r="C1569" s="1383">
        <v>2960</v>
      </c>
      <c r="D1569" s="1236"/>
      <c r="E1569" s="1236"/>
      <c r="F1569" s="1344">
        <f>(1/S1569)*cnst_fish!$C$6</f>
        <v>0.26859062362848796</v>
      </c>
      <c r="G1569" s="719">
        <f t="shared" si="228"/>
        <v>1</v>
      </c>
      <c r="H1569" s="719">
        <f t="shared" si="228"/>
        <v>0.367192066876738</v>
      </c>
      <c r="I1569" s="719">
        <f t="shared" si="221"/>
        <v>0</v>
      </c>
      <c r="J1569" s="1386">
        <f t="shared" si="222"/>
        <v>0</v>
      </c>
      <c r="L1569" s="1460">
        <v>394</v>
      </c>
      <c r="M1569" s="1236">
        <v>20156</v>
      </c>
      <c r="N1569" s="1240" t="s">
        <v>1806</v>
      </c>
      <c r="O1569" s="1241" t="s">
        <v>4845</v>
      </c>
      <c r="P1569" s="910">
        <f t="shared" si="223"/>
        <v>0</v>
      </c>
      <c r="Q1569" s="910">
        <f t="shared" si="224"/>
        <v>20550</v>
      </c>
      <c r="R1569" s="1344">
        <f t="shared" si="225"/>
        <v>3.05</v>
      </c>
      <c r="S1569" s="1344">
        <f>(1/9)*cnst_fish!$C$7*(1/cnst_fish!$C$8)^(R1569-1)</f>
        <v>15.823337176053327</v>
      </c>
      <c r="T1569" s="1362">
        <f t="shared" si="226"/>
        <v>28094.044655684789</v>
      </c>
      <c r="W1569" s="1612"/>
      <c r="X1569" s="1612"/>
      <c r="Y1569" s="1613"/>
      <c r="Z1569" s="1614"/>
      <c r="AA1569" s="1614"/>
      <c r="AB1569" s="1615"/>
      <c r="AC1569" s="1615"/>
      <c r="AD1569" s="583"/>
      <c r="AE1569" s="583"/>
    </row>
    <row r="1570" spans="1:31" ht="12.75" customHeight="1">
      <c r="A1570" s="1384" t="s">
        <v>3079</v>
      </c>
      <c r="B1570" s="19" t="s">
        <v>2426</v>
      </c>
      <c r="C1570" s="1383">
        <v>2467</v>
      </c>
      <c r="D1570" s="1236">
        <v>270</v>
      </c>
      <c r="E1570" s="1236"/>
      <c r="F1570" s="1344">
        <f>(1/S1570)*cnst_fish!$C$6</f>
        <v>1.9910898001319833E-2</v>
      </c>
      <c r="G1570" s="719">
        <f t="shared" si="228"/>
        <v>1</v>
      </c>
      <c r="H1570" s="719">
        <f t="shared" si="228"/>
        <v>0.367192066876738</v>
      </c>
      <c r="I1570" s="719">
        <f t="shared" si="221"/>
        <v>4979.2760753506673</v>
      </c>
      <c r="J1570" s="1386">
        <f t="shared" si="222"/>
        <v>0</v>
      </c>
      <c r="L1570" s="1460">
        <v>14971</v>
      </c>
      <c r="M1570" s="1236"/>
      <c r="N1570" s="1240" t="s">
        <v>1806</v>
      </c>
      <c r="O1570" s="1241" t="s">
        <v>4841</v>
      </c>
      <c r="P1570" s="910">
        <f t="shared" si="223"/>
        <v>270</v>
      </c>
      <c r="Q1570" s="910">
        <f t="shared" si="224"/>
        <v>14971</v>
      </c>
      <c r="R1570" s="1344">
        <f t="shared" si="225"/>
        <v>4.18</v>
      </c>
      <c r="S1570" s="1344">
        <f>(1/9)*cnst_fish!$C$7*(1/cnst_fish!$C$8)^(R1570-1)</f>
        <v>213.4509452922857</v>
      </c>
      <c r="T1570" s="1362">
        <f t="shared" si="226"/>
        <v>276091.6374965735</v>
      </c>
      <c r="W1570" s="1612"/>
      <c r="X1570" s="1612"/>
      <c r="Y1570" s="1613"/>
      <c r="Z1570" s="1614"/>
      <c r="AA1570" s="1614"/>
      <c r="AB1570" s="1615"/>
      <c r="AC1570" s="1615"/>
      <c r="AD1570" s="583"/>
      <c r="AE1570" s="583"/>
    </row>
    <row r="1571" spans="1:31" ht="12.75" customHeight="1">
      <c r="A1571" s="1384" t="s">
        <v>6648</v>
      </c>
      <c r="B1571" s="19" t="s">
        <v>6647</v>
      </c>
      <c r="C1571" s="1383">
        <v>19146</v>
      </c>
      <c r="D1571" s="1236"/>
      <c r="E1571" s="1236"/>
      <c r="F1571" s="1344">
        <f>(1/S1571)*cnst_fish!$C$6</f>
        <v>6.0129950673834844E-2</v>
      </c>
      <c r="G1571" s="719">
        <f t="shared" si="228"/>
        <v>1</v>
      </c>
      <c r="H1571" s="719">
        <f t="shared" si="228"/>
        <v>0.367192066876738</v>
      </c>
      <c r="I1571" s="719">
        <f t="shared" si="221"/>
        <v>0</v>
      </c>
      <c r="J1571" s="1386">
        <f t="shared" si="222"/>
        <v>0</v>
      </c>
      <c r="L1571" s="1460"/>
      <c r="M1571" s="1236">
        <v>633</v>
      </c>
      <c r="N1571" s="1240" t="s">
        <v>1806</v>
      </c>
      <c r="O1571" s="1241" t="s">
        <v>4845</v>
      </c>
      <c r="P1571" s="910">
        <f t="shared" si="223"/>
        <v>0</v>
      </c>
      <c r="Q1571" s="910">
        <f t="shared" si="224"/>
        <v>633</v>
      </c>
      <c r="R1571" s="1344">
        <f t="shared" si="225"/>
        <v>3.7</v>
      </c>
      <c r="S1571" s="1344">
        <f>(1/9)*cnst_fish!$C$7*(1/cnst_fish!$C$8)^(R1571-1)</f>
        <v>70.680250896153822</v>
      </c>
      <c r="T1571" s="1362">
        <f t="shared" si="226"/>
        <v>3865.5042242387317</v>
      </c>
      <c r="W1571" s="1612"/>
      <c r="X1571" s="1612"/>
      <c r="Y1571" s="1613"/>
      <c r="Z1571" s="1614"/>
      <c r="AA1571" s="1614"/>
      <c r="AB1571" s="1615"/>
      <c r="AC1571" s="1615"/>
      <c r="AD1571" s="583"/>
      <c r="AE1571" s="583"/>
    </row>
    <row r="1572" spans="1:31" ht="12.75" customHeight="1">
      <c r="A1572" s="1384" t="s">
        <v>1526</v>
      </c>
      <c r="B1572" s="19" t="s">
        <v>3658</v>
      </c>
      <c r="C1572" s="1383">
        <v>3008</v>
      </c>
      <c r="D1572" s="1236"/>
      <c r="E1572" s="1236"/>
      <c r="F1572" s="1344">
        <f>(1/S1572)*cnst_fish!$C$6</f>
        <v>1.1196720767792065E-2</v>
      </c>
      <c r="G1572" s="719">
        <f t="shared" si="228"/>
        <v>1</v>
      </c>
      <c r="H1572" s="719">
        <f t="shared" si="228"/>
        <v>0.367192066876738</v>
      </c>
      <c r="I1572" s="719">
        <f t="shared" si="221"/>
        <v>0</v>
      </c>
      <c r="J1572" s="1386">
        <f t="shared" si="222"/>
        <v>0</v>
      </c>
      <c r="L1572" s="1460">
        <v>9456</v>
      </c>
      <c r="M1572" s="1236"/>
      <c r="N1572" s="1240" t="s">
        <v>1806</v>
      </c>
      <c r="O1572" s="1241" t="s">
        <v>4841</v>
      </c>
      <c r="P1572" s="910">
        <f t="shared" si="223"/>
        <v>0</v>
      </c>
      <c r="Q1572" s="910">
        <f t="shared" si="224"/>
        <v>9456</v>
      </c>
      <c r="R1572" s="1344">
        <f t="shared" si="225"/>
        <v>4.43</v>
      </c>
      <c r="S1572" s="1344">
        <f>(1/9)*cnst_fish!$C$7*(1/cnst_fish!$C$8)^(R1572-1)</f>
        <v>379.57542106661629</v>
      </c>
      <c r="T1572" s="1362">
        <f t="shared" si="226"/>
        <v>310105.81190649158</v>
      </c>
      <c r="W1572" s="1612"/>
      <c r="X1572" s="1612"/>
      <c r="Y1572" s="1613"/>
      <c r="Z1572" s="1614"/>
      <c r="AA1572" s="1614"/>
      <c r="AB1572" s="1615"/>
      <c r="AC1572" s="1615"/>
      <c r="AD1572" s="583"/>
      <c r="AE1572" s="583"/>
    </row>
    <row r="1573" spans="1:31" ht="12.75" customHeight="1">
      <c r="A1573" s="1384" t="s">
        <v>6566</v>
      </c>
      <c r="B1573" s="19" t="s">
        <v>6565</v>
      </c>
      <c r="C1573" s="1383">
        <v>15055</v>
      </c>
      <c r="D1573" s="1236"/>
      <c r="E1573" s="1236"/>
      <c r="F1573" s="1344">
        <f>(1/S1573)*cnst_fish!$C$6</f>
        <v>3.0136363636363641</v>
      </c>
      <c r="G1573" s="719">
        <f t="shared" si="228"/>
        <v>1</v>
      </c>
      <c r="H1573" s="719">
        <f t="shared" si="228"/>
        <v>0.367192066876738</v>
      </c>
      <c r="I1573" s="719">
        <f t="shared" si="221"/>
        <v>0</v>
      </c>
      <c r="J1573" s="1386">
        <f t="shared" si="222"/>
        <v>0</v>
      </c>
      <c r="L1573" s="1460"/>
      <c r="M1573" s="1236">
        <v>3030</v>
      </c>
      <c r="N1573" s="1240" t="s">
        <v>3933</v>
      </c>
      <c r="O1573" s="1241" t="s">
        <v>4845</v>
      </c>
      <c r="P1573" s="910">
        <f t="shared" si="223"/>
        <v>0</v>
      </c>
      <c r="Q1573" s="910">
        <f t="shared" si="224"/>
        <v>3030</v>
      </c>
      <c r="R1573" s="1344">
        <f t="shared" si="225"/>
        <v>2</v>
      </c>
      <c r="S1573" s="1344">
        <f>(1/9)*cnst_fish!$C$7*(1/cnst_fish!$C$8)^(R1573-1)</f>
        <v>1.4102564102564099</v>
      </c>
      <c r="T1573" s="1362">
        <f t="shared" si="226"/>
        <v>369.18586995480166</v>
      </c>
      <c r="W1573" s="1612"/>
      <c r="X1573" s="1612"/>
      <c r="Y1573" s="1613"/>
      <c r="Z1573" s="1614"/>
      <c r="AA1573" s="1614"/>
      <c r="AB1573" s="1615"/>
      <c r="AC1573" s="1615"/>
      <c r="AD1573" s="583"/>
      <c r="AE1573" s="583"/>
    </row>
    <row r="1574" spans="1:31" ht="12.75" customHeight="1">
      <c r="A1574" s="1384" t="s">
        <v>5632</v>
      </c>
      <c r="B1574" s="19" t="s">
        <v>1344</v>
      </c>
      <c r="C1574" s="1383">
        <v>2929</v>
      </c>
      <c r="D1574" s="1236"/>
      <c r="E1574" s="1236"/>
      <c r="F1574" s="1344">
        <f>(1/S1574)*cnst_fish!$C$6</f>
        <v>1.1196720767792065E-2</v>
      </c>
      <c r="G1574" s="719">
        <f t="shared" si="228"/>
        <v>1</v>
      </c>
      <c r="H1574" s="719">
        <f t="shared" si="228"/>
        <v>0.367192066876738</v>
      </c>
      <c r="I1574" s="719">
        <f t="shared" si="221"/>
        <v>0</v>
      </c>
      <c r="J1574" s="1386">
        <f t="shared" si="222"/>
        <v>0</v>
      </c>
      <c r="L1574" s="1460">
        <v>927</v>
      </c>
      <c r="M1574" s="1236">
        <v>1442</v>
      </c>
      <c r="N1574" s="1240" t="s">
        <v>3933</v>
      </c>
      <c r="O1574" s="1241" t="s">
        <v>4845</v>
      </c>
      <c r="P1574" s="910">
        <f t="shared" si="223"/>
        <v>0</v>
      </c>
      <c r="Q1574" s="910">
        <f t="shared" si="224"/>
        <v>2369</v>
      </c>
      <c r="R1574" s="1344">
        <f t="shared" si="225"/>
        <v>4.43</v>
      </c>
      <c r="S1574" s="1344">
        <f>(1/9)*cnst_fish!$C$7*(1/cnst_fish!$C$8)^(R1574-1)</f>
        <v>379.57542106661629</v>
      </c>
      <c r="T1574" s="1362">
        <f t="shared" si="226"/>
        <v>77690.426015913559</v>
      </c>
      <c r="W1574" s="1612"/>
      <c r="X1574" s="1612"/>
      <c r="Y1574" s="1613"/>
      <c r="Z1574" s="1614"/>
      <c r="AA1574" s="1614"/>
      <c r="AB1574" s="1615"/>
      <c r="AC1574" s="1615"/>
      <c r="AD1574" s="583"/>
      <c r="AE1574" s="583"/>
    </row>
    <row r="1575" spans="1:31" ht="12.75" customHeight="1">
      <c r="A1575" s="1384" t="s">
        <v>5631</v>
      </c>
      <c r="B1575" s="19" t="s">
        <v>1345</v>
      </c>
      <c r="C1575" s="1383">
        <v>2928</v>
      </c>
      <c r="D1575" s="1236"/>
      <c r="E1575" s="1236"/>
      <c r="F1575" s="1344">
        <f>(1/S1575)*cnst_fish!$C$6</f>
        <v>6.5026570148555368E-2</v>
      </c>
      <c r="G1575" s="719">
        <f t="shared" si="228"/>
        <v>1</v>
      </c>
      <c r="H1575" s="719">
        <f t="shared" si="228"/>
        <v>0.367192066876738</v>
      </c>
      <c r="I1575" s="719">
        <f t="shared" si="221"/>
        <v>0</v>
      </c>
      <c r="J1575" s="1386">
        <f t="shared" si="222"/>
        <v>0</v>
      </c>
      <c r="L1575" s="1460"/>
      <c r="M1575" s="1236">
        <v>995</v>
      </c>
      <c r="N1575" s="1240" t="s">
        <v>2442</v>
      </c>
      <c r="O1575" s="1241" t="s">
        <v>4845</v>
      </c>
      <c r="P1575" s="910">
        <f t="shared" si="223"/>
        <v>0</v>
      </c>
      <c r="Q1575" s="910">
        <f t="shared" si="224"/>
        <v>995</v>
      </c>
      <c r="R1575" s="1344">
        <f t="shared" si="225"/>
        <v>3.6659999999999999</v>
      </c>
      <c r="S1575" s="1344">
        <f>(1/9)*cnst_fish!$C$7*(1/cnst_fish!$C$8)^(R1575-1)</f>
        <v>65.357898937168812</v>
      </c>
      <c r="T1575" s="1362">
        <f t="shared" si="226"/>
        <v>5618.5664676406295</v>
      </c>
      <c r="W1575" s="1612"/>
      <c r="X1575" s="1612"/>
      <c r="Y1575" s="1613"/>
      <c r="Z1575" s="1614"/>
      <c r="AA1575" s="1614"/>
      <c r="AB1575" s="1615"/>
      <c r="AC1575" s="1615"/>
      <c r="AD1575" s="583"/>
      <c r="AE1575" s="583"/>
    </row>
    <row r="1576" spans="1:31" ht="12.75" customHeight="1">
      <c r="A1576" s="1384" t="s">
        <v>1306</v>
      </c>
      <c r="B1576" s="19" t="s">
        <v>1346</v>
      </c>
      <c r="C1576" s="1383">
        <v>2115</v>
      </c>
      <c r="D1576" s="1236"/>
      <c r="E1576" s="1236"/>
      <c r="F1576" s="1344">
        <f>(1/S1576)*cnst_fish!$C$6</f>
        <v>0.21090692879523065</v>
      </c>
      <c r="G1576" s="719">
        <f t="shared" si="228"/>
        <v>1</v>
      </c>
      <c r="H1576" s="719">
        <f t="shared" si="228"/>
        <v>0.367192066876738</v>
      </c>
      <c r="I1576" s="719">
        <f t="shared" si="221"/>
        <v>0</v>
      </c>
      <c r="J1576" s="1386">
        <f t="shared" si="222"/>
        <v>0</v>
      </c>
      <c r="L1576" s="1460">
        <v>402</v>
      </c>
      <c r="M1576" s="1236">
        <v>4252</v>
      </c>
      <c r="N1576" s="1240" t="s">
        <v>2442</v>
      </c>
      <c r="O1576" s="1241" t="s">
        <v>4845</v>
      </c>
      <c r="P1576" s="910">
        <f t="shared" si="223"/>
        <v>0</v>
      </c>
      <c r="Q1576" s="910">
        <f t="shared" si="224"/>
        <v>4654</v>
      </c>
      <c r="R1576" s="1344">
        <f t="shared" si="225"/>
        <v>3.1549999999999998</v>
      </c>
      <c r="S1576" s="1344">
        <f>(1/9)*cnst_fish!$C$7*(1/cnst_fish!$C$8)^(R1576-1)</f>
        <v>20.151068645669394</v>
      </c>
      <c r="T1576" s="1362">
        <f t="shared" si="226"/>
        <v>8102.6824913064838</v>
      </c>
      <c r="W1576" s="1612"/>
      <c r="X1576" s="1612"/>
      <c r="Y1576" s="1613"/>
      <c r="Z1576" s="1614"/>
      <c r="AA1576" s="1614"/>
      <c r="AB1576" s="1615"/>
      <c r="AC1576" s="1615"/>
      <c r="AD1576" s="583"/>
      <c r="AE1576" s="583"/>
    </row>
    <row r="1577" spans="1:31" ht="12.75" customHeight="1">
      <c r="A1577" s="1384" t="s">
        <v>5409</v>
      </c>
      <c r="B1577" s="19" t="s">
        <v>1347</v>
      </c>
      <c r="C1577" s="1383">
        <v>2927</v>
      </c>
      <c r="D1577" s="1236"/>
      <c r="E1577" s="1236"/>
      <c r="F1577" s="1344">
        <f>(1/S1577)*cnst_fish!$C$6</f>
        <v>8.3002437741509269E-2</v>
      </c>
      <c r="G1577" s="719">
        <f t="shared" si="228"/>
        <v>1</v>
      </c>
      <c r="H1577" s="719">
        <f t="shared" si="228"/>
        <v>0.367192066876738</v>
      </c>
      <c r="I1577" s="719">
        <f t="shared" si="221"/>
        <v>0</v>
      </c>
      <c r="J1577" s="1386">
        <f t="shared" si="222"/>
        <v>0</v>
      </c>
      <c r="L1577" s="1460">
        <v>3861</v>
      </c>
      <c r="M1577" s="1236">
        <v>13288</v>
      </c>
      <c r="N1577" s="1240" t="s">
        <v>3933</v>
      </c>
      <c r="O1577" s="1241" t="s">
        <v>4845</v>
      </c>
      <c r="P1577" s="910">
        <f t="shared" si="223"/>
        <v>0</v>
      </c>
      <c r="Q1577" s="910">
        <f t="shared" si="224"/>
        <v>17149</v>
      </c>
      <c r="R1577" s="1344">
        <f t="shared" si="225"/>
        <v>3.56</v>
      </c>
      <c r="S1577" s="1344">
        <f>(1/9)*cnst_fish!$C$7*(1/cnst_fish!$C$8)^(R1577-1)</f>
        <v>51.203315416296356</v>
      </c>
      <c r="T1577" s="1362">
        <f t="shared" si="226"/>
        <v>75864.961634977153</v>
      </c>
      <c r="W1577" s="1612"/>
      <c r="X1577" s="1612"/>
      <c r="Y1577" s="1613"/>
      <c r="Z1577" s="1614"/>
      <c r="AA1577" s="1614"/>
      <c r="AB1577" s="1615"/>
      <c r="AC1577" s="1615"/>
      <c r="AD1577" s="583"/>
      <c r="AE1577" s="583"/>
    </row>
    <row r="1578" spans="1:31" ht="12.75" customHeight="1">
      <c r="A1578" s="1384" t="s">
        <v>1481</v>
      </c>
      <c r="B1578" s="19" t="s">
        <v>5491</v>
      </c>
      <c r="C1578" s="1383">
        <v>18275</v>
      </c>
      <c r="D1578" s="1236"/>
      <c r="E1578" s="1236"/>
      <c r="F1578" s="1344">
        <f>(1/S1578)*cnst_fish!$C$6</f>
        <v>0.30136363636363639</v>
      </c>
      <c r="G1578" s="719">
        <f t="shared" si="228"/>
        <v>1</v>
      </c>
      <c r="H1578" s="719">
        <f t="shared" si="228"/>
        <v>0.367192066876738</v>
      </c>
      <c r="I1578" s="719">
        <f t="shared" si="221"/>
        <v>0</v>
      </c>
      <c r="J1578" s="1386">
        <f t="shared" si="222"/>
        <v>0</v>
      </c>
      <c r="L1578" s="1460">
        <v>0</v>
      </c>
      <c r="M1578" s="1236"/>
      <c r="N1578" s="1240" t="s">
        <v>1806</v>
      </c>
      <c r="O1578" s="1241"/>
      <c r="P1578" s="910">
        <f t="shared" si="223"/>
        <v>0</v>
      </c>
      <c r="Q1578" s="910">
        <f t="shared" si="224"/>
        <v>0</v>
      </c>
      <c r="R1578" s="1344">
        <f t="shared" si="225"/>
        <v>3</v>
      </c>
      <c r="S1578" s="1344">
        <f>(1/9)*cnst_fish!$C$7*(1/cnst_fish!$C$8)^(R1578-1)</f>
        <v>14.1025641025641</v>
      </c>
      <c r="T1578" s="1362">
        <f t="shared" si="226"/>
        <v>0</v>
      </c>
      <c r="W1578" s="1612"/>
      <c r="X1578" s="1612"/>
      <c r="Y1578" s="1613"/>
      <c r="Z1578" s="1614"/>
      <c r="AA1578" s="1614"/>
      <c r="AB1578" s="1615"/>
      <c r="AC1578" s="1615"/>
      <c r="AD1578" s="583"/>
      <c r="AE1578" s="583"/>
    </row>
    <row r="1579" spans="1:31" ht="12.75" customHeight="1">
      <c r="A1579" s="1384" t="s">
        <v>1307</v>
      </c>
      <c r="B1579" s="19" t="s">
        <v>3496</v>
      </c>
      <c r="C1579" s="1383">
        <v>2120</v>
      </c>
      <c r="D1579" s="1236">
        <v>0</v>
      </c>
      <c r="E1579" s="1236"/>
      <c r="F1579" s="1344">
        <f>(1/S1579)*cnst_fish!$C$6</f>
        <v>1.6561163607618418E-2</v>
      </c>
      <c r="G1579" s="719">
        <f t="shared" si="228"/>
        <v>1</v>
      </c>
      <c r="H1579" s="719">
        <f t="shared" si="228"/>
        <v>0.367192066876738</v>
      </c>
      <c r="I1579" s="719">
        <f t="shared" si="221"/>
        <v>0</v>
      </c>
      <c r="J1579" s="1386">
        <f t="shared" si="222"/>
        <v>0</v>
      </c>
      <c r="L1579" s="1460">
        <v>15</v>
      </c>
      <c r="M1579" s="1236">
        <v>80</v>
      </c>
      <c r="N1579" s="1240" t="s">
        <v>1806</v>
      </c>
      <c r="O1579" s="1241" t="s">
        <v>4845</v>
      </c>
      <c r="P1579" s="910">
        <f t="shared" si="223"/>
        <v>0</v>
      </c>
      <c r="Q1579" s="910">
        <f t="shared" si="224"/>
        <v>95</v>
      </c>
      <c r="R1579" s="1344">
        <f t="shared" si="225"/>
        <v>4.26</v>
      </c>
      <c r="S1579" s="1344">
        <f>(1/9)*cnst_fish!$C$7*(1/cnst_fish!$C$8)^(R1579-1)</f>
        <v>256.62448006038221</v>
      </c>
      <c r="T1579" s="1362">
        <f t="shared" si="226"/>
        <v>2106.3282254661876</v>
      </c>
      <c r="W1579" s="1612"/>
      <c r="X1579" s="1612"/>
      <c r="Y1579" s="1613"/>
      <c r="Z1579" s="1614"/>
      <c r="AA1579" s="1614"/>
      <c r="AB1579" s="1615"/>
      <c r="AC1579" s="1615"/>
      <c r="AD1579" s="583"/>
      <c r="AE1579" s="583"/>
    </row>
    <row r="1580" spans="1:31" ht="12.75" customHeight="1">
      <c r="A1580" s="1384" t="s">
        <v>4158</v>
      </c>
      <c r="B1580" s="19" t="s">
        <v>3497</v>
      </c>
      <c r="C1580" s="1383">
        <v>2935</v>
      </c>
      <c r="D1580" s="1236"/>
      <c r="E1580" s="1236"/>
      <c r="F1580" s="1344">
        <f>(1/S1580)*cnst_fish!$C$6</f>
        <v>0.21831865524078092</v>
      </c>
      <c r="G1580" s="719">
        <f t="shared" si="228"/>
        <v>1</v>
      </c>
      <c r="H1580" s="719">
        <f t="shared" si="228"/>
        <v>0.367192066876738</v>
      </c>
      <c r="I1580" s="719">
        <f t="shared" si="221"/>
        <v>0</v>
      </c>
      <c r="J1580" s="1386">
        <f t="shared" si="222"/>
        <v>0</v>
      </c>
      <c r="L1580" s="1460"/>
      <c r="M1580" s="1236">
        <v>9</v>
      </c>
      <c r="N1580" s="1240" t="s">
        <v>2442</v>
      </c>
      <c r="O1580" s="1241" t="s">
        <v>4845</v>
      </c>
      <c r="P1580" s="910">
        <f t="shared" si="223"/>
        <v>0</v>
      </c>
      <c r="Q1580" s="910">
        <f t="shared" si="224"/>
        <v>9</v>
      </c>
      <c r="R1580" s="1344">
        <f t="shared" si="225"/>
        <v>3.14</v>
      </c>
      <c r="S1580" s="1344">
        <f>(1/9)*cnst_fish!$C$7*(1/cnst_fish!$C$8)^(R1580-1)</f>
        <v>19.466957577733005</v>
      </c>
      <c r="T1580" s="1362">
        <f t="shared" si="226"/>
        <v>15.137179176217892</v>
      </c>
      <c r="W1580" s="1612"/>
      <c r="X1580" s="1612"/>
      <c r="Y1580" s="1613"/>
      <c r="Z1580" s="1614"/>
      <c r="AA1580" s="1614"/>
      <c r="AB1580" s="1615"/>
      <c r="AC1580" s="1615"/>
      <c r="AD1580" s="583"/>
      <c r="AE1580" s="583"/>
    </row>
    <row r="1581" spans="1:31" ht="12.75" customHeight="1">
      <c r="A1581" s="1384" t="s">
        <v>1229</v>
      </c>
      <c r="B1581" s="19" t="s">
        <v>3498</v>
      </c>
      <c r="C1581" s="1383">
        <v>2121</v>
      </c>
      <c r="D1581" s="1236"/>
      <c r="E1581" s="1236">
        <v>503</v>
      </c>
      <c r="F1581" s="1344">
        <f>(1/S1581)*cnst_fish!$C$6</f>
        <v>1.5455777163012491E-2</v>
      </c>
      <c r="G1581" s="719">
        <f t="shared" si="228"/>
        <v>1</v>
      </c>
      <c r="H1581" s="719">
        <f t="shared" si="228"/>
        <v>0.367192066876738</v>
      </c>
      <c r="I1581" s="719">
        <f t="shared" si="221"/>
        <v>0</v>
      </c>
      <c r="J1581" s="1386">
        <f t="shared" si="222"/>
        <v>11950.06939418113</v>
      </c>
      <c r="L1581" s="1460"/>
      <c r="M1581" s="1236">
        <v>1029</v>
      </c>
      <c r="N1581" s="1240" t="s">
        <v>2442</v>
      </c>
      <c r="O1581" s="1241" t="s">
        <v>4845</v>
      </c>
      <c r="P1581" s="910">
        <f t="shared" si="223"/>
        <v>503</v>
      </c>
      <c r="Q1581" s="910">
        <f t="shared" si="224"/>
        <v>1029</v>
      </c>
      <c r="R1581" s="1344">
        <f t="shared" si="225"/>
        <v>4.29</v>
      </c>
      <c r="S1581" s="1344">
        <f>(1/9)*cnst_fish!$C$7*(1/cnst_fish!$C$8)^(R1581-1)</f>
        <v>274.97808458126286</v>
      </c>
      <c r="T1581" s="1362">
        <f t="shared" si="226"/>
        <v>24446.563432628991</v>
      </c>
      <c r="W1581" s="1612"/>
      <c r="X1581" s="1612"/>
      <c r="Y1581" s="1613"/>
      <c r="Z1581" s="1614"/>
      <c r="AA1581" s="1614"/>
      <c r="AB1581" s="1615"/>
      <c r="AC1581" s="1615"/>
      <c r="AD1581" s="583"/>
      <c r="AE1581" s="583"/>
    </row>
    <row r="1582" spans="1:31" ht="12.75" customHeight="1">
      <c r="A1582" s="1384" t="s">
        <v>3424</v>
      </c>
      <c r="B1582" s="19" t="s">
        <v>3499</v>
      </c>
      <c r="C1582" s="1383">
        <v>2119</v>
      </c>
      <c r="D1582" s="1236"/>
      <c r="E1582" s="1236"/>
      <c r="F1582" s="1344">
        <f>(1/S1582)*cnst_fish!$C$6</f>
        <v>5.2370997702765265E-2</v>
      </c>
      <c r="G1582" s="719">
        <f t="shared" si="228"/>
        <v>1</v>
      </c>
      <c r="H1582" s="719">
        <f t="shared" si="228"/>
        <v>0.367192066876738</v>
      </c>
      <c r="I1582" s="719">
        <f t="shared" si="221"/>
        <v>0</v>
      </c>
      <c r="J1582" s="1386">
        <f t="shared" si="222"/>
        <v>0</v>
      </c>
      <c r="L1582" s="1460">
        <v>20</v>
      </c>
      <c r="M1582" s="1236"/>
      <c r="N1582" s="1240" t="s">
        <v>1806</v>
      </c>
      <c r="O1582" s="1241" t="s">
        <v>4845</v>
      </c>
      <c r="P1582" s="910">
        <f t="shared" si="223"/>
        <v>0</v>
      </c>
      <c r="Q1582" s="910">
        <f t="shared" si="224"/>
        <v>20</v>
      </c>
      <c r="R1582" s="1344">
        <f t="shared" si="225"/>
        <v>3.76</v>
      </c>
      <c r="S1582" s="1344">
        <f>(1/9)*cnst_fish!$C$7*(1/cnst_fish!$C$8)^(R1582-1)</f>
        <v>81.151786034727266</v>
      </c>
      <c r="T1582" s="1362">
        <f t="shared" si="226"/>
        <v>140.22725668155439</v>
      </c>
      <c r="W1582" s="1612"/>
      <c r="X1582" s="1612"/>
      <c r="Y1582" s="1613"/>
      <c r="Z1582" s="1614"/>
      <c r="AA1582" s="1614"/>
      <c r="AB1582" s="1615"/>
      <c r="AC1582" s="1615"/>
      <c r="AD1582" s="583"/>
      <c r="AE1582" s="583"/>
    </row>
    <row r="1583" spans="1:31" ht="12.75" customHeight="1">
      <c r="A1583" s="1384" t="s">
        <v>1230</v>
      </c>
      <c r="B1583" s="19" t="s">
        <v>1231</v>
      </c>
      <c r="C1583" s="1383">
        <v>2300</v>
      </c>
      <c r="D1583" s="1236"/>
      <c r="E1583" s="1236">
        <v>0</v>
      </c>
      <c r="F1583" s="1344">
        <f>(1/S1583)*cnst_fish!$C$6</f>
        <v>2.6247675460949162E-2</v>
      </c>
      <c r="G1583" s="719">
        <f t="shared" si="228"/>
        <v>1</v>
      </c>
      <c r="H1583" s="719">
        <f t="shared" si="228"/>
        <v>0.367192066876738</v>
      </c>
      <c r="I1583" s="719">
        <f t="shared" si="221"/>
        <v>0</v>
      </c>
      <c r="J1583" s="1386">
        <f t="shared" si="222"/>
        <v>0</v>
      </c>
      <c r="L1583" s="1460"/>
      <c r="M1583" s="1236">
        <v>0</v>
      </c>
      <c r="N1583" s="1240" t="s">
        <v>1806</v>
      </c>
      <c r="O1583" s="1241" t="s">
        <v>4845</v>
      </c>
      <c r="P1583" s="910">
        <f t="shared" si="223"/>
        <v>0</v>
      </c>
      <c r="Q1583" s="910">
        <f t="shared" si="224"/>
        <v>0</v>
      </c>
      <c r="R1583" s="1344">
        <f t="shared" si="225"/>
        <v>4.0599999999999996</v>
      </c>
      <c r="S1583" s="1344">
        <f>(1/9)*cnst_fish!$C$7*(1/cnst_fish!$C$8)^(R1583-1)</f>
        <v>161.91910046750908</v>
      </c>
      <c r="T1583" s="1362">
        <f t="shared" si="226"/>
        <v>0</v>
      </c>
      <c r="W1583" s="1612"/>
      <c r="X1583" s="1612"/>
      <c r="Y1583" s="1613"/>
      <c r="Z1583" s="1614"/>
      <c r="AA1583" s="1614"/>
      <c r="AB1583" s="1615"/>
      <c r="AC1583" s="1615"/>
      <c r="AD1583" s="583"/>
      <c r="AE1583" s="583"/>
    </row>
    <row r="1584" spans="1:31" ht="12.75" customHeight="1">
      <c r="A1584" s="1384" t="s">
        <v>2676</v>
      </c>
      <c r="B1584" s="19" t="s">
        <v>2731</v>
      </c>
      <c r="C1584" s="1383">
        <v>3098</v>
      </c>
      <c r="D1584" s="1236"/>
      <c r="E1584" s="1236"/>
      <c r="F1584" s="1344">
        <f>(1/S1584)*cnst_fish!$C$6</f>
        <v>1.6946922663690963E-2</v>
      </c>
      <c r="G1584" s="719">
        <f t="shared" si="228"/>
        <v>1</v>
      </c>
      <c r="H1584" s="719">
        <f t="shared" si="228"/>
        <v>0.367192066876738</v>
      </c>
      <c r="I1584" s="719">
        <f t="shared" si="221"/>
        <v>0</v>
      </c>
      <c r="J1584" s="1386">
        <f t="shared" si="222"/>
        <v>0</v>
      </c>
      <c r="L1584" s="1460">
        <v>2531</v>
      </c>
      <c r="M1584" s="1236">
        <v>15991</v>
      </c>
      <c r="N1584" s="1240" t="s">
        <v>1806</v>
      </c>
      <c r="O1584" s="1241" t="s">
        <v>4845</v>
      </c>
      <c r="P1584" s="910">
        <f t="shared" si="223"/>
        <v>0</v>
      </c>
      <c r="Q1584" s="910">
        <f t="shared" si="224"/>
        <v>18522</v>
      </c>
      <c r="R1584" s="1344">
        <f t="shared" si="225"/>
        <v>4.25</v>
      </c>
      <c r="S1584" s="1344">
        <f>(1/9)*cnst_fish!$C$7*(1/cnst_fish!$C$8)^(R1584-1)</f>
        <v>250.78299372343801</v>
      </c>
      <c r="T1584" s="1362">
        <f t="shared" si="226"/>
        <v>401319.55504007032</v>
      </c>
      <c r="W1584" s="1612"/>
      <c r="X1584" s="1612"/>
      <c r="Y1584" s="1613"/>
      <c r="Z1584" s="1614"/>
      <c r="AA1584" s="1614"/>
      <c r="AB1584" s="1615"/>
      <c r="AC1584" s="1615"/>
      <c r="AD1584" s="583"/>
      <c r="AE1584" s="583"/>
    </row>
    <row r="1585" spans="1:31" ht="12.75" customHeight="1">
      <c r="A1585" s="1384" t="s">
        <v>1232</v>
      </c>
      <c r="B1585" s="19" t="s">
        <v>1233</v>
      </c>
      <c r="C1585" s="1383">
        <v>3097</v>
      </c>
      <c r="D1585" s="1236"/>
      <c r="E1585" s="1236">
        <v>16</v>
      </c>
      <c r="F1585" s="1344">
        <f>(1/S1585)*cnst_fish!$C$6</f>
        <v>1.0449387811364928E-2</v>
      </c>
      <c r="G1585" s="719">
        <f t="shared" si="228"/>
        <v>1</v>
      </c>
      <c r="H1585" s="719">
        <f t="shared" si="228"/>
        <v>0.367192066876738</v>
      </c>
      <c r="I1585" s="719">
        <f t="shared" si="221"/>
        <v>0</v>
      </c>
      <c r="J1585" s="1386">
        <f t="shared" si="222"/>
        <v>562.24088684295759</v>
      </c>
      <c r="L1585" s="1460"/>
      <c r="M1585" s="1236">
        <v>7754</v>
      </c>
      <c r="N1585" s="1240" t="s">
        <v>1806</v>
      </c>
      <c r="O1585" s="1241" t="s">
        <v>4845</v>
      </c>
      <c r="P1585" s="910">
        <f t="shared" si="223"/>
        <v>16</v>
      </c>
      <c r="Q1585" s="910">
        <f t="shared" si="224"/>
        <v>7754</v>
      </c>
      <c r="R1585" s="1344">
        <f t="shared" si="225"/>
        <v>4.46</v>
      </c>
      <c r="S1585" s="1344">
        <f>(1/9)*cnst_fish!$C$7*(1/cnst_fish!$C$8)^(R1585-1)</f>
        <v>406.72239146657279</v>
      </c>
      <c r="T1585" s="1362">
        <f t="shared" si="226"/>
        <v>272475.98978626833</v>
      </c>
      <c r="W1585" s="1612"/>
      <c r="X1585" s="1612"/>
      <c r="Y1585" s="1613"/>
      <c r="Z1585" s="1614"/>
      <c r="AA1585" s="1614"/>
      <c r="AB1585" s="1615"/>
      <c r="AC1585" s="1615"/>
      <c r="AD1585" s="583"/>
      <c r="AE1585" s="583"/>
    </row>
    <row r="1586" spans="1:31" ht="12.75" customHeight="1">
      <c r="A1586" s="1384" t="s">
        <v>6830</v>
      </c>
      <c r="B1586" s="19" t="s">
        <v>6829</v>
      </c>
      <c r="C1586" s="1383">
        <v>18447</v>
      </c>
      <c r="D1586" s="1236"/>
      <c r="E1586" s="1236"/>
      <c r="F1586" s="1344">
        <f>(1/S1586)*cnst_fish!$C$6</f>
        <v>3.0136363636363641</v>
      </c>
      <c r="G1586" s="719">
        <f t="shared" si="228"/>
        <v>1</v>
      </c>
      <c r="H1586" s="719">
        <f t="shared" si="228"/>
        <v>0.367192066876738</v>
      </c>
      <c r="I1586" s="719">
        <f t="shared" si="221"/>
        <v>0</v>
      </c>
      <c r="J1586" s="1386">
        <f t="shared" si="222"/>
        <v>0</v>
      </c>
      <c r="L1586" s="1460">
        <v>34153</v>
      </c>
      <c r="M1586" s="1236"/>
      <c r="N1586" s="1240" t="s">
        <v>1808</v>
      </c>
      <c r="O1586" s="1241" t="s">
        <v>4831</v>
      </c>
      <c r="P1586" s="910">
        <f t="shared" si="223"/>
        <v>0</v>
      </c>
      <c r="Q1586" s="910">
        <f t="shared" si="224"/>
        <v>34153</v>
      </c>
      <c r="R1586" s="1344">
        <f t="shared" si="225"/>
        <v>2</v>
      </c>
      <c r="S1586" s="1344">
        <f>(1/9)*cnst_fish!$C$7*(1/cnst_fish!$C$8)^(R1586-1)</f>
        <v>1.4102564102564099</v>
      </c>
      <c r="T1586" s="1362">
        <f t="shared" si="226"/>
        <v>4161.3217876456574</v>
      </c>
      <c r="W1586" s="1612"/>
      <c r="X1586" s="1612"/>
      <c r="Y1586" s="1613"/>
      <c r="Z1586" s="1614"/>
      <c r="AA1586" s="1614"/>
      <c r="AB1586" s="1615"/>
      <c r="AC1586" s="1615"/>
      <c r="AD1586" s="583"/>
      <c r="AE1586" s="583"/>
    </row>
    <row r="1587" spans="1:31" ht="12.75" customHeight="1">
      <c r="A1587" s="1585" t="s">
        <v>8587</v>
      </c>
      <c r="B1587" s="1586" t="s">
        <v>8588</v>
      </c>
      <c r="C1587" s="1383">
        <v>2472</v>
      </c>
      <c r="D1587" s="1236"/>
      <c r="E1587" s="1236"/>
      <c r="F1587" s="1344">
        <f>(1/S1587)*cnst_fish!$C$6</f>
        <v>9.5299549485983424E-3</v>
      </c>
      <c r="G1587" s="719">
        <f t="shared" si="228"/>
        <v>1</v>
      </c>
      <c r="H1587" s="719">
        <f t="shared" si="228"/>
        <v>0.367192066876738</v>
      </c>
      <c r="I1587" s="719">
        <f t="shared" si="221"/>
        <v>0</v>
      </c>
      <c r="J1587" s="1386">
        <f t="shared" si="222"/>
        <v>0</v>
      </c>
      <c r="L1587" s="1460">
        <v>17</v>
      </c>
      <c r="M1587" s="1236"/>
      <c r="N1587" s="1240" t="s">
        <v>2439</v>
      </c>
      <c r="O1587" s="1241" t="s">
        <v>4859</v>
      </c>
      <c r="P1587" s="910">
        <f t="shared" si="223"/>
        <v>0</v>
      </c>
      <c r="Q1587" s="910">
        <f t="shared" si="224"/>
        <v>17</v>
      </c>
      <c r="R1587" s="1344">
        <f t="shared" si="225"/>
        <v>4.5</v>
      </c>
      <c r="S1587" s="1344">
        <f>(1/9)*cnst_fish!$C$7*(1/cnst_fish!$C$8)^(R1587-1)</f>
        <v>445.96223412630997</v>
      </c>
      <c r="T1587" s="1362">
        <f t="shared" si="226"/>
        <v>655.01517799122996</v>
      </c>
      <c r="W1587" s="1616"/>
      <c r="X1587" s="1616"/>
      <c r="Y1587" s="1613"/>
      <c r="Z1587" s="1614"/>
      <c r="AA1587" s="1614"/>
      <c r="AB1587" s="1615"/>
      <c r="AC1587" s="1615"/>
      <c r="AD1587" s="583"/>
      <c r="AE1587" s="583"/>
    </row>
    <row r="1588" spans="1:31" ht="12.75" customHeight="1">
      <c r="A1588" s="1384" t="s">
        <v>1291</v>
      </c>
      <c r="B1588" s="19" t="s">
        <v>2535</v>
      </c>
      <c r="C1588" s="1383">
        <v>3275</v>
      </c>
      <c r="D1588" s="1236">
        <v>19</v>
      </c>
      <c r="E1588" s="1236"/>
      <c r="F1588" s="1344">
        <f>(1/S1588)*cnst_fish!$C$6</f>
        <v>9.5299549485983424E-3</v>
      </c>
      <c r="G1588" s="719">
        <f t="shared" ref="G1588:H1607" si="229">G$7</f>
        <v>1</v>
      </c>
      <c r="H1588" s="719">
        <f t="shared" si="229"/>
        <v>0.367192066876738</v>
      </c>
      <c r="I1588" s="719">
        <f t="shared" si="221"/>
        <v>732.07578716666876</v>
      </c>
      <c r="J1588" s="1386">
        <f t="shared" si="222"/>
        <v>0</v>
      </c>
      <c r="L1588" s="1460">
        <v>39870</v>
      </c>
      <c r="M1588" s="1236"/>
      <c r="N1588" s="1240" t="s">
        <v>2439</v>
      </c>
      <c r="O1588" s="1241" t="s">
        <v>4859</v>
      </c>
      <c r="P1588" s="910">
        <f t="shared" si="223"/>
        <v>19</v>
      </c>
      <c r="Q1588" s="910">
        <f t="shared" si="224"/>
        <v>39870</v>
      </c>
      <c r="R1588" s="1344">
        <f t="shared" si="225"/>
        <v>4.5</v>
      </c>
      <c r="S1588" s="1344">
        <f>(1/9)*cnst_fish!$C$7*(1/cnst_fish!$C$8)^(R1588-1)</f>
        <v>445.96223412630997</v>
      </c>
      <c r="T1588" s="1362">
        <f t="shared" si="226"/>
        <v>1536203.243912373</v>
      </c>
      <c r="W1588" s="1612"/>
      <c r="X1588" s="1612"/>
      <c r="Y1588" s="1613"/>
      <c r="Z1588" s="1614"/>
      <c r="AA1588" s="1614"/>
      <c r="AB1588" s="1615"/>
      <c r="AC1588" s="1615"/>
      <c r="AD1588" s="583"/>
      <c r="AE1588" s="583"/>
    </row>
    <row r="1589" spans="1:31" ht="12.75" customHeight="1">
      <c r="A1589" s="1384" t="s">
        <v>857</v>
      </c>
      <c r="B1589" s="19" t="s">
        <v>2536</v>
      </c>
      <c r="C1589" s="1383">
        <v>3274</v>
      </c>
      <c r="D1589" s="1236"/>
      <c r="E1589" s="1236"/>
      <c r="F1589" s="1344">
        <f>(1/S1589)*cnst_fish!$C$6</f>
        <v>1.8581931192461935E-2</v>
      </c>
      <c r="G1589" s="719">
        <f t="shared" si="229"/>
        <v>1</v>
      </c>
      <c r="H1589" s="719">
        <f t="shared" si="229"/>
        <v>0.367192066876738</v>
      </c>
      <c r="I1589" s="719">
        <f t="shared" si="221"/>
        <v>0</v>
      </c>
      <c r="J1589" s="1386">
        <f t="shared" si="222"/>
        <v>0</v>
      </c>
      <c r="L1589" s="1460">
        <v>4126</v>
      </c>
      <c r="M1589" s="1236"/>
      <c r="N1589" s="1240" t="s">
        <v>2439</v>
      </c>
      <c r="O1589" s="1241" t="s">
        <v>4859</v>
      </c>
      <c r="P1589" s="910">
        <f t="shared" si="223"/>
        <v>0</v>
      </c>
      <c r="Q1589" s="910">
        <f t="shared" si="224"/>
        <v>4126</v>
      </c>
      <c r="R1589" s="1344">
        <f t="shared" si="225"/>
        <v>4.21</v>
      </c>
      <c r="S1589" s="1344">
        <f>(1/9)*cnst_fish!$C$7*(1/cnst_fish!$C$8)^(R1589-1)</f>
        <v>228.71680860190045</v>
      </c>
      <c r="T1589" s="1362">
        <f t="shared" si="226"/>
        <v>81532.67021826125</v>
      </c>
      <c r="W1589" s="1612"/>
      <c r="X1589" s="1612"/>
      <c r="Y1589" s="1613"/>
      <c r="Z1589" s="1614"/>
      <c r="AA1589" s="1614"/>
      <c r="AB1589" s="1615"/>
      <c r="AC1589" s="1615"/>
      <c r="AD1589" s="583"/>
      <c r="AE1589" s="583"/>
    </row>
    <row r="1590" spans="1:31" ht="12.75" customHeight="1">
      <c r="A1590" s="1384" t="s">
        <v>961</v>
      </c>
      <c r="B1590" s="19" t="s">
        <v>2537</v>
      </c>
      <c r="C1590" s="1383">
        <v>2471</v>
      </c>
      <c r="D1590" s="1236">
        <v>19</v>
      </c>
      <c r="E1590" s="1236"/>
      <c r="F1590" s="1344">
        <f>(1/S1590)*cnst_fish!$C$6</f>
        <v>9.5299549485983424E-3</v>
      </c>
      <c r="G1590" s="719">
        <f t="shared" si="229"/>
        <v>1</v>
      </c>
      <c r="H1590" s="719">
        <f t="shared" si="229"/>
        <v>0.367192066876738</v>
      </c>
      <c r="I1590" s="719">
        <f t="shared" si="221"/>
        <v>732.07578716666876</v>
      </c>
      <c r="J1590" s="1386">
        <f t="shared" si="222"/>
        <v>0</v>
      </c>
      <c r="L1590" s="1460">
        <v>29059</v>
      </c>
      <c r="M1590" s="1236"/>
      <c r="N1590" s="1240" t="s">
        <v>2439</v>
      </c>
      <c r="O1590" s="1241" t="s">
        <v>4859</v>
      </c>
      <c r="P1590" s="910">
        <f t="shared" si="223"/>
        <v>19</v>
      </c>
      <c r="Q1590" s="910">
        <f t="shared" si="224"/>
        <v>29059</v>
      </c>
      <c r="R1590" s="1344">
        <f t="shared" si="225"/>
        <v>4.5</v>
      </c>
      <c r="S1590" s="1344">
        <f>(1/9)*cnst_fish!$C$7*(1/cnst_fish!$C$8)^(R1590-1)</f>
        <v>445.96223412630997</v>
      </c>
      <c r="T1590" s="1362">
        <f t="shared" si="226"/>
        <v>1119652.1210145382</v>
      </c>
      <c r="W1590" s="1612"/>
      <c r="X1590" s="1612"/>
      <c r="Y1590" s="1613"/>
      <c r="Z1590" s="1614"/>
      <c r="AA1590" s="1614"/>
      <c r="AB1590" s="1615"/>
      <c r="AC1590" s="1615"/>
      <c r="AD1590" s="583"/>
      <c r="AE1590" s="583"/>
    </row>
    <row r="1591" spans="1:31" ht="12.75" customHeight="1">
      <c r="A1591" s="1384" t="s">
        <v>4103</v>
      </c>
      <c r="B1591" s="19" t="s">
        <v>987</v>
      </c>
      <c r="C1591" s="1383">
        <v>2910</v>
      </c>
      <c r="D1591" s="1236"/>
      <c r="E1591" s="1236"/>
      <c r="F1591" s="1344">
        <f>(1/S1591)*cnst_fish!$C$6</f>
        <v>0.26859062362848796</v>
      </c>
      <c r="G1591" s="719">
        <f t="shared" si="229"/>
        <v>1</v>
      </c>
      <c r="H1591" s="719">
        <f t="shared" si="229"/>
        <v>0.367192066876738</v>
      </c>
      <c r="I1591" s="719">
        <f t="shared" si="221"/>
        <v>0</v>
      </c>
      <c r="J1591" s="1386">
        <f t="shared" si="222"/>
        <v>0</v>
      </c>
      <c r="L1591" s="1460">
        <v>1001020</v>
      </c>
      <c r="M1591" s="1236"/>
      <c r="N1591" s="1240" t="s">
        <v>2440</v>
      </c>
      <c r="O1591" s="1241" t="s">
        <v>4859</v>
      </c>
      <c r="P1591" s="910">
        <f t="shared" si="223"/>
        <v>0</v>
      </c>
      <c r="Q1591" s="910">
        <f t="shared" si="224"/>
        <v>1001020</v>
      </c>
      <c r="R1591" s="1344">
        <f t="shared" si="225"/>
        <v>3.05</v>
      </c>
      <c r="S1591" s="1344">
        <f>(1/9)*cnst_fish!$C$7*(1/cnst_fish!$C$8)^(R1591-1)</f>
        <v>15.823337176053327</v>
      </c>
      <c r="T1591" s="1362">
        <f t="shared" si="226"/>
        <v>1368501.244828885</v>
      </c>
      <c r="W1591" s="1612"/>
      <c r="X1591" s="1612"/>
      <c r="Y1591" s="1613"/>
      <c r="Z1591" s="1614"/>
      <c r="AA1591" s="1614"/>
      <c r="AB1591" s="1615"/>
      <c r="AC1591" s="1615"/>
      <c r="AD1591" s="583"/>
      <c r="AE1591" s="583"/>
    </row>
    <row r="1592" spans="1:31" ht="12.75" customHeight="1">
      <c r="A1592" s="1384" t="s">
        <v>3640</v>
      </c>
      <c r="B1592" s="19" t="s">
        <v>5114</v>
      </c>
      <c r="C1592" s="1383">
        <v>2088</v>
      </c>
      <c r="D1592" s="1236">
        <v>298</v>
      </c>
      <c r="E1592" s="1236"/>
      <c r="F1592" s="1344">
        <f>(1/S1592)*cnst_fish!$C$6</f>
        <v>0.11997502458044032</v>
      </c>
      <c r="G1592" s="719">
        <f t="shared" si="229"/>
        <v>1</v>
      </c>
      <c r="H1592" s="719">
        <f t="shared" si="229"/>
        <v>0.367192066876738</v>
      </c>
      <c r="I1592" s="719">
        <f t="shared" si="221"/>
        <v>912.05012303125068</v>
      </c>
      <c r="J1592" s="1386">
        <f t="shared" si="222"/>
        <v>0</v>
      </c>
      <c r="L1592" s="1460">
        <v>267876</v>
      </c>
      <c r="M1592" s="1236"/>
      <c r="N1592" s="1240" t="s">
        <v>2440</v>
      </c>
      <c r="O1592" s="1241" t="s">
        <v>4859</v>
      </c>
      <c r="P1592" s="910">
        <f t="shared" si="223"/>
        <v>298</v>
      </c>
      <c r="Q1592" s="910">
        <f t="shared" si="224"/>
        <v>267876</v>
      </c>
      <c r="R1592" s="1344">
        <f t="shared" si="225"/>
        <v>3.4</v>
      </c>
      <c r="S1592" s="1344">
        <f>(1/9)*cnst_fish!$C$7*(1/cnst_fish!$C$8)^(R1592-1)</f>
        <v>35.424039418724846</v>
      </c>
      <c r="T1592" s="1362">
        <f t="shared" si="226"/>
        <v>819853.48576214525</v>
      </c>
      <c r="W1592" s="1612"/>
      <c r="X1592" s="1612"/>
      <c r="Y1592" s="1613"/>
      <c r="Z1592" s="1614"/>
      <c r="AA1592" s="1614"/>
      <c r="AB1592" s="1615"/>
      <c r="AC1592" s="1615"/>
      <c r="AD1592" s="583"/>
      <c r="AE1592" s="583"/>
    </row>
    <row r="1593" spans="1:31" ht="12.75" customHeight="1">
      <c r="A1593" s="1384" t="s">
        <v>3953</v>
      </c>
      <c r="B1593" s="19" t="s">
        <v>5115</v>
      </c>
      <c r="C1593" s="1383">
        <v>2090</v>
      </c>
      <c r="D1593" s="1236"/>
      <c r="E1593" s="1236"/>
      <c r="F1593" s="1344">
        <f>(1/S1593)*cnst_fish!$C$6</f>
        <v>0.23938164528281752</v>
      </c>
      <c r="G1593" s="719">
        <f t="shared" si="229"/>
        <v>1</v>
      </c>
      <c r="H1593" s="719">
        <f t="shared" si="229"/>
        <v>0.367192066876738</v>
      </c>
      <c r="I1593" s="719">
        <f t="shared" si="221"/>
        <v>0</v>
      </c>
      <c r="J1593" s="1386">
        <f t="shared" si="222"/>
        <v>0</v>
      </c>
      <c r="L1593" s="1460">
        <v>98315</v>
      </c>
      <c r="M1593" s="1236"/>
      <c r="N1593" s="1240" t="s">
        <v>2440</v>
      </c>
      <c r="O1593" s="1241" t="s">
        <v>4859</v>
      </c>
      <c r="P1593" s="910">
        <f t="shared" si="223"/>
        <v>0</v>
      </c>
      <c r="Q1593" s="910">
        <f t="shared" si="224"/>
        <v>98315</v>
      </c>
      <c r="R1593" s="1344">
        <f t="shared" si="225"/>
        <v>3.1</v>
      </c>
      <c r="S1593" s="1344">
        <f>(1/9)*cnst_fish!$C$7*(1/cnst_fish!$C$8)^(R1593-1)</f>
        <v>17.754076320174157</v>
      </c>
      <c r="T1593" s="1362">
        <f t="shared" si="226"/>
        <v>150807.25179382722</v>
      </c>
      <c r="W1593" s="1612"/>
      <c r="X1593" s="1612"/>
      <c r="Y1593" s="1613"/>
      <c r="Z1593" s="1614"/>
      <c r="AA1593" s="1614"/>
      <c r="AB1593" s="1615"/>
      <c r="AC1593" s="1615"/>
      <c r="AD1593" s="583"/>
      <c r="AE1593" s="583"/>
    </row>
    <row r="1594" spans="1:31" ht="12.75" customHeight="1">
      <c r="A1594" s="1384" t="s">
        <v>3243</v>
      </c>
      <c r="B1594" s="19" t="s">
        <v>4160</v>
      </c>
      <c r="C1594" s="1383">
        <v>2085</v>
      </c>
      <c r="D1594" s="1236"/>
      <c r="E1594" s="1236"/>
      <c r="F1594" s="1344">
        <f>(1/S1594)*cnst_fish!$C$6</f>
        <v>0.42568745094767507</v>
      </c>
      <c r="G1594" s="719">
        <f t="shared" si="229"/>
        <v>1</v>
      </c>
      <c r="H1594" s="719">
        <f t="shared" si="229"/>
        <v>0.367192066876738</v>
      </c>
      <c r="I1594" s="719">
        <f t="shared" si="221"/>
        <v>0</v>
      </c>
      <c r="J1594" s="1386">
        <f t="shared" si="222"/>
        <v>0</v>
      </c>
      <c r="L1594" s="1460">
        <v>175883</v>
      </c>
      <c r="M1594" s="1236"/>
      <c r="N1594" s="1240" t="s">
        <v>2440</v>
      </c>
      <c r="O1594" s="1241" t="s">
        <v>4859</v>
      </c>
      <c r="P1594" s="910">
        <f t="shared" si="223"/>
        <v>0</v>
      </c>
      <c r="Q1594" s="910">
        <f t="shared" si="224"/>
        <v>175883</v>
      </c>
      <c r="R1594" s="1344">
        <f t="shared" si="225"/>
        <v>2.85</v>
      </c>
      <c r="S1594" s="1344">
        <f>(1/9)*cnst_fish!$C$7*(1/cnst_fish!$C$8)^(R1594-1)</f>
        <v>9.9838508054173385</v>
      </c>
      <c r="T1594" s="1362">
        <f t="shared" si="226"/>
        <v>151714.22637596086</v>
      </c>
      <c r="W1594" s="1612"/>
      <c r="X1594" s="1612"/>
      <c r="Y1594" s="1613"/>
      <c r="Z1594" s="1614"/>
      <c r="AA1594" s="1614"/>
      <c r="AB1594" s="1615"/>
      <c r="AC1594" s="1615"/>
      <c r="AD1594" s="583"/>
      <c r="AE1594" s="583"/>
    </row>
    <row r="1595" spans="1:31" ht="12.75" customHeight="1">
      <c r="A1595" s="1384" t="s">
        <v>5119</v>
      </c>
      <c r="B1595" s="19" t="s">
        <v>2619</v>
      </c>
      <c r="C1595" s="1383">
        <v>2892</v>
      </c>
      <c r="D1595" s="1236"/>
      <c r="E1595" s="1236"/>
      <c r="F1595" s="1344">
        <f>(1/S1595)*cnst_fish!$C$6</f>
        <v>0.99790878883162693</v>
      </c>
      <c r="G1595" s="719">
        <f t="shared" si="229"/>
        <v>1</v>
      </c>
      <c r="H1595" s="719">
        <f t="shared" si="229"/>
        <v>0.367192066876738</v>
      </c>
      <c r="I1595" s="719">
        <f t="shared" si="221"/>
        <v>0</v>
      </c>
      <c r="J1595" s="1386">
        <f t="shared" si="222"/>
        <v>0</v>
      </c>
      <c r="L1595" s="1460">
        <v>45740</v>
      </c>
      <c r="M1595" s="1236"/>
      <c r="N1595" s="1240" t="s">
        <v>2440</v>
      </c>
      <c r="O1595" s="1241" t="s">
        <v>4859</v>
      </c>
      <c r="P1595" s="910">
        <f t="shared" si="223"/>
        <v>0</v>
      </c>
      <c r="Q1595" s="910">
        <f t="shared" si="224"/>
        <v>45740</v>
      </c>
      <c r="R1595" s="1344">
        <f t="shared" si="225"/>
        <v>2.48</v>
      </c>
      <c r="S1595" s="1344">
        <f>(1/9)*cnst_fish!$C$7*(1/cnst_fish!$C$8)^(R1595-1)</f>
        <v>4.2589062723618172</v>
      </c>
      <c r="T1595" s="1362">
        <f t="shared" si="226"/>
        <v>16830.561396905196</v>
      </c>
      <c r="W1595" s="1612"/>
      <c r="X1595" s="1612"/>
      <c r="Y1595" s="1613"/>
      <c r="Z1595" s="1614"/>
      <c r="AA1595" s="1614"/>
      <c r="AB1595" s="1615"/>
      <c r="AC1595" s="1615"/>
      <c r="AD1595" s="583"/>
      <c r="AE1595" s="583"/>
    </row>
    <row r="1596" spans="1:31" ht="12.75" customHeight="1">
      <c r="A1596" s="1384" t="s">
        <v>1479</v>
      </c>
      <c r="B1596" s="19" t="s">
        <v>2620</v>
      </c>
      <c r="C1596" s="1383">
        <v>2086</v>
      </c>
      <c r="D1596" s="1236"/>
      <c r="E1596" s="1236"/>
      <c r="F1596" s="1344">
        <f>(1/S1596)*cnst_fish!$C$6</f>
        <v>1.172440596050945</v>
      </c>
      <c r="G1596" s="719">
        <f t="shared" si="229"/>
        <v>1</v>
      </c>
      <c r="H1596" s="719">
        <f t="shared" si="229"/>
        <v>0.367192066876738</v>
      </c>
      <c r="I1596" s="719">
        <f t="shared" si="221"/>
        <v>0</v>
      </c>
      <c r="J1596" s="1386">
        <f t="shared" si="222"/>
        <v>0</v>
      </c>
      <c r="L1596" s="1460">
        <v>548205</v>
      </c>
      <c r="M1596" s="1236"/>
      <c r="N1596" s="1240" t="s">
        <v>2440</v>
      </c>
      <c r="O1596" s="1241" t="s">
        <v>4859</v>
      </c>
      <c r="P1596" s="910">
        <f t="shared" si="223"/>
        <v>0</v>
      </c>
      <c r="Q1596" s="910">
        <f t="shared" si="224"/>
        <v>548205</v>
      </c>
      <c r="R1596" s="1344">
        <f t="shared" si="225"/>
        <v>2.41</v>
      </c>
      <c r="S1596" s="1344">
        <f>(1/9)*cnst_fish!$C$7*(1/cnst_fish!$C$8)^(R1596-1)</f>
        <v>3.6249171295458358</v>
      </c>
      <c r="T1596" s="1362">
        <f t="shared" si="226"/>
        <v>171690.17151075805</v>
      </c>
      <c r="W1596" s="1612"/>
      <c r="X1596" s="1612"/>
      <c r="Y1596" s="1613"/>
      <c r="Z1596" s="1614"/>
      <c r="AA1596" s="1614"/>
      <c r="AB1596" s="1615"/>
      <c r="AC1596" s="1615"/>
      <c r="AD1596" s="583"/>
      <c r="AE1596" s="583"/>
    </row>
    <row r="1597" spans="1:31" ht="12.75" customHeight="1">
      <c r="A1597" s="1384" t="s">
        <v>188</v>
      </c>
      <c r="B1597" s="19" t="s">
        <v>2621</v>
      </c>
      <c r="C1597" s="1383">
        <v>2089</v>
      </c>
      <c r="D1597" s="1236"/>
      <c r="E1597" s="1236"/>
      <c r="F1597" s="1344">
        <f>(1/S1597)*cnst_fish!$C$6</f>
        <v>0.19014759972289441</v>
      </c>
      <c r="G1597" s="719">
        <f t="shared" si="229"/>
        <v>1</v>
      </c>
      <c r="H1597" s="719">
        <f t="shared" si="229"/>
        <v>0.367192066876738</v>
      </c>
      <c r="I1597" s="719">
        <f t="shared" si="221"/>
        <v>0</v>
      </c>
      <c r="J1597" s="1386">
        <f t="shared" si="222"/>
        <v>0</v>
      </c>
      <c r="L1597" s="1460">
        <v>230229</v>
      </c>
      <c r="M1597" s="1236"/>
      <c r="N1597" s="1240" t="s">
        <v>2440</v>
      </c>
      <c r="O1597" s="1241" t="s">
        <v>4859</v>
      </c>
      <c r="P1597" s="910">
        <f t="shared" si="223"/>
        <v>0</v>
      </c>
      <c r="Q1597" s="910">
        <f t="shared" si="224"/>
        <v>230229</v>
      </c>
      <c r="R1597" s="1344">
        <f t="shared" si="225"/>
        <v>3.2</v>
      </c>
      <c r="S1597" s="1344">
        <f>(1/9)*cnst_fish!$C$7*(1/cnst_fish!$C$8)^(R1597-1)</f>
        <v>22.351057842400341</v>
      </c>
      <c r="T1597" s="1362">
        <f t="shared" si="226"/>
        <v>444592.84518007946</v>
      </c>
      <c r="W1597" s="1612"/>
      <c r="X1597" s="1612"/>
      <c r="Y1597" s="1613"/>
      <c r="Z1597" s="1614"/>
      <c r="AA1597" s="1614"/>
      <c r="AB1597" s="1615"/>
      <c r="AC1597" s="1615"/>
      <c r="AD1597" s="583"/>
      <c r="AE1597" s="583"/>
    </row>
    <row r="1598" spans="1:31" ht="12.75" customHeight="1">
      <c r="A1598" s="1384" t="s">
        <v>1417</v>
      </c>
      <c r="B1598" s="19" t="s">
        <v>3630</v>
      </c>
      <c r="C1598" s="1383">
        <v>2084</v>
      </c>
      <c r="D1598" s="1236"/>
      <c r="E1598" s="1236"/>
      <c r="F1598" s="1344">
        <f>(1/S1598)*cnst_fish!$C$6</f>
        <v>0.45613232168782086</v>
      </c>
      <c r="G1598" s="719">
        <f t="shared" si="229"/>
        <v>1</v>
      </c>
      <c r="H1598" s="719">
        <f t="shared" si="229"/>
        <v>0.367192066876738</v>
      </c>
      <c r="I1598" s="719">
        <f t="shared" si="221"/>
        <v>0</v>
      </c>
      <c r="J1598" s="1386">
        <f t="shared" si="222"/>
        <v>0</v>
      </c>
      <c r="L1598" s="1460">
        <v>907032</v>
      </c>
      <c r="M1598" s="1236"/>
      <c r="N1598" s="1240" t="s">
        <v>2440</v>
      </c>
      <c r="O1598" s="1241" t="s">
        <v>4859</v>
      </c>
      <c r="P1598" s="910">
        <f t="shared" si="223"/>
        <v>0</v>
      </c>
      <c r="Q1598" s="910">
        <f t="shared" si="224"/>
        <v>907032</v>
      </c>
      <c r="R1598" s="1344">
        <f t="shared" si="225"/>
        <v>2.82</v>
      </c>
      <c r="S1598" s="1344">
        <f>(1/9)*cnst_fish!$C$7*(1/cnst_fish!$C$8)^(R1598-1)</f>
        <v>9.3174717026712273</v>
      </c>
      <c r="T1598" s="1362">
        <f t="shared" si="226"/>
        <v>730171.7921916655</v>
      </c>
      <c r="W1598" s="1612"/>
      <c r="X1598" s="1612"/>
      <c r="Y1598" s="1613"/>
      <c r="Z1598" s="1614"/>
      <c r="AA1598" s="1614"/>
      <c r="AB1598" s="1615"/>
      <c r="AC1598" s="1615"/>
      <c r="AD1598" s="583"/>
      <c r="AE1598" s="583"/>
    </row>
    <row r="1599" spans="1:31" ht="12.75" customHeight="1">
      <c r="A1599" s="1384" t="s">
        <v>2994</v>
      </c>
      <c r="B1599" s="19" t="s">
        <v>3631</v>
      </c>
      <c r="C1599" s="1383">
        <v>2891</v>
      </c>
      <c r="D1599" s="1236"/>
      <c r="E1599" s="1236"/>
      <c r="F1599" s="1344">
        <f>(1/S1599)*cnst_fish!$C$6</f>
        <v>0.22860769647470386</v>
      </c>
      <c r="G1599" s="719">
        <f t="shared" si="229"/>
        <v>1</v>
      </c>
      <c r="H1599" s="719">
        <f t="shared" si="229"/>
        <v>0.367192066876738</v>
      </c>
      <c r="I1599" s="719">
        <f t="shared" si="221"/>
        <v>0</v>
      </c>
      <c r="J1599" s="1386">
        <f t="shared" si="222"/>
        <v>0</v>
      </c>
      <c r="L1599" s="1460">
        <v>891</v>
      </c>
      <c r="M1599" s="1236"/>
      <c r="N1599" s="1240" t="s">
        <v>2440</v>
      </c>
      <c r="O1599" s="1241" t="s">
        <v>4859</v>
      </c>
      <c r="P1599" s="910">
        <f t="shared" si="223"/>
        <v>0</v>
      </c>
      <c r="Q1599" s="910">
        <f t="shared" si="224"/>
        <v>891</v>
      </c>
      <c r="R1599" s="1344">
        <f t="shared" si="225"/>
        <v>3.12</v>
      </c>
      <c r="S1599" s="1344">
        <f>(1/9)*cnst_fish!$C$7*(1/cnst_fish!$C$8)^(R1599-1)</f>
        <v>18.590800159128833</v>
      </c>
      <c r="T1599" s="1362">
        <f t="shared" si="226"/>
        <v>1431.1334947700491</v>
      </c>
      <c r="W1599" s="1612"/>
      <c r="X1599" s="1612"/>
      <c r="Y1599" s="1613"/>
      <c r="Z1599" s="1614"/>
      <c r="AA1599" s="1614"/>
      <c r="AB1599" s="1615"/>
      <c r="AC1599" s="1615"/>
      <c r="AD1599" s="583"/>
      <c r="AE1599" s="583"/>
    </row>
    <row r="1600" spans="1:31" ht="12.75" customHeight="1">
      <c r="A1600" s="1384" t="s">
        <v>2212</v>
      </c>
      <c r="B1600" s="19" t="s">
        <v>3632</v>
      </c>
      <c r="C1600" s="1383">
        <v>2894</v>
      </c>
      <c r="D1600" s="1236">
        <v>62759</v>
      </c>
      <c r="E1600" s="1236"/>
      <c r="F1600" s="1344">
        <f>(1/S1600)*cnst_fish!$C$6</f>
        <v>1.1196720767792059</v>
      </c>
      <c r="G1600" s="719">
        <f t="shared" si="229"/>
        <v>1</v>
      </c>
      <c r="H1600" s="719">
        <f t="shared" si="229"/>
        <v>0.367192066876738</v>
      </c>
      <c r="I1600" s="719">
        <f t="shared" si="221"/>
        <v>20581.567945684768</v>
      </c>
      <c r="J1600" s="1386">
        <f t="shared" si="222"/>
        <v>0</v>
      </c>
      <c r="L1600" s="1460">
        <v>255291</v>
      </c>
      <c r="M1600" s="1236"/>
      <c r="N1600" s="1240" t="s">
        <v>2440</v>
      </c>
      <c r="O1600" s="1241" t="s">
        <v>4859</v>
      </c>
      <c r="P1600" s="910">
        <f t="shared" si="223"/>
        <v>62759</v>
      </c>
      <c r="Q1600" s="910">
        <f t="shared" si="224"/>
        <v>255291</v>
      </c>
      <c r="R1600" s="1344">
        <f t="shared" si="225"/>
        <v>2.4300000000000002</v>
      </c>
      <c r="S1600" s="1344">
        <f>(1/9)*cnst_fish!$C$7*(1/cnst_fish!$C$8)^(R1600-1)</f>
        <v>3.7957542106661646</v>
      </c>
      <c r="T1600" s="1362">
        <f t="shared" si="226"/>
        <v>83721.682347102571</v>
      </c>
      <c r="W1600" s="1612"/>
      <c r="X1600" s="1612"/>
      <c r="Y1600" s="1613"/>
      <c r="Z1600" s="1614"/>
      <c r="AA1600" s="1614"/>
      <c r="AB1600" s="1615"/>
      <c r="AC1600" s="1615"/>
      <c r="AD1600" s="583"/>
      <c r="AE1600" s="583"/>
    </row>
    <row r="1601" spans="1:31" ht="12.75" customHeight="1">
      <c r="A1601" s="1384" t="s">
        <v>508</v>
      </c>
      <c r="B1601" s="19" t="s">
        <v>3633</v>
      </c>
      <c r="C1601" s="1383">
        <v>2893</v>
      </c>
      <c r="D1601" s="1236"/>
      <c r="E1601" s="1236"/>
      <c r="F1601" s="1344">
        <f>(1/S1601)*cnst_fish!$C$6</f>
        <v>1.1196720767792059</v>
      </c>
      <c r="G1601" s="719">
        <f t="shared" si="229"/>
        <v>1</v>
      </c>
      <c r="H1601" s="719">
        <f t="shared" si="229"/>
        <v>0.367192066876738</v>
      </c>
      <c r="I1601" s="719">
        <f t="shared" si="221"/>
        <v>0</v>
      </c>
      <c r="J1601" s="1386">
        <f t="shared" si="222"/>
        <v>0</v>
      </c>
      <c r="L1601" s="1460">
        <v>363730</v>
      </c>
      <c r="M1601" s="1236"/>
      <c r="N1601" s="1240" t="s">
        <v>2440</v>
      </c>
      <c r="O1601" s="1241" t="s">
        <v>4859</v>
      </c>
      <c r="P1601" s="910">
        <f t="shared" si="223"/>
        <v>0</v>
      </c>
      <c r="Q1601" s="910">
        <f t="shared" si="224"/>
        <v>363730</v>
      </c>
      <c r="R1601" s="1344">
        <f t="shared" si="225"/>
        <v>2.4300000000000002</v>
      </c>
      <c r="S1601" s="1344">
        <f>(1/9)*cnst_fish!$C$7*(1/cnst_fish!$C$8)^(R1601-1)</f>
        <v>3.7957542106661646</v>
      </c>
      <c r="T1601" s="1362">
        <f t="shared" si="226"/>
        <v>119283.82716238183</v>
      </c>
      <c r="W1601" s="1612"/>
      <c r="X1601" s="1612"/>
      <c r="Y1601" s="1613"/>
      <c r="Z1601" s="1614"/>
      <c r="AA1601" s="1614"/>
      <c r="AB1601" s="1615"/>
      <c r="AC1601" s="1615"/>
      <c r="AD1601" s="583"/>
      <c r="AE1601" s="583"/>
    </row>
    <row r="1602" spans="1:31" ht="12.75" customHeight="1">
      <c r="A1602" s="1384" t="s">
        <v>3238</v>
      </c>
      <c r="B1602" s="19" t="s">
        <v>4250</v>
      </c>
      <c r="C1602" s="1383">
        <v>3651</v>
      </c>
      <c r="D1602" s="1236"/>
      <c r="E1602" s="1236"/>
      <c r="F1602" s="1344">
        <f>(1/S1602)*cnst_fish!$C$6</f>
        <v>1.1196720767792059</v>
      </c>
      <c r="G1602" s="719">
        <f t="shared" si="229"/>
        <v>1</v>
      </c>
      <c r="H1602" s="719">
        <f t="shared" si="229"/>
        <v>0.367192066876738</v>
      </c>
      <c r="I1602" s="719">
        <f t="shared" si="221"/>
        <v>0</v>
      </c>
      <c r="J1602" s="1386">
        <f t="shared" si="222"/>
        <v>0</v>
      </c>
      <c r="L1602" s="1460">
        <v>368</v>
      </c>
      <c r="M1602" s="1236"/>
      <c r="N1602" s="1240" t="s">
        <v>2440</v>
      </c>
      <c r="O1602" s="1241" t="s">
        <v>4859</v>
      </c>
      <c r="P1602" s="910">
        <f t="shared" si="223"/>
        <v>0</v>
      </c>
      <c r="Q1602" s="910">
        <f t="shared" si="224"/>
        <v>368</v>
      </c>
      <c r="R1602" s="1344">
        <f t="shared" si="225"/>
        <v>2.4300000000000002</v>
      </c>
      <c r="S1602" s="1344">
        <f>(1/9)*cnst_fish!$C$7*(1/cnst_fish!$C$8)^(R1602-1)</f>
        <v>3.7957542106661646</v>
      </c>
      <c r="T1602" s="1362">
        <f t="shared" si="226"/>
        <v>120.68415691792404</v>
      </c>
      <c r="W1602" s="1612"/>
      <c r="X1602" s="1612"/>
      <c r="Y1602" s="1613"/>
      <c r="Z1602" s="1614"/>
      <c r="AA1602" s="1614"/>
      <c r="AB1602" s="1615"/>
      <c r="AC1602" s="1615"/>
      <c r="AD1602" s="583"/>
      <c r="AE1602" s="583"/>
    </row>
    <row r="1603" spans="1:31" ht="12.75" customHeight="1">
      <c r="A1603" s="1384" t="s">
        <v>2242</v>
      </c>
      <c r="B1603" s="19" t="s">
        <v>4251</v>
      </c>
      <c r="C1603" s="1383">
        <v>2895</v>
      </c>
      <c r="D1603" s="1236"/>
      <c r="E1603" s="1236"/>
      <c r="F1603" s="1344">
        <f>(1/S1603)*cnst_fish!$C$6</f>
        <v>1.1196720767792059</v>
      </c>
      <c r="G1603" s="719">
        <f t="shared" si="229"/>
        <v>1</v>
      </c>
      <c r="H1603" s="719">
        <f t="shared" si="229"/>
        <v>0.367192066876738</v>
      </c>
      <c r="I1603" s="719">
        <f t="shared" si="221"/>
        <v>0</v>
      </c>
      <c r="J1603" s="1386">
        <f t="shared" si="222"/>
        <v>0</v>
      </c>
      <c r="L1603" s="1460">
        <v>128276</v>
      </c>
      <c r="M1603" s="1236"/>
      <c r="N1603" s="1240" t="s">
        <v>2440</v>
      </c>
      <c r="O1603" s="1241" t="s">
        <v>4859</v>
      </c>
      <c r="P1603" s="910">
        <f t="shared" si="223"/>
        <v>0</v>
      </c>
      <c r="Q1603" s="910">
        <f t="shared" si="224"/>
        <v>128276</v>
      </c>
      <c r="R1603" s="1344">
        <f t="shared" si="225"/>
        <v>2.4300000000000002</v>
      </c>
      <c r="S1603" s="1344">
        <f>(1/9)*cnst_fish!$C$7*(1/cnst_fish!$C$8)^(R1603-1)</f>
        <v>3.7957542106661646</v>
      </c>
      <c r="T1603" s="1362">
        <f t="shared" si="226"/>
        <v>42067.611176096812</v>
      </c>
      <c r="W1603" s="1612"/>
      <c r="X1603" s="1612"/>
      <c r="Y1603" s="1613"/>
      <c r="Z1603" s="1614"/>
      <c r="AA1603" s="1614"/>
      <c r="AB1603" s="1615"/>
      <c r="AC1603" s="1615"/>
      <c r="AD1603" s="583"/>
      <c r="AE1603" s="583"/>
    </row>
    <row r="1604" spans="1:31" ht="12.75" customHeight="1">
      <c r="A1604" s="1384" t="s">
        <v>1709</v>
      </c>
      <c r="B1604" s="19" t="s">
        <v>4252</v>
      </c>
      <c r="C1604" s="1383">
        <v>2091</v>
      </c>
      <c r="D1604" s="1236"/>
      <c r="E1604" s="1236"/>
      <c r="F1604" s="1344">
        <f>(1/S1604)*cnst_fish!$C$6</f>
        <v>1.1196720767792059</v>
      </c>
      <c r="G1604" s="719">
        <f t="shared" si="229"/>
        <v>1</v>
      </c>
      <c r="H1604" s="719">
        <f t="shared" si="229"/>
        <v>0.367192066876738</v>
      </c>
      <c r="I1604" s="719">
        <f t="shared" si="221"/>
        <v>0</v>
      </c>
      <c r="J1604" s="1386">
        <f t="shared" si="222"/>
        <v>0</v>
      </c>
      <c r="L1604" s="1460">
        <v>96</v>
      </c>
      <c r="M1604" s="1236"/>
      <c r="N1604" s="1240" t="s">
        <v>2440</v>
      </c>
      <c r="O1604" s="1241" t="s">
        <v>4859</v>
      </c>
      <c r="P1604" s="910">
        <f t="shared" si="223"/>
        <v>0</v>
      </c>
      <c r="Q1604" s="910">
        <f t="shared" si="224"/>
        <v>96</v>
      </c>
      <c r="R1604" s="1344">
        <f t="shared" si="225"/>
        <v>2.4300000000000002</v>
      </c>
      <c r="S1604" s="1344">
        <f>(1/9)*cnst_fish!$C$7*(1/cnst_fish!$C$8)^(R1604-1)</f>
        <v>3.7957542106661646</v>
      </c>
      <c r="T1604" s="1362">
        <f t="shared" si="226"/>
        <v>31.482823543806273</v>
      </c>
      <c r="W1604" s="1612"/>
      <c r="X1604" s="1612"/>
      <c r="Y1604" s="1613"/>
      <c r="Z1604" s="1614"/>
      <c r="AA1604" s="1614"/>
      <c r="AB1604" s="1615"/>
      <c r="AC1604" s="1615"/>
      <c r="AD1604" s="583"/>
      <c r="AE1604" s="583"/>
    </row>
    <row r="1605" spans="1:31" ht="12.75" customHeight="1">
      <c r="A1605" s="1585" t="s">
        <v>8589</v>
      </c>
      <c r="B1605" s="1586" t="s">
        <v>8590</v>
      </c>
      <c r="C1605" s="1383">
        <v>20023</v>
      </c>
      <c r="D1605" s="1236"/>
      <c r="E1605" s="1236"/>
      <c r="F1605" s="1344">
        <f>(1/S1605)*cnst_fish!$C$6</f>
        <v>7.5699122913220479E-2</v>
      </c>
      <c r="G1605" s="719">
        <f t="shared" si="229"/>
        <v>1</v>
      </c>
      <c r="H1605" s="719">
        <f t="shared" si="229"/>
        <v>0.367192066876738</v>
      </c>
      <c r="I1605" s="719">
        <f t="shared" si="221"/>
        <v>0</v>
      </c>
      <c r="J1605" s="1386">
        <f t="shared" si="222"/>
        <v>0</v>
      </c>
      <c r="L1605" s="1460"/>
      <c r="M1605" s="1236"/>
      <c r="N1605" s="1240" t="s">
        <v>1806</v>
      </c>
      <c r="O1605" s="1241" t="s">
        <v>4841</v>
      </c>
      <c r="P1605" s="910">
        <f t="shared" si="223"/>
        <v>0</v>
      </c>
      <c r="Q1605" s="910">
        <f t="shared" si="224"/>
        <v>0</v>
      </c>
      <c r="R1605" s="1344">
        <f t="shared" si="225"/>
        <v>3.6</v>
      </c>
      <c r="S1605" s="1344">
        <f>(1/9)*cnst_fish!$C$7*(1/cnst_fish!$C$8)^(R1605-1)</f>
        <v>56.143318924211187</v>
      </c>
      <c r="T1605" s="1362">
        <f t="shared" si="226"/>
        <v>0</v>
      </c>
      <c r="W1605" s="1616"/>
      <c r="X1605" s="1616"/>
      <c r="Y1605" s="1613"/>
      <c r="Z1605" s="1614"/>
      <c r="AA1605" s="1614"/>
      <c r="AB1605" s="1615"/>
      <c r="AC1605" s="1615"/>
      <c r="AD1605" s="583"/>
      <c r="AE1605" s="583"/>
    </row>
    <row r="1606" spans="1:31" ht="12.75" customHeight="1">
      <c r="A1606" s="1384" t="s">
        <v>3472</v>
      </c>
      <c r="B1606" s="19" t="s">
        <v>3272</v>
      </c>
      <c r="C1606" s="1383">
        <v>18887</v>
      </c>
      <c r="D1606" s="1236"/>
      <c r="E1606" s="1236"/>
      <c r="F1606" s="1344">
        <f>(1/S1606)*cnst_fish!$C$6</f>
        <v>8.6914222116951781E-2</v>
      </c>
      <c r="G1606" s="719">
        <f t="shared" si="229"/>
        <v>1</v>
      </c>
      <c r="H1606" s="719">
        <f t="shared" si="229"/>
        <v>0.367192066876738</v>
      </c>
      <c r="I1606" s="719">
        <f t="shared" si="221"/>
        <v>0</v>
      </c>
      <c r="J1606" s="1386">
        <f t="shared" si="222"/>
        <v>0</v>
      </c>
      <c r="L1606" s="1460">
        <v>80</v>
      </c>
      <c r="M1606" s="1236"/>
      <c r="N1606" s="1240" t="s">
        <v>1806</v>
      </c>
      <c r="O1606" s="1241" t="s">
        <v>4841</v>
      </c>
      <c r="P1606" s="910">
        <f t="shared" si="223"/>
        <v>0</v>
      </c>
      <c r="Q1606" s="910">
        <f t="shared" si="224"/>
        <v>80</v>
      </c>
      <c r="R1606" s="1344">
        <f t="shared" si="225"/>
        <v>3.54</v>
      </c>
      <c r="S1606" s="1344">
        <f>(1/9)*cnst_fish!$C$7*(1/cnst_fish!$C$8)^(R1606-1)</f>
        <v>48.898786602280119</v>
      </c>
      <c r="T1606" s="1362">
        <f t="shared" si="226"/>
        <v>337.98111096952061</v>
      </c>
      <c r="W1606" s="1612"/>
      <c r="X1606" s="1612"/>
      <c r="Y1606" s="1613"/>
      <c r="Z1606" s="1614"/>
      <c r="AA1606" s="1614"/>
      <c r="AB1606" s="1615"/>
      <c r="AC1606" s="1615"/>
      <c r="AD1606" s="583"/>
      <c r="AE1606" s="583"/>
    </row>
    <row r="1607" spans="1:31" ht="12.75" customHeight="1">
      <c r="A1607" s="1384" t="s">
        <v>4715</v>
      </c>
      <c r="B1607" s="19" t="s">
        <v>3131</v>
      </c>
      <c r="C1607" s="1383">
        <v>2413</v>
      </c>
      <c r="D1607" s="1236"/>
      <c r="E1607" s="1236"/>
      <c r="F1607" s="1344">
        <f>(1/S1607)*cnst_fish!$C$6</f>
        <v>2.6859062362848798</v>
      </c>
      <c r="G1607" s="719">
        <f t="shared" si="229"/>
        <v>1</v>
      </c>
      <c r="H1607" s="719">
        <f t="shared" si="229"/>
        <v>0.367192066876738</v>
      </c>
      <c r="I1607" s="719">
        <f t="shared" ref="I1607:I1670" si="230">IF($F1607=0,0,D1607/$F1607*$H1607*$G1607)</f>
        <v>0</v>
      </c>
      <c r="J1607" s="1386">
        <f t="shared" ref="J1607:J1670" si="231">IF($F1607=0,0,E1607/$F1607*$H1607*$G1607)</f>
        <v>0</v>
      </c>
      <c r="L1607" s="1460"/>
      <c r="M1607" s="1236">
        <v>116</v>
      </c>
      <c r="N1607" s="1240" t="s">
        <v>1806</v>
      </c>
      <c r="O1607" s="1241" t="s">
        <v>4845</v>
      </c>
      <c r="P1607" s="910">
        <f t="shared" ref="P1607:P1670" si="232">D1607+E1607</f>
        <v>0</v>
      </c>
      <c r="Q1607" s="910">
        <f t="shared" ref="Q1607:Q1670" si="233">L1607+M1607</f>
        <v>116</v>
      </c>
      <c r="R1607" s="1344">
        <f t="shared" ref="R1607:R1670" si="234">VLOOKUP(B1607,constant_fish_trophic,3,FALSE)</f>
        <v>2.0499999999999998</v>
      </c>
      <c r="S1607" s="1344">
        <f>(1/9)*cnst_fish!$C$7*(1/cnst_fish!$C$8)^(R1607-1)</f>
        <v>1.5823337176053323</v>
      </c>
      <c r="T1607" s="1362">
        <f t="shared" ref="T1607:T1670" si="235">IF(F1607=0,0,Q1607/F1607*H1607*G1607)</f>
        <v>15.85843883240601</v>
      </c>
      <c r="W1607" s="1612"/>
      <c r="X1607" s="1612"/>
      <c r="Y1607" s="1613"/>
      <c r="Z1607" s="1614"/>
      <c r="AA1607" s="1614"/>
      <c r="AB1607" s="1615"/>
      <c r="AC1607" s="1615"/>
      <c r="AD1607" s="583"/>
      <c r="AE1607" s="583"/>
    </row>
    <row r="1608" spans="1:31" ht="12.75" customHeight="1">
      <c r="A1608" s="1384" t="s">
        <v>5139</v>
      </c>
      <c r="B1608" s="19" t="s">
        <v>6470</v>
      </c>
      <c r="C1608" s="1383">
        <v>2414</v>
      </c>
      <c r="D1608" s="1236"/>
      <c r="E1608" s="1236"/>
      <c r="F1608" s="1344">
        <f>(1/S1608)*cnst_fish!$C$6</f>
        <v>3.0136363636363641</v>
      </c>
      <c r="G1608" s="719">
        <f t="shared" ref="G1608:H1627" si="236">G$7</f>
        <v>1</v>
      </c>
      <c r="H1608" s="719">
        <f t="shared" si="236"/>
        <v>0.367192066876738</v>
      </c>
      <c r="I1608" s="719">
        <f t="shared" si="230"/>
        <v>0</v>
      </c>
      <c r="J1608" s="1386">
        <f t="shared" si="231"/>
        <v>0</v>
      </c>
      <c r="L1608" s="1460"/>
      <c r="M1608" s="1236">
        <v>644</v>
      </c>
      <c r="N1608" s="1240" t="s">
        <v>1806</v>
      </c>
      <c r="O1608" s="1241" t="s">
        <v>4845</v>
      </c>
      <c r="P1608" s="910">
        <f t="shared" si="232"/>
        <v>0</v>
      </c>
      <c r="Q1608" s="910">
        <f t="shared" si="233"/>
        <v>644</v>
      </c>
      <c r="R1608" s="1344">
        <f t="shared" si="234"/>
        <v>2</v>
      </c>
      <c r="S1608" s="1344">
        <f>(1/9)*cnst_fish!$C$7*(1/cnst_fish!$C$8)^(R1608-1)</f>
        <v>1.4102564102564099</v>
      </c>
      <c r="T1608" s="1362">
        <f t="shared" si="235"/>
        <v>78.467227805575021</v>
      </c>
      <c r="W1608" s="1612"/>
      <c r="X1608" s="1612"/>
      <c r="Y1608" s="1613"/>
      <c r="Z1608" s="1614"/>
      <c r="AA1608" s="1614"/>
      <c r="AB1608" s="1615"/>
      <c r="AC1608" s="1615"/>
      <c r="AD1608" s="583"/>
      <c r="AE1608" s="583"/>
    </row>
    <row r="1609" spans="1:31" ht="12.75" customHeight="1">
      <c r="A1609" s="1384" t="s">
        <v>3641</v>
      </c>
      <c r="B1609" s="19" t="s">
        <v>3273</v>
      </c>
      <c r="C1609" s="1383">
        <v>2397</v>
      </c>
      <c r="D1609" s="1236"/>
      <c r="E1609" s="1236"/>
      <c r="F1609" s="1344">
        <f>(1/S1609)*cnst_fish!$C$6</f>
        <v>3.0136363636363641</v>
      </c>
      <c r="G1609" s="719">
        <f t="shared" si="236"/>
        <v>1</v>
      </c>
      <c r="H1609" s="719">
        <f t="shared" si="236"/>
        <v>0.367192066876738</v>
      </c>
      <c r="I1609" s="719">
        <f t="shared" si="230"/>
        <v>0</v>
      </c>
      <c r="J1609" s="1386">
        <f t="shared" si="231"/>
        <v>0</v>
      </c>
      <c r="L1609" s="1460">
        <v>3526</v>
      </c>
      <c r="M1609" s="1236"/>
      <c r="N1609" s="1240" t="s">
        <v>1806</v>
      </c>
      <c r="O1609" s="1241" t="s">
        <v>4841</v>
      </c>
      <c r="P1609" s="910">
        <f t="shared" si="232"/>
        <v>0</v>
      </c>
      <c r="Q1609" s="910">
        <f t="shared" si="233"/>
        <v>3526</v>
      </c>
      <c r="R1609" s="1344">
        <f t="shared" si="234"/>
        <v>2</v>
      </c>
      <c r="S1609" s="1344">
        <f>(1/9)*cnst_fish!$C$7*(1/cnst_fish!$C$8)^(R1609-1)</f>
        <v>1.4102564102564099</v>
      </c>
      <c r="T1609" s="1362">
        <f t="shared" si="235"/>
        <v>429.62025658766692</v>
      </c>
      <c r="W1609" s="1612"/>
      <c r="X1609" s="1612"/>
      <c r="Y1609" s="1613"/>
      <c r="Z1609" s="1614"/>
      <c r="AA1609" s="1614"/>
      <c r="AB1609" s="1615"/>
      <c r="AC1609" s="1615"/>
      <c r="AD1609" s="583"/>
      <c r="AE1609" s="583"/>
    </row>
    <row r="1610" spans="1:31" ht="12.75" customHeight="1">
      <c r="A1610" s="1384" t="s">
        <v>3245</v>
      </c>
      <c r="B1610" s="19" t="s">
        <v>3274</v>
      </c>
      <c r="C1610" s="1383">
        <v>2984</v>
      </c>
      <c r="D1610" s="1236"/>
      <c r="E1610" s="1236"/>
      <c r="F1610" s="1344">
        <f>(1/S1610)*cnst_fish!$C$6</f>
        <v>1.1997502458044018E-2</v>
      </c>
      <c r="G1610" s="719">
        <f t="shared" si="236"/>
        <v>1</v>
      </c>
      <c r="H1610" s="719">
        <f t="shared" si="236"/>
        <v>0.367192066876738</v>
      </c>
      <c r="I1610" s="719">
        <f t="shared" si="230"/>
        <v>0</v>
      </c>
      <c r="J1610" s="1386">
        <f t="shared" si="231"/>
        <v>0</v>
      </c>
      <c r="L1610" s="1460">
        <v>28361</v>
      </c>
      <c r="M1610" s="1236"/>
      <c r="N1610" s="1240" t="s">
        <v>1806</v>
      </c>
      <c r="O1610" s="1241" t="s">
        <v>4841</v>
      </c>
      <c r="P1610" s="910">
        <f t="shared" si="232"/>
        <v>0</v>
      </c>
      <c r="Q1610" s="910">
        <f t="shared" si="233"/>
        <v>28361</v>
      </c>
      <c r="R1610" s="1344">
        <f t="shared" si="234"/>
        <v>4.4000000000000004</v>
      </c>
      <c r="S1610" s="1344">
        <f>(1/9)*cnst_fish!$C$7*(1/cnst_fish!$C$8)^(R1610-1)</f>
        <v>354.24039418724885</v>
      </c>
      <c r="T1610" s="1362">
        <f t="shared" si="235"/>
        <v>868008.50802984345</v>
      </c>
      <c r="W1610" s="1612"/>
      <c r="X1610" s="1612"/>
      <c r="Y1610" s="1613"/>
      <c r="Z1610" s="1614"/>
      <c r="AA1610" s="1614"/>
      <c r="AB1610" s="1615"/>
      <c r="AC1610" s="1615"/>
      <c r="AD1610" s="583"/>
      <c r="AE1610" s="583"/>
    </row>
    <row r="1611" spans="1:31" ht="12.75" customHeight="1">
      <c r="A1611" s="1384" t="s">
        <v>4673</v>
      </c>
      <c r="B1611" s="19" t="s">
        <v>3275</v>
      </c>
      <c r="C1611" s="1383">
        <v>2985</v>
      </c>
      <c r="D1611" s="1236"/>
      <c r="E1611" s="1236"/>
      <c r="F1611" s="1344">
        <f>(1/S1611)*cnst_fish!$C$6</f>
        <v>9.979087888316248E-3</v>
      </c>
      <c r="G1611" s="719">
        <f t="shared" si="236"/>
        <v>1</v>
      </c>
      <c r="H1611" s="719">
        <f t="shared" si="236"/>
        <v>0.367192066876738</v>
      </c>
      <c r="I1611" s="719">
        <f t="shared" si="230"/>
        <v>0</v>
      </c>
      <c r="J1611" s="1386">
        <f t="shared" si="231"/>
        <v>0</v>
      </c>
      <c r="L1611" s="1460">
        <v>91</v>
      </c>
      <c r="M1611" s="1236"/>
      <c r="N1611" s="1240" t="s">
        <v>1806</v>
      </c>
      <c r="O1611" s="1241" t="s">
        <v>4841</v>
      </c>
      <c r="P1611" s="910">
        <f t="shared" si="232"/>
        <v>0</v>
      </c>
      <c r="Q1611" s="910">
        <f t="shared" si="233"/>
        <v>91</v>
      </c>
      <c r="R1611" s="1344">
        <f t="shared" si="234"/>
        <v>4.4800000000000004</v>
      </c>
      <c r="S1611" s="1344">
        <f>(1/9)*cnst_fish!$C$7*(1/cnst_fish!$C$8)^(R1611-1)</f>
        <v>425.89062723618264</v>
      </c>
      <c r="T1611" s="1362">
        <f t="shared" si="235"/>
        <v>3348.4501248762044</v>
      </c>
      <c r="W1611" s="1612"/>
      <c r="X1611" s="1612"/>
      <c r="Y1611" s="1613"/>
      <c r="Z1611" s="1614"/>
      <c r="AA1611" s="1614"/>
      <c r="AB1611" s="1615"/>
      <c r="AC1611" s="1615"/>
      <c r="AD1611" s="583"/>
      <c r="AE1611" s="583"/>
    </row>
    <row r="1612" spans="1:31" ht="12.75" customHeight="1">
      <c r="A1612" s="1384" t="s">
        <v>1665</v>
      </c>
      <c r="B1612" s="19" t="s">
        <v>1369</v>
      </c>
      <c r="C1612" s="1383">
        <v>2701</v>
      </c>
      <c r="D1612" s="1236">
        <v>36</v>
      </c>
      <c r="E1612" s="1236"/>
      <c r="F1612" s="1344">
        <f>(1/S1612)*cnst_fish!$C$6</f>
        <v>2.3938164528281742</v>
      </c>
      <c r="G1612" s="719">
        <f t="shared" si="236"/>
        <v>1</v>
      </c>
      <c r="H1612" s="719">
        <f t="shared" si="236"/>
        <v>0.367192066876738</v>
      </c>
      <c r="I1612" s="719">
        <f t="shared" si="230"/>
        <v>5.5221085943933099</v>
      </c>
      <c r="J1612" s="1386">
        <f t="shared" si="231"/>
        <v>0</v>
      </c>
      <c r="L1612" s="1460">
        <v>461</v>
      </c>
      <c r="M1612" s="1236"/>
      <c r="N1612" s="1240" t="s">
        <v>1804</v>
      </c>
      <c r="O1612" s="1241" t="s">
        <v>4851</v>
      </c>
      <c r="P1612" s="910">
        <f t="shared" si="232"/>
        <v>36</v>
      </c>
      <c r="Q1612" s="910">
        <f t="shared" si="233"/>
        <v>461</v>
      </c>
      <c r="R1612" s="1344">
        <f t="shared" si="234"/>
        <v>2.1</v>
      </c>
      <c r="S1612" s="1344">
        <f>(1/9)*cnst_fish!$C$7*(1/cnst_fish!$C$8)^(R1612-1)</f>
        <v>1.7754076320174161</v>
      </c>
      <c r="T1612" s="1362">
        <f t="shared" si="235"/>
        <v>70.713668389314336</v>
      </c>
      <c r="W1612" s="1612"/>
      <c r="X1612" s="1612"/>
      <c r="Y1612" s="1613"/>
      <c r="Z1612" s="1614"/>
      <c r="AA1612" s="1614"/>
      <c r="AB1612" s="1615"/>
      <c r="AC1612" s="1615"/>
      <c r="AD1612" s="583"/>
      <c r="AE1612" s="583"/>
    </row>
    <row r="1613" spans="1:31" ht="12.75" customHeight="1">
      <c r="A1613" s="1384" t="s">
        <v>4601</v>
      </c>
      <c r="B1613" s="19" t="s">
        <v>1370</v>
      </c>
      <c r="C1613" s="1383">
        <v>3502</v>
      </c>
      <c r="D1613" s="1236"/>
      <c r="E1613" s="1236"/>
      <c r="F1613" s="1344">
        <f>(1/S1613)*cnst_fish!$C$6</f>
        <v>2.3938164528281742</v>
      </c>
      <c r="G1613" s="719">
        <f t="shared" si="236"/>
        <v>1</v>
      </c>
      <c r="H1613" s="719">
        <f t="shared" si="236"/>
        <v>0.367192066876738</v>
      </c>
      <c r="I1613" s="719">
        <f t="shared" si="230"/>
        <v>0</v>
      </c>
      <c r="J1613" s="1386">
        <f t="shared" si="231"/>
        <v>0</v>
      </c>
      <c r="L1613" s="1460"/>
      <c r="M1613" s="1236"/>
      <c r="N1613" s="1240" t="s">
        <v>1804</v>
      </c>
      <c r="O1613" s="1241" t="s">
        <v>4851</v>
      </c>
      <c r="P1613" s="910">
        <f t="shared" si="232"/>
        <v>0</v>
      </c>
      <c r="Q1613" s="910">
        <f t="shared" si="233"/>
        <v>0</v>
      </c>
      <c r="R1613" s="1344">
        <f t="shared" si="234"/>
        <v>2.1</v>
      </c>
      <c r="S1613" s="1344">
        <f>(1/9)*cnst_fish!$C$7*(1/cnst_fish!$C$8)^(R1613-1)</f>
        <v>1.7754076320174161</v>
      </c>
      <c r="T1613" s="1362">
        <f t="shared" si="235"/>
        <v>0</v>
      </c>
      <c r="W1613" s="1612"/>
      <c r="X1613" s="1612"/>
      <c r="Y1613" s="1613"/>
      <c r="Z1613" s="1614"/>
      <c r="AA1613" s="1614"/>
      <c r="AB1613" s="1615"/>
      <c r="AC1613" s="1615"/>
      <c r="AD1613" s="583"/>
      <c r="AE1613" s="583"/>
    </row>
    <row r="1614" spans="1:31" ht="12.75" customHeight="1">
      <c r="A1614" s="1384" t="s">
        <v>4308</v>
      </c>
      <c r="B1614" s="19" t="s">
        <v>2905</v>
      </c>
      <c r="C1614" s="1383">
        <v>2159</v>
      </c>
      <c r="D1614" s="1236"/>
      <c r="E1614" s="1236"/>
      <c r="F1614" s="1344">
        <f>(1/S1614)*cnst_fish!$C$6</f>
        <v>0.38823156944206699</v>
      </c>
      <c r="G1614" s="719">
        <f t="shared" si="236"/>
        <v>1</v>
      </c>
      <c r="H1614" s="719">
        <f t="shared" si="236"/>
        <v>0.367192066876738</v>
      </c>
      <c r="I1614" s="719">
        <f t="shared" si="230"/>
        <v>0</v>
      </c>
      <c r="J1614" s="1386">
        <f t="shared" si="231"/>
        <v>0</v>
      </c>
      <c r="L1614" s="1460">
        <v>8</v>
      </c>
      <c r="M1614" s="1236">
        <v>9532</v>
      </c>
      <c r="N1614" s="1240" t="s">
        <v>1806</v>
      </c>
      <c r="O1614" s="1241" t="s">
        <v>4845</v>
      </c>
      <c r="P1614" s="910">
        <f t="shared" si="232"/>
        <v>0</v>
      </c>
      <c r="Q1614" s="910">
        <f t="shared" si="233"/>
        <v>9540</v>
      </c>
      <c r="R1614" s="1344">
        <f t="shared" si="234"/>
        <v>2.89</v>
      </c>
      <c r="S1614" s="1344">
        <f>(1/9)*cnst_fish!$C$7*(1/cnst_fish!$C$8)^(R1614-1)</f>
        <v>10.947074721686683</v>
      </c>
      <c r="T1614" s="1362">
        <f t="shared" si="235"/>
        <v>9022.9970814540102</v>
      </c>
      <c r="W1614" s="1612"/>
      <c r="X1614" s="1612"/>
      <c r="Y1614" s="1613"/>
      <c r="Z1614" s="1614"/>
      <c r="AA1614" s="1614"/>
      <c r="AB1614" s="1615"/>
      <c r="AC1614" s="1615"/>
      <c r="AD1614" s="583"/>
      <c r="AE1614" s="583"/>
    </row>
    <row r="1615" spans="1:31" ht="12.75" customHeight="1">
      <c r="A1615" s="1384" t="s">
        <v>171</v>
      </c>
      <c r="B1615" s="19" t="s">
        <v>3935</v>
      </c>
      <c r="C1615" s="1383">
        <v>2425</v>
      </c>
      <c r="D1615" s="1236">
        <v>39</v>
      </c>
      <c r="E1615" s="1236"/>
      <c r="F1615" s="1344">
        <f>(1/S1615)*cnst_fish!$C$6</f>
        <v>2.5066335465503222</v>
      </c>
      <c r="G1615" s="719">
        <f t="shared" si="236"/>
        <v>1</v>
      </c>
      <c r="H1615" s="719">
        <f t="shared" si="236"/>
        <v>0.367192066876738</v>
      </c>
      <c r="I1615" s="719">
        <f t="shared" si="230"/>
        <v>5.7130371640884317</v>
      </c>
      <c r="J1615" s="1386">
        <f t="shared" si="231"/>
        <v>0</v>
      </c>
      <c r="L1615" s="1460">
        <v>4219</v>
      </c>
      <c r="M1615" s="1236"/>
      <c r="N1615" s="1240" t="s">
        <v>1806</v>
      </c>
      <c r="O1615" s="1241" t="s">
        <v>4841</v>
      </c>
      <c r="P1615" s="910">
        <f t="shared" si="232"/>
        <v>39</v>
      </c>
      <c r="Q1615" s="910">
        <f t="shared" si="233"/>
        <v>4219</v>
      </c>
      <c r="R1615" s="1344">
        <f t="shared" si="234"/>
        <v>2.08</v>
      </c>
      <c r="S1615" s="1344">
        <f>(1/9)*cnst_fish!$C$7*(1/cnst_fish!$C$8)^(R1615-1)</f>
        <v>1.6955011257425054</v>
      </c>
      <c r="T1615" s="1362">
        <f t="shared" si="235"/>
        <v>618.0334306484383</v>
      </c>
      <c r="W1615" s="1612"/>
      <c r="X1615" s="1612"/>
      <c r="Y1615" s="1613"/>
      <c r="Z1615" s="1614"/>
      <c r="AA1615" s="1614"/>
      <c r="AB1615" s="1615"/>
      <c r="AC1615" s="1615"/>
      <c r="AD1615" s="583"/>
      <c r="AE1615" s="583"/>
    </row>
    <row r="1616" spans="1:31" ht="12.75" customHeight="1">
      <c r="A1616" s="1384" t="s">
        <v>3898</v>
      </c>
      <c r="B1616" s="19" t="s">
        <v>2227</v>
      </c>
      <c r="C1616" s="1383">
        <v>18969</v>
      </c>
      <c r="D1616" s="1236"/>
      <c r="E1616" s="1236"/>
      <c r="F1616" s="1344">
        <f>(1/S1616)*cnst_fish!$C$6</f>
        <v>3.0136363636363641</v>
      </c>
      <c r="G1616" s="719">
        <f t="shared" si="236"/>
        <v>1</v>
      </c>
      <c r="H1616" s="719">
        <f t="shared" si="236"/>
        <v>0.367192066876738</v>
      </c>
      <c r="I1616" s="719">
        <f t="shared" si="230"/>
        <v>0</v>
      </c>
      <c r="J1616" s="1386">
        <f t="shared" si="231"/>
        <v>0</v>
      </c>
      <c r="L1616" s="1460">
        <v>94</v>
      </c>
      <c r="M1616" s="1236"/>
      <c r="N1616" s="1240" t="s">
        <v>1806</v>
      </c>
      <c r="O1616" s="1241" t="s">
        <v>4841</v>
      </c>
      <c r="P1616" s="910">
        <f t="shared" si="232"/>
        <v>0</v>
      </c>
      <c r="Q1616" s="910">
        <f t="shared" si="233"/>
        <v>94</v>
      </c>
      <c r="R1616" s="1344">
        <f t="shared" si="234"/>
        <v>2</v>
      </c>
      <c r="S1616" s="1344">
        <f>(1/9)*cnst_fish!$C$7*(1/cnst_fish!$C$8)^(R1616-1)</f>
        <v>1.4102564102564099</v>
      </c>
      <c r="T1616" s="1362">
        <f t="shared" si="235"/>
        <v>11.453291015099458</v>
      </c>
      <c r="W1616" s="1612"/>
      <c r="X1616" s="1612"/>
      <c r="Y1616" s="1613"/>
      <c r="Z1616" s="1614"/>
      <c r="AA1616" s="1614"/>
      <c r="AB1616" s="1615"/>
      <c r="AC1616" s="1615"/>
      <c r="AD1616" s="583"/>
      <c r="AE1616" s="583"/>
    </row>
    <row r="1617" spans="1:31" ht="12.75" customHeight="1">
      <c r="A1617" s="1384" t="s">
        <v>911</v>
      </c>
      <c r="B1617" s="19" t="s">
        <v>2228</v>
      </c>
      <c r="C1617" s="1383">
        <v>18866</v>
      </c>
      <c r="D1617" s="1236"/>
      <c r="E1617" s="1236"/>
      <c r="F1617" s="1344">
        <f>(1/S1617)*cnst_fish!$C$6</f>
        <v>3.0136363636363641</v>
      </c>
      <c r="G1617" s="719">
        <f t="shared" si="236"/>
        <v>1</v>
      </c>
      <c r="H1617" s="719">
        <f t="shared" si="236"/>
        <v>0.367192066876738</v>
      </c>
      <c r="I1617" s="719">
        <f t="shared" si="230"/>
        <v>0</v>
      </c>
      <c r="J1617" s="1386">
        <f t="shared" si="231"/>
        <v>0</v>
      </c>
      <c r="L1617" s="1460">
        <v>179</v>
      </c>
      <c r="M1617" s="1236"/>
      <c r="N1617" s="1240" t="s">
        <v>1806</v>
      </c>
      <c r="O1617" s="1241" t="s">
        <v>4841</v>
      </c>
      <c r="P1617" s="910">
        <f t="shared" si="232"/>
        <v>0</v>
      </c>
      <c r="Q1617" s="910">
        <f t="shared" si="233"/>
        <v>179</v>
      </c>
      <c r="R1617" s="1344">
        <f t="shared" si="234"/>
        <v>2</v>
      </c>
      <c r="S1617" s="1344">
        <f>(1/9)*cnst_fish!$C$7*(1/cnst_fish!$C$8)^(R1617-1)</f>
        <v>1.4102564102564099</v>
      </c>
      <c r="T1617" s="1362">
        <f t="shared" si="235"/>
        <v>21.809990337263862</v>
      </c>
      <c r="W1617" s="1612"/>
      <c r="X1617" s="1612"/>
      <c r="Y1617" s="1613"/>
      <c r="Z1617" s="1614"/>
      <c r="AA1617" s="1614"/>
      <c r="AB1617" s="1615"/>
      <c r="AC1617" s="1615"/>
      <c r="AD1617" s="583"/>
      <c r="AE1617" s="583"/>
    </row>
    <row r="1618" spans="1:31" ht="12.75" customHeight="1">
      <c r="A1618" s="1384" t="s">
        <v>5242</v>
      </c>
      <c r="B1618" s="19" t="s">
        <v>2229</v>
      </c>
      <c r="C1618" s="1383">
        <v>3213</v>
      </c>
      <c r="D1618" s="1236"/>
      <c r="E1618" s="1236"/>
      <c r="F1618" s="1344">
        <f>(1/S1618)*cnst_fish!$C$6</f>
        <v>0.30838329721915442</v>
      </c>
      <c r="G1618" s="719">
        <f t="shared" si="236"/>
        <v>1</v>
      </c>
      <c r="H1618" s="719">
        <f t="shared" si="236"/>
        <v>0.367192066876738</v>
      </c>
      <c r="I1618" s="719">
        <f t="shared" si="230"/>
        <v>0</v>
      </c>
      <c r="J1618" s="1386">
        <f t="shared" si="231"/>
        <v>0</v>
      </c>
      <c r="L1618" s="1460">
        <v>2297</v>
      </c>
      <c r="M1618" s="1236">
        <v>192</v>
      </c>
      <c r="N1618" s="1240" t="s">
        <v>1806</v>
      </c>
      <c r="O1618" s="1241" t="s">
        <v>4841</v>
      </c>
      <c r="P1618" s="910">
        <f t="shared" si="232"/>
        <v>0</v>
      </c>
      <c r="Q1618" s="910">
        <f t="shared" si="233"/>
        <v>2489</v>
      </c>
      <c r="R1618" s="1344">
        <f t="shared" si="234"/>
        <v>2.99</v>
      </c>
      <c r="S1618" s="1344">
        <f>(1/9)*cnst_fish!$C$7*(1/cnst_fish!$C$8)^(R1618-1)</f>
        <v>13.781550551940924</v>
      </c>
      <c r="T1618" s="1362">
        <f t="shared" si="235"/>
        <v>2963.6529043487826</v>
      </c>
      <c r="W1618" s="1612"/>
      <c r="X1618" s="1612"/>
      <c r="Y1618" s="1613"/>
      <c r="Z1618" s="1614"/>
      <c r="AA1618" s="1614"/>
      <c r="AB1618" s="1615"/>
      <c r="AC1618" s="1615"/>
      <c r="AD1618" s="583"/>
      <c r="AE1618" s="583"/>
    </row>
    <row r="1619" spans="1:31" ht="12.75" customHeight="1">
      <c r="A1619" s="1384" t="s">
        <v>3488</v>
      </c>
      <c r="B1619" s="19" t="s">
        <v>1206</v>
      </c>
      <c r="C1619" s="1383">
        <v>15111</v>
      </c>
      <c r="D1619" s="1236"/>
      <c r="E1619" s="1236"/>
      <c r="F1619" s="1344">
        <f>(1/S1619)*cnst_fish!$C$6</f>
        <v>8.6914222116951781E-2</v>
      </c>
      <c r="G1619" s="719">
        <f t="shared" si="236"/>
        <v>1</v>
      </c>
      <c r="H1619" s="719">
        <f t="shared" si="236"/>
        <v>0.367192066876738</v>
      </c>
      <c r="I1619" s="719">
        <f t="shared" si="230"/>
        <v>0</v>
      </c>
      <c r="J1619" s="1386">
        <f t="shared" si="231"/>
        <v>0</v>
      </c>
      <c r="L1619" s="1460">
        <v>2</v>
      </c>
      <c r="M1619" s="1236"/>
      <c r="N1619" s="1240" t="s">
        <v>1806</v>
      </c>
      <c r="O1619" s="1241" t="s">
        <v>4841</v>
      </c>
      <c r="P1619" s="910">
        <f t="shared" si="232"/>
        <v>0</v>
      </c>
      <c r="Q1619" s="910">
        <f t="shared" si="233"/>
        <v>2</v>
      </c>
      <c r="R1619" s="1344">
        <f t="shared" si="234"/>
        <v>3.54</v>
      </c>
      <c r="S1619" s="1344">
        <f>(1/9)*cnst_fish!$C$7*(1/cnst_fish!$C$8)^(R1619-1)</f>
        <v>48.898786602280119</v>
      </c>
      <c r="T1619" s="1362">
        <f t="shared" si="235"/>
        <v>8.4495277742380157</v>
      </c>
      <c r="W1619" s="1612"/>
      <c r="X1619" s="1612"/>
      <c r="Y1619" s="1613"/>
      <c r="Z1619" s="1614"/>
      <c r="AA1619" s="1614"/>
      <c r="AB1619" s="1615"/>
      <c r="AC1619" s="1615"/>
      <c r="AD1619" s="583"/>
      <c r="AE1619" s="583"/>
    </row>
    <row r="1620" spans="1:31" ht="12.75" customHeight="1">
      <c r="A1620" s="1384" t="s">
        <v>2948</v>
      </c>
      <c r="B1620" s="19" t="s">
        <v>1207</v>
      </c>
      <c r="C1620" s="1383">
        <v>18870</v>
      </c>
      <c r="D1620" s="1236"/>
      <c r="E1620" s="1236"/>
      <c r="F1620" s="1344">
        <f>(1/S1620)*cnst_fish!$C$6</f>
        <v>3.304386563831508E-2</v>
      </c>
      <c r="G1620" s="719">
        <f t="shared" si="236"/>
        <v>1</v>
      </c>
      <c r="H1620" s="719">
        <f t="shared" si="236"/>
        <v>0.367192066876738</v>
      </c>
      <c r="I1620" s="719">
        <f t="shared" si="230"/>
        <v>0</v>
      </c>
      <c r="J1620" s="1386">
        <f t="shared" si="231"/>
        <v>0</v>
      </c>
      <c r="L1620" s="1460"/>
      <c r="M1620" s="1236"/>
      <c r="N1620" s="1240" t="s">
        <v>1806</v>
      </c>
      <c r="O1620" s="1241" t="s">
        <v>4841</v>
      </c>
      <c r="P1620" s="910">
        <f t="shared" si="232"/>
        <v>0</v>
      </c>
      <c r="Q1620" s="910">
        <f t="shared" si="233"/>
        <v>0</v>
      </c>
      <c r="R1620" s="1344">
        <f t="shared" si="234"/>
        <v>3.96</v>
      </c>
      <c r="S1620" s="1344">
        <f>(1/9)*cnst_fish!$C$7*(1/cnst_fish!$C$8)^(R1620-1)</f>
        <v>128.61691324250009</v>
      </c>
      <c r="T1620" s="1362">
        <f t="shared" si="235"/>
        <v>0</v>
      </c>
      <c r="W1620" s="1612"/>
      <c r="X1620" s="1612"/>
      <c r="Y1620" s="1613"/>
      <c r="Z1620" s="1614"/>
      <c r="AA1620" s="1614"/>
      <c r="AB1620" s="1615"/>
      <c r="AC1620" s="1615"/>
      <c r="AD1620" s="583"/>
      <c r="AE1620" s="583"/>
    </row>
    <row r="1621" spans="1:31" ht="12.75" customHeight="1">
      <c r="A1621" s="1384" t="s">
        <v>2298</v>
      </c>
      <c r="B1621" s="19" t="s">
        <v>2299</v>
      </c>
      <c r="C1621" s="1383">
        <v>16094</v>
      </c>
      <c r="D1621" s="1236"/>
      <c r="E1621" s="1236"/>
      <c r="F1621" s="1344">
        <f>(1/S1621)*cnst_fish!$C$6</f>
        <v>2.1334911593031029E-2</v>
      </c>
      <c r="G1621" s="719">
        <f t="shared" si="236"/>
        <v>1</v>
      </c>
      <c r="H1621" s="719">
        <f t="shared" si="236"/>
        <v>0.367192066876738</v>
      </c>
      <c r="I1621" s="719">
        <f t="shared" si="230"/>
        <v>0</v>
      </c>
      <c r="J1621" s="1386">
        <f t="shared" si="231"/>
        <v>0</v>
      </c>
      <c r="L1621" s="1460">
        <v>49</v>
      </c>
      <c r="M1621" s="1236"/>
      <c r="N1621" s="1240" t="s">
        <v>1806</v>
      </c>
      <c r="O1621" s="1241" t="s">
        <v>4841</v>
      </c>
      <c r="P1621" s="910">
        <f t="shared" si="232"/>
        <v>0</v>
      </c>
      <c r="Q1621" s="910">
        <f t="shared" si="233"/>
        <v>49</v>
      </c>
      <c r="R1621" s="1344">
        <f t="shared" si="234"/>
        <v>4.1500000000000004</v>
      </c>
      <c r="S1621" s="1344">
        <f>(1/9)*cnst_fish!$C$7*(1/cnst_fish!$C$8)^(R1621-1)</f>
        <v>199.20401270320929</v>
      </c>
      <c r="T1621" s="1362">
        <f t="shared" si="235"/>
        <v>843.33188813575021</v>
      </c>
      <c r="W1621" s="1612"/>
      <c r="X1621" s="1612"/>
      <c r="Y1621" s="1613"/>
      <c r="Z1621" s="1614"/>
      <c r="AA1621" s="1614"/>
      <c r="AB1621" s="1615"/>
      <c r="AC1621" s="1615"/>
      <c r="AD1621" s="583"/>
      <c r="AE1621" s="583"/>
    </row>
    <row r="1622" spans="1:31" ht="12.75" customHeight="1">
      <c r="A1622" s="1384" t="s">
        <v>6832</v>
      </c>
      <c r="B1622" s="19" t="s">
        <v>6831</v>
      </c>
      <c r="C1622" s="1383">
        <v>15123</v>
      </c>
      <c r="D1622" s="1236"/>
      <c r="E1622" s="1236"/>
      <c r="F1622" s="1344">
        <f>(1/S1622)*cnst_fish!$C$6</f>
        <v>3.0136363636363641</v>
      </c>
      <c r="G1622" s="719">
        <f t="shared" si="236"/>
        <v>1</v>
      </c>
      <c r="H1622" s="719">
        <f t="shared" si="236"/>
        <v>0.367192066876738</v>
      </c>
      <c r="I1622" s="719">
        <f t="shared" si="230"/>
        <v>0</v>
      </c>
      <c r="J1622" s="1386">
        <f t="shared" si="231"/>
        <v>0</v>
      </c>
      <c r="L1622" s="1460"/>
      <c r="M1622" s="1236">
        <v>4994</v>
      </c>
      <c r="N1622" s="1240" t="s">
        <v>1806</v>
      </c>
      <c r="O1622" s="1241" t="s">
        <v>4845</v>
      </c>
      <c r="P1622" s="910">
        <f t="shared" si="232"/>
        <v>0</v>
      </c>
      <c r="Q1622" s="910">
        <f t="shared" si="233"/>
        <v>4994</v>
      </c>
      <c r="R1622" s="1344">
        <f t="shared" si="234"/>
        <v>2</v>
      </c>
      <c r="S1622" s="1344">
        <f>(1/9)*cnst_fish!$C$7*(1/cnst_fish!$C$8)^(R1622-1)</f>
        <v>1.4102564102564099</v>
      </c>
      <c r="T1622" s="1362">
        <f t="shared" si="235"/>
        <v>608.48654605751801</v>
      </c>
      <c r="W1622" s="1612"/>
      <c r="X1622" s="1612"/>
      <c r="Y1622" s="1613"/>
      <c r="Z1622" s="1614"/>
      <c r="AA1622" s="1614"/>
      <c r="AB1622" s="1615"/>
      <c r="AC1622" s="1615"/>
      <c r="AD1622" s="583"/>
      <c r="AE1622" s="583"/>
    </row>
    <row r="1623" spans="1:31" ht="12.75" customHeight="1">
      <c r="A1623" s="1384" t="s">
        <v>4274</v>
      </c>
      <c r="B1623" s="19" t="s">
        <v>5024</v>
      </c>
      <c r="C1623" s="1383">
        <v>3149</v>
      </c>
      <c r="D1623" s="1236"/>
      <c r="E1623" s="1236"/>
      <c r="F1623" s="1344">
        <f>(1/S1623)*cnst_fish!$C$6</f>
        <v>6.0129950673834844E-2</v>
      </c>
      <c r="G1623" s="719">
        <f t="shared" si="236"/>
        <v>1</v>
      </c>
      <c r="H1623" s="719">
        <f t="shared" si="236"/>
        <v>0.367192066876738</v>
      </c>
      <c r="I1623" s="719">
        <f t="shared" si="230"/>
        <v>0</v>
      </c>
      <c r="J1623" s="1386">
        <f t="shared" si="231"/>
        <v>0</v>
      </c>
      <c r="L1623" s="1460">
        <v>292</v>
      </c>
      <c r="M1623" s="1236"/>
      <c r="N1623" s="1240" t="s">
        <v>1806</v>
      </c>
      <c r="O1623" s="1241" t="s">
        <v>4841</v>
      </c>
      <c r="P1623" s="910">
        <f t="shared" si="232"/>
        <v>0</v>
      </c>
      <c r="Q1623" s="910">
        <f t="shared" si="233"/>
        <v>292</v>
      </c>
      <c r="R1623" s="1344">
        <f t="shared" si="234"/>
        <v>3.7</v>
      </c>
      <c r="S1623" s="1344">
        <f>(1/9)*cnst_fish!$C$7*(1/cnst_fish!$C$8)^(R1623-1)</f>
        <v>70.680250896153822</v>
      </c>
      <c r="T1623" s="1362">
        <f t="shared" si="235"/>
        <v>1783.1393893802679</v>
      </c>
      <c r="W1623" s="1612"/>
      <c r="X1623" s="1612"/>
      <c r="Y1623" s="1613"/>
      <c r="Z1623" s="1614"/>
      <c r="AA1623" s="1614"/>
      <c r="AB1623" s="1615"/>
      <c r="AC1623" s="1615"/>
      <c r="AD1623" s="583"/>
      <c r="AE1623" s="583"/>
    </row>
    <row r="1624" spans="1:31" ht="12.75" customHeight="1">
      <c r="A1624" s="1384" t="s">
        <v>25</v>
      </c>
      <c r="B1624" s="19" t="s">
        <v>5025</v>
      </c>
      <c r="C1624" s="1383">
        <v>3148</v>
      </c>
      <c r="D1624" s="1236"/>
      <c r="E1624" s="1236"/>
      <c r="F1624" s="1344">
        <f>(1/S1624)*cnst_fish!$C$6</f>
        <v>6.4430402969999093E-2</v>
      </c>
      <c r="G1624" s="719">
        <f t="shared" si="236"/>
        <v>1</v>
      </c>
      <c r="H1624" s="719">
        <f t="shared" si="236"/>
        <v>0.367192066876738</v>
      </c>
      <c r="I1624" s="719">
        <f t="shared" si="230"/>
        <v>0</v>
      </c>
      <c r="J1624" s="1386">
        <f t="shared" si="231"/>
        <v>0</v>
      </c>
      <c r="L1624" s="1460">
        <v>860568</v>
      </c>
      <c r="M1624" s="1236">
        <v>738</v>
      </c>
      <c r="N1624" s="1240" t="s">
        <v>1806</v>
      </c>
      <c r="O1624" s="1241" t="s">
        <v>4841</v>
      </c>
      <c r="P1624" s="910">
        <f t="shared" si="232"/>
        <v>0</v>
      </c>
      <c r="Q1624" s="910">
        <f t="shared" si="233"/>
        <v>861306</v>
      </c>
      <c r="R1624" s="1344">
        <f t="shared" si="234"/>
        <v>3.67</v>
      </c>
      <c r="S1624" s="1344">
        <f>(1/9)*cnst_fish!$C$7*(1/cnst_fish!$C$8)^(R1624-1)</f>
        <v>65.962648130245896</v>
      </c>
      <c r="T1624" s="1362">
        <f t="shared" si="235"/>
        <v>4908625.6763068661</v>
      </c>
      <c r="W1624" s="1612"/>
      <c r="X1624" s="1612"/>
      <c r="Y1624" s="1613"/>
      <c r="Z1624" s="1614"/>
      <c r="AA1624" s="1614"/>
      <c r="AB1624" s="1615"/>
      <c r="AC1624" s="1615"/>
      <c r="AD1624" s="583"/>
      <c r="AE1624" s="583"/>
    </row>
    <row r="1625" spans="1:31" ht="12.75" customHeight="1">
      <c r="A1625" s="1384" t="s">
        <v>3059</v>
      </c>
      <c r="B1625" s="19" t="s">
        <v>5026</v>
      </c>
      <c r="C1625" s="1383">
        <v>3165</v>
      </c>
      <c r="D1625" s="1236">
        <v>204</v>
      </c>
      <c r="E1625" s="1236"/>
      <c r="F1625" s="1344">
        <f>(1/S1625)*cnst_fish!$C$6</f>
        <v>2.5650205424007942E-2</v>
      </c>
      <c r="G1625" s="719">
        <f t="shared" si="236"/>
        <v>1</v>
      </c>
      <c r="H1625" s="719">
        <f t="shared" si="236"/>
        <v>0.367192066876738</v>
      </c>
      <c r="I1625" s="719">
        <f t="shared" si="230"/>
        <v>2920.3345706051668</v>
      </c>
      <c r="J1625" s="1386">
        <f t="shared" si="231"/>
        <v>0</v>
      </c>
      <c r="L1625" s="1460">
        <v>204</v>
      </c>
      <c r="M1625" s="1236"/>
      <c r="N1625" s="1240" t="s">
        <v>1806</v>
      </c>
      <c r="O1625" s="1241" t="s">
        <v>4841</v>
      </c>
      <c r="P1625" s="910">
        <f t="shared" si="232"/>
        <v>204</v>
      </c>
      <c r="Q1625" s="910">
        <f t="shared" si="233"/>
        <v>204</v>
      </c>
      <c r="R1625" s="1344">
        <f t="shared" si="234"/>
        <v>4.07</v>
      </c>
      <c r="S1625" s="1344">
        <f>(1/9)*cnst_fish!$C$7*(1/cnst_fish!$C$8)^(R1625-1)</f>
        <v>165.6906808248057</v>
      </c>
      <c r="T1625" s="1362">
        <f t="shared" si="235"/>
        <v>2920.3345706051668</v>
      </c>
      <c r="W1625" s="1612"/>
      <c r="X1625" s="1612"/>
      <c r="Y1625" s="1613"/>
      <c r="Z1625" s="1614"/>
      <c r="AA1625" s="1614"/>
      <c r="AB1625" s="1615"/>
      <c r="AC1625" s="1615"/>
      <c r="AD1625" s="583"/>
      <c r="AE1625" s="583"/>
    </row>
    <row r="1626" spans="1:31" ht="12.75" customHeight="1">
      <c r="A1626" s="1384" t="s">
        <v>3171</v>
      </c>
      <c r="B1626" s="19" t="s">
        <v>2033</v>
      </c>
      <c r="C1626" s="1383">
        <v>2794</v>
      </c>
      <c r="D1626" s="1236"/>
      <c r="E1626" s="1236"/>
      <c r="F1626" s="1344">
        <f>(1/S1626)*cnst_fish!$C$6</f>
        <v>30.136363636363644</v>
      </c>
      <c r="G1626" s="719">
        <f t="shared" si="236"/>
        <v>1</v>
      </c>
      <c r="H1626" s="719">
        <f t="shared" si="236"/>
        <v>0.367192066876738</v>
      </c>
      <c r="I1626" s="719">
        <f t="shared" si="230"/>
        <v>0</v>
      </c>
      <c r="J1626" s="1386">
        <f t="shared" si="231"/>
        <v>0</v>
      </c>
      <c r="L1626" s="1460"/>
      <c r="M1626" s="1236">
        <v>0</v>
      </c>
      <c r="N1626" s="1240" t="s">
        <v>1808</v>
      </c>
      <c r="O1626" s="1241" t="s">
        <v>4831</v>
      </c>
      <c r="P1626" s="910">
        <f t="shared" si="232"/>
        <v>0</v>
      </c>
      <c r="Q1626" s="910">
        <f t="shared" si="233"/>
        <v>0</v>
      </c>
      <c r="R1626" s="1344">
        <f t="shared" si="234"/>
        <v>1</v>
      </c>
      <c r="S1626" s="1344">
        <f>(1/9)*cnst_fish!$C$7*(1/cnst_fish!$C$8)^(R1626-1)</f>
        <v>0.141025641025641</v>
      </c>
      <c r="T1626" s="1362">
        <f t="shared" si="235"/>
        <v>0</v>
      </c>
      <c r="W1626" s="1612"/>
      <c r="X1626" s="1612"/>
      <c r="Y1626" s="1613"/>
      <c r="Z1626" s="1614"/>
      <c r="AA1626" s="1614"/>
      <c r="AB1626" s="1615"/>
      <c r="AC1626" s="1615"/>
      <c r="AD1626" s="583"/>
      <c r="AE1626" s="583"/>
    </row>
    <row r="1627" spans="1:31" ht="12.75" customHeight="1">
      <c r="A1627" s="1384" t="s">
        <v>2651</v>
      </c>
      <c r="B1627" s="19" t="s">
        <v>5247</v>
      </c>
      <c r="C1627" s="1383">
        <v>2760</v>
      </c>
      <c r="D1627" s="1236">
        <v>1.44</v>
      </c>
      <c r="E1627" s="1236"/>
      <c r="F1627" s="1344">
        <f>(1/S1627)*cnst_fish!$C$6</f>
        <v>1.5103960722494616</v>
      </c>
      <c r="G1627" s="719">
        <f t="shared" si="236"/>
        <v>1</v>
      </c>
      <c r="H1627" s="719">
        <f t="shared" si="236"/>
        <v>0.367192066876738</v>
      </c>
      <c r="I1627" s="719">
        <f t="shared" si="230"/>
        <v>0.35007809277139834</v>
      </c>
      <c r="J1627" s="1386">
        <f t="shared" si="231"/>
        <v>0</v>
      </c>
      <c r="L1627" s="1460">
        <v>4132.4799999999996</v>
      </c>
      <c r="M1627" s="1236"/>
      <c r="N1627" s="1240" t="s">
        <v>5367</v>
      </c>
      <c r="O1627" s="1241"/>
      <c r="P1627" s="910">
        <f t="shared" si="232"/>
        <v>1.44</v>
      </c>
      <c r="Q1627" s="910">
        <f t="shared" si="233"/>
        <v>4132.4799999999996</v>
      </c>
      <c r="R1627" s="1344">
        <f t="shared" si="234"/>
        <v>2.2999999999999998</v>
      </c>
      <c r="S1627" s="1344">
        <f>(1/9)*cnst_fish!$C$7*(1/cnst_fish!$C$8)^(R1627-1)</f>
        <v>2.8138314698279068</v>
      </c>
      <c r="T1627" s="1362">
        <f t="shared" si="235"/>
        <v>1004.6463311221862</v>
      </c>
      <c r="W1627" s="1612"/>
      <c r="X1627" s="1612"/>
      <c r="Y1627" s="1613"/>
      <c r="Z1627" s="1614"/>
      <c r="AA1627" s="1614"/>
      <c r="AB1627" s="1615"/>
      <c r="AC1627" s="1615"/>
      <c r="AD1627" s="583"/>
      <c r="AE1627" s="583"/>
    </row>
    <row r="1628" spans="1:31" ht="12.75" customHeight="1">
      <c r="A1628" s="1384" t="s">
        <v>5212</v>
      </c>
      <c r="B1628" s="19" t="s">
        <v>108</v>
      </c>
      <c r="C1628" s="1383">
        <v>6290</v>
      </c>
      <c r="D1628" s="1236"/>
      <c r="E1628" s="1236"/>
      <c r="F1628" s="1344">
        <f>(1/S1628)*cnst_fish!$C$6</f>
        <v>0.60129950673834842</v>
      </c>
      <c r="G1628" s="719">
        <f t="shared" ref="G1628:H1647" si="237">G$7</f>
        <v>1</v>
      </c>
      <c r="H1628" s="719">
        <f t="shared" si="237"/>
        <v>0.367192066876738</v>
      </c>
      <c r="I1628" s="719">
        <f t="shared" si="230"/>
        <v>0</v>
      </c>
      <c r="J1628" s="1386">
        <f t="shared" si="231"/>
        <v>0</v>
      </c>
      <c r="L1628" s="1460">
        <v>2</v>
      </c>
      <c r="M1628" s="1236"/>
      <c r="N1628" s="1240" t="s">
        <v>2441</v>
      </c>
      <c r="O1628" s="1241" t="s">
        <v>4840</v>
      </c>
      <c r="P1628" s="910">
        <f t="shared" si="232"/>
        <v>0</v>
      </c>
      <c r="Q1628" s="910">
        <f t="shared" si="233"/>
        <v>2</v>
      </c>
      <c r="R1628" s="1344">
        <f t="shared" si="234"/>
        <v>2.7</v>
      </c>
      <c r="S1628" s="1344">
        <f>(1/9)*cnst_fish!$C$7*(1/cnst_fish!$C$8)^(R1628-1)</f>
        <v>7.0680250896153813</v>
      </c>
      <c r="T1628" s="1362">
        <f t="shared" si="235"/>
        <v>1.2213283488905946</v>
      </c>
      <c r="W1628" s="1612"/>
      <c r="X1628" s="1612"/>
      <c r="Y1628" s="1613"/>
      <c r="Z1628" s="1614"/>
      <c r="AA1628" s="1614"/>
      <c r="AB1628" s="1615"/>
      <c r="AC1628" s="1615"/>
      <c r="AD1628" s="583"/>
      <c r="AE1628" s="583"/>
    </row>
    <row r="1629" spans="1:31" ht="12.75" customHeight="1">
      <c r="A1629" s="1384" t="s">
        <v>424</v>
      </c>
      <c r="B1629" s="19" t="s">
        <v>425</v>
      </c>
      <c r="C1629" s="1383">
        <v>19137</v>
      </c>
      <c r="D1629" s="1236"/>
      <c r="E1629" s="1236"/>
      <c r="F1629" s="1344">
        <f>(1/S1629)*cnst_fish!$C$6</f>
        <v>3.9727464439222634E-2</v>
      </c>
      <c r="G1629" s="719">
        <f t="shared" si="237"/>
        <v>1</v>
      </c>
      <c r="H1629" s="719">
        <f t="shared" si="237"/>
        <v>0.367192066876738</v>
      </c>
      <c r="I1629" s="719">
        <f t="shared" si="230"/>
        <v>0</v>
      </c>
      <c r="J1629" s="1386">
        <f t="shared" si="231"/>
        <v>0</v>
      </c>
      <c r="L1629" s="1460"/>
      <c r="M1629" s="1236">
        <v>8</v>
      </c>
      <c r="N1629" s="1240" t="s">
        <v>1806</v>
      </c>
      <c r="O1629" s="1241" t="s">
        <v>4845</v>
      </c>
      <c r="P1629" s="910">
        <f t="shared" si="232"/>
        <v>0</v>
      </c>
      <c r="Q1629" s="910">
        <f t="shared" si="233"/>
        <v>8</v>
      </c>
      <c r="R1629" s="1344">
        <f t="shared" si="234"/>
        <v>3.88</v>
      </c>
      <c r="S1629" s="1344">
        <f>(1/9)*cnst_fish!$C$7*(1/cnst_fish!$C$8)^(R1629-1)</f>
        <v>106.97888878616692</v>
      </c>
      <c r="T1629" s="1362">
        <f t="shared" si="235"/>
        <v>73.942210419895204</v>
      </c>
      <c r="W1629" s="1612"/>
      <c r="X1629" s="1612"/>
      <c r="Y1629" s="1613"/>
      <c r="Z1629" s="1614"/>
      <c r="AA1629" s="1614"/>
      <c r="AB1629" s="1615"/>
      <c r="AC1629" s="1615"/>
      <c r="AD1629" s="583"/>
      <c r="AE1629" s="583"/>
    </row>
    <row r="1630" spans="1:31" ht="12.75" customHeight="1">
      <c r="A1630" s="1384" t="s">
        <v>4267</v>
      </c>
      <c r="B1630" s="19" t="s">
        <v>5027</v>
      </c>
      <c r="C1630" s="1383">
        <v>2336</v>
      </c>
      <c r="D1630" s="1236"/>
      <c r="E1630" s="1236"/>
      <c r="F1630" s="1344">
        <f>(1/S1630)*cnst_fish!$C$6</f>
        <v>8.8938714421809756E-2</v>
      </c>
      <c r="G1630" s="719">
        <f t="shared" si="237"/>
        <v>1</v>
      </c>
      <c r="H1630" s="719">
        <f t="shared" si="237"/>
        <v>0.367192066876738</v>
      </c>
      <c r="I1630" s="719">
        <f t="shared" si="230"/>
        <v>0</v>
      </c>
      <c r="J1630" s="1386">
        <f t="shared" si="231"/>
        <v>0</v>
      </c>
      <c r="L1630" s="1460">
        <v>8734</v>
      </c>
      <c r="M1630" s="1236"/>
      <c r="N1630" s="1240" t="s">
        <v>1806</v>
      </c>
      <c r="O1630" s="1241" t="s">
        <v>4841</v>
      </c>
      <c r="P1630" s="910">
        <f t="shared" si="232"/>
        <v>0</v>
      </c>
      <c r="Q1630" s="910">
        <f t="shared" si="233"/>
        <v>8734</v>
      </c>
      <c r="R1630" s="1344">
        <f t="shared" si="234"/>
        <v>3.53</v>
      </c>
      <c r="S1630" s="1344">
        <f>(1/9)*cnst_fish!$C$7*(1/cnst_fish!$C$8)^(R1630-1)</f>
        <v>47.785714327323419</v>
      </c>
      <c r="T1630" s="1362">
        <f t="shared" si="235"/>
        <v>36059.162007799256</v>
      </c>
      <c r="W1630" s="1612"/>
      <c r="X1630" s="1612"/>
      <c r="Y1630" s="1613"/>
      <c r="Z1630" s="1614"/>
      <c r="AA1630" s="1614"/>
      <c r="AB1630" s="1615"/>
      <c r="AC1630" s="1615"/>
      <c r="AD1630" s="583"/>
      <c r="AE1630" s="583"/>
    </row>
    <row r="1631" spans="1:31" ht="12.75" customHeight="1">
      <c r="A1631" s="1384" t="s">
        <v>366</v>
      </c>
      <c r="B1631" s="19" t="s">
        <v>6475</v>
      </c>
      <c r="C1631" s="1383">
        <v>18949</v>
      </c>
      <c r="D1631" s="1236"/>
      <c r="E1631" s="1236"/>
      <c r="F1631" s="1344">
        <f>(1/S1631)*cnst_fish!$C$6</f>
        <v>9.5299549485983348E-2</v>
      </c>
      <c r="G1631" s="719">
        <f t="shared" si="237"/>
        <v>1</v>
      </c>
      <c r="H1631" s="719">
        <f t="shared" si="237"/>
        <v>0.367192066876738</v>
      </c>
      <c r="I1631" s="719">
        <f t="shared" si="230"/>
        <v>0</v>
      </c>
      <c r="J1631" s="1386">
        <f t="shared" si="231"/>
        <v>0</v>
      </c>
      <c r="L1631" s="1460">
        <v>872</v>
      </c>
      <c r="M1631" s="1236"/>
      <c r="N1631" s="1240" t="s">
        <v>1806</v>
      </c>
      <c r="O1631" s="1241" t="s">
        <v>4841</v>
      </c>
      <c r="P1631" s="910">
        <f t="shared" si="232"/>
        <v>0</v>
      </c>
      <c r="Q1631" s="910">
        <f t="shared" si="233"/>
        <v>872</v>
      </c>
      <c r="R1631" s="1344">
        <f t="shared" si="234"/>
        <v>3.5</v>
      </c>
      <c r="S1631" s="1344">
        <f>(1/9)*cnst_fish!$C$7*(1/cnst_fish!$C$8)^(R1631-1)</f>
        <v>44.596223412631026</v>
      </c>
      <c r="T1631" s="1362">
        <f t="shared" si="235"/>
        <v>3359.8425600491355</v>
      </c>
      <c r="W1631" s="1612"/>
      <c r="X1631" s="1612"/>
      <c r="Y1631" s="1613"/>
      <c r="Z1631" s="1614"/>
      <c r="AA1631" s="1614"/>
      <c r="AB1631" s="1615"/>
      <c r="AC1631" s="1615"/>
      <c r="AD1631" s="583"/>
      <c r="AE1631" s="583"/>
    </row>
    <row r="1632" spans="1:31" ht="12.75" customHeight="1">
      <c r="A1632" s="1384" t="s">
        <v>5020</v>
      </c>
      <c r="B1632" s="19" t="s">
        <v>5111</v>
      </c>
      <c r="C1632" s="1383">
        <v>3278</v>
      </c>
      <c r="D1632" s="1236"/>
      <c r="E1632" s="1236"/>
      <c r="F1632" s="1344">
        <f>(1/S1632)*cnst_fish!$C$6</f>
        <v>1.9014759972289439E-2</v>
      </c>
      <c r="G1632" s="719">
        <f t="shared" si="237"/>
        <v>1</v>
      </c>
      <c r="H1632" s="719">
        <f t="shared" si="237"/>
        <v>0.367192066876738</v>
      </c>
      <c r="I1632" s="719">
        <f t="shared" si="230"/>
        <v>0</v>
      </c>
      <c r="J1632" s="1386">
        <f t="shared" si="231"/>
        <v>0</v>
      </c>
      <c r="L1632" s="1460">
        <v>22478</v>
      </c>
      <c r="M1632" s="1236"/>
      <c r="N1632" s="1240" t="s">
        <v>2432</v>
      </c>
      <c r="O1632" s="1241" t="s">
        <v>4859</v>
      </c>
      <c r="P1632" s="910">
        <f t="shared" si="232"/>
        <v>0</v>
      </c>
      <c r="Q1632" s="910">
        <f t="shared" si="233"/>
        <v>22478</v>
      </c>
      <c r="R1632" s="1344">
        <f t="shared" si="234"/>
        <v>4.2</v>
      </c>
      <c r="S1632" s="1344">
        <f>(1/9)*cnst_fish!$C$7*(1/cnst_fish!$C$8)^(R1632-1)</f>
        <v>223.51057842400343</v>
      </c>
      <c r="T1632" s="1362">
        <f t="shared" si="235"/>
        <v>434070.33753166749</v>
      </c>
      <c r="W1632" s="1612"/>
      <c r="X1632" s="1612"/>
      <c r="Y1632" s="1613"/>
      <c r="Z1632" s="1614"/>
      <c r="AA1632" s="1614"/>
      <c r="AB1632" s="1615"/>
      <c r="AC1632" s="1615"/>
      <c r="AD1632" s="583"/>
      <c r="AE1632" s="583"/>
    </row>
    <row r="1633" spans="1:31" ht="12.75" customHeight="1">
      <c r="A1633" s="1384" t="s">
        <v>2230</v>
      </c>
      <c r="B1633" s="19" t="s">
        <v>5112</v>
      </c>
      <c r="C1633" s="1383">
        <v>3277</v>
      </c>
      <c r="D1633" s="1236">
        <v>8411</v>
      </c>
      <c r="E1633" s="1236"/>
      <c r="F1633" s="1344">
        <f>(1/S1633)*cnst_fish!$C$6</f>
        <v>0.24495756009854439</v>
      </c>
      <c r="G1633" s="719">
        <f t="shared" si="237"/>
        <v>1</v>
      </c>
      <c r="H1633" s="719">
        <f t="shared" si="237"/>
        <v>0.367192066876738</v>
      </c>
      <c r="I1633" s="719">
        <f t="shared" si="230"/>
        <v>12608.112496131105</v>
      </c>
      <c r="J1633" s="1386">
        <f t="shared" si="231"/>
        <v>0</v>
      </c>
      <c r="L1633" s="1460">
        <v>1654569</v>
      </c>
      <c r="M1633" s="1236"/>
      <c r="N1633" s="1240" t="s">
        <v>2432</v>
      </c>
      <c r="O1633" s="1241" t="s">
        <v>4859</v>
      </c>
      <c r="P1633" s="910">
        <f t="shared" si="232"/>
        <v>8411</v>
      </c>
      <c r="Q1633" s="910">
        <f t="shared" si="233"/>
        <v>1654569</v>
      </c>
      <c r="R1633" s="1344">
        <f t="shared" si="234"/>
        <v>3.09</v>
      </c>
      <c r="S1633" s="1344">
        <f>(1/9)*cnst_fish!$C$7*(1/cnst_fish!$C$8)^(R1633-1)</f>
        <v>17.349944203764359</v>
      </c>
      <c r="T1633" s="1362">
        <f t="shared" si="235"/>
        <v>2480203.5530390139</v>
      </c>
      <c r="W1633" s="1612"/>
      <c r="X1633" s="1612"/>
      <c r="Y1633" s="1613"/>
      <c r="Z1633" s="1614"/>
      <c r="AA1633" s="1614"/>
      <c r="AB1633" s="1615"/>
      <c r="AC1633" s="1615"/>
      <c r="AD1633" s="583"/>
      <c r="AE1633" s="583"/>
    </row>
    <row r="1634" spans="1:31" ht="12.75" customHeight="1">
      <c r="A1634" s="1384" t="s">
        <v>4230</v>
      </c>
      <c r="B1634" s="19" t="s">
        <v>5113</v>
      </c>
      <c r="C1634" s="1383">
        <v>2473</v>
      </c>
      <c r="D1634" s="1236">
        <v>6763</v>
      </c>
      <c r="E1634" s="1236"/>
      <c r="F1634" s="1344">
        <f>(1/S1634)*cnst_fish!$C$6</f>
        <v>6.7466914312309487E-2</v>
      </c>
      <c r="G1634" s="719">
        <f t="shared" si="237"/>
        <v>1</v>
      </c>
      <c r="H1634" s="719">
        <f t="shared" si="237"/>
        <v>0.367192066876738</v>
      </c>
      <c r="I1634" s="719">
        <f t="shared" si="230"/>
        <v>36807.966891621894</v>
      </c>
      <c r="J1634" s="1386">
        <f t="shared" si="231"/>
        <v>0</v>
      </c>
      <c r="L1634" s="1460">
        <v>981998</v>
      </c>
      <c r="M1634" s="1236"/>
      <c r="N1634" s="1240" t="s">
        <v>2432</v>
      </c>
      <c r="O1634" s="1241" t="s">
        <v>4859</v>
      </c>
      <c r="P1634" s="910">
        <f t="shared" si="232"/>
        <v>6763</v>
      </c>
      <c r="Q1634" s="910">
        <f t="shared" si="233"/>
        <v>981998</v>
      </c>
      <c r="R1634" s="1344">
        <f t="shared" si="234"/>
        <v>3.65</v>
      </c>
      <c r="S1634" s="1344">
        <f>(1/9)*cnst_fish!$C$7*(1/cnst_fish!$C$8)^(R1634-1)</f>
        <v>62.993839918725584</v>
      </c>
      <c r="T1634" s="1362">
        <f t="shared" si="235"/>
        <v>5344573.3951854082</v>
      </c>
      <c r="W1634" s="1612"/>
      <c r="X1634" s="1612"/>
      <c r="Y1634" s="1613"/>
      <c r="Z1634" s="1614"/>
      <c r="AA1634" s="1614"/>
      <c r="AB1634" s="1615"/>
      <c r="AC1634" s="1615"/>
      <c r="AD1634" s="583"/>
      <c r="AE1634" s="583"/>
    </row>
    <row r="1635" spans="1:31" ht="12.75" customHeight="1">
      <c r="A1635" s="1384" t="s">
        <v>3643</v>
      </c>
      <c r="B1635" s="19" t="s">
        <v>383</v>
      </c>
      <c r="C1635" s="1383">
        <v>3276</v>
      </c>
      <c r="D1635" s="1236"/>
      <c r="E1635" s="1236"/>
      <c r="F1635" s="1344">
        <f>(1/S1635)*cnst_fish!$C$6</f>
        <v>6.7466914312309487E-2</v>
      </c>
      <c r="G1635" s="719">
        <f t="shared" si="237"/>
        <v>1</v>
      </c>
      <c r="H1635" s="719">
        <f t="shared" si="237"/>
        <v>0.367192066876738</v>
      </c>
      <c r="I1635" s="719">
        <f t="shared" si="230"/>
        <v>0</v>
      </c>
      <c r="J1635" s="1386">
        <f t="shared" si="231"/>
        <v>0</v>
      </c>
      <c r="L1635" s="1460">
        <v>834</v>
      </c>
      <c r="M1635" s="1236"/>
      <c r="N1635" s="1240" t="s">
        <v>2432</v>
      </c>
      <c r="O1635" s="1241" t="s">
        <v>4859</v>
      </c>
      <c r="P1635" s="910">
        <f t="shared" si="232"/>
        <v>0</v>
      </c>
      <c r="Q1635" s="910">
        <f t="shared" si="233"/>
        <v>834</v>
      </c>
      <c r="R1635" s="1344">
        <f t="shared" si="234"/>
        <v>3.65</v>
      </c>
      <c r="S1635" s="1344">
        <f>(1/9)*cnst_fish!$C$7*(1/cnst_fish!$C$8)^(R1635-1)</f>
        <v>62.993839918725584</v>
      </c>
      <c r="T1635" s="1362">
        <f t="shared" si="235"/>
        <v>4539.086853114396</v>
      </c>
      <c r="W1635" s="1612"/>
      <c r="X1635" s="1612"/>
      <c r="Y1635" s="1613"/>
      <c r="Z1635" s="1614"/>
      <c r="AA1635" s="1614"/>
      <c r="AB1635" s="1615"/>
      <c r="AC1635" s="1615"/>
      <c r="AD1635" s="583"/>
      <c r="AE1635" s="583"/>
    </row>
    <row r="1636" spans="1:31" ht="12.75" customHeight="1">
      <c r="A1636" s="1384" t="s">
        <v>4474</v>
      </c>
      <c r="B1636" s="19" t="s">
        <v>4049</v>
      </c>
      <c r="C1636" s="1383">
        <v>3000</v>
      </c>
      <c r="D1636" s="1236"/>
      <c r="E1636" s="1236"/>
      <c r="F1636" s="1344">
        <f>(1/S1636)*cnst_fish!$C$6</f>
        <v>6.9038420626592392E-2</v>
      </c>
      <c r="G1636" s="719">
        <f t="shared" si="237"/>
        <v>1</v>
      </c>
      <c r="H1636" s="719">
        <f t="shared" si="237"/>
        <v>0.367192066876738</v>
      </c>
      <c r="I1636" s="719">
        <f t="shared" si="230"/>
        <v>0</v>
      </c>
      <c r="J1636" s="1386">
        <f t="shared" si="231"/>
        <v>0</v>
      </c>
      <c r="L1636" s="1460">
        <v>8547</v>
      </c>
      <c r="M1636" s="1236"/>
      <c r="N1636" s="1240" t="s">
        <v>1806</v>
      </c>
      <c r="O1636" s="1241" t="s">
        <v>4859</v>
      </c>
      <c r="P1636" s="910">
        <f t="shared" si="232"/>
        <v>0</v>
      </c>
      <c r="Q1636" s="910">
        <f t="shared" si="233"/>
        <v>8547</v>
      </c>
      <c r="R1636" s="1344">
        <f t="shared" si="234"/>
        <v>3.64</v>
      </c>
      <c r="S1636" s="1344">
        <f>(1/9)*cnst_fish!$C$7*(1/cnst_fish!$C$8)^(R1636-1)</f>
        <v>61.559925059510611</v>
      </c>
      <c r="T1636" s="1362">
        <f t="shared" si="235"/>
        <v>45458.609381724855</v>
      </c>
      <c r="W1636" s="1612"/>
      <c r="X1636" s="1612"/>
      <c r="Y1636" s="1613"/>
      <c r="Z1636" s="1614"/>
      <c r="AA1636" s="1614"/>
      <c r="AB1636" s="1615"/>
      <c r="AC1636" s="1615"/>
      <c r="AD1636" s="583"/>
      <c r="AE1636" s="583"/>
    </row>
    <row r="1637" spans="1:31" ht="12.75" customHeight="1">
      <c r="A1637" s="1384" t="s">
        <v>4325</v>
      </c>
      <c r="B1637" s="19" t="s">
        <v>4050</v>
      </c>
      <c r="C1637" s="1383">
        <v>15152</v>
      </c>
      <c r="D1637" s="1236"/>
      <c r="E1637" s="1236"/>
      <c r="F1637" s="1344">
        <f>(1/S1637)*cnst_fish!$C$6</f>
        <v>9.979087888316248E-3</v>
      </c>
      <c r="G1637" s="719">
        <f t="shared" si="237"/>
        <v>1</v>
      </c>
      <c r="H1637" s="719">
        <f t="shared" si="237"/>
        <v>0.367192066876738</v>
      </c>
      <c r="I1637" s="719">
        <f t="shared" si="230"/>
        <v>0</v>
      </c>
      <c r="J1637" s="1386">
        <f t="shared" si="231"/>
        <v>0</v>
      </c>
      <c r="L1637" s="1460">
        <v>19082</v>
      </c>
      <c r="M1637" s="1236"/>
      <c r="N1637" s="1240" t="s">
        <v>1806</v>
      </c>
      <c r="O1637" s="1241" t="s">
        <v>4859</v>
      </c>
      <c r="P1637" s="910">
        <f t="shared" si="232"/>
        <v>0</v>
      </c>
      <c r="Q1637" s="910">
        <f t="shared" si="233"/>
        <v>19082</v>
      </c>
      <c r="R1637" s="1344">
        <f t="shared" si="234"/>
        <v>4.4800000000000004</v>
      </c>
      <c r="S1637" s="1344">
        <f>(1/9)*cnst_fish!$C$7*(1/cnst_fish!$C$8)^(R1637-1)</f>
        <v>425.89062723618264</v>
      </c>
      <c r="T1637" s="1362">
        <f t="shared" si="235"/>
        <v>702144.23387788713</v>
      </c>
      <c r="W1637" s="1612"/>
      <c r="X1637" s="1612"/>
      <c r="Y1637" s="1613"/>
      <c r="Z1637" s="1614"/>
      <c r="AA1637" s="1614"/>
      <c r="AB1637" s="1615"/>
      <c r="AC1637" s="1615"/>
      <c r="AD1637" s="583"/>
      <c r="AE1637" s="583"/>
    </row>
    <row r="1638" spans="1:31" ht="12.75" customHeight="1">
      <c r="A1638" s="1384" t="s">
        <v>234</v>
      </c>
      <c r="B1638" s="19" t="s">
        <v>351</v>
      </c>
      <c r="C1638" s="1383">
        <v>15153</v>
      </c>
      <c r="D1638" s="1236"/>
      <c r="E1638" s="1236"/>
      <c r="F1638" s="1344">
        <f>(1/S1638)*cnst_fish!$C$6</f>
        <v>9.5299549485983424E-3</v>
      </c>
      <c r="G1638" s="719">
        <f t="shared" si="237"/>
        <v>1</v>
      </c>
      <c r="H1638" s="719">
        <f t="shared" si="237"/>
        <v>0.367192066876738</v>
      </c>
      <c r="I1638" s="719">
        <f t="shared" si="230"/>
        <v>0</v>
      </c>
      <c r="J1638" s="1386">
        <f t="shared" si="231"/>
        <v>0</v>
      </c>
      <c r="L1638" s="1460">
        <v>28</v>
      </c>
      <c r="M1638" s="1236"/>
      <c r="N1638" s="1240" t="s">
        <v>1806</v>
      </c>
      <c r="O1638" s="1241" t="s">
        <v>4859</v>
      </c>
      <c r="P1638" s="910">
        <f t="shared" si="232"/>
        <v>0</v>
      </c>
      <c r="Q1638" s="910">
        <f t="shared" si="233"/>
        <v>28</v>
      </c>
      <c r="R1638" s="1344">
        <f t="shared" si="234"/>
        <v>4.5</v>
      </c>
      <c r="S1638" s="1344">
        <f>(1/9)*cnst_fish!$C$7*(1/cnst_fish!$C$8)^(R1638-1)</f>
        <v>445.96223412630997</v>
      </c>
      <c r="T1638" s="1362">
        <f t="shared" si="235"/>
        <v>1078.8485284561434</v>
      </c>
      <c r="W1638" s="1612"/>
      <c r="X1638" s="1612"/>
      <c r="Y1638" s="1613"/>
      <c r="Z1638" s="1614"/>
      <c r="AA1638" s="1614"/>
      <c r="AB1638" s="1615"/>
      <c r="AC1638" s="1615"/>
      <c r="AD1638" s="583"/>
      <c r="AE1638" s="583"/>
    </row>
    <row r="1639" spans="1:31" ht="12.75" customHeight="1">
      <c r="A1639" s="1384" t="s">
        <v>1310</v>
      </c>
      <c r="B1639" s="19" t="s">
        <v>352</v>
      </c>
      <c r="C1639" s="1383">
        <v>2324</v>
      </c>
      <c r="D1639" s="1236"/>
      <c r="E1639" s="1236"/>
      <c r="F1639" s="1344">
        <f>(1/S1639)*cnst_fish!$C$6</f>
        <v>9.979087888316248E-3</v>
      </c>
      <c r="G1639" s="719">
        <f t="shared" si="237"/>
        <v>1</v>
      </c>
      <c r="H1639" s="719">
        <f t="shared" si="237"/>
        <v>0.367192066876738</v>
      </c>
      <c r="I1639" s="719">
        <f t="shared" si="230"/>
        <v>0</v>
      </c>
      <c r="J1639" s="1386">
        <f t="shared" si="231"/>
        <v>0</v>
      </c>
      <c r="L1639" s="1460">
        <v>39953</v>
      </c>
      <c r="M1639" s="1236"/>
      <c r="N1639" s="1240" t="s">
        <v>1806</v>
      </c>
      <c r="O1639" s="1241" t="s">
        <v>4859</v>
      </c>
      <c r="P1639" s="910">
        <f t="shared" si="232"/>
        <v>0</v>
      </c>
      <c r="Q1639" s="910">
        <f t="shared" si="233"/>
        <v>39953</v>
      </c>
      <c r="R1639" s="1344">
        <f t="shared" si="234"/>
        <v>4.4800000000000004</v>
      </c>
      <c r="S1639" s="1344">
        <f>(1/9)*cnst_fish!$C$7*(1/cnst_fish!$C$8)^(R1639-1)</f>
        <v>425.89062723618264</v>
      </c>
      <c r="T1639" s="1362">
        <f t="shared" si="235"/>
        <v>1470116.7894415273</v>
      </c>
      <c r="W1639" s="1612"/>
      <c r="X1639" s="1612"/>
      <c r="Y1639" s="1613"/>
      <c r="Z1639" s="1614"/>
      <c r="AA1639" s="1614"/>
      <c r="AB1639" s="1615"/>
      <c r="AC1639" s="1615"/>
      <c r="AD1639" s="583"/>
      <c r="AE1639" s="583"/>
    </row>
    <row r="1640" spans="1:31" ht="12.75" customHeight="1">
      <c r="A1640" s="1384" t="s">
        <v>2332</v>
      </c>
      <c r="B1640" s="19" t="s">
        <v>353</v>
      </c>
      <c r="C1640" s="1383">
        <v>15155</v>
      </c>
      <c r="D1640" s="1236"/>
      <c r="E1640" s="1236"/>
      <c r="F1640" s="1344">
        <f>(1/S1640)*cnst_fish!$C$6</f>
        <v>1.1196720767792065E-2</v>
      </c>
      <c r="G1640" s="719">
        <f t="shared" si="237"/>
        <v>1</v>
      </c>
      <c r="H1640" s="719">
        <f t="shared" si="237"/>
        <v>0.367192066876738</v>
      </c>
      <c r="I1640" s="719">
        <f t="shared" si="230"/>
        <v>0</v>
      </c>
      <c r="J1640" s="1386">
        <f t="shared" si="231"/>
        <v>0</v>
      </c>
      <c r="L1640" s="1460">
        <v>294</v>
      </c>
      <c r="M1640" s="1236"/>
      <c r="N1640" s="1240" t="s">
        <v>1806</v>
      </c>
      <c r="O1640" s="1241" t="s">
        <v>4859</v>
      </c>
      <c r="P1640" s="910">
        <f t="shared" si="232"/>
        <v>0</v>
      </c>
      <c r="Q1640" s="910">
        <f t="shared" si="233"/>
        <v>294</v>
      </c>
      <c r="R1640" s="1344">
        <f t="shared" si="234"/>
        <v>4.43</v>
      </c>
      <c r="S1640" s="1344">
        <f>(1/9)*cnst_fish!$C$7*(1/cnst_fish!$C$8)^(R1640-1)</f>
        <v>379.57542106661629</v>
      </c>
      <c r="T1640" s="1362">
        <f t="shared" si="235"/>
        <v>9641.6147102906671</v>
      </c>
      <c r="W1640" s="1612"/>
      <c r="X1640" s="1612"/>
      <c r="Y1640" s="1613"/>
      <c r="Z1640" s="1614"/>
      <c r="AA1640" s="1614"/>
      <c r="AB1640" s="1615"/>
      <c r="AC1640" s="1615"/>
      <c r="AD1640" s="583"/>
      <c r="AE1640" s="583"/>
    </row>
    <row r="1641" spans="1:31" ht="12.75" customHeight="1">
      <c r="A1641" s="1384" t="s">
        <v>3721</v>
      </c>
      <c r="B1641" s="19" t="s">
        <v>1579</v>
      </c>
      <c r="C1641" s="1383">
        <v>3286</v>
      </c>
      <c r="D1641" s="1236"/>
      <c r="E1641" s="1236"/>
      <c r="F1641" s="1344">
        <f>(1/S1641)*cnst_fish!$C$6</f>
        <v>0.14760152601876345</v>
      </c>
      <c r="G1641" s="719">
        <f t="shared" si="237"/>
        <v>1</v>
      </c>
      <c r="H1641" s="719">
        <f t="shared" si="237"/>
        <v>0.367192066876738</v>
      </c>
      <c r="I1641" s="719">
        <f t="shared" si="230"/>
        <v>0</v>
      </c>
      <c r="J1641" s="1386">
        <f t="shared" si="231"/>
        <v>0</v>
      </c>
      <c r="L1641" s="1460">
        <v>2448</v>
      </c>
      <c r="M1641" s="1236"/>
      <c r="N1641" s="1240" t="s">
        <v>2432</v>
      </c>
      <c r="O1641" s="1241" t="s">
        <v>4859</v>
      </c>
      <c r="P1641" s="910">
        <f t="shared" si="232"/>
        <v>0</v>
      </c>
      <c r="Q1641" s="910">
        <f t="shared" si="233"/>
        <v>2448</v>
      </c>
      <c r="R1641" s="1344">
        <f t="shared" si="234"/>
        <v>3.31</v>
      </c>
      <c r="S1641" s="1344">
        <f>(1/9)*cnst_fish!$C$7*(1/cnst_fish!$C$8)^(R1641-1)</f>
        <v>28.793740245339542</v>
      </c>
      <c r="T1641" s="1362">
        <f t="shared" si="235"/>
        <v>6089.9518044277274</v>
      </c>
      <c r="W1641" s="1612"/>
      <c r="X1641" s="1612"/>
      <c r="Y1641" s="1613"/>
      <c r="Z1641" s="1614"/>
      <c r="AA1641" s="1614"/>
      <c r="AB1641" s="1615"/>
      <c r="AC1641" s="1615"/>
      <c r="AD1641" s="583"/>
      <c r="AE1641" s="583"/>
    </row>
    <row r="1642" spans="1:31" ht="12.75" customHeight="1">
      <c r="A1642" s="1384" t="s">
        <v>2577</v>
      </c>
      <c r="B1642" s="19" t="s">
        <v>1580</v>
      </c>
      <c r="C1642" s="1383">
        <v>2483</v>
      </c>
      <c r="D1642" s="1236">
        <v>1893</v>
      </c>
      <c r="E1642" s="1236"/>
      <c r="F1642" s="1344">
        <f>(1/S1642)*cnst_fish!$C$6</f>
        <v>9.5299549485983424E-3</v>
      </c>
      <c r="G1642" s="719">
        <f t="shared" si="237"/>
        <v>1</v>
      </c>
      <c r="H1642" s="719">
        <f t="shared" si="237"/>
        <v>0.367192066876738</v>
      </c>
      <c r="I1642" s="719">
        <f t="shared" si="230"/>
        <v>72937.866584552845</v>
      </c>
      <c r="J1642" s="1386">
        <f t="shared" si="231"/>
        <v>0</v>
      </c>
      <c r="L1642" s="1460">
        <v>12704</v>
      </c>
      <c r="M1642" s="1236"/>
      <c r="N1642" s="1240" t="s">
        <v>2432</v>
      </c>
      <c r="O1642" s="1241" t="s">
        <v>4859</v>
      </c>
      <c r="P1642" s="910">
        <f t="shared" si="232"/>
        <v>1893</v>
      </c>
      <c r="Q1642" s="910">
        <f t="shared" si="233"/>
        <v>12704</v>
      </c>
      <c r="R1642" s="1344">
        <f t="shared" si="234"/>
        <v>4.5</v>
      </c>
      <c r="S1642" s="1344">
        <f>(1/9)*cnst_fish!$C$7*(1/cnst_fish!$C$8)^(R1642-1)</f>
        <v>445.96223412630997</v>
      </c>
      <c r="T1642" s="1362">
        <f t="shared" si="235"/>
        <v>489488.98948238732</v>
      </c>
      <c r="W1642" s="1612"/>
      <c r="X1642" s="1612"/>
      <c r="Y1642" s="1613"/>
      <c r="Z1642" s="1614"/>
      <c r="AA1642" s="1614"/>
      <c r="AB1642" s="1615"/>
      <c r="AC1642" s="1615"/>
      <c r="AD1642" s="583"/>
      <c r="AE1642" s="583"/>
    </row>
    <row r="1643" spans="1:31" ht="12.75" customHeight="1">
      <c r="A1643" s="1384" t="s">
        <v>3628</v>
      </c>
      <c r="B1643" s="19" t="s">
        <v>1581</v>
      </c>
      <c r="C1643" s="1383">
        <v>3280</v>
      </c>
      <c r="D1643" s="1236"/>
      <c r="E1643" s="1236"/>
      <c r="F1643" s="1344">
        <f>(1/S1643)*cnst_fish!$C$6</f>
        <v>9.5299549485983424E-3</v>
      </c>
      <c r="G1643" s="719">
        <f t="shared" si="237"/>
        <v>1</v>
      </c>
      <c r="H1643" s="719">
        <f t="shared" si="237"/>
        <v>0.367192066876738</v>
      </c>
      <c r="I1643" s="719">
        <f t="shared" si="230"/>
        <v>0</v>
      </c>
      <c r="J1643" s="1386">
        <f t="shared" si="231"/>
        <v>0</v>
      </c>
      <c r="L1643" s="1460">
        <v>276086</v>
      </c>
      <c r="M1643" s="1236"/>
      <c r="N1643" s="1240" t="s">
        <v>2432</v>
      </c>
      <c r="O1643" s="1241" t="s">
        <v>4859</v>
      </c>
      <c r="P1643" s="910">
        <f t="shared" si="232"/>
        <v>0</v>
      </c>
      <c r="Q1643" s="910">
        <f t="shared" si="233"/>
        <v>276086</v>
      </c>
      <c r="R1643" s="1344">
        <f t="shared" si="234"/>
        <v>4.5</v>
      </c>
      <c r="S1643" s="1344">
        <f>(1/9)*cnst_fish!$C$7*(1/cnst_fish!$C$8)^(R1643-1)</f>
        <v>445.96223412630997</v>
      </c>
      <c r="T1643" s="1362">
        <f t="shared" si="235"/>
        <v>10637677.672405101</v>
      </c>
      <c r="W1643" s="1612"/>
      <c r="X1643" s="1612"/>
      <c r="Y1643" s="1613"/>
      <c r="Z1643" s="1614"/>
      <c r="AA1643" s="1614"/>
      <c r="AB1643" s="1615"/>
      <c r="AC1643" s="1615"/>
      <c r="AD1643" s="583"/>
      <c r="AE1643" s="583"/>
    </row>
    <row r="1644" spans="1:31" ht="12.75" customHeight="1">
      <c r="A1644" s="1384" t="s">
        <v>1480</v>
      </c>
      <c r="B1644" s="19" t="s">
        <v>1582</v>
      </c>
      <c r="C1644" s="1383">
        <v>3281</v>
      </c>
      <c r="D1644" s="1236"/>
      <c r="E1644" s="1236"/>
      <c r="F1644" s="1344">
        <f>(1/S1644)*cnst_fish!$C$6</f>
        <v>1.581578846116358E-2</v>
      </c>
      <c r="G1644" s="719">
        <f t="shared" si="237"/>
        <v>1</v>
      </c>
      <c r="H1644" s="719">
        <f t="shared" si="237"/>
        <v>0.367192066876738</v>
      </c>
      <c r="I1644" s="719">
        <f t="shared" si="230"/>
        <v>0</v>
      </c>
      <c r="J1644" s="1386">
        <f t="shared" si="231"/>
        <v>0</v>
      </c>
      <c r="L1644" s="1460">
        <v>48961</v>
      </c>
      <c r="M1644" s="1236"/>
      <c r="N1644" s="1240" t="s">
        <v>2432</v>
      </c>
      <c r="O1644" s="1241" t="s">
        <v>4859</v>
      </c>
      <c r="P1644" s="910">
        <f t="shared" si="232"/>
        <v>0</v>
      </c>
      <c r="Q1644" s="910">
        <f t="shared" si="233"/>
        <v>48961</v>
      </c>
      <c r="R1644" s="1344">
        <f t="shared" si="234"/>
        <v>4.28</v>
      </c>
      <c r="S1644" s="1344">
        <f>(1/9)*cnst_fish!$C$7*(1/cnst_fish!$C$8)^(R1644-1)</f>
        <v>268.71881919994547</v>
      </c>
      <c r="T1644" s="1362">
        <f t="shared" si="235"/>
        <v>1136717.959430099</v>
      </c>
      <c r="W1644" s="1612"/>
      <c r="X1644" s="1612"/>
      <c r="Y1644" s="1613"/>
      <c r="Z1644" s="1614"/>
      <c r="AA1644" s="1614"/>
      <c r="AB1644" s="1615"/>
      <c r="AC1644" s="1615"/>
      <c r="AD1644" s="583"/>
      <c r="AE1644" s="583"/>
    </row>
    <row r="1645" spans="1:31" ht="12.75" customHeight="1">
      <c r="A1645" s="1384" t="s">
        <v>5116</v>
      </c>
      <c r="B1645" s="19" t="s">
        <v>1583</v>
      </c>
      <c r="C1645" s="1383">
        <v>2482</v>
      </c>
      <c r="D1645" s="1236"/>
      <c r="E1645" s="1236"/>
      <c r="F1645" s="1344">
        <f>(1/S1645)*cnst_fish!$C$6</f>
        <v>9.5299549485983424E-3</v>
      </c>
      <c r="G1645" s="719">
        <f t="shared" si="237"/>
        <v>1</v>
      </c>
      <c r="H1645" s="719">
        <f t="shared" si="237"/>
        <v>0.367192066876738</v>
      </c>
      <c r="I1645" s="719">
        <f t="shared" si="230"/>
        <v>0</v>
      </c>
      <c r="J1645" s="1386">
        <f t="shared" si="231"/>
        <v>0</v>
      </c>
      <c r="L1645" s="1460">
        <v>25</v>
      </c>
      <c r="M1645" s="1236"/>
      <c r="N1645" s="1240" t="s">
        <v>1806</v>
      </c>
      <c r="O1645" s="1241" t="s">
        <v>4859</v>
      </c>
      <c r="P1645" s="910">
        <f t="shared" si="232"/>
        <v>0</v>
      </c>
      <c r="Q1645" s="910">
        <f t="shared" si="233"/>
        <v>25</v>
      </c>
      <c r="R1645" s="1344">
        <f t="shared" si="234"/>
        <v>4.5</v>
      </c>
      <c r="S1645" s="1344">
        <f>(1/9)*cnst_fish!$C$7*(1/cnst_fish!$C$8)^(R1645-1)</f>
        <v>445.96223412630997</v>
      </c>
      <c r="T1645" s="1362">
        <f t="shared" si="235"/>
        <v>963.25761469298516</v>
      </c>
      <c r="W1645" s="1612"/>
      <c r="X1645" s="1612"/>
      <c r="Y1645" s="1613"/>
      <c r="Z1645" s="1614"/>
      <c r="AA1645" s="1614"/>
      <c r="AB1645" s="1615"/>
      <c r="AC1645" s="1615"/>
      <c r="AD1645" s="583"/>
      <c r="AE1645" s="583"/>
    </row>
    <row r="1646" spans="1:31" ht="12.75" customHeight="1">
      <c r="A1646" s="1384" t="s">
        <v>2210</v>
      </c>
      <c r="B1646" s="19" t="s">
        <v>3729</v>
      </c>
      <c r="C1646" s="1383">
        <v>3282</v>
      </c>
      <c r="D1646" s="1236">
        <v>1914</v>
      </c>
      <c r="E1646" s="1236"/>
      <c r="F1646" s="1344">
        <f>(1/S1646)*cnst_fish!$C$6</f>
        <v>9.5299549485983424E-3</v>
      </c>
      <c r="G1646" s="719">
        <f t="shared" si="237"/>
        <v>1</v>
      </c>
      <c r="H1646" s="719">
        <f t="shared" si="237"/>
        <v>0.367192066876738</v>
      </c>
      <c r="I1646" s="719">
        <f t="shared" si="230"/>
        <v>73747.002980894948</v>
      </c>
      <c r="J1646" s="1386">
        <f t="shared" si="231"/>
        <v>0</v>
      </c>
      <c r="L1646" s="1460">
        <v>8073</v>
      </c>
      <c r="M1646" s="1236"/>
      <c r="N1646" s="1240" t="s">
        <v>2432</v>
      </c>
      <c r="O1646" s="1241" t="s">
        <v>4859</v>
      </c>
      <c r="P1646" s="910">
        <f t="shared" si="232"/>
        <v>1914</v>
      </c>
      <c r="Q1646" s="910">
        <f t="shared" si="233"/>
        <v>8073</v>
      </c>
      <c r="R1646" s="1344">
        <f t="shared" si="234"/>
        <v>4.5</v>
      </c>
      <c r="S1646" s="1344">
        <f>(1/9)*cnst_fish!$C$7*(1/cnst_fish!$C$8)^(R1646-1)</f>
        <v>445.96223412630997</v>
      </c>
      <c r="T1646" s="1362">
        <f t="shared" si="235"/>
        <v>311055.14893665875</v>
      </c>
      <c r="W1646" s="1612"/>
      <c r="X1646" s="1612"/>
      <c r="Y1646" s="1613"/>
      <c r="Z1646" s="1614"/>
      <c r="AA1646" s="1614"/>
      <c r="AB1646" s="1615"/>
      <c r="AC1646" s="1615"/>
      <c r="AD1646" s="583"/>
      <c r="AE1646" s="583"/>
    </row>
    <row r="1647" spans="1:31" ht="12.75" customHeight="1">
      <c r="A1647" s="1384" t="s">
        <v>4607</v>
      </c>
      <c r="B1647" s="19" t="s">
        <v>3000</v>
      </c>
      <c r="C1647" s="1383">
        <v>3285</v>
      </c>
      <c r="D1647" s="1236"/>
      <c r="E1647" s="1236"/>
      <c r="F1647" s="1344">
        <f>(1/S1647)*cnst_fish!$C$6</f>
        <v>9.5299549485983424E-3</v>
      </c>
      <c r="G1647" s="719">
        <f t="shared" si="237"/>
        <v>1</v>
      </c>
      <c r="H1647" s="719">
        <f t="shared" si="237"/>
        <v>0.367192066876738</v>
      </c>
      <c r="I1647" s="719">
        <f t="shared" si="230"/>
        <v>0</v>
      </c>
      <c r="J1647" s="1386">
        <f t="shared" si="231"/>
        <v>0</v>
      </c>
      <c r="L1647" s="1460">
        <v>49229</v>
      </c>
      <c r="M1647" s="1236"/>
      <c r="N1647" s="1240" t="s">
        <v>2432</v>
      </c>
      <c r="O1647" s="1241" t="s">
        <v>4859</v>
      </c>
      <c r="P1647" s="910">
        <f t="shared" si="232"/>
        <v>0</v>
      </c>
      <c r="Q1647" s="910">
        <f t="shared" si="233"/>
        <v>49229</v>
      </c>
      <c r="R1647" s="1344">
        <f t="shared" si="234"/>
        <v>4.5</v>
      </c>
      <c r="S1647" s="1344">
        <f>(1/9)*cnst_fish!$C$7*(1/cnst_fish!$C$8)^(R1647-1)</f>
        <v>445.96223412630997</v>
      </c>
      <c r="T1647" s="1362">
        <f t="shared" si="235"/>
        <v>1896808.3645488387</v>
      </c>
      <c r="W1647" s="1612"/>
      <c r="X1647" s="1612"/>
      <c r="Y1647" s="1613"/>
      <c r="Z1647" s="1614"/>
      <c r="AA1647" s="1614"/>
      <c r="AB1647" s="1615"/>
      <c r="AC1647" s="1615"/>
      <c r="AD1647" s="583"/>
      <c r="AE1647" s="583"/>
    </row>
    <row r="1648" spans="1:31" ht="12.75" customHeight="1">
      <c r="A1648" s="1384" t="s">
        <v>2650</v>
      </c>
      <c r="B1648" s="19" t="s">
        <v>3089</v>
      </c>
      <c r="C1648" s="1383">
        <v>2484</v>
      </c>
      <c r="D1648" s="1236"/>
      <c r="E1648" s="1236"/>
      <c r="F1648" s="1344">
        <f>(1/S1648)*cnst_fish!$C$6</f>
        <v>9.979087888316248E-3</v>
      </c>
      <c r="G1648" s="719">
        <f t="shared" ref="G1648:H1667" si="238">G$7</f>
        <v>1</v>
      </c>
      <c r="H1648" s="719">
        <f t="shared" si="238"/>
        <v>0.367192066876738</v>
      </c>
      <c r="I1648" s="719">
        <f t="shared" si="230"/>
        <v>0</v>
      </c>
      <c r="J1648" s="1386">
        <f t="shared" si="231"/>
        <v>0</v>
      </c>
      <c r="L1648" s="1460">
        <v>109</v>
      </c>
      <c r="M1648" s="1236"/>
      <c r="N1648" s="1240" t="s">
        <v>2432</v>
      </c>
      <c r="O1648" s="1241" t="s">
        <v>4859</v>
      </c>
      <c r="P1648" s="910">
        <f t="shared" si="232"/>
        <v>0</v>
      </c>
      <c r="Q1648" s="910">
        <f t="shared" si="233"/>
        <v>109</v>
      </c>
      <c r="R1648" s="1344">
        <f t="shared" si="234"/>
        <v>4.4800000000000004</v>
      </c>
      <c r="S1648" s="1344">
        <f>(1/9)*cnst_fish!$C$7*(1/cnst_fish!$C$8)^(R1648-1)</f>
        <v>425.89062723618264</v>
      </c>
      <c r="T1648" s="1362">
        <f t="shared" si="235"/>
        <v>4010.7809188077608</v>
      </c>
      <c r="W1648" s="1612"/>
      <c r="X1648" s="1612"/>
      <c r="Y1648" s="1613"/>
      <c r="Z1648" s="1614"/>
      <c r="AA1648" s="1614"/>
      <c r="AB1648" s="1615"/>
      <c r="AC1648" s="1615"/>
      <c r="AD1648" s="583"/>
      <c r="AE1648" s="583"/>
    </row>
    <row r="1649" spans="1:31" ht="12.75" customHeight="1">
      <c r="A1649" s="1585" t="s">
        <v>8591</v>
      </c>
      <c r="B1649" s="1586" t="s">
        <v>8592</v>
      </c>
      <c r="C1649" s="1383">
        <v>2486</v>
      </c>
      <c r="D1649" s="1236"/>
      <c r="E1649" s="1236"/>
      <c r="F1649" s="1344">
        <f>(1/S1649)*cnst_fish!$C$6</f>
        <v>9.5299549485983424E-3</v>
      </c>
      <c r="G1649" s="719">
        <f t="shared" si="238"/>
        <v>1</v>
      </c>
      <c r="H1649" s="719">
        <f t="shared" si="238"/>
        <v>0.367192066876738</v>
      </c>
      <c r="I1649" s="719">
        <f t="shared" si="230"/>
        <v>0</v>
      </c>
      <c r="J1649" s="1386">
        <f t="shared" si="231"/>
        <v>0</v>
      </c>
      <c r="L1649" s="1460">
        <v>11</v>
      </c>
      <c r="M1649" s="1236"/>
      <c r="N1649" s="1240" t="s">
        <v>2432</v>
      </c>
      <c r="O1649" s="1241" t="s">
        <v>4859</v>
      </c>
      <c r="P1649" s="910">
        <f t="shared" si="232"/>
        <v>0</v>
      </c>
      <c r="Q1649" s="910">
        <f t="shared" si="233"/>
        <v>11</v>
      </c>
      <c r="R1649" s="1344">
        <f t="shared" si="234"/>
        <v>4.5</v>
      </c>
      <c r="S1649" s="1344">
        <f>(1/9)*cnst_fish!$C$7*(1/cnst_fish!$C$8)^(R1649-1)</f>
        <v>445.96223412630997</v>
      </c>
      <c r="T1649" s="1362">
        <f t="shared" si="235"/>
        <v>423.83335046491351</v>
      </c>
      <c r="W1649" s="1616"/>
      <c r="X1649" s="1616"/>
      <c r="Y1649" s="1613"/>
      <c r="Z1649" s="1614"/>
      <c r="AA1649" s="1614"/>
      <c r="AB1649" s="1615"/>
      <c r="AC1649" s="1615"/>
      <c r="AD1649" s="583"/>
      <c r="AE1649" s="583"/>
    </row>
    <row r="1650" spans="1:31" ht="12.75" customHeight="1">
      <c r="A1650" s="1384" t="s">
        <v>2188</v>
      </c>
      <c r="B1650" s="19" t="s">
        <v>3090</v>
      </c>
      <c r="C1650" s="1383">
        <v>3283</v>
      </c>
      <c r="D1650" s="1236"/>
      <c r="E1650" s="1236"/>
      <c r="F1650" s="1344">
        <f>(1/S1650)*cnst_fish!$C$6</f>
        <v>9.7519361156519751E-3</v>
      </c>
      <c r="G1650" s="719">
        <f t="shared" si="238"/>
        <v>1</v>
      </c>
      <c r="H1650" s="719">
        <f t="shared" si="238"/>
        <v>0.367192066876738</v>
      </c>
      <c r="I1650" s="719">
        <f t="shared" si="230"/>
        <v>0</v>
      </c>
      <c r="J1650" s="1386">
        <f t="shared" si="231"/>
        <v>0</v>
      </c>
      <c r="L1650" s="1460">
        <v>11247</v>
      </c>
      <c r="M1650" s="1236"/>
      <c r="N1650" s="1240" t="s">
        <v>1806</v>
      </c>
      <c r="O1650" s="1241" t="s">
        <v>4859</v>
      </c>
      <c r="P1650" s="910">
        <f t="shared" si="232"/>
        <v>0</v>
      </c>
      <c r="Q1650" s="910">
        <f t="shared" si="233"/>
        <v>11247</v>
      </c>
      <c r="R1650" s="1344">
        <f t="shared" si="234"/>
        <v>4.49</v>
      </c>
      <c r="S1650" s="1344">
        <f>(1/9)*cnst_fish!$C$7*(1/cnst_fish!$C$8)^(R1650-1)</f>
        <v>435.81089432883982</v>
      </c>
      <c r="T1650" s="1362">
        <f t="shared" si="235"/>
        <v>423486.07775785966</v>
      </c>
      <c r="W1650" s="1612"/>
      <c r="X1650" s="1612"/>
      <c r="Y1650" s="1613"/>
      <c r="Z1650" s="1614"/>
      <c r="AA1650" s="1614"/>
      <c r="AB1650" s="1615"/>
      <c r="AC1650" s="1615"/>
      <c r="AD1650" s="583"/>
      <c r="AE1650" s="583"/>
    </row>
    <row r="1651" spans="1:31" ht="12.75" customHeight="1">
      <c r="A1651" s="1384" t="s">
        <v>1768</v>
      </c>
      <c r="B1651" s="19" t="s">
        <v>4161</v>
      </c>
      <c r="C1651" s="1383">
        <v>2480</v>
      </c>
      <c r="D1651" s="1236"/>
      <c r="E1651" s="1236"/>
      <c r="F1651" s="1344">
        <f>(1/S1651)*cnst_fish!$C$6</f>
        <v>1.4424170509541314E-2</v>
      </c>
      <c r="G1651" s="719">
        <f t="shared" si="238"/>
        <v>1</v>
      </c>
      <c r="H1651" s="719">
        <f t="shared" si="238"/>
        <v>0.367192066876738</v>
      </c>
      <c r="I1651" s="719">
        <f t="shared" si="230"/>
        <v>0</v>
      </c>
      <c r="J1651" s="1386">
        <f t="shared" si="231"/>
        <v>0</v>
      </c>
      <c r="L1651" s="1460">
        <v>528318</v>
      </c>
      <c r="M1651" s="1236"/>
      <c r="N1651" s="1240" t="s">
        <v>1806</v>
      </c>
      <c r="O1651" s="1241" t="s">
        <v>4859</v>
      </c>
      <c r="P1651" s="910">
        <f t="shared" si="232"/>
        <v>0</v>
      </c>
      <c r="Q1651" s="910">
        <f t="shared" si="233"/>
        <v>528318</v>
      </c>
      <c r="R1651" s="1344">
        <f t="shared" si="234"/>
        <v>4.32</v>
      </c>
      <c r="S1651" s="1344">
        <f>(1/9)*cnst_fish!$C$7*(1/cnst_fish!$C$8)^(R1651-1)</f>
        <v>294.64432614608279</v>
      </c>
      <c r="T1651" s="1362">
        <f t="shared" si="235"/>
        <v>13449243.286458727</v>
      </c>
      <c r="W1651" s="1612"/>
      <c r="X1651" s="1612"/>
      <c r="Y1651" s="1613"/>
      <c r="Z1651" s="1614"/>
      <c r="AA1651" s="1614"/>
      <c r="AB1651" s="1615"/>
      <c r="AC1651" s="1615"/>
      <c r="AD1651" s="583"/>
      <c r="AE1651" s="583"/>
    </row>
    <row r="1652" spans="1:31" ht="12.75" customHeight="1">
      <c r="A1652" s="1384" t="s">
        <v>837</v>
      </c>
      <c r="B1652" s="19" t="s">
        <v>4162</v>
      </c>
      <c r="C1652" s="1383">
        <v>2485</v>
      </c>
      <c r="D1652" s="1236"/>
      <c r="E1652" s="1236"/>
      <c r="F1652" s="1344">
        <f>(1/S1652)*cnst_fish!$C$6</f>
        <v>1.6561163607618418E-2</v>
      </c>
      <c r="G1652" s="719">
        <f t="shared" si="238"/>
        <v>1</v>
      </c>
      <c r="H1652" s="719">
        <f t="shared" si="238"/>
        <v>0.367192066876738</v>
      </c>
      <c r="I1652" s="719">
        <f t="shared" si="230"/>
        <v>0</v>
      </c>
      <c r="J1652" s="1386">
        <f t="shared" si="231"/>
        <v>0</v>
      </c>
      <c r="L1652" s="1460">
        <v>4530</v>
      </c>
      <c r="M1652" s="1236"/>
      <c r="N1652" s="1240" t="s">
        <v>2432</v>
      </c>
      <c r="O1652" s="1241" t="s">
        <v>4859</v>
      </c>
      <c r="P1652" s="910">
        <f t="shared" si="232"/>
        <v>0</v>
      </c>
      <c r="Q1652" s="910">
        <f t="shared" si="233"/>
        <v>4530</v>
      </c>
      <c r="R1652" s="1344">
        <f t="shared" si="234"/>
        <v>4.26</v>
      </c>
      <c r="S1652" s="1344">
        <f>(1/9)*cnst_fish!$C$7*(1/cnst_fish!$C$8)^(R1652-1)</f>
        <v>256.62448006038221</v>
      </c>
      <c r="T1652" s="1362">
        <f t="shared" si="235"/>
        <v>100438.59854065086</v>
      </c>
      <c r="W1652" s="1612"/>
      <c r="X1652" s="1612"/>
      <c r="Y1652" s="1613"/>
      <c r="Z1652" s="1614"/>
      <c r="AA1652" s="1614"/>
      <c r="AB1652" s="1615"/>
      <c r="AC1652" s="1615"/>
      <c r="AD1652" s="583"/>
      <c r="AE1652" s="583"/>
    </row>
    <row r="1653" spans="1:31" ht="12.75" customHeight="1">
      <c r="A1653" s="1384" t="s">
        <v>3046</v>
      </c>
      <c r="B1653" s="19" t="s">
        <v>354</v>
      </c>
      <c r="C1653" s="1383">
        <v>3273</v>
      </c>
      <c r="D1653" s="1236"/>
      <c r="E1653" s="1236"/>
      <c r="F1653" s="1344">
        <f>(1/S1653)*cnst_fish!$C$6</f>
        <v>1.9014759972289439E-2</v>
      </c>
      <c r="G1653" s="719">
        <f t="shared" si="238"/>
        <v>1</v>
      </c>
      <c r="H1653" s="719">
        <f t="shared" si="238"/>
        <v>0.367192066876738</v>
      </c>
      <c r="I1653" s="719">
        <f t="shared" si="230"/>
        <v>0</v>
      </c>
      <c r="J1653" s="1386">
        <f t="shared" si="231"/>
        <v>0</v>
      </c>
      <c r="L1653" s="1460">
        <v>48546</v>
      </c>
      <c r="M1653" s="1236"/>
      <c r="N1653" s="1240" t="s">
        <v>2432</v>
      </c>
      <c r="O1653" s="1241" t="s">
        <v>4859</v>
      </c>
      <c r="P1653" s="910">
        <f t="shared" si="232"/>
        <v>0</v>
      </c>
      <c r="Q1653" s="910">
        <f t="shared" si="233"/>
        <v>48546</v>
      </c>
      <c r="R1653" s="1344">
        <f t="shared" si="234"/>
        <v>4.2</v>
      </c>
      <c r="S1653" s="1344">
        <f>(1/9)*cnst_fish!$C$7*(1/cnst_fish!$C$8)^(R1653-1)</f>
        <v>223.51057842400343</v>
      </c>
      <c r="T1653" s="1362">
        <f t="shared" si="235"/>
        <v>937466.79445735074</v>
      </c>
      <c r="W1653" s="1612"/>
      <c r="X1653" s="1612"/>
      <c r="Y1653" s="1613"/>
      <c r="Z1653" s="1614"/>
      <c r="AA1653" s="1614"/>
      <c r="AB1653" s="1615"/>
      <c r="AC1653" s="1615"/>
      <c r="AD1653" s="583"/>
      <c r="AE1653" s="583"/>
    </row>
    <row r="1654" spans="1:31" ht="12.75" customHeight="1">
      <c r="A1654" s="1384" t="s">
        <v>3779</v>
      </c>
      <c r="B1654" s="19" t="s">
        <v>4163</v>
      </c>
      <c r="C1654" s="1383">
        <v>3271</v>
      </c>
      <c r="D1654" s="1236">
        <v>12</v>
      </c>
      <c r="E1654" s="1236"/>
      <c r="F1654" s="1344">
        <f>(1/S1654)*cnst_fish!$C$6</f>
        <v>0.11196720767792057</v>
      </c>
      <c r="G1654" s="719">
        <f t="shared" si="238"/>
        <v>1</v>
      </c>
      <c r="H1654" s="719">
        <f t="shared" si="238"/>
        <v>0.367192066876738</v>
      </c>
      <c r="I1654" s="719">
        <f t="shared" si="230"/>
        <v>39.353529429757849</v>
      </c>
      <c r="J1654" s="1386">
        <f t="shared" si="231"/>
        <v>0</v>
      </c>
      <c r="L1654" s="1460">
        <v>94065</v>
      </c>
      <c r="M1654" s="1236"/>
      <c r="N1654" s="1240" t="s">
        <v>2969</v>
      </c>
      <c r="O1654" s="1241" t="s">
        <v>4859</v>
      </c>
      <c r="P1654" s="910">
        <f t="shared" si="232"/>
        <v>12</v>
      </c>
      <c r="Q1654" s="910">
        <f t="shared" si="233"/>
        <v>94065</v>
      </c>
      <c r="R1654" s="1344">
        <f t="shared" si="234"/>
        <v>3.43</v>
      </c>
      <c r="S1654" s="1344">
        <f>(1/9)*cnst_fish!$C$7*(1/cnst_fish!$C$8)^(R1654-1)</f>
        <v>37.957542106661656</v>
      </c>
      <c r="T1654" s="1362">
        <f t="shared" si="235"/>
        <v>308482.47881751432</v>
      </c>
      <c r="W1654" s="1612"/>
      <c r="X1654" s="1612"/>
      <c r="Y1654" s="1613"/>
      <c r="Z1654" s="1614"/>
      <c r="AA1654" s="1614"/>
      <c r="AB1654" s="1615"/>
      <c r="AC1654" s="1615"/>
      <c r="AD1654" s="583"/>
      <c r="AE1654" s="583"/>
    </row>
    <row r="1655" spans="1:31" ht="12.75" customHeight="1">
      <c r="A1655" s="1384" t="s">
        <v>2721</v>
      </c>
      <c r="B1655" s="19" t="s">
        <v>1410</v>
      </c>
      <c r="C1655" s="1383">
        <v>2558</v>
      </c>
      <c r="D1655" s="1236"/>
      <c r="E1655" s="1236"/>
      <c r="F1655" s="1344">
        <f>(1/S1655)*cnst_fish!$C$6</f>
        <v>3.8823156944206696E-2</v>
      </c>
      <c r="G1655" s="719">
        <f t="shared" si="238"/>
        <v>1</v>
      </c>
      <c r="H1655" s="719">
        <f t="shared" si="238"/>
        <v>0.367192066876738</v>
      </c>
      <c r="I1655" s="719">
        <f t="shared" si="230"/>
        <v>0</v>
      </c>
      <c r="J1655" s="1386">
        <f t="shared" si="231"/>
        <v>0</v>
      </c>
      <c r="L1655" s="1460">
        <v>759</v>
      </c>
      <c r="M1655" s="1236"/>
      <c r="N1655" s="1240" t="s">
        <v>1806</v>
      </c>
      <c r="O1655" s="1241" t="s">
        <v>4841</v>
      </c>
      <c r="P1655" s="910">
        <f t="shared" si="232"/>
        <v>0</v>
      </c>
      <c r="Q1655" s="910">
        <f t="shared" si="233"/>
        <v>759</v>
      </c>
      <c r="R1655" s="1344">
        <f t="shared" si="234"/>
        <v>3.89</v>
      </c>
      <c r="S1655" s="1344">
        <f>(1/9)*cnst_fish!$C$7*(1/cnst_fish!$C$8)^(R1655-1)</f>
        <v>109.47074721686684</v>
      </c>
      <c r="T1655" s="1362">
        <f t="shared" si="235"/>
        <v>7178.673778641084</v>
      </c>
      <c r="W1655" s="1612"/>
      <c r="X1655" s="1612"/>
      <c r="Y1655" s="1613"/>
      <c r="Z1655" s="1614"/>
      <c r="AA1655" s="1614"/>
      <c r="AB1655" s="1615"/>
      <c r="AC1655" s="1615"/>
      <c r="AD1655" s="583"/>
      <c r="AE1655" s="583"/>
    </row>
    <row r="1656" spans="1:31" ht="12.75" customHeight="1">
      <c r="A1656" s="1384" t="s">
        <v>1037</v>
      </c>
      <c r="B1656" s="19" t="s">
        <v>2912</v>
      </c>
      <c r="C1656" s="1383">
        <v>3370</v>
      </c>
      <c r="D1656" s="1236">
        <v>22</v>
      </c>
      <c r="E1656" s="1236"/>
      <c r="F1656" s="1344">
        <f>(1/S1656)*cnst_fish!$C$6</f>
        <v>8.4935812883106004E-2</v>
      </c>
      <c r="G1656" s="719">
        <f t="shared" si="238"/>
        <v>1</v>
      </c>
      <c r="H1656" s="719">
        <f t="shared" si="238"/>
        <v>0.367192066876738</v>
      </c>
      <c r="I1656" s="719">
        <f t="shared" si="230"/>
        <v>95.109768154052958</v>
      </c>
      <c r="J1656" s="1386">
        <f t="shared" si="231"/>
        <v>0</v>
      </c>
      <c r="L1656" s="1460">
        <v>22</v>
      </c>
      <c r="M1656" s="1236"/>
      <c r="N1656" s="1240" t="s">
        <v>1807</v>
      </c>
      <c r="O1656" s="1241" t="s">
        <v>4841</v>
      </c>
      <c r="P1656" s="910">
        <f t="shared" si="232"/>
        <v>22</v>
      </c>
      <c r="Q1656" s="910">
        <f t="shared" si="233"/>
        <v>22</v>
      </c>
      <c r="R1656" s="1344">
        <f t="shared" si="234"/>
        <v>3.55</v>
      </c>
      <c r="S1656" s="1344">
        <f>(1/9)*cnst_fish!$C$7*(1/cnst_fish!$C$8)^(R1656-1)</f>
        <v>50.037785661145278</v>
      </c>
      <c r="T1656" s="1362">
        <f t="shared" si="235"/>
        <v>95.109768154052958</v>
      </c>
      <c r="W1656" s="1612"/>
      <c r="X1656" s="1612"/>
      <c r="Y1656" s="1613"/>
      <c r="Z1656" s="1614"/>
      <c r="AA1656" s="1614"/>
      <c r="AB1656" s="1615"/>
      <c r="AC1656" s="1615"/>
      <c r="AD1656" s="583"/>
      <c r="AE1656" s="583"/>
    </row>
    <row r="1657" spans="1:31" ht="12.75" customHeight="1">
      <c r="A1657" s="1384" t="s">
        <v>743</v>
      </c>
      <c r="B1657" s="19" t="s">
        <v>2913</v>
      </c>
      <c r="C1657" s="1383">
        <v>2562</v>
      </c>
      <c r="D1657" s="1236"/>
      <c r="E1657" s="1236"/>
      <c r="F1657" s="1344">
        <f>(1/S1657)*cnst_fish!$C$6</f>
        <v>4.8875458843134996E-2</v>
      </c>
      <c r="G1657" s="719">
        <f t="shared" si="238"/>
        <v>1</v>
      </c>
      <c r="H1657" s="719">
        <f t="shared" si="238"/>
        <v>0.367192066876738</v>
      </c>
      <c r="I1657" s="719">
        <f t="shared" si="230"/>
        <v>0</v>
      </c>
      <c r="J1657" s="1386">
        <f t="shared" si="231"/>
        <v>0</v>
      </c>
      <c r="L1657" s="1460">
        <v>2638</v>
      </c>
      <c r="M1657" s="1236"/>
      <c r="N1657" s="1240" t="s">
        <v>1806</v>
      </c>
      <c r="O1657" s="1241" t="s">
        <v>4841</v>
      </c>
      <c r="P1657" s="910">
        <f t="shared" si="232"/>
        <v>0</v>
      </c>
      <c r="Q1657" s="910">
        <f t="shared" si="233"/>
        <v>2638</v>
      </c>
      <c r="R1657" s="1344">
        <f t="shared" si="234"/>
        <v>3.79</v>
      </c>
      <c r="S1657" s="1344">
        <f>(1/9)*cnst_fish!$C$7*(1/cnst_fish!$C$8)^(R1657-1)</f>
        <v>86.955705390721903</v>
      </c>
      <c r="T1657" s="1362">
        <f t="shared" si="235"/>
        <v>19818.794449167428</v>
      </c>
      <c r="W1657" s="1612"/>
      <c r="X1657" s="1612"/>
      <c r="Y1657" s="1613"/>
      <c r="Z1657" s="1614"/>
      <c r="AA1657" s="1614"/>
      <c r="AB1657" s="1615"/>
      <c r="AC1657" s="1615"/>
      <c r="AD1657" s="583"/>
      <c r="AE1657" s="583"/>
    </row>
    <row r="1658" spans="1:31" ht="12.75" customHeight="1">
      <c r="A1658" s="1384" t="s">
        <v>6467</v>
      </c>
      <c r="B1658" s="19" t="s">
        <v>6466</v>
      </c>
      <c r="C1658" s="1383">
        <v>3331</v>
      </c>
      <c r="D1658" s="1236"/>
      <c r="E1658" s="1236"/>
      <c r="F1658" s="1344">
        <f>(1/S1658)*cnst_fish!$C$6</f>
        <v>3.7939434000887833E-2</v>
      </c>
      <c r="G1658" s="719">
        <f t="shared" si="238"/>
        <v>1</v>
      </c>
      <c r="H1658" s="719">
        <f t="shared" si="238"/>
        <v>0.367192066876738</v>
      </c>
      <c r="I1658" s="719">
        <f t="shared" si="230"/>
        <v>0</v>
      </c>
      <c r="J1658" s="1386">
        <f t="shared" si="231"/>
        <v>0</v>
      </c>
      <c r="L1658" s="1460">
        <v>92</v>
      </c>
      <c r="M1658" s="1236"/>
      <c r="N1658" s="1240" t="s">
        <v>1806</v>
      </c>
      <c r="O1658" s="1241" t="s">
        <v>4841</v>
      </c>
      <c r="P1658" s="910">
        <f t="shared" si="232"/>
        <v>0</v>
      </c>
      <c r="Q1658" s="910">
        <f t="shared" si="233"/>
        <v>92</v>
      </c>
      <c r="R1658" s="1344">
        <f t="shared" si="234"/>
        <v>3.9</v>
      </c>
      <c r="S1658" s="1344">
        <f>(1/9)*cnst_fish!$C$7*(1/cnst_fish!$C$8)^(R1658-1)</f>
        <v>112.02064848675771</v>
      </c>
      <c r="T1658" s="1362">
        <f t="shared" si="235"/>
        <v>890.4104935215787</v>
      </c>
      <c r="W1658" s="1612"/>
      <c r="X1658" s="1612"/>
      <c r="Y1658" s="1613"/>
      <c r="Z1658" s="1614"/>
      <c r="AA1658" s="1614"/>
      <c r="AB1658" s="1615"/>
      <c r="AC1658" s="1615"/>
      <c r="AD1658" s="583"/>
      <c r="AE1658" s="583"/>
    </row>
    <row r="1659" spans="1:31" ht="12.75" customHeight="1">
      <c r="A1659" s="1384" t="s">
        <v>3492</v>
      </c>
      <c r="B1659" s="19" t="s">
        <v>1208</v>
      </c>
      <c r="C1659" s="1383">
        <v>2527</v>
      </c>
      <c r="D1659" s="1236"/>
      <c r="E1659" s="1236"/>
      <c r="F1659" s="1344">
        <f>(1/S1659)*cnst_fish!$C$6</f>
        <v>1.6184185499703532E-2</v>
      </c>
      <c r="G1659" s="719">
        <f t="shared" si="238"/>
        <v>1</v>
      </c>
      <c r="H1659" s="719">
        <f t="shared" si="238"/>
        <v>0.367192066876738</v>
      </c>
      <c r="I1659" s="719">
        <f t="shared" si="230"/>
        <v>0</v>
      </c>
      <c r="J1659" s="1386">
        <f t="shared" si="231"/>
        <v>0</v>
      </c>
      <c r="L1659" s="1460">
        <v>252</v>
      </c>
      <c r="M1659" s="1236"/>
      <c r="N1659" s="1240" t="s">
        <v>1806</v>
      </c>
      <c r="O1659" s="1241" t="s">
        <v>4841</v>
      </c>
      <c r="P1659" s="910">
        <f t="shared" si="232"/>
        <v>0</v>
      </c>
      <c r="Q1659" s="910">
        <f t="shared" si="233"/>
        <v>252</v>
      </c>
      <c r="R1659" s="1344">
        <f t="shared" si="234"/>
        <v>4.2699999999999996</v>
      </c>
      <c r="S1659" s="1344">
        <f>(1/9)*cnst_fish!$C$7*(1/cnst_fish!$C$8)^(R1659-1)</f>
        <v>262.60203209348123</v>
      </c>
      <c r="T1659" s="1362">
        <f t="shared" si="235"/>
        <v>5717.4579996400198</v>
      </c>
      <c r="W1659" s="1612"/>
      <c r="X1659" s="1612"/>
      <c r="Y1659" s="1613"/>
      <c r="Z1659" s="1614"/>
      <c r="AA1659" s="1614"/>
      <c r="AB1659" s="1615"/>
      <c r="AC1659" s="1615"/>
      <c r="AD1659" s="583"/>
      <c r="AE1659" s="583"/>
    </row>
    <row r="1660" spans="1:31" ht="12.75" customHeight="1">
      <c r="A1660" s="1384" t="s">
        <v>53</v>
      </c>
      <c r="B1660" s="19" t="s">
        <v>2045</v>
      </c>
      <c r="C1660" s="1383">
        <v>15174</v>
      </c>
      <c r="D1660" s="1236">
        <v>49</v>
      </c>
      <c r="E1660" s="1236"/>
      <c r="F1660" s="1344">
        <f>(1/S1660)*cnst_fish!$C$6</f>
        <v>7.2292101150450983E-2</v>
      </c>
      <c r="G1660" s="719">
        <f t="shared" si="238"/>
        <v>1</v>
      </c>
      <c r="H1660" s="719">
        <f t="shared" si="238"/>
        <v>0.367192066876738</v>
      </c>
      <c r="I1660" s="719">
        <f t="shared" si="230"/>
        <v>248.88488494082068</v>
      </c>
      <c r="J1660" s="1386">
        <f t="shared" si="231"/>
        <v>0</v>
      </c>
      <c r="L1660" s="1460">
        <v>49</v>
      </c>
      <c r="M1660" s="1236"/>
      <c r="N1660" s="1240" t="s">
        <v>1806</v>
      </c>
      <c r="O1660" s="1241" t="s">
        <v>4841</v>
      </c>
      <c r="P1660" s="910">
        <f t="shared" si="232"/>
        <v>49</v>
      </c>
      <c r="Q1660" s="910">
        <f t="shared" si="233"/>
        <v>49</v>
      </c>
      <c r="R1660" s="1344">
        <f t="shared" si="234"/>
        <v>3.62</v>
      </c>
      <c r="S1660" s="1344">
        <f>(1/9)*cnst_fish!$C$7*(1/cnst_fish!$C$8)^(R1660-1)</f>
        <v>58.789272027867845</v>
      </c>
      <c r="T1660" s="1362">
        <f t="shared" si="235"/>
        <v>248.88488494082068</v>
      </c>
      <c r="W1660" s="1612"/>
      <c r="X1660" s="1612"/>
      <c r="Y1660" s="1613"/>
      <c r="Z1660" s="1614"/>
      <c r="AA1660" s="1614"/>
      <c r="AB1660" s="1615"/>
      <c r="AC1660" s="1615"/>
      <c r="AD1660" s="583"/>
      <c r="AE1660" s="583"/>
    </row>
    <row r="1661" spans="1:31" ht="12.75" customHeight="1">
      <c r="A1661" s="1384" t="s">
        <v>3048</v>
      </c>
      <c r="B1661" s="19" t="s">
        <v>1456</v>
      </c>
      <c r="C1661" s="1383">
        <v>2521</v>
      </c>
      <c r="D1661" s="1236">
        <v>14884</v>
      </c>
      <c r="E1661" s="1236"/>
      <c r="F1661" s="1344">
        <f>(1/S1661)*cnst_fish!$C$6</f>
        <v>5.1178888253733429E-2</v>
      </c>
      <c r="G1661" s="719">
        <f t="shared" si="238"/>
        <v>1</v>
      </c>
      <c r="H1661" s="719">
        <f t="shared" si="238"/>
        <v>0.367192066876738</v>
      </c>
      <c r="I1661" s="719">
        <f t="shared" si="230"/>
        <v>106787.91411602582</v>
      </c>
      <c r="J1661" s="1386">
        <f t="shared" si="231"/>
        <v>0</v>
      </c>
      <c r="L1661" s="1460">
        <v>46295</v>
      </c>
      <c r="M1661" s="1236"/>
      <c r="N1661" s="1240" t="s">
        <v>1806</v>
      </c>
      <c r="O1661" s="1241" t="s">
        <v>4841</v>
      </c>
      <c r="P1661" s="910">
        <f t="shared" si="232"/>
        <v>14884</v>
      </c>
      <c r="Q1661" s="910">
        <f t="shared" si="233"/>
        <v>46295</v>
      </c>
      <c r="R1661" s="1344">
        <f t="shared" si="234"/>
        <v>3.77</v>
      </c>
      <c r="S1661" s="1344">
        <f>(1/9)*cnst_fish!$C$7*(1/cnst_fish!$C$8)^(R1661-1)</f>
        <v>83.042053960403649</v>
      </c>
      <c r="T1661" s="1362">
        <f t="shared" si="235"/>
        <v>332151.73904873797</v>
      </c>
      <c r="W1661" s="1612"/>
      <c r="X1661" s="1612"/>
      <c r="Y1661" s="1613"/>
      <c r="Z1661" s="1614"/>
      <c r="AA1661" s="1614"/>
      <c r="AB1661" s="1615"/>
      <c r="AC1661" s="1615"/>
      <c r="AD1661" s="583"/>
      <c r="AE1661" s="583"/>
    </row>
    <row r="1662" spans="1:31" ht="12.75" customHeight="1">
      <c r="A1662" s="1585" t="s">
        <v>8593</v>
      </c>
      <c r="B1662" s="1586" t="s">
        <v>8594</v>
      </c>
      <c r="C1662" s="1383">
        <v>15182</v>
      </c>
      <c r="D1662" s="1236"/>
      <c r="E1662" s="1236"/>
      <c r="F1662" s="1344">
        <f>(1/S1662)*cnst_fish!$C$6</f>
        <v>0.23938164528281752</v>
      </c>
      <c r="G1662" s="719">
        <f t="shared" si="238"/>
        <v>1</v>
      </c>
      <c r="H1662" s="719">
        <f t="shared" si="238"/>
        <v>0.367192066876738</v>
      </c>
      <c r="I1662" s="719">
        <f t="shared" si="230"/>
        <v>0</v>
      </c>
      <c r="J1662" s="1386">
        <f t="shared" si="231"/>
        <v>0</v>
      </c>
      <c r="L1662" s="1460">
        <v>3</v>
      </c>
      <c r="M1662" s="1236"/>
      <c r="N1662" s="1240" t="s">
        <v>1806</v>
      </c>
      <c r="O1662" s="1241" t="s">
        <v>4841</v>
      </c>
      <c r="P1662" s="910">
        <f t="shared" si="232"/>
        <v>0</v>
      </c>
      <c r="Q1662" s="910">
        <f t="shared" si="233"/>
        <v>3</v>
      </c>
      <c r="R1662" s="1344">
        <f t="shared" si="234"/>
        <v>3.1</v>
      </c>
      <c r="S1662" s="1344">
        <f>(1/9)*cnst_fish!$C$7*(1/cnst_fish!$C$8)^(R1662-1)</f>
        <v>17.754076320174157</v>
      </c>
      <c r="T1662" s="1362">
        <f t="shared" si="235"/>
        <v>4.6017571619944224</v>
      </c>
      <c r="W1662" s="1616"/>
      <c r="X1662" s="1616"/>
      <c r="Y1662" s="1613"/>
      <c r="Z1662" s="1614"/>
      <c r="AA1662" s="1614"/>
      <c r="AB1662" s="1615"/>
      <c r="AC1662" s="1615"/>
      <c r="AD1662" s="583"/>
      <c r="AE1662" s="583"/>
    </row>
    <row r="1663" spans="1:31" ht="12.75" customHeight="1">
      <c r="A1663" s="1384" t="s">
        <v>3475</v>
      </c>
      <c r="B1663" s="19" t="s">
        <v>3826</v>
      </c>
      <c r="C1663" s="1383">
        <v>2802</v>
      </c>
      <c r="D1663" s="1236"/>
      <c r="E1663" s="1236"/>
      <c r="F1663" s="1344">
        <f>(1/S1663)*cnst_fish!$C$6</f>
        <v>3.6231878188697476E-2</v>
      </c>
      <c r="G1663" s="719">
        <f t="shared" si="238"/>
        <v>1</v>
      </c>
      <c r="H1663" s="719">
        <f t="shared" si="238"/>
        <v>0.367192066876738</v>
      </c>
      <c r="I1663" s="719">
        <f t="shared" si="230"/>
        <v>0</v>
      </c>
      <c r="J1663" s="1386">
        <f t="shared" si="231"/>
        <v>0</v>
      </c>
      <c r="L1663" s="1460">
        <v>919</v>
      </c>
      <c r="M1663" s="1236"/>
      <c r="N1663" s="1240" t="s">
        <v>3927</v>
      </c>
      <c r="O1663" s="1241" t="s">
        <v>4841</v>
      </c>
      <c r="P1663" s="910">
        <f t="shared" si="232"/>
        <v>0</v>
      </c>
      <c r="Q1663" s="910">
        <f t="shared" si="233"/>
        <v>919</v>
      </c>
      <c r="R1663" s="1344">
        <f t="shared" si="234"/>
        <v>3.92</v>
      </c>
      <c r="S1663" s="1344">
        <f>(1/9)*cnst_fish!$C$7*(1/cnst_fish!$C$8)^(R1663-1)</f>
        <v>117.30001900165877</v>
      </c>
      <c r="T1663" s="1362">
        <f t="shared" si="235"/>
        <v>9313.6079698178455</v>
      </c>
      <c r="W1663" s="1612"/>
      <c r="X1663" s="1612"/>
      <c r="Y1663" s="1613"/>
      <c r="Z1663" s="1614"/>
      <c r="AA1663" s="1614"/>
      <c r="AB1663" s="1615"/>
      <c r="AC1663" s="1615"/>
      <c r="AD1663" s="583"/>
      <c r="AE1663" s="583"/>
    </row>
    <row r="1664" spans="1:31" ht="12.75" customHeight="1">
      <c r="A1664" s="1384" t="s">
        <v>1142</v>
      </c>
      <c r="B1664" s="19" t="s">
        <v>3001</v>
      </c>
      <c r="C1664" s="1383">
        <v>2016</v>
      </c>
      <c r="D1664" s="1236"/>
      <c r="E1664" s="1236"/>
      <c r="F1664" s="1344">
        <f>(1/S1664)*cnst_fish!$C$6</f>
        <v>6.1530557150722649E-2</v>
      </c>
      <c r="G1664" s="719">
        <f t="shared" si="238"/>
        <v>1</v>
      </c>
      <c r="H1664" s="719">
        <f t="shared" si="238"/>
        <v>0.367192066876738</v>
      </c>
      <c r="I1664" s="719">
        <f t="shared" si="230"/>
        <v>0</v>
      </c>
      <c r="J1664" s="1386">
        <f t="shared" si="231"/>
        <v>0</v>
      </c>
      <c r="L1664" s="1460">
        <v>7119</v>
      </c>
      <c r="M1664" s="1236"/>
      <c r="N1664" s="1240" t="s">
        <v>3927</v>
      </c>
      <c r="O1664" s="1241" t="s">
        <v>4841</v>
      </c>
      <c r="P1664" s="910">
        <f t="shared" si="232"/>
        <v>0</v>
      </c>
      <c r="Q1664" s="910">
        <f t="shared" si="233"/>
        <v>7119</v>
      </c>
      <c r="R1664" s="1344">
        <f t="shared" si="234"/>
        <v>3.69</v>
      </c>
      <c r="S1664" s="1344">
        <f>(1/9)*cnst_fish!$C$7*(1/cnst_fish!$C$8)^(R1664-1)</f>
        <v>69.071371962216759</v>
      </c>
      <c r="T1664" s="1362">
        <f t="shared" si="235"/>
        <v>42483.612129372646</v>
      </c>
      <c r="W1664" s="1612"/>
      <c r="X1664" s="1612"/>
      <c r="Y1664" s="1613"/>
      <c r="Z1664" s="1614"/>
      <c r="AA1664" s="1614"/>
      <c r="AB1664" s="1615"/>
      <c r="AC1664" s="1615"/>
      <c r="AD1664" s="583"/>
      <c r="AE1664" s="583"/>
    </row>
    <row r="1665" spans="1:31" ht="12.75" customHeight="1">
      <c r="A1665" s="1384" t="s">
        <v>965</v>
      </c>
      <c r="B1665" s="19" t="s">
        <v>3002</v>
      </c>
      <c r="C1665" s="1383">
        <v>2804</v>
      </c>
      <c r="D1665" s="1236"/>
      <c r="E1665" s="1236"/>
      <c r="F1665" s="1344">
        <f>(1/S1665)*cnst_fish!$C$6</f>
        <v>3.3813556145554591E-2</v>
      </c>
      <c r="G1665" s="719">
        <f t="shared" si="238"/>
        <v>1</v>
      </c>
      <c r="H1665" s="719">
        <f t="shared" si="238"/>
        <v>0.367192066876738</v>
      </c>
      <c r="I1665" s="719">
        <f t="shared" si="230"/>
        <v>0</v>
      </c>
      <c r="J1665" s="1386">
        <f t="shared" si="231"/>
        <v>0</v>
      </c>
      <c r="L1665" s="1460">
        <v>570</v>
      </c>
      <c r="M1665" s="1236"/>
      <c r="N1665" s="1240" t="s">
        <v>3927</v>
      </c>
      <c r="O1665" s="1241" t="s">
        <v>4841</v>
      </c>
      <c r="P1665" s="910">
        <f t="shared" si="232"/>
        <v>0</v>
      </c>
      <c r="Q1665" s="910">
        <f t="shared" si="233"/>
        <v>570</v>
      </c>
      <c r="R1665" s="1344">
        <f t="shared" si="234"/>
        <v>3.95</v>
      </c>
      <c r="S1665" s="1344">
        <f>(1/9)*cnst_fish!$C$7*(1/cnst_fish!$C$8)^(R1665-1)</f>
        <v>125.68923486501552</v>
      </c>
      <c r="T1665" s="1362">
        <f t="shared" si="235"/>
        <v>6189.8097088275917</v>
      </c>
      <c r="W1665" s="1612"/>
      <c r="X1665" s="1612"/>
      <c r="Y1665" s="1613"/>
      <c r="Z1665" s="1614"/>
      <c r="AA1665" s="1614"/>
      <c r="AB1665" s="1615"/>
      <c r="AC1665" s="1615"/>
      <c r="AD1665" s="583"/>
      <c r="AE1665" s="583"/>
    </row>
    <row r="1666" spans="1:31" ht="12.75" customHeight="1">
      <c r="A1666" s="1384" t="s">
        <v>1136</v>
      </c>
      <c r="B1666" s="19" t="s">
        <v>3003</v>
      </c>
      <c r="C1666" s="1383">
        <v>2805</v>
      </c>
      <c r="D1666" s="1236"/>
      <c r="E1666" s="1236"/>
      <c r="F1666" s="1344">
        <f>(1/S1666)*cnst_fish!$C$6</f>
        <v>2.8124890974018386E-2</v>
      </c>
      <c r="G1666" s="719">
        <f t="shared" si="238"/>
        <v>1</v>
      </c>
      <c r="H1666" s="719">
        <f t="shared" si="238"/>
        <v>0.367192066876738</v>
      </c>
      <c r="I1666" s="719">
        <f t="shared" si="230"/>
        <v>0</v>
      </c>
      <c r="J1666" s="1386">
        <f t="shared" si="231"/>
        <v>0</v>
      </c>
      <c r="L1666" s="1460">
        <v>707</v>
      </c>
      <c r="M1666" s="1236"/>
      <c r="N1666" s="1240" t="s">
        <v>1806</v>
      </c>
      <c r="O1666" s="1241" t="s">
        <v>4841</v>
      </c>
      <c r="P1666" s="910">
        <f t="shared" si="232"/>
        <v>0</v>
      </c>
      <c r="Q1666" s="910">
        <f t="shared" si="233"/>
        <v>707</v>
      </c>
      <c r="R1666" s="1344">
        <f t="shared" si="234"/>
        <v>4.03</v>
      </c>
      <c r="S1666" s="1344">
        <f>(1/9)*cnst_fish!$C$7*(1/cnst_fish!$C$8)^(R1666-1)</f>
        <v>151.11169689248311</v>
      </c>
      <c r="T1666" s="1362">
        <f t="shared" si="235"/>
        <v>9230.4283604752527</v>
      </c>
      <c r="W1666" s="1612"/>
      <c r="X1666" s="1612"/>
      <c r="Y1666" s="1613"/>
      <c r="Z1666" s="1614"/>
      <c r="AA1666" s="1614"/>
      <c r="AB1666" s="1615"/>
      <c r="AC1666" s="1615"/>
      <c r="AD1666" s="583"/>
      <c r="AE1666" s="583"/>
    </row>
    <row r="1667" spans="1:31" ht="12.75" customHeight="1">
      <c r="A1667" s="1384" t="s">
        <v>3796</v>
      </c>
      <c r="B1667" s="19" t="s">
        <v>178</v>
      </c>
      <c r="C1667" s="1383">
        <v>2637</v>
      </c>
      <c r="D1667" s="1236"/>
      <c r="E1667" s="1236"/>
      <c r="F1667" s="1344">
        <f>(1/S1667)*cnst_fish!$C$6</f>
        <v>0.23938164528281752</v>
      </c>
      <c r="G1667" s="719">
        <f t="shared" si="238"/>
        <v>1</v>
      </c>
      <c r="H1667" s="719">
        <f t="shared" si="238"/>
        <v>0.367192066876738</v>
      </c>
      <c r="I1667" s="719">
        <f t="shared" si="230"/>
        <v>0</v>
      </c>
      <c r="J1667" s="1386">
        <f t="shared" si="231"/>
        <v>0</v>
      </c>
      <c r="L1667" s="1460">
        <v>36807</v>
      </c>
      <c r="M1667" s="1236">
        <v>888</v>
      </c>
      <c r="N1667" s="1240" t="s">
        <v>2430</v>
      </c>
      <c r="O1667" s="1241" t="s">
        <v>4840</v>
      </c>
      <c r="P1667" s="910">
        <f t="shared" si="232"/>
        <v>0</v>
      </c>
      <c r="Q1667" s="910">
        <f t="shared" si="233"/>
        <v>37695</v>
      </c>
      <c r="R1667" s="1344">
        <f t="shared" si="234"/>
        <v>3.1</v>
      </c>
      <c r="S1667" s="1344">
        <f>(1/9)*cnst_fish!$C$7*(1/cnst_fish!$C$8)^(R1667-1)</f>
        <v>17.754076320174157</v>
      </c>
      <c r="T1667" s="1362">
        <f t="shared" si="235"/>
        <v>57821.078740459925</v>
      </c>
      <c r="W1667" s="1612"/>
      <c r="X1667" s="1612"/>
      <c r="Y1667" s="1613"/>
      <c r="Z1667" s="1614"/>
      <c r="AA1667" s="1614"/>
      <c r="AB1667" s="1615"/>
      <c r="AC1667" s="1615"/>
      <c r="AD1667" s="583"/>
      <c r="AE1667" s="583"/>
    </row>
    <row r="1668" spans="1:31" ht="12.75" customHeight="1">
      <c r="A1668" s="1384" t="s">
        <v>1773</v>
      </c>
      <c r="B1668" s="19" t="s">
        <v>4569</v>
      </c>
      <c r="C1668" s="1383">
        <v>3467</v>
      </c>
      <c r="D1668" s="1236">
        <v>0</v>
      </c>
      <c r="E1668" s="1236"/>
      <c r="F1668" s="1344">
        <f>(1/S1668)*cnst_fish!$C$6</f>
        <v>0.47762917572805397</v>
      </c>
      <c r="G1668" s="719">
        <f t="shared" ref="G1668:H1687" si="239">G$7</f>
        <v>1</v>
      </c>
      <c r="H1668" s="719">
        <f t="shared" si="239"/>
        <v>0.367192066876738</v>
      </c>
      <c r="I1668" s="719">
        <f t="shared" si="230"/>
        <v>0</v>
      </c>
      <c r="J1668" s="1386">
        <f t="shared" si="231"/>
        <v>0</v>
      </c>
      <c r="L1668" s="1460">
        <v>315</v>
      </c>
      <c r="M1668" s="1236"/>
      <c r="N1668" s="1240" t="s">
        <v>1805</v>
      </c>
      <c r="O1668" s="1241" t="s">
        <v>4840</v>
      </c>
      <c r="P1668" s="910">
        <f t="shared" si="232"/>
        <v>0</v>
      </c>
      <c r="Q1668" s="910">
        <f t="shared" si="233"/>
        <v>315</v>
      </c>
      <c r="R1668" s="1344">
        <f t="shared" si="234"/>
        <v>2.8</v>
      </c>
      <c r="S1668" s="1344">
        <f>(1/9)*cnst_fish!$C$7*(1/cnst_fish!$C$8)^(R1668-1)</f>
        <v>8.8981163965155421</v>
      </c>
      <c r="T1668" s="1362">
        <f t="shared" si="235"/>
        <v>242.16590389366942</v>
      </c>
      <c r="W1668" s="1612"/>
      <c r="X1668" s="1612"/>
      <c r="Y1668" s="1613"/>
      <c r="Z1668" s="1614"/>
      <c r="AA1668" s="1614"/>
      <c r="AB1668" s="1615"/>
      <c r="AC1668" s="1615"/>
      <c r="AD1668" s="583"/>
      <c r="AE1668" s="583"/>
    </row>
    <row r="1669" spans="1:31" ht="12.75" customHeight="1">
      <c r="A1669" s="1384" t="s">
        <v>6884</v>
      </c>
      <c r="B1669" s="19" t="s">
        <v>6883</v>
      </c>
      <c r="C1669" s="1383">
        <v>16328</v>
      </c>
      <c r="D1669" s="1236"/>
      <c r="E1669" s="1236"/>
      <c r="F1669" s="1344">
        <f>(1/S1669)*cnst_fish!$C$6</f>
        <v>3.0136363636363641</v>
      </c>
      <c r="G1669" s="719">
        <f t="shared" si="239"/>
        <v>1</v>
      </c>
      <c r="H1669" s="719">
        <f t="shared" si="239"/>
        <v>0.367192066876738</v>
      </c>
      <c r="I1669" s="719">
        <f t="shared" si="230"/>
        <v>0</v>
      </c>
      <c r="J1669" s="1386">
        <f t="shared" si="231"/>
        <v>0</v>
      </c>
      <c r="L1669" s="1460">
        <v>0</v>
      </c>
      <c r="M1669" s="1236"/>
      <c r="N1669" s="1240" t="s">
        <v>3932</v>
      </c>
      <c r="O1669" s="1241" t="s">
        <v>4840</v>
      </c>
      <c r="P1669" s="910">
        <f t="shared" si="232"/>
        <v>0</v>
      </c>
      <c r="Q1669" s="910">
        <f t="shared" si="233"/>
        <v>0</v>
      </c>
      <c r="R1669" s="1344">
        <f t="shared" si="234"/>
        <v>2</v>
      </c>
      <c r="S1669" s="1344">
        <f>(1/9)*cnst_fish!$C$7*(1/cnst_fish!$C$8)^(R1669-1)</f>
        <v>1.4102564102564099</v>
      </c>
      <c r="T1669" s="1362">
        <f t="shared" si="235"/>
        <v>0</v>
      </c>
      <c r="W1669" s="1612"/>
      <c r="X1669" s="1612"/>
      <c r="Y1669" s="1613"/>
      <c r="Z1669" s="1614"/>
      <c r="AA1669" s="1614"/>
      <c r="AB1669" s="1615"/>
      <c r="AC1669" s="1615"/>
      <c r="AD1669" s="583"/>
      <c r="AE1669" s="583"/>
    </row>
    <row r="1670" spans="1:31" ht="12.75" customHeight="1">
      <c r="A1670" s="1384" t="s">
        <v>3489</v>
      </c>
      <c r="B1670" s="19" t="s">
        <v>3490</v>
      </c>
      <c r="C1670" s="1383">
        <v>16323</v>
      </c>
      <c r="D1670" s="1236"/>
      <c r="E1670" s="1236"/>
      <c r="F1670" s="1344">
        <f>(1/S1670)*cnst_fish!$C$6</f>
        <v>0.3314045734418738</v>
      </c>
      <c r="G1670" s="719">
        <f t="shared" si="239"/>
        <v>1</v>
      </c>
      <c r="H1670" s="719">
        <f t="shared" si="239"/>
        <v>0.367192066876738</v>
      </c>
      <c r="I1670" s="719">
        <f t="shared" si="230"/>
        <v>0</v>
      </c>
      <c r="J1670" s="1386">
        <f t="shared" si="231"/>
        <v>0</v>
      </c>
      <c r="L1670" s="1460">
        <v>44</v>
      </c>
      <c r="M1670" s="1236"/>
      <c r="N1670" s="1240" t="s">
        <v>3932</v>
      </c>
      <c r="O1670" s="1241" t="s">
        <v>4840</v>
      </c>
      <c r="P1670" s="910">
        <f t="shared" si="232"/>
        <v>0</v>
      </c>
      <c r="Q1670" s="910">
        <f t="shared" si="233"/>
        <v>44</v>
      </c>
      <c r="R1670" s="1344">
        <f t="shared" si="234"/>
        <v>2.9587323501170402</v>
      </c>
      <c r="S1670" s="1344">
        <f>(1/9)*cnst_fish!$C$7*(1/cnst_fish!$C$8)^(R1670-1)</f>
        <v>12.824204433453367</v>
      </c>
      <c r="T1670" s="1362">
        <f t="shared" si="235"/>
        <v>48.751442307449651</v>
      </c>
      <c r="W1670" s="1612"/>
      <c r="X1670" s="1612"/>
      <c r="Y1670" s="1613"/>
      <c r="Z1670" s="1614"/>
      <c r="AA1670" s="1614"/>
      <c r="AB1670" s="1615"/>
      <c r="AC1670" s="1615"/>
      <c r="AD1670" s="583"/>
      <c r="AE1670" s="583"/>
    </row>
    <row r="1671" spans="1:31" ht="12.75" customHeight="1">
      <c r="A1671" s="1384" t="s">
        <v>3787</v>
      </c>
      <c r="B1671" s="19" t="s">
        <v>3788</v>
      </c>
      <c r="C1671" s="1383">
        <v>2043</v>
      </c>
      <c r="D1671" s="1236"/>
      <c r="E1671" s="1236"/>
      <c r="F1671" s="1344">
        <f>(1/S1671)*cnst_fish!$C$6</f>
        <v>3.9727464439222634E-2</v>
      </c>
      <c r="G1671" s="719">
        <f t="shared" si="239"/>
        <v>1</v>
      </c>
      <c r="H1671" s="719">
        <f t="shared" si="239"/>
        <v>0.367192066876738</v>
      </c>
      <c r="I1671" s="719">
        <f t="shared" ref="I1671:I1734" si="240">IF($F1671=0,0,D1671/$F1671*$H1671*$G1671)</f>
        <v>0</v>
      </c>
      <c r="J1671" s="1386">
        <f t="shared" ref="J1671:J1734" si="241">IF($F1671=0,0,E1671/$F1671*$H1671*$G1671)</f>
        <v>0</v>
      </c>
      <c r="L1671" s="1460">
        <v>1</v>
      </c>
      <c r="M1671" s="1236"/>
      <c r="N1671" s="1240" t="s">
        <v>3927</v>
      </c>
      <c r="O1671" s="1241" t="s">
        <v>4841</v>
      </c>
      <c r="P1671" s="910">
        <f t="shared" ref="P1671:P1734" si="242">D1671+E1671</f>
        <v>0</v>
      </c>
      <c r="Q1671" s="910">
        <f t="shared" ref="Q1671:Q1734" si="243">L1671+M1671</f>
        <v>1</v>
      </c>
      <c r="R1671" s="1344">
        <f t="shared" ref="R1671:R1734" si="244">VLOOKUP(B1671,constant_fish_trophic,3,FALSE)</f>
        <v>3.88</v>
      </c>
      <c r="S1671" s="1344">
        <f>(1/9)*cnst_fish!$C$7*(1/cnst_fish!$C$8)^(R1671-1)</f>
        <v>106.97888878616692</v>
      </c>
      <c r="T1671" s="1362">
        <f t="shared" ref="T1671:T1734" si="245">IF(F1671=0,0,Q1671/F1671*H1671*G1671)</f>
        <v>9.2427763024869005</v>
      </c>
      <c r="W1671" s="1612"/>
      <c r="X1671" s="1612"/>
      <c r="Y1671" s="1613"/>
      <c r="Z1671" s="1614"/>
      <c r="AA1671" s="1614"/>
      <c r="AB1671" s="1615"/>
      <c r="AC1671" s="1615"/>
      <c r="AD1671" s="583"/>
      <c r="AE1671" s="583"/>
    </row>
    <row r="1672" spans="1:31" ht="12.75" customHeight="1">
      <c r="A1672" s="1384" t="s">
        <v>1690</v>
      </c>
      <c r="B1672" s="19" t="s">
        <v>1353</v>
      </c>
      <c r="C1672" s="1383">
        <v>3326</v>
      </c>
      <c r="D1672" s="1236">
        <v>43053</v>
      </c>
      <c r="E1672" s="1236"/>
      <c r="F1672" s="1344">
        <f>(1/S1672)*cnst_fish!$C$6</f>
        <v>9.5299549485983348E-2</v>
      </c>
      <c r="G1672" s="719">
        <f t="shared" si="239"/>
        <v>1</v>
      </c>
      <c r="H1672" s="719">
        <f t="shared" si="239"/>
        <v>0.367192066876738</v>
      </c>
      <c r="I1672" s="719">
        <f t="shared" si="240"/>
        <v>165884.5203415085</v>
      </c>
      <c r="J1672" s="1386">
        <f t="shared" si="241"/>
        <v>0</v>
      </c>
      <c r="L1672" s="1460">
        <v>49690</v>
      </c>
      <c r="M1672" s="1236"/>
      <c r="N1672" s="1240" t="s">
        <v>1806</v>
      </c>
      <c r="O1672" s="1241" t="s">
        <v>4841</v>
      </c>
      <c r="P1672" s="910">
        <f t="shared" si="242"/>
        <v>43053</v>
      </c>
      <c r="Q1672" s="910">
        <f t="shared" si="243"/>
        <v>49690</v>
      </c>
      <c r="R1672" s="1344">
        <f t="shared" si="244"/>
        <v>3.5</v>
      </c>
      <c r="S1672" s="1344">
        <f>(1/9)*cnst_fish!$C$7*(1/cnst_fish!$C$8)^(R1672-1)</f>
        <v>44.596223412631026</v>
      </c>
      <c r="T1672" s="1362">
        <f t="shared" si="245"/>
        <v>191457.08349637789</v>
      </c>
      <c r="W1672" s="1612"/>
      <c r="X1672" s="1612"/>
      <c r="Y1672" s="1613"/>
      <c r="Z1672" s="1614"/>
      <c r="AA1672" s="1614"/>
      <c r="AB1672" s="1615"/>
      <c r="AC1672" s="1615"/>
      <c r="AD1672" s="583"/>
      <c r="AE1672" s="583"/>
    </row>
    <row r="1673" spans="1:31" ht="12.75" customHeight="1">
      <c r="A1673" s="1384" t="s">
        <v>203</v>
      </c>
      <c r="B1673" s="19" t="s">
        <v>204</v>
      </c>
      <c r="C1673" s="1383">
        <v>18730</v>
      </c>
      <c r="D1673" s="1236">
        <v>114</v>
      </c>
      <c r="E1673" s="1236"/>
      <c r="F1673" s="1344">
        <f>(1/S1673)*cnst_fish!$C$6</f>
        <v>5.8761225892708345E-2</v>
      </c>
      <c r="G1673" s="719">
        <f t="shared" si="239"/>
        <v>1</v>
      </c>
      <c r="H1673" s="719">
        <f t="shared" si="239"/>
        <v>0.367192066876738</v>
      </c>
      <c r="I1673" s="719">
        <f t="shared" si="240"/>
        <v>712.37274219533435</v>
      </c>
      <c r="J1673" s="1386">
        <f t="shared" si="241"/>
        <v>0</v>
      </c>
      <c r="L1673" s="1460">
        <v>114</v>
      </c>
      <c r="M1673" s="1236"/>
      <c r="N1673" s="1240" t="s">
        <v>1806</v>
      </c>
      <c r="O1673" s="1241" t="s">
        <v>4841</v>
      </c>
      <c r="P1673" s="910">
        <f t="shared" si="242"/>
        <v>114</v>
      </c>
      <c r="Q1673" s="910">
        <f t="shared" si="243"/>
        <v>114</v>
      </c>
      <c r="R1673" s="1344">
        <f t="shared" si="244"/>
        <v>3.71</v>
      </c>
      <c r="S1673" s="1344">
        <f>(1/9)*cnst_fish!$C$7*(1/cnst_fish!$C$8)^(R1673-1)</f>
        <v>72.326605434679692</v>
      </c>
      <c r="T1673" s="1362">
        <f t="shared" si="245"/>
        <v>712.37274219533435</v>
      </c>
      <c r="W1673" s="1612"/>
      <c r="X1673" s="1612"/>
      <c r="Y1673" s="1613"/>
      <c r="Z1673" s="1614"/>
      <c r="AA1673" s="1614"/>
      <c r="AB1673" s="1615"/>
      <c r="AC1673" s="1615"/>
      <c r="AD1673" s="583"/>
      <c r="AE1673" s="583"/>
    </row>
    <row r="1674" spans="1:31" ht="12.75" customHeight="1">
      <c r="A1674" s="1384" t="s">
        <v>6890</v>
      </c>
      <c r="B1674" s="19" t="s">
        <v>6889</v>
      </c>
      <c r="C1674" s="1383">
        <v>15208</v>
      </c>
      <c r="D1674" s="1236">
        <v>15</v>
      </c>
      <c r="E1674" s="1236"/>
      <c r="F1674" s="1344">
        <f>(1/S1674)*cnst_fish!$C$6</f>
        <v>3.0136363636363641</v>
      </c>
      <c r="G1674" s="719">
        <f t="shared" si="239"/>
        <v>1</v>
      </c>
      <c r="H1674" s="719">
        <f t="shared" si="239"/>
        <v>0.367192066876738</v>
      </c>
      <c r="I1674" s="719">
        <f t="shared" si="240"/>
        <v>1.8276528215584242</v>
      </c>
      <c r="J1674" s="1386">
        <f t="shared" si="241"/>
        <v>0</v>
      </c>
      <c r="L1674" s="1460">
        <v>15</v>
      </c>
      <c r="M1674" s="1236"/>
      <c r="N1674" s="1240" t="s">
        <v>1806</v>
      </c>
      <c r="O1674" s="1241" t="s">
        <v>4841</v>
      </c>
      <c r="P1674" s="910">
        <f t="shared" si="242"/>
        <v>15</v>
      </c>
      <c r="Q1674" s="910">
        <f t="shared" si="243"/>
        <v>15</v>
      </c>
      <c r="R1674" s="1344">
        <f t="shared" si="244"/>
        <v>2</v>
      </c>
      <c r="S1674" s="1344">
        <f>(1/9)*cnst_fish!$C$7*(1/cnst_fish!$C$8)^(R1674-1)</f>
        <v>1.4102564102564099</v>
      </c>
      <c r="T1674" s="1362">
        <f t="shared" si="245"/>
        <v>1.8276528215584242</v>
      </c>
      <c r="W1674" s="1612"/>
      <c r="X1674" s="1612"/>
      <c r="Y1674" s="1613"/>
      <c r="Z1674" s="1614"/>
      <c r="AA1674" s="1614"/>
      <c r="AB1674" s="1615"/>
      <c r="AC1674" s="1615"/>
      <c r="AD1674" s="583"/>
      <c r="AE1674" s="583"/>
    </row>
    <row r="1675" spans="1:31" ht="12.75" customHeight="1">
      <c r="A1675" s="1384" t="s">
        <v>2105</v>
      </c>
      <c r="B1675" s="19" t="s">
        <v>1354</v>
      </c>
      <c r="C1675" s="1383">
        <v>2523</v>
      </c>
      <c r="D1675" s="1236">
        <v>449</v>
      </c>
      <c r="E1675" s="1236"/>
      <c r="F1675" s="1344">
        <f>(1/S1675)*cnst_fish!$C$6</f>
        <v>6.2963787943464855E-2</v>
      </c>
      <c r="G1675" s="719">
        <f t="shared" si="239"/>
        <v>1</v>
      </c>
      <c r="H1675" s="719">
        <f t="shared" si="239"/>
        <v>0.367192066876738</v>
      </c>
      <c r="I1675" s="719">
        <f t="shared" si="240"/>
        <v>2618.4771185572786</v>
      </c>
      <c r="J1675" s="1386">
        <f t="shared" si="241"/>
        <v>0</v>
      </c>
      <c r="L1675" s="1460">
        <v>449</v>
      </c>
      <c r="M1675" s="1236"/>
      <c r="N1675" s="1240" t="s">
        <v>1806</v>
      </c>
      <c r="O1675" s="1241" t="s">
        <v>4841</v>
      </c>
      <c r="P1675" s="910">
        <f t="shared" si="242"/>
        <v>449</v>
      </c>
      <c r="Q1675" s="910">
        <f t="shared" si="243"/>
        <v>449</v>
      </c>
      <c r="R1675" s="1344">
        <f t="shared" si="244"/>
        <v>3.68</v>
      </c>
      <c r="S1675" s="1344">
        <f>(1/9)*cnst_fish!$C$7*(1/cnst_fish!$C$8)^(R1675-1)</f>
        <v>67.499115583961881</v>
      </c>
      <c r="T1675" s="1362">
        <f t="shared" si="245"/>
        <v>2618.4771185572786</v>
      </c>
      <c r="W1675" s="1612"/>
      <c r="X1675" s="1612"/>
      <c r="Y1675" s="1613"/>
      <c r="Z1675" s="1614"/>
      <c r="AA1675" s="1614"/>
      <c r="AB1675" s="1615"/>
      <c r="AC1675" s="1615"/>
      <c r="AD1675" s="583"/>
      <c r="AE1675" s="583"/>
    </row>
    <row r="1676" spans="1:31" ht="12.75" customHeight="1">
      <c r="A1676" s="1384" t="s">
        <v>2106</v>
      </c>
      <c r="B1676" s="19" t="s">
        <v>1355</v>
      </c>
      <c r="C1676" s="1383">
        <v>3325</v>
      </c>
      <c r="D1676" s="1236">
        <v>1174</v>
      </c>
      <c r="E1676" s="1236"/>
      <c r="F1676" s="1344">
        <f>(1/S1676)*cnst_fish!$C$6</f>
        <v>2.3393265378400998E-2</v>
      </c>
      <c r="G1676" s="719">
        <f t="shared" si="239"/>
        <v>1</v>
      </c>
      <c r="H1676" s="719">
        <f t="shared" si="239"/>
        <v>0.367192066876738</v>
      </c>
      <c r="I1676" s="719">
        <f t="shared" si="240"/>
        <v>18427.674783329301</v>
      </c>
      <c r="J1676" s="1386">
        <f t="shared" si="241"/>
        <v>0</v>
      </c>
      <c r="L1676" s="1460">
        <v>1174</v>
      </c>
      <c r="M1676" s="1236"/>
      <c r="N1676" s="1240" t="s">
        <v>1806</v>
      </c>
      <c r="O1676" s="1241" t="s">
        <v>4841</v>
      </c>
      <c r="P1676" s="910">
        <f t="shared" si="242"/>
        <v>1174</v>
      </c>
      <c r="Q1676" s="910">
        <f t="shared" si="243"/>
        <v>1174</v>
      </c>
      <c r="R1676" s="1344">
        <f t="shared" si="244"/>
        <v>4.1100000000000003</v>
      </c>
      <c r="S1676" s="1344">
        <f>(1/9)*cnst_fish!$C$7*(1/cnst_fish!$C$8)^(R1676-1)</f>
        <v>181.67621882851913</v>
      </c>
      <c r="T1676" s="1362">
        <f t="shared" si="245"/>
        <v>18427.674783329301</v>
      </c>
      <c r="W1676" s="1612"/>
      <c r="X1676" s="1612"/>
      <c r="Y1676" s="1613"/>
      <c r="Z1676" s="1614"/>
      <c r="AA1676" s="1614"/>
      <c r="AB1676" s="1615"/>
      <c r="AC1676" s="1615"/>
      <c r="AD1676" s="583"/>
      <c r="AE1676" s="583"/>
    </row>
    <row r="1677" spans="1:31" ht="12.75" customHeight="1">
      <c r="A1677" s="1384" t="s">
        <v>59</v>
      </c>
      <c r="B1677" s="19" t="s">
        <v>1356</v>
      </c>
      <c r="C1677" s="1383">
        <v>2526</v>
      </c>
      <c r="D1677" s="1236">
        <v>323</v>
      </c>
      <c r="E1677" s="1236"/>
      <c r="F1677" s="1344">
        <f>(1/S1677)*cnst_fish!$C$6</f>
        <v>0.10449387811364928</v>
      </c>
      <c r="G1677" s="719">
        <f t="shared" si="239"/>
        <v>1</v>
      </c>
      <c r="H1677" s="719">
        <f t="shared" si="239"/>
        <v>0.367192066876738</v>
      </c>
      <c r="I1677" s="719">
        <f t="shared" si="240"/>
        <v>1135.0237903142204</v>
      </c>
      <c r="J1677" s="1386">
        <f t="shared" si="241"/>
        <v>0</v>
      </c>
      <c r="L1677" s="1460">
        <v>323</v>
      </c>
      <c r="M1677" s="1236"/>
      <c r="N1677" s="1240" t="s">
        <v>1806</v>
      </c>
      <c r="O1677" s="1241" t="s">
        <v>4841</v>
      </c>
      <c r="P1677" s="910">
        <f t="shared" si="242"/>
        <v>323</v>
      </c>
      <c r="Q1677" s="910">
        <f t="shared" si="243"/>
        <v>323</v>
      </c>
      <c r="R1677" s="1344">
        <f t="shared" si="244"/>
        <v>3.46</v>
      </c>
      <c r="S1677" s="1344">
        <f>(1/9)*cnst_fish!$C$7*(1/cnst_fish!$C$8)^(R1677-1)</f>
        <v>40.672239146657276</v>
      </c>
      <c r="T1677" s="1362">
        <f t="shared" si="245"/>
        <v>1135.0237903142204</v>
      </c>
      <c r="W1677" s="1612"/>
      <c r="X1677" s="1612"/>
      <c r="Y1677" s="1613"/>
      <c r="Z1677" s="1614"/>
      <c r="AA1677" s="1614"/>
      <c r="AB1677" s="1615"/>
      <c r="AC1677" s="1615"/>
      <c r="AD1677" s="583"/>
      <c r="AE1677" s="583"/>
    </row>
    <row r="1678" spans="1:31" ht="12.75" customHeight="1">
      <c r="A1678" s="1384" t="s">
        <v>2645</v>
      </c>
      <c r="B1678" s="19" t="s">
        <v>1357</v>
      </c>
      <c r="C1678" s="1383">
        <v>3324</v>
      </c>
      <c r="D1678" s="1236"/>
      <c r="E1678" s="1236"/>
      <c r="F1678" s="1344">
        <f>(1/S1678)*cnst_fish!$C$6</f>
        <v>2.7484690295134888E-2</v>
      </c>
      <c r="G1678" s="719">
        <f t="shared" si="239"/>
        <v>1</v>
      </c>
      <c r="H1678" s="719">
        <f t="shared" si="239"/>
        <v>0.367192066876738</v>
      </c>
      <c r="I1678" s="719">
        <f t="shared" si="240"/>
        <v>0</v>
      </c>
      <c r="J1678" s="1386">
        <f t="shared" si="241"/>
        <v>0</v>
      </c>
      <c r="L1678" s="1460">
        <v>57109</v>
      </c>
      <c r="M1678" s="1236"/>
      <c r="N1678" s="1240" t="s">
        <v>1806</v>
      </c>
      <c r="O1678" s="1241" t="s">
        <v>4841</v>
      </c>
      <c r="P1678" s="910">
        <f t="shared" si="242"/>
        <v>0</v>
      </c>
      <c r="Q1678" s="910">
        <f t="shared" si="243"/>
        <v>57109</v>
      </c>
      <c r="R1678" s="1344">
        <f t="shared" si="244"/>
        <v>4.04</v>
      </c>
      <c r="S1678" s="1344">
        <f>(1/9)*cnst_fish!$C$7*(1/cnst_fish!$C$8)^(R1678-1)</f>
        <v>154.63154048173138</v>
      </c>
      <c r="T1678" s="1362">
        <f t="shared" si="245"/>
        <v>762969.18473829632</v>
      </c>
      <c r="W1678" s="1612"/>
      <c r="X1678" s="1612"/>
      <c r="Y1678" s="1613"/>
      <c r="Z1678" s="1614"/>
      <c r="AA1678" s="1614"/>
      <c r="AB1678" s="1615"/>
      <c r="AC1678" s="1615"/>
      <c r="AD1678" s="583"/>
      <c r="AE1678" s="583"/>
    </row>
    <row r="1679" spans="1:31" ht="12.75" customHeight="1">
      <c r="A1679" s="1384" t="s">
        <v>1681</v>
      </c>
      <c r="B1679" s="19" t="s">
        <v>1358</v>
      </c>
      <c r="C1679" s="1383">
        <v>18588</v>
      </c>
      <c r="D1679" s="1236">
        <v>107</v>
      </c>
      <c r="E1679" s="1236"/>
      <c r="F1679" s="1344">
        <f>(1/S1679)*cnst_fish!$C$6</f>
        <v>1.256292732912874E-2</v>
      </c>
      <c r="G1679" s="719">
        <f t="shared" si="239"/>
        <v>1</v>
      </c>
      <c r="H1679" s="719">
        <f t="shared" si="239"/>
        <v>0.367192066876738</v>
      </c>
      <c r="I1679" s="719">
        <f t="shared" si="240"/>
        <v>3127.4200770638195</v>
      </c>
      <c r="J1679" s="1386">
        <f t="shared" si="241"/>
        <v>0</v>
      </c>
      <c r="L1679" s="1460">
        <v>107</v>
      </c>
      <c r="M1679" s="1236"/>
      <c r="N1679" s="1240" t="s">
        <v>1806</v>
      </c>
      <c r="O1679" s="1241" t="s">
        <v>4841</v>
      </c>
      <c r="P1679" s="910">
        <f t="shared" si="242"/>
        <v>107</v>
      </c>
      <c r="Q1679" s="910">
        <f t="shared" si="243"/>
        <v>107</v>
      </c>
      <c r="R1679" s="1344">
        <f t="shared" si="244"/>
        <v>4.38</v>
      </c>
      <c r="S1679" s="1344">
        <f>(1/9)*cnst_fish!$C$7*(1/cnst_fish!$C$8)^(R1679-1)</f>
        <v>338.2969501181334</v>
      </c>
      <c r="T1679" s="1362">
        <f t="shared" si="245"/>
        <v>3127.4200770638195</v>
      </c>
      <c r="W1679" s="1612"/>
      <c r="X1679" s="1612"/>
      <c r="Y1679" s="1613"/>
      <c r="Z1679" s="1614"/>
      <c r="AA1679" s="1614"/>
      <c r="AB1679" s="1615"/>
      <c r="AC1679" s="1615"/>
      <c r="AD1679" s="583"/>
      <c r="AE1679" s="583"/>
    </row>
    <row r="1680" spans="1:31" ht="12.75" customHeight="1">
      <c r="A1680" s="1384" t="s">
        <v>5628</v>
      </c>
      <c r="B1680" s="19" t="s">
        <v>1359</v>
      </c>
      <c r="C1680" s="1383">
        <v>3327</v>
      </c>
      <c r="D1680" s="1236"/>
      <c r="E1680" s="1236"/>
      <c r="F1680" s="1344">
        <f>(1/S1680)*cnst_fish!$C$6</f>
        <v>6.7466914312309487E-2</v>
      </c>
      <c r="G1680" s="719">
        <f t="shared" si="239"/>
        <v>1</v>
      </c>
      <c r="H1680" s="719">
        <f t="shared" si="239"/>
        <v>0.367192066876738</v>
      </c>
      <c r="I1680" s="719">
        <f t="shared" si="240"/>
        <v>0</v>
      </c>
      <c r="J1680" s="1386">
        <f t="shared" si="241"/>
        <v>0</v>
      </c>
      <c r="L1680" s="1460">
        <v>48940</v>
      </c>
      <c r="M1680" s="1236"/>
      <c r="N1680" s="1240" t="s">
        <v>1806</v>
      </c>
      <c r="O1680" s="1241" t="s">
        <v>4841</v>
      </c>
      <c r="P1680" s="910">
        <f t="shared" si="242"/>
        <v>0</v>
      </c>
      <c r="Q1680" s="910">
        <f t="shared" si="243"/>
        <v>48940</v>
      </c>
      <c r="R1680" s="1344">
        <f t="shared" si="244"/>
        <v>3.65</v>
      </c>
      <c r="S1680" s="1344">
        <f>(1/9)*cnst_fish!$C$7*(1/cnst_fish!$C$8)^(R1680-1)</f>
        <v>62.993839918725584</v>
      </c>
      <c r="T1680" s="1362">
        <f t="shared" si="245"/>
        <v>266358.40598491434</v>
      </c>
      <c r="W1680" s="1612"/>
      <c r="X1680" s="1612"/>
      <c r="Y1680" s="1613"/>
      <c r="Z1680" s="1614"/>
      <c r="AA1680" s="1614"/>
      <c r="AB1680" s="1615"/>
      <c r="AC1680" s="1615"/>
      <c r="AD1680" s="583"/>
      <c r="AE1680" s="583"/>
    </row>
    <row r="1681" spans="1:31" ht="12.75" customHeight="1">
      <c r="A1681" s="1384" t="s">
        <v>6773</v>
      </c>
      <c r="B1681" s="19" t="s">
        <v>6772</v>
      </c>
      <c r="C1681" s="1383">
        <v>19217</v>
      </c>
      <c r="D1681" s="1236"/>
      <c r="E1681" s="1236"/>
      <c r="F1681" s="1344">
        <f>(1/S1681)*cnst_fish!$C$6</f>
        <v>3.0136363636363641</v>
      </c>
      <c r="G1681" s="719">
        <f t="shared" si="239"/>
        <v>1</v>
      </c>
      <c r="H1681" s="719">
        <f t="shared" si="239"/>
        <v>0.367192066876738</v>
      </c>
      <c r="I1681" s="719">
        <f t="shared" si="240"/>
        <v>0</v>
      </c>
      <c r="J1681" s="1386">
        <f t="shared" si="241"/>
        <v>0</v>
      </c>
      <c r="L1681" s="1460">
        <v>0</v>
      </c>
      <c r="M1681" s="1236"/>
      <c r="N1681" s="1240" t="s">
        <v>1806</v>
      </c>
      <c r="O1681" s="1241" t="s">
        <v>4841</v>
      </c>
      <c r="P1681" s="910">
        <f t="shared" si="242"/>
        <v>0</v>
      </c>
      <c r="Q1681" s="910">
        <f t="shared" si="243"/>
        <v>0</v>
      </c>
      <c r="R1681" s="1344">
        <f t="shared" si="244"/>
        <v>2</v>
      </c>
      <c r="S1681" s="1344">
        <f>(1/9)*cnst_fish!$C$7*(1/cnst_fish!$C$8)^(R1681-1)</f>
        <v>1.4102564102564099</v>
      </c>
      <c r="T1681" s="1362">
        <f t="shared" si="245"/>
        <v>0</v>
      </c>
      <c r="W1681" s="1612"/>
      <c r="X1681" s="1612"/>
      <c r="Y1681" s="1613"/>
      <c r="Z1681" s="1614"/>
      <c r="AA1681" s="1614"/>
      <c r="AB1681" s="1615"/>
      <c r="AC1681" s="1615"/>
      <c r="AD1681" s="583"/>
      <c r="AE1681" s="583"/>
    </row>
    <row r="1682" spans="1:31" ht="12.75" customHeight="1">
      <c r="A1682" s="1384" t="s">
        <v>4269</v>
      </c>
      <c r="B1682" s="19" t="s">
        <v>1360</v>
      </c>
      <c r="C1682" s="1383">
        <v>2524</v>
      </c>
      <c r="D1682" s="1236">
        <v>17</v>
      </c>
      <c r="E1682" s="1236"/>
      <c r="F1682" s="1344">
        <f>(1/S1682)*cnst_fish!$C$6</f>
        <v>9.3130266898023228E-2</v>
      </c>
      <c r="G1682" s="719">
        <f t="shared" si="239"/>
        <v>1</v>
      </c>
      <c r="H1682" s="719">
        <f t="shared" si="239"/>
        <v>0.367192066876738</v>
      </c>
      <c r="I1682" s="719">
        <f t="shared" si="240"/>
        <v>67.027244147595624</v>
      </c>
      <c r="J1682" s="1386">
        <f t="shared" si="241"/>
        <v>0</v>
      </c>
      <c r="L1682" s="1460">
        <v>17</v>
      </c>
      <c r="M1682" s="1236"/>
      <c r="N1682" s="1240" t="s">
        <v>1806</v>
      </c>
      <c r="O1682" s="1241" t="s">
        <v>4841</v>
      </c>
      <c r="P1682" s="910">
        <f t="shared" si="242"/>
        <v>17</v>
      </c>
      <c r="Q1682" s="910">
        <f t="shared" si="243"/>
        <v>17</v>
      </c>
      <c r="R1682" s="1344">
        <f t="shared" si="244"/>
        <v>3.51</v>
      </c>
      <c r="S1682" s="1344">
        <f>(1/9)*cnst_fish!$C$7*(1/cnst_fish!$C$8)^(R1682-1)</f>
        <v>45.635002900332182</v>
      </c>
      <c r="T1682" s="1362">
        <f t="shared" si="245"/>
        <v>67.027244147595624</v>
      </c>
      <c r="W1682" s="1612"/>
      <c r="X1682" s="1612"/>
      <c r="Y1682" s="1613"/>
      <c r="Z1682" s="1614"/>
      <c r="AA1682" s="1614"/>
      <c r="AB1682" s="1615"/>
      <c r="AC1682" s="1615"/>
      <c r="AD1682" s="583"/>
      <c r="AE1682" s="583"/>
    </row>
    <row r="1683" spans="1:31" ht="12.75" customHeight="1">
      <c r="A1683" s="1384" t="s">
        <v>57</v>
      </c>
      <c r="B1683" s="19" t="s">
        <v>2222</v>
      </c>
      <c r="C1683" s="1383">
        <v>3329</v>
      </c>
      <c r="D1683" s="1236">
        <v>19</v>
      </c>
      <c r="E1683" s="1236"/>
      <c r="F1683" s="1344">
        <f>(1/S1683)*cnst_fish!$C$6</f>
        <v>4.7762917572805388E-2</v>
      </c>
      <c r="G1683" s="719">
        <f t="shared" si="239"/>
        <v>1</v>
      </c>
      <c r="H1683" s="719">
        <f t="shared" si="239"/>
        <v>0.367192066876738</v>
      </c>
      <c r="I1683" s="719">
        <f t="shared" si="240"/>
        <v>146.0683229834832</v>
      </c>
      <c r="J1683" s="1386">
        <f t="shared" si="241"/>
        <v>0</v>
      </c>
      <c r="L1683" s="1460">
        <v>19</v>
      </c>
      <c r="M1683" s="1236"/>
      <c r="N1683" s="1240" t="s">
        <v>1806</v>
      </c>
      <c r="O1683" s="1241" t="s">
        <v>4841</v>
      </c>
      <c r="P1683" s="910">
        <f t="shared" si="242"/>
        <v>19</v>
      </c>
      <c r="Q1683" s="910">
        <f t="shared" si="243"/>
        <v>19</v>
      </c>
      <c r="R1683" s="1344">
        <f t="shared" si="244"/>
        <v>3.8</v>
      </c>
      <c r="S1683" s="1344">
        <f>(1/9)*cnst_fish!$C$7*(1/cnst_fish!$C$8)^(R1683-1)</f>
        <v>88.981163965155432</v>
      </c>
      <c r="T1683" s="1362">
        <f t="shared" si="245"/>
        <v>146.0683229834832</v>
      </c>
      <c r="W1683" s="1612"/>
      <c r="X1683" s="1612"/>
      <c r="Y1683" s="1613"/>
      <c r="Z1683" s="1614"/>
      <c r="AA1683" s="1614"/>
      <c r="AB1683" s="1615"/>
      <c r="AC1683" s="1615"/>
      <c r="AD1683" s="583"/>
      <c r="AE1683" s="583"/>
    </row>
    <row r="1684" spans="1:31" ht="12.75" customHeight="1">
      <c r="A1684" s="1384" t="s">
        <v>4785</v>
      </c>
      <c r="B1684" s="19" t="s">
        <v>2223</v>
      </c>
      <c r="C1684" s="1383">
        <v>2522</v>
      </c>
      <c r="D1684" s="1236">
        <v>3577</v>
      </c>
      <c r="E1684" s="1236"/>
      <c r="F1684" s="1344">
        <f>(1/S1684)*cnst_fish!$C$6</f>
        <v>6.2963787943464855E-2</v>
      </c>
      <c r="G1684" s="719">
        <f t="shared" si="239"/>
        <v>1</v>
      </c>
      <c r="H1684" s="719">
        <f t="shared" si="239"/>
        <v>0.367192066876738</v>
      </c>
      <c r="I1684" s="719">
        <f t="shared" si="240"/>
        <v>20860.339984586604</v>
      </c>
      <c r="J1684" s="1386">
        <f t="shared" si="241"/>
        <v>0</v>
      </c>
      <c r="L1684" s="1460">
        <v>53968</v>
      </c>
      <c r="M1684" s="1236"/>
      <c r="N1684" s="1240" t="s">
        <v>1806</v>
      </c>
      <c r="O1684" s="1241" t="s">
        <v>4841</v>
      </c>
      <c r="P1684" s="910">
        <f t="shared" si="242"/>
        <v>3577</v>
      </c>
      <c r="Q1684" s="910">
        <f t="shared" si="243"/>
        <v>53968</v>
      </c>
      <c r="R1684" s="1344">
        <f t="shared" si="244"/>
        <v>3.68</v>
      </c>
      <c r="S1684" s="1344">
        <f>(1/9)*cnst_fish!$C$7*(1/cnst_fish!$C$8)^(R1684-1)</f>
        <v>67.499115583961881</v>
      </c>
      <c r="T1684" s="1362">
        <f t="shared" si="245"/>
        <v>314730.45241492032</v>
      </c>
      <c r="W1684" s="1612"/>
      <c r="X1684" s="1612"/>
      <c r="Y1684" s="1613"/>
      <c r="Z1684" s="1614"/>
      <c r="AA1684" s="1614"/>
      <c r="AB1684" s="1615"/>
      <c r="AC1684" s="1615"/>
      <c r="AD1684" s="583"/>
      <c r="AE1684" s="583"/>
    </row>
    <row r="1685" spans="1:31" ht="12.75" customHeight="1">
      <c r="A1685" s="1384" t="s">
        <v>2065</v>
      </c>
      <c r="B1685" s="19" t="s">
        <v>2066</v>
      </c>
      <c r="C1685" s="1383">
        <v>15221</v>
      </c>
      <c r="D1685" s="1236"/>
      <c r="E1685" s="1236"/>
      <c r="F1685" s="1344">
        <f>(1/S1685)*cnst_fish!$C$6</f>
        <v>2.8124890974018386E-2</v>
      </c>
      <c r="G1685" s="719">
        <f t="shared" si="239"/>
        <v>1</v>
      </c>
      <c r="H1685" s="719">
        <f t="shared" si="239"/>
        <v>0.367192066876738</v>
      </c>
      <c r="I1685" s="719">
        <f t="shared" si="240"/>
        <v>0</v>
      </c>
      <c r="J1685" s="1386">
        <f t="shared" si="241"/>
        <v>0</v>
      </c>
      <c r="L1685" s="1460">
        <v>532</v>
      </c>
      <c r="M1685" s="1236"/>
      <c r="N1685" s="1240" t="s">
        <v>1806</v>
      </c>
      <c r="O1685" s="1241" t="s">
        <v>4841</v>
      </c>
      <c r="P1685" s="910">
        <f t="shared" si="242"/>
        <v>0</v>
      </c>
      <c r="Q1685" s="910">
        <f t="shared" si="243"/>
        <v>532</v>
      </c>
      <c r="R1685" s="1344">
        <f t="shared" si="244"/>
        <v>4.03</v>
      </c>
      <c r="S1685" s="1344">
        <f>(1/9)*cnst_fish!$C$7*(1/cnst_fish!$C$8)^(R1685-1)</f>
        <v>151.11169689248311</v>
      </c>
      <c r="T1685" s="1362">
        <f t="shared" si="245"/>
        <v>6945.668865308111</v>
      </c>
      <c r="W1685" s="1612"/>
      <c r="X1685" s="1612"/>
      <c r="Y1685" s="1613"/>
      <c r="Z1685" s="1614"/>
      <c r="AA1685" s="1614"/>
      <c r="AB1685" s="1615"/>
      <c r="AC1685" s="1615"/>
      <c r="AD1685" s="583"/>
      <c r="AE1685" s="583"/>
    </row>
    <row r="1686" spans="1:31" ht="12.75" customHeight="1">
      <c r="A1686" s="1384" t="s">
        <v>982</v>
      </c>
      <c r="B1686" s="19" t="s">
        <v>2224</v>
      </c>
      <c r="C1686" s="1383">
        <v>15223</v>
      </c>
      <c r="D1686" s="1236">
        <v>572</v>
      </c>
      <c r="E1686" s="1236"/>
      <c r="F1686" s="1344">
        <f>(1/S1686)*cnst_fish!$C$6</f>
        <v>7.3976000504507963E-2</v>
      </c>
      <c r="G1686" s="719">
        <f t="shared" si="239"/>
        <v>1</v>
      </c>
      <c r="H1686" s="719">
        <f t="shared" si="239"/>
        <v>0.367192066876738</v>
      </c>
      <c r="I1686" s="719">
        <f t="shared" si="240"/>
        <v>2839.216243390923</v>
      </c>
      <c r="J1686" s="1386">
        <f t="shared" si="241"/>
        <v>0</v>
      </c>
      <c r="L1686" s="1460">
        <v>887</v>
      </c>
      <c r="M1686" s="1236"/>
      <c r="N1686" s="1240" t="s">
        <v>1806</v>
      </c>
      <c r="O1686" s="1241" t="s">
        <v>4841</v>
      </c>
      <c r="P1686" s="910">
        <f t="shared" si="242"/>
        <v>572</v>
      </c>
      <c r="Q1686" s="910">
        <f t="shared" si="243"/>
        <v>887</v>
      </c>
      <c r="R1686" s="1344">
        <f t="shared" si="244"/>
        <v>3.61</v>
      </c>
      <c r="S1686" s="1344">
        <f>(1/9)*cnst_fish!$C$7*(1/cnst_fish!$C$8)^(R1686-1)</f>
        <v>57.451064818528707</v>
      </c>
      <c r="T1686" s="1362">
        <f t="shared" si="245"/>
        <v>4402.7706431604001</v>
      </c>
      <c r="W1686" s="1612"/>
      <c r="X1686" s="1612"/>
      <c r="Y1686" s="1613"/>
      <c r="Z1686" s="1614"/>
      <c r="AA1686" s="1614"/>
      <c r="AB1686" s="1615"/>
      <c r="AC1686" s="1615"/>
      <c r="AD1686" s="583"/>
      <c r="AE1686" s="583"/>
    </row>
    <row r="1687" spans="1:31" ht="12.75" customHeight="1">
      <c r="A1687" s="1384" t="s">
        <v>3595</v>
      </c>
      <c r="B1687" s="19" t="s">
        <v>5720</v>
      </c>
      <c r="C1687" s="1383">
        <v>3387</v>
      </c>
      <c r="D1687" s="1236"/>
      <c r="E1687" s="1236"/>
      <c r="F1687" s="1344">
        <f>(1/S1687)*cnst_fish!$C$6</f>
        <v>0.14481532779905856</v>
      </c>
      <c r="G1687" s="719">
        <f t="shared" si="239"/>
        <v>1</v>
      </c>
      <c r="H1687" s="719">
        <f t="shared" si="239"/>
        <v>0.367192066876738</v>
      </c>
      <c r="I1687" s="719">
        <f t="shared" si="240"/>
        <v>0</v>
      </c>
      <c r="J1687" s="1386">
        <f t="shared" si="241"/>
        <v>0</v>
      </c>
      <c r="L1687" s="1460">
        <v>8094</v>
      </c>
      <c r="M1687" s="1236"/>
      <c r="N1687" s="1240" t="s">
        <v>3927</v>
      </c>
      <c r="O1687" s="1241" t="s">
        <v>4841</v>
      </c>
      <c r="P1687" s="910">
        <f t="shared" si="242"/>
        <v>0</v>
      </c>
      <c r="Q1687" s="910">
        <f t="shared" si="243"/>
        <v>8094</v>
      </c>
      <c r="R1687" s="1344">
        <f t="shared" si="244"/>
        <v>3.3182763159269002</v>
      </c>
      <c r="S1687" s="1344">
        <f>(1/9)*cnst_fish!$C$7*(1/cnst_fish!$C$8)^(R1687-1)</f>
        <v>29.347722127157517</v>
      </c>
      <c r="T1687" s="1362">
        <f t="shared" si="245"/>
        <v>20523.052597196402</v>
      </c>
      <c r="W1687" s="1612"/>
      <c r="X1687" s="1612"/>
      <c r="Y1687" s="1613"/>
      <c r="Z1687" s="1614"/>
      <c r="AA1687" s="1614"/>
      <c r="AB1687" s="1615"/>
      <c r="AC1687" s="1615"/>
      <c r="AD1687" s="583"/>
      <c r="AE1687" s="583"/>
    </row>
    <row r="1688" spans="1:31" ht="12.75" customHeight="1">
      <c r="A1688" s="1384" t="s">
        <v>5433</v>
      </c>
      <c r="B1688" s="19" t="s">
        <v>2749</v>
      </c>
      <c r="C1688" s="1383">
        <v>2326</v>
      </c>
      <c r="D1688" s="1236">
        <v>250</v>
      </c>
      <c r="E1688" s="1236"/>
      <c r="F1688" s="1344">
        <f>(1/S1688)*cnst_fish!$C$6</f>
        <v>2.3938164528281767E-2</v>
      </c>
      <c r="G1688" s="719">
        <f t="shared" ref="G1688:H1707" si="246">G$7</f>
        <v>1</v>
      </c>
      <c r="H1688" s="719">
        <f t="shared" si="246"/>
        <v>0.367192066876738</v>
      </c>
      <c r="I1688" s="719">
        <f t="shared" si="240"/>
        <v>3834.7976349953501</v>
      </c>
      <c r="J1688" s="1386">
        <f t="shared" si="241"/>
        <v>0</v>
      </c>
      <c r="L1688" s="1460">
        <v>213300</v>
      </c>
      <c r="M1688" s="1236"/>
      <c r="N1688" s="1240" t="s">
        <v>1806</v>
      </c>
      <c r="O1688" s="1241" t="s">
        <v>4859</v>
      </c>
      <c r="P1688" s="910">
        <f t="shared" si="242"/>
        <v>250</v>
      </c>
      <c r="Q1688" s="910">
        <f t="shared" si="243"/>
        <v>213300</v>
      </c>
      <c r="R1688" s="1344">
        <f t="shared" si="244"/>
        <v>4.0999999999999996</v>
      </c>
      <c r="S1688" s="1344">
        <f>(1/9)*cnst_fish!$C$7*(1/cnst_fish!$C$8)^(R1688-1)</f>
        <v>177.54076320174144</v>
      </c>
      <c r="T1688" s="1362">
        <f t="shared" si="245"/>
        <v>3271849.3421780327</v>
      </c>
      <c r="W1688" s="1612"/>
      <c r="X1688" s="1612"/>
      <c r="Y1688" s="1613"/>
      <c r="Z1688" s="1614"/>
      <c r="AA1688" s="1614"/>
      <c r="AB1688" s="1615"/>
      <c r="AC1688" s="1615"/>
      <c r="AD1688" s="583"/>
      <c r="AE1688" s="583"/>
    </row>
    <row r="1689" spans="1:31" ht="12.75" customHeight="1">
      <c r="A1689" s="1384" t="s">
        <v>3605</v>
      </c>
      <c r="B1689" s="19" t="s">
        <v>2750</v>
      </c>
      <c r="C1689" s="1383">
        <v>3126</v>
      </c>
      <c r="D1689" s="1236"/>
      <c r="E1689" s="1236"/>
      <c r="F1689" s="1344">
        <f>(1/S1689)*cnst_fish!$C$6</f>
        <v>8.8938714421809756E-2</v>
      </c>
      <c r="G1689" s="719">
        <f t="shared" si="246"/>
        <v>1</v>
      </c>
      <c r="H1689" s="719">
        <f t="shared" si="246"/>
        <v>0.367192066876738</v>
      </c>
      <c r="I1689" s="719">
        <f t="shared" si="240"/>
        <v>0</v>
      </c>
      <c r="J1689" s="1386">
        <f t="shared" si="241"/>
        <v>0</v>
      </c>
      <c r="L1689" s="1460">
        <v>206080</v>
      </c>
      <c r="M1689" s="1236"/>
      <c r="N1689" s="1240" t="s">
        <v>1806</v>
      </c>
      <c r="O1689" s="1241" t="s">
        <v>4859</v>
      </c>
      <c r="P1689" s="910">
        <f t="shared" si="242"/>
        <v>0</v>
      </c>
      <c r="Q1689" s="910">
        <f t="shared" si="243"/>
        <v>206080</v>
      </c>
      <c r="R1689" s="1344">
        <f t="shared" si="244"/>
        <v>3.53</v>
      </c>
      <c r="S1689" s="1344">
        <f>(1/9)*cnst_fish!$C$7*(1/cnst_fish!$C$8)^(R1689-1)</f>
        <v>47.785714327323419</v>
      </c>
      <c r="T1689" s="1362">
        <f t="shared" si="245"/>
        <v>850821.17089160404</v>
      </c>
      <c r="W1689" s="1612"/>
      <c r="X1689" s="1612"/>
      <c r="Y1689" s="1613"/>
      <c r="Z1689" s="1614"/>
      <c r="AA1689" s="1614"/>
      <c r="AB1689" s="1615"/>
      <c r="AC1689" s="1615"/>
      <c r="AD1689" s="583"/>
      <c r="AE1689" s="583"/>
    </row>
    <row r="1690" spans="1:31" ht="12.75" customHeight="1">
      <c r="A1690" s="1384" t="s">
        <v>120</v>
      </c>
      <c r="B1690" s="19" t="s">
        <v>4770</v>
      </c>
      <c r="C1690" s="1383">
        <v>2318</v>
      </c>
      <c r="D1690" s="1236"/>
      <c r="E1690" s="1236"/>
      <c r="F1690" s="1344">
        <f>(1/S1690)*cnst_fish!$C$6</f>
        <v>2.5066335465503211E-2</v>
      </c>
      <c r="G1690" s="719">
        <f t="shared" si="246"/>
        <v>1</v>
      </c>
      <c r="H1690" s="719">
        <f t="shared" si="246"/>
        <v>0.367192066876738</v>
      </c>
      <c r="I1690" s="719">
        <f t="shared" si="240"/>
        <v>0</v>
      </c>
      <c r="J1690" s="1386">
        <f t="shared" si="241"/>
        <v>0</v>
      </c>
      <c r="L1690" s="1460">
        <v>5743</v>
      </c>
      <c r="M1690" s="1236"/>
      <c r="N1690" s="1240" t="s">
        <v>1806</v>
      </c>
      <c r="O1690" s="1241" t="s">
        <v>4859</v>
      </c>
      <c r="P1690" s="910">
        <f t="shared" si="242"/>
        <v>0</v>
      </c>
      <c r="Q1690" s="910">
        <f t="shared" si="243"/>
        <v>5743</v>
      </c>
      <c r="R1690" s="1344">
        <f t="shared" si="244"/>
        <v>4.08</v>
      </c>
      <c r="S1690" s="1344">
        <f>(1/9)*cnst_fish!$C$7*(1/cnst_fish!$C$8)^(R1690-1)</f>
        <v>169.55011257425062</v>
      </c>
      <c r="T1690" s="1362">
        <f t="shared" si="245"/>
        <v>84128.134444512514</v>
      </c>
      <c r="W1690" s="1612"/>
      <c r="X1690" s="1612"/>
      <c r="Y1690" s="1613"/>
      <c r="Z1690" s="1614"/>
      <c r="AA1690" s="1614"/>
      <c r="AB1690" s="1615"/>
      <c r="AC1690" s="1615"/>
      <c r="AD1690" s="583"/>
      <c r="AE1690" s="583"/>
    </row>
    <row r="1691" spans="1:31" ht="12.75" customHeight="1">
      <c r="A1691" s="1384" t="s">
        <v>1659</v>
      </c>
      <c r="B1691" s="19" t="s">
        <v>1660</v>
      </c>
      <c r="C1691" s="1383">
        <v>15237</v>
      </c>
      <c r="D1691" s="1236"/>
      <c r="E1691" s="1236"/>
      <c r="F1691" s="1344">
        <f>(1/S1691)*cnst_fish!$C$6</f>
        <v>1.6946922663690963E-2</v>
      </c>
      <c r="G1691" s="719">
        <f t="shared" si="246"/>
        <v>1</v>
      </c>
      <c r="H1691" s="719">
        <f t="shared" si="246"/>
        <v>0.367192066876738</v>
      </c>
      <c r="I1691" s="719">
        <f t="shared" si="240"/>
        <v>0</v>
      </c>
      <c r="J1691" s="1386">
        <f t="shared" si="241"/>
        <v>0</v>
      </c>
      <c r="L1691" s="1460">
        <v>392</v>
      </c>
      <c r="M1691" s="1236"/>
      <c r="N1691" s="1240" t="s">
        <v>1806</v>
      </c>
      <c r="O1691" s="1241" t="s">
        <v>4859</v>
      </c>
      <c r="P1691" s="910">
        <f t="shared" si="242"/>
        <v>0</v>
      </c>
      <c r="Q1691" s="910">
        <f t="shared" si="243"/>
        <v>392</v>
      </c>
      <c r="R1691" s="1344">
        <f t="shared" si="244"/>
        <v>4.25</v>
      </c>
      <c r="S1691" s="1344">
        <f>(1/9)*cnst_fish!$C$7*(1/cnst_fish!$C$8)^(R1691-1)</f>
        <v>250.78299372343801</v>
      </c>
      <c r="T1691" s="1362">
        <f t="shared" si="245"/>
        <v>8493.5355564036054</v>
      </c>
      <c r="W1691" s="1612"/>
      <c r="X1691" s="1612"/>
      <c r="Y1691" s="1613"/>
      <c r="Z1691" s="1614"/>
      <c r="AA1691" s="1614"/>
      <c r="AB1691" s="1615"/>
      <c r="AC1691" s="1615"/>
      <c r="AD1691" s="583"/>
      <c r="AE1691" s="583"/>
    </row>
    <row r="1692" spans="1:31" ht="12.75" customHeight="1">
      <c r="A1692" s="1384" t="s">
        <v>4040</v>
      </c>
      <c r="B1692" s="19" t="s">
        <v>4771</v>
      </c>
      <c r="C1692" s="1383">
        <v>3114</v>
      </c>
      <c r="D1692" s="1236">
        <v>18</v>
      </c>
      <c r="E1692" s="1236"/>
      <c r="F1692" s="1344">
        <f>(1/S1692)*cnst_fish!$C$6</f>
        <v>5.7423657091346926E-2</v>
      </c>
      <c r="G1692" s="719">
        <f t="shared" si="246"/>
        <v>1</v>
      </c>
      <c r="H1692" s="719">
        <f t="shared" si="246"/>
        <v>0.367192066876738</v>
      </c>
      <c r="I1692" s="719">
        <f t="shared" si="240"/>
        <v>115.09990026004894</v>
      </c>
      <c r="J1692" s="1386">
        <f t="shared" si="241"/>
        <v>0</v>
      </c>
      <c r="L1692" s="1460">
        <v>2586</v>
      </c>
      <c r="M1692" s="1236"/>
      <c r="N1692" s="1240" t="s">
        <v>1806</v>
      </c>
      <c r="O1692" s="1241" t="s">
        <v>4859</v>
      </c>
      <c r="P1692" s="910">
        <f t="shared" si="242"/>
        <v>18</v>
      </c>
      <c r="Q1692" s="910">
        <f t="shared" si="243"/>
        <v>2586</v>
      </c>
      <c r="R1692" s="1344">
        <f t="shared" si="244"/>
        <v>3.72</v>
      </c>
      <c r="S1692" s="1344">
        <f>(1/9)*cnst_fish!$C$7*(1/cnst_fish!$C$8)^(R1692-1)</f>
        <v>74.011308496762837</v>
      </c>
      <c r="T1692" s="1362">
        <f t="shared" si="245"/>
        <v>16536.019004027032</v>
      </c>
      <c r="W1692" s="1612"/>
      <c r="X1692" s="1612"/>
      <c r="Y1692" s="1613"/>
      <c r="Z1692" s="1614"/>
      <c r="AA1692" s="1614"/>
      <c r="AB1692" s="1615"/>
      <c r="AC1692" s="1615"/>
      <c r="AD1692" s="583"/>
      <c r="AE1692" s="583"/>
    </row>
    <row r="1693" spans="1:31" ht="12.75" customHeight="1">
      <c r="A1693" s="1384" t="s">
        <v>6688</v>
      </c>
      <c r="B1693" s="19" t="s">
        <v>6687</v>
      </c>
      <c r="C1693" s="1383">
        <v>15238</v>
      </c>
      <c r="D1693" s="1236">
        <v>2</v>
      </c>
      <c r="E1693" s="1236"/>
      <c r="F1693" s="1344">
        <f>(1/S1693)*cnst_fish!$C$6</f>
        <v>1.5103960722494611E-2</v>
      </c>
      <c r="G1693" s="719">
        <f t="shared" si="246"/>
        <v>1</v>
      </c>
      <c r="H1693" s="719">
        <f t="shared" si="246"/>
        <v>0.367192066876738</v>
      </c>
      <c r="I1693" s="719">
        <f t="shared" si="240"/>
        <v>48.621957329360903</v>
      </c>
      <c r="J1693" s="1386">
        <f t="shared" si="241"/>
        <v>0</v>
      </c>
      <c r="L1693" s="1460">
        <v>2</v>
      </c>
      <c r="M1693" s="1236"/>
      <c r="N1693" s="1240" t="s">
        <v>1806</v>
      </c>
      <c r="O1693" s="1241" t="s">
        <v>4859</v>
      </c>
      <c r="P1693" s="910">
        <f t="shared" si="242"/>
        <v>2</v>
      </c>
      <c r="Q1693" s="910">
        <f t="shared" si="243"/>
        <v>2</v>
      </c>
      <c r="R1693" s="1344">
        <f t="shared" si="244"/>
        <v>4.3</v>
      </c>
      <c r="S1693" s="1344">
        <f>(1/9)*cnst_fish!$C$7*(1/cnst_fish!$C$8)^(R1693-1)</f>
        <v>281.38314698279078</v>
      </c>
      <c r="T1693" s="1362">
        <f t="shared" si="245"/>
        <v>48.621957329360903</v>
      </c>
      <c r="W1693" s="1612"/>
      <c r="X1693" s="1612"/>
      <c r="Y1693" s="1613"/>
      <c r="Z1693" s="1614"/>
      <c r="AA1693" s="1614"/>
      <c r="AB1693" s="1615"/>
      <c r="AC1693" s="1615"/>
      <c r="AD1693" s="583"/>
      <c r="AE1693" s="583"/>
    </row>
    <row r="1694" spans="1:31" ht="12.75" customHeight="1">
      <c r="A1694" s="1384" t="s">
        <v>6836</v>
      </c>
      <c r="B1694" s="19" t="s">
        <v>6835</v>
      </c>
      <c r="C1694" s="1383">
        <v>15241</v>
      </c>
      <c r="D1694" s="1236"/>
      <c r="E1694" s="1236"/>
      <c r="F1694" s="1344">
        <f>(1/S1694)*cnst_fish!$C$6</f>
        <v>3.0136363636363641</v>
      </c>
      <c r="G1694" s="719">
        <f t="shared" si="246"/>
        <v>1</v>
      </c>
      <c r="H1694" s="719">
        <f t="shared" si="246"/>
        <v>0.367192066876738</v>
      </c>
      <c r="I1694" s="719">
        <f t="shared" si="240"/>
        <v>0</v>
      </c>
      <c r="J1694" s="1386">
        <f t="shared" si="241"/>
        <v>0</v>
      </c>
      <c r="L1694" s="1460"/>
      <c r="M1694" s="1236">
        <v>15751</v>
      </c>
      <c r="N1694" s="1240" t="s">
        <v>1806</v>
      </c>
      <c r="O1694" s="1241" t="s">
        <v>4845</v>
      </c>
      <c r="P1694" s="910">
        <f t="shared" si="242"/>
        <v>0</v>
      </c>
      <c r="Q1694" s="910">
        <f t="shared" si="243"/>
        <v>15751</v>
      </c>
      <c r="R1694" s="1344">
        <f t="shared" si="244"/>
        <v>2</v>
      </c>
      <c r="S1694" s="1344">
        <f>(1/9)*cnst_fish!$C$7*(1/cnst_fish!$C$8)^(R1694-1)</f>
        <v>1.4102564102564099</v>
      </c>
      <c r="T1694" s="1362">
        <f t="shared" si="245"/>
        <v>1919.1573061577826</v>
      </c>
      <c r="W1694" s="1612"/>
      <c r="X1694" s="1612"/>
      <c r="Y1694" s="1613"/>
      <c r="Z1694" s="1614"/>
      <c r="AA1694" s="1614"/>
      <c r="AB1694" s="1615"/>
      <c r="AC1694" s="1615"/>
      <c r="AD1694" s="583"/>
      <c r="AE1694" s="583"/>
    </row>
    <row r="1695" spans="1:31" ht="12.75" customHeight="1">
      <c r="A1695" s="1384" t="s">
        <v>2653</v>
      </c>
      <c r="B1695" s="19" t="s">
        <v>1371</v>
      </c>
      <c r="C1695" s="1383">
        <v>18713</v>
      </c>
      <c r="D1695" s="1236"/>
      <c r="E1695" s="1236"/>
      <c r="F1695" s="1344">
        <f>(1/S1695)*cnst_fish!$C$6</f>
        <v>2.6141530827766903</v>
      </c>
      <c r="G1695" s="719">
        <f t="shared" si="246"/>
        <v>1</v>
      </c>
      <c r="H1695" s="719">
        <f t="shared" si="246"/>
        <v>0.367192066876738</v>
      </c>
      <c r="I1695" s="719">
        <f t="shared" si="240"/>
        <v>0</v>
      </c>
      <c r="J1695" s="1386">
        <f t="shared" si="241"/>
        <v>0</v>
      </c>
      <c r="L1695" s="1460">
        <v>595</v>
      </c>
      <c r="M1695" s="1236"/>
      <c r="N1695" s="1240" t="s">
        <v>1804</v>
      </c>
      <c r="O1695" s="1241" t="s">
        <v>4851</v>
      </c>
      <c r="P1695" s="910">
        <f t="shared" si="242"/>
        <v>0</v>
      </c>
      <c r="Q1695" s="910">
        <f t="shared" si="243"/>
        <v>595</v>
      </c>
      <c r="R1695" s="1344">
        <f t="shared" si="244"/>
        <v>2.0617598316454031</v>
      </c>
      <c r="S1695" s="1344">
        <f>(1/9)*cnst_fish!$C$7*(1/cnst_fish!$C$8)^(R1695-1)</f>
        <v>1.6257655406644176</v>
      </c>
      <c r="T1695" s="1362">
        <f t="shared" si="245"/>
        <v>83.575549278696286</v>
      </c>
      <c r="W1695" s="1612"/>
      <c r="X1695" s="1612"/>
      <c r="Y1695" s="1613"/>
      <c r="Z1695" s="1614"/>
      <c r="AA1695" s="1614"/>
      <c r="AB1695" s="1615"/>
      <c r="AC1695" s="1615"/>
      <c r="AD1695" s="583"/>
      <c r="AE1695" s="583"/>
    </row>
    <row r="1696" spans="1:31" ht="12.75" customHeight="1">
      <c r="A1696" s="1384" t="s">
        <v>56</v>
      </c>
      <c r="B1696" s="19" t="s">
        <v>2046</v>
      </c>
      <c r="C1696" s="1383">
        <v>3226</v>
      </c>
      <c r="D1696" s="1236">
        <v>28</v>
      </c>
      <c r="E1696" s="1236"/>
      <c r="F1696" s="1344">
        <f>(1/S1696)*cnst_fish!$C$6</f>
        <v>8.3002437741509269E-2</v>
      </c>
      <c r="G1696" s="719">
        <f t="shared" si="246"/>
        <v>1</v>
      </c>
      <c r="H1696" s="719">
        <f t="shared" si="246"/>
        <v>0.367192066876738</v>
      </c>
      <c r="I1696" s="719">
        <f t="shared" si="240"/>
        <v>123.86838449935041</v>
      </c>
      <c r="J1696" s="1386">
        <f t="shared" si="241"/>
        <v>0</v>
      </c>
      <c r="L1696" s="1460">
        <v>28</v>
      </c>
      <c r="M1696" s="1236"/>
      <c r="N1696" s="1240" t="s">
        <v>1806</v>
      </c>
      <c r="O1696" s="1241" t="s">
        <v>4841</v>
      </c>
      <c r="P1696" s="910">
        <f t="shared" si="242"/>
        <v>28</v>
      </c>
      <c r="Q1696" s="910">
        <f t="shared" si="243"/>
        <v>28</v>
      </c>
      <c r="R1696" s="1344">
        <f t="shared" si="244"/>
        <v>3.56</v>
      </c>
      <c r="S1696" s="1344">
        <f>(1/9)*cnst_fish!$C$7*(1/cnst_fish!$C$8)^(R1696-1)</f>
        <v>51.203315416296356</v>
      </c>
      <c r="T1696" s="1362">
        <f t="shared" si="245"/>
        <v>123.86838449935041</v>
      </c>
      <c r="W1696" s="1612"/>
      <c r="X1696" s="1612"/>
      <c r="Y1696" s="1613"/>
      <c r="Z1696" s="1614"/>
      <c r="AA1696" s="1614"/>
      <c r="AB1696" s="1615"/>
      <c r="AC1696" s="1615"/>
      <c r="AD1696" s="583"/>
      <c r="AE1696" s="583"/>
    </row>
    <row r="1697" spans="1:31" ht="12.75" customHeight="1">
      <c r="A1697" s="1384" t="s">
        <v>744</v>
      </c>
      <c r="B1697" s="19" t="s">
        <v>2562</v>
      </c>
      <c r="C1697" s="1383">
        <v>2711</v>
      </c>
      <c r="D1697" s="1236"/>
      <c r="E1697" s="1236"/>
      <c r="F1697" s="1344">
        <f>(1/S1697)*cnst_fish!$C$6</f>
        <v>8.4935812883106004E-2</v>
      </c>
      <c r="G1697" s="719">
        <f t="shared" si="246"/>
        <v>1</v>
      </c>
      <c r="H1697" s="719">
        <f t="shared" si="246"/>
        <v>0.367192066876738</v>
      </c>
      <c r="I1697" s="719">
        <f t="shared" si="240"/>
        <v>0</v>
      </c>
      <c r="J1697" s="1386">
        <f t="shared" si="241"/>
        <v>0</v>
      </c>
      <c r="L1697" s="1460">
        <v>25423</v>
      </c>
      <c r="M1697" s="1236"/>
      <c r="N1697" s="1240" t="s">
        <v>5368</v>
      </c>
      <c r="O1697" s="1241" t="s">
        <v>4835</v>
      </c>
      <c r="P1697" s="910">
        <f t="shared" si="242"/>
        <v>0</v>
      </c>
      <c r="Q1697" s="910">
        <f t="shared" si="243"/>
        <v>25423</v>
      </c>
      <c r="R1697" s="1344">
        <f t="shared" si="244"/>
        <v>3.55</v>
      </c>
      <c r="S1697" s="1344">
        <f>(1/9)*cnst_fish!$C$7*(1/cnst_fish!$C$8)^(R1697-1)</f>
        <v>50.037785661145278</v>
      </c>
      <c r="T1697" s="1362">
        <f t="shared" si="245"/>
        <v>109907.98344456765</v>
      </c>
      <c r="W1697" s="1612"/>
      <c r="X1697" s="1612"/>
      <c r="Y1697" s="1613"/>
      <c r="Z1697" s="1614"/>
      <c r="AA1697" s="1614"/>
      <c r="AB1697" s="1615"/>
      <c r="AC1697" s="1615"/>
      <c r="AD1697" s="583"/>
      <c r="AE1697" s="583"/>
    </row>
    <row r="1698" spans="1:31" ht="12.75" customHeight="1">
      <c r="A1698" s="1384" t="s">
        <v>6781</v>
      </c>
      <c r="B1698" s="19" t="s">
        <v>6780</v>
      </c>
      <c r="C1698" s="1383">
        <v>17070</v>
      </c>
      <c r="D1698" s="1236"/>
      <c r="E1698" s="1236"/>
      <c r="F1698" s="1344">
        <f>(1/S1698)*cnst_fish!$C$6</f>
        <v>3.0136363636363641</v>
      </c>
      <c r="G1698" s="719">
        <f t="shared" si="246"/>
        <v>1</v>
      </c>
      <c r="H1698" s="719">
        <f t="shared" si="246"/>
        <v>0.367192066876738</v>
      </c>
      <c r="I1698" s="719">
        <f t="shared" si="240"/>
        <v>0</v>
      </c>
      <c r="J1698" s="1386">
        <f t="shared" si="241"/>
        <v>0</v>
      </c>
      <c r="L1698" s="1460">
        <v>13492</v>
      </c>
      <c r="M1698" s="1236"/>
      <c r="N1698" s="1240" t="s">
        <v>5368</v>
      </c>
      <c r="O1698" s="1241" t="s">
        <v>4835</v>
      </c>
      <c r="P1698" s="910">
        <f t="shared" si="242"/>
        <v>0</v>
      </c>
      <c r="Q1698" s="910">
        <f t="shared" si="243"/>
        <v>13492</v>
      </c>
      <c r="R1698" s="1344">
        <f t="shared" si="244"/>
        <v>2</v>
      </c>
      <c r="S1698" s="1344">
        <f>(1/9)*cnst_fish!$C$7*(1/cnst_fish!$C$8)^(R1698-1)</f>
        <v>1.4102564102564099</v>
      </c>
      <c r="T1698" s="1362">
        <f t="shared" si="245"/>
        <v>1643.9127912310839</v>
      </c>
      <c r="W1698" s="1612"/>
      <c r="X1698" s="1612"/>
      <c r="Y1698" s="1613"/>
      <c r="Z1698" s="1614"/>
      <c r="AA1698" s="1614"/>
      <c r="AB1698" s="1615"/>
      <c r="AC1698" s="1615"/>
      <c r="AD1698" s="583"/>
      <c r="AE1698" s="583"/>
    </row>
    <row r="1699" spans="1:31" ht="12.75" customHeight="1">
      <c r="A1699" s="1384" t="s">
        <v>202</v>
      </c>
      <c r="B1699" s="19" t="s">
        <v>5280</v>
      </c>
      <c r="C1699" s="1383">
        <v>3561</v>
      </c>
      <c r="D1699" s="1236"/>
      <c r="E1699" s="1236"/>
      <c r="F1699" s="1344">
        <f>(1/S1699)*cnst_fish!$C$6</f>
        <v>0.19014759972289441</v>
      </c>
      <c r="G1699" s="719">
        <f t="shared" si="246"/>
        <v>1</v>
      </c>
      <c r="H1699" s="719">
        <f t="shared" si="246"/>
        <v>0.367192066876738</v>
      </c>
      <c r="I1699" s="719">
        <f t="shared" si="240"/>
        <v>0</v>
      </c>
      <c r="J1699" s="1386">
        <f t="shared" si="241"/>
        <v>0</v>
      </c>
      <c r="L1699" s="1460">
        <v>277382</v>
      </c>
      <c r="M1699" s="1236"/>
      <c r="N1699" s="1240" t="s">
        <v>5368</v>
      </c>
      <c r="O1699" s="1241" t="s">
        <v>4835</v>
      </c>
      <c r="P1699" s="910">
        <f t="shared" si="242"/>
        <v>0</v>
      </c>
      <c r="Q1699" s="910">
        <f t="shared" si="243"/>
        <v>277382</v>
      </c>
      <c r="R1699" s="1344">
        <f t="shared" si="244"/>
        <v>3.2</v>
      </c>
      <c r="S1699" s="1344">
        <f>(1/9)*cnst_fish!$C$7*(1/cnst_fish!$C$8)^(R1699-1)</f>
        <v>22.351057842400341</v>
      </c>
      <c r="T1699" s="1362">
        <f t="shared" si="245"/>
        <v>535649.51670615259</v>
      </c>
      <c r="W1699" s="1612"/>
      <c r="X1699" s="1612"/>
      <c r="Y1699" s="1613"/>
      <c r="Z1699" s="1614"/>
      <c r="AA1699" s="1614"/>
      <c r="AB1699" s="1615"/>
      <c r="AC1699" s="1615"/>
      <c r="AD1699" s="583"/>
      <c r="AE1699" s="583"/>
    </row>
    <row r="1700" spans="1:31" ht="12.75" customHeight="1">
      <c r="A1700" s="1384" t="s">
        <v>346</v>
      </c>
      <c r="B1700" s="19" t="s">
        <v>347</v>
      </c>
      <c r="C1700" s="1383">
        <v>17043</v>
      </c>
      <c r="D1700" s="1236"/>
      <c r="E1700" s="1236"/>
      <c r="F1700" s="1344">
        <f>(1/S1700)*cnst_fish!$C$6</f>
        <v>9.5299549485983424E-3</v>
      </c>
      <c r="G1700" s="719">
        <f t="shared" si="246"/>
        <v>1</v>
      </c>
      <c r="H1700" s="719">
        <f t="shared" si="246"/>
        <v>0.367192066876738</v>
      </c>
      <c r="I1700" s="719">
        <f t="shared" si="240"/>
        <v>0</v>
      </c>
      <c r="J1700" s="1386">
        <f t="shared" si="241"/>
        <v>0</v>
      </c>
      <c r="L1700" s="1460">
        <v>5977</v>
      </c>
      <c r="M1700" s="1236"/>
      <c r="N1700" s="1240" t="s">
        <v>5368</v>
      </c>
      <c r="O1700" s="1241" t="s">
        <v>4835</v>
      </c>
      <c r="P1700" s="910">
        <f t="shared" si="242"/>
        <v>0</v>
      </c>
      <c r="Q1700" s="910">
        <f t="shared" si="243"/>
        <v>5977</v>
      </c>
      <c r="R1700" s="1344">
        <f t="shared" si="244"/>
        <v>4.5</v>
      </c>
      <c r="S1700" s="1344">
        <f>(1/9)*cnst_fish!$C$7*(1/cnst_fish!$C$8)^(R1700-1)</f>
        <v>445.96223412630997</v>
      </c>
      <c r="T1700" s="1362">
        <f t="shared" si="245"/>
        <v>230295.63052079894</v>
      </c>
      <c r="W1700" s="1612"/>
      <c r="X1700" s="1612"/>
      <c r="Y1700" s="1613"/>
      <c r="Z1700" s="1614"/>
      <c r="AA1700" s="1614"/>
      <c r="AB1700" s="1615"/>
      <c r="AC1700" s="1615"/>
      <c r="AD1700" s="583"/>
      <c r="AE1700" s="583"/>
    </row>
    <row r="1701" spans="1:31" ht="12.75" customHeight="1">
      <c r="A1701" s="1384" t="s">
        <v>2207</v>
      </c>
      <c r="B1701" s="19" t="s">
        <v>109</v>
      </c>
      <c r="C1701" s="1383">
        <v>3427</v>
      </c>
      <c r="D1701" s="1236"/>
      <c r="E1701" s="1236"/>
      <c r="F1701" s="1344">
        <f>(1/S1701)*cnst_fish!$C$6</f>
        <v>0.95299549485983426</v>
      </c>
      <c r="G1701" s="719">
        <f t="shared" si="246"/>
        <v>1</v>
      </c>
      <c r="H1701" s="719">
        <f t="shared" si="246"/>
        <v>0.367192066876738</v>
      </c>
      <c r="I1701" s="719">
        <f t="shared" si="240"/>
        <v>0</v>
      </c>
      <c r="J1701" s="1386">
        <f t="shared" si="241"/>
        <v>0</v>
      </c>
      <c r="L1701" s="1460">
        <v>50403</v>
      </c>
      <c r="M1701" s="1236"/>
      <c r="N1701" s="1240" t="s">
        <v>2441</v>
      </c>
      <c r="O1701" s="1241" t="s">
        <v>4840</v>
      </c>
      <c r="P1701" s="910">
        <f t="shared" si="242"/>
        <v>0</v>
      </c>
      <c r="Q1701" s="910">
        <f t="shared" si="243"/>
        <v>50403</v>
      </c>
      <c r="R1701" s="1344">
        <f t="shared" si="244"/>
        <v>2.5</v>
      </c>
      <c r="S1701" s="1344">
        <f>(1/9)*cnst_fish!$C$7*(1/cnst_fish!$C$8)^(R1701-1)</f>
        <v>4.4596223412630991</v>
      </c>
      <c r="T1701" s="1362">
        <f t="shared" si="245"/>
        <v>19420.429421348214</v>
      </c>
      <c r="W1701" s="1612"/>
      <c r="X1701" s="1612"/>
      <c r="Y1701" s="1613"/>
      <c r="Z1701" s="1614"/>
      <c r="AA1701" s="1614"/>
      <c r="AB1701" s="1615"/>
      <c r="AC1701" s="1615"/>
      <c r="AD1701" s="583"/>
      <c r="AE1701" s="583"/>
    </row>
    <row r="1702" spans="1:31" ht="12.75" customHeight="1">
      <c r="A1702" s="1384" t="s">
        <v>3617</v>
      </c>
      <c r="B1702" s="19" t="s">
        <v>4772</v>
      </c>
      <c r="C1702" s="1383">
        <v>3119</v>
      </c>
      <c r="D1702" s="1236">
        <v>577</v>
      </c>
      <c r="E1702" s="1236"/>
      <c r="F1702" s="1344">
        <f>(1/S1702)*cnst_fish!$C$6</f>
        <v>9.5299549485983424E-3</v>
      </c>
      <c r="G1702" s="719">
        <f t="shared" si="246"/>
        <v>1</v>
      </c>
      <c r="H1702" s="719">
        <f t="shared" si="246"/>
        <v>0.367192066876738</v>
      </c>
      <c r="I1702" s="719">
        <f t="shared" si="240"/>
        <v>22231.985747114097</v>
      </c>
      <c r="J1702" s="1386">
        <f t="shared" si="241"/>
        <v>0</v>
      </c>
      <c r="L1702" s="1460">
        <v>2520</v>
      </c>
      <c r="M1702" s="1236"/>
      <c r="N1702" s="1240" t="s">
        <v>1806</v>
      </c>
      <c r="O1702" s="1241" t="s">
        <v>4859</v>
      </c>
      <c r="P1702" s="910">
        <f t="shared" si="242"/>
        <v>577</v>
      </c>
      <c r="Q1702" s="910">
        <f t="shared" si="243"/>
        <v>2520</v>
      </c>
      <c r="R1702" s="1344">
        <f t="shared" si="244"/>
        <v>4.5</v>
      </c>
      <c r="S1702" s="1344">
        <f>(1/9)*cnst_fish!$C$7*(1/cnst_fish!$C$8)^(R1702-1)</f>
        <v>445.96223412630997</v>
      </c>
      <c r="T1702" s="1362">
        <f t="shared" si="245"/>
        <v>97096.367561052917</v>
      </c>
      <c r="W1702" s="1612"/>
      <c r="X1702" s="1612"/>
      <c r="Y1702" s="1613"/>
      <c r="Z1702" s="1614"/>
      <c r="AA1702" s="1614"/>
      <c r="AB1702" s="1615"/>
      <c r="AC1702" s="1615"/>
      <c r="AD1702" s="583"/>
      <c r="AE1702" s="583"/>
    </row>
    <row r="1703" spans="1:31" ht="12.75" customHeight="1">
      <c r="A1703" s="1384" t="s">
        <v>6671</v>
      </c>
      <c r="B1703" s="19" t="s">
        <v>6670</v>
      </c>
      <c r="C1703" s="1383">
        <v>15247</v>
      </c>
      <c r="D1703" s="1236">
        <v>10</v>
      </c>
      <c r="E1703" s="1236"/>
      <c r="F1703" s="1344">
        <f>(1/S1703)*cnst_fish!$C$6</f>
        <v>9.5299549485983424E-3</v>
      </c>
      <c r="G1703" s="719">
        <f t="shared" si="246"/>
        <v>1</v>
      </c>
      <c r="H1703" s="719">
        <f t="shared" si="246"/>
        <v>0.367192066876738</v>
      </c>
      <c r="I1703" s="719">
        <f t="shared" si="240"/>
        <v>385.30304587719405</v>
      </c>
      <c r="J1703" s="1386">
        <f t="shared" si="241"/>
        <v>0</v>
      </c>
      <c r="L1703" s="1460">
        <v>10</v>
      </c>
      <c r="M1703" s="1236"/>
      <c r="N1703" s="1240" t="s">
        <v>1806</v>
      </c>
      <c r="O1703" s="1241" t="s">
        <v>4859</v>
      </c>
      <c r="P1703" s="910">
        <f t="shared" si="242"/>
        <v>10</v>
      </c>
      <c r="Q1703" s="910">
        <f t="shared" si="243"/>
        <v>10</v>
      </c>
      <c r="R1703" s="1344">
        <f t="shared" si="244"/>
        <v>4.5</v>
      </c>
      <c r="S1703" s="1344">
        <f>(1/9)*cnst_fish!$C$7*(1/cnst_fish!$C$8)^(R1703-1)</f>
        <v>445.96223412630997</v>
      </c>
      <c r="T1703" s="1362">
        <f t="shared" si="245"/>
        <v>385.30304587719405</v>
      </c>
      <c r="W1703" s="1612"/>
      <c r="X1703" s="1612"/>
      <c r="Y1703" s="1613"/>
      <c r="Z1703" s="1614"/>
      <c r="AA1703" s="1614"/>
      <c r="AB1703" s="1615"/>
      <c r="AC1703" s="1615"/>
      <c r="AD1703" s="583"/>
      <c r="AE1703" s="583"/>
    </row>
    <row r="1704" spans="1:31" ht="12.75" customHeight="1">
      <c r="A1704" s="1384" t="s">
        <v>3085</v>
      </c>
      <c r="B1704" s="19" t="s">
        <v>4773</v>
      </c>
      <c r="C1704" s="1383">
        <v>3120</v>
      </c>
      <c r="D1704" s="1236">
        <v>10</v>
      </c>
      <c r="E1704" s="1236"/>
      <c r="F1704" s="1344">
        <f>(1/S1704)*cnst_fish!$C$6</f>
        <v>2.5650205424007942E-2</v>
      </c>
      <c r="G1704" s="719">
        <f t="shared" si="246"/>
        <v>1</v>
      </c>
      <c r="H1704" s="719">
        <f t="shared" si="246"/>
        <v>0.367192066876738</v>
      </c>
      <c r="I1704" s="719">
        <f t="shared" si="240"/>
        <v>143.1536554218219</v>
      </c>
      <c r="J1704" s="1386">
        <f t="shared" si="241"/>
        <v>0</v>
      </c>
      <c r="L1704" s="1460">
        <v>1719</v>
      </c>
      <c r="M1704" s="1236"/>
      <c r="N1704" s="1240" t="s">
        <v>1806</v>
      </c>
      <c r="O1704" s="1241" t="s">
        <v>4859</v>
      </c>
      <c r="P1704" s="910">
        <f t="shared" si="242"/>
        <v>10</v>
      </c>
      <c r="Q1704" s="910">
        <f t="shared" si="243"/>
        <v>1719</v>
      </c>
      <c r="R1704" s="1344">
        <f t="shared" si="244"/>
        <v>4.07</v>
      </c>
      <c r="S1704" s="1344">
        <f>(1/9)*cnst_fish!$C$7*(1/cnst_fish!$C$8)^(R1704-1)</f>
        <v>165.6906808248057</v>
      </c>
      <c r="T1704" s="1362">
        <f t="shared" si="245"/>
        <v>24608.113367011185</v>
      </c>
      <c r="W1704" s="1612"/>
      <c r="X1704" s="1612"/>
      <c r="Y1704" s="1613"/>
      <c r="Z1704" s="1614"/>
      <c r="AA1704" s="1614"/>
      <c r="AB1704" s="1615"/>
      <c r="AC1704" s="1615"/>
      <c r="AD1704" s="583"/>
      <c r="AE1704" s="583"/>
    </row>
    <row r="1705" spans="1:31" ht="12.75" customHeight="1">
      <c r="A1705" s="1384" t="s">
        <v>6684</v>
      </c>
      <c r="B1705" s="19" t="s">
        <v>6683</v>
      </c>
      <c r="C1705" s="1383">
        <v>15250</v>
      </c>
      <c r="D1705" s="1236">
        <v>77</v>
      </c>
      <c r="E1705" s="1236"/>
      <c r="F1705" s="1344">
        <f>(1/S1705)*cnst_fish!$C$6</f>
        <v>9.5299549485983424E-3</v>
      </c>
      <c r="G1705" s="719">
        <f t="shared" si="246"/>
        <v>1</v>
      </c>
      <c r="H1705" s="719">
        <f t="shared" si="246"/>
        <v>0.367192066876738</v>
      </c>
      <c r="I1705" s="719">
        <f t="shared" si="240"/>
        <v>2966.8334532543945</v>
      </c>
      <c r="J1705" s="1386">
        <f t="shared" si="241"/>
        <v>0</v>
      </c>
      <c r="L1705" s="1460">
        <v>105</v>
      </c>
      <c r="M1705" s="1236"/>
      <c r="N1705" s="1240" t="s">
        <v>1806</v>
      </c>
      <c r="O1705" s="1241" t="s">
        <v>4859</v>
      </c>
      <c r="P1705" s="910">
        <f t="shared" si="242"/>
        <v>77</v>
      </c>
      <c r="Q1705" s="910">
        <f t="shared" si="243"/>
        <v>105</v>
      </c>
      <c r="R1705" s="1344">
        <f t="shared" si="244"/>
        <v>4.5</v>
      </c>
      <c r="S1705" s="1344">
        <f>(1/9)*cnst_fish!$C$7*(1/cnst_fish!$C$8)^(R1705-1)</f>
        <v>445.96223412630997</v>
      </c>
      <c r="T1705" s="1362">
        <f t="shared" si="245"/>
        <v>4045.6819817105375</v>
      </c>
      <c r="W1705" s="1612"/>
      <c r="X1705" s="1612"/>
      <c r="Y1705" s="1613"/>
      <c r="Z1705" s="1614"/>
      <c r="AA1705" s="1614"/>
      <c r="AB1705" s="1615"/>
      <c r="AC1705" s="1615"/>
      <c r="AD1705" s="583"/>
      <c r="AE1705" s="583"/>
    </row>
    <row r="1706" spans="1:31" ht="12.75" customHeight="1">
      <c r="A1706" s="1384" t="s">
        <v>5017</v>
      </c>
      <c r="B1706" s="19" t="s">
        <v>4774</v>
      </c>
      <c r="C1706" s="1383">
        <v>2320</v>
      </c>
      <c r="D1706" s="1236">
        <v>27</v>
      </c>
      <c r="E1706" s="1236"/>
      <c r="F1706" s="1344">
        <f>(1/S1706)*cnst_fish!$C$6</f>
        <v>1.3774975896121007E-2</v>
      </c>
      <c r="G1706" s="719">
        <f t="shared" si="246"/>
        <v>1</v>
      </c>
      <c r="H1706" s="719">
        <f t="shared" si="246"/>
        <v>0.367192066876738</v>
      </c>
      <c r="I1706" s="719">
        <f t="shared" si="240"/>
        <v>719.72436688355515</v>
      </c>
      <c r="J1706" s="1386">
        <f t="shared" si="241"/>
        <v>0</v>
      </c>
      <c r="L1706" s="1460">
        <v>135839</v>
      </c>
      <c r="M1706" s="1236"/>
      <c r="N1706" s="1240" t="s">
        <v>1806</v>
      </c>
      <c r="O1706" s="1241" t="s">
        <v>4859</v>
      </c>
      <c r="P1706" s="910">
        <f t="shared" si="242"/>
        <v>27</v>
      </c>
      <c r="Q1706" s="910">
        <f t="shared" si="243"/>
        <v>135839</v>
      </c>
      <c r="R1706" s="1344">
        <f t="shared" si="244"/>
        <v>4.34</v>
      </c>
      <c r="S1706" s="1344">
        <f>(1/9)*cnst_fish!$C$7*(1/cnst_fish!$C$8)^(R1706-1)</f>
        <v>308.53048542878304</v>
      </c>
      <c r="T1706" s="1362">
        <f t="shared" si="245"/>
        <v>3620986.6027072319</v>
      </c>
      <c r="W1706" s="1612"/>
      <c r="X1706" s="1612"/>
      <c r="Y1706" s="1613"/>
      <c r="Z1706" s="1614"/>
      <c r="AA1706" s="1614"/>
      <c r="AB1706" s="1615"/>
      <c r="AC1706" s="1615"/>
      <c r="AD1706" s="583"/>
      <c r="AE1706" s="583"/>
    </row>
    <row r="1707" spans="1:31" ht="12.75" customHeight="1">
      <c r="A1707" s="1384" t="s">
        <v>6444</v>
      </c>
      <c r="B1707" s="19" t="s">
        <v>6443</v>
      </c>
      <c r="C1707" s="1383">
        <v>15251</v>
      </c>
      <c r="D1707" s="1236">
        <v>41</v>
      </c>
      <c r="E1707" s="1236"/>
      <c r="F1707" s="1344">
        <f>(1/S1707)*cnst_fish!$C$6</f>
        <v>9.5299549485983424E-3</v>
      </c>
      <c r="G1707" s="719">
        <f t="shared" si="246"/>
        <v>1</v>
      </c>
      <c r="H1707" s="719">
        <f t="shared" si="246"/>
        <v>0.367192066876738</v>
      </c>
      <c r="I1707" s="719">
        <f t="shared" si="240"/>
        <v>1579.7424880964957</v>
      </c>
      <c r="J1707" s="1386">
        <f t="shared" si="241"/>
        <v>0</v>
      </c>
      <c r="L1707" s="1460">
        <v>41</v>
      </c>
      <c r="M1707" s="1236"/>
      <c r="N1707" s="1240" t="s">
        <v>1806</v>
      </c>
      <c r="O1707" s="1241" t="s">
        <v>4859</v>
      </c>
      <c r="P1707" s="910">
        <f t="shared" si="242"/>
        <v>41</v>
      </c>
      <c r="Q1707" s="910">
        <f t="shared" si="243"/>
        <v>41</v>
      </c>
      <c r="R1707" s="1344">
        <f t="shared" si="244"/>
        <v>4.5</v>
      </c>
      <c r="S1707" s="1344">
        <f>(1/9)*cnst_fish!$C$7*(1/cnst_fish!$C$8)^(R1707-1)</f>
        <v>445.96223412630997</v>
      </c>
      <c r="T1707" s="1362">
        <f t="shared" si="245"/>
        <v>1579.7424880964957</v>
      </c>
      <c r="W1707" s="1612"/>
      <c r="X1707" s="1612"/>
      <c r="Y1707" s="1613"/>
      <c r="Z1707" s="1614"/>
      <c r="AA1707" s="1614"/>
      <c r="AB1707" s="1615"/>
      <c r="AC1707" s="1615"/>
      <c r="AD1707" s="583"/>
      <c r="AE1707" s="583"/>
    </row>
    <row r="1708" spans="1:31" ht="12.75" customHeight="1">
      <c r="A1708" s="1384" t="s">
        <v>4825</v>
      </c>
      <c r="B1708" s="19" t="s">
        <v>2225</v>
      </c>
      <c r="C1708" s="1383">
        <v>2509</v>
      </c>
      <c r="D1708" s="1236"/>
      <c r="E1708" s="1236"/>
      <c r="F1708" s="1344">
        <f>(1/S1708)*cnst_fish!$C$6</f>
        <v>0.15103960722494611</v>
      </c>
      <c r="G1708" s="719">
        <f t="shared" ref="G1708:H1727" si="247">G$7</f>
        <v>1</v>
      </c>
      <c r="H1708" s="719">
        <f t="shared" si="247"/>
        <v>0.367192066876738</v>
      </c>
      <c r="I1708" s="719">
        <f t="shared" si="240"/>
        <v>0</v>
      </c>
      <c r="J1708" s="1386">
        <f t="shared" si="241"/>
        <v>0</v>
      </c>
      <c r="L1708" s="1460">
        <v>3082</v>
      </c>
      <c r="M1708" s="1236"/>
      <c r="N1708" s="1240" t="s">
        <v>1806</v>
      </c>
      <c r="O1708" s="1241" t="s">
        <v>4841</v>
      </c>
      <c r="P1708" s="910">
        <f t="shared" si="242"/>
        <v>0</v>
      </c>
      <c r="Q1708" s="910">
        <f t="shared" si="243"/>
        <v>3082</v>
      </c>
      <c r="R1708" s="1344">
        <f t="shared" si="244"/>
        <v>3.3</v>
      </c>
      <c r="S1708" s="1344">
        <f>(1/9)*cnst_fish!$C$7*(1/cnst_fish!$C$8)^(R1708-1)</f>
        <v>28.138314698279075</v>
      </c>
      <c r="T1708" s="1362">
        <f t="shared" si="245"/>
        <v>7492.6436244545148</v>
      </c>
      <c r="W1708" s="1612"/>
      <c r="X1708" s="1612"/>
      <c r="Y1708" s="1613"/>
      <c r="Z1708" s="1614"/>
      <c r="AA1708" s="1614"/>
      <c r="AB1708" s="1615"/>
      <c r="AC1708" s="1615"/>
      <c r="AD1708" s="583"/>
      <c r="AE1708" s="583"/>
    </row>
    <row r="1709" spans="1:31" ht="12.75" customHeight="1">
      <c r="A1709" s="1384" t="s">
        <v>3463</v>
      </c>
      <c r="B1709" s="19" t="s">
        <v>247</v>
      </c>
      <c r="C1709" s="1383">
        <v>2511</v>
      </c>
      <c r="D1709" s="1236"/>
      <c r="E1709" s="1236"/>
      <c r="F1709" s="1344">
        <f>(1/S1709)*cnst_fish!$C$6</f>
        <v>0.11724405960509449</v>
      </c>
      <c r="G1709" s="719">
        <f t="shared" si="247"/>
        <v>1</v>
      </c>
      <c r="H1709" s="719">
        <f t="shared" si="247"/>
        <v>0.367192066876738</v>
      </c>
      <c r="I1709" s="719">
        <f t="shared" si="240"/>
        <v>0</v>
      </c>
      <c r="J1709" s="1386">
        <f t="shared" si="241"/>
        <v>0</v>
      </c>
      <c r="L1709" s="1460">
        <v>1344</v>
      </c>
      <c r="M1709" s="1236"/>
      <c r="N1709" s="1240" t="s">
        <v>1806</v>
      </c>
      <c r="O1709" s="1241" t="s">
        <v>4841</v>
      </c>
      <c r="P1709" s="910">
        <f t="shared" si="242"/>
        <v>0</v>
      </c>
      <c r="Q1709" s="910">
        <f t="shared" si="243"/>
        <v>1344</v>
      </c>
      <c r="R1709" s="1344">
        <f t="shared" si="244"/>
        <v>3.41</v>
      </c>
      <c r="S1709" s="1344">
        <f>(1/9)*cnst_fish!$C$7*(1/cnst_fish!$C$8)^(R1709-1)</f>
        <v>36.24917129545836</v>
      </c>
      <c r="T1709" s="1362">
        <f t="shared" si="245"/>
        <v>4209.2208299898548</v>
      </c>
      <c r="W1709" s="1612"/>
      <c r="X1709" s="1612"/>
      <c r="Y1709" s="1613"/>
      <c r="Z1709" s="1614"/>
      <c r="AA1709" s="1614"/>
      <c r="AB1709" s="1615"/>
      <c r="AC1709" s="1615"/>
      <c r="AD1709" s="583"/>
      <c r="AE1709" s="583"/>
    </row>
    <row r="1710" spans="1:31" ht="12.75" customHeight="1">
      <c r="A1710" s="1384" t="s">
        <v>3547</v>
      </c>
      <c r="B1710" s="19" t="s">
        <v>248</v>
      </c>
      <c r="C1710" s="1383">
        <v>3317</v>
      </c>
      <c r="D1710" s="1236"/>
      <c r="E1710" s="1236"/>
      <c r="F1710" s="1344">
        <f>(1/S1710)*cnst_fish!$C$6</f>
        <v>0.11997502458044032</v>
      </c>
      <c r="G1710" s="719">
        <f t="shared" si="247"/>
        <v>1</v>
      </c>
      <c r="H1710" s="719">
        <f t="shared" si="247"/>
        <v>0.367192066876738</v>
      </c>
      <c r="I1710" s="719">
        <f t="shared" si="240"/>
        <v>0</v>
      </c>
      <c r="J1710" s="1386">
        <f t="shared" si="241"/>
        <v>0</v>
      </c>
      <c r="L1710" s="1460">
        <v>1292</v>
      </c>
      <c r="M1710" s="1236"/>
      <c r="N1710" s="1240" t="s">
        <v>1806</v>
      </c>
      <c r="O1710" s="1241" t="s">
        <v>4841</v>
      </c>
      <c r="P1710" s="910">
        <f t="shared" si="242"/>
        <v>0</v>
      </c>
      <c r="Q1710" s="910">
        <f t="shared" si="243"/>
        <v>1292</v>
      </c>
      <c r="R1710" s="1344">
        <f t="shared" si="244"/>
        <v>3.4</v>
      </c>
      <c r="S1710" s="1344">
        <f>(1/9)*cnst_fish!$C$7*(1/cnst_fish!$C$8)^(R1710-1)</f>
        <v>35.424039418724846</v>
      </c>
      <c r="T1710" s="1362">
        <f t="shared" si="245"/>
        <v>3954.2575803905233</v>
      </c>
      <c r="W1710" s="1612"/>
      <c r="X1710" s="1612"/>
      <c r="Y1710" s="1613"/>
      <c r="Z1710" s="1614"/>
      <c r="AA1710" s="1614"/>
      <c r="AB1710" s="1615"/>
      <c r="AC1710" s="1615"/>
      <c r="AD1710" s="583"/>
      <c r="AE1710" s="583"/>
    </row>
    <row r="1711" spans="1:31" ht="12.75" customHeight="1">
      <c r="A1711" s="1384" t="s">
        <v>5704</v>
      </c>
      <c r="B1711" s="19" t="s">
        <v>249</v>
      </c>
      <c r="C1711" s="1383">
        <v>3318</v>
      </c>
      <c r="D1711" s="1236"/>
      <c r="E1711" s="1236"/>
      <c r="F1711" s="1344">
        <f>(1/S1711)*cnst_fish!$C$6</f>
        <v>0.11997502458044032</v>
      </c>
      <c r="G1711" s="719">
        <f t="shared" si="247"/>
        <v>1</v>
      </c>
      <c r="H1711" s="719">
        <f t="shared" si="247"/>
        <v>0.367192066876738</v>
      </c>
      <c r="I1711" s="719">
        <f t="shared" si="240"/>
        <v>0</v>
      </c>
      <c r="J1711" s="1386">
        <f t="shared" si="241"/>
        <v>0</v>
      </c>
      <c r="L1711" s="1460">
        <v>10215</v>
      </c>
      <c r="M1711" s="1236"/>
      <c r="N1711" s="1240" t="s">
        <v>1806</v>
      </c>
      <c r="O1711" s="1241" t="s">
        <v>4841</v>
      </c>
      <c r="P1711" s="910">
        <f t="shared" si="242"/>
        <v>0</v>
      </c>
      <c r="Q1711" s="910">
        <f t="shared" si="243"/>
        <v>10215</v>
      </c>
      <c r="R1711" s="1344">
        <f t="shared" si="244"/>
        <v>3.4</v>
      </c>
      <c r="S1711" s="1344">
        <f>(1/9)*cnst_fish!$C$7*(1/cnst_fish!$C$8)^(R1711-1)</f>
        <v>35.424039418724846</v>
      </c>
      <c r="T1711" s="1362">
        <f t="shared" si="245"/>
        <v>31263.731566322906</v>
      </c>
      <c r="W1711" s="1612"/>
      <c r="X1711" s="1612"/>
      <c r="Y1711" s="1613"/>
      <c r="Z1711" s="1614"/>
      <c r="AA1711" s="1614"/>
      <c r="AB1711" s="1615"/>
      <c r="AC1711" s="1615"/>
      <c r="AD1711" s="583"/>
      <c r="AE1711" s="583"/>
    </row>
    <row r="1712" spans="1:31" ht="12.75" customHeight="1">
      <c r="A1712" s="1384" t="s">
        <v>4879</v>
      </c>
      <c r="B1712" s="19" t="s">
        <v>4467</v>
      </c>
      <c r="C1712" s="1383">
        <v>2508</v>
      </c>
      <c r="D1712" s="1236"/>
      <c r="E1712" s="1236"/>
      <c r="F1712" s="1344">
        <f>(1/S1712)*cnst_fish!$C$6</f>
        <v>0.12562927329128742</v>
      </c>
      <c r="G1712" s="719">
        <f t="shared" si="247"/>
        <v>1</v>
      </c>
      <c r="H1712" s="719">
        <f t="shared" si="247"/>
        <v>0.367192066876738</v>
      </c>
      <c r="I1712" s="719">
        <f t="shared" si="240"/>
        <v>0</v>
      </c>
      <c r="J1712" s="1386">
        <f t="shared" si="241"/>
        <v>0</v>
      </c>
      <c r="L1712" s="1460">
        <v>4058</v>
      </c>
      <c r="M1712" s="1236"/>
      <c r="N1712" s="1240" t="s">
        <v>1806</v>
      </c>
      <c r="O1712" s="1241" t="s">
        <v>4841</v>
      </c>
      <c r="P1712" s="910">
        <f t="shared" si="242"/>
        <v>0</v>
      </c>
      <c r="Q1712" s="910">
        <f t="shared" si="243"/>
        <v>4058</v>
      </c>
      <c r="R1712" s="1344">
        <f t="shared" si="244"/>
        <v>3.38</v>
      </c>
      <c r="S1712" s="1344">
        <f>(1/9)*cnst_fish!$C$7*(1/cnst_fish!$C$8)^(R1712-1)</f>
        <v>33.829695011813328</v>
      </c>
      <c r="T1712" s="1362">
        <f t="shared" si="245"/>
        <v>11860.813712827081</v>
      </c>
      <c r="W1712" s="1612"/>
      <c r="X1712" s="1612"/>
      <c r="Y1712" s="1613"/>
      <c r="Z1712" s="1614"/>
      <c r="AA1712" s="1614"/>
      <c r="AB1712" s="1615"/>
      <c r="AC1712" s="1615"/>
      <c r="AD1712" s="583"/>
      <c r="AE1712" s="583"/>
    </row>
    <row r="1713" spans="1:31" ht="12.75" customHeight="1">
      <c r="A1713" s="1384" t="s">
        <v>2970</v>
      </c>
      <c r="B1713" s="19" t="s">
        <v>620</v>
      </c>
      <c r="C1713" s="1383">
        <v>15252</v>
      </c>
      <c r="D1713" s="1236"/>
      <c r="E1713" s="1236"/>
      <c r="F1713" s="1344">
        <f>(1/S1713)*cnst_fish!$C$6</f>
        <v>2.0374682394767439E-2</v>
      </c>
      <c r="G1713" s="719">
        <f t="shared" si="247"/>
        <v>1</v>
      </c>
      <c r="H1713" s="719">
        <f t="shared" si="247"/>
        <v>0.367192066876738</v>
      </c>
      <c r="I1713" s="719">
        <f t="shared" si="240"/>
        <v>0</v>
      </c>
      <c r="J1713" s="1386">
        <f t="shared" si="241"/>
        <v>0</v>
      </c>
      <c r="L1713" s="1460">
        <v>2673</v>
      </c>
      <c r="M1713" s="1236"/>
      <c r="N1713" s="1240" t="s">
        <v>1806</v>
      </c>
      <c r="O1713" s="1241" t="s">
        <v>4859</v>
      </c>
      <c r="P1713" s="910">
        <f t="shared" si="242"/>
        <v>0</v>
      </c>
      <c r="Q1713" s="910">
        <f t="shared" si="243"/>
        <v>2673</v>
      </c>
      <c r="R1713" s="1344">
        <f t="shared" si="244"/>
        <v>4.17</v>
      </c>
      <c r="S1713" s="1344">
        <f>(1/9)*cnst_fish!$C$7*(1/cnst_fish!$C$8)^(R1713-1)</f>
        <v>208.59220858782425</v>
      </c>
      <c r="T1713" s="1362">
        <f t="shared" si="245"/>
        <v>48172.745751049719</v>
      </c>
      <c r="W1713" s="1612"/>
      <c r="X1713" s="1612"/>
      <c r="Y1713" s="1613"/>
      <c r="Z1713" s="1614"/>
      <c r="AA1713" s="1614"/>
      <c r="AB1713" s="1615"/>
      <c r="AC1713" s="1615"/>
      <c r="AD1713" s="583"/>
      <c r="AE1713" s="583"/>
    </row>
    <row r="1714" spans="1:31" ht="12.75" customHeight="1">
      <c r="A1714" s="1384" t="s">
        <v>3109</v>
      </c>
      <c r="B1714" s="19" t="s">
        <v>530</v>
      </c>
      <c r="C1714" s="1383">
        <v>3069</v>
      </c>
      <c r="D1714" s="1236">
        <v>13</v>
      </c>
      <c r="E1714" s="1236"/>
      <c r="F1714" s="1344">
        <f>(1/S1714)*cnst_fish!$C$6</f>
        <v>3.8823156944206696E-2</v>
      </c>
      <c r="G1714" s="719">
        <f t="shared" si="247"/>
        <v>1</v>
      </c>
      <c r="H1714" s="719">
        <f t="shared" si="247"/>
        <v>0.367192066876738</v>
      </c>
      <c r="I1714" s="719">
        <f t="shared" si="240"/>
        <v>122.95488685419512</v>
      </c>
      <c r="J1714" s="1386">
        <f t="shared" si="241"/>
        <v>0</v>
      </c>
      <c r="L1714" s="1460">
        <v>53849</v>
      </c>
      <c r="M1714" s="1236"/>
      <c r="N1714" s="1240" t="s">
        <v>2438</v>
      </c>
      <c r="O1714" s="1241" t="s">
        <v>4841</v>
      </c>
      <c r="P1714" s="910">
        <f t="shared" si="242"/>
        <v>13</v>
      </c>
      <c r="Q1714" s="910">
        <f t="shared" si="243"/>
        <v>53849</v>
      </c>
      <c r="R1714" s="1344">
        <f t="shared" si="244"/>
        <v>3.89</v>
      </c>
      <c r="S1714" s="1344">
        <f>(1/9)*cnst_fish!$C$7*(1/cnst_fish!$C$8)^(R1714-1)</f>
        <v>109.47074721686684</v>
      </c>
      <c r="T1714" s="1362">
        <f t="shared" si="245"/>
        <v>509307.51555473491</v>
      </c>
      <c r="W1714" s="1612"/>
      <c r="X1714" s="1612"/>
      <c r="Y1714" s="1613"/>
      <c r="Z1714" s="1614"/>
      <c r="AA1714" s="1614"/>
      <c r="AB1714" s="1615"/>
      <c r="AC1714" s="1615"/>
      <c r="AD1714" s="583"/>
      <c r="AE1714" s="583"/>
    </row>
    <row r="1715" spans="1:31" ht="12.75" customHeight="1">
      <c r="A1715" s="1384" t="s">
        <v>6477</v>
      </c>
      <c r="B1715" s="19" t="s">
        <v>6476</v>
      </c>
      <c r="C1715" s="1383">
        <v>19318</v>
      </c>
      <c r="D1715" s="1236"/>
      <c r="E1715" s="1236"/>
      <c r="F1715" s="1344">
        <f>(1/S1715)*cnst_fish!$C$6</f>
        <v>3.0136363636363641</v>
      </c>
      <c r="G1715" s="719">
        <f t="shared" si="247"/>
        <v>1</v>
      </c>
      <c r="H1715" s="719">
        <f t="shared" si="247"/>
        <v>0.367192066876738</v>
      </c>
      <c r="I1715" s="719">
        <f t="shared" si="240"/>
        <v>0</v>
      </c>
      <c r="J1715" s="1386">
        <f t="shared" si="241"/>
        <v>0</v>
      </c>
      <c r="L1715" s="1460">
        <v>36</v>
      </c>
      <c r="M1715" s="1236"/>
      <c r="N1715" s="1240" t="s">
        <v>2438</v>
      </c>
      <c r="O1715" s="1241" t="s">
        <v>4841</v>
      </c>
      <c r="P1715" s="910">
        <f t="shared" si="242"/>
        <v>0</v>
      </c>
      <c r="Q1715" s="910">
        <f t="shared" si="243"/>
        <v>36</v>
      </c>
      <c r="R1715" s="1344">
        <f t="shared" si="244"/>
        <v>2</v>
      </c>
      <c r="S1715" s="1344">
        <f>(1/9)*cnst_fish!$C$7*(1/cnst_fish!$C$8)^(R1715-1)</f>
        <v>1.4102564102564099</v>
      </c>
      <c r="T1715" s="1362">
        <f t="shared" si="245"/>
        <v>4.3863667717402182</v>
      </c>
      <c r="W1715" s="1612"/>
      <c r="X1715" s="1612"/>
      <c r="Y1715" s="1613"/>
      <c r="Z1715" s="1614"/>
      <c r="AA1715" s="1614"/>
      <c r="AB1715" s="1615"/>
      <c r="AC1715" s="1615"/>
      <c r="AD1715" s="583"/>
      <c r="AE1715" s="583"/>
    </row>
    <row r="1716" spans="1:31" ht="12.75" customHeight="1">
      <c r="A1716" s="1384" t="s">
        <v>6542</v>
      </c>
      <c r="B1716" s="19" t="s">
        <v>6541</v>
      </c>
      <c r="C1716" s="1383">
        <v>2284</v>
      </c>
      <c r="D1716" s="1236"/>
      <c r="E1716" s="1236"/>
      <c r="F1716" s="1344">
        <f>(1/S1716)*cnst_fish!$C$6</f>
        <v>0.11997502458044032</v>
      </c>
      <c r="G1716" s="719">
        <f t="shared" si="247"/>
        <v>1</v>
      </c>
      <c r="H1716" s="719">
        <f t="shared" si="247"/>
        <v>0.367192066876738</v>
      </c>
      <c r="I1716" s="719">
        <f t="shared" si="240"/>
        <v>0</v>
      </c>
      <c r="J1716" s="1386">
        <f t="shared" si="241"/>
        <v>0</v>
      </c>
      <c r="L1716" s="1460">
        <v>112</v>
      </c>
      <c r="M1716" s="1236"/>
      <c r="N1716" s="1240" t="s">
        <v>2438</v>
      </c>
      <c r="O1716" s="1241" t="s">
        <v>4841</v>
      </c>
      <c r="P1716" s="910">
        <f t="shared" si="242"/>
        <v>0</v>
      </c>
      <c r="Q1716" s="910">
        <f t="shared" si="243"/>
        <v>112</v>
      </c>
      <c r="R1716" s="1344">
        <f t="shared" si="244"/>
        <v>3.4</v>
      </c>
      <c r="S1716" s="1344">
        <f>(1/9)*cnst_fish!$C$7*(1/cnst_fish!$C$8)^(R1716-1)</f>
        <v>35.424039418724846</v>
      </c>
      <c r="T1716" s="1362">
        <f t="shared" si="245"/>
        <v>342.78393885738285</v>
      </c>
      <c r="W1716" s="1612"/>
      <c r="X1716" s="1612"/>
      <c r="Y1716" s="1613"/>
      <c r="Z1716" s="1614"/>
      <c r="AA1716" s="1614"/>
      <c r="AB1716" s="1615"/>
      <c r="AC1716" s="1615"/>
      <c r="AD1716" s="583"/>
      <c r="AE1716" s="583"/>
    </row>
    <row r="1717" spans="1:31" ht="12.75" customHeight="1">
      <c r="A1717" s="1384" t="s">
        <v>6767</v>
      </c>
      <c r="B1717" s="19" t="s">
        <v>6766</v>
      </c>
      <c r="C1717" s="1383">
        <v>15260</v>
      </c>
      <c r="D1717" s="1236"/>
      <c r="E1717" s="1236"/>
      <c r="F1717" s="1344">
        <f>(1/S1717)*cnst_fish!$C$6</f>
        <v>4.7762917572805388E-2</v>
      </c>
      <c r="G1717" s="719">
        <f t="shared" si="247"/>
        <v>1</v>
      </c>
      <c r="H1717" s="719">
        <f t="shared" si="247"/>
        <v>0.367192066876738</v>
      </c>
      <c r="I1717" s="719">
        <f t="shared" si="240"/>
        <v>0</v>
      </c>
      <c r="J1717" s="1386">
        <f t="shared" si="241"/>
        <v>0</v>
      </c>
      <c r="L1717" s="1460">
        <v>1</v>
      </c>
      <c r="M1717" s="1236"/>
      <c r="N1717" s="1240" t="s">
        <v>2438</v>
      </c>
      <c r="O1717" s="1241" t="s">
        <v>4841</v>
      </c>
      <c r="P1717" s="910">
        <f t="shared" si="242"/>
        <v>0</v>
      </c>
      <c r="Q1717" s="910">
        <f t="shared" si="243"/>
        <v>1</v>
      </c>
      <c r="R1717" s="1344">
        <f t="shared" si="244"/>
        <v>3.8</v>
      </c>
      <c r="S1717" s="1344">
        <f>(1/9)*cnst_fish!$C$7*(1/cnst_fish!$C$8)^(R1717-1)</f>
        <v>88.981163965155432</v>
      </c>
      <c r="T1717" s="1362">
        <f t="shared" si="245"/>
        <v>7.6878064728149038</v>
      </c>
      <c r="W1717" s="1612"/>
      <c r="X1717" s="1612"/>
      <c r="Y1717" s="1613"/>
      <c r="Z1717" s="1614"/>
      <c r="AA1717" s="1614"/>
      <c r="AB1717" s="1615"/>
      <c r="AC1717" s="1615"/>
      <c r="AD1717" s="583"/>
      <c r="AE1717" s="583"/>
    </row>
    <row r="1718" spans="1:31" ht="12.75" customHeight="1">
      <c r="A1718" s="1384" t="s">
        <v>6544</v>
      </c>
      <c r="B1718" s="19" t="s">
        <v>6543</v>
      </c>
      <c r="C1718" s="1383">
        <v>2283</v>
      </c>
      <c r="D1718" s="1236"/>
      <c r="E1718" s="1236"/>
      <c r="F1718" s="1344">
        <f>(1/S1718)*cnst_fish!$C$6</f>
        <v>3.0136363636363641</v>
      </c>
      <c r="G1718" s="719">
        <f t="shared" si="247"/>
        <v>1</v>
      </c>
      <c r="H1718" s="719">
        <f t="shared" si="247"/>
        <v>0.367192066876738</v>
      </c>
      <c r="I1718" s="719">
        <f t="shared" si="240"/>
        <v>0</v>
      </c>
      <c r="J1718" s="1386">
        <f t="shared" si="241"/>
        <v>0</v>
      </c>
      <c r="L1718" s="1460">
        <v>0</v>
      </c>
      <c r="M1718" s="1236"/>
      <c r="N1718" s="1240" t="s">
        <v>2438</v>
      </c>
      <c r="O1718" s="1241" t="s">
        <v>4841</v>
      </c>
      <c r="P1718" s="910">
        <f t="shared" si="242"/>
        <v>0</v>
      </c>
      <c r="Q1718" s="910">
        <f t="shared" si="243"/>
        <v>0</v>
      </c>
      <c r="R1718" s="1344">
        <f t="shared" si="244"/>
        <v>2</v>
      </c>
      <c r="S1718" s="1344">
        <f>(1/9)*cnst_fish!$C$7*(1/cnst_fish!$C$8)^(R1718-1)</f>
        <v>1.4102564102564099</v>
      </c>
      <c r="T1718" s="1362">
        <f t="shared" si="245"/>
        <v>0</v>
      </c>
      <c r="W1718" s="1612"/>
      <c r="X1718" s="1612"/>
      <c r="Y1718" s="1613"/>
      <c r="Z1718" s="1614"/>
      <c r="AA1718" s="1614"/>
      <c r="AB1718" s="1615"/>
      <c r="AC1718" s="1615"/>
      <c r="AD1718" s="583"/>
      <c r="AE1718" s="583"/>
    </row>
    <row r="1719" spans="1:31" ht="12.75" customHeight="1">
      <c r="A1719" s="1585" t="s">
        <v>8595</v>
      </c>
      <c r="B1719" s="1586" t="s">
        <v>8596</v>
      </c>
      <c r="C1719" s="1383">
        <v>6785</v>
      </c>
      <c r="D1719" s="1236"/>
      <c r="E1719" s="1236"/>
      <c r="F1719" s="1344">
        <f>(1/S1719)*cnst_fish!$C$6</f>
        <v>8.3002437741509269E-2</v>
      </c>
      <c r="G1719" s="719">
        <f t="shared" si="247"/>
        <v>1</v>
      </c>
      <c r="H1719" s="719">
        <f t="shared" si="247"/>
        <v>0.367192066876738</v>
      </c>
      <c r="I1719" s="719">
        <f t="shared" si="240"/>
        <v>0</v>
      </c>
      <c r="J1719" s="1386">
        <f t="shared" si="241"/>
        <v>0</v>
      </c>
      <c r="L1719" s="1460"/>
      <c r="M1719" s="1236">
        <v>3494</v>
      </c>
      <c r="N1719" s="1240" t="s">
        <v>1806</v>
      </c>
      <c r="O1719" s="1241" t="s">
        <v>4845</v>
      </c>
      <c r="P1719" s="910">
        <f t="shared" si="242"/>
        <v>0</v>
      </c>
      <c r="Q1719" s="910">
        <f t="shared" si="243"/>
        <v>3494</v>
      </c>
      <c r="R1719" s="1344">
        <f t="shared" si="244"/>
        <v>3.56</v>
      </c>
      <c r="S1719" s="1344">
        <f>(1/9)*cnst_fish!$C$7*(1/cnst_fish!$C$8)^(R1719-1)</f>
        <v>51.203315416296356</v>
      </c>
      <c r="T1719" s="1362">
        <f t="shared" si="245"/>
        <v>15457.004837168941</v>
      </c>
      <c r="W1719" s="1616"/>
      <c r="X1719" s="1616"/>
      <c r="Y1719" s="1613"/>
      <c r="Z1719" s="1614"/>
      <c r="AA1719" s="1614"/>
      <c r="AB1719" s="1615"/>
      <c r="AC1719" s="1615"/>
      <c r="AD1719" s="583"/>
      <c r="AE1719" s="583"/>
    </row>
    <row r="1720" spans="1:31" ht="12.75" customHeight="1">
      <c r="A1720" s="1384" t="s">
        <v>2821</v>
      </c>
      <c r="B1720" s="19" t="s">
        <v>110</v>
      </c>
      <c r="C1720" s="1383">
        <v>2610</v>
      </c>
      <c r="D1720" s="1236">
        <v>519</v>
      </c>
      <c r="E1720" s="1236"/>
      <c r="F1720" s="1344">
        <f>(1/S1720)*cnst_fish!$C$6</f>
        <v>1.9014759972289452</v>
      </c>
      <c r="G1720" s="719">
        <f t="shared" si="247"/>
        <v>1</v>
      </c>
      <c r="H1720" s="719">
        <f t="shared" si="247"/>
        <v>0.367192066876738</v>
      </c>
      <c r="I1720" s="719">
        <f t="shared" si="240"/>
        <v>100.22355422143218</v>
      </c>
      <c r="J1720" s="1386">
        <f t="shared" si="241"/>
        <v>0</v>
      </c>
      <c r="L1720" s="1460">
        <v>519</v>
      </c>
      <c r="M1720" s="1236"/>
      <c r="N1720" s="1240" t="s">
        <v>2441</v>
      </c>
      <c r="O1720" s="1241" t="s">
        <v>4840</v>
      </c>
      <c r="P1720" s="910">
        <f t="shared" si="242"/>
        <v>519</v>
      </c>
      <c r="Q1720" s="910">
        <f t="shared" si="243"/>
        <v>519</v>
      </c>
      <c r="R1720" s="1344">
        <f t="shared" si="244"/>
        <v>2.2000000000000002</v>
      </c>
      <c r="S1720" s="1344">
        <f>(1/9)*cnst_fish!$C$7*(1/cnst_fish!$C$8)^(R1720-1)</f>
        <v>2.2351057842400328</v>
      </c>
      <c r="T1720" s="1362">
        <f t="shared" si="245"/>
        <v>100.22355422143218</v>
      </c>
      <c r="W1720" s="1612"/>
      <c r="X1720" s="1612"/>
      <c r="Y1720" s="1613"/>
      <c r="Z1720" s="1614"/>
      <c r="AA1720" s="1614"/>
      <c r="AB1720" s="1615"/>
      <c r="AC1720" s="1615"/>
      <c r="AD1720" s="583"/>
      <c r="AE1720" s="583"/>
    </row>
    <row r="1721" spans="1:31" ht="12.75" customHeight="1">
      <c r="A1721" s="1384" t="s">
        <v>1489</v>
      </c>
      <c r="B1721" s="19" t="s">
        <v>111</v>
      </c>
      <c r="C1721" s="1383">
        <v>16659</v>
      </c>
      <c r="D1721" s="1236">
        <v>62</v>
      </c>
      <c r="E1721" s="1236"/>
      <c r="F1721" s="1344">
        <f>(1/S1721)*cnst_fish!$C$6</f>
        <v>1.0179208487545861</v>
      </c>
      <c r="G1721" s="719">
        <f t="shared" si="247"/>
        <v>1</v>
      </c>
      <c r="H1721" s="719">
        <f t="shared" si="247"/>
        <v>0.367192066876738</v>
      </c>
      <c r="I1721" s="719">
        <f t="shared" si="240"/>
        <v>22.365106456176402</v>
      </c>
      <c r="J1721" s="1386">
        <f t="shared" si="241"/>
        <v>0</v>
      </c>
      <c r="L1721" s="1460">
        <v>62</v>
      </c>
      <c r="M1721" s="1236"/>
      <c r="N1721" s="1240" t="s">
        <v>2441</v>
      </c>
      <c r="O1721" s="1241" t="s">
        <v>4840</v>
      </c>
      <c r="P1721" s="910">
        <f t="shared" si="242"/>
        <v>62</v>
      </c>
      <c r="Q1721" s="910">
        <f t="shared" si="243"/>
        <v>62</v>
      </c>
      <c r="R1721" s="1344">
        <f t="shared" si="244"/>
        <v>2.4713768380352099</v>
      </c>
      <c r="S1721" s="1344">
        <f>(1/9)*cnst_fish!$C$7*(1/cnst_fish!$C$8)^(R1721-1)</f>
        <v>4.1751772794513675</v>
      </c>
      <c r="T1721" s="1362">
        <f t="shared" si="245"/>
        <v>22.365106456176402</v>
      </c>
      <c r="W1721" s="1612"/>
      <c r="X1721" s="1612"/>
      <c r="Y1721" s="1613"/>
      <c r="Z1721" s="1614"/>
      <c r="AA1721" s="1614"/>
      <c r="AB1721" s="1615"/>
      <c r="AC1721" s="1615"/>
      <c r="AD1721" s="583"/>
      <c r="AE1721" s="583"/>
    </row>
    <row r="1722" spans="1:31" ht="12.75" customHeight="1">
      <c r="A1722" s="1384" t="s">
        <v>428</v>
      </c>
      <c r="B1722" s="19" t="s">
        <v>1966</v>
      </c>
      <c r="C1722" s="1383">
        <v>15277</v>
      </c>
      <c r="D1722" s="1236"/>
      <c r="E1722" s="1236"/>
      <c r="F1722" s="1344">
        <f>(1/S1722)*cnst_fish!$C$6</f>
        <v>0.51178888253733446</v>
      </c>
      <c r="G1722" s="719">
        <f t="shared" si="247"/>
        <v>1</v>
      </c>
      <c r="H1722" s="719">
        <f t="shared" si="247"/>
        <v>0.367192066876738</v>
      </c>
      <c r="I1722" s="719">
        <f t="shared" si="240"/>
        <v>0</v>
      </c>
      <c r="J1722" s="1386">
        <f t="shared" si="241"/>
        <v>0</v>
      </c>
      <c r="L1722" s="1460"/>
      <c r="M1722" s="1236">
        <v>0</v>
      </c>
      <c r="N1722" s="1240" t="s">
        <v>1806</v>
      </c>
      <c r="O1722" s="1241" t="s">
        <v>4845</v>
      </c>
      <c r="P1722" s="910">
        <f t="shared" si="242"/>
        <v>0</v>
      </c>
      <c r="Q1722" s="910">
        <f t="shared" si="243"/>
        <v>0</v>
      </c>
      <c r="R1722" s="1344">
        <f t="shared" si="244"/>
        <v>2.77</v>
      </c>
      <c r="S1722" s="1344">
        <f>(1/9)*cnst_fish!$C$7*(1/cnst_fish!$C$8)^(R1722-1)</f>
        <v>8.3042053960403628</v>
      </c>
      <c r="T1722" s="1362">
        <f t="shared" si="245"/>
        <v>0</v>
      </c>
      <c r="W1722" s="1612"/>
      <c r="X1722" s="1612"/>
      <c r="Y1722" s="1613"/>
      <c r="Z1722" s="1614"/>
      <c r="AA1722" s="1614"/>
      <c r="AB1722" s="1615"/>
      <c r="AC1722" s="1615"/>
      <c r="AD1722" s="583"/>
      <c r="AE1722" s="583"/>
    </row>
    <row r="1723" spans="1:31" ht="12.75" customHeight="1">
      <c r="A1723" s="1585" t="s">
        <v>8597</v>
      </c>
      <c r="B1723" s="1586" t="s">
        <v>8598</v>
      </c>
      <c r="C1723" s="1383">
        <v>15290</v>
      </c>
      <c r="D1723" s="1236"/>
      <c r="E1723" s="1236"/>
      <c r="F1723" s="1344">
        <f>(1/S1723)*cnst_fish!$C$6</f>
        <v>3.0136363636363641</v>
      </c>
      <c r="G1723" s="719">
        <f t="shared" si="247"/>
        <v>1</v>
      </c>
      <c r="H1723" s="719">
        <f t="shared" si="247"/>
        <v>0.367192066876738</v>
      </c>
      <c r="I1723" s="719">
        <f t="shared" si="240"/>
        <v>0</v>
      </c>
      <c r="J1723" s="1386">
        <f t="shared" si="241"/>
        <v>0</v>
      </c>
      <c r="L1723" s="1460">
        <v>1</v>
      </c>
      <c r="M1723" s="1236"/>
      <c r="N1723" s="1240" t="s">
        <v>1806</v>
      </c>
      <c r="O1723" s="1241" t="s">
        <v>4841</v>
      </c>
      <c r="P1723" s="910">
        <f t="shared" si="242"/>
        <v>0</v>
      </c>
      <c r="Q1723" s="910">
        <f t="shared" si="243"/>
        <v>1</v>
      </c>
      <c r="R1723" s="1344">
        <f t="shared" si="244"/>
        <v>2</v>
      </c>
      <c r="S1723" s="1344">
        <f>(1/9)*cnst_fish!$C$7*(1/cnst_fish!$C$8)^(R1723-1)</f>
        <v>1.4102564102564099</v>
      </c>
      <c r="T1723" s="1362">
        <f t="shared" si="245"/>
        <v>0.12184352143722826</v>
      </c>
      <c r="W1723" s="1616"/>
      <c r="X1723" s="1616"/>
      <c r="Y1723" s="1613"/>
      <c r="Z1723" s="1614"/>
      <c r="AA1723" s="1614"/>
      <c r="AB1723" s="1615"/>
      <c r="AC1723" s="1615"/>
      <c r="AD1723" s="583"/>
      <c r="AE1723" s="583"/>
    </row>
    <row r="1724" spans="1:31" ht="12.75" customHeight="1">
      <c r="A1724" s="1585" t="s">
        <v>4372</v>
      </c>
      <c r="B1724" s="1586" t="s">
        <v>8599</v>
      </c>
      <c r="C1724" s="1383">
        <v>2463</v>
      </c>
      <c r="D1724" s="1236"/>
      <c r="E1724" s="1236"/>
      <c r="F1724" s="1344">
        <f>(1/S1724)*cnst_fish!$C$6</f>
        <v>3.0136363636363641</v>
      </c>
      <c r="G1724" s="719">
        <f t="shared" si="247"/>
        <v>1</v>
      </c>
      <c r="H1724" s="719">
        <f t="shared" si="247"/>
        <v>0.367192066876738</v>
      </c>
      <c r="I1724" s="719">
        <f t="shared" si="240"/>
        <v>0</v>
      </c>
      <c r="J1724" s="1386">
        <f t="shared" si="241"/>
        <v>0</v>
      </c>
      <c r="L1724" s="1460">
        <v>6</v>
      </c>
      <c r="M1724" s="1236"/>
      <c r="N1724" s="1240" t="s">
        <v>1806</v>
      </c>
      <c r="O1724" s="1241" t="s">
        <v>4841</v>
      </c>
      <c r="P1724" s="910">
        <f t="shared" si="242"/>
        <v>0</v>
      </c>
      <c r="Q1724" s="910">
        <f t="shared" si="243"/>
        <v>6</v>
      </c>
      <c r="R1724" s="1344">
        <f t="shared" si="244"/>
        <v>2</v>
      </c>
      <c r="S1724" s="1344">
        <f>(1/9)*cnst_fish!$C$7*(1/cnst_fish!$C$8)^(R1724-1)</f>
        <v>1.4102564102564099</v>
      </c>
      <c r="T1724" s="1362">
        <f t="shared" si="245"/>
        <v>0.73106112862336958</v>
      </c>
      <c r="W1724" s="1616"/>
      <c r="X1724" s="1616"/>
      <c r="Y1724" s="1613"/>
      <c r="Z1724" s="1614"/>
      <c r="AA1724" s="1614"/>
      <c r="AB1724" s="1615"/>
      <c r="AC1724" s="1615"/>
      <c r="AD1724" s="583"/>
      <c r="AE1724" s="583"/>
    </row>
    <row r="1725" spans="1:31" ht="12.75" customHeight="1">
      <c r="A1725" s="1384" t="s">
        <v>3311</v>
      </c>
      <c r="B1725" s="19" t="s">
        <v>1531</v>
      </c>
      <c r="C1725" s="1383">
        <v>3262</v>
      </c>
      <c r="D1725" s="1236"/>
      <c r="E1725" s="1236"/>
      <c r="F1725" s="1344">
        <f>(1/S1725)*cnst_fish!$C$6</f>
        <v>1.4760152601876353</v>
      </c>
      <c r="G1725" s="719">
        <f t="shared" si="247"/>
        <v>1</v>
      </c>
      <c r="H1725" s="719">
        <f t="shared" si="247"/>
        <v>0.367192066876738</v>
      </c>
      <c r="I1725" s="719">
        <f t="shared" si="240"/>
        <v>0</v>
      </c>
      <c r="J1725" s="1386">
        <f t="shared" si="241"/>
        <v>0</v>
      </c>
      <c r="L1725" s="1460">
        <v>81649</v>
      </c>
      <c r="M1725" s="1236"/>
      <c r="N1725" s="1240" t="s">
        <v>1806</v>
      </c>
      <c r="O1725" s="1241" t="s">
        <v>4841</v>
      </c>
      <c r="P1725" s="910">
        <f t="shared" si="242"/>
        <v>0</v>
      </c>
      <c r="Q1725" s="910">
        <f t="shared" si="243"/>
        <v>81649</v>
      </c>
      <c r="R1725" s="1344">
        <f t="shared" si="244"/>
        <v>2.31</v>
      </c>
      <c r="S1725" s="1344">
        <f>(1/9)*cnst_fish!$C$7*(1/cnst_fish!$C$8)^(R1725-1)</f>
        <v>2.8793740245339521</v>
      </c>
      <c r="T1725" s="1362">
        <f t="shared" si="245"/>
        <v>20312.029202602913</v>
      </c>
      <c r="W1725" s="1612"/>
      <c r="X1725" s="1612"/>
      <c r="Y1725" s="1613"/>
      <c r="Z1725" s="1614"/>
      <c r="AA1725" s="1614"/>
      <c r="AB1725" s="1615"/>
      <c r="AC1725" s="1615"/>
      <c r="AD1725" s="583"/>
      <c r="AE1725" s="583"/>
    </row>
    <row r="1726" spans="1:31" ht="12.75" customHeight="1">
      <c r="A1726" s="1384" t="s">
        <v>4240</v>
      </c>
      <c r="B1726" s="19" t="s">
        <v>1372</v>
      </c>
      <c r="C1726" s="1383">
        <v>2706</v>
      </c>
      <c r="D1726" s="1236">
        <v>228</v>
      </c>
      <c r="E1726" s="1236"/>
      <c r="F1726" s="1344">
        <f>(1/S1726)*cnst_fish!$C$6</f>
        <v>2.3938164528281742</v>
      </c>
      <c r="G1726" s="719">
        <f t="shared" si="247"/>
        <v>1</v>
      </c>
      <c r="H1726" s="719">
        <f t="shared" si="247"/>
        <v>0.367192066876738</v>
      </c>
      <c r="I1726" s="719">
        <f t="shared" si="240"/>
        <v>34.973354431157631</v>
      </c>
      <c r="J1726" s="1386">
        <f t="shared" si="241"/>
        <v>0</v>
      </c>
      <c r="L1726" s="1460">
        <v>228</v>
      </c>
      <c r="M1726" s="1236"/>
      <c r="N1726" s="1240" t="s">
        <v>1804</v>
      </c>
      <c r="O1726" s="1241" t="s">
        <v>4851</v>
      </c>
      <c r="P1726" s="910">
        <f t="shared" si="242"/>
        <v>228</v>
      </c>
      <c r="Q1726" s="910">
        <f t="shared" si="243"/>
        <v>228</v>
      </c>
      <c r="R1726" s="1344">
        <f t="shared" si="244"/>
        <v>2.1</v>
      </c>
      <c r="S1726" s="1344">
        <f>(1/9)*cnst_fish!$C$7*(1/cnst_fish!$C$8)^(R1726-1)</f>
        <v>1.7754076320174161</v>
      </c>
      <c r="T1726" s="1362">
        <f t="shared" si="245"/>
        <v>34.973354431157631</v>
      </c>
      <c r="W1726" s="1612"/>
      <c r="X1726" s="1612"/>
      <c r="Y1726" s="1613"/>
      <c r="Z1726" s="1614"/>
      <c r="AA1726" s="1614"/>
      <c r="AB1726" s="1615"/>
      <c r="AC1726" s="1615"/>
      <c r="AD1726" s="583"/>
      <c r="AE1726" s="583"/>
    </row>
    <row r="1727" spans="1:31" ht="12.75" customHeight="1">
      <c r="A1727" s="1384" t="s">
        <v>1770</v>
      </c>
      <c r="B1727" s="19" t="s">
        <v>1532</v>
      </c>
      <c r="C1727" s="1383">
        <v>3099</v>
      </c>
      <c r="D1727" s="1236"/>
      <c r="E1727" s="1236"/>
      <c r="F1727" s="1344">
        <f>(1/S1727)*cnst_fish!$C$6</f>
        <v>0.15455777163012493</v>
      </c>
      <c r="G1727" s="719">
        <f t="shared" si="247"/>
        <v>1</v>
      </c>
      <c r="H1727" s="719">
        <f t="shared" si="247"/>
        <v>0.367192066876738</v>
      </c>
      <c r="I1727" s="719">
        <f t="shared" si="240"/>
        <v>0</v>
      </c>
      <c r="J1727" s="1386">
        <f t="shared" si="241"/>
        <v>0</v>
      </c>
      <c r="L1727" s="1460">
        <v>22380</v>
      </c>
      <c r="M1727" s="1236"/>
      <c r="N1727" s="1240" t="s">
        <v>1806</v>
      </c>
      <c r="O1727" s="1241" t="s">
        <v>4841</v>
      </c>
      <c r="P1727" s="910">
        <f t="shared" si="242"/>
        <v>0</v>
      </c>
      <c r="Q1727" s="910">
        <f t="shared" si="243"/>
        <v>22380</v>
      </c>
      <c r="R1727" s="1344">
        <f t="shared" si="244"/>
        <v>3.29</v>
      </c>
      <c r="S1727" s="1344">
        <f>(1/9)*cnst_fish!$C$7*(1/cnst_fish!$C$8)^(R1727-1)</f>
        <v>27.497808458126283</v>
      </c>
      <c r="T1727" s="1362">
        <f t="shared" si="245"/>
        <v>53169.493646475872</v>
      </c>
      <c r="W1727" s="1612"/>
      <c r="X1727" s="1612"/>
      <c r="Y1727" s="1613"/>
      <c r="Z1727" s="1614"/>
      <c r="AA1727" s="1614"/>
      <c r="AB1727" s="1615"/>
      <c r="AC1727" s="1615"/>
      <c r="AD1727" s="583"/>
      <c r="AE1727" s="583"/>
    </row>
    <row r="1728" spans="1:31" ht="12.75" customHeight="1">
      <c r="A1728" s="1384" t="s">
        <v>5395</v>
      </c>
      <c r="B1728" s="19" t="s">
        <v>236</v>
      </c>
      <c r="C1728" s="1383">
        <v>15315</v>
      </c>
      <c r="D1728" s="1236"/>
      <c r="E1728" s="1236"/>
      <c r="F1728" s="1344">
        <f>(1/S1728)*cnst_fish!$C$6</f>
        <v>0.12855555498429813</v>
      </c>
      <c r="G1728" s="719">
        <f t="shared" ref="G1728:H1747" si="248">G$7</f>
        <v>1</v>
      </c>
      <c r="H1728" s="719">
        <f t="shared" si="248"/>
        <v>0.367192066876738</v>
      </c>
      <c r="I1728" s="719">
        <f t="shared" si="240"/>
        <v>0</v>
      </c>
      <c r="J1728" s="1386">
        <f t="shared" si="241"/>
        <v>0</v>
      </c>
      <c r="L1728" s="1460">
        <v>2923</v>
      </c>
      <c r="M1728" s="1236"/>
      <c r="N1728" s="1240" t="s">
        <v>1806</v>
      </c>
      <c r="O1728" s="1241" t="s">
        <v>4841</v>
      </c>
      <c r="P1728" s="910">
        <f t="shared" si="242"/>
        <v>0</v>
      </c>
      <c r="Q1728" s="910">
        <f t="shared" si="243"/>
        <v>2923</v>
      </c>
      <c r="R1728" s="1344">
        <f t="shared" si="244"/>
        <v>3.37</v>
      </c>
      <c r="S1728" s="1344">
        <f>(1/9)*cnst_fish!$C$7*(1/cnst_fish!$C$8)^(R1728-1)</f>
        <v>33.059637139127112</v>
      </c>
      <c r="T1728" s="1362">
        <f t="shared" si="245"/>
        <v>8348.9384150828737</v>
      </c>
      <c r="W1728" s="1612"/>
      <c r="X1728" s="1612"/>
      <c r="Y1728" s="1613"/>
      <c r="Z1728" s="1614"/>
      <c r="AA1728" s="1614"/>
      <c r="AB1728" s="1615"/>
      <c r="AC1728" s="1615"/>
      <c r="AD1728" s="583"/>
      <c r="AE1728" s="583"/>
    </row>
    <row r="1729" spans="1:31" ht="12.75" customHeight="1">
      <c r="A1729" s="1384" t="s">
        <v>3296</v>
      </c>
      <c r="B1729" s="19" t="s">
        <v>4545</v>
      </c>
      <c r="C1729" s="1383">
        <v>2180</v>
      </c>
      <c r="D1729" s="1236"/>
      <c r="E1729" s="1236"/>
      <c r="F1729" s="1344">
        <f>(1/S1729)*cnst_fish!$C$6</f>
        <v>0.14424170509541331</v>
      </c>
      <c r="G1729" s="719">
        <f t="shared" si="248"/>
        <v>1</v>
      </c>
      <c r="H1729" s="719">
        <f t="shared" si="248"/>
        <v>0.367192066876738</v>
      </c>
      <c r="I1729" s="719">
        <f t="shared" si="240"/>
        <v>0</v>
      </c>
      <c r="J1729" s="1386">
        <f t="shared" si="241"/>
        <v>0</v>
      </c>
      <c r="L1729" s="1460"/>
      <c r="M1729" s="1236">
        <v>106874</v>
      </c>
      <c r="N1729" s="1240" t="s">
        <v>1806</v>
      </c>
      <c r="O1729" s="1241" t="s">
        <v>4845</v>
      </c>
      <c r="P1729" s="910">
        <f t="shared" si="242"/>
        <v>0</v>
      </c>
      <c r="Q1729" s="910">
        <f t="shared" si="243"/>
        <v>106874</v>
      </c>
      <c r="R1729" s="1344">
        <f t="shared" si="244"/>
        <v>3.32</v>
      </c>
      <c r="S1729" s="1344">
        <f>(1/9)*cnst_fish!$C$7*(1/cnst_fish!$C$8)^(R1729-1)</f>
        <v>29.464432614608246</v>
      </c>
      <c r="T1729" s="1362">
        <f t="shared" si="245"/>
        <v>272066.14709265786</v>
      </c>
      <c r="W1729" s="1612"/>
      <c r="X1729" s="1612"/>
      <c r="Y1729" s="1613"/>
      <c r="Z1729" s="1614"/>
      <c r="AA1729" s="1614"/>
      <c r="AB1729" s="1615"/>
      <c r="AC1729" s="1615"/>
      <c r="AD1729" s="583"/>
      <c r="AE1729" s="583"/>
    </row>
    <row r="1730" spans="1:31" ht="12.75" customHeight="1">
      <c r="A1730" s="1384" t="s">
        <v>6847</v>
      </c>
      <c r="B1730" s="19" t="s">
        <v>4546</v>
      </c>
      <c r="C1730" s="1383">
        <v>2973</v>
      </c>
      <c r="D1730" s="1236"/>
      <c r="E1730" s="1236"/>
      <c r="F1730" s="1344">
        <f>(1/S1730)*cnst_fish!$C$6</f>
        <v>1.2855555498429807E-2</v>
      </c>
      <c r="G1730" s="719">
        <f t="shared" si="248"/>
        <v>1</v>
      </c>
      <c r="H1730" s="719">
        <f t="shared" si="248"/>
        <v>0.367192066876738</v>
      </c>
      <c r="I1730" s="719">
        <f t="shared" si="240"/>
        <v>0</v>
      </c>
      <c r="J1730" s="1386">
        <f t="shared" si="241"/>
        <v>0</v>
      </c>
      <c r="L1730" s="1460">
        <v>5</v>
      </c>
      <c r="M1730" s="1236">
        <v>11137</v>
      </c>
      <c r="N1730" s="1240" t="s">
        <v>1806</v>
      </c>
      <c r="O1730" s="1241" t="s">
        <v>4845</v>
      </c>
      <c r="P1730" s="910">
        <f t="shared" si="242"/>
        <v>0</v>
      </c>
      <c r="Q1730" s="910">
        <f t="shared" si="243"/>
        <v>11142</v>
      </c>
      <c r="R1730" s="1344">
        <f t="shared" si="244"/>
        <v>4.37</v>
      </c>
      <c r="S1730" s="1344">
        <f>(1/9)*cnst_fish!$C$7*(1/cnst_fish!$C$8)^(R1730-1)</f>
        <v>330.59637139127125</v>
      </c>
      <c r="T1730" s="1362">
        <f t="shared" si="245"/>
        <v>318247.936438089</v>
      </c>
      <c r="W1730" s="1612"/>
      <c r="X1730" s="1612"/>
      <c r="Y1730" s="1613"/>
      <c r="Z1730" s="1614"/>
      <c r="AA1730" s="1614"/>
      <c r="AB1730" s="1615"/>
      <c r="AC1730" s="1615"/>
      <c r="AD1730" s="583"/>
      <c r="AE1730" s="583"/>
    </row>
    <row r="1731" spans="1:31" ht="12.75" customHeight="1">
      <c r="A1731" s="1384" t="s">
        <v>2753</v>
      </c>
      <c r="B1731" s="19" t="s">
        <v>2914</v>
      </c>
      <c r="C1731" s="1383">
        <v>2553</v>
      </c>
      <c r="D1731" s="1236"/>
      <c r="E1731" s="1236"/>
      <c r="F1731" s="1344">
        <f>(1/S1731)*cnst_fish!$C$6</f>
        <v>0.19457670629544385</v>
      </c>
      <c r="G1731" s="719">
        <f t="shared" si="248"/>
        <v>1</v>
      </c>
      <c r="H1731" s="719">
        <f t="shared" si="248"/>
        <v>0.367192066876738</v>
      </c>
      <c r="I1731" s="719">
        <f t="shared" si="240"/>
        <v>0</v>
      </c>
      <c r="J1731" s="1386">
        <f t="shared" si="241"/>
        <v>0</v>
      </c>
      <c r="L1731" s="1460">
        <v>474</v>
      </c>
      <c r="M1731" s="1236"/>
      <c r="N1731" s="1240" t="s">
        <v>1809</v>
      </c>
      <c r="O1731" s="1241" t="s">
        <v>4841</v>
      </c>
      <c r="P1731" s="910">
        <f t="shared" si="242"/>
        <v>0</v>
      </c>
      <c r="Q1731" s="910">
        <f t="shared" si="243"/>
        <v>474</v>
      </c>
      <c r="R1731" s="1344">
        <f t="shared" si="244"/>
        <v>3.19</v>
      </c>
      <c r="S1731" s="1344">
        <f>(1/9)*cnst_fish!$C$7*(1/cnst_fish!$C$8)^(R1731-1)</f>
        <v>21.84228565132987</v>
      </c>
      <c r="T1731" s="1362">
        <f t="shared" si="245"/>
        <v>894.50090410770463</v>
      </c>
      <c r="W1731" s="1612"/>
      <c r="X1731" s="1612"/>
      <c r="Y1731" s="1613"/>
      <c r="Z1731" s="1614"/>
      <c r="AA1731" s="1614"/>
      <c r="AB1731" s="1615"/>
      <c r="AC1731" s="1615"/>
      <c r="AD1731" s="583"/>
      <c r="AE1731" s="583"/>
    </row>
    <row r="1732" spans="1:31" ht="12.75" customHeight="1">
      <c r="A1732" s="1384" t="s">
        <v>4408</v>
      </c>
      <c r="B1732" s="19" t="s">
        <v>6837</v>
      </c>
      <c r="C1732" s="1383">
        <v>15344</v>
      </c>
      <c r="D1732" s="1236"/>
      <c r="E1732" s="1236"/>
      <c r="F1732" s="1344">
        <f>(1/S1732)*cnst_fish!$C$6</f>
        <v>3.0136363636363641</v>
      </c>
      <c r="G1732" s="719">
        <f t="shared" si="248"/>
        <v>1</v>
      </c>
      <c r="H1732" s="719">
        <f t="shared" si="248"/>
        <v>0.367192066876738</v>
      </c>
      <c r="I1732" s="719">
        <f t="shared" si="240"/>
        <v>0</v>
      </c>
      <c r="J1732" s="1386">
        <f t="shared" si="241"/>
        <v>0</v>
      </c>
      <c r="L1732" s="1460">
        <v>56</v>
      </c>
      <c r="M1732" s="1236"/>
      <c r="N1732" s="1240" t="s">
        <v>1809</v>
      </c>
      <c r="O1732" s="1241" t="s">
        <v>4841</v>
      </c>
      <c r="P1732" s="910">
        <f t="shared" si="242"/>
        <v>0</v>
      </c>
      <c r="Q1732" s="910">
        <f t="shared" si="243"/>
        <v>56</v>
      </c>
      <c r="R1732" s="1344">
        <f t="shared" si="244"/>
        <v>2</v>
      </c>
      <c r="S1732" s="1344">
        <f>(1/9)*cnst_fish!$C$7*(1/cnst_fish!$C$8)^(R1732-1)</f>
        <v>1.4102564102564099</v>
      </c>
      <c r="T1732" s="1362">
        <f t="shared" si="245"/>
        <v>6.8232372004847841</v>
      </c>
      <c r="W1732" s="1612"/>
      <c r="X1732" s="1612"/>
      <c r="Y1732" s="1613"/>
      <c r="Z1732" s="1614"/>
      <c r="AA1732" s="1614"/>
      <c r="AB1732" s="1615"/>
      <c r="AC1732" s="1615"/>
      <c r="AD1732" s="583"/>
      <c r="AE1732" s="583"/>
    </row>
    <row r="1733" spans="1:31" ht="12.75" customHeight="1">
      <c r="A1733" s="1384" t="s">
        <v>4496</v>
      </c>
      <c r="B1733" s="19" t="s">
        <v>2915</v>
      </c>
      <c r="C1733" s="1383">
        <v>3367</v>
      </c>
      <c r="D1733" s="1236"/>
      <c r="E1733" s="1236"/>
      <c r="F1733" s="1344">
        <f>(1/S1733)*cnst_fish!$C$6</f>
        <v>0.22340394999204924</v>
      </c>
      <c r="G1733" s="719">
        <f t="shared" si="248"/>
        <v>1</v>
      </c>
      <c r="H1733" s="719">
        <f t="shared" si="248"/>
        <v>0.367192066876738</v>
      </c>
      <c r="I1733" s="719">
        <f t="shared" si="240"/>
        <v>0</v>
      </c>
      <c r="J1733" s="1386">
        <f t="shared" si="241"/>
        <v>0</v>
      </c>
      <c r="L1733" s="1460">
        <v>34897</v>
      </c>
      <c r="M1733" s="1236">
        <v>1384</v>
      </c>
      <c r="N1733" s="1240" t="s">
        <v>1809</v>
      </c>
      <c r="O1733" s="1241" t="s">
        <v>4841</v>
      </c>
      <c r="P1733" s="910">
        <f t="shared" si="242"/>
        <v>0</v>
      </c>
      <c r="Q1733" s="910">
        <f t="shared" si="243"/>
        <v>36281</v>
      </c>
      <c r="R1733" s="1344">
        <f t="shared" si="244"/>
        <v>3.13</v>
      </c>
      <c r="S1733" s="1344">
        <f>(1/9)*cnst_fish!$C$7*(1/cnst_fish!$C$8)^(R1733-1)</f>
        <v>19.023835523728447</v>
      </c>
      <c r="T1733" s="1362">
        <f t="shared" si="245"/>
        <v>59632.317955116967</v>
      </c>
      <c r="W1733" s="1612"/>
      <c r="X1733" s="1612"/>
      <c r="Y1733" s="1613"/>
      <c r="Z1733" s="1614"/>
      <c r="AA1733" s="1614"/>
      <c r="AB1733" s="1615"/>
      <c r="AC1733" s="1615"/>
      <c r="AD1733" s="583"/>
      <c r="AE1733" s="583"/>
    </row>
    <row r="1734" spans="1:31" ht="12.75" customHeight="1">
      <c r="A1734" s="1384" t="s">
        <v>3451</v>
      </c>
      <c r="B1734" s="19" t="s">
        <v>2916</v>
      </c>
      <c r="C1734" s="1383">
        <v>2552</v>
      </c>
      <c r="D1734" s="1236"/>
      <c r="E1734" s="1236"/>
      <c r="F1734" s="1344">
        <f>(1/S1734)*cnst_fish!$C$6</f>
        <v>0.11724405960509449</v>
      </c>
      <c r="G1734" s="719">
        <f t="shared" si="248"/>
        <v>1</v>
      </c>
      <c r="H1734" s="719">
        <f t="shared" si="248"/>
        <v>0.367192066876738</v>
      </c>
      <c r="I1734" s="719">
        <f t="shared" si="240"/>
        <v>0</v>
      </c>
      <c r="J1734" s="1386">
        <f t="shared" si="241"/>
        <v>0</v>
      </c>
      <c r="L1734" s="1460">
        <v>9730</v>
      </c>
      <c r="M1734" s="1236"/>
      <c r="N1734" s="1240" t="s">
        <v>1809</v>
      </c>
      <c r="O1734" s="1241" t="s">
        <v>4841</v>
      </c>
      <c r="P1734" s="910">
        <f t="shared" si="242"/>
        <v>0</v>
      </c>
      <c r="Q1734" s="910">
        <f t="shared" si="243"/>
        <v>9730</v>
      </c>
      <c r="R1734" s="1344">
        <f t="shared" si="244"/>
        <v>3.41</v>
      </c>
      <c r="S1734" s="1344">
        <f>(1/9)*cnst_fish!$C$7*(1/cnst_fish!$C$8)^(R1734-1)</f>
        <v>36.24917129545836</v>
      </c>
      <c r="T1734" s="1362">
        <f t="shared" si="245"/>
        <v>30473.004967114055</v>
      </c>
      <c r="W1734" s="1612"/>
      <c r="X1734" s="1612"/>
      <c r="Y1734" s="1613"/>
      <c r="Z1734" s="1614"/>
      <c r="AA1734" s="1614"/>
      <c r="AB1734" s="1615"/>
      <c r="AC1734" s="1615"/>
      <c r="AD1734" s="583"/>
      <c r="AE1734" s="583"/>
    </row>
    <row r="1735" spans="1:31" ht="12.75" customHeight="1">
      <c r="A1735" s="1384" t="s">
        <v>6868</v>
      </c>
      <c r="B1735" s="19" t="s">
        <v>1373</v>
      </c>
      <c r="C1735" s="1383">
        <v>2705</v>
      </c>
      <c r="D1735" s="1236"/>
      <c r="E1735" s="1236"/>
      <c r="F1735" s="1344">
        <f>(1/S1735)*cnst_fish!$C$6</f>
        <v>2.3938164528281742</v>
      </c>
      <c r="G1735" s="719">
        <f t="shared" si="248"/>
        <v>1</v>
      </c>
      <c r="H1735" s="719">
        <f t="shared" si="248"/>
        <v>0.367192066876738</v>
      </c>
      <c r="I1735" s="719">
        <f t="shared" ref="I1735:I1798" si="249">IF($F1735=0,0,D1735/$F1735*$H1735*$G1735)</f>
        <v>0</v>
      </c>
      <c r="J1735" s="1386">
        <f t="shared" ref="J1735:J1798" si="250">IF($F1735=0,0,E1735/$F1735*$H1735*$G1735)</f>
        <v>0</v>
      </c>
      <c r="L1735" s="1460">
        <v>1876</v>
      </c>
      <c r="M1735" s="1236"/>
      <c r="N1735" s="1240" t="s">
        <v>1804</v>
      </c>
      <c r="O1735" s="1241" t="s">
        <v>4851</v>
      </c>
      <c r="P1735" s="910">
        <f t="shared" ref="P1735:P1798" si="251">D1735+E1735</f>
        <v>0</v>
      </c>
      <c r="Q1735" s="910">
        <f t="shared" ref="Q1735:Q1798" si="252">L1735+M1735</f>
        <v>1876</v>
      </c>
      <c r="R1735" s="1344">
        <f t="shared" ref="R1735:R1798" si="253">VLOOKUP(B1735,constant_fish_trophic,3,FALSE)</f>
        <v>2.1</v>
      </c>
      <c r="S1735" s="1344">
        <f>(1/9)*cnst_fish!$C$7*(1/cnst_fish!$C$8)^(R1735-1)</f>
        <v>1.7754076320174161</v>
      </c>
      <c r="T1735" s="1362">
        <f t="shared" ref="T1735:T1798" si="254">IF(F1735=0,0,Q1735/F1735*H1735*G1735)</f>
        <v>287.76321453005136</v>
      </c>
      <c r="W1735" s="1612"/>
      <c r="X1735" s="1612"/>
      <c r="Y1735" s="1613"/>
      <c r="Z1735" s="1614"/>
      <c r="AA1735" s="1614"/>
      <c r="AB1735" s="1615"/>
      <c r="AC1735" s="1615"/>
      <c r="AD1735" s="583"/>
      <c r="AE1735" s="583"/>
    </row>
    <row r="1736" spans="1:31" ht="12.75" customHeight="1">
      <c r="A1736" s="1384" t="s">
        <v>3999</v>
      </c>
      <c r="B1736" s="19" t="s">
        <v>4000</v>
      </c>
      <c r="C1736" s="1383">
        <v>3549</v>
      </c>
      <c r="D1736" s="1236"/>
      <c r="E1736" s="1236"/>
      <c r="F1736" s="1344">
        <f>(1/S1736)*cnst_fish!$C$6</f>
        <v>2.3938164528281742</v>
      </c>
      <c r="G1736" s="719">
        <f t="shared" si="248"/>
        <v>1</v>
      </c>
      <c r="H1736" s="719">
        <f t="shared" si="248"/>
        <v>0.367192066876738</v>
      </c>
      <c r="I1736" s="719">
        <f t="shared" si="249"/>
        <v>0</v>
      </c>
      <c r="J1736" s="1386">
        <f t="shared" si="250"/>
        <v>0</v>
      </c>
      <c r="L1736" s="1460">
        <v>481</v>
      </c>
      <c r="M1736" s="1236"/>
      <c r="N1736" s="1240" t="s">
        <v>1804</v>
      </c>
      <c r="O1736" s="1241" t="s">
        <v>4851</v>
      </c>
      <c r="P1736" s="910">
        <f t="shared" si="251"/>
        <v>0</v>
      </c>
      <c r="Q1736" s="910">
        <f t="shared" si="252"/>
        <v>481</v>
      </c>
      <c r="R1736" s="1344">
        <f t="shared" si="253"/>
        <v>2.1</v>
      </c>
      <c r="S1736" s="1344">
        <f>(1/9)*cnst_fish!$C$7*(1/cnst_fish!$C$8)^(R1736-1)</f>
        <v>1.7754076320174161</v>
      </c>
      <c r="T1736" s="1362">
        <f t="shared" si="254"/>
        <v>73.781506497310602</v>
      </c>
      <c r="W1736" s="1612"/>
      <c r="X1736" s="1612"/>
      <c r="Y1736" s="1613"/>
      <c r="Z1736" s="1614"/>
      <c r="AA1736" s="1614"/>
      <c r="AB1736" s="1615"/>
      <c r="AC1736" s="1615"/>
      <c r="AD1736" s="583"/>
      <c r="AE1736" s="583"/>
    </row>
    <row r="1737" spans="1:31" ht="12.75" customHeight="1">
      <c r="A1737" s="1384" t="s">
        <v>2778</v>
      </c>
      <c r="B1737" s="19" t="s">
        <v>5439</v>
      </c>
      <c r="C1737" s="1383">
        <v>3438</v>
      </c>
      <c r="D1737" s="1236"/>
      <c r="E1737" s="1236"/>
      <c r="F1737" s="1344">
        <f>(1/S1737)*cnst_fish!$C$6</f>
        <v>1.9014759972289452</v>
      </c>
      <c r="G1737" s="719">
        <f t="shared" si="248"/>
        <v>1</v>
      </c>
      <c r="H1737" s="719">
        <f t="shared" si="248"/>
        <v>0.367192066876738</v>
      </c>
      <c r="I1737" s="719">
        <f t="shared" si="249"/>
        <v>0</v>
      </c>
      <c r="J1737" s="1386">
        <f t="shared" si="250"/>
        <v>0</v>
      </c>
      <c r="L1737" s="1460">
        <v>44</v>
      </c>
      <c r="M1737" s="1236"/>
      <c r="N1737" s="1240" t="s">
        <v>2441</v>
      </c>
      <c r="O1737" s="1241" t="s">
        <v>4840</v>
      </c>
      <c r="P1737" s="910">
        <f t="shared" si="251"/>
        <v>0</v>
      </c>
      <c r="Q1737" s="910">
        <f t="shared" si="252"/>
        <v>44</v>
      </c>
      <c r="R1737" s="1344">
        <f t="shared" si="253"/>
        <v>2.2000000000000002</v>
      </c>
      <c r="S1737" s="1344">
        <f>(1/9)*cnst_fish!$C$7*(1/cnst_fish!$C$8)^(R1737-1)</f>
        <v>2.2351057842400328</v>
      </c>
      <c r="T1737" s="1362">
        <f t="shared" si="254"/>
        <v>8.4967945775395304</v>
      </c>
      <c r="W1737" s="1612"/>
      <c r="X1737" s="1612"/>
      <c r="Y1737" s="1613"/>
      <c r="Z1737" s="1614"/>
      <c r="AA1737" s="1614"/>
      <c r="AB1737" s="1615"/>
      <c r="AC1737" s="1615"/>
      <c r="AD1737" s="583"/>
      <c r="AE1737" s="583"/>
    </row>
    <row r="1738" spans="1:31" ht="12.75" customHeight="1">
      <c r="A1738" s="1384" t="s">
        <v>4132</v>
      </c>
      <c r="B1738" s="19" t="s">
        <v>3005</v>
      </c>
      <c r="C1738" s="1383">
        <v>2033</v>
      </c>
      <c r="D1738" s="1236"/>
      <c r="E1738" s="1236"/>
      <c r="F1738" s="1344">
        <f>(1/S1738)*cnst_fish!$C$6</f>
        <v>1.8158954798513597E-2</v>
      </c>
      <c r="G1738" s="719">
        <f t="shared" si="248"/>
        <v>1</v>
      </c>
      <c r="H1738" s="719">
        <f t="shared" si="248"/>
        <v>0.367192066876738</v>
      </c>
      <c r="I1738" s="719">
        <f t="shared" si="249"/>
        <v>0</v>
      </c>
      <c r="J1738" s="1386">
        <f t="shared" si="250"/>
        <v>0</v>
      </c>
      <c r="L1738" s="1460">
        <v>6</v>
      </c>
      <c r="M1738" s="1236"/>
      <c r="N1738" s="1240" t="s">
        <v>3927</v>
      </c>
      <c r="O1738" s="1241" t="s">
        <v>4841</v>
      </c>
      <c r="P1738" s="910">
        <f t="shared" si="251"/>
        <v>0</v>
      </c>
      <c r="Q1738" s="910">
        <f t="shared" si="252"/>
        <v>6</v>
      </c>
      <c r="R1738" s="1344">
        <f t="shared" si="253"/>
        <v>4.22</v>
      </c>
      <c r="S1738" s="1344">
        <f>(1/9)*cnst_fish!$C$7*(1/cnst_fish!$C$8)^(R1738-1)</f>
        <v>234.0443074591432</v>
      </c>
      <c r="T1738" s="1362">
        <f t="shared" si="254"/>
        <v>121.3259477599871</v>
      </c>
      <c r="W1738" s="1612"/>
      <c r="X1738" s="1612"/>
      <c r="Y1738" s="1613"/>
      <c r="Z1738" s="1614"/>
      <c r="AA1738" s="1614"/>
      <c r="AB1738" s="1615"/>
      <c r="AC1738" s="1615"/>
      <c r="AD1738" s="583"/>
      <c r="AE1738" s="583"/>
    </row>
    <row r="1739" spans="1:31" ht="12.75" customHeight="1">
      <c r="A1739" s="1384" t="s">
        <v>593</v>
      </c>
      <c r="B1739" s="19" t="s">
        <v>3006</v>
      </c>
      <c r="C1739" s="1383">
        <v>15351</v>
      </c>
      <c r="D1739" s="1236"/>
      <c r="E1739" s="1236"/>
      <c r="F1739" s="1344">
        <f>(1/S1739)*cnst_fish!$C$6</f>
        <v>1.6946922663690963E-2</v>
      </c>
      <c r="G1739" s="719">
        <f t="shared" si="248"/>
        <v>1</v>
      </c>
      <c r="H1739" s="719">
        <f t="shared" si="248"/>
        <v>0.367192066876738</v>
      </c>
      <c r="I1739" s="719">
        <f t="shared" si="249"/>
        <v>0</v>
      </c>
      <c r="J1739" s="1386">
        <f t="shared" si="250"/>
        <v>0</v>
      </c>
      <c r="L1739" s="1460">
        <v>5</v>
      </c>
      <c r="M1739" s="1236"/>
      <c r="N1739" s="1240" t="s">
        <v>3927</v>
      </c>
      <c r="O1739" s="1241" t="s">
        <v>4841</v>
      </c>
      <c r="P1739" s="910">
        <f t="shared" si="251"/>
        <v>0</v>
      </c>
      <c r="Q1739" s="910">
        <f t="shared" si="252"/>
        <v>5</v>
      </c>
      <c r="R1739" s="1344">
        <f t="shared" si="253"/>
        <v>4.25</v>
      </c>
      <c r="S1739" s="1344">
        <f>(1/9)*cnst_fish!$C$7*(1/cnst_fish!$C$8)^(R1739-1)</f>
        <v>250.78299372343801</v>
      </c>
      <c r="T1739" s="1362">
        <f t="shared" si="254"/>
        <v>108.33591270922966</v>
      </c>
      <c r="W1739" s="1612"/>
      <c r="X1739" s="1612"/>
      <c r="Y1739" s="1613"/>
      <c r="Z1739" s="1614"/>
      <c r="AA1739" s="1614"/>
      <c r="AB1739" s="1615"/>
      <c r="AC1739" s="1615"/>
      <c r="AD1739" s="583"/>
      <c r="AE1739" s="583"/>
    </row>
    <row r="1740" spans="1:31" ht="12.75" customHeight="1">
      <c r="A1740" s="1384" t="s">
        <v>3789</v>
      </c>
      <c r="B1740" s="19" t="s">
        <v>3007</v>
      </c>
      <c r="C1740" s="1383">
        <v>2833</v>
      </c>
      <c r="D1740" s="1236"/>
      <c r="E1740" s="1236"/>
      <c r="F1740" s="1344">
        <f>(1/S1740)*cnst_fish!$C$6</f>
        <v>1.9014759972289439E-2</v>
      </c>
      <c r="G1740" s="719">
        <f t="shared" si="248"/>
        <v>1</v>
      </c>
      <c r="H1740" s="719">
        <f t="shared" si="248"/>
        <v>0.367192066876738</v>
      </c>
      <c r="I1740" s="719">
        <f t="shared" si="249"/>
        <v>0</v>
      </c>
      <c r="J1740" s="1386">
        <f t="shared" si="250"/>
        <v>0</v>
      </c>
      <c r="L1740" s="1460">
        <v>0</v>
      </c>
      <c r="M1740" s="1236"/>
      <c r="N1740" s="1240" t="s">
        <v>3927</v>
      </c>
      <c r="O1740" s="1241" t="s">
        <v>4841</v>
      </c>
      <c r="P1740" s="910">
        <f t="shared" si="251"/>
        <v>0</v>
      </c>
      <c r="Q1740" s="910">
        <f t="shared" si="252"/>
        <v>0</v>
      </c>
      <c r="R1740" s="1344">
        <f t="shared" si="253"/>
        <v>4.2</v>
      </c>
      <c r="S1740" s="1344">
        <f>(1/9)*cnst_fish!$C$7*(1/cnst_fish!$C$8)^(R1740-1)</f>
        <v>223.51057842400343</v>
      </c>
      <c r="T1740" s="1362">
        <f t="shared" si="254"/>
        <v>0</v>
      </c>
      <c r="W1740" s="1612"/>
      <c r="X1740" s="1612"/>
      <c r="Y1740" s="1613"/>
      <c r="Z1740" s="1614"/>
      <c r="AA1740" s="1614"/>
      <c r="AB1740" s="1615"/>
      <c r="AC1740" s="1615"/>
      <c r="AD1740" s="583"/>
      <c r="AE1740" s="583"/>
    </row>
    <row r="1741" spans="1:31" ht="12.75" customHeight="1">
      <c r="A1741" s="1384" t="s">
        <v>441</v>
      </c>
      <c r="B1741" s="19" t="s">
        <v>6572</v>
      </c>
      <c r="C1741" s="1383">
        <v>2201</v>
      </c>
      <c r="D1741" s="1236"/>
      <c r="E1741" s="1236"/>
      <c r="F1741" s="1344">
        <f>(1/S1741)*cnst_fish!$C$6</f>
        <v>2.3938164528281767E-2</v>
      </c>
      <c r="G1741" s="719">
        <f t="shared" si="248"/>
        <v>1</v>
      </c>
      <c r="H1741" s="719">
        <f t="shared" si="248"/>
        <v>0.367192066876738</v>
      </c>
      <c r="I1741" s="719">
        <f t="shared" si="249"/>
        <v>0</v>
      </c>
      <c r="J1741" s="1386">
        <f t="shared" si="250"/>
        <v>0</v>
      </c>
      <c r="L1741" s="1460"/>
      <c r="M1741" s="1236">
        <v>221</v>
      </c>
      <c r="N1741" s="1240" t="s">
        <v>1806</v>
      </c>
      <c r="O1741" s="1241" t="s">
        <v>4845</v>
      </c>
      <c r="P1741" s="910">
        <f t="shared" si="251"/>
        <v>0</v>
      </c>
      <c r="Q1741" s="910">
        <f t="shared" si="252"/>
        <v>221</v>
      </c>
      <c r="R1741" s="1344">
        <f t="shared" si="253"/>
        <v>4.0999999999999996</v>
      </c>
      <c r="S1741" s="1344">
        <f>(1/9)*cnst_fish!$C$7*(1/cnst_fish!$C$8)^(R1741-1)</f>
        <v>177.54076320174144</v>
      </c>
      <c r="T1741" s="1362">
        <f t="shared" si="254"/>
        <v>3389.9611093358899</v>
      </c>
      <c r="W1741" s="1612"/>
      <c r="X1741" s="1612"/>
      <c r="Y1741" s="1613"/>
      <c r="Z1741" s="1614"/>
      <c r="AA1741" s="1614"/>
      <c r="AB1741" s="1615"/>
      <c r="AC1741" s="1615"/>
      <c r="AD1741" s="583"/>
      <c r="AE1741" s="583"/>
    </row>
    <row r="1742" spans="1:31" ht="12.75" customHeight="1">
      <c r="A1742" s="1384" t="s">
        <v>3060</v>
      </c>
      <c r="B1742" s="19" t="s">
        <v>237</v>
      </c>
      <c r="C1742" s="1383">
        <v>2367</v>
      </c>
      <c r="D1742" s="1236">
        <v>88</v>
      </c>
      <c r="E1742" s="1236"/>
      <c r="F1742" s="1344">
        <f>(1/S1742)*cnst_fish!$C$6</f>
        <v>0.11997502458044032</v>
      </c>
      <c r="G1742" s="719">
        <f t="shared" si="248"/>
        <v>1</v>
      </c>
      <c r="H1742" s="719">
        <f t="shared" si="248"/>
        <v>0.367192066876738</v>
      </c>
      <c r="I1742" s="719">
        <f t="shared" si="249"/>
        <v>269.33023767365796</v>
      </c>
      <c r="J1742" s="1386">
        <f t="shared" si="250"/>
        <v>0</v>
      </c>
      <c r="L1742" s="1460">
        <v>234572</v>
      </c>
      <c r="M1742" s="1236"/>
      <c r="N1742" s="1240" t="s">
        <v>1806</v>
      </c>
      <c r="O1742" s="1241" t="s">
        <v>4841</v>
      </c>
      <c r="P1742" s="910">
        <f t="shared" si="251"/>
        <v>88</v>
      </c>
      <c r="Q1742" s="910">
        <f t="shared" si="252"/>
        <v>234572</v>
      </c>
      <c r="R1742" s="1344">
        <f t="shared" si="253"/>
        <v>3.4</v>
      </c>
      <c r="S1742" s="1344">
        <f>(1/9)*cnst_fish!$C$7*(1/cnst_fish!$C$8)^(R1742-1)</f>
        <v>35.424039418724846</v>
      </c>
      <c r="T1742" s="1362">
        <f t="shared" si="254"/>
        <v>717924.23308619647</v>
      </c>
      <c r="W1742" s="1612"/>
      <c r="X1742" s="1612"/>
      <c r="Y1742" s="1613"/>
      <c r="Z1742" s="1614"/>
      <c r="AA1742" s="1614"/>
      <c r="AB1742" s="1615"/>
      <c r="AC1742" s="1615"/>
      <c r="AD1742" s="583"/>
      <c r="AE1742" s="583"/>
    </row>
    <row r="1743" spans="1:31" ht="12.75" customHeight="1">
      <c r="A1743" s="1384" t="s">
        <v>534</v>
      </c>
      <c r="B1743" s="19" t="s">
        <v>238</v>
      </c>
      <c r="C1743" s="1383">
        <v>18581</v>
      </c>
      <c r="D1743" s="1236"/>
      <c r="E1743" s="1236"/>
      <c r="F1743" s="1344">
        <f>(1/S1743)*cnst_fish!$C$6</f>
        <v>0.12276960190187568</v>
      </c>
      <c r="G1743" s="719">
        <f t="shared" si="248"/>
        <v>1</v>
      </c>
      <c r="H1743" s="719">
        <f t="shared" si="248"/>
        <v>0.367192066876738</v>
      </c>
      <c r="I1743" s="719">
        <f t="shared" si="249"/>
        <v>0</v>
      </c>
      <c r="J1743" s="1386">
        <f t="shared" si="250"/>
        <v>0</v>
      </c>
      <c r="L1743" s="1460">
        <v>158</v>
      </c>
      <c r="M1743" s="1236"/>
      <c r="N1743" s="1240" t="s">
        <v>1806</v>
      </c>
      <c r="O1743" s="1241" t="s">
        <v>4841</v>
      </c>
      <c r="P1743" s="910">
        <f t="shared" si="251"/>
        <v>0</v>
      </c>
      <c r="Q1743" s="910">
        <f t="shared" si="252"/>
        <v>158</v>
      </c>
      <c r="R1743" s="1344">
        <f t="shared" si="253"/>
        <v>3.39</v>
      </c>
      <c r="S1743" s="1344">
        <f>(1/9)*cnst_fish!$C$7*(1/cnst_fish!$C$8)^(R1743-1)</f>
        <v>34.617689836583793</v>
      </c>
      <c r="T1743" s="1362">
        <f t="shared" si="254"/>
        <v>472.56279785687104</v>
      </c>
      <c r="W1743" s="1612"/>
      <c r="X1743" s="1612"/>
      <c r="Y1743" s="1613"/>
      <c r="Z1743" s="1614"/>
      <c r="AA1743" s="1614"/>
      <c r="AB1743" s="1615"/>
      <c r="AC1743" s="1615"/>
      <c r="AD1743" s="583"/>
      <c r="AE1743" s="583"/>
    </row>
    <row r="1744" spans="1:31" ht="12.75" customHeight="1">
      <c r="A1744" s="1384" t="s">
        <v>3491</v>
      </c>
      <c r="B1744" s="19" t="s">
        <v>239</v>
      </c>
      <c r="C1744" s="1383">
        <v>3227</v>
      </c>
      <c r="D1744" s="1236"/>
      <c r="E1744" s="1236"/>
      <c r="F1744" s="1344">
        <f>(1/S1744)*cnst_fish!$C$6</f>
        <v>0.41599762155986941</v>
      </c>
      <c r="G1744" s="719">
        <f t="shared" si="248"/>
        <v>1</v>
      </c>
      <c r="H1744" s="719">
        <f t="shared" si="248"/>
        <v>0.367192066876738</v>
      </c>
      <c r="I1744" s="719">
        <f t="shared" si="249"/>
        <v>0</v>
      </c>
      <c r="J1744" s="1386">
        <f t="shared" si="250"/>
        <v>0</v>
      </c>
      <c r="L1744" s="1460">
        <v>564</v>
      </c>
      <c r="M1744" s="1236"/>
      <c r="N1744" s="1240" t="s">
        <v>1806</v>
      </c>
      <c r="O1744" s="1241" t="s">
        <v>4841</v>
      </c>
      <c r="P1744" s="910">
        <f t="shared" si="251"/>
        <v>0</v>
      </c>
      <c r="Q1744" s="910">
        <f t="shared" si="252"/>
        <v>564</v>
      </c>
      <c r="R1744" s="1344">
        <f t="shared" si="253"/>
        <v>2.86</v>
      </c>
      <c r="S1744" s="1344">
        <f>(1/9)*cnst_fish!$C$7*(1/cnst_fish!$C$8)^(R1744-1)</f>
        <v>10.216404565160115</v>
      </c>
      <c r="T1744" s="1362">
        <f t="shared" si="254"/>
        <v>497.8305523525101</v>
      </c>
      <c r="W1744" s="1612"/>
      <c r="X1744" s="1612"/>
      <c r="Y1744" s="1613"/>
      <c r="Z1744" s="1614"/>
      <c r="AA1744" s="1614"/>
      <c r="AB1744" s="1615"/>
      <c r="AC1744" s="1615"/>
      <c r="AD1744" s="583"/>
      <c r="AE1744" s="583"/>
    </row>
    <row r="1745" spans="1:31" ht="12.75" customHeight="1">
      <c r="A1745" s="1384" t="s">
        <v>3841</v>
      </c>
      <c r="B1745" s="19" t="s">
        <v>240</v>
      </c>
      <c r="C1745" s="1383">
        <v>2384</v>
      </c>
      <c r="D1745" s="1236"/>
      <c r="E1745" s="1236"/>
      <c r="F1745" s="1344">
        <f>(1/S1745)*cnst_fish!$C$6</f>
        <v>0.16561163607618423</v>
      </c>
      <c r="G1745" s="719">
        <f t="shared" si="248"/>
        <v>1</v>
      </c>
      <c r="H1745" s="719">
        <f t="shared" si="248"/>
        <v>0.367192066876738</v>
      </c>
      <c r="I1745" s="719">
        <f t="shared" si="249"/>
        <v>0</v>
      </c>
      <c r="J1745" s="1386">
        <f t="shared" si="250"/>
        <v>0</v>
      </c>
      <c r="L1745" s="1460">
        <v>6730</v>
      </c>
      <c r="M1745" s="1236">
        <v>481</v>
      </c>
      <c r="N1745" s="1240" t="s">
        <v>1806</v>
      </c>
      <c r="O1745" s="1241" t="s">
        <v>4841</v>
      </c>
      <c r="P1745" s="910">
        <f t="shared" si="251"/>
        <v>0</v>
      </c>
      <c r="Q1745" s="910">
        <f t="shared" si="252"/>
        <v>7211</v>
      </c>
      <c r="R1745" s="1344">
        <f t="shared" si="253"/>
        <v>3.26</v>
      </c>
      <c r="S1745" s="1344">
        <f>(1/9)*cnst_fish!$C$7*(1/cnst_fish!$C$8)^(R1745-1)</f>
        <v>25.662448006038215</v>
      </c>
      <c r="T1745" s="1362">
        <f t="shared" si="254"/>
        <v>15988.139825091237</v>
      </c>
      <c r="W1745" s="1612"/>
      <c r="X1745" s="1612"/>
      <c r="Y1745" s="1613"/>
      <c r="Z1745" s="1614"/>
      <c r="AA1745" s="1614"/>
      <c r="AB1745" s="1615"/>
      <c r="AC1745" s="1615"/>
      <c r="AD1745" s="583"/>
      <c r="AE1745" s="583"/>
    </row>
    <row r="1746" spans="1:31" ht="12.75" customHeight="1">
      <c r="A1746" s="1384" t="s">
        <v>4522</v>
      </c>
      <c r="B1746" s="19" t="s">
        <v>241</v>
      </c>
      <c r="C1746" s="1383">
        <v>2568</v>
      </c>
      <c r="D1746" s="1236">
        <v>36</v>
      </c>
      <c r="E1746" s="1236"/>
      <c r="F1746" s="1344">
        <f>(1/S1746)*cnst_fish!$C$6</f>
        <v>2.7484690295134888E-2</v>
      </c>
      <c r="G1746" s="719">
        <f t="shared" si="248"/>
        <v>1</v>
      </c>
      <c r="H1746" s="719">
        <f t="shared" si="248"/>
        <v>0.367192066876738</v>
      </c>
      <c r="I1746" s="719">
        <f t="shared" si="249"/>
        <v>480.95555255001256</v>
      </c>
      <c r="J1746" s="1386">
        <f t="shared" si="250"/>
        <v>0</v>
      </c>
      <c r="L1746" s="1460">
        <v>36</v>
      </c>
      <c r="M1746" s="1236"/>
      <c r="N1746" s="1240" t="s">
        <v>1806</v>
      </c>
      <c r="O1746" s="1241" t="s">
        <v>4841</v>
      </c>
      <c r="P1746" s="910">
        <f t="shared" si="251"/>
        <v>36</v>
      </c>
      <c r="Q1746" s="910">
        <f t="shared" si="252"/>
        <v>36</v>
      </c>
      <c r="R1746" s="1344">
        <f t="shared" si="253"/>
        <v>4.04</v>
      </c>
      <c r="S1746" s="1344">
        <f>(1/9)*cnst_fish!$C$7*(1/cnst_fish!$C$8)^(R1746-1)</f>
        <v>154.63154048173138</v>
      </c>
      <c r="T1746" s="1362">
        <f t="shared" si="254"/>
        <v>480.95555255001256</v>
      </c>
      <c r="W1746" s="1612"/>
      <c r="X1746" s="1612"/>
      <c r="Y1746" s="1613"/>
      <c r="Z1746" s="1614"/>
      <c r="AA1746" s="1614"/>
      <c r="AB1746" s="1615"/>
      <c r="AC1746" s="1615"/>
      <c r="AD1746" s="583"/>
      <c r="AE1746" s="583"/>
    </row>
    <row r="1747" spans="1:31" ht="12.75" customHeight="1">
      <c r="A1747" s="1384" t="s">
        <v>1676</v>
      </c>
      <c r="B1747" s="19" t="s">
        <v>4961</v>
      </c>
      <c r="C1747" s="1383">
        <v>3375</v>
      </c>
      <c r="D1747" s="1236">
        <v>5</v>
      </c>
      <c r="E1747" s="1236"/>
      <c r="F1747" s="1344">
        <f>(1/S1747)*cnst_fish!$C$6</f>
        <v>6.9038420626592392E-2</v>
      </c>
      <c r="G1747" s="719">
        <f t="shared" si="248"/>
        <v>1</v>
      </c>
      <c r="H1747" s="719">
        <f t="shared" si="248"/>
        <v>0.367192066876738</v>
      </c>
      <c r="I1747" s="719">
        <f t="shared" si="249"/>
        <v>26.593313081622121</v>
      </c>
      <c r="J1747" s="1386">
        <f t="shared" si="250"/>
        <v>0</v>
      </c>
      <c r="L1747" s="1460">
        <v>5</v>
      </c>
      <c r="M1747" s="1236"/>
      <c r="N1747" s="1240" t="s">
        <v>1806</v>
      </c>
      <c r="O1747" s="1241" t="s">
        <v>4841</v>
      </c>
      <c r="P1747" s="910">
        <f t="shared" si="251"/>
        <v>5</v>
      </c>
      <c r="Q1747" s="910">
        <f t="shared" si="252"/>
        <v>5</v>
      </c>
      <c r="R1747" s="1344">
        <f t="shared" si="253"/>
        <v>3.64</v>
      </c>
      <c r="S1747" s="1344">
        <f>(1/9)*cnst_fish!$C$7*(1/cnst_fish!$C$8)^(R1747-1)</f>
        <v>61.559925059510611</v>
      </c>
      <c r="T1747" s="1362">
        <f t="shared" si="254"/>
        <v>26.593313081622121</v>
      </c>
      <c r="W1747" s="1612"/>
      <c r="X1747" s="1612"/>
      <c r="Y1747" s="1613"/>
      <c r="Z1747" s="1614"/>
      <c r="AA1747" s="1614"/>
      <c r="AB1747" s="1615"/>
      <c r="AC1747" s="1615"/>
      <c r="AD1747" s="583"/>
      <c r="AE1747" s="583"/>
    </row>
    <row r="1748" spans="1:31" ht="12.75" customHeight="1">
      <c r="A1748" s="1384" t="s">
        <v>3244</v>
      </c>
      <c r="B1748" s="19" t="s">
        <v>5372</v>
      </c>
      <c r="C1748" s="1383">
        <v>3048</v>
      </c>
      <c r="D1748" s="1236"/>
      <c r="E1748" s="1236"/>
      <c r="F1748" s="1344">
        <f>(1/S1748)*cnst_fish!$C$6</f>
        <v>9.5299549485983424E-3</v>
      </c>
      <c r="G1748" s="719">
        <f t="shared" ref="G1748:H1767" si="255">G$7</f>
        <v>1</v>
      </c>
      <c r="H1748" s="719">
        <f t="shared" si="255"/>
        <v>0.367192066876738</v>
      </c>
      <c r="I1748" s="719">
        <f t="shared" si="249"/>
        <v>0</v>
      </c>
      <c r="J1748" s="1386">
        <f t="shared" si="250"/>
        <v>0</v>
      </c>
      <c r="L1748" s="1460">
        <v>12370</v>
      </c>
      <c r="M1748" s="1236"/>
      <c r="N1748" s="1240" t="s">
        <v>1806</v>
      </c>
      <c r="O1748" s="1241" t="s">
        <v>4859</v>
      </c>
      <c r="P1748" s="910">
        <f t="shared" si="251"/>
        <v>0</v>
      </c>
      <c r="Q1748" s="910">
        <f t="shared" si="252"/>
        <v>12370</v>
      </c>
      <c r="R1748" s="1344">
        <f t="shared" si="253"/>
        <v>4.5</v>
      </c>
      <c r="S1748" s="1344">
        <f>(1/9)*cnst_fish!$C$7*(1/cnst_fish!$C$8)^(R1748-1)</f>
        <v>445.96223412630997</v>
      </c>
      <c r="T1748" s="1362">
        <f t="shared" si="254"/>
        <v>476619.86775008909</v>
      </c>
      <c r="W1748" s="1612"/>
      <c r="X1748" s="1612"/>
      <c r="Y1748" s="1613"/>
      <c r="Z1748" s="1614"/>
      <c r="AA1748" s="1614"/>
      <c r="AB1748" s="1615"/>
      <c r="AC1748" s="1615"/>
      <c r="AD1748" s="583"/>
      <c r="AE1748" s="583"/>
    </row>
    <row r="1749" spans="1:31" ht="12.75" customHeight="1">
      <c r="A1749" s="1384" t="s">
        <v>6724</v>
      </c>
      <c r="B1749" s="19" t="s">
        <v>6723</v>
      </c>
      <c r="C1749" s="1383">
        <v>15378</v>
      </c>
      <c r="D1749" s="1236"/>
      <c r="E1749" s="1236"/>
      <c r="F1749" s="1344">
        <f>(1/S1749)*cnst_fish!$C$6</f>
        <v>9.5299549485983424E-3</v>
      </c>
      <c r="G1749" s="719">
        <f t="shared" si="255"/>
        <v>1</v>
      </c>
      <c r="H1749" s="719">
        <f t="shared" si="255"/>
        <v>0.367192066876738</v>
      </c>
      <c r="I1749" s="719">
        <f t="shared" si="249"/>
        <v>0</v>
      </c>
      <c r="J1749" s="1386">
        <f t="shared" si="250"/>
        <v>0</v>
      </c>
      <c r="L1749" s="1460">
        <v>39</v>
      </c>
      <c r="M1749" s="1236"/>
      <c r="N1749" s="1240" t="s">
        <v>1806</v>
      </c>
      <c r="O1749" s="1241" t="s">
        <v>4859</v>
      </c>
      <c r="P1749" s="910">
        <f t="shared" si="251"/>
        <v>0</v>
      </c>
      <c r="Q1749" s="910">
        <f t="shared" si="252"/>
        <v>39</v>
      </c>
      <c r="R1749" s="1344">
        <f t="shared" si="253"/>
        <v>4.5</v>
      </c>
      <c r="S1749" s="1344">
        <f>(1/9)*cnst_fish!$C$7*(1/cnst_fish!$C$8)^(R1749-1)</f>
        <v>445.96223412630997</v>
      </c>
      <c r="T1749" s="1362">
        <f t="shared" si="254"/>
        <v>1502.681878921057</v>
      </c>
      <c r="W1749" s="1612"/>
      <c r="X1749" s="1612"/>
      <c r="Y1749" s="1613"/>
      <c r="Z1749" s="1614"/>
      <c r="AA1749" s="1614"/>
      <c r="AB1749" s="1615"/>
      <c r="AC1749" s="1615"/>
      <c r="AD1749" s="583"/>
      <c r="AE1749" s="583"/>
    </row>
    <row r="1750" spans="1:31" ht="12.75" customHeight="1">
      <c r="A1750" s="1384" t="s">
        <v>308</v>
      </c>
      <c r="B1750" s="19" t="s">
        <v>4743</v>
      </c>
      <c r="C1750" s="1383">
        <v>15383</v>
      </c>
      <c r="D1750" s="1236"/>
      <c r="E1750" s="1236"/>
      <c r="F1750" s="1344">
        <f>(1/S1750)*cnst_fish!$C$6</f>
        <v>9.5299549485983424E-3</v>
      </c>
      <c r="G1750" s="719">
        <f t="shared" si="255"/>
        <v>1</v>
      </c>
      <c r="H1750" s="719">
        <f t="shared" si="255"/>
        <v>0.367192066876738</v>
      </c>
      <c r="I1750" s="719">
        <f t="shared" si="249"/>
        <v>0</v>
      </c>
      <c r="J1750" s="1386">
        <f t="shared" si="250"/>
        <v>0</v>
      </c>
      <c r="L1750" s="1460">
        <v>1292</v>
      </c>
      <c r="M1750" s="1236"/>
      <c r="N1750" s="1240" t="s">
        <v>1806</v>
      </c>
      <c r="O1750" s="1241" t="s">
        <v>4859</v>
      </c>
      <c r="P1750" s="910">
        <f t="shared" si="251"/>
        <v>0</v>
      </c>
      <c r="Q1750" s="910">
        <f t="shared" si="252"/>
        <v>1292</v>
      </c>
      <c r="R1750" s="1344">
        <f t="shared" si="253"/>
        <v>4.5</v>
      </c>
      <c r="S1750" s="1344">
        <f>(1/9)*cnst_fish!$C$7*(1/cnst_fish!$C$8)^(R1750-1)</f>
        <v>445.96223412630997</v>
      </c>
      <c r="T1750" s="1362">
        <f t="shared" si="254"/>
        <v>49781.153527333474</v>
      </c>
      <c r="W1750" s="1612"/>
      <c r="X1750" s="1612"/>
      <c r="Y1750" s="1613"/>
      <c r="Z1750" s="1614"/>
      <c r="AA1750" s="1614"/>
      <c r="AB1750" s="1615"/>
      <c r="AC1750" s="1615"/>
      <c r="AD1750" s="583"/>
      <c r="AE1750" s="583"/>
    </row>
    <row r="1751" spans="1:31" ht="12.75" customHeight="1">
      <c r="A1751" s="1384" t="s">
        <v>2333</v>
      </c>
      <c r="B1751" s="19" t="s">
        <v>579</v>
      </c>
      <c r="C1751" s="1383">
        <v>15384</v>
      </c>
      <c r="D1751" s="1236"/>
      <c r="E1751" s="1236"/>
      <c r="F1751" s="1344">
        <f>(1/S1751)*cnst_fish!$C$6</f>
        <v>9.7519361156519751E-3</v>
      </c>
      <c r="G1751" s="719">
        <f t="shared" si="255"/>
        <v>1</v>
      </c>
      <c r="H1751" s="719">
        <f t="shared" si="255"/>
        <v>0.367192066876738</v>
      </c>
      <c r="I1751" s="719">
        <f t="shared" si="249"/>
        <v>0</v>
      </c>
      <c r="J1751" s="1386">
        <f t="shared" si="250"/>
        <v>0</v>
      </c>
      <c r="L1751" s="1460">
        <v>177</v>
      </c>
      <c r="M1751" s="1236"/>
      <c r="N1751" s="1240" t="s">
        <v>1806</v>
      </c>
      <c r="O1751" s="1241" t="s">
        <v>4859</v>
      </c>
      <c r="P1751" s="910">
        <f t="shared" si="251"/>
        <v>0</v>
      </c>
      <c r="Q1751" s="910">
        <f t="shared" si="252"/>
        <v>177</v>
      </c>
      <c r="R1751" s="1344">
        <f t="shared" si="253"/>
        <v>4.49</v>
      </c>
      <c r="S1751" s="1344">
        <f>(1/9)*cnst_fish!$C$7*(1/cnst_fish!$C$8)^(R1751-1)</f>
        <v>435.81089432883982</v>
      </c>
      <c r="T1751" s="1362">
        <f t="shared" si="254"/>
        <v>6664.624856685441</v>
      </c>
      <c r="W1751" s="1612"/>
      <c r="X1751" s="1612"/>
      <c r="Y1751" s="1613"/>
      <c r="Z1751" s="1614"/>
      <c r="AA1751" s="1614"/>
      <c r="AB1751" s="1615"/>
      <c r="AC1751" s="1615"/>
      <c r="AD1751" s="583"/>
      <c r="AE1751" s="583"/>
    </row>
    <row r="1752" spans="1:31" ht="12.75" customHeight="1">
      <c r="A1752" s="1585" t="s">
        <v>8600</v>
      </c>
      <c r="B1752" s="1586" t="s">
        <v>8601</v>
      </c>
      <c r="C1752" s="1383">
        <v>16089</v>
      </c>
      <c r="D1752" s="1236"/>
      <c r="E1752" s="1236"/>
      <c r="F1752" s="1344">
        <f>(1/S1752)*cnst_fish!$C$6</f>
        <v>9.5299549485983424E-3</v>
      </c>
      <c r="G1752" s="719">
        <f t="shared" si="255"/>
        <v>1</v>
      </c>
      <c r="H1752" s="719">
        <f t="shared" si="255"/>
        <v>0.367192066876738</v>
      </c>
      <c r="I1752" s="719">
        <f t="shared" si="249"/>
        <v>0</v>
      </c>
      <c r="J1752" s="1386">
        <f t="shared" si="250"/>
        <v>0</v>
      </c>
      <c r="L1752" s="1460">
        <v>39</v>
      </c>
      <c r="M1752" s="1236"/>
      <c r="N1752" s="1240" t="s">
        <v>1806</v>
      </c>
      <c r="O1752" s="1241" t="s">
        <v>4859</v>
      </c>
      <c r="P1752" s="910">
        <f t="shared" si="251"/>
        <v>0</v>
      </c>
      <c r="Q1752" s="910">
        <f t="shared" si="252"/>
        <v>39</v>
      </c>
      <c r="R1752" s="1344">
        <f t="shared" si="253"/>
        <v>4.5</v>
      </c>
      <c r="S1752" s="1344">
        <f>(1/9)*cnst_fish!$C$7*(1/cnst_fish!$C$8)^(R1752-1)</f>
        <v>445.96223412630997</v>
      </c>
      <c r="T1752" s="1362">
        <f t="shared" si="254"/>
        <v>1502.681878921057</v>
      </c>
      <c r="W1752" s="1616"/>
      <c r="X1752" s="1616"/>
      <c r="Y1752" s="1613"/>
      <c r="Z1752" s="1614"/>
      <c r="AA1752" s="1614"/>
      <c r="AB1752" s="1615"/>
      <c r="AC1752" s="1615"/>
      <c r="AD1752" s="583"/>
      <c r="AE1752" s="583"/>
    </row>
    <row r="1753" spans="1:31" ht="12.75" customHeight="1">
      <c r="A1753" s="1384" t="s">
        <v>211</v>
      </c>
      <c r="B1753" s="19" t="s">
        <v>212</v>
      </c>
      <c r="C1753" s="1383">
        <v>15387</v>
      </c>
      <c r="D1753" s="1236"/>
      <c r="E1753" s="1236"/>
      <c r="F1753" s="1344">
        <f>(1/S1753)*cnst_fish!$C$6</f>
        <v>2.7484690295134888E-2</v>
      </c>
      <c r="G1753" s="719">
        <f t="shared" si="255"/>
        <v>1</v>
      </c>
      <c r="H1753" s="719">
        <f t="shared" si="255"/>
        <v>0.367192066876738</v>
      </c>
      <c r="I1753" s="719">
        <f t="shared" si="249"/>
        <v>0</v>
      </c>
      <c r="J1753" s="1386">
        <f t="shared" si="250"/>
        <v>0</v>
      </c>
      <c r="L1753" s="1460">
        <v>230</v>
      </c>
      <c r="M1753" s="1236"/>
      <c r="N1753" s="1240" t="s">
        <v>1806</v>
      </c>
      <c r="O1753" s="1241" t="s">
        <v>4859</v>
      </c>
      <c r="P1753" s="910">
        <f t="shared" si="251"/>
        <v>0</v>
      </c>
      <c r="Q1753" s="910">
        <f t="shared" si="252"/>
        <v>230</v>
      </c>
      <c r="R1753" s="1344">
        <f t="shared" si="253"/>
        <v>4.04</v>
      </c>
      <c r="S1753" s="1344">
        <f>(1/9)*cnst_fish!$C$7*(1/cnst_fish!$C$8)^(R1753-1)</f>
        <v>154.63154048173138</v>
      </c>
      <c r="T1753" s="1362">
        <f t="shared" si="254"/>
        <v>3072.7715857361914</v>
      </c>
      <c r="W1753" s="1612"/>
      <c r="X1753" s="1612"/>
      <c r="Y1753" s="1613"/>
      <c r="Z1753" s="1614"/>
      <c r="AA1753" s="1614"/>
      <c r="AB1753" s="1615"/>
      <c r="AC1753" s="1615"/>
      <c r="AD1753" s="583"/>
      <c r="AE1753" s="583"/>
    </row>
    <row r="1754" spans="1:31" ht="12.75" customHeight="1">
      <c r="A1754" s="1384" t="s">
        <v>875</v>
      </c>
      <c r="B1754" s="19" t="s">
        <v>580</v>
      </c>
      <c r="C1754" s="1383">
        <v>2255</v>
      </c>
      <c r="D1754" s="1236">
        <v>52</v>
      </c>
      <c r="E1754" s="1236"/>
      <c r="F1754" s="1344">
        <f>(1/S1754)*cnst_fish!$C$6</f>
        <v>1.4424170509541314E-2</v>
      </c>
      <c r="G1754" s="719">
        <f t="shared" si="255"/>
        <v>1</v>
      </c>
      <c r="H1754" s="719">
        <f t="shared" si="255"/>
        <v>0.367192066876738</v>
      </c>
      <c r="I1754" s="719">
        <f t="shared" si="249"/>
        <v>1323.7494291238493</v>
      </c>
      <c r="J1754" s="1386">
        <f t="shared" si="250"/>
        <v>0</v>
      </c>
      <c r="L1754" s="1460">
        <v>121080</v>
      </c>
      <c r="M1754" s="1236"/>
      <c r="N1754" s="1240" t="s">
        <v>1806</v>
      </c>
      <c r="O1754" s="1241" t="s">
        <v>4859</v>
      </c>
      <c r="P1754" s="910">
        <f t="shared" si="251"/>
        <v>52</v>
      </c>
      <c r="Q1754" s="910">
        <f t="shared" si="252"/>
        <v>121080</v>
      </c>
      <c r="R1754" s="1344">
        <f t="shared" si="253"/>
        <v>4.32</v>
      </c>
      <c r="S1754" s="1344">
        <f>(1/9)*cnst_fish!$C$7*(1/cnst_fish!$C$8)^(R1754-1)</f>
        <v>294.64432614608279</v>
      </c>
      <c r="T1754" s="1362">
        <f t="shared" si="254"/>
        <v>3082299.632275301</v>
      </c>
      <c r="W1754" s="1612"/>
      <c r="X1754" s="1612"/>
      <c r="Y1754" s="1613"/>
      <c r="Z1754" s="1614"/>
      <c r="AA1754" s="1614"/>
      <c r="AB1754" s="1615"/>
      <c r="AC1754" s="1615"/>
      <c r="AD1754" s="583"/>
      <c r="AE1754" s="583"/>
    </row>
    <row r="1755" spans="1:31" ht="12.75" customHeight="1">
      <c r="A1755" s="1384" t="s">
        <v>3720</v>
      </c>
      <c r="B1755" s="19" t="s">
        <v>3922</v>
      </c>
      <c r="C1755" s="1383">
        <v>2028</v>
      </c>
      <c r="D1755" s="1236">
        <v>20</v>
      </c>
      <c r="E1755" s="1236"/>
      <c r="F1755" s="1344">
        <f>(1/S1755)*cnst_fish!$C$6</f>
        <v>2.5066335465503211E-2</v>
      </c>
      <c r="G1755" s="719">
        <f t="shared" si="255"/>
        <v>1</v>
      </c>
      <c r="H1755" s="719">
        <f t="shared" si="255"/>
        <v>0.367192066876738</v>
      </c>
      <c r="I1755" s="719">
        <f t="shared" si="249"/>
        <v>292.97626482504791</v>
      </c>
      <c r="J1755" s="1386">
        <f t="shared" si="250"/>
        <v>0</v>
      </c>
      <c r="L1755" s="1460">
        <v>240</v>
      </c>
      <c r="M1755" s="1236"/>
      <c r="N1755" s="1240" t="s">
        <v>3927</v>
      </c>
      <c r="O1755" s="1241" t="s">
        <v>4841</v>
      </c>
      <c r="P1755" s="910">
        <f t="shared" si="251"/>
        <v>20</v>
      </c>
      <c r="Q1755" s="910">
        <f t="shared" si="252"/>
        <v>240</v>
      </c>
      <c r="R1755" s="1344">
        <f t="shared" si="253"/>
        <v>4.08</v>
      </c>
      <c r="S1755" s="1344">
        <f>(1/9)*cnst_fish!$C$7*(1/cnst_fish!$C$8)^(R1755-1)</f>
        <v>169.55011257425062</v>
      </c>
      <c r="T1755" s="1362">
        <f t="shared" si="254"/>
        <v>3515.7151779005753</v>
      </c>
      <c r="W1755" s="1612"/>
      <c r="X1755" s="1612"/>
      <c r="Y1755" s="1613"/>
      <c r="Z1755" s="1614"/>
      <c r="AA1755" s="1614"/>
      <c r="AB1755" s="1615"/>
      <c r="AC1755" s="1615"/>
      <c r="AD1755" s="583"/>
      <c r="AE1755" s="583"/>
    </row>
    <row r="1756" spans="1:31" ht="12.75" customHeight="1">
      <c r="A1756" s="1585" t="s">
        <v>8602</v>
      </c>
      <c r="B1756" s="1586" t="s">
        <v>8603</v>
      </c>
      <c r="C1756" s="1383">
        <v>2824</v>
      </c>
      <c r="D1756" s="1236">
        <v>18</v>
      </c>
      <c r="E1756" s="1236"/>
      <c r="F1756" s="1344">
        <f>(1/S1756)*cnst_fish!$C$6</f>
        <v>1.5103960722494611E-2</v>
      </c>
      <c r="G1756" s="719">
        <f t="shared" si="255"/>
        <v>1</v>
      </c>
      <c r="H1756" s="719">
        <f t="shared" si="255"/>
        <v>0.367192066876738</v>
      </c>
      <c r="I1756" s="719">
        <f t="shared" si="249"/>
        <v>437.59761596424812</v>
      </c>
      <c r="J1756" s="1386">
        <f t="shared" si="250"/>
        <v>0</v>
      </c>
      <c r="L1756" s="1460">
        <v>18</v>
      </c>
      <c r="M1756" s="1236"/>
      <c r="N1756" s="1240" t="s">
        <v>3927</v>
      </c>
      <c r="O1756" s="1241" t="s">
        <v>4841</v>
      </c>
      <c r="P1756" s="910">
        <f t="shared" si="251"/>
        <v>18</v>
      </c>
      <c r="Q1756" s="910">
        <f t="shared" si="252"/>
        <v>18</v>
      </c>
      <c r="R1756" s="1344">
        <f t="shared" si="253"/>
        <v>4.3</v>
      </c>
      <c r="S1756" s="1344">
        <f>(1/9)*cnst_fish!$C$7*(1/cnst_fish!$C$8)^(R1756-1)</f>
        <v>281.38314698279078</v>
      </c>
      <c r="T1756" s="1362">
        <f t="shared" si="254"/>
        <v>437.59761596424812</v>
      </c>
      <c r="W1756" s="1616"/>
      <c r="X1756" s="1616"/>
      <c r="Y1756" s="1613"/>
      <c r="Z1756" s="1614"/>
      <c r="AA1756" s="1614"/>
      <c r="AB1756" s="1615"/>
      <c r="AC1756" s="1615"/>
      <c r="AD1756" s="583"/>
      <c r="AE1756" s="583"/>
    </row>
    <row r="1757" spans="1:31" ht="12.75" customHeight="1">
      <c r="A1757" s="1384" t="s">
        <v>6483</v>
      </c>
      <c r="B1757" s="19" t="s">
        <v>6482</v>
      </c>
      <c r="C1757" s="1383">
        <v>2823</v>
      </c>
      <c r="D1757" s="1236">
        <v>17</v>
      </c>
      <c r="E1757" s="1236"/>
      <c r="F1757" s="1344">
        <f>(1/S1757)*cnst_fish!$C$6</f>
        <v>3.7939434000887833E-2</v>
      </c>
      <c r="G1757" s="719">
        <f t="shared" si="255"/>
        <v>1</v>
      </c>
      <c r="H1757" s="719">
        <f t="shared" si="255"/>
        <v>0.367192066876738</v>
      </c>
      <c r="I1757" s="719">
        <f t="shared" si="249"/>
        <v>164.53237380290039</v>
      </c>
      <c r="J1757" s="1386">
        <f t="shared" si="250"/>
        <v>0</v>
      </c>
      <c r="L1757" s="1460">
        <v>17</v>
      </c>
      <c r="M1757" s="1236"/>
      <c r="N1757" s="1240" t="s">
        <v>3927</v>
      </c>
      <c r="O1757" s="1241" t="s">
        <v>4841</v>
      </c>
      <c r="P1757" s="910">
        <f t="shared" si="251"/>
        <v>17</v>
      </c>
      <c r="Q1757" s="910">
        <f t="shared" si="252"/>
        <v>17</v>
      </c>
      <c r="R1757" s="1344">
        <f t="shared" si="253"/>
        <v>3.9</v>
      </c>
      <c r="S1757" s="1344">
        <f>(1/9)*cnst_fish!$C$7*(1/cnst_fish!$C$8)^(R1757-1)</f>
        <v>112.02064848675771</v>
      </c>
      <c r="T1757" s="1362">
        <f t="shared" si="254"/>
        <v>164.53237380290039</v>
      </c>
      <c r="W1757" s="1612"/>
      <c r="X1757" s="1612"/>
      <c r="Y1757" s="1613"/>
      <c r="Z1757" s="1614"/>
      <c r="AA1757" s="1614"/>
      <c r="AB1757" s="1615"/>
      <c r="AC1757" s="1615"/>
      <c r="AD1757" s="583"/>
      <c r="AE1757" s="583"/>
    </row>
    <row r="1758" spans="1:31" ht="12.75" customHeight="1">
      <c r="A1758" s="1384" t="s">
        <v>4225</v>
      </c>
      <c r="B1758" s="19" t="s">
        <v>4535</v>
      </c>
      <c r="C1758" s="1383">
        <v>2822</v>
      </c>
      <c r="D1758" s="1236">
        <v>0</v>
      </c>
      <c r="E1758" s="1236"/>
      <c r="F1758" s="1344">
        <f>(1/S1758)*cnst_fish!$C$6</f>
        <v>9.5299549485983424E-3</v>
      </c>
      <c r="G1758" s="719">
        <f t="shared" si="255"/>
        <v>1</v>
      </c>
      <c r="H1758" s="719">
        <f t="shared" si="255"/>
        <v>0.367192066876738</v>
      </c>
      <c r="I1758" s="719">
        <f t="shared" si="249"/>
        <v>0</v>
      </c>
      <c r="J1758" s="1386">
        <f t="shared" si="250"/>
        <v>0</v>
      </c>
      <c r="L1758" s="1460">
        <v>483</v>
      </c>
      <c r="M1758" s="1236"/>
      <c r="N1758" s="1240" t="s">
        <v>3927</v>
      </c>
      <c r="O1758" s="1241" t="s">
        <v>4841</v>
      </c>
      <c r="P1758" s="910">
        <f t="shared" si="251"/>
        <v>0</v>
      </c>
      <c r="Q1758" s="910">
        <f t="shared" si="252"/>
        <v>483</v>
      </c>
      <c r="R1758" s="1344">
        <f t="shared" si="253"/>
        <v>4.5</v>
      </c>
      <c r="S1758" s="1344">
        <f>(1/9)*cnst_fish!$C$7*(1/cnst_fish!$C$8)^(R1758-1)</f>
        <v>445.96223412630997</v>
      </c>
      <c r="T1758" s="1362">
        <f t="shared" si="254"/>
        <v>18610.137115868474</v>
      </c>
      <c r="W1758" s="1612"/>
      <c r="X1758" s="1612"/>
      <c r="Y1758" s="1613"/>
      <c r="Z1758" s="1614"/>
      <c r="AA1758" s="1614"/>
      <c r="AB1758" s="1615"/>
      <c r="AC1758" s="1615"/>
      <c r="AD1758" s="583"/>
      <c r="AE1758" s="583"/>
    </row>
    <row r="1759" spans="1:31" ht="12.75" customHeight="1">
      <c r="A1759" s="1384" t="s">
        <v>127</v>
      </c>
      <c r="B1759" s="19" t="s">
        <v>4536</v>
      </c>
      <c r="C1759" s="1383">
        <v>2027</v>
      </c>
      <c r="D1759" s="1236">
        <v>0</v>
      </c>
      <c r="E1759" s="1236"/>
      <c r="F1759" s="1344">
        <f>(1/S1759)*cnst_fish!$C$6</f>
        <v>2.4495756009854434E-2</v>
      </c>
      <c r="G1759" s="719">
        <f t="shared" si="255"/>
        <v>1</v>
      </c>
      <c r="H1759" s="719">
        <f t="shared" si="255"/>
        <v>0.367192066876738</v>
      </c>
      <c r="I1759" s="719">
        <f t="shared" si="249"/>
        <v>0</v>
      </c>
      <c r="J1759" s="1386">
        <f t="shared" si="250"/>
        <v>0</v>
      </c>
      <c r="L1759" s="1460">
        <v>4117</v>
      </c>
      <c r="M1759" s="1236"/>
      <c r="N1759" s="1240" t="s">
        <v>3927</v>
      </c>
      <c r="O1759" s="1241" t="s">
        <v>4841</v>
      </c>
      <c r="P1759" s="910">
        <f t="shared" si="251"/>
        <v>0</v>
      </c>
      <c r="Q1759" s="910">
        <f t="shared" si="252"/>
        <v>4117</v>
      </c>
      <c r="R1759" s="1344">
        <f t="shared" si="253"/>
        <v>4.09</v>
      </c>
      <c r="S1759" s="1344">
        <f>(1/9)*cnst_fish!$C$7*(1/cnst_fish!$C$8)^(R1759-1)</f>
        <v>173.49944203764363</v>
      </c>
      <c r="T1759" s="1362">
        <f t="shared" si="254"/>
        <v>61713.945008407754</v>
      </c>
      <c r="W1759" s="1612"/>
      <c r="X1759" s="1612"/>
      <c r="Y1759" s="1613"/>
      <c r="Z1759" s="1614"/>
      <c r="AA1759" s="1614"/>
      <c r="AB1759" s="1615"/>
      <c r="AC1759" s="1615"/>
      <c r="AD1759" s="583"/>
      <c r="AE1759" s="583"/>
    </row>
    <row r="1760" spans="1:31" ht="12.75" customHeight="1">
      <c r="A1760" s="1384" t="s">
        <v>5431</v>
      </c>
      <c r="B1760" s="19" t="s">
        <v>4962</v>
      </c>
      <c r="C1760" s="1383">
        <v>3205</v>
      </c>
      <c r="D1760" s="1236"/>
      <c r="E1760" s="1236"/>
      <c r="F1760" s="1344">
        <f>(1/S1760)*cnst_fish!$C$6</f>
        <v>2.1334911593031029E-2</v>
      </c>
      <c r="G1760" s="719">
        <f t="shared" si="255"/>
        <v>1</v>
      </c>
      <c r="H1760" s="719">
        <f t="shared" si="255"/>
        <v>0.367192066876738</v>
      </c>
      <c r="I1760" s="719">
        <f t="shared" si="249"/>
        <v>0</v>
      </c>
      <c r="J1760" s="1386">
        <f t="shared" si="250"/>
        <v>0</v>
      </c>
      <c r="L1760" s="1460">
        <v>528</v>
      </c>
      <c r="M1760" s="1236"/>
      <c r="N1760" s="1240" t="s">
        <v>1806</v>
      </c>
      <c r="O1760" s="1241" t="s">
        <v>4841</v>
      </c>
      <c r="P1760" s="910">
        <f t="shared" si="251"/>
        <v>0</v>
      </c>
      <c r="Q1760" s="910">
        <f t="shared" si="252"/>
        <v>528</v>
      </c>
      <c r="R1760" s="1344">
        <f t="shared" si="253"/>
        <v>4.1500000000000004</v>
      </c>
      <c r="S1760" s="1344">
        <f>(1/9)*cnst_fish!$C$7*(1/cnst_fish!$C$8)^(R1760-1)</f>
        <v>199.20401270320929</v>
      </c>
      <c r="T1760" s="1362">
        <f t="shared" si="254"/>
        <v>9087.3313660342064</v>
      </c>
      <c r="W1760" s="1612"/>
      <c r="X1760" s="1612"/>
      <c r="Y1760" s="1613"/>
      <c r="Z1760" s="1614"/>
      <c r="AA1760" s="1614"/>
      <c r="AB1760" s="1615"/>
      <c r="AC1760" s="1615"/>
      <c r="AD1760" s="583"/>
      <c r="AE1760" s="583"/>
    </row>
    <row r="1761" spans="1:31" ht="12.75" customHeight="1">
      <c r="A1761" s="1384" t="s">
        <v>6783</v>
      </c>
      <c r="B1761" s="19" t="s">
        <v>6782</v>
      </c>
      <c r="C1761" s="1383">
        <v>3652</v>
      </c>
      <c r="D1761" s="1236"/>
      <c r="E1761" s="1236"/>
      <c r="F1761" s="1344">
        <f>(1/S1761)*cnst_fish!$C$6</f>
        <v>0.30136363636363639</v>
      </c>
      <c r="G1761" s="719">
        <f t="shared" si="255"/>
        <v>1</v>
      </c>
      <c r="H1761" s="719">
        <f t="shared" si="255"/>
        <v>0.367192066876738</v>
      </c>
      <c r="I1761" s="719">
        <f t="shared" si="249"/>
        <v>0</v>
      </c>
      <c r="J1761" s="1386">
        <f t="shared" si="250"/>
        <v>0</v>
      </c>
      <c r="L1761" s="1460">
        <v>274</v>
      </c>
      <c r="M1761" s="1236"/>
      <c r="N1761" s="1240" t="s">
        <v>1806</v>
      </c>
      <c r="O1761" s="1241" t="s">
        <v>4841</v>
      </c>
      <c r="P1761" s="910">
        <f t="shared" si="251"/>
        <v>0</v>
      </c>
      <c r="Q1761" s="910">
        <f t="shared" si="252"/>
        <v>274</v>
      </c>
      <c r="R1761" s="1344">
        <f t="shared" si="253"/>
        <v>3</v>
      </c>
      <c r="S1761" s="1344">
        <f>(1/9)*cnst_fish!$C$7*(1/cnst_fish!$C$8)^(R1761-1)</f>
        <v>14.1025641025641</v>
      </c>
      <c r="T1761" s="1362">
        <f t="shared" si="254"/>
        <v>333.85124873800549</v>
      </c>
      <c r="W1761" s="1612"/>
      <c r="X1761" s="1612"/>
      <c r="Y1761" s="1613"/>
      <c r="Z1761" s="1614"/>
      <c r="AA1761" s="1614"/>
      <c r="AB1761" s="1615"/>
      <c r="AC1761" s="1615"/>
      <c r="AD1761" s="583"/>
      <c r="AE1761" s="583"/>
    </row>
    <row r="1762" spans="1:31" ht="12.75" customHeight="1">
      <c r="A1762" s="1384" t="s">
        <v>2136</v>
      </c>
      <c r="B1762" s="19" t="s">
        <v>1989</v>
      </c>
      <c r="C1762" s="1383">
        <v>2400</v>
      </c>
      <c r="D1762" s="1236"/>
      <c r="E1762" s="1236"/>
      <c r="F1762" s="1344">
        <f>(1/S1762)*cnst_fish!$C$6</f>
        <v>8.4935812883106004E-2</v>
      </c>
      <c r="G1762" s="719">
        <f t="shared" si="255"/>
        <v>1</v>
      </c>
      <c r="H1762" s="719">
        <f t="shared" si="255"/>
        <v>0.367192066876738</v>
      </c>
      <c r="I1762" s="719">
        <f t="shared" si="249"/>
        <v>0</v>
      </c>
      <c r="J1762" s="1386">
        <f t="shared" si="250"/>
        <v>0</v>
      </c>
      <c r="L1762" s="1460">
        <v>4463</v>
      </c>
      <c r="M1762" s="1236"/>
      <c r="N1762" s="1240" t="s">
        <v>1806</v>
      </c>
      <c r="O1762" s="1241" t="s">
        <v>4841</v>
      </c>
      <c r="P1762" s="910">
        <f t="shared" si="251"/>
        <v>0</v>
      </c>
      <c r="Q1762" s="910">
        <f t="shared" si="252"/>
        <v>4463</v>
      </c>
      <c r="R1762" s="1344">
        <f t="shared" si="253"/>
        <v>3.55</v>
      </c>
      <c r="S1762" s="1344">
        <f>(1/9)*cnst_fish!$C$7*(1/cnst_fish!$C$8)^(R1762-1)</f>
        <v>50.037785661145278</v>
      </c>
      <c r="T1762" s="1362">
        <f t="shared" si="254"/>
        <v>19294.313421433559</v>
      </c>
      <c r="W1762" s="1612"/>
      <c r="X1762" s="1612"/>
      <c r="Y1762" s="1613"/>
      <c r="Z1762" s="1614"/>
      <c r="AA1762" s="1614"/>
      <c r="AB1762" s="1615"/>
      <c r="AC1762" s="1615"/>
      <c r="AD1762" s="583"/>
      <c r="AE1762" s="583"/>
    </row>
    <row r="1763" spans="1:31" ht="12.75" customHeight="1">
      <c r="A1763" s="1384" t="s">
        <v>2808</v>
      </c>
      <c r="B1763" s="19" t="s">
        <v>2034</v>
      </c>
      <c r="C1763" s="1383">
        <v>2773</v>
      </c>
      <c r="D1763" s="1236"/>
      <c r="E1763" s="1236"/>
      <c r="F1763" s="1344">
        <f>(1/S1763)*cnst_fish!$C$6</f>
        <v>30.136363636363644</v>
      </c>
      <c r="G1763" s="719">
        <f t="shared" si="255"/>
        <v>1</v>
      </c>
      <c r="H1763" s="719">
        <f t="shared" si="255"/>
        <v>0.367192066876738</v>
      </c>
      <c r="I1763" s="719">
        <f t="shared" si="249"/>
        <v>0</v>
      </c>
      <c r="J1763" s="1386">
        <f t="shared" si="250"/>
        <v>0</v>
      </c>
      <c r="L1763" s="1460"/>
      <c r="M1763" s="1236">
        <v>0</v>
      </c>
      <c r="N1763" s="1240" t="s">
        <v>1808</v>
      </c>
      <c r="O1763" s="1241" t="s">
        <v>4831</v>
      </c>
      <c r="P1763" s="910">
        <f t="shared" si="251"/>
        <v>0</v>
      </c>
      <c r="Q1763" s="910">
        <f t="shared" si="252"/>
        <v>0</v>
      </c>
      <c r="R1763" s="1344">
        <f t="shared" si="253"/>
        <v>1</v>
      </c>
      <c r="S1763" s="1344">
        <f>(1/9)*cnst_fish!$C$7*(1/cnst_fish!$C$8)^(R1763-1)</f>
        <v>0.141025641025641</v>
      </c>
      <c r="T1763" s="1362">
        <f t="shared" si="254"/>
        <v>0</v>
      </c>
      <c r="W1763" s="1612"/>
      <c r="X1763" s="1612"/>
      <c r="Y1763" s="1613"/>
      <c r="Z1763" s="1614"/>
      <c r="AA1763" s="1614"/>
      <c r="AB1763" s="1615"/>
      <c r="AC1763" s="1615"/>
      <c r="AD1763" s="583"/>
      <c r="AE1763" s="583"/>
    </row>
    <row r="1764" spans="1:31" ht="12.75" customHeight="1">
      <c r="A1764" s="1384" t="s">
        <v>1106</v>
      </c>
      <c r="B1764" s="19" t="s">
        <v>1374</v>
      </c>
      <c r="C1764" s="1383">
        <v>2696</v>
      </c>
      <c r="D1764" s="1236">
        <v>0</v>
      </c>
      <c r="E1764" s="1236"/>
      <c r="F1764" s="1344">
        <f>(1/S1764)*cnst_fish!$C$6</f>
        <v>2.3938164528281742</v>
      </c>
      <c r="G1764" s="719">
        <f t="shared" si="255"/>
        <v>1</v>
      </c>
      <c r="H1764" s="719">
        <f t="shared" si="255"/>
        <v>0.367192066876738</v>
      </c>
      <c r="I1764" s="719">
        <f t="shared" si="249"/>
        <v>0</v>
      </c>
      <c r="J1764" s="1386">
        <f t="shared" si="250"/>
        <v>0</v>
      </c>
      <c r="L1764" s="1460">
        <v>20859</v>
      </c>
      <c r="M1764" s="1236"/>
      <c r="N1764" s="1240" t="s">
        <v>1804</v>
      </c>
      <c r="O1764" s="1241" t="s">
        <v>4851</v>
      </c>
      <c r="P1764" s="910">
        <f t="shared" si="251"/>
        <v>0</v>
      </c>
      <c r="Q1764" s="910">
        <f t="shared" si="252"/>
        <v>20859</v>
      </c>
      <c r="R1764" s="1344">
        <f t="shared" si="253"/>
        <v>2.1</v>
      </c>
      <c r="S1764" s="1344">
        <f>(1/9)*cnst_fish!$C$7*(1/cnst_fish!$C$8)^(R1764-1)</f>
        <v>1.7754076320174161</v>
      </c>
      <c r="T1764" s="1362">
        <f t="shared" si="254"/>
        <v>3199.6017547347237</v>
      </c>
      <c r="W1764" s="1612"/>
      <c r="X1764" s="1612"/>
      <c r="Y1764" s="1613"/>
      <c r="Z1764" s="1614"/>
      <c r="AA1764" s="1614"/>
      <c r="AB1764" s="1615"/>
      <c r="AC1764" s="1615"/>
      <c r="AD1764" s="583"/>
      <c r="AE1764" s="583"/>
    </row>
    <row r="1765" spans="1:31" ht="12.75" customHeight="1">
      <c r="A1765" s="1384" t="s">
        <v>2649</v>
      </c>
      <c r="B1765" s="19" t="s">
        <v>1375</v>
      </c>
      <c r="C1765" s="1383">
        <v>17369</v>
      </c>
      <c r="D1765" s="1236"/>
      <c r="E1765" s="1236"/>
      <c r="F1765" s="1344">
        <f>(1/S1765)*cnst_fish!$C$6</f>
        <v>2.3938164528281742</v>
      </c>
      <c r="G1765" s="719">
        <f t="shared" si="255"/>
        <v>1</v>
      </c>
      <c r="H1765" s="719">
        <f t="shared" si="255"/>
        <v>0.367192066876738</v>
      </c>
      <c r="I1765" s="719">
        <f t="shared" si="249"/>
        <v>0</v>
      </c>
      <c r="J1765" s="1386">
        <f t="shared" si="250"/>
        <v>0</v>
      </c>
      <c r="L1765" s="1460">
        <v>743</v>
      </c>
      <c r="M1765" s="1236"/>
      <c r="N1765" s="1240" t="s">
        <v>1804</v>
      </c>
      <c r="O1765" s="1241" t="s">
        <v>4851</v>
      </c>
      <c r="P1765" s="910">
        <f t="shared" si="251"/>
        <v>0</v>
      </c>
      <c r="Q1765" s="910">
        <f t="shared" si="252"/>
        <v>743</v>
      </c>
      <c r="R1765" s="1344">
        <f t="shared" si="253"/>
        <v>2.1</v>
      </c>
      <c r="S1765" s="1344">
        <f>(1/9)*cnst_fish!$C$7*(1/cnst_fish!$C$8)^(R1765-1)</f>
        <v>1.7754076320174161</v>
      </c>
      <c r="T1765" s="1362">
        <f t="shared" si="254"/>
        <v>113.97018571206191</v>
      </c>
      <c r="W1765" s="1612"/>
      <c r="X1765" s="1612"/>
      <c r="Y1765" s="1613"/>
      <c r="Z1765" s="1614"/>
      <c r="AA1765" s="1614"/>
      <c r="AB1765" s="1615"/>
      <c r="AC1765" s="1615"/>
      <c r="AD1765" s="583"/>
      <c r="AE1765" s="583"/>
    </row>
    <row r="1766" spans="1:31" ht="12.75" customHeight="1">
      <c r="A1766" s="1384" t="s">
        <v>3771</v>
      </c>
      <c r="B1766" s="19" t="s">
        <v>4761</v>
      </c>
      <c r="C1766" s="1383">
        <v>3538</v>
      </c>
      <c r="D1766" s="1236">
        <v>105971</v>
      </c>
      <c r="E1766" s="1236"/>
      <c r="F1766" s="1344">
        <f>(1/S1766)*cnst_fish!$C$6</f>
        <v>2.3938164528281742</v>
      </c>
      <c r="G1766" s="719">
        <f t="shared" si="255"/>
        <v>1</v>
      </c>
      <c r="H1766" s="719">
        <f t="shared" si="255"/>
        <v>0.367192066876738</v>
      </c>
      <c r="I1766" s="719">
        <f t="shared" si="249"/>
        <v>16255.093607123707</v>
      </c>
      <c r="J1766" s="1386">
        <f t="shared" si="250"/>
        <v>0</v>
      </c>
      <c r="L1766" s="1460">
        <v>106878</v>
      </c>
      <c r="M1766" s="1236"/>
      <c r="N1766" s="1240" t="s">
        <v>1804</v>
      </c>
      <c r="O1766" s="1241" t="s">
        <v>4851</v>
      </c>
      <c r="P1766" s="910">
        <f t="shared" si="251"/>
        <v>105971</v>
      </c>
      <c r="Q1766" s="910">
        <f t="shared" si="252"/>
        <v>106878</v>
      </c>
      <c r="R1766" s="1344">
        <f t="shared" si="253"/>
        <v>2.1</v>
      </c>
      <c r="S1766" s="1344">
        <f>(1/9)*cnst_fish!$C$7*(1/cnst_fish!$C$8)^(R1766-1)</f>
        <v>1.7754076320174161</v>
      </c>
      <c r="T1766" s="1362">
        <f t="shared" si="254"/>
        <v>16394.22006532134</v>
      </c>
      <c r="W1766" s="1612"/>
      <c r="X1766" s="1612"/>
      <c r="Y1766" s="1613"/>
      <c r="Z1766" s="1614"/>
      <c r="AA1766" s="1614"/>
      <c r="AB1766" s="1615"/>
      <c r="AC1766" s="1615"/>
      <c r="AD1766" s="583"/>
      <c r="AE1766" s="583"/>
    </row>
    <row r="1767" spans="1:31" ht="12.75" customHeight="1">
      <c r="A1767" s="1384" t="s">
        <v>2677</v>
      </c>
      <c r="B1767" s="19" t="s">
        <v>4762</v>
      </c>
      <c r="C1767" s="1383">
        <v>3658</v>
      </c>
      <c r="D1767" s="1236"/>
      <c r="E1767" s="1236"/>
      <c r="F1767" s="1344">
        <f>(1/S1767)*cnst_fish!$C$6</f>
        <v>2.3938164528281742</v>
      </c>
      <c r="G1767" s="719">
        <f t="shared" si="255"/>
        <v>1</v>
      </c>
      <c r="H1767" s="719">
        <f t="shared" si="255"/>
        <v>0.367192066876738</v>
      </c>
      <c r="I1767" s="719">
        <f t="shared" si="249"/>
        <v>0</v>
      </c>
      <c r="J1767" s="1386">
        <f t="shared" si="250"/>
        <v>0</v>
      </c>
      <c r="L1767" s="1460">
        <v>915</v>
      </c>
      <c r="M1767" s="1236"/>
      <c r="N1767" s="1240" t="s">
        <v>1804</v>
      </c>
      <c r="O1767" s="1241" t="s">
        <v>4851</v>
      </c>
      <c r="P1767" s="910">
        <f t="shared" si="251"/>
        <v>0</v>
      </c>
      <c r="Q1767" s="910">
        <f t="shared" si="252"/>
        <v>915</v>
      </c>
      <c r="R1767" s="1344">
        <f t="shared" si="253"/>
        <v>2.1</v>
      </c>
      <c r="S1767" s="1344">
        <f>(1/9)*cnst_fish!$C$7*(1/cnst_fish!$C$8)^(R1767-1)</f>
        <v>1.7754076320174161</v>
      </c>
      <c r="T1767" s="1362">
        <f t="shared" si="254"/>
        <v>140.35359344082997</v>
      </c>
      <c r="W1767" s="1612"/>
      <c r="X1767" s="1612"/>
      <c r="Y1767" s="1613"/>
      <c r="Z1767" s="1614"/>
      <c r="AA1767" s="1614"/>
      <c r="AB1767" s="1615"/>
      <c r="AC1767" s="1615"/>
      <c r="AD1767" s="583"/>
      <c r="AE1767" s="583"/>
    </row>
    <row r="1768" spans="1:31" ht="12.75" customHeight="1">
      <c r="A1768" s="1384" t="s">
        <v>6906</v>
      </c>
      <c r="B1768" s="19" t="s">
        <v>6905</v>
      </c>
      <c r="C1768" s="1383">
        <v>17381</v>
      </c>
      <c r="D1768" s="1236"/>
      <c r="E1768" s="1236"/>
      <c r="F1768" s="1344">
        <f>(1/S1768)*cnst_fish!$C$6</f>
        <v>3.0136363636363641</v>
      </c>
      <c r="G1768" s="719">
        <f t="shared" ref="G1768:H1787" si="256">G$7</f>
        <v>1</v>
      </c>
      <c r="H1768" s="719">
        <f t="shared" si="256"/>
        <v>0.367192066876738</v>
      </c>
      <c r="I1768" s="719">
        <f t="shared" si="249"/>
        <v>0</v>
      </c>
      <c r="J1768" s="1386">
        <f t="shared" si="250"/>
        <v>0</v>
      </c>
      <c r="L1768" s="1460">
        <v>1</v>
      </c>
      <c r="M1768" s="1236"/>
      <c r="N1768" s="1240" t="s">
        <v>1804</v>
      </c>
      <c r="O1768" s="1241" t="s">
        <v>4851</v>
      </c>
      <c r="P1768" s="910">
        <f t="shared" si="251"/>
        <v>0</v>
      </c>
      <c r="Q1768" s="910">
        <f t="shared" si="252"/>
        <v>1</v>
      </c>
      <c r="R1768" s="1344">
        <f t="shared" si="253"/>
        <v>2</v>
      </c>
      <c r="S1768" s="1344">
        <f>(1/9)*cnst_fish!$C$7*(1/cnst_fish!$C$8)^(R1768-1)</f>
        <v>1.4102564102564099</v>
      </c>
      <c r="T1768" s="1362">
        <f t="shared" si="254"/>
        <v>0.12184352143722826</v>
      </c>
      <c r="W1768" s="1612"/>
      <c r="X1768" s="1612"/>
      <c r="Y1768" s="1613"/>
      <c r="Z1768" s="1614"/>
      <c r="AA1768" s="1614"/>
      <c r="AB1768" s="1615"/>
      <c r="AC1768" s="1615"/>
      <c r="AD1768" s="583"/>
      <c r="AE1768" s="583"/>
    </row>
    <row r="1769" spans="1:31" ht="12.75" customHeight="1">
      <c r="A1769" s="1384" t="s">
        <v>5331</v>
      </c>
      <c r="B1769" s="19" t="s">
        <v>1990</v>
      </c>
      <c r="C1769" s="1383">
        <v>2376</v>
      </c>
      <c r="D1769" s="1236"/>
      <c r="E1769" s="1236"/>
      <c r="F1769" s="1344">
        <f>(1/S1769)*cnst_fish!$C$6</f>
        <v>0.15455777163012493</v>
      </c>
      <c r="G1769" s="719">
        <f t="shared" si="256"/>
        <v>1</v>
      </c>
      <c r="H1769" s="719">
        <f t="shared" si="256"/>
        <v>0.367192066876738</v>
      </c>
      <c r="I1769" s="719">
        <f t="shared" si="249"/>
        <v>0</v>
      </c>
      <c r="J1769" s="1386">
        <f t="shared" si="250"/>
        <v>0</v>
      </c>
      <c r="L1769" s="1460">
        <v>7585</v>
      </c>
      <c r="M1769" s="1236"/>
      <c r="N1769" s="1240" t="s">
        <v>1806</v>
      </c>
      <c r="O1769" s="1241" t="s">
        <v>4841</v>
      </c>
      <c r="P1769" s="910">
        <f t="shared" si="251"/>
        <v>0</v>
      </c>
      <c r="Q1769" s="910">
        <f t="shared" si="252"/>
        <v>7585</v>
      </c>
      <c r="R1769" s="1344">
        <f t="shared" si="253"/>
        <v>3.29</v>
      </c>
      <c r="S1769" s="1344">
        <f>(1/9)*cnst_fish!$C$7*(1/cnst_fish!$C$8)^(R1769-1)</f>
        <v>27.497808458126283</v>
      </c>
      <c r="T1769" s="1362">
        <f t="shared" si="254"/>
        <v>18020.134464187646</v>
      </c>
      <c r="W1769" s="1612"/>
      <c r="X1769" s="1612"/>
      <c r="Y1769" s="1613"/>
      <c r="Z1769" s="1614"/>
      <c r="AA1769" s="1614"/>
      <c r="AB1769" s="1615"/>
      <c r="AC1769" s="1615"/>
      <c r="AD1769" s="583"/>
      <c r="AE1769" s="583"/>
    </row>
    <row r="1770" spans="1:31" ht="12.75" customHeight="1">
      <c r="A1770" s="1384" t="s">
        <v>6946</v>
      </c>
      <c r="B1770" s="19" t="s">
        <v>6945</v>
      </c>
      <c r="C1770" s="1383">
        <v>18284</v>
      </c>
      <c r="D1770" s="1236">
        <v>56.48</v>
      </c>
      <c r="E1770" s="1236"/>
      <c r="F1770" s="1344">
        <f>(1/S1770)*cnst_fish!$C$6</f>
        <v>3.0136363636363641</v>
      </c>
      <c r="G1770" s="719">
        <f t="shared" si="256"/>
        <v>1</v>
      </c>
      <c r="H1770" s="719">
        <f t="shared" si="256"/>
        <v>0.367192066876738</v>
      </c>
      <c r="I1770" s="719">
        <f t="shared" si="249"/>
        <v>6.8817220907746535</v>
      </c>
      <c r="J1770" s="1386">
        <f t="shared" si="250"/>
        <v>0</v>
      </c>
      <c r="L1770" s="1460">
        <v>56.48</v>
      </c>
      <c r="M1770" s="1236"/>
      <c r="N1770" s="1240" t="s">
        <v>1513</v>
      </c>
      <c r="O1770" s="1241"/>
      <c r="P1770" s="910">
        <f t="shared" si="251"/>
        <v>56.48</v>
      </c>
      <c r="Q1770" s="910">
        <f t="shared" si="252"/>
        <v>56.48</v>
      </c>
      <c r="R1770" s="1344">
        <f t="shared" si="253"/>
        <v>2</v>
      </c>
      <c r="S1770" s="1344">
        <f>(1/9)*cnst_fish!$C$7*(1/cnst_fish!$C$8)^(R1770-1)</f>
        <v>1.4102564102564099</v>
      </c>
      <c r="T1770" s="1362">
        <f t="shared" si="254"/>
        <v>6.8817220907746535</v>
      </c>
      <c r="W1770" s="1612"/>
      <c r="X1770" s="1612"/>
      <c r="Y1770" s="1613"/>
      <c r="Z1770" s="1614"/>
      <c r="AA1770" s="1614"/>
      <c r="AB1770" s="1615"/>
      <c r="AC1770" s="1615"/>
      <c r="AD1770" s="583"/>
      <c r="AE1770" s="583"/>
    </row>
    <row r="1771" spans="1:31" ht="12.75" customHeight="1">
      <c r="A1771" s="1384" t="s">
        <v>6609</v>
      </c>
      <c r="B1771" s="19" t="s">
        <v>6608</v>
      </c>
      <c r="C1771" s="1383">
        <v>18285</v>
      </c>
      <c r="D1771" s="1236">
        <v>16.82</v>
      </c>
      <c r="E1771" s="1236"/>
      <c r="F1771" s="1344">
        <f>(1/S1771)*cnst_fish!$C$6</f>
        <v>3.0136363636363641</v>
      </c>
      <c r="G1771" s="719">
        <f t="shared" si="256"/>
        <v>1</v>
      </c>
      <c r="H1771" s="719">
        <f t="shared" si="256"/>
        <v>0.367192066876738</v>
      </c>
      <c r="I1771" s="719">
        <f t="shared" si="249"/>
        <v>2.0494080305741793</v>
      </c>
      <c r="J1771" s="1386">
        <f t="shared" si="250"/>
        <v>0</v>
      </c>
      <c r="L1771" s="1460">
        <v>16.82</v>
      </c>
      <c r="M1771" s="1236"/>
      <c r="N1771" s="1240" t="s">
        <v>1513</v>
      </c>
      <c r="O1771" s="1241"/>
      <c r="P1771" s="910">
        <f t="shared" si="251"/>
        <v>16.82</v>
      </c>
      <c r="Q1771" s="910">
        <f t="shared" si="252"/>
        <v>16.82</v>
      </c>
      <c r="R1771" s="1344">
        <f t="shared" si="253"/>
        <v>2</v>
      </c>
      <c r="S1771" s="1344">
        <f>(1/9)*cnst_fish!$C$7*(1/cnst_fish!$C$8)^(R1771-1)</f>
        <v>1.4102564102564099</v>
      </c>
      <c r="T1771" s="1362">
        <f t="shared" si="254"/>
        <v>2.0494080305741793</v>
      </c>
      <c r="W1771" s="1612"/>
      <c r="X1771" s="1612"/>
      <c r="Y1771" s="1613"/>
      <c r="Z1771" s="1614"/>
      <c r="AA1771" s="1614"/>
      <c r="AB1771" s="1615"/>
      <c r="AC1771" s="1615"/>
      <c r="AD1771" s="583"/>
      <c r="AE1771" s="583"/>
    </row>
    <row r="1772" spans="1:31" ht="12.75" customHeight="1">
      <c r="A1772" s="1384" t="s">
        <v>1513</v>
      </c>
      <c r="B1772" s="19" t="s">
        <v>6891</v>
      </c>
      <c r="C1772" s="1383">
        <v>2757</v>
      </c>
      <c r="D1772" s="1236">
        <v>2.68</v>
      </c>
      <c r="E1772" s="1236"/>
      <c r="F1772" s="1344">
        <f>(1/S1772)*cnst_fish!$C$6</f>
        <v>1.5103960722494616</v>
      </c>
      <c r="G1772" s="719">
        <f t="shared" si="256"/>
        <v>1</v>
      </c>
      <c r="H1772" s="719">
        <f t="shared" si="256"/>
        <v>0.367192066876738</v>
      </c>
      <c r="I1772" s="719">
        <f t="shared" si="249"/>
        <v>0.65153422821343587</v>
      </c>
      <c r="J1772" s="1386">
        <f t="shared" si="250"/>
        <v>0</v>
      </c>
      <c r="L1772" s="1460">
        <v>199.86</v>
      </c>
      <c r="M1772" s="1236"/>
      <c r="N1772" s="1240" t="s">
        <v>1513</v>
      </c>
      <c r="O1772" s="1241"/>
      <c r="P1772" s="910">
        <f t="shared" si="251"/>
        <v>2.68</v>
      </c>
      <c r="Q1772" s="910">
        <f t="shared" si="252"/>
        <v>199.86</v>
      </c>
      <c r="R1772" s="1344">
        <f t="shared" si="253"/>
        <v>2.2999999999999998</v>
      </c>
      <c r="S1772" s="1344">
        <f>(1/9)*cnst_fish!$C$7*(1/cnst_fish!$C$8)^(R1772-1)</f>
        <v>2.8138314698279068</v>
      </c>
      <c r="T1772" s="1362">
        <f t="shared" si="254"/>
        <v>48.587921959230329</v>
      </c>
      <c r="W1772" s="1612"/>
      <c r="X1772" s="1612"/>
      <c r="Y1772" s="1613"/>
      <c r="Z1772" s="1614"/>
      <c r="AA1772" s="1614"/>
      <c r="AB1772" s="1615"/>
      <c r="AC1772" s="1615"/>
      <c r="AD1772" s="583"/>
      <c r="AE1772" s="583"/>
    </row>
    <row r="1773" spans="1:31" ht="12.75" customHeight="1">
      <c r="A1773" s="1585" t="s">
        <v>8604</v>
      </c>
      <c r="B1773" s="1588" t="s">
        <v>8605</v>
      </c>
      <c r="C1773" s="1383">
        <v>20449</v>
      </c>
      <c r="D1773" s="1236"/>
      <c r="E1773" s="1236"/>
      <c r="F1773" s="1344">
        <f>(1/S1773)*cnst_fish!$C$6</f>
        <v>3.0136363636363641</v>
      </c>
      <c r="G1773" s="719">
        <f t="shared" si="256"/>
        <v>1</v>
      </c>
      <c r="H1773" s="719">
        <f t="shared" si="256"/>
        <v>0.367192066876738</v>
      </c>
      <c r="I1773" s="719">
        <f t="shared" si="249"/>
        <v>0</v>
      </c>
      <c r="J1773" s="1386">
        <f t="shared" si="250"/>
        <v>0</v>
      </c>
      <c r="L1773" s="1460"/>
      <c r="M1773" s="1236">
        <v>67</v>
      </c>
      <c r="N1773" s="1240" t="s">
        <v>1513</v>
      </c>
      <c r="O1773" s="1241"/>
      <c r="P1773" s="910">
        <f t="shared" si="251"/>
        <v>0</v>
      </c>
      <c r="Q1773" s="910">
        <f t="shared" si="252"/>
        <v>67</v>
      </c>
      <c r="R1773" s="1344">
        <f t="shared" si="253"/>
        <v>2</v>
      </c>
      <c r="S1773" s="1344">
        <f>(1/9)*cnst_fish!$C$7*(1/cnst_fish!$C$8)^(R1773-1)</f>
        <v>1.4102564102564099</v>
      </c>
      <c r="T1773" s="1362">
        <f t="shared" si="254"/>
        <v>8.163515936294294</v>
      </c>
      <c r="W1773" s="1612"/>
      <c r="X1773" s="1612"/>
      <c r="Y1773" s="1613"/>
      <c r="Z1773" s="1614"/>
      <c r="AA1773" s="1614"/>
      <c r="AB1773" s="1615"/>
      <c r="AC1773" s="1615"/>
      <c r="AD1773" s="583"/>
      <c r="AE1773" s="583"/>
    </row>
    <row r="1774" spans="1:31" ht="12.75" customHeight="1">
      <c r="A1774" s="1384" t="s">
        <v>73</v>
      </c>
      <c r="B1774" s="19" t="s">
        <v>4253</v>
      </c>
      <c r="C1774" s="1383">
        <v>2100</v>
      </c>
      <c r="D1774" s="1236"/>
      <c r="E1774" s="1236"/>
      <c r="F1774" s="1344">
        <f>(1/S1774)*cnst_fish!$C$6</f>
        <v>0.27484690295134895</v>
      </c>
      <c r="G1774" s="719">
        <f t="shared" si="256"/>
        <v>1</v>
      </c>
      <c r="H1774" s="719">
        <f t="shared" si="256"/>
        <v>0.367192066876738</v>
      </c>
      <c r="I1774" s="719">
        <f t="shared" si="249"/>
        <v>0</v>
      </c>
      <c r="J1774" s="1386">
        <f t="shared" si="250"/>
        <v>0</v>
      </c>
      <c r="L1774" s="1460">
        <v>90</v>
      </c>
      <c r="M1774" s="1236"/>
      <c r="N1774" s="1240" t="s">
        <v>1806</v>
      </c>
      <c r="O1774" s="1241" t="s">
        <v>4859</v>
      </c>
      <c r="P1774" s="910">
        <f t="shared" si="251"/>
        <v>0</v>
      </c>
      <c r="Q1774" s="910">
        <f t="shared" si="252"/>
        <v>90</v>
      </c>
      <c r="R1774" s="1344">
        <f t="shared" si="253"/>
        <v>3.04</v>
      </c>
      <c r="S1774" s="1344">
        <f>(1/9)*cnst_fish!$C$7*(1/cnst_fish!$C$8)^(R1774-1)</f>
        <v>15.463154048173134</v>
      </c>
      <c r="T1774" s="1362">
        <f t="shared" si="254"/>
        <v>120.23888813750312</v>
      </c>
      <c r="W1774" s="1612"/>
      <c r="X1774" s="1612"/>
      <c r="Y1774" s="1613"/>
      <c r="Z1774" s="1614"/>
      <c r="AA1774" s="1614"/>
      <c r="AB1774" s="1615"/>
      <c r="AC1774" s="1615"/>
      <c r="AD1774" s="583"/>
      <c r="AE1774" s="583"/>
    </row>
    <row r="1775" spans="1:31" ht="12.75" customHeight="1">
      <c r="A1775" s="1384" t="s">
        <v>1292</v>
      </c>
      <c r="B1775" s="19" t="s">
        <v>4254</v>
      </c>
      <c r="C1775" s="1383">
        <v>2911</v>
      </c>
      <c r="D1775" s="1236"/>
      <c r="E1775" s="1236"/>
      <c r="F1775" s="1344">
        <f>(1/S1775)*cnst_fish!$C$6</f>
        <v>0.11997502458044032</v>
      </c>
      <c r="G1775" s="719">
        <f t="shared" si="256"/>
        <v>1</v>
      </c>
      <c r="H1775" s="719">
        <f t="shared" si="256"/>
        <v>0.367192066876738</v>
      </c>
      <c r="I1775" s="719">
        <f t="shared" si="249"/>
        <v>0</v>
      </c>
      <c r="J1775" s="1386">
        <f t="shared" si="250"/>
        <v>0</v>
      </c>
      <c r="L1775" s="1460">
        <v>27226</v>
      </c>
      <c r="M1775" s="1236"/>
      <c r="N1775" s="1240" t="s">
        <v>1806</v>
      </c>
      <c r="O1775" s="1241" t="s">
        <v>4859</v>
      </c>
      <c r="P1775" s="910">
        <f t="shared" si="251"/>
        <v>0</v>
      </c>
      <c r="Q1775" s="910">
        <f t="shared" si="252"/>
        <v>27226</v>
      </c>
      <c r="R1775" s="1344">
        <f t="shared" si="253"/>
        <v>3.4</v>
      </c>
      <c r="S1775" s="1344">
        <f>(1/9)*cnst_fish!$C$7*(1/cnst_fish!$C$8)^(R1775-1)</f>
        <v>35.424039418724846</v>
      </c>
      <c r="T1775" s="1362">
        <f t="shared" si="254"/>
        <v>83327.102851170566</v>
      </c>
      <c r="W1775" s="1612"/>
      <c r="X1775" s="1612"/>
      <c r="Y1775" s="1613"/>
      <c r="Z1775" s="1614"/>
      <c r="AA1775" s="1614"/>
      <c r="AB1775" s="1615"/>
      <c r="AC1775" s="1615"/>
      <c r="AD1775" s="583"/>
      <c r="AE1775" s="583"/>
    </row>
    <row r="1776" spans="1:31" ht="12.75" customHeight="1">
      <c r="A1776" s="1384" t="s">
        <v>3939</v>
      </c>
      <c r="B1776" s="19" t="s">
        <v>4255</v>
      </c>
      <c r="C1776" s="1383">
        <v>2102</v>
      </c>
      <c r="D1776" s="1236"/>
      <c r="E1776" s="1236"/>
      <c r="F1776" s="1344">
        <f>(1/S1776)*cnst_fish!$C$6</f>
        <v>0.30136363636363639</v>
      </c>
      <c r="G1776" s="719">
        <f t="shared" si="256"/>
        <v>1</v>
      </c>
      <c r="H1776" s="719">
        <f t="shared" si="256"/>
        <v>0.367192066876738</v>
      </c>
      <c r="I1776" s="719">
        <f t="shared" si="249"/>
        <v>0</v>
      </c>
      <c r="J1776" s="1386">
        <f t="shared" si="250"/>
        <v>0</v>
      </c>
      <c r="L1776" s="1460">
        <v>394405</v>
      </c>
      <c r="M1776" s="1236"/>
      <c r="N1776" s="1240" t="s">
        <v>1806</v>
      </c>
      <c r="O1776" s="1241" t="s">
        <v>4859</v>
      </c>
      <c r="P1776" s="910">
        <f t="shared" si="251"/>
        <v>0</v>
      </c>
      <c r="Q1776" s="910">
        <f t="shared" si="252"/>
        <v>394405</v>
      </c>
      <c r="R1776" s="1344">
        <f t="shared" si="253"/>
        <v>3</v>
      </c>
      <c r="S1776" s="1344">
        <f>(1/9)*cnst_fish!$C$7*(1/cnst_fish!$C$8)^(R1776-1)</f>
        <v>14.1025641025641</v>
      </c>
      <c r="T1776" s="1362">
        <f t="shared" si="254"/>
        <v>480556.94072450022</v>
      </c>
      <c r="W1776" s="1612"/>
      <c r="X1776" s="1612"/>
      <c r="Y1776" s="1613"/>
      <c r="Z1776" s="1614"/>
      <c r="AA1776" s="1614"/>
      <c r="AB1776" s="1615"/>
      <c r="AC1776" s="1615"/>
      <c r="AD1776" s="583"/>
      <c r="AE1776" s="583"/>
    </row>
    <row r="1777" spans="1:31" ht="12.75" customHeight="1">
      <c r="A1777" s="1384" t="s">
        <v>4188</v>
      </c>
      <c r="B1777" s="19" t="s">
        <v>4537</v>
      </c>
      <c r="C1777" s="1383">
        <v>2831</v>
      </c>
      <c r="D1777" s="1236">
        <v>0</v>
      </c>
      <c r="E1777" s="1236"/>
      <c r="F1777" s="1344">
        <f>(1/S1777)*cnst_fish!$C$6</f>
        <v>1.5103960722494611E-2</v>
      </c>
      <c r="G1777" s="719">
        <f t="shared" si="256"/>
        <v>1</v>
      </c>
      <c r="H1777" s="719">
        <f t="shared" si="256"/>
        <v>0.367192066876738</v>
      </c>
      <c r="I1777" s="719">
        <f t="shared" si="249"/>
        <v>0</v>
      </c>
      <c r="J1777" s="1386">
        <f t="shared" si="250"/>
        <v>0</v>
      </c>
      <c r="L1777" s="1460">
        <v>8736</v>
      </c>
      <c r="M1777" s="1236"/>
      <c r="N1777" s="1240" t="s">
        <v>3927</v>
      </c>
      <c r="O1777" s="1241" t="s">
        <v>4841</v>
      </c>
      <c r="P1777" s="910">
        <f t="shared" si="251"/>
        <v>0</v>
      </c>
      <c r="Q1777" s="910">
        <f t="shared" si="252"/>
        <v>8736</v>
      </c>
      <c r="R1777" s="1344">
        <f t="shared" si="253"/>
        <v>4.3</v>
      </c>
      <c r="S1777" s="1344">
        <f>(1/9)*cnst_fish!$C$7*(1/cnst_fish!$C$8)^(R1777-1)</f>
        <v>281.38314698279078</v>
      </c>
      <c r="T1777" s="1362">
        <f t="shared" si="254"/>
        <v>212380.70961464843</v>
      </c>
      <c r="W1777" s="1612"/>
      <c r="X1777" s="1612"/>
      <c r="Y1777" s="1613"/>
      <c r="Z1777" s="1614"/>
      <c r="AA1777" s="1614"/>
      <c r="AB1777" s="1615"/>
      <c r="AC1777" s="1615"/>
      <c r="AD1777" s="583"/>
      <c r="AE1777" s="583"/>
    </row>
    <row r="1778" spans="1:31" ht="12.75" customHeight="1">
      <c r="A1778" s="1384" t="s">
        <v>4787</v>
      </c>
      <c r="B1778" s="19" t="s">
        <v>5453</v>
      </c>
      <c r="C1778" s="1383">
        <v>2832</v>
      </c>
      <c r="D1778" s="1236"/>
      <c r="E1778" s="1236"/>
      <c r="F1778" s="1344">
        <f>(1/S1778)*cnst_fish!$C$6</f>
        <v>2.0849269714511572E-2</v>
      </c>
      <c r="G1778" s="719">
        <f t="shared" si="256"/>
        <v>1</v>
      </c>
      <c r="H1778" s="719">
        <f t="shared" si="256"/>
        <v>0.367192066876738</v>
      </c>
      <c r="I1778" s="719">
        <f t="shared" si="249"/>
        <v>0</v>
      </c>
      <c r="J1778" s="1386">
        <f t="shared" si="250"/>
        <v>0</v>
      </c>
      <c r="L1778" s="1460">
        <v>852</v>
      </c>
      <c r="M1778" s="1236"/>
      <c r="N1778" s="1240" t="s">
        <v>3927</v>
      </c>
      <c r="O1778" s="1241" t="s">
        <v>4841</v>
      </c>
      <c r="P1778" s="910">
        <f t="shared" si="251"/>
        <v>0</v>
      </c>
      <c r="Q1778" s="910">
        <f t="shared" si="252"/>
        <v>852</v>
      </c>
      <c r="R1778" s="1344">
        <f t="shared" si="253"/>
        <v>4.16</v>
      </c>
      <c r="S1778" s="1344">
        <f>(1/9)*cnst_fish!$C$7*(1/cnst_fish!$C$8)^(R1778-1)</f>
        <v>203.84407023340017</v>
      </c>
      <c r="T1778" s="1362">
        <f t="shared" si="254"/>
        <v>15005.208588252452</v>
      </c>
      <c r="W1778" s="1612"/>
      <c r="X1778" s="1612"/>
      <c r="Y1778" s="1613"/>
      <c r="Z1778" s="1614"/>
      <c r="AA1778" s="1614"/>
      <c r="AB1778" s="1615"/>
      <c r="AC1778" s="1615"/>
      <c r="AD1778" s="583"/>
      <c r="AE1778" s="583"/>
    </row>
    <row r="1779" spans="1:31" ht="12.75" customHeight="1">
      <c r="A1779" s="1384" t="s">
        <v>2719</v>
      </c>
      <c r="B1779" s="19" t="s">
        <v>5454</v>
      </c>
      <c r="C1779" s="1383">
        <v>2830</v>
      </c>
      <c r="D1779" s="1236"/>
      <c r="E1779" s="1236"/>
      <c r="F1779" s="1344">
        <f>(1/S1779)*cnst_fish!$C$6</f>
        <v>2.0849269714511572E-2</v>
      </c>
      <c r="G1779" s="719">
        <f t="shared" si="256"/>
        <v>1</v>
      </c>
      <c r="H1779" s="719">
        <f t="shared" si="256"/>
        <v>0.367192066876738</v>
      </c>
      <c r="I1779" s="719">
        <f t="shared" si="249"/>
        <v>0</v>
      </c>
      <c r="J1779" s="1386">
        <f t="shared" si="250"/>
        <v>0</v>
      </c>
      <c r="L1779" s="1460"/>
      <c r="M1779" s="1236"/>
      <c r="N1779" s="1240" t="s">
        <v>3927</v>
      </c>
      <c r="O1779" s="1241" t="s">
        <v>4841</v>
      </c>
      <c r="P1779" s="910">
        <f t="shared" si="251"/>
        <v>0</v>
      </c>
      <c r="Q1779" s="910">
        <f t="shared" si="252"/>
        <v>0</v>
      </c>
      <c r="R1779" s="1344">
        <f t="shared" si="253"/>
        <v>4.16</v>
      </c>
      <c r="S1779" s="1344">
        <f>(1/9)*cnst_fish!$C$7*(1/cnst_fish!$C$8)^(R1779-1)</f>
        <v>203.84407023340017</v>
      </c>
      <c r="T1779" s="1362">
        <f t="shared" si="254"/>
        <v>0</v>
      </c>
      <c r="W1779" s="1612"/>
      <c r="X1779" s="1612"/>
      <c r="Y1779" s="1613"/>
      <c r="Z1779" s="1614"/>
      <c r="AA1779" s="1614"/>
      <c r="AB1779" s="1615"/>
      <c r="AC1779" s="1615"/>
      <c r="AD1779" s="583"/>
      <c r="AE1779" s="583"/>
    </row>
    <row r="1780" spans="1:31" ht="12.75" customHeight="1">
      <c r="A1780" s="1384" t="s">
        <v>197</v>
      </c>
      <c r="B1780" s="19" t="s">
        <v>5455</v>
      </c>
      <c r="C1780" s="1383">
        <v>2834</v>
      </c>
      <c r="D1780" s="1236">
        <v>7396</v>
      </c>
      <c r="E1780" s="1236"/>
      <c r="F1780" s="1344">
        <f>(1/S1780)*cnst_fish!$C$6</f>
        <v>1.5103960722494611E-2</v>
      </c>
      <c r="G1780" s="719">
        <f t="shared" si="256"/>
        <v>1</v>
      </c>
      <c r="H1780" s="719">
        <f t="shared" si="256"/>
        <v>0.367192066876738</v>
      </c>
      <c r="I1780" s="719">
        <f t="shared" si="249"/>
        <v>179803.99820397663</v>
      </c>
      <c r="J1780" s="1386">
        <f t="shared" si="250"/>
        <v>0</v>
      </c>
      <c r="L1780" s="1460">
        <v>13195</v>
      </c>
      <c r="M1780" s="1236"/>
      <c r="N1780" s="1240" t="s">
        <v>3927</v>
      </c>
      <c r="O1780" s="1241" t="s">
        <v>4841</v>
      </c>
      <c r="P1780" s="910">
        <f t="shared" si="251"/>
        <v>7396</v>
      </c>
      <c r="Q1780" s="910">
        <f t="shared" si="252"/>
        <v>13195</v>
      </c>
      <c r="R1780" s="1344">
        <f t="shared" si="253"/>
        <v>4.3</v>
      </c>
      <c r="S1780" s="1344">
        <f>(1/9)*cnst_fish!$C$7*(1/cnst_fish!$C$8)^(R1780-1)</f>
        <v>281.38314698279078</v>
      </c>
      <c r="T1780" s="1362">
        <f t="shared" si="254"/>
        <v>320783.36348045856</v>
      </c>
      <c r="W1780" s="1612"/>
      <c r="X1780" s="1612"/>
      <c r="Y1780" s="1613"/>
      <c r="Z1780" s="1614"/>
      <c r="AA1780" s="1614"/>
      <c r="AB1780" s="1615"/>
      <c r="AC1780" s="1615"/>
      <c r="AD1780" s="583"/>
      <c r="AE1780" s="583"/>
    </row>
    <row r="1781" spans="1:31" ht="12.75" customHeight="1">
      <c r="A1781" s="1384" t="s">
        <v>2377</v>
      </c>
      <c r="B1781" s="19" t="s">
        <v>6952</v>
      </c>
      <c r="C1781" s="1383">
        <v>15408</v>
      </c>
      <c r="D1781" s="1236"/>
      <c r="E1781" s="1236"/>
      <c r="F1781" s="1344">
        <f>(1/S1781)*cnst_fish!$C$6</f>
        <v>3.2291695426024204E-2</v>
      </c>
      <c r="G1781" s="719">
        <f t="shared" si="256"/>
        <v>1</v>
      </c>
      <c r="H1781" s="719">
        <f t="shared" si="256"/>
        <v>0.367192066876738</v>
      </c>
      <c r="I1781" s="719">
        <f t="shared" si="249"/>
        <v>0</v>
      </c>
      <c r="J1781" s="1386">
        <f t="shared" si="250"/>
        <v>0</v>
      </c>
      <c r="L1781" s="1460">
        <v>325</v>
      </c>
      <c r="M1781" s="1236"/>
      <c r="N1781" s="1240" t="s">
        <v>3927</v>
      </c>
      <c r="O1781" s="1241" t="s">
        <v>4841</v>
      </c>
      <c r="P1781" s="910">
        <f t="shared" si="251"/>
        <v>0</v>
      </c>
      <c r="Q1781" s="910">
        <f t="shared" si="252"/>
        <v>325</v>
      </c>
      <c r="R1781" s="1344">
        <f t="shared" si="253"/>
        <v>3.97</v>
      </c>
      <c r="S1781" s="1344">
        <f>(1/9)*cnst_fish!$C$7*(1/cnst_fish!$C$8)^(R1781-1)</f>
        <v>131.61278600983218</v>
      </c>
      <c r="T1781" s="1362">
        <f t="shared" si="254"/>
        <v>3695.6071881801727</v>
      </c>
      <c r="W1781" s="1612"/>
      <c r="X1781" s="1612"/>
      <c r="Y1781" s="1613"/>
      <c r="Z1781" s="1614"/>
      <c r="AA1781" s="1614"/>
      <c r="AB1781" s="1615"/>
      <c r="AC1781" s="1615"/>
      <c r="AD1781" s="583"/>
      <c r="AE1781" s="583"/>
    </row>
    <row r="1782" spans="1:31" ht="12.75" customHeight="1">
      <c r="A1782" s="1384" t="s">
        <v>6564</v>
      </c>
      <c r="B1782" s="19" t="s">
        <v>6563</v>
      </c>
      <c r="C1782" s="1383">
        <v>2034</v>
      </c>
      <c r="D1782" s="1236"/>
      <c r="E1782" s="1236"/>
      <c r="F1782" s="1344">
        <f>(1/S1782)*cnst_fish!$C$6</f>
        <v>1.5103960722494611E-2</v>
      </c>
      <c r="G1782" s="719">
        <f t="shared" si="256"/>
        <v>1</v>
      </c>
      <c r="H1782" s="719">
        <f t="shared" si="256"/>
        <v>0.367192066876738</v>
      </c>
      <c r="I1782" s="719">
        <f t="shared" si="249"/>
        <v>0</v>
      </c>
      <c r="J1782" s="1386">
        <f t="shared" si="250"/>
        <v>0</v>
      </c>
      <c r="L1782" s="1460"/>
      <c r="M1782" s="1236"/>
      <c r="N1782" s="1240" t="s">
        <v>3927</v>
      </c>
      <c r="O1782" s="1241" t="s">
        <v>4841</v>
      </c>
      <c r="P1782" s="910">
        <f t="shared" si="251"/>
        <v>0</v>
      </c>
      <c r="Q1782" s="910">
        <f t="shared" si="252"/>
        <v>0</v>
      </c>
      <c r="R1782" s="1344">
        <f t="shared" si="253"/>
        <v>4.3</v>
      </c>
      <c r="S1782" s="1344">
        <f>(1/9)*cnst_fish!$C$7*(1/cnst_fish!$C$8)^(R1782-1)</f>
        <v>281.38314698279078</v>
      </c>
      <c r="T1782" s="1362">
        <f t="shared" si="254"/>
        <v>0</v>
      </c>
      <c r="W1782" s="1612"/>
      <c r="X1782" s="1612"/>
      <c r="Y1782" s="1613"/>
      <c r="Z1782" s="1614"/>
      <c r="AA1782" s="1614"/>
      <c r="AB1782" s="1615"/>
      <c r="AC1782" s="1615"/>
      <c r="AD1782" s="583"/>
      <c r="AE1782" s="583"/>
    </row>
    <row r="1783" spans="1:31" ht="12.75" customHeight="1">
      <c r="A1783" s="1384" t="s">
        <v>1442</v>
      </c>
      <c r="B1783" s="19" t="s">
        <v>5456</v>
      </c>
      <c r="C1783" s="1383">
        <v>15416</v>
      </c>
      <c r="D1783" s="1236"/>
      <c r="E1783" s="1236"/>
      <c r="F1783" s="1344">
        <f>(1/S1783)*cnst_fish!$C$6</f>
        <v>2.3393265378400998E-2</v>
      </c>
      <c r="G1783" s="719">
        <f t="shared" si="256"/>
        <v>1</v>
      </c>
      <c r="H1783" s="719">
        <f t="shared" si="256"/>
        <v>0.367192066876738</v>
      </c>
      <c r="I1783" s="719">
        <f t="shared" si="249"/>
        <v>0</v>
      </c>
      <c r="J1783" s="1386">
        <f t="shared" si="250"/>
        <v>0</v>
      </c>
      <c r="L1783" s="1460">
        <v>3066</v>
      </c>
      <c r="M1783" s="1236"/>
      <c r="N1783" s="1240" t="s">
        <v>3927</v>
      </c>
      <c r="O1783" s="1241" t="s">
        <v>4841</v>
      </c>
      <c r="P1783" s="910">
        <f t="shared" si="251"/>
        <v>0</v>
      </c>
      <c r="Q1783" s="910">
        <f t="shared" si="252"/>
        <v>3066</v>
      </c>
      <c r="R1783" s="1344">
        <f t="shared" si="253"/>
        <v>4.1100000000000003</v>
      </c>
      <c r="S1783" s="1344">
        <f>(1/9)*cnst_fish!$C$7*(1/cnst_fish!$C$8)^(R1783-1)</f>
        <v>181.67621882851913</v>
      </c>
      <c r="T1783" s="1362">
        <f t="shared" si="254"/>
        <v>48125.426648796965</v>
      </c>
      <c r="W1783" s="1612"/>
      <c r="X1783" s="1612"/>
      <c r="Y1783" s="1613"/>
      <c r="Z1783" s="1614"/>
      <c r="AA1783" s="1614"/>
      <c r="AB1783" s="1615"/>
      <c r="AC1783" s="1615"/>
      <c r="AD1783" s="583"/>
      <c r="AE1783" s="583"/>
    </row>
    <row r="1784" spans="1:31" ht="12.75" customHeight="1">
      <c r="A1784" s="1384" t="s">
        <v>2071</v>
      </c>
      <c r="B1784" s="19" t="s">
        <v>2072</v>
      </c>
      <c r="C1784" s="1383">
        <v>15418</v>
      </c>
      <c r="D1784" s="1236"/>
      <c r="E1784" s="1236"/>
      <c r="F1784" s="1344">
        <f>(1/S1784)*cnst_fish!$C$6</f>
        <v>2.1831865524078106E-2</v>
      </c>
      <c r="G1784" s="719">
        <f t="shared" si="256"/>
        <v>1</v>
      </c>
      <c r="H1784" s="719">
        <f t="shared" si="256"/>
        <v>0.367192066876738</v>
      </c>
      <c r="I1784" s="719">
        <f t="shared" si="249"/>
        <v>0</v>
      </c>
      <c r="J1784" s="1386">
        <f t="shared" si="250"/>
        <v>0</v>
      </c>
      <c r="L1784" s="1460">
        <v>914</v>
      </c>
      <c r="M1784" s="1236"/>
      <c r="N1784" s="1240" t="s">
        <v>3927</v>
      </c>
      <c r="O1784" s="1241" t="s">
        <v>4841</v>
      </c>
      <c r="P1784" s="910">
        <f t="shared" si="251"/>
        <v>0</v>
      </c>
      <c r="Q1784" s="910">
        <f t="shared" si="252"/>
        <v>914</v>
      </c>
      <c r="R1784" s="1344">
        <f t="shared" si="253"/>
        <v>4.1399999999999997</v>
      </c>
      <c r="S1784" s="1344">
        <f>(1/9)*cnst_fish!$C$7*(1/cnst_fish!$C$8)^(R1784-1)</f>
        <v>194.66957577732992</v>
      </c>
      <c r="T1784" s="1362">
        <f t="shared" si="254"/>
        <v>15372.646407847938</v>
      </c>
      <c r="W1784" s="1612"/>
      <c r="X1784" s="1612"/>
      <c r="Y1784" s="1613"/>
      <c r="Z1784" s="1614"/>
      <c r="AA1784" s="1614"/>
      <c r="AB1784" s="1615"/>
      <c r="AC1784" s="1615"/>
      <c r="AD1784" s="583"/>
      <c r="AE1784" s="583"/>
    </row>
    <row r="1785" spans="1:31" ht="12.75" customHeight="1">
      <c r="A1785" s="1384" t="s">
        <v>3830</v>
      </c>
      <c r="B1785" s="19" t="s">
        <v>5457</v>
      </c>
      <c r="C1785" s="1383">
        <v>2046</v>
      </c>
      <c r="D1785" s="1236"/>
      <c r="E1785" s="1236"/>
      <c r="F1785" s="1344">
        <f>(1/S1785)*cnst_fish!$C$6</f>
        <v>2.6859062362848789E-2</v>
      </c>
      <c r="G1785" s="719">
        <f t="shared" si="256"/>
        <v>1</v>
      </c>
      <c r="H1785" s="719">
        <f t="shared" si="256"/>
        <v>0.367192066876738</v>
      </c>
      <c r="I1785" s="719">
        <f t="shared" si="249"/>
        <v>0</v>
      </c>
      <c r="J1785" s="1386">
        <f t="shared" si="250"/>
        <v>0</v>
      </c>
      <c r="L1785" s="1460">
        <v>50</v>
      </c>
      <c r="M1785" s="1236"/>
      <c r="N1785" s="1240" t="s">
        <v>3927</v>
      </c>
      <c r="O1785" s="1241" t="s">
        <v>4841</v>
      </c>
      <c r="P1785" s="910">
        <f t="shared" si="251"/>
        <v>0</v>
      </c>
      <c r="Q1785" s="910">
        <f t="shared" si="252"/>
        <v>50</v>
      </c>
      <c r="R1785" s="1344">
        <f t="shared" si="253"/>
        <v>4.05</v>
      </c>
      <c r="S1785" s="1344">
        <f>(1/9)*cnst_fish!$C$7*(1/cnst_fish!$C$8)^(R1785-1)</f>
        <v>158.23337176053329</v>
      </c>
      <c r="T1785" s="1362">
        <f t="shared" si="254"/>
        <v>683.55339794853512</v>
      </c>
      <c r="W1785" s="1612"/>
      <c r="X1785" s="1612"/>
      <c r="Y1785" s="1613"/>
      <c r="Z1785" s="1614"/>
      <c r="AA1785" s="1614"/>
      <c r="AB1785" s="1615"/>
      <c r="AC1785" s="1615"/>
      <c r="AD1785" s="583"/>
      <c r="AE1785" s="583"/>
    </row>
    <row r="1786" spans="1:31" ht="12.75" customHeight="1">
      <c r="A1786" s="1384" t="s">
        <v>959</v>
      </c>
      <c r="B1786" s="19" t="s">
        <v>5458</v>
      </c>
      <c r="C1786" s="1383">
        <v>2842</v>
      </c>
      <c r="D1786" s="1236"/>
      <c r="E1786" s="1236"/>
      <c r="F1786" s="1344">
        <f>(1/S1786)*cnst_fish!$C$6</f>
        <v>2.6859062362848789E-2</v>
      </c>
      <c r="G1786" s="719">
        <f t="shared" si="256"/>
        <v>1</v>
      </c>
      <c r="H1786" s="719">
        <f t="shared" si="256"/>
        <v>0.367192066876738</v>
      </c>
      <c r="I1786" s="719">
        <f t="shared" si="249"/>
        <v>0</v>
      </c>
      <c r="J1786" s="1386">
        <f t="shared" si="250"/>
        <v>0</v>
      </c>
      <c r="L1786" s="1460">
        <v>262</v>
      </c>
      <c r="M1786" s="1236"/>
      <c r="N1786" s="1240" t="s">
        <v>3927</v>
      </c>
      <c r="O1786" s="1241" t="s">
        <v>4841</v>
      </c>
      <c r="P1786" s="910">
        <f t="shared" si="251"/>
        <v>0</v>
      </c>
      <c r="Q1786" s="910">
        <f t="shared" si="252"/>
        <v>262</v>
      </c>
      <c r="R1786" s="1344">
        <f t="shared" si="253"/>
        <v>4.05</v>
      </c>
      <c r="S1786" s="1344">
        <f>(1/9)*cnst_fish!$C$7*(1/cnst_fish!$C$8)^(R1786-1)</f>
        <v>158.23337176053329</v>
      </c>
      <c r="T1786" s="1362">
        <f t="shared" si="254"/>
        <v>3581.819805250324</v>
      </c>
      <c r="W1786" s="1612"/>
      <c r="X1786" s="1612"/>
      <c r="Y1786" s="1613"/>
      <c r="Z1786" s="1614"/>
      <c r="AA1786" s="1614"/>
      <c r="AB1786" s="1615"/>
      <c r="AC1786" s="1615"/>
      <c r="AD1786" s="583"/>
      <c r="AE1786" s="583"/>
    </row>
    <row r="1787" spans="1:31" ht="12.75" customHeight="1">
      <c r="A1787" s="1384" t="s">
        <v>1145</v>
      </c>
      <c r="B1787" s="19" t="s">
        <v>564</v>
      </c>
      <c r="C1787" s="1383">
        <v>3392</v>
      </c>
      <c r="D1787" s="1236"/>
      <c r="E1787" s="1236"/>
      <c r="F1787" s="1344">
        <f>(1/S1787)*cnst_fish!$C$6</f>
        <v>0.75699122913220485</v>
      </c>
      <c r="G1787" s="719">
        <f t="shared" si="256"/>
        <v>1</v>
      </c>
      <c r="H1787" s="719">
        <f t="shared" si="256"/>
        <v>0.367192066876738</v>
      </c>
      <c r="I1787" s="719">
        <f t="shared" si="249"/>
        <v>0</v>
      </c>
      <c r="J1787" s="1386">
        <f t="shared" si="250"/>
        <v>0</v>
      </c>
      <c r="L1787" s="1460">
        <v>5810</v>
      </c>
      <c r="M1787" s="1236"/>
      <c r="N1787" s="1240" t="s">
        <v>2441</v>
      </c>
      <c r="O1787" s="1241" t="s">
        <v>4840</v>
      </c>
      <c r="P1787" s="910">
        <f t="shared" si="251"/>
        <v>0</v>
      </c>
      <c r="Q1787" s="910">
        <f t="shared" si="252"/>
        <v>5810</v>
      </c>
      <c r="R1787" s="1344">
        <f t="shared" si="253"/>
        <v>2.6</v>
      </c>
      <c r="S1787" s="1344">
        <f>(1/9)*cnst_fish!$C$7*(1/cnst_fish!$C$8)^(R1787-1)</f>
        <v>5.6143318924211183</v>
      </c>
      <c r="T1787" s="1362">
        <f t="shared" si="254"/>
        <v>2818.2438929966283</v>
      </c>
      <c r="W1787" s="1612"/>
      <c r="X1787" s="1612"/>
      <c r="Y1787" s="1613"/>
      <c r="Z1787" s="1614"/>
      <c r="AA1787" s="1614"/>
      <c r="AB1787" s="1615"/>
      <c r="AC1787" s="1615"/>
      <c r="AD1787" s="583"/>
      <c r="AE1787" s="583"/>
    </row>
    <row r="1788" spans="1:31" ht="12.75" customHeight="1">
      <c r="A1788" s="1384" t="s">
        <v>5580</v>
      </c>
      <c r="B1788" s="19" t="s">
        <v>565</v>
      </c>
      <c r="C1788" s="1383">
        <v>3391</v>
      </c>
      <c r="D1788" s="1236"/>
      <c r="E1788" s="1236"/>
      <c r="F1788" s="1344">
        <f>(1/S1788)*cnst_fish!$C$6</f>
        <v>1.5103960722494616</v>
      </c>
      <c r="G1788" s="719">
        <f t="shared" ref="G1788:H1807" si="257">G$7</f>
        <v>1</v>
      </c>
      <c r="H1788" s="719">
        <f t="shared" si="257"/>
        <v>0.367192066876738</v>
      </c>
      <c r="I1788" s="719">
        <f t="shared" si="249"/>
        <v>0</v>
      </c>
      <c r="J1788" s="1386">
        <f t="shared" si="250"/>
        <v>0</v>
      </c>
      <c r="L1788" s="1460">
        <v>295711</v>
      </c>
      <c r="M1788" s="1236"/>
      <c r="N1788" s="1240" t="s">
        <v>2441</v>
      </c>
      <c r="O1788" s="1241" t="s">
        <v>4840</v>
      </c>
      <c r="P1788" s="910">
        <f t="shared" si="251"/>
        <v>0</v>
      </c>
      <c r="Q1788" s="910">
        <f t="shared" si="252"/>
        <v>295711</v>
      </c>
      <c r="R1788" s="1344">
        <f t="shared" si="253"/>
        <v>2.2999999999999998</v>
      </c>
      <c r="S1788" s="1344">
        <f>(1/9)*cnst_fish!$C$7*(1/cnst_fish!$C$8)^(R1788-1)</f>
        <v>2.8138314698279068</v>
      </c>
      <c r="T1788" s="1362">
        <f t="shared" si="254"/>
        <v>71890.238119113172</v>
      </c>
      <c r="W1788" s="1612"/>
      <c r="X1788" s="1612"/>
      <c r="Y1788" s="1613"/>
      <c r="Z1788" s="1614"/>
      <c r="AA1788" s="1614"/>
      <c r="AB1788" s="1615"/>
      <c r="AC1788" s="1615"/>
      <c r="AD1788" s="583"/>
      <c r="AE1788" s="583"/>
    </row>
    <row r="1789" spans="1:31" ht="12.75" customHeight="1">
      <c r="A1789" s="1384" t="s">
        <v>1112</v>
      </c>
      <c r="B1789" s="19" t="s">
        <v>1991</v>
      </c>
      <c r="C1789" s="1383">
        <v>2399</v>
      </c>
      <c r="D1789" s="1236">
        <v>8091</v>
      </c>
      <c r="E1789" s="1236"/>
      <c r="F1789" s="1344">
        <f>(1/S1789)*cnst_fish!$C$6</f>
        <v>3.7939434000887833E-2</v>
      </c>
      <c r="G1789" s="719">
        <f t="shared" si="257"/>
        <v>1</v>
      </c>
      <c r="H1789" s="719">
        <f t="shared" si="257"/>
        <v>0.367192066876738</v>
      </c>
      <c r="I1789" s="719">
        <f t="shared" si="249"/>
        <v>78307.731555250997</v>
      </c>
      <c r="J1789" s="1386">
        <f t="shared" si="250"/>
        <v>0</v>
      </c>
      <c r="L1789" s="1460">
        <v>8091</v>
      </c>
      <c r="M1789" s="1236"/>
      <c r="N1789" s="1240" t="s">
        <v>1806</v>
      </c>
      <c r="O1789" s="1241" t="s">
        <v>4841</v>
      </c>
      <c r="P1789" s="910">
        <f t="shared" si="251"/>
        <v>8091</v>
      </c>
      <c r="Q1789" s="910">
        <f t="shared" si="252"/>
        <v>8091</v>
      </c>
      <c r="R1789" s="1344">
        <f t="shared" si="253"/>
        <v>3.9</v>
      </c>
      <c r="S1789" s="1344">
        <f>(1/9)*cnst_fish!$C$7*(1/cnst_fish!$C$8)^(R1789-1)</f>
        <v>112.02064848675771</v>
      </c>
      <c r="T1789" s="1362">
        <f t="shared" si="254"/>
        <v>78307.731555250997</v>
      </c>
      <c r="W1789" s="1612"/>
      <c r="X1789" s="1612"/>
      <c r="Y1789" s="1613"/>
      <c r="Z1789" s="1614"/>
      <c r="AA1789" s="1614"/>
      <c r="AB1789" s="1615"/>
      <c r="AC1789" s="1615"/>
      <c r="AD1789" s="583"/>
      <c r="AE1789" s="583"/>
    </row>
    <row r="1790" spans="1:31" ht="12.75" customHeight="1">
      <c r="A1790" s="1384" t="s">
        <v>3049</v>
      </c>
      <c r="B1790" s="19" t="s">
        <v>2740</v>
      </c>
      <c r="C1790" s="1383">
        <v>2567</v>
      </c>
      <c r="D1790" s="1236"/>
      <c r="E1790" s="1236"/>
      <c r="F1790" s="1344">
        <f>(1/S1790)*cnst_fish!$C$6</f>
        <v>0.43560298545661363</v>
      </c>
      <c r="G1790" s="719">
        <f t="shared" si="257"/>
        <v>1</v>
      </c>
      <c r="H1790" s="719">
        <f t="shared" si="257"/>
        <v>0.367192066876738</v>
      </c>
      <c r="I1790" s="719">
        <f t="shared" si="249"/>
        <v>0</v>
      </c>
      <c r="J1790" s="1386">
        <f t="shared" si="250"/>
        <v>0</v>
      </c>
      <c r="L1790" s="1460">
        <v>1295</v>
      </c>
      <c r="M1790" s="1236"/>
      <c r="N1790" s="1240" t="s">
        <v>1806</v>
      </c>
      <c r="O1790" s="1241" t="s">
        <v>4841</v>
      </c>
      <c r="P1790" s="910">
        <f t="shared" si="251"/>
        <v>0</v>
      </c>
      <c r="Q1790" s="910">
        <f t="shared" si="252"/>
        <v>1295</v>
      </c>
      <c r="R1790" s="1344">
        <f t="shared" si="253"/>
        <v>2.84</v>
      </c>
      <c r="S1790" s="1344">
        <f>(1/9)*cnst_fish!$C$7*(1/cnst_fish!$C$8)^(R1790-1)</f>
        <v>9.7565906155234625</v>
      </c>
      <c r="T1790" s="1362">
        <f t="shared" si="254"/>
        <v>1091.6218264824938</v>
      </c>
      <c r="W1790" s="1612"/>
      <c r="X1790" s="1612"/>
      <c r="Y1790" s="1613"/>
      <c r="Z1790" s="1614"/>
      <c r="AA1790" s="1614"/>
      <c r="AB1790" s="1615"/>
      <c r="AC1790" s="1615"/>
      <c r="AD1790" s="583"/>
      <c r="AE1790" s="583"/>
    </row>
    <row r="1791" spans="1:31" ht="12.75" customHeight="1">
      <c r="A1791" s="1384" t="s">
        <v>1414</v>
      </c>
      <c r="B1791" s="19" t="s">
        <v>2741</v>
      </c>
      <c r="C1791" s="1383">
        <v>3088</v>
      </c>
      <c r="D1791" s="1236">
        <v>1</v>
      </c>
      <c r="E1791" s="1236"/>
      <c r="F1791" s="1344">
        <f>(1/S1791)*cnst_fish!$C$6</f>
        <v>9.5299549485983424E-3</v>
      </c>
      <c r="G1791" s="719">
        <f t="shared" si="257"/>
        <v>1</v>
      </c>
      <c r="H1791" s="719">
        <f t="shared" si="257"/>
        <v>0.367192066876738</v>
      </c>
      <c r="I1791" s="719">
        <f t="shared" si="249"/>
        <v>38.530304587719407</v>
      </c>
      <c r="J1791" s="1386">
        <f t="shared" si="250"/>
        <v>0</v>
      </c>
      <c r="L1791" s="1460">
        <v>1</v>
      </c>
      <c r="M1791" s="1236"/>
      <c r="N1791" s="1240" t="s">
        <v>2438</v>
      </c>
      <c r="O1791" s="1241" t="s">
        <v>4841</v>
      </c>
      <c r="P1791" s="910">
        <f t="shared" si="251"/>
        <v>1</v>
      </c>
      <c r="Q1791" s="910">
        <f t="shared" si="252"/>
        <v>1</v>
      </c>
      <c r="R1791" s="1344">
        <f t="shared" si="253"/>
        <v>4.5</v>
      </c>
      <c r="S1791" s="1344">
        <f>(1/9)*cnst_fish!$C$7*(1/cnst_fish!$C$8)^(R1791-1)</f>
        <v>445.96223412630997</v>
      </c>
      <c r="T1791" s="1362">
        <f t="shared" si="254"/>
        <v>38.530304587719407</v>
      </c>
      <c r="W1791" s="1612"/>
      <c r="X1791" s="1612"/>
      <c r="Y1791" s="1613"/>
      <c r="Z1791" s="1614"/>
      <c r="AA1791" s="1614"/>
      <c r="AB1791" s="1615"/>
      <c r="AC1791" s="1615"/>
      <c r="AD1791" s="583"/>
      <c r="AE1791" s="583"/>
    </row>
    <row r="1792" spans="1:31" ht="12.75" customHeight="1">
      <c r="A1792" s="1384" t="s">
        <v>5326</v>
      </c>
      <c r="B1792" s="19" t="s">
        <v>848</v>
      </c>
      <c r="C1792" s="1383">
        <v>3622</v>
      </c>
      <c r="D1792" s="1236"/>
      <c r="E1792" s="1236"/>
      <c r="F1792" s="1344">
        <f>(1/S1792)*cnst_fish!$C$6</f>
        <v>1.5103960722494616</v>
      </c>
      <c r="G1792" s="719">
        <f t="shared" si="257"/>
        <v>1</v>
      </c>
      <c r="H1792" s="719">
        <f t="shared" si="257"/>
        <v>0.367192066876738</v>
      </c>
      <c r="I1792" s="719">
        <f t="shared" si="249"/>
        <v>0</v>
      </c>
      <c r="J1792" s="1386">
        <f t="shared" si="250"/>
        <v>0</v>
      </c>
      <c r="L1792" s="1460">
        <v>12725</v>
      </c>
      <c r="M1792" s="1236"/>
      <c r="N1792" s="1240" t="s">
        <v>1806</v>
      </c>
      <c r="O1792" s="1241"/>
      <c r="P1792" s="910">
        <f t="shared" si="251"/>
        <v>0</v>
      </c>
      <c r="Q1792" s="910">
        <f t="shared" si="252"/>
        <v>12725</v>
      </c>
      <c r="R1792" s="1344">
        <f t="shared" si="253"/>
        <v>2.2999999999999998</v>
      </c>
      <c r="S1792" s="1344">
        <f>(1/9)*cnst_fish!$C$7*(1/cnst_fish!$C$8)^(R1792-1)</f>
        <v>2.8138314698279068</v>
      </c>
      <c r="T1792" s="1362">
        <f t="shared" si="254"/>
        <v>3093.5720350805864</v>
      </c>
      <c r="W1792" s="1612"/>
      <c r="X1792" s="1612"/>
      <c r="Y1792" s="1613"/>
      <c r="Z1792" s="1614"/>
      <c r="AA1792" s="1614"/>
      <c r="AB1792" s="1615"/>
      <c r="AC1792" s="1615"/>
      <c r="AD1792" s="583"/>
      <c r="AE1792" s="583"/>
    </row>
    <row r="1793" spans="1:31" ht="12.75" customHeight="1">
      <c r="A1793" s="1384" t="s">
        <v>6900</v>
      </c>
      <c r="B1793" s="19" t="s">
        <v>4256</v>
      </c>
      <c r="C1793" s="1383">
        <v>2110</v>
      </c>
      <c r="D1793" s="1236"/>
      <c r="E1793" s="1236"/>
      <c r="F1793" s="1344">
        <f>(1/S1793)*cnst_fish!$C$6</f>
        <v>0.17745606522761614</v>
      </c>
      <c r="G1793" s="719">
        <f t="shared" si="257"/>
        <v>1</v>
      </c>
      <c r="H1793" s="719">
        <f t="shared" si="257"/>
        <v>0.367192066876738</v>
      </c>
      <c r="I1793" s="719">
        <f t="shared" si="249"/>
        <v>0</v>
      </c>
      <c r="J1793" s="1386">
        <f t="shared" si="250"/>
        <v>0</v>
      </c>
      <c r="L1793" s="1460">
        <v>280178</v>
      </c>
      <c r="M1793" s="1236"/>
      <c r="N1793" s="1240" t="s">
        <v>104</v>
      </c>
      <c r="O1793" s="1241" t="s">
        <v>4859</v>
      </c>
      <c r="P1793" s="910">
        <f t="shared" si="251"/>
        <v>0</v>
      </c>
      <c r="Q1793" s="910">
        <f t="shared" si="252"/>
        <v>280178</v>
      </c>
      <c r="R1793" s="1344">
        <f t="shared" si="253"/>
        <v>3.23</v>
      </c>
      <c r="S1793" s="1344">
        <f>(1/9)*cnst_fish!$C$7*(1/cnst_fish!$C$8)^(R1793-1)</f>
        <v>23.94958997061434</v>
      </c>
      <c r="T1793" s="1362">
        <f t="shared" si="254"/>
        <v>579744.28082484275</v>
      </c>
      <c r="W1793" s="1612"/>
      <c r="X1793" s="1612"/>
      <c r="Y1793" s="1613"/>
      <c r="Z1793" s="1614"/>
      <c r="AA1793" s="1614"/>
      <c r="AB1793" s="1615"/>
      <c r="AC1793" s="1615"/>
      <c r="AD1793" s="583"/>
      <c r="AE1793" s="583"/>
    </row>
    <row r="1794" spans="1:31" ht="12.75" customHeight="1">
      <c r="A1794" s="1384" t="s">
        <v>6663</v>
      </c>
      <c r="B1794" s="19" t="s">
        <v>6662</v>
      </c>
      <c r="C1794" s="1383">
        <v>15484</v>
      </c>
      <c r="D1794" s="1236"/>
      <c r="E1794" s="1236"/>
      <c r="F1794" s="1344">
        <f>(1/S1794)*cnst_fish!$C$6</f>
        <v>0.60129950673834842</v>
      </c>
      <c r="G1794" s="719">
        <f t="shared" si="257"/>
        <v>1</v>
      </c>
      <c r="H1794" s="719">
        <f t="shared" si="257"/>
        <v>0.367192066876738</v>
      </c>
      <c r="I1794" s="719">
        <f t="shared" si="249"/>
        <v>0</v>
      </c>
      <c r="J1794" s="1386">
        <f t="shared" si="250"/>
        <v>0</v>
      </c>
      <c r="L1794" s="1460"/>
      <c r="M1794" s="1236">
        <v>7410</v>
      </c>
      <c r="N1794" s="1240" t="s">
        <v>1806</v>
      </c>
      <c r="O1794" s="1241" t="s">
        <v>4845</v>
      </c>
      <c r="P1794" s="910">
        <f t="shared" si="251"/>
        <v>0</v>
      </c>
      <c r="Q1794" s="910">
        <f t="shared" si="252"/>
        <v>7410</v>
      </c>
      <c r="R1794" s="1344">
        <f t="shared" si="253"/>
        <v>2.7</v>
      </c>
      <c r="S1794" s="1344">
        <f>(1/9)*cnst_fish!$C$7*(1/cnst_fish!$C$8)^(R1794-1)</f>
        <v>7.0680250896153813</v>
      </c>
      <c r="T1794" s="1362">
        <f t="shared" si="254"/>
        <v>4525.0215326396528</v>
      </c>
      <c r="W1794" s="1612"/>
      <c r="X1794" s="1612"/>
      <c r="Y1794" s="1613"/>
      <c r="Z1794" s="1614"/>
      <c r="AA1794" s="1614"/>
      <c r="AB1794" s="1615"/>
      <c r="AC1794" s="1615"/>
      <c r="AD1794" s="583"/>
      <c r="AE1794" s="583"/>
    </row>
    <row r="1795" spans="1:31" ht="12.75" customHeight="1">
      <c r="A1795" s="1384" t="s">
        <v>3460</v>
      </c>
      <c r="B1795" s="19" t="s">
        <v>4547</v>
      </c>
      <c r="C1795" s="1383">
        <v>2077</v>
      </c>
      <c r="D1795" s="1236"/>
      <c r="E1795" s="1236"/>
      <c r="F1795" s="1344">
        <f>(1/S1795)*cnst_fish!$C$6</f>
        <v>0.23393265378401026</v>
      </c>
      <c r="G1795" s="719">
        <f t="shared" si="257"/>
        <v>1</v>
      </c>
      <c r="H1795" s="719">
        <f t="shared" si="257"/>
        <v>0.367192066876738</v>
      </c>
      <c r="I1795" s="719">
        <f t="shared" si="249"/>
        <v>0</v>
      </c>
      <c r="J1795" s="1386">
        <f t="shared" si="250"/>
        <v>0</v>
      </c>
      <c r="L1795" s="1460"/>
      <c r="M1795" s="1236">
        <v>64304</v>
      </c>
      <c r="N1795" s="1240" t="s">
        <v>1806</v>
      </c>
      <c r="O1795" s="1241" t="s">
        <v>4845</v>
      </c>
      <c r="P1795" s="910">
        <f t="shared" si="251"/>
        <v>0</v>
      </c>
      <c r="Q1795" s="910">
        <f t="shared" si="252"/>
        <v>64304</v>
      </c>
      <c r="R1795" s="1344">
        <f t="shared" si="253"/>
        <v>3.11</v>
      </c>
      <c r="S1795" s="1344">
        <f>(1/9)*cnst_fish!$C$7*(1/cnst_fish!$C$8)^(R1795-1)</f>
        <v>18.16762188285189</v>
      </c>
      <c r="T1795" s="1362">
        <f t="shared" si="254"/>
        <v>100934.68477574155</v>
      </c>
      <c r="W1795" s="1612"/>
      <c r="X1795" s="1612"/>
      <c r="Y1795" s="1613"/>
      <c r="Z1795" s="1614"/>
      <c r="AA1795" s="1614"/>
      <c r="AB1795" s="1615"/>
      <c r="AC1795" s="1615"/>
      <c r="AD1795" s="583"/>
      <c r="AE1795" s="583"/>
    </row>
    <row r="1796" spans="1:31" ht="12.75" customHeight="1">
      <c r="A1796" s="1384" t="s">
        <v>2971</v>
      </c>
      <c r="B1796" s="19" t="s">
        <v>566</v>
      </c>
      <c r="C1796" s="1383">
        <v>18708</v>
      </c>
      <c r="D1796" s="1236">
        <v>4</v>
      </c>
      <c r="E1796" s="1236"/>
      <c r="F1796" s="1344">
        <f>(1/S1796)*cnst_fish!$C$6</f>
        <v>1.6489759707671106</v>
      </c>
      <c r="G1796" s="719">
        <f t="shared" si="257"/>
        <v>1</v>
      </c>
      <c r="H1796" s="719">
        <f t="shared" si="257"/>
        <v>0.367192066876738</v>
      </c>
      <c r="I1796" s="719">
        <f t="shared" si="249"/>
        <v>0.89071538551509322</v>
      </c>
      <c r="J1796" s="1386">
        <f t="shared" si="250"/>
        <v>0</v>
      </c>
      <c r="L1796" s="1460">
        <v>952</v>
      </c>
      <c r="M1796" s="1236"/>
      <c r="N1796" s="1240" t="s">
        <v>2441</v>
      </c>
      <c r="O1796" s="1241" t="s">
        <v>4840</v>
      </c>
      <c r="P1796" s="910">
        <f t="shared" si="251"/>
        <v>4</v>
      </c>
      <c r="Q1796" s="910">
        <f t="shared" si="252"/>
        <v>952</v>
      </c>
      <c r="R1796" s="1344">
        <f t="shared" si="253"/>
        <v>2.2618765205246363</v>
      </c>
      <c r="S1796" s="1344">
        <f>(1/9)*cnst_fish!$C$7*(1/cnst_fish!$C$8)^(R1796-1)</f>
        <v>2.5773571448848234</v>
      </c>
      <c r="T1796" s="1362">
        <f t="shared" si="254"/>
        <v>211.99026175259218</v>
      </c>
      <c r="W1796" s="1612"/>
      <c r="X1796" s="1612"/>
      <c r="Y1796" s="1613"/>
      <c r="Z1796" s="1614"/>
      <c r="AA1796" s="1614"/>
      <c r="AB1796" s="1615"/>
      <c r="AC1796" s="1615"/>
      <c r="AD1796" s="583"/>
      <c r="AE1796" s="583"/>
    </row>
    <row r="1797" spans="1:31" ht="12.75" customHeight="1">
      <c r="A1797" s="1384" t="s">
        <v>6515</v>
      </c>
      <c r="B1797" s="19" t="s">
        <v>6514</v>
      </c>
      <c r="C1797" s="1383">
        <v>18293</v>
      </c>
      <c r="D1797" s="1236"/>
      <c r="E1797" s="1236"/>
      <c r="F1797" s="1344">
        <f>(1/S1797)*cnst_fish!$C$6</f>
        <v>3.0136363636363641</v>
      </c>
      <c r="G1797" s="719">
        <f t="shared" si="257"/>
        <v>1</v>
      </c>
      <c r="H1797" s="719">
        <f t="shared" si="257"/>
        <v>0.367192066876738</v>
      </c>
      <c r="I1797" s="719">
        <f t="shared" si="249"/>
        <v>0</v>
      </c>
      <c r="J1797" s="1386">
        <f t="shared" si="250"/>
        <v>0</v>
      </c>
      <c r="L1797" s="1460">
        <v>21253</v>
      </c>
      <c r="M1797" s="1236"/>
      <c r="N1797" s="1240" t="s">
        <v>1806</v>
      </c>
      <c r="O1797" s="1241"/>
      <c r="P1797" s="910">
        <f t="shared" si="251"/>
        <v>0</v>
      </c>
      <c r="Q1797" s="910">
        <f t="shared" si="252"/>
        <v>21253</v>
      </c>
      <c r="R1797" s="1344">
        <f t="shared" si="253"/>
        <v>2</v>
      </c>
      <c r="S1797" s="1344">
        <f>(1/9)*cnst_fish!$C$7*(1/cnst_fish!$C$8)^(R1797-1)</f>
        <v>1.4102564102564099</v>
      </c>
      <c r="T1797" s="1362">
        <f t="shared" si="254"/>
        <v>2589.5403611054126</v>
      </c>
      <c r="W1797" s="1612"/>
      <c r="X1797" s="1612"/>
      <c r="Y1797" s="1613"/>
      <c r="Z1797" s="1614"/>
      <c r="AA1797" s="1614"/>
      <c r="AB1797" s="1615"/>
      <c r="AC1797" s="1615"/>
      <c r="AD1797" s="583"/>
      <c r="AE1797" s="583"/>
    </row>
    <row r="1798" spans="1:31" ht="12.75" customHeight="1">
      <c r="A1798" s="1384" t="s">
        <v>4473</v>
      </c>
      <c r="B1798" s="19" t="s">
        <v>4257</v>
      </c>
      <c r="C1798" s="1383">
        <v>2913</v>
      </c>
      <c r="D1798" s="1236"/>
      <c r="E1798" s="1236"/>
      <c r="F1798" s="1344">
        <f>(1/S1798)*cnst_fish!$C$6</f>
        <v>0.61530557150722631</v>
      </c>
      <c r="G1798" s="719">
        <f t="shared" si="257"/>
        <v>1</v>
      </c>
      <c r="H1798" s="719">
        <f t="shared" si="257"/>
        <v>0.367192066876738</v>
      </c>
      <c r="I1798" s="719">
        <f t="shared" si="249"/>
        <v>0</v>
      </c>
      <c r="J1798" s="1386">
        <f t="shared" si="250"/>
        <v>0</v>
      </c>
      <c r="L1798" s="1460">
        <v>236968</v>
      </c>
      <c r="M1798" s="1236"/>
      <c r="N1798" s="1240" t="s">
        <v>1806</v>
      </c>
      <c r="O1798" s="1241" t="s">
        <v>4859</v>
      </c>
      <c r="P1798" s="910">
        <f t="shared" si="251"/>
        <v>0</v>
      </c>
      <c r="Q1798" s="910">
        <f t="shared" si="252"/>
        <v>236968</v>
      </c>
      <c r="R1798" s="1344">
        <f t="shared" si="253"/>
        <v>2.69</v>
      </c>
      <c r="S1798" s="1344">
        <f>(1/9)*cnst_fish!$C$7*(1/cnst_fish!$C$8)^(R1798-1)</f>
        <v>6.9071371962216777</v>
      </c>
      <c r="T1798" s="1362">
        <f t="shared" si="254"/>
        <v>141413.91486266584</v>
      </c>
      <c r="W1798" s="1612"/>
      <c r="X1798" s="1612"/>
      <c r="Y1798" s="1613"/>
      <c r="Z1798" s="1614"/>
      <c r="AA1798" s="1614"/>
      <c r="AB1798" s="1615"/>
      <c r="AC1798" s="1615"/>
      <c r="AD1798" s="583"/>
      <c r="AE1798" s="583"/>
    </row>
    <row r="1799" spans="1:31" ht="12.75" customHeight="1">
      <c r="A1799" s="1384" t="s">
        <v>3452</v>
      </c>
      <c r="B1799" s="19" t="s">
        <v>581</v>
      </c>
      <c r="C1799" s="1383">
        <v>3309</v>
      </c>
      <c r="D1799" s="1236">
        <v>1365</v>
      </c>
      <c r="E1799" s="1236"/>
      <c r="F1799" s="1344">
        <f>(1/S1799)*cnst_fish!$C$6</f>
        <v>5.6116535073067304E-2</v>
      </c>
      <c r="G1799" s="719">
        <f t="shared" si="257"/>
        <v>1</v>
      </c>
      <c r="H1799" s="719">
        <f t="shared" si="257"/>
        <v>0.367192066876738</v>
      </c>
      <c r="I1799" s="719">
        <f t="shared" ref="I1799:I1862" si="258">IF($F1799=0,0,D1799/$F1799*$H1799*$G1799)</f>
        <v>8931.7198689144061</v>
      </c>
      <c r="J1799" s="1386">
        <f t="shared" ref="J1799:J1862" si="259">IF($F1799=0,0,E1799/$F1799*$H1799*$G1799)</f>
        <v>0</v>
      </c>
      <c r="L1799" s="1460">
        <v>68612</v>
      </c>
      <c r="M1799" s="1236"/>
      <c r="N1799" s="1240" t="s">
        <v>1806</v>
      </c>
      <c r="O1799" s="1241" t="s">
        <v>4859</v>
      </c>
      <c r="P1799" s="910">
        <f t="shared" ref="P1799:P1862" si="260">D1799+E1799</f>
        <v>1365</v>
      </c>
      <c r="Q1799" s="910">
        <f t="shared" ref="Q1799:Q1862" si="261">L1799+M1799</f>
        <v>68612</v>
      </c>
      <c r="R1799" s="1344">
        <f t="shared" ref="R1799:R1862" si="262">VLOOKUP(B1799,constant_fish_trophic,3,FALSE)</f>
        <v>3.73</v>
      </c>
      <c r="S1799" s="1344">
        <f>(1/9)*cnst_fish!$C$7*(1/cnst_fish!$C$8)^(R1799-1)</f>
        <v>75.735253334266432</v>
      </c>
      <c r="T1799" s="1362">
        <f t="shared" ref="T1799:T1862" si="263">IF(F1799=0,0,Q1799/F1799*H1799*G1799)</f>
        <v>448954.69864172547</v>
      </c>
      <c r="W1799" s="1612"/>
      <c r="X1799" s="1612"/>
      <c r="Y1799" s="1613"/>
      <c r="Z1799" s="1614"/>
      <c r="AA1799" s="1614"/>
      <c r="AB1799" s="1615"/>
      <c r="AC1799" s="1615"/>
      <c r="AD1799" s="583"/>
      <c r="AE1799" s="583"/>
    </row>
    <row r="1800" spans="1:31" ht="12.75" customHeight="1">
      <c r="A1800" s="1384" t="s">
        <v>1726</v>
      </c>
      <c r="B1800" s="19" t="s">
        <v>1727</v>
      </c>
      <c r="C1800" s="1383">
        <v>15490</v>
      </c>
      <c r="D1800" s="1236"/>
      <c r="E1800" s="1236"/>
      <c r="F1800" s="1344">
        <f>(1/S1800)*cnst_fish!$C$6</f>
        <v>0.11997502458044032</v>
      </c>
      <c r="G1800" s="719">
        <f t="shared" si="257"/>
        <v>1</v>
      </c>
      <c r="H1800" s="719">
        <f t="shared" si="257"/>
        <v>0.367192066876738</v>
      </c>
      <c r="I1800" s="719">
        <f t="shared" si="258"/>
        <v>0</v>
      </c>
      <c r="J1800" s="1386">
        <f t="shared" si="259"/>
        <v>0</v>
      </c>
      <c r="L1800" s="1460">
        <v>2178</v>
      </c>
      <c r="M1800" s="1236"/>
      <c r="N1800" s="1240" t="s">
        <v>1806</v>
      </c>
      <c r="O1800" s="1241" t="s">
        <v>4859</v>
      </c>
      <c r="P1800" s="910">
        <f t="shared" si="260"/>
        <v>0</v>
      </c>
      <c r="Q1800" s="910">
        <f t="shared" si="261"/>
        <v>2178</v>
      </c>
      <c r="R1800" s="1344">
        <f t="shared" si="262"/>
        <v>3.4</v>
      </c>
      <c r="S1800" s="1344">
        <f>(1/9)*cnst_fish!$C$7*(1/cnst_fish!$C$8)^(R1800-1)</f>
        <v>35.424039418724846</v>
      </c>
      <c r="T1800" s="1362">
        <f t="shared" si="263"/>
        <v>6665.9233824230332</v>
      </c>
      <c r="W1800" s="1612"/>
      <c r="X1800" s="1612"/>
      <c r="Y1800" s="1613"/>
      <c r="Z1800" s="1614"/>
      <c r="AA1800" s="1614"/>
      <c r="AB1800" s="1615"/>
      <c r="AC1800" s="1615"/>
      <c r="AD1800" s="583"/>
      <c r="AE1800" s="583"/>
    </row>
    <row r="1801" spans="1:31" ht="12.75" customHeight="1">
      <c r="A1801" s="1384" t="s">
        <v>1063</v>
      </c>
      <c r="B1801" s="19" t="s">
        <v>582</v>
      </c>
      <c r="C1801" s="1383">
        <v>2504</v>
      </c>
      <c r="D1801" s="1236"/>
      <c r="E1801" s="1236"/>
      <c r="F1801" s="1344">
        <f>(1/S1801)*cnst_fish!$C$6</f>
        <v>2.8124890974018386E-2</v>
      </c>
      <c r="G1801" s="719">
        <f t="shared" si="257"/>
        <v>1</v>
      </c>
      <c r="H1801" s="719">
        <f t="shared" si="257"/>
        <v>0.367192066876738</v>
      </c>
      <c r="I1801" s="719">
        <f t="shared" si="258"/>
        <v>0</v>
      </c>
      <c r="J1801" s="1386">
        <f t="shared" si="259"/>
        <v>0</v>
      </c>
      <c r="L1801" s="1460">
        <v>6689</v>
      </c>
      <c r="M1801" s="1236"/>
      <c r="N1801" s="1240" t="s">
        <v>1806</v>
      </c>
      <c r="O1801" s="1241" t="s">
        <v>4859</v>
      </c>
      <c r="P1801" s="910">
        <f t="shared" si="260"/>
        <v>0</v>
      </c>
      <c r="Q1801" s="910">
        <f t="shared" si="261"/>
        <v>6689</v>
      </c>
      <c r="R1801" s="1344">
        <f t="shared" si="262"/>
        <v>4.03</v>
      </c>
      <c r="S1801" s="1344">
        <f>(1/9)*cnst_fish!$C$7*(1/cnst_fish!$C$8)^(R1801-1)</f>
        <v>151.11169689248311</v>
      </c>
      <c r="T1801" s="1362">
        <f t="shared" si="263"/>
        <v>87330.035789560061</v>
      </c>
      <c r="W1801" s="1612"/>
      <c r="X1801" s="1612"/>
      <c r="Y1801" s="1613"/>
      <c r="Z1801" s="1614"/>
      <c r="AA1801" s="1614"/>
      <c r="AB1801" s="1615"/>
      <c r="AC1801" s="1615"/>
      <c r="AD1801" s="583"/>
      <c r="AE1801" s="583"/>
    </row>
    <row r="1802" spans="1:31" ht="12.75" customHeight="1">
      <c r="A1802" s="1384" t="s">
        <v>5237</v>
      </c>
      <c r="B1802" s="19" t="s">
        <v>380</v>
      </c>
      <c r="C1802" s="1383">
        <v>3500</v>
      </c>
      <c r="D1802" s="1236"/>
      <c r="E1802" s="1236"/>
      <c r="F1802" s="1344">
        <f>(1/S1802)*cnst_fish!$C$6</f>
        <v>3.0136363636363641</v>
      </c>
      <c r="G1802" s="719">
        <f t="shared" si="257"/>
        <v>1</v>
      </c>
      <c r="H1802" s="719">
        <f t="shared" si="257"/>
        <v>0.367192066876738</v>
      </c>
      <c r="I1802" s="719">
        <f t="shared" si="258"/>
        <v>0</v>
      </c>
      <c r="J1802" s="1386">
        <f t="shared" si="259"/>
        <v>0</v>
      </c>
      <c r="L1802" s="1460">
        <v>37831</v>
      </c>
      <c r="M1802" s="1236"/>
      <c r="N1802" s="1240" t="s">
        <v>1804</v>
      </c>
      <c r="O1802" s="1241" t="s">
        <v>4851</v>
      </c>
      <c r="P1802" s="910">
        <f t="shared" si="260"/>
        <v>0</v>
      </c>
      <c r="Q1802" s="910">
        <f t="shared" si="261"/>
        <v>37831</v>
      </c>
      <c r="R1802" s="1344">
        <f t="shared" si="262"/>
        <v>2</v>
      </c>
      <c r="S1802" s="1344">
        <f>(1/9)*cnst_fish!$C$7*(1/cnst_fish!$C$8)^(R1802-1)</f>
        <v>1.4102564102564099</v>
      </c>
      <c r="T1802" s="1362">
        <f t="shared" si="263"/>
        <v>4609.4622594917828</v>
      </c>
      <c r="W1802" s="1612"/>
      <c r="X1802" s="1612"/>
      <c r="Y1802" s="1613"/>
      <c r="Z1802" s="1614"/>
      <c r="AA1802" s="1614"/>
      <c r="AB1802" s="1615"/>
      <c r="AC1802" s="1615"/>
      <c r="AD1802" s="583"/>
      <c r="AE1802" s="583"/>
    </row>
    <row r="1803" spans="1:31" ht="12.75" customHeight="1">
      <c r="A1803" s="1384" t="s">
        <v>4216</v>
      </c>
      <c r="B1803" s="19" t="s">
        <v>849</v>
      </c>
      <c r="C1803" s="1383">
        <v>3619</v>
      </c>
      <c r="D1803" s="1236">
        <v>7224</v>
      </c>
      <c r="E1803" s="1236"/>
      <c r="F1803" s="1344">
        <f>(1/S1803)*cnst_fish!$C$6</f>
        <v>1.5103960722494616</v>
      </c>
      <c r="G1803" s="719">
        <f t="shared" si="257"/>
        <v>1</v>
      </c>
      <c r="H1803" s="719">
        <f t="shared" si="257"/>
        <v>0.367192066876738</v>
      </c>
      <c r="I1803" s="719">
        <f t="shared" si="258"/>
        <v>1756.2250987365151</v>
      </c>
      <c r="J1803" s="1386">
        <f t="shared" si="259"/>
        <v>0</v>
      </c>
      <c r="L1803" s="1460">
        <v>36937</v>
      </c>
      <c r="M1803" s="1236"/>
      <c r="N1803" s="1240" t="s">
        <v>1804</v>
      </c>
      <c r="O1803" s="1241" t="s">
        <v>4851</v>
      </c>
      <c r="P1803" s="910">
        <f t="shared" si="260"/>
        <v>7224</v>
      </c>
      <c r="Q1803" s="910">
        <f t="shared" si="261"/>
        <v>36937</v>
      </c>
      <c r="R1803" s="1344">
        <f t="shared" si="262"/>
        <v>2.2999999999999998</v>
      </c>
      <c r="S1803" s="1344">
        <f>(1/9)*cnst_fish!$C$7*(1/cnst_fish!$C$8)^(R1803-1)</f>
        <v>2.8138314698279068</v>
      </c>
      <c r="T1803" s="1362">
        <f t="shared" si="263"/>
        <v>8979.7461893730142</v>
      </c>
      <c r="W1803" s="1612"/>
      <c r="X1803" s="1612"/>
      <c r="Y1803" s="1613"/>
      <c r="Z1803" s="1614"/>
      <c r="AA1803" s="1614"/>
      <c r="AB1803" s="1615"/>
      <c r="AC1803" s="1615"/>
      <c r="AD1803" s="583"/>
      <c r="AE1803" s="583"/>
    </row>
    <row r="1804" spans="1:31" ht="12.75" customHeight="1">
      <c r="A1804" s="1384" t="s">
        <v>6432</v>
      </c>
      <c r="B1804" s="19" t="s">
        <v>6431</v>
      </c>
      <c r="C1804" s="1383">
        <v>2209</v>
      </c>
      <c r="D1804" s="1236">
        <v>7</v>
      </c>
      <c r="E1804" s="1236"/>
      <c r="F1804" s="1344">
        <f>(1/S1804)*cnst_fish!$C$6</f>
        <v>4.7762917572805388E-2</v>
      </c>
      <c r="G1804" s="719">
        <f t="shared" si="257"/>
        <v>1</v>
      </c>
      <c r="H1804" s="719">
        <f t="shared" si="257"/>
        <v>0.367192066876738</v>
      </c>
      <c r="I1804" s="719">
        <f t="shared" si="258"/>
        <v>53.814645309704332</v>
      </c>
      <c r="J1804" s="1386">
        <f t="shared" si="259"/>
        <v>0</v>
      </c>
      <c r="L1804" s="1460">
        <v>7</v>
      </c>
      <c r="M1804" s="1236"/>
      <c r="N1804" s="1240" t="s">
        <v>1806</v>
      </c>
      <c r="O1804" s="1241" t="s">
        <v>4841</v>
      </c>
      <c r="P1804" s="910">
        <f t="shared" si="260"/>
        <v>7</v>
      </c>
      <c r="Q1804" s="910">
        <f t="shared" si="261"/>
        <v>7</v>
      </c>
      <c r="R1804" s="1344">
        <f t="shared" si="262"/>
        <v>3.8</v>
      </c>
      <c r="S1804" s="1344">
        <f>(1/9)*cnst_fish!$C$7*(1/cnst_fish!$C$8)^(R1804-1)</f>
        <v>88.981163965155432</v>
      </c>
      <c r="T1804" s="1362">
        <f t="shared" si="263"/>
        <v>53.814645309704332</v>
      </c>
      <c r="W1804" s="1612"/>
      <c r="X1804" s="1612"/>
      <c r="Y1804" s="1613"/>
      <c r="Z1804" s="1614"/>
      <c r="AA1804" s="1614"/>
      <c r="AB1804" s="1615"/>
      <c r="AC1804" s="1615"/>
      <c r="AD1804" s="583"/>
      <c r="AE1804" s="583"/>
    </row>
    <row r="1805" spans="1:31" ht="12.75" customHeight="1">
      <c r="A1805" s="1384" t="s">
        <v>6551</v>
      </c>
      <c r="B1805" s="19" t="s">
        <v>6550</v>
      </c>
      <c r="C1805" s="1383">
        <v>15520</v>
      </c>
      <c r="D1805" s="1236"/>
      <c r="E1805" s="1236"/>
      <c r="F1805" s="1344">
        <f>(1/S1805)*cnst_fish!$C$6</f>
        <v>0.19014759972289441</v>
      </c>
      <c r="G1805" s="719">
        <f t="shared" si="257"/>
        <v>1</v>
      </c>
      <c r="H1805" s="719">
        <f t="shared" si="257"/>
        <v>0.367192066876738</v>
      </c>
      <c r="I1805" s="719">
        <f t="shared" si="258"/>
        <v>0</v>
      </c>
      <c r="J1805" s="1386">
        <f t="shared" si="259"/>
        <v>0</v>
      </c>
      <c r="L1805" s="1460">
        <v>236</v>
      </c>
      <c r="M1805" s="1236"/>
      <c r="N1805" s="1240" t="s">
        <v>1806</v>
      </c>
      <c r="O1805" s="1241" t="s">
        <v>4841</v>
      </c>
      <c r="P1805" s="910">
        <f t="shared" si="260"/>
        <v>0</v>
      </c>
      <c r="Q1805" s="910">
        <f t="shared" si="261"/>
        <v>236</v>
      </c>
      <c r="R1805" s="1344">
        <f t="shared" si="262"/>
        <v>3.2</v>
      </c>
      <c r="S1805" s="1344">
        <f>(1/9)*cnst_fish!$C$7*(1/cnst_fish!$C$8)^(R1805-1)</f>
        <v>22.351057842400341</v>
      </c>
      <c r="T1805" s="1362">
        <f t="shared" si="263"/>
        <v>455.73716370439325</v>
      </c>
      <c r="W1805" s="1612"/>
      <c r="X1805" s="1612"/>
      <c r="Y1805" s="1613"/>
      <c r="Z1805" s="1614"/>
      <c r="AA1805" s="1614"/>
      <c r="AB1805" s="1615"/>
      <c r="AC1805" s="1615"/>
      <c r="AD1805" s="583"/>
      <c r="AE1805" s="583"/>
    </row>
    <row r="1806" spans="1:31" ht="12.75" customHeight="1">
      <c r="A1806" s="1384" t="s">
        <v>6461</v>
      </c>
      <c r="B1806" s="19" t="s">
        <v>6460</v>
      </c>
      <c r="C1806" s="1383">
        <v>19258</v>
      </c>
      <c r="D1806" s="1236"/>
      <c r="E1806" s="1236"/>
      <c r="F1806" s="1344">
        <f>(1/S1806)*cnst_fish!$C$6</f>
        <v>6.0129950673834844E-2</v>
      </c>
      <c r="G1806" s="719">
        <f t="shared" si="257"/>
        <v>1</v>
      </c>
      <c r="H1806" s="719">
        <f t="shared" si="257"/>
        <v>0.367192066876738</v>
      </c>
      <c r="I1806" s="719">
        <f t="shared" si="258"/>
        <v>0</v>
      </c>
      <c r="J1806" s="1386">
        <f t="shared" si="259"/>
        <v>0</v>
      </c>
      <c r="L1806" s="1460">
        <v>0</v>
      </c>
      <c r="M1806" s="1236"/>
      <c r="N1806" s="1240" t="s">
        <v>1806</v>
      </c>
      <c r="O1806" s="1241" t="s">
        <v>4841</v>
      </c>
      <c r="P1806" s="910">
        <f t="shared" si="260"/>
        <v>0</v>
      </c>
      <c r="Q1806" s="910">
        <f t="shared" si="261"/>
        <v>0</v>
      </c>
      <c r="R1806" s="1344">
        <f t="shared" si="262"/>
        <v>3.7</v>
      </c>
      <c r="S1806" s="1344">
        <f>(1/9)*cnst_fish!$C$7*(1/cnst_fish!$C$8)^(R1806-1)</f>
        <v>70.680250896153822</v>
      </c>
      <c r="T1806" s="1362">
        <f t="shared" si="263"/>
        <v>0</v>
      </c>
      <c r="W1806" s="1612"/>
      <c r="X1806" s="1612"/>
      <c r="Y1806" s="1613"/>
      <c r="Z1806" s="1614"/>
      <c r="AA1806" s="1614"/>
      <c r="AB1806" s="1615"/>
      <c r="AC1806" s="1615"/>
      <c r="AD1806" s="583"/>
      <c r="AE1806" s="583"/>
    </row>
    <row r="1807" spans="1:31" ht="12.75" customHeight="1">
      <c r="A1807" s="1384" t="s">
        <v>6861</v>
      </c>
      <c r="B1807" s="19" t="s">
        <v>6860</v>
      </c>
      <c r="C1807" s="1383">
        <v>19257</v>
      </c>
      <c r="D1807" s="1236"/>
      <c r="E1807" s="1236"/>
      <c r="F1807" s="1344">
        <f>(1/S1807)*cnst_fish!$C$6</f>
        <v>3.7939434000887833E-2</v>
      </c>
      <c r="G1807" s="719">
        <f t="shared" si="257"/>
        <v>1</v>
      </c>
      <c r="H1807" s="719">
        <f t="shared" si="257"/>
        <v>0.367192066876738</v>
      </c>
      <c r="I1807" s="719">
        <f t="shared" si="258"/>
        <v>0</v>
      </c>
      <c r="J1807" s="1386">
        <f t="shared" si="259"/>
        <v>0</v>
      </c>
      <c r="L1807" s="1460">
        <v>54</v>
      </c>
      <c r="M1807" s="1236"/>
      <c r="N1807" s="1240" t="s">
        <v>1806</v>
      </c>
      <c r="O1807" s="1241" t="s">
        <v>4841</v>
      </c>
      <c r="P1807" s="910">
        <f t="shared" si="260"/>
        <v>0</v>
      </c>
      <c r="Q1807" s="910">
        <f t="shared" si="261"/>
        <v>54</v>
      </c>
      <c r="R1807" s="1344">
        <f t="shared" si="262"/>
        <v>3.9</v>
      </c>
      <c r="S1807" s="1344">
        <f>(1/9)*cnst_fish!$C$7*(1/cnst_fish!$C$8)^(R1807-1)</f>
        <v>112.02064848675771</v>
      </c>
      <c r="T1807" s="1362">
        <f t="shared" si="263"/>
        <v>522.63224619744835</v>
      </c>
      <c r="W1807" s="1612"/>
      <c r="X1807" s="1612"/>
      <c r="Y1807" s="1613"/>
      <c r="Z1807" s="1614"/>
      <c r="AA1807" s="1614"/>
      <c r="AB1807" s="1615"/>
      <c r="AC1807" s="1615"/>
      <c r="AD1807" s="583"/>
      <c r="AE1807" s="583"/>
    </row>
    <row r="1808" spans="1:31" ht="12.75" customHeight="1">
      <c r="A1808" s="1384" t="s">
        <v>4131</v>
      </c>
      <c r="B1808" s="19" t="s">
        <v>4468</v>
      </c>
      <c r="C1808" s="1383">
        <v>3095</v>
      </c>
      <c r="D1808" s="1236"/>
      <c r="E1808" s="1236"/>
      <c r="F1808" s="1344">
        <f>(1/S1808)*cnst_fish!$C$6</f>
        <v>1.6184185499703532E-2</v>
      </c>
      <c r="G1808" s="719">
        <f t="shared" ref="G1808:H1827" si="264">G$7</f>
        <v>1</v>
      </c>
      <c r="H1808" s="719">
        <f t="shared" si="264"/>
        <v>0.367192066876738</v>
      </c>
      <c r="I1808" s="719">
        <f t="shared" si="258"/>
        <v>0</v>
      </c>
      <c r="J1808" s="1386">
        <f t="shared" si="259"/>
        <v>0</v>
      </c>
      <c r="L1808" s="1460">
        <v>0</v>
      </c>
      <c r="M1808" s="1236"/>
      <c r="N1808" s="1240" t="s">
        <v>1806</v>
      </c>
      <c r="O1808" s="1241" t="s">
        <v>4841</v>
      </c>
      <c r="P1808" s="910">
        <f t="shared" si="260"/>
        <v>0</v>
      </c>
      <c r="Q1808" s="910">
        <f t="shared" si="261"/>
        <v>0</v>
      </c>
      <c r="R1808" s="1344">
        <f t="shared" si="262"/>
        <v>4.2699999999999996</v>
      </c>
      <c r="S1808" s="1344">
        <f>(1/9)*cnst_fish!$C$7*(1/cnst_fish!$C$8)^(R1808-1)</f>
        <v>262.60203209348123</v>
      </c>
      <c r="T1808" s="1362">
        <f t="shared" si="263"/>
        <v>0</v>
      </c>
      <c r="W1808" s="1612"/>
      <c r="X1808" s="1612"/>
      <c r="Y1808" s="1613"/>
      <c r="Z1808" s="1614"/>
      <c r="AA1808" s="1614"/>
      <c r="AB1808" s="1615"/>
      <c r="AC1808" s="1615"/>
      <c r="AD1808" s="583"/>
      <c r="AE1808" s="583"/>
    </row>
    <row r="1809" spans="1:31" ht="12.75" customHeight="1">
      <c r="A1809" s="1384" t="s">
        <v>6702</v>
      </c>
      <c r="B1809" s="19" t="s">
        <v>6701</v>
      </c>
      <c r="C1809" s="1383">
        <v>15540</v>
      </c>
      <c r="D1809" s="1236"/>
      <c r="E1809" s="1236"/>
      <c r="F1809" s="1344">
        <f>(1/S1809)*cnst_fish!$C$6</f>
        <v>0.47762917572805397</v>
      </c>
      <c r="G1809" s="719">
        <f t="shared" si="264"/>
        <v>1</v>
      </c>
      <c r="H1809" s="719">
        <f t="shared" si="264"/>
        <v>0.367192066876738</v>
      </c>
      <c r="I1809" s="719">
        <f t="shared" si="258"/>
        <v>0</v>
      </c>
      <c r="J1809" s="1386">
        <f t="shared" si="259"/>
        <v>0</v>
      </c>
      <c r="L1809" s="1460"/>
      <c r="M1809" s="1236">
        <v>33</v>
      </c>
      <c r="N1809" s="1240" t="s">
        <v>3928</v>
      </c>
      <c r="O1809" s="1241" t="s">
        <v>4845</v>
      </c>
      <c r="P1809" s="910">
        <f t="shared" si="260"/>
        <v>0</v>
      </c>
      <c r="Q1809" s="910">
        <f t="shared" si="261"/>
        <v>33</v>
      </c>
      <c r="R1809" s="1344">
        <f t="shared" si="262"/>
        <v>2.8</v>
      </c>
      <c r="S1809" s="1344">
        <f>(1/9)*cnst_fish!$C$7*(1/cnst_fish!$C$8)^(R1809-1)</f>
        <v>8.8981163965155421</v>
      </c>
      <c r="T1809" s="1362">
        <f t="shared" si="263"/>
        <v>25.369761360289182</v>
      </c>
      <c r="W1809" s="1612"/>
      <c r="X1809" s="1612"/>
      <c r="Y1809" s="1613"/>
      <c r="Z1809" s="1614"/>
      <c r="AA1809" s="1614"/>
      <c r="AB1809" s="1615"/>
      <c r="AC1809" s="1615"/>
      <c r="AD1809" s="583"/>
      <c r="AE1809" s="583"/>
    </row>
    <row r="1810" spans="1:31" ht="12.75" customHeight="1">
      <c r="A1810" s="1384" t="s">
        <v>891</v>
      </c>
      <c r="B1810" s="19" t="s">
        <v>2742</v>
      </c>
      <c r="C1810" s="1383">
        <v>2199</v>
      </c>
      <c r="D1810" s="1236"/>
      <c r="E1810" s="1236"/>
      <c r="F1810" s="1344">
        <f>(1/S1810)*cnst_fish!$C$6</f>
        <v>1.3461419163458574E-2</v>
      </c>
      <c r="G1810" s="719">
        <f t="shared" si="264"/>
        <v>1</v>
      </c>
      <c r="H1810" s="719">
        <f t="shared" si="264"/>
        <v>0.367192066876738</v>
      </c>
      <c r="I1810" s="719">
        <f t="shared" si="258"/>
        <v>0</v>
      </c>
      <c r="J1810" s="1386">
        <f t="shared" si="259"/>
        <v>0</v>
      </c>
      <c r="L1810" s="1460">
        <v>126542</v>
      </c>
      <c r="M1810" s="1236">
        <v>0</v>
      </c>
      <c r="N1810" s="1240" t="s">
        <v>1806</v>
      </c>
      <c r="O1810" s="1241" t="s">
        <v>4841</v>
      </c>
      <c r="P1810" s="910">
        <f t="shared" si="260"/>
        <v>0</v>
      </c>
      <c r="Q1810" s="910">
        <f t="shared" si="261"/>
        <v>126542</v>
      </c>
      <c r="R1810" s="1344">
        <f t="shared" si="262"/>
        <v>4.3499999999999996</v>
      </c>
      <c r="S1810" s="1344">
        <f>(1/9)*cnst_fish!$C$7*(1/cnst_fish!$C$8)^(R1810-1)</f>
        <v>315.71708364425297</v>
      </c>
      <c r="T1810" s="1362">
        <f t="shared" si="263"/>
        <v>3451732.5374465277</v>
      </c>
      <c r="W1810" s="1612"/>
      <c r="X1810" s="1612"/>
      <c r="Y1810" s="1613"/>
      <c r="Z1810" s="1614"/>
      <c r="AA1810" s="1614"/>
      <c r="AB1810" s="1615"/>
      <c r="AC1810" s="1615"/>
      <c r="AD1810" s="583"/>
      <c r="AE1810" s="583"/>
    </row>
    <row r="1811" spans="1:31" ht="12.75" customHeight="1">
      <c r="A1811" s="1384" t="s">
        <v>932</v>
      </c>
      <c r="B1811" s="19" t="s">
        <v>4548</v>
      </c>
      <c r="C1811" s="1383">
        <v>2946</v>
      </c>
      <c r="D1811" s="1236"/>
      <c r="E1811" s="1236"/>
      <c r="F1811" s="1344">
        <f>(1/S1811)*cnst_fish!$C$6</f>
        <v>0.45613232168782086</v>
      </c>
      <c r="G1811" s="719">
        <f t="shared" si="264"/>
        <v>1</v>
      </c>
      <c r="H1811" s="719">
        <f t="shared" si="264"/>
        <v>0.367192066876738</v>
      </c>
      <c r="I1811" s="719">
        <f t="shared" si="258"/>
        <v>0</v>
      </c>
      <c r="J1811" s="1386">
        <f t="shared" si="259"/>
        <v>0</v>
      </c>
      <c r="L1811" s="1460"/>
      <c r="M1811" s="1236">
        <v>21453</v>
      </c>
      <c r="N1811" s="1240" t="s">
        <v>1806</v>
      </c>
      <c r="O1811" s="1241" t="s">
        <v>4845</v>
      </c>
      <c r="P1811" s="910">
        <f t="shared" si="260"/>
        <v>0</v>
      </c>
      <c r="Q1811" s="910">
        <f t="shared" si="261"/>
        <v>21453</v>
      </c>
      <c r="R1811" s="1344">
        <f t="shared" si="262"/>
        <v>2.82</v>
      </c>
      <c r="S1811" s="1344">
        <f>(1/9)*cnst_fish!$C$7*(1/cnst_fish!$C$8)^(R1811-1)</f>
        <v>9.3174717026712273</v>
      </c>
      <c r="T1811" s="1362">
        <f t="shared" si="263"/>
        <v>17269.925931927206</v>
      </c>
      <c r="W1811" s="1612"/>
      <c r="X1811" s="1612"/>
      <c r="Y1811" s="1613"/>
      <c r="Z1811" s="1614"/>
      <c r="AA1811" s="1614"/>
      <c r="AB1811" s="1615"/>
      <c r="AC1811" s="1615"/>
      <c r="AD1811" s="583"/>
      <c r="AE1811" s="583"/>
    </row>
    <row r="1812" spans="1:31" ht="12.75" customHeight="1">
      <c r="A1812" s="1384" t="s">
        <v>6430</v>
      </c>
      <c r="B1812" s="19" t="s">
        <v>6429</v>
      </c>
      <c r="C1812" s="1383">
        <v>15569</v>
      </c>
      <c r="D1812" s="1236"/>
      <c r="E1812" s="1236"/>
      <c r="F1812" s="1344">
        <f>(1/S1812)*cnst_fish!$C$6</f>
        <v>9.5299549485983424E-3</v>
      </c>
      <c r="G1812" s="719">
        <f t="shared" si="264"/>
        <v>1</v>
      </c>
      <c r="H1812" s="719">
        <f t="shared" si="264"/>
        <v>0.367192066876738</v>
      </c>
      <c r="I1812" s="719">
        <f t="shared" si="258"/>
        <v>0</v>
      </c>
      <c r="J1812" s="1386">
        <f t="shared" si="259"/>
        <v>0</v>
      </c>
      <c r="L1812" s="1460">
        <v>0</v>
      </c>
      <c r="M1812" s="1236"/>
      <c r="N1812" s="1240" t="s">
        <v>1806</v>
      </c>
      <c r="O1812" s="1241" t="s">
        <v>4841</v>
      </c>
      <c r="P1812" s="910">
        <f t="shared" si="260"/>
        <v>0</v>
      </c>
      <c r="Q1812" s="910">
        <f t="shared" si="261"/>
        <v>0</v>
      </c>
      <c r="R1812" s="1344">
        <f t="shared" si="262"/>
        <v>4.5</v>
      </c>
      <c r="S1812" s="1344">
        <f>(1/9)*cnst_fish!$C$7*(1/cnst_fish!$C$8)^(R1812-1)</f>
        <v>445.96223412630997</v>
      </c>
      <c r="T1812" s="1362">
        <f t="shared" si="263"/>
        <v>0</v>
      </c>
      <c r="W1812" s="1612"/>
      <c r="X1812" s="1612"/>
      <c r="Y1812" s="1613"/>
      <c r="Z1812" s="1614"/>
      <c r="AA1812" s="1614"/>
      <c r="AB1812" s="1615"/>
      <c r="AC1812" s="1615"/>
      <c r="AD1812" s="583"/>
      <c r="AE1812" s="583"/>
    </row>
    <row r="1813" spans="1:31" ht="12.75" customHeight="1">
      <c r="A1813" s="1384" t="s">
        <v>3081</v>
      </c>
      <c r="B1813" s="19" t="s">
        <v>3082</v>
      </c>
      <c r="C1813" s="1383">
        <v>15600</v>
      </c>
      <c r="D1813" s="1236"/>
      <c r="E1813" s="1236"/>
      <c r="F1813" s="1344">
        <f>(1/S1813)*cnst_fish!$C$6</f>
        <v>1.4424170509541314E-2</v>
      </c>
      <c r="G1813" s="719">
        <f t="shared" si="264"/>
        <v>1</v>
      </c>
      <c r="H1813" s="719">
        <f t="shared" si="264"/>
        <v>0.367192066876738</v>
      </c>
      <c r="I1813" s="719">
        <f t="shared" si="258"/>
        <v>0</v>
      </c>
      <c r="J1813" s="1386">
        <f t="shared" si="259"/>
        <v>0</v>
      </c>
      <c r="L1813" s="1460">
        <v>38</v>
      </c>
      <c r="M1813" s="1236"/>
      <c r="N1813" s="1240" t="s">
        <v>1806</v>
      </c>
      <c r="O1813" s="1241" t="s">
        <v>4859</v>
      </c>
      <c r="P1813" s="910">
        <f t="shared" si="260"/>
        <v>0</v>
      </c>
      <c r="Q1813" s="910">
        <f t="shared" si="261"/>
        <v>38</v>
      </c>
      <c r="R1813" s="1344">
        <f t="shared" si="262"/>
        <v>4.32</v>
      </c>
      <c r="S1813" s="1344">
        <f>(1/9)*cnst_fish!$C$7*(1/cnst_fish!$C$8)^(R1813-1)</f>
        <v>294.64432614608279</v>
      </c>
      <c r="T1813" s="1362">
        <f t="shared" si="263"/>
        <v>967.35535205204371</v>
      </c>
      <c r="W1813" s="1612"/>
      <c r="X1813" s="1612"/>
      <c r="Y1813" s="1613"/>
      <c r="Z1813" s="1614"/>
      <c r="AA1813" s="1614"/>
      <c r="AB1813" s="1615"/>
      <c r="AC1813" s="1615"/>
      <c r="AD1813" s="583"/>
      <c r="AE1813" s="583"/>
    </row>
    <row r="1814" spans="1:31" ht="12.75" customHeight="1">
      <c r="A1814" s="1384" t="s">
        <v>5389</v>
      </c>
      <c r="B1814" s="19" t="s">
        <v>2744</v>
      </c>
      <c r="C1814" s="1383">
        <v>2424</v>
      </c>
      <c r="D1814" s="1236">
        <v>119</v>
      </c>
      <c r="E1814" s="1236"/>
      <c r="F1814" s="1344">
        <f>(1/S1814)*cnst_fish!$C$6</f>
        <v>0.14424170509541331</v>
      </c>
      <c r="G1814" s="719">
        <f t="shared" si="264"/>
        <v>1</v>
      </c>
      <c r="H1814" s="719">
        <f t="shared" si="264"/>
        <v>0.367192066876738</v>
      </c>
      <c r="I1814" s="719">
        <f t="shared" si="258"/>
        <v>302.93496551103436</v>
      </c>
      <c r="J1814" s="1386">
        <f t="shared" si="259"/>
        <v>0</v>
      </c>
      <c r="L1814" s="1460">
        <v>119</v>
      </c>
      <c r="M1814" s="1236"/>
      <c r="N1814" s="1240" t="s">
        <v>1806</v>
      </c>
      <c r="O1814" s="1241" t="s">
        <v>4841</v>
      </c>
      <c r="P1814" s="910">
        <f t="shared" si="260"/>
        <v>119</v>
      </c>
      <c r="Q1814" s="910">
        <f t="shared" si="261"/>
        <v>119</v>
      </c>
      <c r="R1814" s="1344">
        <f t="shared" si="262"/>
        <v>3.32</v>
      </c>
      <c r="S1814" s="1344">
        <f>(1/9)*cnst_fish!$C$7*(1/cnst_fish!$C$8)^(R1814-1)</f>
        <v>29.464432614608246</v>
      </c>
      <c r="T1814" s="1362">
        <f t="shared" si="263"/>
        <v>302.93496551103436</v>
      </c>
      <c r="W1814" s="1612"/>
      <c r="X1814" s="1612"/>
      <c r="Y1814" s="1613"/>
      <c r="Z1814" s="1614"/>
      <c r="AA1814" s="1614"/>
      <c r="AB1814" s="1615"/>
      <c r="AC1814" s="1615"/>
      <c r="AD1814" s="583"/>
      <c r="AE1814" s="583"/>
    </row>
    <row r="1815" spans="1:31" ht="12.75" customHeight="1">
      <c r="A1815" s="1384" t="s">
        <v>61</v>
      </c>
      <c r="B1815" s="19" t="s">
        <v>4659</v>
      </c>
      <c r="C1815" s="1383">
        <v>3225</v>
      </c>
      <c r="D1815" s="1236">
        <v>5</v>
      </c>
      <c r="E1815" s="1236"/>
      <c r="F1815" s="1344">
        <f>(1/S1815)*cnst_fish!$C$6</f>
        <v>8.6914222116951781E-2</v>
      </c>
      <c r="G1815" s="719">
        <f t="shared" si="264"/>
        <v>1</v>
      </c>
      <c r="H1815" s="719">
        <f t="shared" si="264"/>
        <v>0.367192066876738</v>
      </c>
      <c r="I1815" s="719">
        <f t="shared" si="258"/>
        <v>21.123819435595038</v>
      </c>
      <c r="J1815" s="1386">
        <f t="shared" si="259"/>
        <v>0</v>
      </c>
      <c r="L1815" s="1460">
        <v>5</v>
      </c>
      <c r="M1815" s="1236"/>
      <c r="N1815" s="1240" t="s">
        <v>1806</v>
      </c>
      <c r="O1815" s="1241" t="s">
        <v>4841</v>
      </c>
      <c r="P1815" s="910">
        <f t="shared" si="260"/>
        <v>5</v>
      </c>
      <c r="Q1815" s="910">
        <f t="shared" si="261"/>
        <v>5</v>
      </c>
      <c r="R1815" s="1344">
        <f t="shared" si="262"/>
        <v>3.54</v>
      </c>
      <c r="S1815" s="1344">
        <f>(1/9)*cnst_fish!$C$7*(1/cnst_fish!$C$8)^(R1815-1)</f>
        <v>48.898786602280119</v>
      </c>
      <c r="T1815" s="1362">
        <f t="shared" si="263"/>
        <v>21.123819435595038</v>
      </c>
      <c r="W1815" s="1612"/>
      <c r="X1815" s="1612"/>
      <c r="Y1815" s="1613"/>
      <c r="Z1815" s="1614"/>
      <c r="AA1815" s="1614"/>
      <c r="AB1815" s="1615"/>
      <c r="AC1815" s="1615"/>
      <c r="AD1815" s="583"/>
      <c r="AE1815" s="583"/>
    </row>
    <row r="1816" spans="1:31" ht="12.75" customHeight="1">
      <c r="A1816" s="1384" t="s">
        <v>2405</v>
      </c>
      <c r="B1816" s="19" t="s">
        <v>4763</v>
      </c>
      <c r="C1816" s="1383">
        <v>17571</v>
      </c>
      <c r="D1816" s="1236"/>
      <c r="E1816" s="1236"/>
      <c r="F1816" s="1344">
        <f>(1/S1816)*cnst_fish!$C$6</f>
        <v>2.6141530827766903</v>
      </c>
      <c r="G1816" s="719">
        <f t="shared" si="264"/>
        <v>1</v>
      </c>
      <c r="H1816" s="719">
        <f t="shared" si="264"/>
        <v>0.367192066876738</v>
      </c>
      <c r="I1816" s="719">
        <f t="shared" si="258"/>
        <v>0</v>
      </c>
      <c r="J1816" s="1386">
        <f t="shared" si="259"/>
        <v>0</v>
      </c>
      <c r="L1816" s="1460">
        <v>4908</v>
      </c>
      <c r="M1816" s="1236"/>
      <c r="N1816" s="1240" t="s">
        <v>1804</v>
      </c>
      <c r="O1816" s="1241" t="s">
        <v>4851</v>
      </c>
      <c r="P1816" s="910">
        <f t="shared" si="260"/>
        <v>0</v>
      </c>
      <c r="Q1816" s="910">
        <f t="shared" si="261"/>
        <v>4908</v>
      </c>
      <c r="R1816" s="1344">
        <f t="shared" si="262"/>
        <v>2.0617598316454031</v>
      </c>
      <c r="S1816" s="1344">
        <f>(1/9)*cnst_fish!$C$7*(1/cnst_fish!$C$8)^(R1816-1)</f>
        <v>1.6257655406644176</v>
      </c>
      <c r="T1816" s="1362">
        <f t="shared" si="263"/>
        <v>689.39293421822083</v>
      </c>
      <c r="W1816" s="1612"/>
      <c r="X1816" s="1612"/>
      <c r="Y1816" s="1613"/>
      <c r="Z1816" s="1614"/>
      <c r="AA1816" s="1614"/>
      <c r="AB1816" s="1615"/>
      <c r="AC1816" s="1615"/>
      <c r="AD1816" s="583"/>
      <c r="AE1816" s="583"/>
    </row>
    <row r="1817" spans="1:31" ht="12.75" customHeight="1">
      <c r="A1817" s="1384" t="s">
        <v>6912</v>
      </c>
      <c r="B1817" s="19" t="s">
        <v>6911</v>
      </c>
      <c r="C1817" s="1383">
        <v>18577</v>
      </c>
      <c r="D1817" s="1236"/>
      <c r="E1817" s="1236"/>
      <c r="F1817" s="1344">
        <f>(1/S1817)*cnst_fish!$C$6</f>
        <v>3.0136363636363641</v>
      </c>
      <c r="G1817" s="719">
        <f t="shared" si="264"/>
        <v>1</v>
      </c>
      <c r="H1817" s="719">
        <f t="shared" si="264"/>
        <v>0.367192066876738</v>
      </c>
      <c r="I1817" s="719">
        <f t="shared" si="258"/>
        <v>0</v>
      </c>
      <c r="J1817" s="1386">
        <f t="shared" si="259"/>
        <v>0</v>
      </c>
      <c r="L1817" s="1460">
        <v>51</v>
      </c>
      <c r="M1817" s="1236"/>
      <c r="N1817" s="1240" t="s">
        <v>1804</v>
      </c>
      <c r="O1817" s="1241" t="s">
        <v>4851</v>
      </c>
      <c r="P1817" s="910">
        <f t="shared" si="260"/>
        <v>0</v>
      </c>
      <c r="Q1817" s="910">
        <f t="shared" si="261"/>
        <v>51</v>
      </c>
      <c r="R1817" s="1344">
        <f t="shared" si="262"/>
        <v>2</v>
      </c>
      <c r="S1817" s="1344">
        <f>(1/9)*cnst_fish!$C$7*(1/cnst_fish!$C$8)^(R1817-1)</f>
        <v>1.4102564102564099</v>
      </c>
      <c r="T1817" s="1362">
        <f t="shared" si="263"/>
        <v>6.2140195932986417</v>
      </c>
      <c r="W1817" s="1612"/>
      <c r="X1817" s="1612"/>
      <c r="Y1817" s="1613"/>
      <c r="Z1817" s="1614"/>
      <c r="AA1817" s="1614"/>
      <c r="AB1817" s="1615"/>
      <c r="AC1817" s="1615"/>
      <c r="AD1817" s="583"/>
      <c r="AE1817" s="583"/>
    </row>
    <row r="1818" spans="1:31" ht="12.75" customHeight="1">
      <c r="A1818" s="1384" t="s">
        <v>2668</v>
      </c>
      <c r="B1818" s="19" t="s">
        <v>1570</v>
      </c>
      <c r="C1818" s="1383">
        <v>2904</v>
      </c>
      <c r="D1818" s="1236"/>
      <c r="E1818" s="1236"/>
      <c r="F1818" s="1344">
        <f>(1/S1818)*cnst_fish!$C$6</f>
        <v>2.7484690295134913</v>
      </c>
      <c r="G1818" s="719">
        <f t="shared" si="264"/>
        <v>1</v>
      </c>
      <c r="H1818" s="719">
        <f t="shared" si="264"/>
        <v>0.367192066876738</v>
      </c>
      <c r="I1818" s="719">
        <f t="shared" si="258"/>
        <v>0</v>
      </c>
      <c r="J1818" s="1386">
        <f t="shared" si="259"/>
        <v>0</v>
      </c>
      <c r="L1818" s="1460">
        <v>271045</v>
      </c>
      <c r="M1818" s="1236">
        <v>102685</v>
      </c>
      <c r="N1818" s="1240" t="s">
        <v>1806</v>
      </c>
      <c r="O1818" s="1241" t="s">
        <v>4845</v>
      </c>
      <c r="P1818" s="910">
        <f t="shared" si="260"/>
        <v>0</v>
      </c>
      <c r="Q1818" s="910">
        <f t="shared" si="261"/>
        <v>373730</v>
      </c>
      <c r="R1818" s="1344">
        <f t="shared" si="262"/>
        <v>2.04</v>
      </c>
      <c r="S1818" s="1344">
        <f>(1/9)*cnst_fish!$C$7*(1/cnst_fish!$C$8)^(R1818-1)</f>
        <v>1.5463154048173124</v>
      </c>
      <c r="T1818" s="1362">
        <f t="shared" si="263"/>
        <v>49929.86629292112</v>
      </c>
      <c r="W1818" s="1612"/>
      <c r="X1818" s="1612"/>
      <c r="Y1818" s="1613"/>
      <c r="Z1818" s="1614"/>
      <c r="AA1818" s="1614"/>
      <c r="AB1818" s="1615"/>
      <c r="AC1818" s="1615"/>
      <c r="AD1818" s="583"/>
      <c r="AE1818" s="583"/>
    </row>
    <row r="1819" spans="1:31" ht="12.75" customHeight="1">
      <c r="A1819" s="1384" t="s">
        <v>3148</v>
      </c>
      <c r="B1819" s="19" t="s">
        <v>1571</v>
      </c>
      <c r="C1819" s="1383">
        <v>2905</v>
      </c>
      <c r="D1819" s="1236"/>
      <c r="E1819" s="1236"/>
      <c r="F1819" s="1344">
        <f>(1/S1819)*cnst_fish!$C$6</f>
        <v>0.99790878883162693</v>
      </c>
      <c r="G1819" s="719">
        <f t="shared" si="264"/>
        <v>1</v>
      </c>
      <c r="H1819" s="719">
        <f t="shared" si="264"/>
        <v>0.367192066876738</v>
      </c>
      <c r="I1819" s="719">
        <f t="shared" si="258"/>
        <v>0</v>
      </c>
      <c r="J1819" s="1386">
        <f t="shared" si="259"/>
        <v>0</v>
      </c>
      <c r="L1819" s="1460">
        <v>161</v>
      </c>
      <c r="M1819" s="1236"/>
      <c r="N1819" s="1240" t="s">
        <v>1806</v>
      </c>
      <c r="O1819" s="1241" t="s">
        <v>4845</v>
      </c>
      <c r="P1819" s="910">
        <f t="shared" si="260"/>
        <v>0</v>
      </c>
      <c r="Q1819" s="910">
        <f t="shared" si="261"/>
        <v>161</v>
      </c>
      <c r="R1819" s="1344">
        <f t="shared" si="262"/>
        <v>2.48</v>
      </c>
      <c r="S1819" s="1344">
        <f>(1/9)*cnst_fish!$C$7*(1/cnst_fish!$C$8)^(R1819-1)</f>
        <v>4.2589062723618172</v>
      </c>
      <c r="T1819" s="1362">
        <f t="shared" si="263"/>
        <v>59.241809901655792</v>
      </c>
      <c r="W1819" s="1612"/>
      <c r="X1819" s="1612"/>
      <c r="Y1819" s="1613"/>
      <c r="Z1819" s="1614"/>
      <c r="AA1819" s="1614"/>
      <c r="AB1819" s="1615"/>
      <c r="AC1819" s="1615"/>
      <c r="AD1819" s="583"/>
      <c r="AE1819" s="583"/>
    </row>
    <row r="1820" spans="1:31" ht="12.75" customHeight="1">
      <c r="A1820" s="1384" t="s">
        <v>3147</v>
      </c>
      <c r="B1820" s="19" t="s">
        <v>2556</v>
      </c>
      <c r="C1820" s="1383">
        <v>2288</v>
      </c>
      <c r="D1820" s="1236"/>
      <c r="E1820" s="1236"/>
      <c r="F1820" s="1344">
        <f>(1/S1820)*cnst_fish!$C$6</f>
        <v>9.5299549485983348E-2</v>
      </c>
      <c r="G1820" s="719">
        <f t="shared" si="264"/>
        <v>1</v>
      </c>
      <c r="H1820" s="719">
        <f t="shared" si="264"/>
        <v>0.367192066876738</v>
      </c>
      <c r="I1820" s="719">
        <f t="shared" si="258"/>
        <v>0</v>
      </c>
      <c r="J1820" s="1386">
        <f t="shared" si="259"/>
        <v>0</v>
      </c>
      <c r="L1820" s="1460">
        <v>10595</v>
      </c>
      <c r="M1820" s="1236"/>
      <c r="N1820" s="1240" t="s">
        <v>1806</v>
      </c>
      <c r="O1820" s="1241" t="s">
        <v>4841</v>
      </c>
      <c r="P1820" s="910">
        <f t="shared" si="260"/>
        <v>0</v>
      </c>
      <c r="Q1820" s="910">
        <f t="shared" si="261"/>
        <v>10595</v>
      </c>
      <c r="R1820" s="1344">
        <f t="shared" si="262"/>
        <v>3.5</v>
      </c>
      <c r="S1820" s="1344">
        <f>(1/9)*cnst_fish!$C$7*(1/cnst_fish!$C$8)^(R1820-1)</f>
        <v>44.596223412631026</v>
      </c>
      <c r="T1820" s="1362">
        <f t="shared" si="263"/>
        <v>40822.857710688746</v>
      </c>
      <c r="W1820" s="1612"/>
      <c r="X1820" s="1612"/>
      <c r="Y1820" s="1613"/>
      <c r="Z1820" s="1614"/>
      <c r="AA1820" s="1614"/>
      <c r="AB1820" s="1615"/>
      <c r="AC1820" s="1615"/>
      <c r="AD1820" s="583"/>
      <c r="AE1820" s="583"/>
    </row>
    <row r="1821" spans="1:31" ht="12.75" customHeight="1">
      <c r="A1821" s="1585" t="s">
        <v>8606</v>
      </c>
      <c r="B1821" s="1586" t="s">
        <v>8607</v>
      </c>
      <c r="C1821" s="1383">
        <v>15623</v>
      </c>
      <c r="D1821" s="1236"/>
      <c r="E1821" s="1236"/>
      <c r="F1821" s="1344">
        <f>(1/S1821)*cnst_fish!$C$6</f>
        <v>9.5299549485983348E-2</v>
      </c>
      <c r="G1821" s="719">
        <f t="shared" si="264"/>
        <v>1</v>
      </c>
      <c r="H1821" s="719">
        <f t="shared" si="264"/>
        <v>0.367192066876738</v>
      </c>
      <c r="I1821" s="719">
        <f t="shared" si="258"/>
        <v>0</v>
      </c>
      <c r="J1821" s="1386">
        <f t="shared" si="259"/>
        <v>0</v>
      </c>
      <c r="L1821" s="1460">
        <v>155</v>
      </c>
      <c r="M1821" s="1236"/>
      <c r="N1821" s="1240" t="s">
        <v>1806</v>
      </c>
      <c r="O1821" s="1241" t="s">
        <v>4841</v>
      </c>
      <c r="P1821" s="910">
        <f t="shared" si="260"/>
        <v>0</v>
      </c>
      <c r="Q1821" s="910">
        <f t="shared" si="261"/>
        <v>155</v>
      </c>
      <c r="R1821" s="1344">
        <f t="shared" si="262"/>
        <v>3.5</v>
      </c>
      <c r="S1821" s="1344">
        <f>(1/9)*cnst_fish!$C$7*(1/cnst_fish!$C$8)^(R1821-1)</f>
        <v>44.596223412631026</v>
      </c>
      <c r="T1821" s="1362">
        <f t="shared" si="263"/>
        <v>597.21972110965135</v>
      </c>
      <c r="W1821" s="1616"/>
      <c r="X1821" s="1616"/>
      <c r="Y1821" s="1613"/>
      <c r="Z1821" s="1614"/>
      <c r="AA1821" s="1614"/>
      <c r="AB1821" s="1615"/>
      <c r="AC1821" s="1615"/>
      <c r="AD1821" s="583"/>
      <c r="AE1821" s="583"/>
    </row>
    <row r="1822" spans="1:31" ht="12.75" customHeight="1">
      <c r="A1822" s="1384" t="s">
        <v>5670</v>
      </c>
      <c r="B1822" s="19" t="s">
        <v>3864</v>
      </c>
      <c r="C1822" s="1383">
        <v>3603</v>
      </c>
      <c r="D1822" s="1236">
        <v>0</v>
      </c>
      <c r="E1822" s="1236"/>
      <c r="F1822" s="1344">
        <f>(1/S1822)*cnst_fish!$C$6</f>
        <v>1.1997502458044034</v>
      </c>
      <c r="G1822" s="719">
        <f t="shared" si="264"/>
        <v>1</v>
      </c>
      <c r="H1822" s="719">
        <f t="shared" si="264"/>
        <v>0.367192066876738</v>
      </c>
      <c r="I1822" s="719">
        <f t="shared" si="258"/>
        <v>0</v>
      </c>
      <c r="J1822" s="1386">
        <f t="shared" si="259"/>
        <v>0</v>
      </c>
      <c r="L1822" s="1460">
        <v>22</v>
      </c>
      <c r="M1822" s="1236"/>
      <c r="N1822" s="1240" t="s">
        <v>2429</v>
      </c>
      <c r="O1822" s="1241"/>
      <c r="P1822" s="910">
        <f t="shared" si="260"/>
        <v>0</v>
      </c>
      <c r="Q1822" s="910">
        <f t="shared" si="261"/>
        <v>22</v>
      </c>
      <c r="R1822" s="1344">
        <f t="shared" si="262"/>
        <v>2.4</v>
      </c>
      <c r="S1822" s="1344">
        <f>(1/9)*cnst_fish!$C$7*(1/cnst_fish!$C$8)^(R1822-1)</f>
        <v>3.5424039418724838</v>
      </c>
      <c r="T1822" s="1362">
        <f t="shared" si="263"/>
        <v>6.7332559418414464</v>
      </c>
      <c r="W1822" s="1612"/>
      <c r="X1822" s="1612"/>
      <c r="Y1822" s="1613"/>
      <c r="Z1822" s="1614"/>
      <c r="AA1822" s="1614"/>
      <c r="AB1822" s="1615"/>
      <c r="AC1822" s="1615"/>
      <c r="AD1822" s="583"/>
      <c r="AE1822" s="583"/>
    </row>
    <row r="1823" spans="1:31" ht="12.75" customHeight="1">
      <c r="A1823" s="1384" t="s">
        <v>5685</v>
      </c>
      <c r="B1823" s="19" t="s">
        <v>3864</v>
      </c>
      <c r="C1823" s="1383">
        <v>3604</v>
      </c>
      <c r="D1823" s="1236"/>
      <c r="E1823" s="1236">
        <v>40</v>
      </c>
      <c r="F1823" s="1344">
        <f>(1/S1823)*cnst_fish!$C$6</f>
        <v>1.1997502458044034</v>
      </c>
      <c r="G1823" s="719">
        <f t="shared" si="264"/>
        <v>1</v>
      </c>
      <c r="H1823" s="719">
        <f t="shared" si="264"/>
        <v>0.367192066876738</v>
      </c>
      <c r="I1823" s="719">
        <f t="shared" si="258"/>
        <v>0</v>
      </c>
      <c r="J1823" s="1386">
        <f t="shared" si="259"/>
        <v>12.242283530620814</v>
      </c>
      <c r="L1823" s="1460"/>
      <c r="M1823" s="1236">
        <v>62</v>
      </c>
      <c r="N1823" s="1240" t="s">
        <v>2429</v>
      </c>
      <c r="O1823" s="1241"/>
      <c r="P1823" s="910">
        <f t="shared" si="260"/>
        <v>40</v>
      </c>
      <c r="Q1823" s="910">
        <f t="shared" si="261"/>
        <v>62</v>
      </c>
      <c r="R1823" s="1344">
        <f t="shared" si="262"/>
        <v>2.4</v>
      </c>
      <c r="S1823" s="1344">
        <f>(1/9)*cnst_fish!$C$7*(1/cnst_fish!$C$8)^(R1823-1)</f>
        <v>3.5424039418724838</v>
      </c>
      <c r="T1823" s="1362">
        <f t="shared" si="263"/>
        <v>18.975539472462263</v>
      </c>
      <c r="W1823" s="1616"/>
      <c r="X1823" s="1616"/>
      <c r="Y1823" s="1613"/>
      <c r="Z1823" s="1614"/>
      <c r="AA1823" s="1614"/>
      <c r="AB1823" s="1615"/>
      <c r="AC1823" s="1615"/>
      <c r="AD1823" s="583"/>
      <c r="AE1823" s="583"/>
    </row>
    <row r="1824" spans="1:31" ht="12.75" customHeight="1">
      <c r="A1824" s="1384" t="s">
        <v>3847</v>
      </c>
      <c r="B1824" s="19" t="s">
        <v>2557</v>
      </c>
      <c r="C1824" s="1383">
        <v>3374</v>
      </c>
      <c r="D1824" s="1236"/>
      <c r="E1824" s="1236"/>
      <c r="F1824" s="1344">
        <f>(1/S1824)*cnst_fish!$C$6</f>
        <v>0.11724405960509449</v>
      </c>
      <c r="G1824" s="719">
        <f t="shared" si="264"/>
        <v>1</v>
      </c>
      <c r="H1824" s="719">
        <f t="shared" si="264"/>
        <v>0.367192066876738</v>
      </c>
      <c r="I1824" s="719">
        <f t="shared" si="258"/>
        <v>0</v>
      </c>
      <c r="J1824" s="1386">
        <f t="shared" si="259"/>
        <v>0</v>
      </c>
      <c r="L1824" s="1460">
        <v>12009</v>
      </c>
      <c r="M1824" s="1236"/>
      <c r="N1824" s="1240" t="s">
        <v>1806</v>
      </c>
      <c r="O1824" s="1241" t="s">
        <v>4841</v>
      </c>
      <c r="P1824" s="910">
        <f t="shared" si="260"/>
        <v>0</v>
      </c>
      <c r="Q1824" s="910">
        <f t="shared" si="261"/>
        <v>12009</v>
      </c>
      <c r="R1824" s="1344">
        <f t="shared" si="262"/>
        <v>3.41</v>
      </c>
      <c r="S1824" s="1344">
        <f>(1/9)*cnst_fish!$C$7*(1/cnst_fish!$C$8)^(R1824-1)</f>
        <v>36.24917129545836</v>
      </c>
      <c r="T1824" s="1362">
        <f t="shared" si="263"/>
        <v>37610.515585824534</v>
      </c>
      <c r="W1824" s="1612"/>
      <c r="X1824" s="1612"/>
      <c r="Y1824" s="1613"/>
      <c r="Z1824" s="1614"/>
      <c r="AA1824" s="1614"/>
      <c r="AB1824" s="1615"/>
      <c r="AC1824" s="1615"/>
      <c r="AD1824" s="583"/>
      <c r="AE1824" s="583"/>
    </row>
    <row r="1825" spans="1:31" ht="12.75" customHeight="1">
      <c r="A1825" s="1384" t="s">
        <v>4614</v>
      </c>
      <c r="B1825" s="19" t="s">
        <v>4164</v>
      </c>
      <c r="C1825" s="1383">
        <v>3305</v>
      </c>
      <c r="D1825" s="1236">
        <v>0</v>
      </c>
      <c r="E1825" s="1236"/>
      <c r="F1825" s="1344">
        <f>(1/S1825)*cnst_fish!$C$6</f>
        <v>9.979087888316248E-3</v>
      </c>
      <c r="G1825" s="719">
        <f t="shared" si="264"/>
        <v>1</v>
      </c>
      <c r="H1825" s="719">
        <f t="shared" si="264"/>
        <v>0.367192066876738</v>
      </c>
      <c r="I1825" s="719">
        <f t="shared" si="258"/>
        <v>0</v>
      </c>
      <c r="J1825" s="1386">
        <f t="shared" si="259"/>
        <v>0</v>
      </c>
      <c r="L1825" s="1460">
        <v>445</v>
      </c>
      <c r="M1825" s="1236"/>
      <c r="N1825" s="1240" t="s">
        <v>1806</v>
      </c>
      <c r="O1825" s="1241" t="s">
        <v>4859</v>
      </c>
      <c r="P1825" s="910">
        <f t="shared" si="260"/>
        <v>0</v>
      </c>
      <c r="Q1825" s="910">
        <f t="shared" si="261"/>
        <v>445</v>
      </c>
      <c r="R1825" s="1344">
        <f t="shared" si="262"/>
        <v>4.4800000000000004</v>
      </c>
      <c r="S1825" s="1344">
        <f>(1/9)*cnst_fish!$C$7*(1/cnst_fish!$C$8)^(R1825-1)</f>
        <v>425.89062723618264</v>
      </c>
      <c r="T1825" s="1362">
        <f t="shared" si="263"/>
        <v>16374.289072196822</v>
      </c>
      <c r="W1825" s="1612"/>
      <c r="X1825" s="1612"/>
      <c r="Y1825" s="1613"/>
      <c r="Z1825" s="1614"/>
      <c r="AA1825" s="1614"/>
      <c r="AB1825" s="1615"/>
      <c r="AC1825" s="1615"/>
      <c r="AD1825" s="583"/>
      <c r="AE1825" s="583"/>
    </row>
    <row r="1826" spans="1:31" ht="12.75" customHeight="1">
      <c r="A1826" s="1384" t="s">
        <v>1769</v>
      </c>
      <c r="B1826" s="19" t="s">
        <v>325</v>
      </c>
      <c r="C1826" s="1383">
        <v>2502</v>
      </c>
      <c r="D1826" s="1236"/>
      <c r="E1826" s="1236"/>
      <c r="F1826" s="1344">
        <f>(1/S1826)*cnst_fish!$C$6</f>
        <v>9.5299549485983424E-3</v>
      </c>
      <c r="G1826" s="719">
        <f t="shared" si="264"/>
        <v>1</v>
      </c>
      <c r="H1826" s="719">
        <f t="shared" si="264"/>
        <v>0.367192066876738</v>
      </c>
      <c r="I1826" s="719">
        <f t="shared" si="258"/>
        <v>0</v>
      </c>
      <c r="J1826" s="1386">
        <f t="shared" si="259"/>
        <v>0</v>
      </c>
      <c r="L1826" s="1460">
        <v>936</v>
      </c>
      <c r="M1826" s="1236"/>
      <c r="N1826" s="1240" t="s">
        <v>1806</v>
      </c>
      <c r="O1826" s="1241" t="s">
        <v>4859</v>
      </c>
      <c r="P1826" s="910">
        <f t="shared" si="260"/>
        <v>0</v>
      </c>
      <c r="Q1826" s="910">
        <f t="shared" si="261"/>
        <v>936</v>
      </c>
      <c r="R1826" s="1344">
        <f t="shared" si="262"/>
        <v>4.5</v>
      </c>
      <c r="S1826" s="1344">
        <f>(1/9)*cnst_fish!$C$7*(1/cnst_fish!$C$8)^(R1826-1)</f>
        <v>445.96223412630997</v>
      </c>
      <c r="T1826" s="1362">
        <f t="shared" si="263"/>
        <v>36064.365094105371</v>
      </c>
      <c r="W1826" s="1612"/>
      <c r="X1826" s="1612"/>
      <c r="Y1826" s="1613"/>
      <c r="Z1826" s="1614"/>
      <c r="AA1826" s="1614"/>
      <c r="AB1826" s="1615"/>
      <c r="AC1826" s="1615"/>
      <c r="AD1826" s="583"/>
      <c r="AE1826" s="583"/>
    </row>
    <row r="1827" spans="1:31" ht="12.75" customHeight="1">
      <c r="A1827" s="1384" t="s">
        <v>4876</v>
      </c>
      <c r="B1827" s="19" t="s">
        <v>326</v>
      </c>
      <c r="C1827" s="1383">
        <v>2501</v>
      </c>
      <c r="D1827" s="1236">
        <v>446</v>
      </c>
      <c r="E1827" s="1236"/>
      <c r="F1827" s="1344">
        <f>(1/S1827)*cnst_fish!$C$6</f>
        <v>7.926671266484709E-3</v>
      </c>
      <c r="G1827" s="719">
        <f t="shared" si="264"/>
        <v>1</v>
      </c>
      <c r="H1827" s="719">
        <f t="shared" si="264"/>
        <v>0.367192066876738</v>
      </c>
      <c r="I1827" s="719">
        <f t="shared" si="258"/>
        <v>20660.332227912892</v>
      </c>
      <c r="J1827" s="1386">
        <f t="shared" si="259"/>
        <v>0</v>
      </c>
      <c r="L1827" s="1460">
        <v>10569</v>
      </c>
      <c r="M1827" s="1236"/>
      <c r="N1827" s="1240" t="s">
        <v>1806</v>
      </c>
      <c r="O1827" s="1241" t="s">
        <v>4859</v>
      </c>
      <c r="P1827" s="910">
        <f t="shared" si="260"/>
        <v>446</v>
      </c>
      <c r="Q1827" s="910">
        <f t="shared" si="261"/>
        <v>10569</v>
      </c>
      <c r="R1827" s="1344">
        <f t="shared" si="262"/>
        <v>4.58</v>
      </c>
      <c r="S1827" s="1344">
        <f>(1/9)*cnst_fish!$C$7*(1/cnst_fish!$C$8)^(R1827-1)</f>
        <v>536.16453327258694</v>
      </c>
      <c r="T1827" s="1362">
        <f t="shared" si="263"/>
        <v>489594.28546370263</v>
      </c>
      <c r="W1827" s="1612"/>
      <c r="X1827" s="1612"/>
      <c r="Y1827" s="1613"/>
      <c r="Z1827" s="1614"/>
      <c r="AA1827" s="1614"/>
      <c r="AB1827" s="1615"/>
      <c r="AC1827" s="1615"/>
      <c r="AD1827" s="583"/>
      <c r="AE1827" s="583"/>
    </row>
    <row r="1828" spans="1:31" ht="12.75" customHeight="1">
      <c r="A1828" s="1384" t="s">
        <v>6716</v>
      </c>
      <c r="B1828" s="19" t="s">
        <v>6715</v>
      </c>
      <c r="C1828" s="1383">
        <v>3304</v>
      </c>
      <c r="D1828" s="1236"/>
      <c r="E1828" s="1236"/>
      <c r="F1828" s="1344">
        <f>(1/S1828)*cnst_fish!$C$6</f>
        <v>9.5299549485983424E-3</v>
      </c>
      <c r="G1828" s="719">
        <f t="shared" ref="G1828:H1847" si="265">G$7</f>
        <v>1</v>
      </c>
      <c r="H1828" s="719">
        <f t="shared" si="265"/>
        <v>0.367192066876738</v>
      </c>
      <c r="I1828" s="719">
        <f t="shared" si="258"/>
        <v>0</v>
      </c>
      <c r="J1828" s="1386">
        <f t="shared" si="259"/>
        <v>0</v>
      </c>
      <c r="L1828" s="1460">
        <v>3</v>
      </c>
      <c r="M1828" s="1236"/>
      <c r="N1828" s="1240" t="s">
        <v>1806</v>
      </c>
      <c r="O1828" s="1241" t="s">
        <v>4859</v>
      </c>
      <c r="P1828" s="910">
        <f t="shared" si="260"/>
        <v>0</v>
      </c>
      <c r="Q1828" s="910">
        <f t="shared" si="261"/>
        <v>3</v>
      </c>
      <c r="R1828" s="1344">
        <f t="shared" si="262"/>
        <v>4.5</v>
      </c>
      <c r="S1828" s="1344">
        <f>(1/9)*cnst_fish!$C$7*(1/cnst_fish!$C$8)^(R1828-1)</f>
        <v>445.96223412630997</v>
      </c>
      <c r="T1828" s="1362">
        <f t="shared" si="263"/>
        <v>115.59091376315823</v>
      </c>
      <c r="W1828" s="1612"/>
      <c r="X1828" s="1612"/>
      <c r="Y1828" s="1613"/>
      <c r="Z1828" s="1614"/>
      <c r="AA1828" s="1614"/>
      <c r="AB1828" s="1615"/>
      <c r="AC1828" s="1615"/>
      <c r="AD1828" s="583"/>
      <c r="AE1828" s="583"/>
    </row>
    <row r="1829" spans="1:31" ht="12.75" customHeight="1">
      <c r="A1829" s="1384" t="s">
        <v>6824</v>
      </c>
      <c r="B1829" s="19" t="s">
        <v>6823</v>
      </c>
      <c r="C1829" s="1383">
        <v>3307</v>
      </c>
      <c r="D1829" s="1236"/>
      <c r="E1829" s="1236"/>
      <c r="F1829" s="1344">
        <f>(1/S1829)*cnst_fish!$C$6</f>
        <v>1.1997502458044018E-2</v>
      </c>
      <c r="G1829" s="719">
        <f t="shared" si="265"/>
        <v>1</v>
      </c>
      <c r="H1829" s="719">
        <f t="shared" si="265"/>
        <v>0.367192066876738</v>
      </c>
      <c r="I1829" s="719">
        <f t="shared" si="258"/>
        <v>0</v>
      </c>
      <c r="J1829" s="1386">
        <f t="shared" si="259"/>
        <v>0</v>
      </c>
      <c r="L1829" s="1460">
        <v>5</v>
      </c>
      <c r="M1829" s="1236"/>
      <c r="N1829" s="1240" t="s">
        <v>1806</v>
      </c>
      <c r="O1829" s="1241" t="s">
        <v>4859</v>
      </c>
      <c r="P1829" s="910">
        <f t="shared" si="260"/>
        <v>0</v>
      </c>
      <c r="Q1829" s="910">
        <f t="shared" si="261"/>
        <v>5</v>
      </c>
      <c r="R1829" s="1344">
        <f t="shared" si="262"/>
        <v>4.4000000000000004</v>
      </c>
      <c r="S1829" s="1344">
        <f>(1/9)*cnst_fish!$C$7*(1/cnst_fish!$C$8)^(R1829-1)</f>
        <v>354.24039418724885</v>
      </c>
      <c r="T1829" s="1362">
        <f t="shared" si="263"/>
        <v>153.02854413276037</v>
      </c>
      <c r="W1829" s="1612"/>
      <c r="X1829" s="1612"/>
      <c r="Y1829" s="1613"/>
      <c r="Z1829" s="1614"/>
      <c r="AA1829" s="1614"/>
      <c r="AB1829" s="1615"/>
      <c r="AC1829" s="1615"/>
      <c r="AD1829" s="583"/>
      <c r="AE1829" s="583"/>
    </row>
    <row r="1830" spans="1:31" ht="12.75" customHeight="1">
      <c r="A1830" s="1384" t="s">
        <v>2747</v>
      </c>
      <c r="B1830" s="19" t="s">
        <v>2392</v>
      </c>
      <c r="C1830" s="1383">
        <v>3306</v>
      </c>
      <c r="D1830" s="1236"/>
      <c r="E1830" s="1236"/>
      <c r="F1830" s="1344">
        <f>(1/S1830)*cnst_fish!$C$6</f>
        <v>1.581578846116358E-2</v>
      </c>
      <c r="G1830" s="719">
        <f t="shared" si="265"/>
        <v>1</v>
      </c>
      <c r="H1830" s="719">
        <f t="shared" si="265"/>
        <v>0.367192066876738</v>
      </c>
      <c r="I1830" s="719">
        <f t="shared" si="258"/>
        <v>0</v>
      </c>
      <c r="J1830" s="1386">
        <f t="shared" si="259"/>
        <v>0</v>
      </c>
      <c r="L1830" s="1460">
        <v>43</v>
      </c>
      <c r="M1830" s="1236"/>
      <c r="N1830" s="1240" t="s">
        <v>1806</v>
      </c>
      <c r="O1830" s="1241" t="s">
        <v>4859</v>
      </c>
      <c r="P1830" s="910">
        <f t="shared" si="260"/>
        <v>0</v>
      </c>
      <c r="Q1830" s="910">
        <f t="shared" si="261"/>
        <v>43</v>
      </c>
      <c r="R1830" s="1344">
        <f t="shared" si="262"/>
        <v>4.28</v>
      </c>
      <c r="S1830" s="1344">
        <f>(1/9)*cnst_fish!$C$7*(1/cnst_fish!$C$8)^(R1830-1)</f>
        <v>268.71881919994547</v>
      </c>
      <c r="T1830" s="1362">
        <f t="shared" si="263"/>
        <v>998.32258849889195</v>
      </c>
      <c r="W1830" s="1612"/>
      <c r="X1830" s="1612"/>
      <c r="Y1830" s="1613"/>
      <c r="Z1830" s="1614"/>
      <c r="AA1830" s="1614"/>
      <c r="AB1830" s="1615"/>
      <c r="AC1830" s="1615"/>
      <c r="AD1830" s="583"/>
      <c r="AE1830" s="583"/>
    </row>
    <row r="1831" spans="1:31" ht="12.75" customHeight="1">
      <c r="A1831" s="1384" t="s">
        <v>2504</v>
      </c>
      <c r="B1831" s="19" t="s">
        <v>77</v>
      </c>
      <c r="C1831" s="1383">
        <v>2130</v>
      </c>
      <c r="D1831" s="1236">
        <v>0</v>
      </c>
      <c r="E1831" s="1236">
        <v>0</v>
      </c>
      <c r="F1831" s="1344">
        <f>(1/S1831)*cnst_fish!$C$6</f>
        <v>0.16946922663690964</v>
      </c>
      <c r="G1831" s="719">
        <f t="shared" si="265"/>
        <v>1</v>
      </c>
      <c r="H1831" s="719">
        <f t="shared" si="265"/>
        <v>0.367192066876738</v>
      </c>
      <c r="I1831" s="719">
        <f t="shared" si="258"/>
        <v>0</v>
      </c>
      <c r="J1831" s="1386">
        <f t="shared" si="259"/>
        <v>0</v>
      </c>
      <c r="L1831" s="1460">
        <v>0</v>
      </c>
      <c r="M1831" s="1236">
        <v>0</v>
      </c>
      <c r="N1831" s="1240" t="s">
        <v>1806</v>
      </c>
      <c r="O1831" s="1241" t="s">
        <v>4845</v>
      </c>
      <c r="P1831" s="910">
        <f t="shared" si="260"/>
        <v>0</v>
      </c>
      <c r="Q1831" s="910">
        <f t="shared" si="261"/>
        <v>0</v>
      </c>
      <c r="R1831" s="1344">
        <f t="shared" si="262"/>
        <v>3.25</v>
      </c>
      <c r="S1831" s="1344">
        <f>(1/9)*cnst_fish!$C$7*(1/cnst_fish!$C$8)^(R1831-1)</f>
        <v>25.078299372343796</v>
      </c>
      <c r="T1831" s="1362">
        <f t="shared" si="263"/>
        <v>0</v>
      </c>
      <c r="W1831" s="1612"/>
      <c r="X1831" s="1612"/>
      <c r="Y1831" s="1613"/>
      <c r="Z1831" s="1614"/>
      <c r="AA1831" s="1614"/>
      <c r="AB1831" s="1615"/>
      <c r="AC1831" s="1615"/>
      <c r="AD1831" s="583"/>
      <c r="AE1831" s="583"/>
    </row>
    <row r="1832" spans="1:31" ht="12.75" customHeight="1">
      <c r="A1832" s="1384" t="s">
        <v>3995</v>
      </c>
      <c r="B1832" s="19" t="s">
        <v>3996</v>
      </c>
      <c r="C1832" s="1383">
        <v>18375</v>
      </c>
      <c r="D1832" s="1236"/>
      <c r="E1832" s="1236"/>
      <c r="F1832" s="1344">
        <f>(1/S1832)*cnst_fish!$C$6</f>
        <v>0.14481532779905856</v>
      </c>
      <c r="G1832" s="719">
        <f t="shared" si="265"/>
        <v>1</v>
      </c>
      <c r="H1832" s="719">
        <f t="shared" si="265"/>
        <v>0.367192066876738</v>
      </c>
      <c r="I1832" s="719">
        <f t="shared" si="258"/>
        <v>0</v>
      </c>
      <c r="J1832" s="1386">
        <f t="shared" si="259"/>
        <v>0</v>
      </c>
      <c r="L1832" s="1460">
        <v>163</v>
      </c>
      <c r="M1832" s="1236"/>
      <c r="N1832" s="1240" t="s">
        <v>1804</v>
      </c>
      <c r="O1832" s="1241" t="s">
        <v>4851</v>
      </c>
      <c r="P1832" s="910">
        <f t="shared" si="260"/>
        <v>0</v>
      </c>
      <c r="Q1832" s="910">
        <f t="shared" si="261"/>
        <v>163</v>
      </c>
      <c r="R1832" s="1344">
        <f t="shared" si="262"/>
        <v>3.3182763159269002</v>
      </c>
      <c r="S1832" s="1344">
        <f>(1/9)*cnst_fish!$C$7*(1/cnst_fish!$C$8)^(R1832-1)</f>
        <v>29.347722127157517</v>
      </c>
      <c r="T1832" s="1362">
        <f t="shared" si="263"/>
        <v>413.30091096404908</v>
      </c>
      <c r="W1832" s="1612"/>
      <c r="X1832" s="1612"/>
      <c r="Y1832" s="1613"/>
      <c r="Z1832" s="1614"/>
      <c r="AA1832" s="1614"/>
      <c r="AB1832" s="1615"/>
      <c r="AC1832" s="1615"/>
      <c r="AD1832" s="583"/>
      <c r="AE1832" s="583"/>
    </row>
    <row r="1833" spans="1:31" ht="12.75" customHeight="1">
      <c r="A1833" s="1384" t="s">
        <v>5241</v>
      </c>
      <c r="B1833" s="19" t="s">
        <v>4570</v>
      </c>
      <c r="C1833" s="1383">
        <v>16342</v>
      </c>
      <c r="D1833" s="1236"/>
      <c r="E1833" s="1236"/>
      <c r="F1833" s="1344">
        <f>(1/S1833)*cnst_fish!$C$6</f>
        <v>0.3314045734418738</v>
      </c>
      <c r="G1833" s="719">
        <f t="shared" si="265"/>
        <v>1</v>
      </c>
      <c r="H1833" s="719">
        <f t="shared" si="265"/>
        <v>0.367192066876738</v>
      </c>
      <c r="I1833" s="719">
        <f t="shared" si="258"/>
        <v>0</v>
      </c>
      <c r="J1833" s="1386">
        <f t="shared" si="259"/>
        <v>0</v>
      </c>
      <c r="L1833" s="1460">
        <v>1843</v>
      </c>
      <c r="M1833" s="1236"/>
      <c r="N1833" s="1240" t="s">
        <v>3932</v>
      </c>
      <c r="O1833" s="1241" t="s">
        <v>4840</v>
      </c>
      <c r="P1833" s="910">
        <f t="shared" si="260"/>
        <v>0</v>
      </c>
      <c r="Q1833" s="910">
        <f t="shared" si="261"/>
        <v>1843</v>
      </c>
      <c r="R1833" s="1344">
        <f t="shared" si="262"/>
        <v>2.9587323501170402</v>
      </c>
      <c r="S1833" s="1344">
        <f>(1/9)*cnst_fish!$C$7*(1/cnst_fish!$C$8)^(R1833-1)</f>
        <v>12.824204433453367</v>
      </c>
      <c r="T1833" s="1362">
        <f t="shared" si="263"/>
        <v>2042.020640287039</v>
      </c>
      <c r="W1833" s="1612"/>
      <c r="X1833" s="1612"/>
      <c r="Y1833" s="1613"/>
      <c r="Z1833" s="1614"/>
      <c r="AA1833" s="1614"/>
      <c r="AB1833" s="1615"/>
      <c r="AC1833" s="1615"/>
      <c r="AD1833" s="583"/>
      <c r="AE1833" s="583"/>
    </row>
    <row r="1834" spans="1:31" ht="12.75" customHeight="1">
      <c r="A1834" s="1384" t="s">
        <v>4645</v>
      </c>
      <c r="B1834" s="19" t="s">
        <v>5536</v>
      </c>
      <c r="C1834" s="1383">
        <v>3017</v>
      </c>
      <c r="D1834" s="1236">
        <v>1362217</v>
      </c>
      <c r="E1834" s="1236"/>
      <c r="F1834" s="1344">
        <f>(1/S1834)*cnst_fish!$C$6</f>
        <v>0.10692785320993656</v>
      </c>
      <c r="G1834" s="719">
        <f t="shared" si="265"/>
        <v>1</v>
      </c>
      <c r="H1834" s="719">
        <f t="shared" si="265"/>
        <v>0.367192066876738</v>
      </c>
      <c r="I1834" s="719">
        <f t="shared" si="258"/>
        <v>4677876.3507256825</v>
      </c>
      <c r="J1834" s="1386">
        <f t="shared" si="259"/>
        <v>0</v>
      </c>
      <c r="L1834" s="1460">
        <v>3239296</v>
      </c>
      <c r="M1834" s="1236"/>
      <c r="N1834" s="1240" t="s">
        <v>1806</v>
      </c>
      <c r="O1834" s="1241" t="s">
        <v>4841</v>
      </c>
      <c r="P1834" s="910">
        <f t="shared" si="260"/>
        <v>1362217</v>
      </c>
      <c r="Q1834" s="910">
        <f t="shared" si="261"/>
        <v>3239296</v>
      </c>
      <c r="R1834" s="1344">
        <f t="shared" si="262"/>
        <v>3.45</v>
      </c>
      <c r="S1834" s="1344">
        <f>(1/9)*cnst_fish!$C$7*(1/cnst_fish!$C$8)^(R1834-1)</f>
        <v>39.746425953729492</v>
      </c>
      <c r="T1834" s="1362">
        <f t="shared" si="263"/>
        <v>11123797.56778861</v>
      </c>
      <c r="W1834" s="1612"/>
      <c r="X1834" s="1612"/>
      <c r="Y1834" s="1613"/>
      <c r="Z1834" s="1614"/>
      <c r="AA1834" s="1614"/>
      <c r="AB1834" s="1615"/>
      <c r="AC1834" s="1615"/>
      <c r="AD1834" s="583"/>
      <c r="AE1834" s="583"/>
    </row>
    <row r="1835" spans="1:31" ht="12.75" customHeight="1">
      <c r="A1835" s="1384" t="s">
        <v>2998</v>
      </c>
      <c r="B1835" s="19" t="s">
        <v>2393</v>
      </c>
      <c r="C1835" s="1383">
        <v>2496</v>
      </c>
      <c r="D1835" s="1236">
        <v>13946</v>
      </c>
      <c r="E1835" s="1236"/>
      <c r="F1835" s="1344">
        <f>(1/S1835)*cnst_fish!$C$6</f>
        <v>1.4760152601876367E-2</v>
      </c>
      <c r="G1835" s="719">
        <f t="shared" si="265"/>
        <v>1</v>
      </c>
      <c r="H1835" s="719">
        <f t="shared" si="265"/>
        <v>0.367192066876738</v>
      </c>
      <c r="I1835" s="719">
        <f t="shared" si="258"/>
        <v>346938.1857211967</v>
      </c>
      <c r="J1835" s="1386">
        <f t="shared" si="259"/>
        <v>0</v>
      </c>
      <c r="L1835" s="1460">
        <v>241739</v>
      </c>
      <c r="M1835" s="1236"/>
      <c r="N1835" s="1240" t="s">
        <v>2969</v>
      </c>
      <c r="O1835" s="1241" t="s">
        <v>4859</v>
      </c>
      <c r="P1835" s="910">
        <f t="shared" si="260"/>
        <v>13946</v>
      </c>
      <c r="Q1835" s="910">
        <f t="shared" si="261"/>
        <v>241739</v>
      </c>
      <c r="R1835" s="1344">
        <f t="shared" si="262"/>
        <v>4.3099999999999996</v>
      </c>
      <c r="S1835" s="1344">
        <f>(1/9)*cnst_fish!$C$7*(1/cnst_fish!$C$8)^(R1835-1)</f>
        <v>287.93740245339495</v>
      </c>
      <c r="T1835" s="1362">
        <f t="shared" si="263"/>
        <v>6013802.5296182688</v>
      </c>
      <c r="W1835" s="1612"/>
      <c r="X1835" s="1612"/>
      <c r="Y1835" s="1613"/>
      <c r="Z1835" s="1614"/>
      <c r="AA1835" s="1614"/>
      <c r="AB1835" s="1615"/>
      <c r="AC1835" s="1615"/>
      <c r="AD1835" s="583"/>
      <c r="AE1835" s="583"/>
    </row>
    <row r="1836" spans="1:31" ht="12.75" customHeight="1">
      <c r="A1836" s="1384" t="s">
        <v>4769</v>
      </c>
      <c r="B1836" s="19" t="s">
        <v>2394</v>
      </c>
      <c r="C1836" s="1383">
        <v>2497</v>
      </c>
      <c r="D1836" s="1236">
        <v>19391</v>
      </c>
      <c r="E1836" s="1236"/>
      <c r="F1836" s="1344">
        <f>(1/S1836)*cnst_fish!$C$6</f>
        <v>1.3774975896121007E-2</v>
      </c>
      <c r="G1836" s="719">
        <f t="shared" si="265"/>
        <v>1</v>
      </c>
      <c r="H1836" s="719">
        <f t="shared" si="265"/>
        <v>0.367192066876738</v>
      </c>
      <c r="I1836" s="719">
        <f t="shared" si="258"/>
        <v>516895.37771255634</v>
      </c>
      <c r="J1836" s="1386">
        <f t="shared" si="259"/>
        <v>0</v>
      </c>
      <c r="L1836" s="1460">
        <v>1312401</v>
      </c>
      <c r="M1836" s="1236"/>
      <c r="N1836" s="1240" t="s">
        <v>2969</v>
      </c>
      <c r="O1836" s="1241" t="s">
        <v>4859</v>
      </c>
      <c r="P1836" s="910">
        <f t="shared" si="260"/>
        <v>19391</v>
      </c>
      <c r="Q1836" s="910">
        <f t="shared" si="261"/>
        <v>1312401</v>
      </c>
      <c r="R1836" s="1344">
        <f t="shared" si="262"/>
        <v>4.34</v>
      </c>
      <c r="S1836" s="1344">
        <f>(1/9)*cnst_fish!$C$7*(1/cnst_fish!$C$8)^(R1836-1)</f>
        <v>308.53048542878304</v>
      </c>
      <c r="T1836" s="1362">
        <f t="shared" si="263"/>
        <v>34983962.178605363</v>
      </c>
      <c r="W1836" s="1612"/>
      <c r="X1836" s="1612"/>
      <c r="Y1836" s="1613"/>
      <c r="Z1836" s="1614"/>
      <c r="AA1836" s="1614"/>
      <c r="AB1836" s="1615"/>
      <c r="AC1836" s="1615"/>
      <c r="AD1836" s="583"/>
      <c r="AE1836" s="583"/>
    </row>
    <row r="1837" spans="1:31" ht="12.75" customHeight="1">
      <c r="A1837" s="1384" t="s">
        <v>5297</v>
      </c>
      <c r="B1837" s="19" t="s">
        <v>2395</v>
      </c>
      <c r="C1837" s="1383">
        <v>3297</v>
      </c>
      <c r="D1837" s="1236">
        <v>19</v>
      </c>
      <c r="E1837" s="1236"/>
      <c r="F1837" s="1344">
        <f>(1/S1837)*cnst_fish!$C$6</f>
        <v>2.234039499920492E-2</v>
      </c>
      <c r="G1837" s="719">
        <f t="shared" si="265"/>
        <v>1</v>
      </c>
      <c r="H1837" s="719">
        <f t="shared" si="265"/>
        <v>0.367192066876738</v>
      </c>
      <c r="I1837" s="719">
        <f t="shared" si="258"/>
        <v>312.28853701585473</v>
      </c>
      <c r="J1837" s="1386">
        <f t="shared" si="259"/>
        <v>0</v>
      </c>
      <c r="L1837" s="1460">
        <v>1926</v>
      </c>
      <c r="M1837" s="1236"/>
      <c r="N1837" s="1240" t="s">
        <v>2969</v>
      </c>
      <c r="O1837" s="1241" t="s">
        <v>4859</v>
      </c>
      <c r="P1837" s="910">
        <f t="shared" si="260"/>
        <v>19</v>
      </c>
      <c r="Q1837" s="910">
        <f t="shared" si="261"/>
        <v>1926</v>
      </c>
      <c r="R1837" s="1344">
        <f t="shared" si="262"/>
        <v>4.13</v>
      </c>
      <c r="S1837" s="1344">
        <f>(1/9)*cnst_fish!$C$7*(1/cnst_fish!$C$8)^(R1837-1)</f>
        <v>190.23835523728451</v>
      </c>
      <c r="T1837" s="1362">
        <f t="shared" si="263"/>
        <v>31656.195910133487</v>
      </c>
      <c r="W1837" s="1612"/>
      <c r="X1837" s="1612"/>
      <c r="Y1837" s="1613"/>
      <c r="Z1837" s="1614"/>
      <c r="AA1837" s="1614"/>
      <c r="AB1837" s="1615"/>
      <c r="AC1837" s="1615"/>
      <c r="AD1837" s="583"/>
      <c r="AE1837" s="583"/>
    </row>
    <row r="1838" spans="1:31" ht="12.75" customHeight="1">
      <c r="A1838" s="1384" t="s">
        <v>2988</v>
      </c>
      <c r="B1838" s="19" t="s">
        <v>2396</v>
      </c>
      <c r="C1838" s="1383">
        <v>3298</v>
      </c>
      <c r="D1838" s="1236"/>
      <c r="E1838" s="1236"/>
      <c r="F1838" s="1344">
        <f>(1/S1838)*cnst_fish!$C$6</f>
        <v>3.5407139951132149E-2</v>
      </c>
      <c r="G1838" s="719">
        <f t="shared" si="265"/>
        <v>1</v>
      </c>
      <c r="H1838" s="719">
        <f t="shared" si="265"/>
        <v>0.367192066876738</v>
      </c>
      <c r="I1838" s="719">
        <f t="shared" si="258"/>
        <v>0</v>
      </c>
      <c r="J1838" s="1386">
        <f t="shared" si="259"/>
        <v>0</v>
      </c>
      <c r="L1838" s="1460">
        <v>11147</v>
      </c>
      <c r="M1838" s="1236"/>
      <c r="N1838" s="1240" t="s">
        <v>2969</v>
      </c>
      <c r="O1838" s="1241" t="s">
        <v>4859</v>
      </c>
      <c r="P1838" s="910">
        <f t="shared" si="260"/>
        <v>0</v>
      </c>
      <c r="Q1838" s="910">
        <f t="shared" si="261"/>
        <v>11147</v>
      </c>
      <c r="R1838" s="1344">
        <f t="shared" si="262"/>
        <v>3.93</v>
      </c>
      <c r="S1838" s="1344">
        <f>(1/9)*cnst_fish!$C$7*(1/cnst_fish!$C$8)^(R1838-1)</f>
        <v>120.03228743879681</v>
      </c>
      <c r="T1838" s="1362">
        <f t="shared" si="263"/>
        <v>115600.69452444212</v>
      </c>
      <c r="W1838" s="1612"/>
      <c r="X1838" s="1612"/>
      <c r="Y1838" s="1613"/>
      <c r="Z1838" s="1614"/>
      <c r="AA1838" s="1614"/>
      <c r="AB1838" s="1615"/>
      <c r="AC1838" s="1615"/>
      <c r="AD1838" s="583"/>
      <c r="AE1838" s="583"/>
    </row>
    <row r="1839" spans="1:31" ht="12.75" customHeight="1">
      <c r="A1839" s="1384" t="s">
        <v>2999</v>
      </c>
      <c r="B1839" s="19" t="s">
        <v>2397</v>
      </c>
      <c r="C1839" s="1383">
        <v>2498</v>
      </c>
      <c r="D1839" s="1236">
        <v>12035</v>
      </c>
      <c r="E1839" s="1236"/>
      <c r="F1839" s="1344">
        <f>(1/S1839)*cnst_fish!$C$6</f>
        <v>9.7519361156519751E-3</v>
      </c>
      <c r="G1839" s="719">
        <f t="shared" si="265"/>
        <v>1</v>
      </c>
      <c r="H1839" s="719">
        <f t="shared" si="265"/>
        <v>0.367192066876738</v>
      </c>
      <c r="I1839" s="719">
        <f t="shared" si="258"/>
        <v>453156.83700683212</v>
      </c>
      <c r="J1839" s="1386">
        <f t="shared" si="259"/>
        <v>0</v>
      </c>
      <c r="L1839" s="1460">
        <v>399833</v>
      </c>
      <c r="M1839" s="1236"/>
      <c r="N1839" s="1240" t="s">
        <v>2969</v>
      </c>
      <c r="O1839" s="1241" t="s">
        <v>4859</v>
      </c>
      <c r="P1839" s="910">
        <f t="shared" si="260"/>
        <v>12035</v>
      </c>
      <c r="Q1839" s="910">
        <f t="shared" si="261"/>
        <v>399833</v>
      </c>
      <c r="R1839" s="1344">
        <f t="shared" si="262"/>
        <v>4.49</v>
      </c>
      <c r="S1839" s="1344">
        <f>(1/9)*cnst_fish!$C$7*(1/cnst_fish!$C$8)^(R1839-1)</f>
        <v>435.81089432883982</v>
      </c>
      <c r="T1839" s="1362">
        <f t="shared" si="263"/>
        <v>15055011.018774634</v>
      </c>
      <c r="W1839" s="1612"/>
      <c r="X1839" s="1612"/>
      <c r="Y1839" s="1613"/>
      <c r="Z1839" s="1614"/>
      <c r="AA1839" s="1614"/>
      <c r="AB1839" s="1615"/>
      <c r="AC1839" s="1615"/>
      <c r="AD1839" s="583"/>
      <c r="AE1839" s="583"/>
    </row>
    <row r="1840" spans="1:31" ht="12.75" customHeight="1">
      <c r="A1840" s="1384" t="s">
        <v>4767</v>
      </c>
      <c r="B1840" s="19" t="s">
        <v>2398</v>
      </c>
      <c r="C1840" s="1383">
        <v>18734</v>
      </c>
      <c r="D1840" s="1236">
        <v>10</v>
      </c>
      <c r="E1840" s="1236"/>
      <c r="F1840" s="1344">
        <f>(1/S1840)*cnst_fish!$C$6</f>
        <v>1.8581931192461935E-2</v>
      </c>
      <c r="G1840" s="719">
        <f t="shared" si="265"/>
        <v>1</v>
      </c>
      <c r="H1840" s="719">
        <f t="shared" si="265"/>
        <v>0.367192066876738</v>
      </c>
      <c r="I1840" s="719">
        <f t="shared" si="258"/>
        <v>197.60705336466617</v>
      </c>
      <c r="J1840" s="1386">
        <f t="shared" si="259"/>
        <v>0</v>
      </c>
      <c r="L1840" s="1460">
        <v>10536</v>
      </c>
      <c r="M1840" s="1236"/>
      <c r="N1840" s="1240" t="s">
        <v>2969</v>
      </c>
      <c r="O1840" s="1241" t="s">
        <v>4859</v>
      </c>
      <c r="P1840" s="910">
        <f t="shared" si="260"/>
        <v>10</v>
      </c>
      <c r="Q1840" s="910">
        <f t="shared" si="261"/>
        <v>10536</v>
      </c>
      <c r="R1840" s="1344">
        <f t="shared" si="262"/>
        <v>4.21</v>
      </c>
      <c r="S1840" s="1344">
        <f>(1/9)*cnst_fish!$C$7*(1/cnst_fish!$C$8)^(R1840-1)</f>
        <v>228.71680860190045</v>
      </c>
      <c r="T1840" s="1362">
        <f t="shared" si="263"/>
        <v>208198.79142501226</v>
      </c>
      <c r="W1840" s="1612"/>
      <c r="X1840" s="1612"/>
      <c r="Y1840" s="1613"/>
      <c r="Z1840" s="1614"/>
      <c r="AA1840" s="1614"/>
      <c r="AB1840" s="1615"/>
      <c r="AC1840" s="1615"/>
      <c r="AD1840" s="583"/>
      <c r="AE1840" s="583"/>
    </row>
    <row r="1841" spans="1:31" ht="12.75" customHeight="1">
      <c r="A1841" s="1384" t="s">
        <v>1391</v>
      </c>
      <c r="B1841" s="19" t="s">
        <v>2399</v>
      </c>
      <c r="C1841" s="1383">
        <v>3296</v>
      </c>
      <c r="D1841" s="1236">
        <v>379</v>
      </c>
      <c r="E1841" s="1236"/>
      <c r="F1841" s="1344">
        <f>(1/S1841)*cnst_fish!$C$6</f>
        <v>1.1196720767792065E-2</v>
      </c>
      <c r="G1841" s="719">
        <f t="shared" si="265"/>
        <v>1</v>
      </c>
      <c r="H1841" s="719">
        <f t="shared" si="265"/>
        <v>0.367192066876738</v>
      </c>
      <c r="I1841" s="719">
        <f t="shared" si="258"/>
        <v>12429.156378231844</v>
      </c>
      <c r="J1841" s="1386">
        <f t="shared" si="259"/>
        <v>0</v>
      </c>
      <c r="L1841" s="1460">
        <v>14520</v>
      </c>
      <c r="M1841" s="1236"/>
      <c r="N1841" s="1240" t="s">
        <v>2969</v>
      </c>
      <c r="O1841" s="1241" t="s">
        <v>4859</v>
      </c>
      <c r="P1841" s="910">
        <f t="shared" si="260"/>
        <v>379</v>
      </c>
      <c r="Q1841" s="910">
        <f t="shared" si="261"/>
        <v>14520</v>
      </c>
      <c r="R1841" s="1344">
        <f t="shared" si="262"/>
        <v>4.43</v>
      </c>
      <c r="S1841" s="1344">
        <f>(1/9)*cnst_fish!$C$7*(1/cnst_fish!$C$8)^(R1841-1)</f>
        <v>379.57542106661629</v>
      </c>
      <c r="T1841" s="1362">
        <f t="shared" si="263"/>
        <v>476177.70610006963</v>
      </c>
      <c r="W1841" s="1612"/>
      <c r="X1841" s="1612"/>
      <c r="Y1841" s="1613"/>
      <c r="Z1841" s="1614"/>
      <c r="AA1841" s="1614"/>
      <c r="AB1841" s="1615"/>
      <c r="AC1841" s="1615"/>
      <c r="AD1841" s="583"/>
      <c r="AE1841" s="583"/>
    </row>
    <row r="1842" spans="1:31" ht="12.75" customHeight="1">
      <c r="A1842" s="1384" t="s">
        <v>4557</v>
      </c>
      <c r="B1842" s="19" t="s">
        <v>2400</v>
      </c>
      <c r="C1842" s="1383">
        <v>2495</v>
      </c>
      <c r="D1842" s="1236"/>
      <c r="E1842" s="1236"/>
      <c r="F1842" s="1344">
        <f>(1/S1842)*cnst_fish!$C$6</f>
        <v>9.5299549485983424E-3</v>
      </c>
      <c r="G1842" s="719">
        <f t="shared" si="265"/>
        <v>1</v>
      </c>
      <c r="H1842" s="719">
        <f t="shared" si="265"/>
        <v>0.367192066876738</v>
      </c>
      <c r="I1842" s="719">
        <f t="shared" si="258"/>
        <v>0</v>
      </c>
      <c r="J1842" s="1386">
        <f t="shared" si="259"/>
        <v>0</v>
      </c>
      <c r="L1842" s="1460">
        <v>231725</v>
      </c>
      <c r="M1842" s="1236"/>
      <c r="N1842" s="1240" t="s">
        <v>2969</v>
      </c>
      <c r="O1842" s="1241" t="s">
        <v>4859</v>
      </c>
      <c r="P1842" s="910">
        <f t="shared" si="260"/>
        <v>0</v>
      </c>
      <c r="Q1842" s="910">
        <f t="shared" si="261"/>
        <v>231725</v>
      </c>
      <c r="R1842" s="1344">
        <f t="shared" si="262"/>
        <v>4.5</v>
      </c>
      <c r="S1842" s="1344">
        <f>(1/9)*cnst_fish!$C$7*(1/cnst_fish!$C$8)^(R1842-1)</f>
        <v>445.96223412630997</v>
      </c>
      <c r="T1842" s="1362">
        <f t="shared" si="263"/>
        <v>8928434.8305892795</v>
      </c>
      <c r="W1842" s="1612"/>
      <c r="X1842" s="1612"/>
      <c r="Y1842" s="1613"/>
      <c r="Z1842" s="1614"/>
      <c r="AA1842" s="1614"/>
      <c r="AB1842" s="1615"/>
      <c r="AC1842" s="1615"/>
      <c r="AD1842" s="583"/>
      <c r="AE1842" s="583"/>
    </row>
    <row r="1843" spans="1:31" ht="12.75" customHeight="1">
      <c r="A1843" s="1384" t="s">
        <v>4306</v>
      </c>
      <c r="B1843" s="19" t="s">
        <v>78</v>
      </c>
      <c r="C1843" s="1383">
        <v>2122</v>
      </c>
      <c r="D1843" s="1236"/>
      <c r="E1843" s="1236"/>
      <c r="F1843" s="1344">
        <f>(1/S1843)*cnst_fish!$C$6</f>
        <v>0.23938164528281752</v>
      </c>
      <c r="G1843" s="719">
        <f t="shared" si="265"/>
        <v>1</v>
      </c>
      <c r="H1843" s="719">
        <f t="shared" si="265"/>
        <v>0.367192066876738</v>
      </c>
      <c r="I1843" s="719">
        <f t="shared" si="258"/>
        <v>0</v>
      </c>
      <c r="J1843" s="1386">
        <f t="shared" si="259"/>
        <v>0</v>
      </c>
      <c r="L1843" s="1460"/>
      <c r="M1843" s="1236">
        <v>115</v>
      </c>
      <c r="N1843" s="1240" t="s">
        <v>1806</v>
      </c>
      <c r="O1843" s="1241" t="s">
        <v>4845</v>
      </c>
      <c r="P1843" s="910">
        <f t="shared" si="260"/>
        <v>0</v>
      </c>
      <c r="Q1843" s="910">
        <f t="shared" si="261"/>
        <v>115</v>
      </c>
      <c r="R1843" s="1344">
        <f t="shared" si="262"/>
        <v>3.1</v>
      </c>
      <c r="S1843" s="1344">
        <f>(1/9)*cnst_fish!$C$7*(1/cnst_fish!$C$8)^(R1843-1)</f>
        <v>17.754076320174157</v>
      </c>
      <c r="T1843" s="1362">
        <f t="shared" si="263"/>
        <v>176.4006912097862</v>
      </c>
      <c r="W1843" s="1612"/>
      <c r="X1843" s="1612"/>
      <c r="Y1843" s="1613"/>
      <c r="Z1843" s="1614"/>
      <c r="AA1843" s="1614"/>
      <c r="AB1843" s="1615"/>
      <c r="AC1843" s="1615"/>
      <c r="AD1843" s="583"/>
      <c r="AE1843" s="583"/>
    </row>
    <row r="1844" spans="1:31" ht="12.75" customHeight="1">
      <c r="A1844" s="1384" t="s">
        <v>2790</v>
      </c>
      <c r="B1844" s="19" t="s">
        <v>2791</v>
      </c>
      <c r="C1844" s="1383">
        <v>16282</v>
      </c>
      <c r="D1844" s="1236"/>
      <c r="E1844" s="1236"/>
      <c r="F1844" s="1344">
        <f>(1/S1844)*cnst_fish!$C$6</f>
        <v>0.14481532779905856</v>
      </c>
      <c r="G1844" s="719">
        <f t="shared" si="265"/>
        <v>1</v>
      </c>
      <c r="H1844" s="719">
        <f t="shared" si="265"/>
        <v>0.367192066876738</v>
      </c>
      <c r="I1844" s="719">
        <f t="shared" si="258"/>
        <v>0</v>
      </c>
      <c r="J1844" s="1386">
        <f t="shared" si="259"/>
        <v>0</v>
      </c>
      <c r="L1844" s="1460">
        <v>0</v>
      </c>
      <c r="M1844" s="1236"/>
      <c r="N1844" s="1240" t="s">
        <v>3932</v>
      </c>
      <c r="O1844" s="1241" t="s">
        <v>4840</v>
      </c>
      <c r="P1844" s="910">
        <f t="shared" si="260"/>
        <v>0</v>
      </c>
      <c r="Q1844" s="910">
        <f t="shared" si="261"/>
        <v>0</v>
      </c>
      <c r="R1844" s="1344">
        <f t="shared" si="262"/>
        <v>3.3182763159269002</v>
      </c>
      <c r="S1844" s="1344">
        <f>(1/9)*cnst_fish!$C$7*(1/cnst_fish!$C$8)^(R1844-1)</f>
        <v>29.347722127157517</v>
      </c>
      <c r="T1844" s="1362">
        <f t="shared" si="263"/>
        <v>0</v>
      </c>
      <c r="W1844" s="1612"/>
      <c r="X1844" s="1612"/>
      <c r="Y1844" s="1613"/>
      <c r="Z1844" s="1614"/>
      <c r="AA1844" s="1614"/>
      <c r="AB1844" s="1615"/>
      <c r="AC1844" s="1615"/>
      <c r="AD1844" s="583"/>
      <c r="AE1844" s="583"/>
    </row>
    <row r="1845" spans="1:31" ht="12.75" customHeight="1">
      <c r="A1845" s="1384" t="s">
        <v>6917</v>
      </c>
      <c r="B1845" s="19" t="s">
        <v>420</v>
      </c>
      <c r="C1845" s="1383">
        <v>19134</v>
      </c>
      <c r="D1845" s="1236"/>
      <c r="E1845" s="1236"/>
      <c r="F1845" s="1344">
        <f>(1/S1845)*cnst_fish!$C$6</f>
        <v>0.69038420626592389</v>
      </c>
      <c r="G1845" s="719">
        <f t="shared" si="265"/>
        <v>1</v>
      </c>
      <c r="H1845" s="719">
        <f t="shared" si="265"/>
        <v>0.367192066876738</v>
      </c>
      <c r="I1845" s="719">
        <f t="shared" si="258"/>
        <v>0</v>
      </c>
      <c r="J1845" s="1386">
        <f t="shared" si="259"/>
        <v>0</v>
      </c>
      <c r="L1845" s="1460"/>
      <c r="M1845" s="1236">
        <v>2057</v>
      </c>
      <c r="N1845" s="1240" t="s">
        <v>1806</v>
      </c>
      <c r="O1845" s="1241" t="s">
        <v>4845</v>
      </c>
      <c r="P1845" s="910">
        <f t="shared" si="260"/>
        <v>0</v>
      </c>
      <c r="Q1845" s="910">
        <f t="shared" si="261"/>
        <v>2057</v>
      </c>
      <c r="R1845" s="1344">
        <f t="shared" si="262"/>
        <v>2.64</v>
      </c>
      <c r="S1845" s="1344">
        <f>(1/9)*cnst_fish!$C$7*(1/cnst_fish!$C$8)^(R1845-1)</f>
        <v>6.1559925059510627</v>
      </c>
      <c r="T1845" s="1362">
        <f t="shared" si="263"/>
        <v>1094.048900177934</v>
      </c>
      <c r="W1845" s="1612"/>
      <c r="X1845" s="1612"/>
      <c r="Y1845" s="1613"/>
      <c r="Z1845" s="1614"/>
      <c r="AA1845" s="1614"/>
      <c r="AB1845" s="1615"/>
      <c r="AC1845" s="1615"/>
      <c r="AD1845" s="583"/>
      <c r="AE1845" s="583"/>
    </row>
    <row r="1846" spans="1:31" ht="12.75" customHeight="1">
      <c r="A1846" s="1384" t="s">
        <v>1774</v>
      </c>
      <c r="B1846" s="19" t="s">
        <v>4469</v>
      </c>
      <c r="C1846" s="1383">
        <v>2465</v>
      </c>
      <c r="D1846" s="1236"/>
      <c r="E1846" s="1236"/>
      <c r="F1846" s="1344">
        <f>(1/S1846)*cnst_fish!$C$6</f>
        <v>5.4839166784473523E-2</v>
      </c>
      <c r="G1846" s="719">
        <f t="shared" si="265"/>
        <v>1</v>
      </c>
      <c r="H1846" s="719">
        <f t="shared" si="265"/>
        <v>0.367192066876738</v>
      </c>
      <c r="I1846" s="719">
        <f t="shared" si="258"/>
        <v>0</v>
      </c>
      <c r="J1846" s="1386">
        <f t="shared" si="259"/>
        <v>0</v>
      </c>
      <c r="L1846" s="1460">
        <v>39258</v>
      </c>
      <c r="M1846" s="1236"/>
      <c r="N1846" s="1240" t="s">
        <v>1806</v>
      </c>
      <c r="O1846" s="1241" t="s">
        <v>4841</v>
      </c>
      <c r="P1846" s="910">
        <f t="shared" si="260"/>
        <v>0</v>
      </c>
      <c r="Q1846" s="910">
        <f t="shared" si="261"/>
        <v>39258</v>
      </c>
      <c r="R1846" s="1344">
        <f t="shared" si="262"/>
        <v>3.74</v>
      </c>
      <c r="S1846" s="1344">
        <f>(1/9)*cnst_fish!$C$7*(1/cnst_fish!$C$8)^(R1846-1)</f>
        <v>77.499354005562537</v>
      </c>
      <c r="T1846" s="1362">
        <f t="shared" si="263"/>
        <v>262863.69773087668</v>
      </c>
      <c r="W1846" s="1612"/>
      <c r="X1846" s="1612"/>
      <c r="Y1846" s="1613"/>
      <c r="Z1846" s="1614"/>
      <c r="AA1846" s="1614"/>
      <c r="AB1846" s="1615"/>
      <c r="AC1846" s="1615"/>
      <c r="AD1846" s="583"/>
      <c r="AE1846" s="583"/>
    </row>
    <row r="1847" spans="1:31" ht="12.75" customHeight="1">
      <c r="A1847" s="1384" t="s">
        <v>168</v>
      </c>
      <c r="B1847" s="19" t="s">
        <v>5044</v>
      </c>
      <c r="C1847" s="1383">
        <v>2466</v>
      </c>
      <c r="D1847" s="1236"/>
      <c r="E1847" s="1236"/>
      <c r="F1847" s="1344">
        <f>(1/S1847)*cnst_fish!$C$6</f>
        <v>4.1599762155986937E-2</v>
      </c>
      <c r="G1847" s="719">
        <f t="shared" si="265"/>
        <v>1</v>
      </c>
      <c r="H1847" s="719">
        <f t="shared" si="265"/>
        <v>0.367192066876738</v>
      </c>
      <c r="I1847" s="719">
        <f t="shared" si="258"/>
        <v>0</v>
      </c>
      <c r="J1847" s="1386">
        <f t="shared" si="259"/>
        <v>0</v>
      </c>
      <c r="L1847" s="1460">
        <v>0</v>
      </c>
      <c r="M1847" s="1236"/>
      <c r="N1847" s="1240" t="s">
        <v>1806</v>
      </c>
      <c r="O1847" s="1241" t="s">
        <v>4841</v>
      </c>
      <c r="P1847" s="910">
        <f t="shared" si="260"/>
        <v>0</v>
      </c>
      <c r="Q1847" s="910">
        <f t="shared" si="261"/>
        <v>0</v>
      </c>
      <c r="R1847" s="1344">
        <f t="shared" si="262"/>
        <v>3.86</v>
      </c>
      <c r="S1847" s="1344">
        <f>(1/9)*cnst_fish!$C$7*(1/cnst_fish!$C$8)^(R1847-1)</f>
        <v>102.16404565160117</v>
      </c>
      <c r="T1847" s="1362">
        <f t="shared" si="263"/>
        <v>0</v>
      </c>
      <c r="W1847" s="1612"/>
      <c r="X1847" s="1612"/>
      <c r="Y1847" s="1613"/>
      <c r="Z1847" s="1614"/>
      <c r="AA1847" s="1614"/>
      <c r="AB1847" s="1615"/>
      <c r="AC1847" s="1615"/>
      <c r="AD1847" s="583"/>
      <c r="AE1847" s="583"/>
    </row>
    <row r="1848" spans="1:31" ht="12.75" customHeight="1">
      <c r="A1848" s="1384" t="s">
        <v>3356</v>
      </c>
      <c r="B1848" s="19" t="s">
        <v>2906</v>
      </c>
      <c r="C1848" s="1383">
        <v>2154</v>
      </c>
      <c r="D1848" s="1236"/>
      <c r="E1848" s="1236"/>
      <c r="F1848" s="1344">
        <f>(1/S1848)*cnst_fish!$C$6</f>
        <v>9.7519361156519699E-2</v>
      </c>
      <c r="G1848" s="719">
        <f t="shared" ref="G1848:H1867" si="266">G$7</f>
        <v>1</v>
      </c>
      <c r="H1848" s="719">
        <f t="shared" si="266"/>
        <v>0.367192066876738</v>
      </c>
      <c r="I1848" s="719">
        <f t="shared" si="258"/>
        <v>0</v>
      </c>
      <c r="J1848" s="1386">
        <f t="shared" si="259"/>
        <v>0</v>
      </c>
      <c r="L1848" s="1460">
        <v>16</v>
      </c>
      <c r="M1848" s="1236">
        <v>1741</v>
      </c>
      <c r="N1848" s="1240" t="s">
        <v>1806</v>
      </c>
      <c r="O1848" s="1241" t="s">
        <v>4845</v>
      </c>
      <c r="P1848" s="910">
        <f t="shared" si="260"/>
        <v>0</v>
      </c>
      <c r="Q1848" s="910">
        <f t="shared" si="261"/>
        <v>1757</v>
      </c>
      <c r="R1848" s="1344">
        <f t="shared" si="262"/>
        <v>3.49</v>
      </c>
      <c r="S1848" s="1344">
        <f>(1/9)*cnst_fish!$C$7*(1/cnst_fish!$C$8)^(R1848-1)</f>
        <v>43.581089432884006</v>
      </c>
      <c r="T1848" s="1362">
        <f t="shared" si="263"/>
        <v>6615.675634574196</v>
      </c>
      <c r="W1848" s="1612"/>
      <c r="X1848" s="1612"/>
      <c r="Y1848" s="1613"/>
      <c r="Z1848" s="1614"/>
      <c r="AA1848" s="1614"/>
      <c r="AB1848" s="1615"/>
      <c r="AC1848" s="1615"/>
      <c r="AD1848" s="583"/>
      <c r="AE1848" s="583"/>
    </row>
    <row r="1849" spans="1:31" ht="12.75" customHeight="1">
      <c r="A1849" s="1384" t="s">
        <v>278</v>
      </c>
      <c r="B1849" s="19" t="s">
        <v>4764</v>
      </c>
      <c r="C1849" s="1383">
        <v>17573</v>
      </c>
      <c r="D1849" s="1236"/>
      <c r="E1849" s="1236"/>
      <c r="F1849" s="1344">
        <f>(1/S1849)*cnst_fish!$C$6</f>
        <v>2.6141530827766903</v>
      </c>
      <c r="G1849" s="719">
        <f t="shared" si="266"/>
        <v>1</v>
      </c>
      <c r="H1849" s="719">
        <f t="shared" si="266"/>
        <v>0.367192066876738</v>
      </c>
      <c r="I1849" s="719">
        <f t="shared" si="258"/>
        <v>0</v>
      </c>
      <c r="J1849" s="1386">
        <f t="shared" si="259"/>
        <v>0</v>
      </c>
      <c r="L1849" s="1460">
        <v>1495</v>
      </c>
      <c r="M1849" s="1236"/>
      <c r="N1849" s="1240" t="s">
        <v>1804</v>
      </c>
      <c r="O1849" s="1241" t="s">
        <v>4851</v>
      </c>
      <c r="P1849" s="910">
        <f t="shared" si="260"/>
        <v>0</v>
      </c>
      <c r="Q1849" s="910">
        <f t="shared" si="261"/>
        <v>1495</v>
      </c>
      <c r="R1849" s="1344">
        <f t="shared" si="262"/>
        <v>2.0617598316454031</v>
      </c>
      <c r="S1849" s="1344">
        <f>(1/9)*cnst_fish!$C$7*(1/cnst_fish!$C$8)^(R1849-1)</f>
        <v>1.6257655406644176</v>
      </c>
      <c r="T1849" s="1362">
        <f t="shared" si="263"/>
        <v>209.99234650697642</v>
      </c>
      <c r="W1849" s="1612"/>
      <c r="X1849" s="1612"/>
      <c r="Y1849" s="1613"/>
      <c r="Z1849" s="1614"/>
      <c r="AA1849" s="1614"/>
      <c r="AB1849" s="1615"/>
      <c r="AC1849" s="1615"/>
      <c r="AD1849" s="583"/>
      <c r="AE1849" s="583"/>
    </row>
    <row r="1850" spans="1:31" ht="12.75" customHeight="1">
      <c r="A1850" s="1384" t="s">
        <v>6416</v>
      </c>
      <c r="B1850" s="19" t="s">
        <v>6415</v>
      </c>
      <c r="C1850" s="1383">
        <v>16946</v>
      </c>
      <c r="D1850" s="1236"/>
      <c r="E1850" s="1236"/>
      <c r="F1850" s="1344">
        <f>(1/S1850)*cnst_fish!$C$6</f>
        <v>3.0136363636363641</v>
      </c>
      <c r="G1850" s="719">
        <f t="shared" si="266"/>
        <v>1</v>
      </c>
      <c r="H1850" s="719">
        <f t="shared" si="266"/>
        <v>0.367192066876738</v>
      </c>
      <c r="I1850" s="719">
        <f t="shared" si="258"/>
        <v>0</v>
      </c>
      <c r="J1850" s="1386">
        <f t="shared" si="259"/>
        <v>0</v>
      </c>
      <c r="L1850" s="1460">
        <v>0</v>
      </c>
      <c r="M1850" s="1236"/>
      <c r="N1850" s="1240" t="s">
        <v>5368</v>
      </c>
      <c r="O1850" s="1241" t="s">
        <v>4835</v>
      </c>
      <c r="P1850" s="910">
        <f t="shared" si="260"/>
        <v>0</v>
      </c>
      <c r="Q1850" s="910">
        <f t="shared" si="261"/>
        <v>0</v>
      </c>
      <c r="R1850" s="1344">
        <f t="shared" si="262"/>
        <v>2</v>
      </c>
      <c r="S1850" s="1344">
        <f>(1/9)*cnst_fish!$C$7*(1/cnst_fish!$C$8)^(R1850-1)</f>
        <v>1.4102564102564099</v>
      </c>
      <c r="T1850" s="1362">
        <f t="shared" si="263"/>
        <v>0</v>
      </c>
      <c r="W1850" s="1612"/>
      <c r="X1850" s="1612"/>
      <c r="Y1850" s="1613"/>
      <c r="Z1850" s="1614"/>
      <c r="AA1850" s="1614"/>
      <c r="AB1850" s="1615"/>
      <c r="AC1850" s="1615"/>
      <c r="AD1850" s="583"/>
      <c r="AE1850" s="583"/>
    </row>
    <row r="1851" spans="1:31" ht="12.75" customHeight="1">
      <c r="A1851" s="1384" t="s">
        <v>4603</v>
      </c>
      <c r="B1851" s="19" t="s">
        <v>5281</v>
      </c>
      <c r="C1851" s="1383">
        <v>3567</v>
      </c>
      <c r="D1851" s="1236"/>
      <c r="E1851" s="1236"/>
      <c r="F1851" s="1344">
        <f>(1/S1851)*cnst_fish!$C$6</f>
        <v>1.581578846116358E-2</v>
      </c>
      <c r="G1851" s="719">
        <f t="shared" si="266"/>
        <v>1</v>
      </c>
      <c r="H1851" s="719">
        <f t="shared" si="266"/>
        <v>0.367192066876738</v>
      </c>
      <c r="I1851" s="719">
        <f t="shared" si="258"/>
        <v>0</v>
      </c>
      <c r="J1851" s="1386">
        <f t="shared" si="259"/>
        <v>0</v>
      </c>
      <c r="L1851" s="1460">
        <v>338215</v>
      </c>
      <c r="M1851" s="1236"/>
      <c r="N1851" s="1240" t="s">
        <v>5368</v>
      </c>
      <c r="O1851" s="1241" t="s">
        <v>4835</v>
      </c>
      <c r="P1851" s="910">
        <f t="shared" si="260"/>
        <v>0</v>
      </c>
      <c r="Q1851" s="910">
        <f t="shared" si="261"/>
        <v>338215</v>
      </c>
      <c r="R1851" s="1344">
        <f t="shared" si="262"/>
        <v>4.28</v>
      </c>
      <c r="S1851" s="1344">
        <f>(1/9)*cnst_fish!$C$7*(1/cnst_fish!$C$8)^(R1851-1)</f>
        <v>268.71881919994547</v>
      </c>
      <c r="T1851" s="1362">
        <f t="shared" si="263"/>
        <v>7852271.4946314609</v>
      </c>
      <c r="W1851" s="1612"/>
      <c r="X1851" s="1612"/>
      <c r="Y1851" s="1613"/>
      <c r="Z1851" s="1614"/>
      <c r="AA1851" s="1614"/>
      <c r="AB1851" s="1615"/>
      <c r="AC1851" s="1615"/>
      <c r="AD1851" s="583"/>
      <c r="AE1851" s="583"/>
    </row>
    <row r="1852" spans="1:31" ht="12.75" customHeight="1">
      <c r="A1852" s="1384" t="s">
        <v>4138</v>
      </c>
      <c r="B1852" s="19" t="s">
        <v>5282</v>
      </c>
      <c r="C1852" s="1383">
        <v>3566</v>
      </c>
      <c r="D1852" s="1236"/>
      <c r="E1852" s="1236"/>
      <c r="F1852" s="1344">
        <f>(1/S1852)*cnst_fish!$C$6</f>
        <v>2.945037624971374E-2</v>
      </c>
      <c r="G1852" s="719">
        <f t="shared" si="266"/>
        <v>1</v>
      </c>
      <c r="H1852" s="719">
        <f t="shared" si="266"/>
        <v>0.367192066876738</v>
      </c>
      <c r="I1852" s="719">
        <f t="shared" si="258"/>
        <v>0</v>
      </c>
      <c r="J1852" s="1386">
        <f t="shared" si="259"/>
        <v>0</v>
      </c>
      <c r="L1852" s="1460">
        <v>1929</v>
      </c>
      <c r="M1852" s="1236"/>
      <c r="N1852" s="1240" t="s">
        <v>5368</v>
      </c>
      <c r="O1852" s="1241" t="s">
        <v>4835</v>
      </c>
      <c r="P1852" s="910">
        <f t="shared" si="260"/>
        <v>0</v>
      </c>
      <c r="Q1852" s="910">
        <f t="shared" si="261"/>
        <v>1929</v>
      </c>
      <c r="R1852" s="1344">
        <f t="shared" si="262"/>
        <v>4.01</v>
      </c>
      <c r="S1852" s="1344">
        <f>(1/9)*cnst_fish!$C$7*(1/cnst_fish!$C$8)^(R1852-1)</f>
        <v>144.31055019343972</v>
      </c>
      <c r="T1852" s="1362">
        <f t="shared" si="263"/>
        <v>24051.084814650287</v>
      </c>
      <c r="W1852" s="1612"/>
      <c r="X1852" s="1612"/>
      <c r="Y1852" s="1613"/>
      <c r="Z1852" s="1614"/>
      <c r="AA1852" s="1614"/>
      <c r="AB1852" s="1615"/>
      <c r="AC1852" s="1615"/>
      <c r="AD1852" s="583"/>
      <c r="AE1852" s="583"/>
    </row>
    <row r="1853" spans="1:31" ht="12.75" customHeight="1">
      <c r="A1853" s="1384" t="s">
        <v>4056</v>
      </c>
      <c r="B1853" s="19" t="s">
        <v>2733</v>
      </c>
      <c r="C1853" s="1383">
        <v>17821</v>
      </c>
      <c r="D1853" s="1236"/>
      <c r="E1853" s="1236"/>
      <c r="F1853" s="1344">
        <f>(1/S1853)*cnst_fish!$C$6</f>
        <v>3.1663335279055209</v>
      </c>
      <c r="G1853" s="719">
        <f t="shared" si="266"/>
        <v>1</v>
      </c>
      <c r="H1853" s="719">
        <f t="shared" si="266"/>
        <v>0.367192066876738</v>
      </c>
      <c r="I1853" s="719">
        <f t="shared" si="258"/>
        <v>0</v>
      </c>
      <c r="J1853" s="1386">
        <f t="shared" si="259"/>
        <v>0</v>
      </c>
      <c r="L1853" s="1460">
        <v>0</v>
      </c>
      <c r="M1853" s="1236"/>
      <c r="N1853" s="1240" t="s">
        <v>1804</v>
      </c>
      <c r="O1853" s="1241" t="s">
        <v>4851</v>
      </c>
      <c r="P1853" s="910">
        <f t="shared" si="260"/>
        <v>0</v>
      </c>
      <c r="Q1853" s="910">
        <f t="shared" si="261"/>
        <v>0</v>
      </c>
      <c r="R1853" s="1344">
        <f t="shared" si="262"/>
        <v>1.9785341879407026</v>
      </c>
      <c r="S1853" s="1344">
        <f>(1/9)*cnst_fish!$C$7*(1/cnst_fish!$C$8)^(R1853-1)</f>
        <v>1.3422464697871885</v>
      </c>
      <c r="T1853" s="1362">
        <f t="shared" si="263"/>
        <v>0</v>
      </c>
      <c r="W1853" s="1612"/>
      <c r="X1853" s="1612"/>
      <c r="Y1853" s="1613"/>
      <c r="Z1853" s="1614"/>
      <c r="AA1853" s="1614"/>
      <c r="AB1853" s="1615"/>
      <c r="AC1853" s="1615"/>
      <c r="AD1853" s="583"/>
      <c r="AE1853" s="583"/>
    </row>
    <row r="1854" spans="1:31" ht="12.75" customHeight="1">
      <c r="A1854" s="1384" t="s">
        <v>2594</v>
      </c>
      <c r="B1854" s="19" t="s">
        <v>2595</v>
      </c>
      <c r="C1854" s="1383">
        <v>19135</v>
      </c>
      <c r="D1854" s="1236"/>
      <c r="E1854" s="1236"/>
      <c r="F1854" s="1344">
        <f>(1/S1854)*cnst_fish!$C$6</f>
        <v>0.2878000384237327</v>
      </c>
      <c r="G1854" s="719">
        <f t="shared" si="266"/>
        <v>1</v>
      </c>
      <c r="H1854" s="719">
        <f t="shared" si="266"/>
        <v>0.367192066876738</v>
      </c>
      <c r="I1854" s="719">
        <f t="shared" si="258"/>
        <v>0</v>
      </c>
      <c r="J1854" s="1386">
        <f t="shared" si="259"/>
        <v>0</v>
      </c>
      <c r="L1854" s="1460"/>
      <c r="M1854" s="1236">
        <v>537</v>
      </c>
      <c r="N1854" s="1240" t="s">
        <v>1806</v>
      </c>
      <c r="O1854" s="1241" t="s">
        <v>4845</v>
      </c>
      <c r="P1854" s="910">
        <f t="shared" si="260"/>
        <v>0</v>
      </c>
      <c r="Q1854" s="910">
        <f t="shared" si="261"/>
        <v>537</v>
      </c>
      <c r="R1854" s="1344">
        <f t="shared" si="262"/>
        <v>3.02</v>
      </c>
      <c r="S1854" s="1344">
        <f>(1/9)*cnst_fish!$C$7*(1/cnst_fish!$C$8)^(R1854-1)</f>
        <v>14.767197472512686</v>
      </c>
      <c r="T1854" s="1362">
        <f t="shared" si="263"/>
        <v>685.13590544589795</v>
      </c>
      <c r="W1854" s="1612"/>
      <c r="X1854" s="1612"/>
      <c r="Y1854" s="1613"/>
      <c r="Z1854" s="1614"/>
      <c r="AA1854" s="1614"/>
      <c r="AB1854" s="1615"/>
      <c r="AC1854" s="1615"/>
      <c r="AD1854" s="583"/>
      <c r="AE1854" s="583"/>
    </row>
    <row r="1855" spans="1:31" ht="12.75" customHeight="1">
      <c r="A1855" s="1384" t="s">
        <v>3074</v>
      </c>
      <c r="B1855" s="19" t="s">
        <v>5459</v>
      </c>
      <c r="C1855" s="1383">
        <v>2065</v>
      </c>
      <c r="D1855" s="1236"/>
      <c r="E1855" s="1236"/>
      <c r="F1855" s="1344">
        <f>(1/S1855)*cnst_fish!$C$6</f>
        <v>1.4760152601876367E-2</v>
      </c>
      <c r="G1855" s="719">
        <f t="shared" si="266"/>
        <v>1</v>
      </c>
      <c r="H1855" s="719">
        <f t="shared" si="266"/>
        <v>0.367192066876738</v>
      </c>
      <c r="I1855" s="719">
        <f t="shared" si="258"/>
        <v>0</v>
      </c>
      <c r="J1855" s="1386">
        <f t="shared" si="259"/>
        <v>0</v>
      </c>
      <c r="L1855" s="1460">
        <v>77</v>
      </c>
      <c r="M1855" s="1236"/>
      <c r="N1855" s="1240" t="s">
        <v>1806</v>
      </c>
      <c r="O1855" s="1241" t="s">
        <v>4841</v>
      </c>
      <c r="P1855" s="910">
        <f t="shared" si="260"/>
        <v>0</v>
      </c>
      <c r="Q1855" s="910">
        <f t="shared" si="261"/>
        <v>77</v>
      </c>
      <c r="R1855" s="1344">
        <f t="shared" si="262"/>
        <v>4.3099999999999996</v>
      </c>
      <c r="S1855" s="1344">
        <f>(1/9)*cnst_fish!$C$7*(1/cnst_fish!$C$8)^(R1855-1)</f>
        <v>287.93740245339495</v>
      </c>
      <c r="T1855" s="1362">
        <f t="shared" si="263"/>
        <v>1915.5485659351891</v>
      </c>
      <c r="W1855" s="1612"/>
      <c r="X1855" s="1612"/>
      <c r="Y1855" s="1613"/>
      <c r="Z1855" s="1614"/>
      <c r="AA1855" s="1614"/>
      <c r="AB1855" s="1615"/>
      <c r="AC1855" s="1615"/>
      <c r="AD1855" s="583"/>
      <c r="AE1855" s="583"/>
    </row>
    <row r="1856" spans="1:31" ht="12.75" customHeight="1">
      <c r="A1856" s="1384" t="s">
        <v>2218</v>
      </c>
      <c r="B1856" s="19" t="s">
        <v>2558</v>
      </c>
      <c r="C1856" s="1383">
        <v>2345</v>
      </c>
      <c r="D1856" s="1236"/>
      <c r="E1856" s="1236"/>
      <c r="F1856" s="1344">
        <f>(1/S1856)*cnst_fish!$C$6</f>
        <v>2.6247675460949162E-2</v>
      </c>
      <c r="G1856" s="719">
        <f t="shared" si="266"/>
        <v>1</v>
      </c>
      <c r="H1856" s="719">
        <f t="shared" si="266"/>
        <v>0.367192066876738</v>
      </c>
      <c r="I1856" s="719">
        <f t="shared" si="258"/>
        <v>0</v>
      </c>
      <c r="J1856" s="1386">
        <f t="shared" si="259"/>
        <v>0</v>
      </c>
      <c r="L1856" s="1460">
        <v>0</v>
      </c>
      <c r="M1856" s="1236"/>
      <c r="N1856" s="1240" t="s">
        <v>1806</v>
      </c>
      <c r="O1856" s="1241" t="s">
        <v>4841</v>
      </c>
      <c r="P1856" s="910">
        <f t="shared" si="260"/>
        <v>0</v>
      </c>
      <c r="Q1856" s="910">
        <f t="shared" si="261"/>
        <v>0</v>
      </c>
      <c r="R1856" s="1344">
        <f t="shared" si="262"/>
        <v>4.0599999999999996</v>
      </c>
      <c r="S1856" s="1344">
        <f>(1/9)*cnst_fish!$C$7*(1/cnst_fish!$C$8)^(R1856-1)</f>
        <v>161.91910046750908</v>
      </c>
      <c r="T1856" s="1362">
        <f t="shared" si="263"/>
        <v>0</v>
      </c>
      <c r="W1856" s="1612"/>
      <c r="X1856" s="1612"/>
      <c r="Y1856" s="1613"/>
      <c r="Z1856" s="1614"/>
      <c r="AA1856" s="1614"/>
      <c r="AB1856" s="1615"/>
      <c r="AC1856" s="1615"/>
      <c r="AD1856" s="583"/>
      <c r="AE1856" s="583"/>
    </row>
    <row r="1857" spans="1:31" ht="12.75" customHeight="1">
      <c r="A1857" s="1384" t="s">
        <v>3514</v>
      </c>
      <c r="B1857" s="19" t="s">
        <v>3515</v>
      </c>
      <c r="C1857" s="1383">
        <v>19136</v>
      </c>
      <c r="D1857" s="1236"/>
      <c r="E1857" s="1236"/>
      <c r="F1857" s="1344">
        <f>(1/S1857)*cnst_fish!$C$6</f>
        <v>0.2133491159303107</v>
      </c>
      <c r="G1857" s="719">
        <f t="shared" si="266"/>
        <v>1</v>
      </c>
      <c r="H1857" s="719">
        <f t="shared" si="266"/>
        <v>0.367192066876738</v>
      </c>
      <c r="I1857" s="719">
        <f t="shared" si="258"/>
        <v>0</v>
      </c>
      <c r="J1857" s="1386">
        <f t="shared" si="259"/>
        <v>0</v>
      </c>
      <c r="L1857" s="1460"/>
      <c r="M1857" s="1236">
        <v>437</v>
      </c>
      <c r="N1857" s="1240" t="s">
        <v>1806</v>
      </c>
      <c r="O1857" s="1241" t="s">
        <v>4845</v>
      </c>
      <c r="P1857" s="910">
        <f t="shared" si="260"/>
        <v>0</v>
      </c>
      <c r="Q1857" s="910">
        <f t="shared" si="261"/>
        <v>437</v>
      </c>
      <c r="R1857" s="1344">
        <f t="shared" si="262"/>
        <v>3.15</v>
      </c>
      <c r="S1857" s="1344">
        <f>(1/9)*cnst_fish!$C$7*(1/cnst_fish!$C$8)^(R1857-1)</f>
        <v>19.920401270320887</v>
      </c>
      <c r="T1857" s="1362">
        <f t="shared" si="263"/>
        <v>752.1143573782083</v>
      </c>
      <c r="W1857" s="1612"/>
      <c r="X1857" s="1612"/>
      <c r="Y1857" s="1613"/>
      <c r="Z1857" s="1614"/>
      <c r="AA1857" s="1614"/>
      <c r="AB1857" s="1615"/>
      <c r="AC1857" s="1615"/>
      <c r="AD1857" s="583"/>
      <c r="AE1857" s="583"/>
    </row>
    <row r="1858" spans="1:31" ht="12.75" customHeight="1">
      <c r="A1858" s="1384" t="s">
        <v>5705</v>
      </c>
      <c r="B1858" s="19" t="s">
        <v>5045</v>
      </c>
      <c r="C1858" s="1383">
        <v>3041</v>
      </c>
      <c r="D1858" s="1236"/>
      <c r="E1858" s="1236"/>
      <c r="F1858" s="1344">
        <f>(1/S1858)*cnst_fish!$C$6</f>
        <v>5.7423657091346926E-2</v>
      </c>
      <c r="G1858" s="719">
        <f t="shared" si="266"/>
        <v>1</v>
      </c>
      <c r="H1858" s="719">
        <f t="shared" si="266"/>
        <v>0.367192066876738</v>
      </c>
      <c r="I1858" s="719">
        <f t="shared" si="258"/>
        <v>0</v>
      </c>
      <c r="J1858" s="1386">
        <f t="shared" si="259"/>
        <v>0</v>
      </c>
      <c r="L1858" s="1460">
        <v>16</v>
      </c>
      <c r="M1858" s="1236"/>
      <c r="N1858" s="1240" t="s">
        <v>1806</v>
      </c>
      <c r="O1858" s="1241" t="s">
        <v>4841</v>
      </c>
      <c r="P1858" s="910">
        <f t="shared" si="260"/>
        <v>0</v>
      </c>
      <c r="Q1858" s="910">
        <f t="shared" si="261"/>
        <v>16</v>
      </c>
      <c r="R1858" s="1344">
        <f t="shared" si="262"/>
        <v>3.72</v>
      </c>
      <c r="S1858" s="1344">
        <f>(1/9)*cnst_fish!$C$7*(1/cnst_fish!$C$8)^(R1858-1)</f>
        <v>74.011308496762837</v>
      </c>
      <c r="T1858" s="1362">
        <f t="shared" si="263"/>
        <v>102.31102245337685</v>
      </c>
      <c r="W1858" s="1612"/>
      <c r="X1858" s="1612"/>
      <c r="Y1858" s="1613"/>
      <c r="Z1858" s="1614"/>
      <c r="AA1858" s="1614"/>
      <c r="AB1858" s="1615"/>
      <c r="AC1858" s="1615"/>
      <c r="AD1858" s="583"/>
      <c r="AE1858" s="583"/>
    </row>
    <row r="1859" spans="1:31" ht="12.75" customHeight="1">
      <c r="A1859" s="1384" t="s">
        <v>2300</v>
      </c>
      <c r="B1859" s="19" t="s">
        <v>2301</v>
      </c>
      <c r="C1859" s="1383">
        <v>3231</v>
      </c>
      <c r="D1859" s="1236"/>
      <c r="E1859" s="1236"/>
      <c r="F1859" s="1344">
        <f>(1/S1859)*cnst_fish!$C$6</f>
        <v>1.5103960722494611E-2</v>
      </c>
      <c r="G1859" s="719">
        <f t="shared" si="266"/>
        <v>1</v>
      </c>
      <c r="H1859" s="719">
        <f t="shared" si="266"/>
        <v>0.367192066876738</v>
      </c>
      <c r="I1859" s="719">
        <f t="shared" si="258"/>
        <v>0</v>
      </c>
      <c r="J1859" s="1386">
        <f t="shared" si="259"/>
        <v>0</v>
      </c>
      <c r="L1859" s="1460">
        <v>210</v>
      </c>
      <c r="M1859" s="1236"/>
      <c r="N1859" s="1240" t="s">
        <v>1806</v>
      </c>
      <c r="O1859" s="1241" t="s">
        <v>4841</v>
      </c>
      <c r="P1859" s="910">
        <f t="shared" si="260"/>
        <v>0</v>
      </c>
      <c r="Q1859" s="910">
        <f t="shared" si="261"/>
        <v>210</v>
      </c>
      <c r="R1859" s="1344">
        <f t="shared" si="262"/>
        <v>4.3</v>
      </c>
      <c r="S1859" s="1344">
        <f>(1/9)*cnst_fish!$C$7*(1/cnst_fish!$C$8)^(R1859-1)</f>
        <v>281.38314698279078</v>
      </c>
      <c r="T1859" s="1362">
        <f t="shared" si="263"/>
        <v>5105.3055195828947</v>
      </c>
      <c r="W1859" s="1612"/>
      <c r="X1859" s="1612"/>
      <c r="Y1859" s="1613"/>
      <c r="Z1859" s="1614"/>
      <c r="AA1859" s="1614"/>
      <c r="AB1859" s="1615"/>
      <c r="AC1859" s="1615"/>
      <c r="AD1859" s="583"/>
      <c r="AE1859" s="583"/>
    </row>
    <row r="1860" spans="1:31" ht="12.75" customHeight="1">
      <c r="A1860" s="1384" t="s">
        <v>2173</v>
      </c>
      <c r="B1860" s="19" t="s">
        <v>583</v>
      </c>
      <c r="C1860" s="1383">
        <v>3116</v>
      </c>
      <c r="D1860" s="1236"/>
      <c r="E1860" s="1236"/>
      <c r="F1860" s="1344">
        <f>(1/S1860)*cnst_fish!$C$6</f>
        <v>5.4839166784473523E-2</v>
      </c>
      <c r="G1860" s="719">
        <f t="shared" si="266"/>
        <v>1</v>
      </c>
      <c r="H1860" s="719">
        <f t="shared" si="266"/>
        <v>0.367192066876738</v>
      </c>
      <c r="I1860" s="719">
        <f t="shared" si="258"/>
        <v>0</v>
      </c>
      <c r="J1860" s="1386">
        <f t="shared" si="259"/>
        <v>0</v>
      </c>
      <c r="L1860" s="1460">
        <v>79</v>
      </c>
      <c r="M1860" s="1236"/>
      <c r="N1860" s="1240" t="s">
        <v>1806</v>
      </c>
      <c r="O1860" s="1241" t="s">
        <v>4859</v>
      </c>
      <c r="P1860" s="910">
        <f t="shared" si="260"/>
        <v>0</v>
      </c>
      <c r="Q1860" s="910">
        <f t="shared" si="261"/>
        <v>79</v>
      </c>
      <c r="R1860" s="1344">
        <f t="shared" si="262"/>
        <v>3.74</v>
      </c>
      <c r="S1860" s="1344">
        <f>(1/9)*cnst_fish!$C$7*(1/cnst_fish!$C$8)^(R1860-1)</f>
        <v>77.499354005562537</v>
      </c>
      <c r="T1860" s="1362">
        <f t="shared" si="263"/>
        <v>528.96816243158742</v>
      </c>
      <c r="W1860" s="1612"/>
      <c r="X1860" s="1612"/>
      <c r="Y1860" s="1613"/>
      <c r="Z1860" s="1614"/>
      <c r="AA1860" s="1614"/>
      <c r="AB1860" s="1615"/>
      <c r="AC1860" s="1615"/>
      <c r="AD1860" s="583"/>
      <c r="AE1860" s="583"/>
    </row>
    <row r="1861" spans="1:31" ht="12.75" customHeight="1">
      <c r="A1861" s="1384" t="s">
        <v>532</v>
      </c>
      <c r="B1861" s="19" t="s">
        <v>3014</v>
      </c>
      <c r="C1861" s="1383">
        <v>2319</v>
      </c>
      <c r="D1861" s="1236">
        <v>104</v>
      </c>
      <c r="E1861" s="1236"/>
      <c r="F1861" s="1344">
        <f>(1/S1861)*cnst_fish!$C$6</f>
        <v>9.5299549485983348E-2</v>
      </c>
      <c r="G1861" s="719">
        <f t="shared" si="266"/>
        <v>1</v>
      </c>
      <c r="H1861" s="719">
        <f t="shared" si="266"/>
        <v>0.367192066876738</v>
      </c>
      <c r="I1861" s="719">
        <f t="shared" si="258"/>
        <v>400.71516771228215</v>
      </c>
      <c r="J1861" s="1386">
        <f t="shared" si="259"/>
        <v>0</v>
      </c>
      <c r="L1861" s="1460">
        <v>104</v>
      </c>
      <c r="M1861" s="1236"/>
      <c r="N1861" s="1240" t="s">
        <v>1806</v>
      </c>
      <c r="O1861" s="1241" t="s">
        <v>4859</v>
      </c>
      <c r="P1861" s="910">
        <f t="shared" si="260"/>
        <v>104</v>
      </c>
      <c r="Q1861" s="910">
        <f t="shared" si="261"/>
        <v>104</v>
      </c>
      <c r="R1861" s="1344">
        <f t="shared" si="262"/>
        <v>3.5</v>
      </c>
      <c r="S1861" s="1344">
        <f>(1/9)*cnst_fish!$C$7*(1/cnst_fish!$C$8)^(R1861-1)</f>
        <v>44.596223412631026</v>
      </c>
      <c r="T1861" s="1362">
        <f t="shared" si="263"/>
        <v>400.71516771228215</v>
      </c>
      <c r="W1861" s="1612"/>
      <c r="X1861" s="1612"/>
      <c r="Y1861" s="1613"/>
      <c r="Z1861" s="1614"/>
      <c r="AA1861" s="1614"/>
      <c r="AB1861" s="1615"/>
      <c r="AC1861" s="1615"/>
      <c r="AD1861" s="583"/>
      <c r="AE1861" s="583"/>
    </row>
    <row r="1862" spans="1:31" ht="12.75" customHeight="1">
      <c r="A1862" s="1585" t="s">
        <v>8608</v>
      </c>
      <c r="B1862" s="1586" t="s">
        <v>8609</v>
      </c>
      <c r="C1862" s="1383">
        <v>15753</v>
      </c>
      <c r="D1862" s="1236">
        <v>2</v>
      </c>
      <c r="E1862" s="1236"/>
      <c r="F1862" s="1344">
        <f>(1/S1862)*cnst_fish!$C$6</f>
        <v>3.0136363636363642E-2</v>
      </c>
      <c r="G1862" s="719">
        <f t="shared" si="266"/>
        <v>1</v>
      </c>
      <c r="H1862" s="719">
        <f t="shared" si="266"/>
        <v>0.367192066876738</v>
      </c>
      <c r="I1862" s="719">
        <f t="shared" si="258"/>
        <v>24.368704287445656</v>
      </c>
      <c r="J1862" s="1386">
        <f t="shared" si="259"/>
        <v>0</v>
      </c>
      <c r="L1862" s="1460">
        <v>2</v>
      </c>
      <c r="M1862" s="1236"/>
      <c r="N1862" s="1240" t="s">
        <v>1806</v>
      </c>
      <c r="O1862" s="1241" t="s">
        <v>4859</v>
      </c>
      <c r="P1862" s="910">
        <f t="shared" si="260"/>
        <v>2</v>
      </c>
      <c r="Q1862" s="910">
        <f t="shared" si="261"/>
        <v>2</v>
      </c>
      <c r="R1862" s="1344">
        <f t="shared" si="262"/>
        <v>4</v>
      </c>
      <c r="S1862" s="1344">
        <f>(1/9)*cnst_fish!$C$7*(1/cnst_fish!$C$8)^(R1862-1)</f>
        <v>141.02564102564099</v>
      </c>
      <c r="T1862" s="1362">
        <f t="shared" si="263"/>
        <v>24.368704287445656</v>
      </c>
      <c r="W1862" s="1616"/>
      <c r="X1862" s="1616"/>
      <c r="Y1862" s="1613"/>
      <c r="Z1862" s="1614"/>
      <c r="AA1862" s="1614"/>
      <c r="AB1862" s="1615"/>
      <c r="AC1862" s="1615"/>
      <c r="AD1862" s="583"/>
      <c r="AE1862" s="583"/>
    </row>
    <row r="1863" spans="1:31" ht="12.75" customHeight="1">
      <c r="A1863" s="1384" t="s">
        <v>912</v>
      </c>
      <c r="B1863" s="19" t="s">
        <v>3015</v>
      </c>
      <c r="C1863" s="1383">
        <v>15758</v>
      </c>
      <c r="D1863" s="1236"/>
      <c r="E1863" s="1236"/>
      <c r="F1863" s="1344">
        <f>(1/S1863)*cnst_fish!$C$6</f>
        <v>5.7423657091346926E-2</v>
      </c>
      <c r="G1863" s="719">
        <f t="shared" si="266"/>
        <v>1</v>
      </c>
      <c r="H1863" s="719">
        <f t="shared" si="266"/>
        <v>0.367192066876738</v>
      </c>
      <c r="I1863" s="719">
        <f t="shared" ref="I1863:I1930" si="267">IF($F1863=0,0,D1863/$F1863*$H1863*$G1863)</f>
        <v>0</v>
      </c>
      <c r="J1863" s="1386">
        <f t="shared" ref="J1863:J1930" si="268">IF($F1863=0,0,E1863/$F1863*$H1863*$G1863)</f>
        <v>0</v>
      </c>
      <c r="L1863" s="1460">
        <v>708</v>
      </c>
      <c r="M1863" s="1236"/>
      <c r="N1863" s="1240" t="s">
        <v>1806</v>
      </c>
      <c r="O1863" s="1241" t="s">
        <v>4859</v>
      </c>
      <c r="P1863" s="910">
        <f t="shared" ref="P1863:P1930" si="269">D1863+E1863</f>
        <v>0</v>
      </c>
      <c r="Q1863" s="910">
        <f t="shared" ref="Q1863:Q1930" si="270">L1863+M1863</f>
        <v>708</v>
      </c>
      <c r="R1863" s="1344">
        <f t="shared" ref="R1863:R1930" si="271">VLOOKUP(B1863,constant_fish_trophic,3,FALSE)</f>
        <v>3.72</v>
      </c>
      <c r="S1863" s="1344">
        <f>(1/9)*cnst_fish!$C$7*(1/cnst_fish!$C$8)^(R1863-1)</f>
        <v>74.011308496762837</v>
      </c>
      <c r="T1863" s="1362">
        <f t="shared" ref="T1863:T1930" si="272">IF(F1863=0,0,Q1863/F1863*H1863*G1863)</f>
        <v>4527.2627435619261</v>
      </c>
      <c r="W1863" s="1612"/>
      <c r="X1863" s="1612"/>
      <c r="Y1863" s="1613"/>
      <c r="Z1863" s="1614"/>
      <c r="AA1863" s="1614"/>
      <c r="AB1863" s="1615"/>
      <c r="AC1863" s="1615"/>
      <c r="AD1863" s="583"/>
      <c r="AE1863" s="583"/>
    </row>
    <row r="1864" spans="1:31" ht="12.75" customHeight="1">
      <c r="A1864" s="1384" t="s">
        <v>2238</v>
      </c>
      <c r="B1864" s="19" t="s">
        <v>3016</v>
      </c>
      <c r="C1864" s="1383">
        <v>3117</v>
      </c>
      <c r="D1864" s="1236"/>
      <c r="E1864" s="1236"/>
      <c r="F1864" s="1344">
        <f>(1/S1864)*cnst_fish!$C$6</f>
        <v>5.6116535073067304E-2</v>
      </c>
      <c r="G1864" s="719">
        <f t="shared" si="266"/>
        <v>1</v>
      </c>
      <c r="H1864" s="719">
        <f t="shared" si="266"/>
        <v>0.367192066876738</v>
      </c>
      <c r="I1864" s="719">
        <f t="shared" si="267"/>
        <v>0</v>
      </c>
      <c r="J1864" s="1386">
        <f t="shared" si="268"/>
        <v>0</v>
      </c>
      <c r="L1864" s="1460">
        <v>0</v>
      </c>
      <c r="M1864" s="1236"/>
      <c r="N1864" s="1240" t="s">
        <v>1806</v>
      </c>
      <c r="O1864" s="1241" t="s">
        <v>4859</v>
      </c>
      <c r="P1864" s="910">
        <f t="shared" si="269"/>
        <v>0</v>
      </c>
      <c r="Q1864" s="910">
        <f t="shared" si="270"/>
        <v>0</v>
      </c>
      <c r="R1864" s="1344">
        <f t="shared" si="271"/>
        <v>3.73</v>
      </c>
      <c r="S1864" s="1344">
        <f>(1/9)*cnst_fish!$C$7*(1/cnst_fish!$C$8)^(R1864-1)</f>
        <v>75.735253334266432</v>
      </c>
      <c r="T1864" s="1362">
        <f t="shared" si="272"/>
        <v>0</v>
      </c>
      <c r="W1864" s="1612"/>
      <c r="X1864" s="1612"/>
      <c r="Y1864" s="1613"/>
      <c r="Z1864" s="1614"/>
      <c r="AA1864" s="1614"/>
      <c r="AB1864" s="1615"/>
      <c r="AC1864" s="1615"/>
      <c r="AD1864" s="583"/>
      <c r="AE1864" s="583"/>
    </row>
    <row r="1865" spans="1:31" ht="12.75" customHeight="1">
      <c r="A1865" s="1384" t="s">
        <v>5357</v>
      </c>
      <c r="B1865" s="19" t="s">
        <v>3017</v>
      </c>
      <c r="C1865" s="1383">
        <v>3115</v>
      </c>
      <c r="D1865" s="1236"/>
      <c r="E1865" s="1236"/>
      <c r="F1865" s="1344">
        <f>(1/S1865)*cnst_fish!$C$6</f>
        <v>6.5931179849025079E-2</v>
      </c>
      <c r="G1865" s="719">
        <f t="shared" si="266"/>
        <v>1</v>
      </c>
      <c r="H1865" s="719">
        <f t="shared" si="266"/>
        <v>0.367192066876738</v>
      </c>
      <c r="I1865" s="719">
        <f t="shared" si="267"/>
        <v>0</v>
      </c>
      <c r="J1865" s="1386">
        <f t="shared" si="268"/>
        <v>0</v>
      </c>
      <c r="L1865" s="1460">
        <v>9714</v>
      </c>
      <c r="M1865" s="1236"/>
      <c r="N1865" s="1240" t="s">
        <v>1806</v>
      </c>
      <c r="O1865" s="1241" t="s">
        <v>4859</v>
      </c>
      <c r="P1865" s="910">
        <f t="shared" si="269"/>
        <v>0</v>
      </c>
      <c r="Q1865" s="910">
        <f t="shared" si="270"/>
        <v>9714</v>
      </c>
      <c r="R1865" s="1344">
        <f t="shared" si="271"/>
        <v>3.66</v>
      </c>
      <c r="S1865" s="1344">
        <f>(1/9)*cnst_fish!$C$7*(1/cnst_fish!$C$8)^(R1865-1)</f>
        <v>64.461154945687568</v>
      </c>
      <c r="T1865" s="1362">
        <f t="shared" si="272"/>
        <v>54100.408119624699</v>
      </c>
      <c r="W1865" s="1612"/>
      <c r="X1865" s="1612"/>
      <c r="Y1865" s="1613"/>
      <c r="Z1865" s="1614"/>
      <c r="AA1865" s="1614"/>
      <c r="AB1865" s="1615"/>
      <c r="AC1865" s="1615"/>
      <c r="AD1865" s="583"/>
      <c r="AE1865" s="583"/>
    </row>
    <row r="1866" spans="1:31" ht="12.75" customHeight="1">
      <c r="A1866" s="1384" t="s">
        <v>45</v>
      </c>
      <c r="B1866" s="19" t="s">
        <v>1015</v>
      </c>
      <c r="C1866" s="1383">
        <v>2433</v>
      </c>
      <c r="D1866" s="1236"/>
      <c r="E1866" s="1236"/>
      <c r="F1866" s="1344">
        <f>(1/S1866)*cnst_fish!$C$6</f>
        <v>1.9910898001319833E-2</v>
      </c>
      <c r="G1866" s="719">
        <f t="shared" si="266"/>
        <v>1</v>
      </c>
      <c r="H1866" s="719">
        <f t="shared" si="266"/>
        <v>0.367192066876738</v>
      </c>
      <c r="I1866" s="719">
        <f t="shared" si="267"/>
        <v>0</v>
      </c>
      <c r="J1866" s="1386">
        <f t="shared" si="268"/>
        <v>0</v>
      </c>
      <c r="L1866" s="1460">
        <v>2307</v>
      </c>
      <c r="M1866" s="1236"/>
      <c r="N1866" s="1240" t="s">
        <v>1806</v>
      </c>
      <c r="O1866" s="1241" t="s">
        <v>4841</v>
      </c>
      <c r="P1866" s="910">
        <f t="shared" si="269"/>
        <v>0</v>
      </c>
      <c r="Q1866" s="910">
        <f t="shared" si="270"/>
        <v>2307</v>
      </c>
      <c r="R1866" s="1344">
        <f t="shared" si="271"/>
        <v>4.18</v>
      </c>
      <c r="S1866" s="1344">
        <f>(1/9)*cnst_fish!$C$7*(1/cnst_fish!$C$8)^(R1866-1)</f>
        <v>213.4509452922857</v>
      </c>
      <c r="T1866" s="1362">
        <f t="shared" si="272"/>
        <v>42545.147799385144</v>
      </c>
      <c r="W1866" s="1612"/>
      <c r="X1866" s="1612"/>
      <c r="Y1866" s="1613"/>
      <c r="Z1866" s="1614"/>
      <c r="AA1866" s="1614"/>
      <c r="AB1866" s="1615"/>
      <c r="AC1866" s="1615"/>
      <c r="AD1866" s="583"/>
      <c r="AE1866" s="583"/>
    </row>
    <row r="1867" spans="1:31" ht="12.75" customHeight="1">
      <c r="A1867" s="1384" t="s">
        <v>2302</v>
      </c>
      <c r="B1867" s="19" t="s">
        <v>2303</v>
      </c>
      <c r="C1867" s="1383">
        <v>3232</v>
      </c>
      <c r="D1867" s="1236"/>
      <c r="E1867" s="1236"/>
      <c r="F1867" s="1344">
        <f>(1/S1867)*cnst_fish!$C$6</f>
        <v>1.9910898001319833E-2</v>
      </c>
      <c r="G1867" s="719">
        <f t="shared" si="266"/>
        <v>1</v>
      </c>
      <c r="H1867" s="719">
        <f t="shared" si="266"/>
        <v>0.367192066876738</v>
      </c>
      <c r="I1867" s="719">
        <f t="shared" si="267"/>
        <v>0</v>
      </c>
      <c r="J1867" s="1386">
        <f t="shared" si="268"/>
        <v>0</v>
      </c>
      <c r="L1867" s="1460">
        <v>1750</v>
      </c>
      <c r="M1867" s="1236"/>
      <c r="N1867" s="1240" t="s">
        <v>1806</v>
      </c>
      <c r="O1867" s="1241" t="s">
        <v>4841</v>
      </c>
      <c r="P1867" s="910">
        <f t="shared" si="269"/>
        <v>0</v>
      </c>
      <c r="Q1867" s="910">
        <f t="shared" si="270"/>
        <v>1750</v>
      </c>
      <c r="R1867" s="1344">
        <f t="shared" si="271"/>
        <v>4.18</v>
      </c>
      <c r="S1867" s="1344">
        <f>(1/9)*cnst_fish!$C$7*(1/cnst_fish!$C$8)^(R1867-1)</f>
        <v>213.4509452922857</v>
      </c>
      <c r="T1867" s="1362">
        <f t="shared" si="272"/>
        <v>32273.085673569141</v>
      </c>
      <c r="W1867" s="1612"/>
      <c r="X1867" s="1612"/>
      <c r="Y1867" s="1613"/>
      <c r="Z1867" s="1614"/>
      <c r="AA1867" s="1614"/>
      <c r="AB1867" s="1615"/>
      <c r="AC1867" s="1615"/>
      <c r="AD1867" s="583"/>
      <c r="AE1867" s="583"/>
    </row>
    <row r="1868" spans="1:31" ht="12.75" customHeight="1">
      <c r="A1868" s="1384" t="s">
        <v>205</v>
      </c>
      <c r="B1868" s="19" t="s">
        <v>206</v>
      </c>
      <c r="C1868" s="1383">
        <v>15765</v>
      </c>
      <c r="D1868" s="1236">
        <v>41</v>
      </c>
      <c r="E1868" s="1236"/>
      <c r="F1868" s="1344">
        <f>(1/S1868)*cnst_fish!$C$6</f>
        <v>9.5299549485983424E-3</v>
      </c>
      <c r="G1868" s="719">
        <f t="shared" ref="G1868:H1887" si="273">G$7</f>
        <v>1</v>
      </c>
      <c r="H1868" s="719">
        <f t="shared" si="273"/>
        <v>0.367192066876738</v>
      </c>
      <c r="I1868" s="719">
        <f t="shared" si="267"/>
        <v>1579.7424880964957</v>
      </c>
      <c r="J1868" s="1386">
        <f t="shared" si="268"/>
        <v>0</v>
      </c>
      <c r="L1868" s="1460">
        <v>105</v>
      </c>
      <c r="M1868" s="1236"/>
      <c r="N1868" s="1240" t="s">
        <v>1806</v>
      </c>
      <c r="O1868" s="1241" t="s">
        <v>4859</v>
      </c>
      <c r="P1868" s="910">
        <f t="shared" si="269"/>
        <v>41</v>
      </c>
      <c r="Q1868" s="910">
        <f t="shared" si="270"/>
        <v>105</v>
      </c>
      <c r="R1868" s="1344">
        <f t="shared" si="271"/>
        <v>4.5</v>
      </c>
      <c r="S1868" s="1344">
        <f>(1/9)*cnst_fish!$C$7*(1/cnst_fish!$C$8)^(R1868-1)</f>
        <v>445.96223412630997</v>
      </c>
      <c r="T1868" s="1362">
        <f t="shared" si="272"/>
        <v>4045.6819817105375</v>
      </c>
      <c r="W1868" s="1612"/>
      <c r="X1868" s="1612"/>
      <c r="Y1868" s="1613"/>
      <c r="Z1868" s="1614"/>
      <c r="AA1868" s="1614"/>
      <c r="AB1868" s="1615"/>
      <c r="AC1868" s="1615"/>
      <c r="AD1868" s="583"/>
      <c r="AE1868" s="583"/>
    </row>
    <row r="1869" spans="1:31" ht="12.75" customHeight="1">
      <c r="A1869" s="1384" t="s">
        <v>3942</v>
      </c>
      <c r="B1869" s="19" t="s">
        <v>5279</v>
      </c>
      <c r="C1869" s="1383">
        <v>3038</v>
      </c>
      <c r="D1869" s="1236"/>
      <c r="E1869" s="1236"/>
      <c r="F1869" s="1344">
        <f>(1/S1869)*cnst_fish!$C$6</f>
        <v>2.6247675460949162E-2</v>
      </c>
      <c r="G1869" s="719">
        <f t="shared" si="273"/>
        <v>1</v>
      </c>
      <c r="H1869" s="719">
        <f t="shared" si="273"/>
        <v>0.367192066876738</v>
      </c>
      <c r="I1869" s="719">
        <f t="shared" si="267"/>
        <v>0</v>
      </c>
      <c r="J1869" s="1386">
        <f t="shared" si="268"/>
        <v>0</v>
      </c>
      <c r="L1869" s="1460">
        <v>4</v>
      </c>
      <c r="M1869" s="1236"/>
      <c r="N1869" s="1240" t="s">
        <v>1806</v>
      </c>
      <c r="O1869" s="1241" t="s">
        <v>4859</v>
      </c>
      <c r="P1869" s="910">
        <f t="shared" si="269"/>
        <v>0</v>
      </c>
      <c r="Q1869" s="910">
        <f t="shared" si="270"/>
        <v>4</v>
      </c>
      <c r="R1869" s="1344">
        <f t="shared" si="271"/>
        <v>4.0599999999999996</v>
      </c>
      <c r="S1869" s="1344">
        <f>(1/9)*cnst_fish!$C$7*(1/cnst_fish!$C$8)^(R1869-1)</f>
        <v>161.91910046750908</v>
      </c>
      <c r="T1869" s="1362">
        <f t="shared" si="272"/>
        <v>55.958032157634683</v>
      </c>
      <c r="W1869" s="1612"/>
      <c r="X1869" s="1612"/>
      <c r="Y1869" s="1613"/>
      <c r="Z1869" s="1614"/>
      <c r="AA1869" s="1614"/>
      <c r="AB1869" s="1615"/>
      <c r="AC1869" s="1615"/>
      <c r="AD1869" s="583"/>
      <c r="AE1869" s="583"/>
    </row>
    <row r="1870" spans="1:31" ht="12.75" customHeight="1">
      <c r="A1870" s="1384" t="s">
        <v>6708</v>
      </c>
      <c r="B1870" s="19" t="s">
        <v>6707</v>
      </c>
      <c r="C1870" s="1383">
        <v>16082</v>
      </c>
      <c r="D1870" s="1236"/>
      <c r="E1870" s="1236"/>
      <c r="F1870" s="1344">
        <f>(1/S1870)*cnst_fish!$C$6</f>
        <v>3.0136363636363641</v>
      </c>
      <c r="G1870" s="719">
        <f t="shared" si="273"/>
        <v>1</v>
      </c>
      <c r="H1870" s="719">
        <f t="shared" si="273"/>
        <v>0.367192066876738</v>
      </c>
      <c r="I1870" s="719">
        <f t="shared" si="267"/>
        <v>0</v>
      </c>
      <c r="J1870" s="1386">
        <f t="shared" si="268"/>
        <v>0</v>
      </c>
      <c r="L1870" s="1460">
        <v>1</v>
      </c>
      <c r="M1870" s="1236"/>
      <c r="N1870" s="1240" t="s">
        <v>1806</v>
      </c>
      <c r="O1870" s="1241" t="s">
        <v>4859</v>
      </c>
      <c r="P1870" s="910">
        <f t="shared" si="269"/>
        <v>0</v>
      </c>
      <c r="Q1870" s="910">
        <f t="shared" si="270"/>
        <v>1</v>
      </c>
      <c r="R1870" s="1344">
        <f t="shared" si="271"/>
        <v>2</v>
      </c>
      <c r="S1870" s="1344">
        <f>(1/9)*cnst_fish!$C$7*(1/cnst_fish!$C$8)^(R1870-1)</f>
        <v>1.4102564102564099</v>
      </c>
      <c r="T1870" s="1362">
        <f t="shared" si="272"/>
        <v>0.12184352143722826</v>
      </c>
      <c r="W1870" s="1612"/>
      <c r="X1870" s="1612"/>
      <c r="Y1870" s="1613"/>
      <c r="Z1870" s="1614"/>
      <c r="AA1870" s="1614"/>
      <c r="AB1870" s="1615"/>
      <c r="AC1870" s="1615"/>
      <c r="AD1870" s="583"/>
      <c r="AE1870" s="583"/>
    </row>
    <row r="1871" spans="1:31" ht="12.75" customHeight="1">
      <c r="A1871" s="1384" t="s">
        <v>1064</v>
      </c>
      <c r="B1871" s="19" t="s">
        <v>3184</v>
      </c>
      <c r="C1871" s="1383">
        <v>3105</v>
      </c>
      <c r="D1871" s="1236"/>
      <c r="E1871" s="1236"/>
      <c r="F1871" s="1344">
        <f>(1/S1871)*cnst_fish!$C$6</f>
        <v>0.10211530705467774</v>
      </c>
      <c r="G1871" s="719">
        <f t="shared" si="273"/>
        <v>1</v>
      </c>
      <c r="H1871" s="719">
        <f t="shared" si="273"/>
        <v>0.367192066876738</v>
      </c>
      <c r="I1871" s="719">
        <f t="shared" si="267"/>
        <v>0</v>
      </c>
      <c r="J1871" s="1386">
        <f t="shared" si="268"/>
        <v>0</v>
      </c>
      <c r="L1871" s="1460">
        <v>334936</v>
      </c>
      <c r="M1871" s="1236"/>
      <c r="N1871" s="1240" t="s">
        <v>2432</v>
      </c>
      <c r="O1871" s="1241" t="s">
        <v>4859</v>
      </c>
      <c r="P1871" s="910">
        <f t="shared" si="269"/>
        <v>0</v>
      </c>
      <c r="Q1871" s="910">
        <f t="shared" si="270"/>
        <v>334936</v>
      </c>
      <c r="R1871" s="1344">
        <f t="shared" si="271"/>
        <v>3.47</v>
      </c>
      <c r="S1871" s="1344">
        <f>(1/9)*cnst_fish!$C$7*(1/cnst_fish!$C$8)^(R1871-1)</f>
        <v>41.619617299141382</v>
      </c>
      <c r="T1871" s="1362">
        <f t="shared" si="272"/>
        <v>1204382.0427976996</v>
      </c>
      <c r="W1871" s="1612"/>
      <c r="X1871" s="1612"/>
      <c r="Y1871" s="1613"/>
      <c r="Z1871" s="1614"/>
      <c r="AA1871" s="1614"/>
      <c r="AB1871" s="1615"/>
      <c r="AC1871" s="1615"/>
      <c r="AD1871" s="583"/>
      <c r="AE1871" s="583"/>
    </row>
    <row r="1872" spans="1:31" ht="12.75" customHeight="1">
      <c r="A1872" s="1384" t="s">
        <v>5541</v>
      </c>
      <c r="B1872" s="19" t="s">
        <v>3185</v>
      </c>
      <c r="C1872" s="1383">
        <v>2313</v>
      </c>
      <c r="D1872" s="1236"/>
      <c r="E1872" s="1236"/>
      <c r="F1872" s="1344">
        <f>(1/S1872)*cnst_fish!$C$6</f>
        <v>3.5407139951132149E-2</v>
      </c>
      <c r="G1872" s="719">
        <f t="shared" si="273"/>
        <v>1</v>
      </c>
      <c r="H1872" s="719">
        <f t="shared" si="273"/>
        <v>0.367192066876738</v>
      </c>
      <c r="I1872" s="719">
        <f t="shared" si="267"/>
        <v>0</v>
      </c>
      <c r="J1872" s="1386">
        <f t="shared" si="268"/>
        <v>0</v>
      </c>
      <c r="L1872" s="1460">
        <v>26</v>
      </c>
      <c r="M1872" s="1236"/>
      <c r="N1872" s="1240" t="s">
        <v>2432</v>
      </c>
      <c r="O1872" s="1241" t="s">
        <v>4859</v>
      </c>
      <c r="P1872" s="910">
        <f t="shared" si="269"/>
        <v>0</v>
      </c>
      <c r="Q1872" s="910">
        <f t="shared" si="270"/>
        <v>26</v>
      </c>
      <c r="R1872" s="1344">
        <f t="shared" si="271"/>
        <v>3.93</v>
      </c>
      <c r="S1872" s="1344">
        <f>(1/9)*cnst_fish!$C$7*(1/cnst_fish!$C$8)^(R1872-1)</f>
        <v>120.03228743879681</v>
      </c>
      <c r="T1872" s="1362">
        <f t="shared" si="272"/>
        <v>269.63470508975468</v>
      </c>
      <c r="W1872" s="1612"/>
      <c r="X1872" s="1612"/>
      <c r="Y1872" s="1613"/>
      <c r="Z1872" s="1614"/>
      <c r="AA1872" s="1614"/>
      <c r="AB1872" s="1615"/>
      <c r="AC1872" s="1615"/>
      <c r="AD1872" s="583"/>
      <c r="AE1872" s="583"/>
    </row>
    <row r="1873" spans="1:31" ht="12.75" customHeight="1">
      <c r="A1873" s="1385" t="s">
        <v>1073</v>
      </c>
      <c r="B1873" s="19" t="s">
        <v>3186</v>
      </c>
      <c r="C1873" s="1383">
        <v>2308</v>
      </c>
      <c r="D1873" s="1589"/>
      <c r="E1873" s="1589"/>
      <c r="F1873" s="1344">
        <f>(1/S1873)*cnst_fish!$C$6</f>
        <v>0.11997502458044032</v>
      </c>
      <c r="G1873" s="719">
        <f t="shared" si="273"/>
        <v>1</v>
      </c>
      <c r="H1873" s="719">
        <f t="shared" si="273"/>
        <v>0.367192066876738</v>
      </c>
      <c r="I1873" s="719">
        <f t="shared" si="267"/>
        <v>0</v>
      </c>
      <c r="J1873" s="1386">
        <f t="shared" si="268"/>
        <v>0</v>
      </c>
      <c r="K1873" s="889"/>
      <c r="L1873" s="1590">
        <v>204946</v>
      </c>
      <c r="M1873" s="1589"/>
      <c r="N1873" s="1591" t="s">
        <v>2432</v>
      </c>
      <c r="O1873" s="1592" t="s">
        <v>4859</v>
      </c>
      <c r="P1873" s="910">
        <f t="shared" si="269"/>
        <v>0</v>
      </c>
      <c r="Q1873" s="910">
        <f t="shared" si="270"/>
        <v>204946</v>
      </c>
      <c r="R1873" s="1344">
        <f t="shared" si="271"/>
        <v>3.4</v>
      </c>
      <c r="S1873" s="1344">
        <f>(1/9)*cnst_fish!$C$7*(1/cnst_fish!$C$8)^(R1873-1)</f>
        <v>35.424039418724846</v>
      </c>
      <c r="T1873" s="1362">
        <f t="shared" si="272"/>
        <v>627251.7601166534</v>
      </c>
      <c r="W1873" s="1612"/>
      <c r="X1873" s="1612"/>
      <c r="Y1873" s="1613"/>
      <c r="Z1873" s="1614"/>
      <c r="AA1873" s="1614"/>
      <c r="AB1873" s="1615"/>
      <c r="AC1873" s="1615"/>
      <c r="AD1873" s="583"/>
      <c r="AE1873" s="583"/>
    </row>
    <row r="1874" spans="1:31" ht="12.75" customHeight="1">
      <c r="A1874" s="1385" t="s">
        <v>3568</v>
      </c>
      <c r="B1874" s="19" t="s">
        <v>4937</v>
      </c>
      <c r="C1874" s="1383">
        <v>2312</v>
      </c>
      <c r="D1874" s="1589">
        <v>0</v>
      </c>
      <c r="E1874" s="1589"/>
      <c r="F1874" s="1344">
        <f>(1/S1874)*cnst_fish!$C$6</f>
        <v>3.0838329721915438E-2</v>
      </c>
      <c r="G1874" s="719">
        <f t="shared" si="273"/>
        <v>1</v>
      </c>
      <c r="H1874" s="719">
        <f t="shared" si="273"/>
        <v>0.367192066876738</v>
      </c>
      <c r="I1874" s="719">
        <f t="shared" si="267"/>
        <v>0</v>
      </c>
      <c r="J1874" s="1386">
        <f t="shared" si="268"/>
        <v>0</v>
      </c>
      <c r="K1874" s="889"/>
      <c r="L1874" s="1590">
        <v>1576</v>
      </c>
      <c r="M1874" s="1589"/>
      <c r="N1874" s="1591" t="s">
        <v>1806</v>
      </c>
      <c r="O1874" s="1592" t="s">
        <v>4859</v>
      </c>
      <c r="P1874" s="910">
        <f t="shared" si="269"/>
        <v>0</v>
      </c>
      <c r="Q1874" s="910">
        <f t="shared" si="270"/>
        <v>1576</v>
      </c>
      <c r="R1874" s="1344">
        <f t="shared" si="271"/>
        <v>3.99</v>
      </c>
      <c r="S1874" s="1344">
        <f>(1/9)*cnst_fish!$C$7*(1/cnst_fish!$C$8)^(R1874-1)</f>
        <v>137.81550551940927</v>
      </c>
      <c r="T1874" s="1362">
        <f t="shared" si="272"/>
        <v>18765.435826651996</v>
      </c>
      <c r="W1874" s="1612"/>
      <c r="X1874" s="1612"/>
      <c r="Y1874" s="1613"/>
      <c r="Z1874" s="1614"/>
      <c r="AA1874" s="1614"/>
      <c r="AB1874" s="1615"/>
      <c r="AC1874" s="1615"/>
      <c r="AD1874" s="583"/>
      <c r="AE1874" s="583"/>
    </row>
    <row r="1875" spans="1:31" ht="12.75" customHeight="1">
      <c r="A1875" s="1385" t="s">
        <v>1980</v>
      </c>
      <c r="B1875" s="19" t="s">
        <v>4938</v>
      </c>
      <c r="C1875" s="1383">
        <v>2311</v>
      </c>
      <c r="D1875" s="1589"/>
      <c r="E1875" s="1589"/>
      <c r="F1875" s="1344">
        <f>(1/S1875)*cnst_fish!$C$6</f>
        <v>7.7462381998898044E-2</v>
      </c>
      <c r="G1875" s="719">
        <f t="shared" si="273"/>
        <v>1</v>
      </c>
      <c r="H1875" s="719">
        <f t="shared" si="273"/>
        <v>0.367192066876738</v>
      </c>
      <c r="I1875" s="719">
        <f t="shared" si="267"/>
        <v>0</v>
      </c>
      <c r="J1875" s="1386">
        <f t="shared" si="268"/>
        <v>0</v>
      </c>
      <c r="K1875" s="889"/>
      <c r="L1875" s="1590">
        <v>28436</v>
      </c>
      <c r="M1875" s="1589"/>
      <c r="N1875" s="1591" t="s">
        <v>2432</v>
      </c>
      <c r="O1875" s="1592" t="s">
        <v>4859</v>
      </c>
      <c r="P1875" s="910">
        <f t="shared" si="269"/>
        <v>0</v>
      </c>
      <c r="Q1875" s="910">
        <f t="shared" si="270"/>
        <v>28436</v>
      </c>
      <c r="R1875" s="1344">
        <f t="shared" si="271"/>
        <v>3.59</v>
      </c>
      <c r="S1875" s="1344">
        <f>(1/9)*cnst_fish!$C$7*(1/cnst_fish!$C$8)^(R1875-1)</f>
        <v>54.865340960731871</v>
      </c>
      <c r="T1875" s="1362">
        <f t="shared" si="272"/>
        <v>134794.11998788599</v>
      </c>
      <c r="W1875" s="1612"/>
      <c r="X1875" s="1612"/>
      <c r="Y1875" s="1613"/>
      <c r="Z1875" s="1614"/>
      <c r="AA1875" s="1614"/>
      <c r="AB1875" s="1615"/>
      <c r="AC1875" s="1615"/>
      <c r="AD1875" s="583"/>
      <c r="AE1875" s="583"/>
    </row>
    <row r="1876" spans="1:31" ht="12.75" customHeight="1">
      <c r="A1876" s="1385" t="s">
        <v>1289</v>
      </c>
      <c r="B1876" s="19" t="s">
        <v>4197</v>
      </c>
      <c r="C1876" s="1383">
        <v>2309</v>
      </c>
      <c r="D1876" s="1589"/>
      <c r="E1876" s="1589"/>
      <c r="F1876" s="1344">
        <f>(1/S1876)*cnst_fish!$C$6</f>
        <v>9.7519361156519699E-2</v>
      </c>
      <c r="G1876" s="719">
        <f t="shared" si="273"/>
        <v>1</v>
      </c>
      <c r="H1876" s="719">
        <f t="shared" si="273"/>
        <v>0.367192066876738</v>
      </c>
      <c r="I1876" s="719">
        <f t="shared" si="267"/>
        <v>0</v>
      </c>
      <c r="J1876" s="1386">
        <f t="shared" si="268"/>
        <v>0</v>
      </c>
      <c r="K1876" s="889"/>
      <c r="L1876" s="1590">
        <v>354898</v>
      </c>
      <c r="M1876" s="1589"/>
      <c r="N1876" s="1591" t="s">
        <v>2432</v>
      </c>
      <c r="O1876" s="1592" t="s">
        <v>4859</v>
      </c>
      <c r="P1876" s="910">
        <f t="shared" si="269"/>
        <v>0</v>
      </c>
      <c r="Q1876" s="910">
        <f t="shared" si="270"/>
        <v>354898</v>
      </c>
      <c r="R1876" s="1344">
        <f t="shared" si="271"/>
        <v>3.49</v>
      </c>
      <c r="S1876" s="1344">
        <f>(1/9)*cnst_fish!$C$7*(1/cnst_fish!$C$8)^(R1876-1)</f>
        <v>43.581089432884006</v>
      </c>
      <c r="T1876" s="1362">
        <f t="shared" si="272"/>
        <v>1336306.2329875429</v>
      </c>
      <c r="W1876" s="1612"/>
      <c r="X1876" s="1612"/>
      <c r="Y1876" s="1613"/>
      <c r="Z1876" s="1614"/>
      <c r="AA1876" s="1614"/>
      <c r="AB1876" s="1615"/>
      <c r="AC1876" s="1615"/>
      <c r="AD1876" s="583"/>
      <c r="AE1876" s="583"/>
    </row>
    <row r="1877" spans="1:31" ht="12.75" customHeight="1">
      <c r="A1877" s="1385" t="s">
        <v>3484</v>
      </c>
      <c r="B1877" s="19" t="s">
        <v>4198</v>
      </c>
      <c r="C1877" s="1383">
        <v>2307</v>
      </c>
      <c r="D1877" s="1589"/>
      <c r="E1877" s="1589"/>
      <c r="F1877" s="1344">
        <f>(1/S1877)*cnst_fish!$C$6</f>
        <v>0.14424170509541331</v>
      </c>
      <c r="G1877" s="719">
        <f t="shared" si="273"/>
        <v>1</v>
      </c>
      <c r="H1877" s="719">
        <f t="shared" si="273"/>
        <v>0.367192066876738</v>
      </c>
      <c r="I1877" s="719">
        <f t="shared" si="267"/>
        <v>0</v>
      </c>
      <c r="J1877" s="1386">
        <f t="shared" si="268"/>
        <v>0</v>
      </c>
      <c r="K1877" s="889"/>
      <c r="L1877" s="1590">
        <v>3314</v>
      </c>
      <c r="M1877" s="1589"/>
      <c r="N1877" s="1591" t="s">
        <v>2432</v>
      </c>
      <c r="O1877" s="1592" t="s">
        <v>4859</v>
      </c>
      <c r="P1877" s="910">
        <f t="shared" si="269"/>
        <v>0</v>
      </c>
      <c r="Q1877" s="910">
        <f t="shared" si="270"/>
        <v>3314</v>
      </c>
      <c r="R1877" s="1344">
        <f t="shared" si="271"/>
        <v>3.32</v>
      </c>
      <c r="S1877" s="1344">
        <f>(1/9)*cnst_fish!$C$7*(1/cnst_fish!$C$8)^(R1877-1)</f>
        <v>29.464432614608246</v>
      </c>
      <c r="T1877" s="1362">
        <f t="shared" si="272"/>
        <v>8436.3569386854433</v>
      </c>
      <c r="W1877" s="1612"/>
      <c r="X1877" s="1612"/>
      <c r="Y1877" s="1613"/>
      <c r="Z1877" s="1614"/>
      <c r="AA1877" s="1614"/>
      <c r="AB1877" s="1615"/>
      <c r="AC1877" s="1615"/>
      <c r="AD1877" s="583"/>
      <c r="AE1877" s="583"/>
    </row>
    <row r="1878" spans="1:31" ht="12.75" customHeight="1">
      <c r="A1878" s="1385" t="s">
        <v>1072</v>
      </c>
      <c r="B1878" s="19" t="s">
        <v>4199</v>
      </c>
      <c r="C1878" s="1383">
        <v>2305</v>
      </c>
      <c r="D1878" s="1589"/>
      <c r="E1878" s="1589"/>
      <c r="F1878" s="1344">
        <f>(1/S1878)*cnst_fish!$C$6</f>
        <v>7.9266712664847111E-2</v>
      </c>
      <c r="G1878" s="719">
        <f t="shared" si="273"/>
        <v>1</v>
      </c>
      <c r="H1878" s="719">
        <f t="shared" si="273"/>
        <v>0.367192066876738</v>
      </c>
      <c r="I1878" s="719">
        <f t="shared" si="267"/>
        <v>0</v>
      </c>
      <c r="J1878" s="1386">
        <f t="shared" si="268"/>
        <v>0</v>
      </c>
      <c r="K1878" s="889"/>
      <c r="L1878" s="1590">
        <v>312740</v>
      </c>
      <c r="M1878" s="1589"/>
      <c r="N1878" s="1591" t="s">
        <v>2432</v>
      </c>
      <c r="O1878" s="1592" t="s">
        <v>4859</v>
      </c>
      <c r="P1878" s="910">
        <f t="shared" si="269"/>
        <v>0</v>
      </c>
      <c r="Q1878" s="910">
        <f t="shared" si="270"/>
        <v>312740</v>
      </c>
      <c r="R1878" s="1344">
        <f t="shared" si="271"/>
        <v>3.58</v>
      </c>
      <c r="S1878" s="1344">
        <f>(1/9)*cnst_fish!$C$7*(1/cnst_fish!$C$8)^(R1878-1)</f>
        <v>53.616453327258682</v>
      </c>
      <c r="T1878" s="1362">
        <f t="shared" si="272"/>
        <v>1448724.7311563848</v>
      </c>
      <c r="W1878" s="1612"/>
      <c r="X1878" s="1612"/>
      <c r="Y1878" s="1613"/>
      <c r="Z1878" s="1614"/>
      <c r="AA1878" s="1614"/>
      <c r="AB1878" s="1615"/>
      <c r="AC1878" s="1615"/>
      <c r="AD1878" s="583"/>
      <c r="AE1878" s="583"/>
    </row>
    <row r="1879" spans="1:31" ht="12.75" customHeight="1">
      <c r="A1879" s="1385" t="s">
        <v>1985</v>
      </c>
      <c r="B1879" s="19" t="s">
        <v>4200</v>
      </c>
      <c r="C1879" s="1383">
        <v>2310</v>
      </c>
      <c r="D1879" s="1589">
        <v>1051</v>
      </c>
      <c r="E1879" s="1589"/>
      <c r="F1879" s="1344">
        <f>(1/S1879)*cnst_fish!$C$6</f>
        <v>8.3002437741509269E-2</v>
      </c>
      <c r="G1879" s="719">
        <f t="shared" si="273"/>
        <v>1</v>
      </c>
      <c r="H1879" s="719">
        <f t="shared" si="273"/>
        <v>0.367192066876738</v>
      </c>
      <c r="I1879" s="719">
        <f t="shared" si="267"/>
        <v>4649.4882896006166</v>
      </c>
      <c r="J1879" s="1386">
        <f t="shared" si="268"/>
        <v>0</v>
      </c>
      <c r="K1879" s="889"/>
      <c r="L1879" s="1590">
        <v>2431</v>
      </c>
      <c r="M1879" s="1589"/>
      <c r="N1879" s="1591" t="s">
        <v>2432</v>
      </c>
      <c r="O1879" s="1592" t="s">
        <v>4859</v>
      </c>
      <c r="P1879" s="910">
        <f t="shared" si="269"/>
        <v>1051</v>
      </c>
      <c r="Q1879" s="910">
        <f t="shared" si="270"/>
        <v>2431</v>
      </c>
      <c r="R1879" s="1344">
        <f t="shared" si="271"/>
        <v>3.56</v>
      </c>
      <c r="S1879" s="1344">
        <f>(1/9)*cnst_fish!$C$7*(1/cnst_fish!$C$8)^(R1879-1)</f>
        <v>51.203315416296356</v>
      </c>
      <c r="T1879" s="1362">
        <f t="shared" si="272"/>
        <v>10754.430097068602</v>
      </c>
      <c r="W1879" s="1612"/>
      <c r="X1879" s="1612"/>
      <c r="Y1879" s="1613"/>
      <c r="Z1879" s="1614"/>
      <c r="AA1879" s="1614"/>
      <c r="AB1879" s="1615"/>
      <c r="AC1879" s="1615"/>
      <c r="AD1879" s="583"/>
      <c r="AE1879" s="583"/>
    </row>
    <row r="1880" spans="1:31" ht="12.75" customHeight="1">
      <c r="A1880" s="1385" t="s">
        <v>4784</v>
      </c>
      <c r="B1880" s="19" t="s">
        <v>4201</v>
      </c>
      <c r="C1880" s="1383">
        <v>2306</v>
      </c>
      <c r="D1880" s="1589"/>
      <c r="E1880" s="1589"/>
      <c r="F1880" s="1344">
        <f>(1/S1880)*cnst_fish!$C$6</f>
        <v>6.9038420626592392E-2</v>
      </c>
      <c r="G1880" s="719">
        <f t="shared" si="273"/>
        <v>1</v>
      </c>
      <c r="H1880" s="719">
        <f t="shared" si="273"/>
        <v>0.367192066876738</v>
      </c>
      <c r="I1880" s="719">
        <f t="shared" si="267"/>
        <v>0</v>
      </c>
      <c r="J1880" s="1386">
        <f t="shared" si="268"/>
        <v>0</v>
      </c>
      <c r="K1880" s="889"/>
      <c r="L1880" s="1590">
        <v>206907</v>
      </c>
      <c r="M1880" s="1589"/>
      <c r="N1880" s="1591" t="s">
        <v>2432</v>
      </c>
      <c r="O1880" s="1592" t="s">
        <v>4859</v>
      </c>
      <c r="P1880" s="910">
        <f t="shared" si="269"/>
        <v>0</v>
      </c>
      <c r="Q1880" s="910">
        <f t="shared" si="270"/>
        <v>206907</v>
      </c>
      <c r="R1880" s="1344">
        <f t="shared" si="271"/>
        <v>3.64</v>
      </c>
      <c r="S1880" s="1344">
        <f>(1/9)*cnst_fish!$C$7*(1/cnst_fish!$C$8)^(R1880-1)</f>
        <v>61.559925059510611</v>
      </c>
      <c r="T1880" s="1362">
        <f t="shared" si="272"/>
        <v>1100468.5259558377</v>
      </c>
      <c r="W1880" s="1612"/>
      <c r="X1880" s="1612"/>
      <c r="Y1880" s="1613"/>
      <c r="Z1880" s="1614"/>
      <c r="AA1880" s="1614"/>
      <c r="AB1880" s="1615"/>
      <c r="AC1880" s="1615"/>
      <c r="AD1880" s="583"/>
      <c r="AE1880" s="583"/>
    </row>
    <row r="1881" spans="1:31" ht="12.75" customHeight="1">
      <c r="A1881" s="1385" t="s">
        <v>2232</v>
      </c>
      <c r="B1881" s="19" t="s">
        <v>4202</v>
      </c>
      <c r="C1881" s="1383">
        <v>3106</v>
      </c>
      <c r="D1881" s="1589"/>
      <c r="E1881" s="1589"/>
      <c r="F1881" s="1344">
        <f>(1/S1881)*cnst_fish!$C$6</f>
        <v>9.7519361156519699E-2</v>
      </c>
      <c r="G1881" s="719">
        <f t="shared" si="273"/>
        <v>1</v>
      </c>
      <c r="H1881" s="719">
        <f t="shared" si="273"/>
        <v>0.367192066876738</v>
      </c>
      <c r="I1881" s="719">
        <f t="shared" si="267"/>
        <v>0</v>
      </c>
      <c r="J1881" s="1386">
        <f t="shared" si="268"/>
        <v>0</v>
      </c>
      <c r="K1881" s="889"/>
      <c r="L1881" s="1590">
        <v>89750</v>
      </c>
      <c r="M1881" s="1589"/>
      <c r="N1881" s="1591" t="s">
        <v>2432</v>
      </c>
      <c r="O1881" s="1592" t="s">
        <v>4859</v>
      </c>
      <c r="P1881" s="910">
        <f t="shared" si="269"/>
        <v>0</v>
      </c>
      <c r="Q1881" s="910">
        <f t="shared" si="270"/>
        <v>89750</v>
      </c>
      <c r="R1881" s="1344">
        <f t="shared" si="271"/>
        <v>3.49</v>
      </c>
      <c r="S1881" s="1344">
        <f>(1/9)*cnst_fish!$C$7*(1/cnst_fish!$C$8)^(R1881-1)</f>
        <v>43.581089432884006</v>
      </c>
      <c r="T1881" s="1362">
        <f t="shared" si="272"/>
        <v>337937.89880650776</v>
      </c>
      <c r="W1881" s="1612"/>
      <c r="X1881" s="1612"/>
      <c r="Y1881" s="1613"/>
      <c r="Z1881" s="1614"/>
      <c r="AA1881" s="1614"/>
      <c r="AB1881" s="1615"/>
      <c r="AC1881" s="1615"/>
      <c r="AD1881" s="583"/>
      <c r="AE1881" s="583"/>
    </row>
    <row r="1882" spans="1:31" ht="12.75" customHeight="1">
      <c r="A1882" s="1385" t="s">
        <v>336</v>
      </c>
      <c r="B1882" s="19" t="s">
        <v>337</v>
      </c>
      <c r="C1882" s="1383">
        <v>17178</v>
      </c>
      <c r="D1882" s="1589"/>
      <c r="E1882" s="1589"/>
      <c r="F1882" s="1344">
        <f>(1/S1882)*cnst_fish!$C$6</f>
        <v>0.14481532779905856</v>
      </c>
      <c r="G1882" s="719">
        <f t="shared" si="273"/>
        <v>1</v>
      </c>
      <c r="H1882" s="719">
        <f t="shared" si="273"/>
        <v>0.367192066876738</v>
      </c>
      <c r="I1882" s="719">
        <f t="shared" si="267"/>
        <v>0</v>
      </c>
      <c r="J1882" s="1386">
        <f t="shared" si="268"/>
        <v>0</v>
      </c>
      <c r="K1882" s="889"/>
      <c r="L1882" s="1590">
        <v>0</v>
      </c>
      <c r="M1882" s="1589"/>
      <c r="N1882" s="1591" t="s">
        <v>1804</v>
      </c>
      <c r="O1882" s="1592" t="s">
        <v>4851</v>
      </c>
      <c r="P1882" s="910">
        <f t="shared" si="269"/>
        <v>0</v>
      </c>
      <c r="Q1882" s="910">
        <f t="shared" si="270"/>
        <v>0</v>
      </c>
      <c r="R1882" s="1344">
        <f t="shared" si="271"/>
        <v>3.3182763159269002</v>
      </c>
      <c r="S1882" s="1344">
        <f>(1/9)*cnst_fish!$C$7*(1/cnst_fish!$C$8)^(R1882-1)</f>
        <v>29.347722127157517</v>
      </c>
      <c r="T1882" s="1362">
        <f t="shared" si="272"/>
        <v>0</v>
      </c>
      <c r="W1882" s="1612"/>
      <c r="X1882" s="1612"/>
      <c r="Y1882" s="1613"/>
      <c r="Z1882" s="1614"/>
      <c r="AA1882" s="1614"/>
      <c r="AB1882" s="1615"/>
      <c r="AC1882" s="1615"/>
      <c r="AD1882" s="583"/>
      <c r="AE1882" s="583"/>
    </row>
    <row r="1883" spans="1:31" ht="12.75" customHeight="1">
      <c r="A1883" s="1385" t="s">
        <v>3155</v>
      </c>
      <c r="B1883" s="19" t="s">
        <v>5440</v>
      </c>
      <c r="C1883" s="1383">
        <v>3419</v>
      </c>
      <c r="D1883" s="1589"/>
      <c r="E1883" s="1589"/>
      <c r="F1883" s="1344">
        <f>(1/S1883)*cnst_fish!$C$6</f>
        <v>0.60129950673834842</v>
      </c>
      <c r="G1883" s="719">
        <f t="shared" si="273"/>
        <v>1</v>
      </c>
      <c r="H1883" s="719">
        <f t="shared" si="273"/>
        <v>0.367192066876738</v>
      </c>
      <c r="I1883" s="719">
        <f t="shared" si="267"/>
        <v>0</v>
      </c>
      <c r="J1883" s="1386">
        <f t="shared" si="268"/>
        <v>0</v>
      </c>
      <c r="K1883" s="889"/>
      <c r="L1883" s="1590">
        <v>327232</v>
      </c>
      <c r="M1883" s="1589"/>
      <c r="N1883" s="1591" t="s">
        <v>2441</v>
      </c>
      <c r="O1883" s="1592" t="s">
        <v>4840</v>
      </c>
      <c r="P1883" s="910">
        <f t="shared" si="269"/>
        <v>0</v>
      </c>
      <c r="Q1883" s="910">
        <f t="shared" si="270"/>
        <v>327232</v>
      </c>
      <c r="R1883" s="1344">
        <f t="shared" si="271"/>
        <v>2.7</v>
      </c>
      <c r="S1883" s="1344">
        <f>(1/9)*cnst_fish!$C$7*(1/cnst_fish!$C$8)^(R1883-1)</f>
        <v>7.0680250896153813</v>
      </c>
      <c r="T1883" s="1362">
        <f t="shared" si="272"/>
        <v>199828.85913208354</v>
      </c>
      <c r="W1883" s="1612"/>
      <c r="X1883" s="1612"/>
      <c r="Y1883" s="1613"/>
      <c r="Z1883" s="1614"/>
      <c r="AA1883" s="1614"/>
      <c r="AB1883" s="1615"/>
      <c r="AC1883" s="1615"/>
      <c r="AD1883" s="583"/>
      <c r="AE1883" s="583"/>
    </row>
    <row r="1884" spans="1:31" ht="12.75" customHeight="1">
      <c r="A1884" s="1385" t="s">
        <v>592</v>
      </c>
      <c r="B1884" s="19" t="s">
        <v>1079</v>
      </c>
      <c r="C1884" s="1383">
        <v>15778</v>
      </c>
      <c r="D1884" s="1589"/>
      <c r="E1884" s="1589"/>
      <c r="F1884" s="1344">
        <f>(1/S1884)*cnst_fish!$C$6</f>
        <v>0.10211530705467774</v>
      </c>
      <c r="G1884" s="719">
        <f t="shared" si="273"/>
        <v>1</v>
      </c>
      <c r="H1884" s="719">
        <f t="shared" si="273"/>
        <v>0.367192066876738</v>
      </c>
      <c r="I1884" s="719">
        <f t="shared" si="267"/>
        <v>0</v>
      </c>
      <c r="J1884" s="1386">
        <f t="shared" si="268"/>
        <v>0</v>
      </c>
      <c r="K1884" s="889"/>
      <c r="L1884" s="1590">
        <v>0</v>
      </c>
      <c r="M1884" s="1589"/>
      <c r="N1884" s="1591" t="s">
        <v>1806</v>
      </c>
      <c r="O1884" s="1592" t="s">
        <v>4841</v>
      </c>
      <c r="P1884" s="910">
        <f t="shared" si="269"/>
        <v>0</v>
      </c>
      <c r="Q1884" s="910">
        <f t="shared" si="270"/>
        <v>0</v>
      </c>
      <c r="R1884" s="1344">
        <f t="shared" si="271"/>
        <v>3.47</v>
      </c>
      <c r="S1884" s="1344">
        <f>(1/9)*cnst_fish!$C$7*(1/cnst_fish!$C$8)^(R1884-1)</f>
        <v>41.619617299141382</v>
      </c>
      <c r="T1884" s="1362">
        <f t="shared" si="272"/>
        <v>0</v>
      </c>
      <c r="W1884" s="1612"/>
      <c r="X1884" s="1612"/>
      <c r="Y1884" s="1613"/>
      <c r="Z1884" s="1614"/>
      <c r="AA1884" s="1614"/>
      <c r="AB1884" s="1615"/>
      <c r="AC1884" s="1615"/>
      <c r="AD1884" s="583"/>
      <c r="AE1884" s="583"/>
    </row>
    <row r="1885" spans="1:31" ht="12.75" customHeight="1">
      <c r="A1885" s="1385" t="s">
        <v>1144</v>
      </c>
      <c r="B1885" s="19" t="s">
        <v>5505</v>
      </c>
      <c r="C1885" s="1383">
        <v>18999</v>
      </c>
      <c r="D1885" s="1589"/>
      <c r="E1885" s="1589"/>
      <c r="F1885" s="1344">
        <f>(1/S1885)*cnst_fish!$C$6</f>
        <v>6.4430402969999093E-2</v>
      </c>
      <c r="G1885" s="719">
        <f t="shared" si="273"/>
        <v>1</v>
      </c>
      <c r="H1885" s="719">
        <f t="shared" si="273"/>
        <v>0.367192066876738</v>
      </c>
      <c r="I1885" s="719">
        <f t="shared" si="267"/>
        <v>0</v>
      </c>
      <c r="J1885" s="1386">
        <f t="shared" si="268"/>
        <v>0</v>
      </c>
      <c r="K1885" s="889"/>
      <c r="L1885" s="1590">
        <v>0</v>
      </c>
      <c r="M1885" s="1589"/>
      <c r="N1885" s="1591" t="s">
        <v>1806</v>
      </c>
      <c r="O1885" s="1592" t="s">
        <v>4841</v>
      </c>
      <c r="P1885" s="910">
        <f t="shared" si="269"/>
        <v>0</v>
      </c>
      <c r="Q1885" s="910">
        <f t="shared" si="270"/>
        <v>0</v>
      </c>
      <c r="R1885" s="1344">
        <f t="shared" si="271"/>
        <v>3.67</v>
      </c>
      <c r="S1885" s="1344">
        <f>(1/9)*cnst_fish!$C$7*(1/cnst_fish!$C$8)^(R1885-1)</f>
        <v>65.962648130245896</v>
      </c>
      <c r="T1885" s="1362">
        <f t="shared" si="272"/>
        <v>0</v>
      </c>
      <c r="W1885" s="1612"/>
      <c r="X1885" s="1612"/>
      <c r="Y1885" s="1613"/>
      <c r="Z1885" s="1614"/>
      <c r="AA1885" s="1614"/>
      <c r="AB1885" s="1615"/>
      <c r="AC1885" s="1615"/>
      <c r="AD1885" s="583"/>
      <c r="AE1885" s="583"/>
    </row>
    <row r="1886" spans="1:31" ht="12.75" customHeight="1">
      <c r="A1886" s="1385" t="s">
        <v>6686</v>
      </c>
      <c r="B1886" s="19" t="s">
        <v>6685</v>
      </c>
      <c r="C1886" s="1383">
        <v>15781</v>
      </c>
      <c r="D1886" s="1589"/>
      <c r="E1886" s="1589"/>
      <c r="F1886" s="1344">
        <f>(1/S1886)*cnst_fish!$C$6</f>
        <v>9.5299549485983348E-2</v>
      </c>
      <c r="G1886" s="719">
        <f t="shared" si="273"/>
        <v>1</v>
      </c>
      <c r="H1886" s="719">
        <f t="shared" si="273"/>
        <v>0.367192066876738</v>
      </c>
      <c r="I1886" s="719">
        <f t="shared" si="267"/>
        <v>0</v>
      </c>
      <c r="J1886" s="1386">
        <f t="shared" si="268"/>
        <v>0</v>
      </c>
      <c r="K1886" s="889"/>
      <c r="L1886" s="1590">
        <v>21</v>
      </c>
      <c r="M1886" s="1589"/>
      <c r="N1886" s="1591" t="s">
        <v>1806</v>
      </c>
      <c r="O1886" s="1592" t="s">
        <v>4841</v>
      </c>
      <c r="P1886" s="910">
        <f t="shared" si="269"/>
        <v>0</v>
      </c>
      <c r="Q1886" s="910">
        <f t="shared" si="270"/>
        <v>21</v>
      </c>
      <c r="R1886" s="1344">
        <f t="shared" si="271"/>
        <v>3.5</v>
      </c>
      <c r="S1886" s="1344">
        <f>(1/9)*cnst_fish!$C$7*(1/cnst_fish!$C$8)^(R1886-1)</f>
        <v>44.596223412631026</v>
      </c>
      <c r="T1886" s="1362">
        <f t="shared" si="272"/>
        <v>80.913639634210824</v>
      </c>
      <c r="W1886" s="1612"/>
      <c r="X1886" s="1612"/>
      <c r="Y1886" s="1613"/>
      <c r="Z1886" s="1614"/>
      <c r="AA1886" s="1614"/>
      <c r="AB1886" s="1615"/>
      <c r="AC1886" s="1615"/>
      <c r="AD1886" s="583"/>
      <c r="AE1886" s="583"/>
    </row>
    <row r="1887" spans="1:31" ht="12.75" customHeight="1">
      <c r="A1887" s="1385" t="s">
        <v>6920</v>
      </c>
      <c r="B1887" s="19" t="s">
        <v>5725</v>
      </c>
      <c r="C1887" s="1383">
        <v>2447</v>
      </c>
      <c r="D1887" s="1589"/>
      <c r="E1887" s="1589"/>
      <c r="F1887" s="1344">
        <f>(1/S1887)*cnst_fish!$C$6</f>
        <v>0.14760152601876345</v>
      </c>
      <c r="G1887" s="719">
        <f t="shared" si="273"/>
        <v>1</v>
      </c>
      <c r="H1887" s="719">
        <f t="shared" si="273"/>
        <v>0.367192066876738</v>
      </c>
      <c r="I1887" s="719">
        <f t="shared" si="267"/>
        <v>0</v>
      </c>
      <c r="J1887" s="1386">
        <f t="shared" si="268"/>
        <v>0</v>
      </c>
      <c r="K1887" s="889"/>
      <c r="L1887" s="1590">
        <v>0</v>
      </c>
      <c r="M1887" s="1589"/>
      <c r="N1887" s="1591" t="s">
        <v>1806</v>
      </c>
      <c r="O1887" s="1592" t="s">
        <v>4841</v>
      </c>
      <c r="P1887" s="910">
        <f t="shared" si="269"/>
        <v>0</v>
      </c>
      <c r="Q1887" s="910">
        <f t="shared" si="270"/>
        <v>0</v>
      </c>
      <c r="R1887" s="1344">
        <f t="shared" si="271"/>
        <v>3.31</v>
      </c>
      <c r="S1887" s="1344">
        <f>(1/9)*cnst_fish!$C$7*(1/cnst_fish!$C$8)^(R1887-1)</f>
        <v>28.793740245339542</v>
      </c>
      <c r="T1887" s="1362">
        <f t="shared" si="272"/>
        <v>0</v>
      </c>
      <c r="W1887" s="1612"/>
      <c r="X1887" s="1612"/>
      <c r="Y1887" s="1613"/>
      <c r="Z1887" s="1614"/>
      <c r="AA1887" s="1614"/>
      <c r="AB1887" s="1615"/>
      <c r="AC1887" s="1615"/>
      <c r="AD1887" s="583"/>
      <c r="AE1887" s="583"/>
    </row>
    <row r="1888" spans="1:31" ht="12.75" customHeight="1">
      <c r="A1888" s="1385" t="s">
        <v>6921</v>
      </c>
      <c r="B1888" s="19" t="s">
        <v>5648</v>
      </c>
      <c r="C1888" s="1383">
        <v>3242</v>
      </c>
      <c r="D1888" s="1589">
        <v>0</v>
      </c>
      <c r="E1888" s="1589"/>
      <c r="F1888" s="1344">
        <f>(1/S1888)*cnst_fish!$C$6</f>
        <v>0.10692785320993656</v>
      </c>
      <c r="G1888" s="719">
        <f t="shared" ref="G1888:H1907" si="274">G$7</f>
        <v>1</v>
      </c>
      <c r="H1888" s="719">
        <f t="shared" si="274"/>
        <v>0.367192066876738</v>
      </c>
      <c r="I1888" s="719">
        <f t="shared" si="267"/>
        <v>0</v>
      </c>
      <c r="J1888" s="1386">
        <f t="shared" si="268"/>
        <v>0</v>
      </c>
      <c r="K1888" s="889"/>
      <c r="L1888" s="1590">
        <v>0</v>
      </c>
      <c r="M1888" s="1589"/>
      <c r="N1888" s="1591" t="s">
        <v>1806</v>
      </c>
      <c r="O1888" s="1592" t="s">
        <v>4841</v>
      </c>
      <c r="P1888" s="910">
        <f t="shared" si="269"/>
        <v>0</v>
      </c>
      <c r="Q1888" s="910">
        <f t="shared" si="270"/>
        <v>0</v>
      </c>
      <c r="R1888" s="1344">
        <f t="shared" si="271"/>
        <v>3.45</v>
      </c>
      <c r="S1888" s="1344">
        <f>(1/9)*cnst_fish!$C$7*(1/cnst_fish!$C$8)^(R1888-1)</f>
        <v>39.746425953729492</v>
      </c>
      <c r="T1888" s="1362">
        <f t="shared" si="272"/>
        <v>0</v>
      </c>
      <c r="W1888" s="1612"/>
      <c r="X1888" s="1612"/>
      <c r="Y1888" s="1613"/>
      <c r="Z1888" s="1614"/>
      <c r="AA1888" s="1614"/>
      <c r="AB1888" s="1615"/>
      <c r="AC1888" s="1615"/>
      <c r="AD1888" s="583"/>
      <c r="AE1888" s="583"/>
    </row>
    <row r="1889" spans="1:31" ht="12.75" customHeight="1">
      <c r="A1889" s="1385" t="s">
        <v>4238</v>
      </c>
      <c r="B1889" s="19" t="s">
        <v>4765</v>
      </c>
      <c r="C1889" s="1383">
        <v>18707</v>
      </c>
      <c r="D1889" s="1589">
        <v>45</v>
      </c>
      <c r="E1889" s="1589"/>
      <c r="F1889" s="1344">
        <f>(1/S1889)*cnst_fish!$C$6</f>
        <v>2.6141530827766903</v>
      </c>
      <c r="G1889" s="719">
        <f t="shared" si="274"/>
        <v>1</v>
      </c>
      <c r="H1889" s="719">
        <f t="shared" si="274"/>
        <v>0.367192066876738</v>
      </c>
      <c r="I1889" s="719">
        <f t="shared" si="267"/>
        <v>6.3208398614140053</v>
      </c>
      <c r="J1889" s="1386">
        <f t="shared" si="268"/>
        <v>0</v>
      </c>
      <c r="K1889" s="889"/>
      <c r="L1889" s="1590">
        <v>45</v>
      </c>
      <c r="M1889" s="1589"/>
      <c r="N1889" s="1591" t="s">
        <v>1804</v>
      </c>
      <c r="O1889" s="1592" t="s">
        <v>4851</v>
      </c>
      <c r="P1889" s="910">
        <f t="shared" si="269"/>
        <v>45</v>
      </c>
      <c r="Q1889" s="910">
        <f t="shared" si="270"/>
        <v>45</v>
      </c>
      <c r="R1889" s="1344">
        <f t="shared" si="271"/>
        <v>2.0617598316454031</v>
      </c>
      <c r="S1889" s="1344">
        <f>(1/9)*cnst_fish!$C$7*(1/cnst_fish!$C$8)^(R1889-1)</f>
        <v>1.6257655406644176</v>
      </c>
      <c r="T1889" s="1362">
        <f t="shared" si="272"/>
        <v>6.3208398614140053</v>
      </c>
      <c r="W1889" s="1612"/>
      <c r="X1889" s="1612"/>
      <c r="Y1889" s="1613"/>
      <c r="Z1889" s="1614"/>
      <c r="AA1889" s="1614"/>
      <c r="AB1889" s="1615"/>
      <c r="AC1889" s="1615"/>
      <c r="AD1889" s="583"/>
      <c r="AE1889" s="583"/>
    </row>
    <row r="1890" spans="1:31" ht="12.75" customHeight="1">
      <c r="A1890" s="1385" t="s">
        <v>4017</v>
      </c>
      <c r="B1890" s="19" t="s">
        <v>4018</v>
      </c>
      <c r="C1890" s="1383">
        <v>15799</v>
      </c>
      <c r="D1890" s="1589"/>
      <c r="E1890" s="1589"/>
      <c r="F1890" s="1344">
        <f>(1/S1890)*cnst_fish!$C$6</f>
        <v>3.0136363636363642E-2</v>
      </c>
      <c r="G1890" s="719">
        <f t="shared" si="274"/>
        <v>1</v>
      </c>
      <c r="H1890" s="719">
        <f t="shared" si="274"/>
        <v>0.367192066876738</v>
      </c>
      <c r="I1890" s="719">
        <f t="shared" si="267"/>
        <v>0</v>
      </c>
      <c r="J1890" s="1386">
        <f t="shared" si="268"/>
        <v>0</v>
      </c>
      <c r="K1890" s="889"/>
      <c r="L1890" s="1590">
        <v>1</v>
      </c>
      <c r="M1890" s="1589"/>
      <c r="N1890" s="1591" t="s">
        <v>3927</v>
      </c>
      <c r="O1890" s="1592" t="s">
        <v>4841</v>
      </c>
      <c r="P1890" s="910">
        <f t="shared" si="269"/>
        <v>0</v>
      </c>
      <c r="Q1890" s="910">
        <f t="shared" si="270"/>
        <v>1</v>
      </c>
      <c r="R1890" s="1344">
        <f t="shared" si="271"/>
        <v>4</v>
      </c>
      <c r="S1890" s="1344">
        <f>(1/9)*cnst_fish!$C$7*(1/cnst_fish!$C$8)^(R1890-1)</f>
        <v>141.02564102564099</v>
      </c>
      <c r="T1890" s="1362">
        <f t="shared" si="272"/>
        <v>12.184352143722828</v>
      </c>
      <c r="W1890" s="1612"/>
      <c r="X1890" s="1612"/>
      <c r="Y1890" s="1613"/>
      <c r="Z1890" s="1614"/>
      <c r="AA1890" s="1614"/>
      <c r="AB1890" s="1615"/>
      <c r="AC1890" s="1615"/>
      <c r="AD1890" s="583"/>
      <c r="AE1890" s="583"/>
    </row>
    <row r="1891" spans="1:31" ht="12.75" customHeight="1">
      <c r="A1891" s="1385" t="s">
        <v>2727</v>
      </c>
      <c r="B1891" s="19" t="s">
        <v>3590</v>
      </c>
      <c r="C1891" s="1383">
        <v>3587</v>
      </c>
      <c r="D1891" s="1589"/>
      <c r="E1891" s="1589"/>
      <c r="F1891" s="1344">
        <f>(1/S1891)*cnst_fish!$C$6</f>
        <v>3.0136363636363641</v>
      </c>
      <c r="G1891" s="719">
        <f t="shared" si="274"/>
        <v>1</v>
      </c>
      <c r="H1891" s="719">
        <f t="shared" si="274"/>
        <v>0.367192066876738</v>
      </c>
      <c r="I1891" s="719">
        <f t="shared" si="267"/>
        <v>0</v>
      </c>
      <c r="J1891" s="1386">
        <f t="shared" si="268"/>
        <v>0</v>
      </c>
      <c r="K1891" s="889"/>
      <c r="L1891" s="1590"/>
      <c r="M1891" s="1589">
        <v>0</v>
      </c>
      <c r="N1891" s="1591" t="s">
        <v>1806</v>
      </c>
      <c r="O1891" s="1592"/>
      <c r="P1891" s="910">
        <f t="shared" si="269"/>
        <v>0</v>
      </c>
      <c r="Q1891" s="910">
        <f t="shared" si="270"/>
        <v>0</v>
      </c>
      <c r="R1891" s="1344">
        <f t="shared" si="271"/>
        <v>2</v>
      </c>
      <c r="S1891" s="1344">
        <f>(1/9)*cnst_fish!$C$7*(1/cnst_fish!$C$8)^(R1891-1)</f>
        <v>1.4102564102564099</v>
      </c>
      <c r="T1891" s="1362">
        <f t="shared" si="272"/>
        <v>0</v>
      </c>
      <c r="W1891" s="1612"/>
      <c r="X1891" s="1612"/>
      <c r="Y1891" s="1613"/>
      <c r="Z1891" s="1614"/>
      <c r="AA1891" s="1614"/>
      <c r="AB1891" s="1615"/>
      <c r="AC1891" s="1615"/>
      <c r="AD1891" s="583"/>
      <c r="AE1891" s="583"/>
    </row>
    <row r="1892" spans="1:31" ht="12.75" customHeight="1">
      <c r="A1892" s="1385" t="s">
        <v>3673</v>
      </c>
      <c r="B1892" s="19" t="s">
        <v>5506</v>
      </c>
      <c r="C1892" s="1383">
        <v>3269</v>
      </c>
      <c r="D1892" s="1589"/>
      <c r="E1892" s="1589"/>
      <c r="F1892" s="1344">
        <f>(1/S1892)*cnst_fish!$C$6</f>
        <v>1.7341667202478851E-2</v>
      </c>
      <c r="G1892" s="719">
        <f t="shared" si="274"/>
        <v>1</v>
      </c>
      <c r="H1892" s="719">
        <f t="shared" si="274"/>
        <v>0.367192066876738</v>
      </c>
      <c r="I1892" s="719">
        <f t="shared" si="267"/>
        <v>0</v>
      </c>
      <c r="J1892" s="1386">
        <f t="shared" si="268"/>
        <v>0</v>
      </c>
      <c r="K1892" s="889"/>
      <c r="L1892" s="1590">
        <v>265129</v>
      </c>
      <c r="M1892" s="1589"/>
      <c r="N1892" s="1591" t="s">
        <v>1806</v>
      </c>
      <c r="O1892" s="1592" t="s">
        <v>4841</v>
      </c>
      <c r="P1892" s="910">
        <f t="shared" si="269"/>
        <v>0</v>
      </c>
      <c r="Q1892" s="910">
        <f t="shared" si="270"/>
        <v>265129</v>
      </c>
      <c r="R1892" s="1344">
        <f t="shared" si="271"/>
        <v>4.24</v>
      </c>
      <c r="S1892" s="1344">
        <f>(1/9)*cnst_fish!$C$7*(1/cnst_fish!$C$8)^(R1892-1)</f>
        <v>245.0744758492711</v>
      </c>
      <c r="T1892" s="1362">
        <f t="shared" si="272"/>
        <v>5613835.4151466368</v>
      </c>
      <c r="W1892" s="1612"/>
      <c r="X1892" s="1612"/>
      <c r="Y1892" s="1613"/>
      <c r="Z1892" s="1614"/>
      <c r="AA1892" s="1614"/>
      <c r="AB1892" s="1615"/>
      <c r="AC1892" s="1615"/>
      <c r="AD1892" s="583"/>
      <c r="AE1892" s="583"/>
    </row>
    <row r="1893" spans="1:31" ht="12.75" customHeight="1">
      <c r="A1893" s="1385" t="s">
        <v>3554</v>
      </c>
      <c r="B1893" s="19" t="s">
        <v>5507</v>
      </c>
      <c r="C1893" s="1383">
        <v>2468</v>
      </c>
      <c r="D1893" s="1589">
        <v>115</v>
      </c>
      <c r="E1893" s="1589"/>
      <c r="F1893" s="1344">
        <f>(1/S1893)*cnst_fish!$C$6</f>
        <v>1.0692785320993655E-2</v>
      </c>
      <c r="G1893" s="719">
        <f t="shared" si="274"/>
        <v>1</v>
      </c>
      <c r="H1893" s="719">
        <f t="shared" si="274"/>
        <v>0.367192066876738</v>
      </c>
      <c r="I1893" s="719">
        <f t="shared" si="267"/>
        <v>3949.1195626941485</v>
      </c>
      <c r="J1893" s="1386">
        <f t="shared" si="268"/>
        <v>0</v>
      </c>
      <c r="K1893" s="889"/>
      <c r="L1893" s="1590">
        <v>1258302</v>
      </c>
      <c r="M1893" s="1589"/>
      <c r="N1893" s="1591" t="s">
        <v>1806</v>
      </c>
      <c r="O1893" s="1592" t="s">
        <v>4841</v>
      </c>
      <c r="P1893" s="910">
        <f t="shared" si="269"/>
        <v>115</v>
      </c>
      <c r="Q1893" s="910">
        <f t="shared" si="270"/>
        <v>1258302</v>
      </c>
      <c r="R1893" s="1344">
        <f t="shared" si="271"/>
        <v>4.45</v>
      </c>
      <c r="S1893" s="1344">
        <f>(1/9)*cnst_fish!$C$7*(1/cnst_fish!$C$8)^(R1893-1)</f>
        <v>397.46425953729499</v>
      </c>
      <c r="T1893" s="1362">
        <f t="shared" si="272"/>
        <v>43210304.730236277</v>
      </c>
      <c r="W1893" s="1612"/>
      <c r="X1893" s="1612"/>
      <c r="Y1893" s="1613"/>
      <c r="Z1893" s="1614"/>
      <c r="AA1893" s="1614"/>
      <c r="AB1893" s="1615"/>
      <c r="AC1893" s="1615"/>
      <c r="AD1893" s="583"/>
      <c r="AE1893" s="583"/>
    </row>
    <row r="1894" spans="1:31" ht="12.75" customHeight="1">
      <c r="A1894" s="1385" t="s">
        <v>3058</v>
      </c>
      <c r="B1894" s="19" t="s">
        <v>4549</v>
      </c>
      <c r="C1894" s="1383">
        <v>3321</v>
      </c>
      <c r="D1894" s="1589"/>
      <c r="E1894" s="1589"/>
      <c r="F1894" s="1344">
        <f>(1/S1894)*cnst_fish!$C$6</f>
        <v>1.4424170509541332</v>
      </c>
      <c r="G1894" s="719">
        <f t="shared" si="274"/>
        <v>1</v>
      </c>
      <c r="H1894" s="719">
        <f t="shared" si="274"/>
        <v>0.367192066876738</v>
      </c>
      <c r="I1894" s="719">
        <f t="shared" si="267"/>
        <v>0</v>
      </c>
      <c r="J1894" s="1386">
        <f t="shared" si="268"/>
        <v>0</v>
      </c>
      <c r="K1894" s="889"/>
      <c r="L1894" s="1590"/>
      <c r="M1894" s="1589">
        <v>32803</v>
      </c>
      <c r="N1894" s="1591" t="s">
        <v>1806</v>
      </c>
      <c r="O1894" s="1592" t="s">
        <v>4845</v>
      </c>
      <c r="P1894" s="910">
        <f t="shared" si="269"/>
        <v>0</v>
      </c>
      <c r="Q1894" s="910">
        <f t="shared" si="270"/>
        <v>32803</v>
      </c>
      <c r="R1894" s="1344">
        <f t="shared" si="271"/>
        <v>2.3199999999999998</v>
      </c>
      <c r="S1894" s="1344">
        <f>(1/9)*cnst_fish!$C$7*(1/cnst_fish!$C$8)^(R1894-1)</f>
        <v>2.946443261460824</v>
      </c>
      <c r="T1894" s="1362">
        <f t="shared" si="272"/>
        <v>8350.5677929903031</v>
      </c>
      <c r="W1894" s="1612"/>
      <c r="X1894" s="1612"/>
      <c r="Y1894" s="1613"/>
      <c r="Z1894" s="1614"/>
      <c r="AA1894" s="1614"/>
      <c r="AB1894" s="1615"/>
      <c r="AC1894" s="1615"/>
      <c r="AD1894" s="583"/>
      <c r="AE1894" s="583"/>
    </row>
    <row r="1895" spans="1:31" ht="12.75" customHeight="1">
      <c r="A1895" s="1385" t="s">
        <v>757</v>
      </c>
      <c r="B1895" s="19" t="s">
        <v>758</v>
      </c>
      <c r="C1895" s="1383">
        <v>15804</v>
      </c>
      <c r="D1895" s="1589"/>
      <c r="E1895" s="1589"/>
      <c r="F1895" s="1344">
        <f>(1/S1895)*cnst_fish!$C$6</f>
        <v>0.62963787943464877</v>
      </c>
      <c r="G1895" s="719">
        <f t="shared" si="274"/>
        <v>1</v>
      </c>
      <c r="H1895" s="719">
        <f t="shared" si="274"/>
        <v>0.367192066876738</v>
      </c>
      <c r="I1895" s="719">
        <f t="shared" si="267"/>
        <v>0</v>
      </c>
      <c r="J1895" s="1386">
        <f t="shared" si="268"/>
        <v>0</v>
      </c>
      <c r="K1895" s="889"/>
      <c r="L1895" s="1590"/>
      <c r="M1895" s="1589">
        <v>12704</v>
      </c>
      <c r="N1895" s="1591" t="s">
        <v>1806</v>
      </c>
      <c r="O1895" s="1592" t="s">
        <v>4845</v>
      </c>
      <c r="P1895" s="910">
        <f t="shared" si="269"/>
        <v>0</v>
      </c>
      <c r="Q1895" s="910">
        <f t="shared" si="270"/>
        <v>12704</v>
      </c>
      <c r="R1895" s="1344">
        <f t="shared" si="271"/>
        <v>2.68</v>
      </c>
      <c r="S1895" s="1344">
        <f>(1/9)*cnst_fish!$C$7*(1/cnst_fish!$C$8)^(R1895-1)</f>
        <v>6.7499115583961862</v>
      </c>
      <c r="T1895" s="1362">
        <f t="shared" si="272"/>
        <v>7408.7156601674069</v>
      </c>
      <c r="W1895" s="1612"/>
      <c r="X1895" s="1612"/>
      <c r="Y1895" s="1613"/>
      <c r="Z1895" s="1614"/>
      <c r="AA1895" s="1614"/>
      <c r="AB1895" s="1615"/>
      <c r="AC1895" s="1615"/>
      <c r="AD1895" s="583"/>
      <c r="AE1895" s="583"/>
    </row>
    <row r="1896" spans="1:31" ht="12.75" customHeight="1">
      <c r="A1896" s="1385" t="s">
        <v>3418</v>
      </c>
      <c r="B1896" s="19" t="s">
        <v>3278</v>
      </c>
      <c r="C1896" s="1383">
        <v>3334</v>
      </c>
      <c r="D1896" s="1589"/>
      <c r="E1896" s="1589"/>
      <c r="F1896" s="1344">
        <f>(1/S1896)*cnst_fish!$C$6</f>
        <v>7.0646532025323075E-2</v>
      </c>
      <c r="G1896" s="719">
        <f t="shared" si="274"/>
        <v>1</v>
      </c>
      <c r="H1896" s="719">
        <f t="shared" si="274"/>
        <v>0.367192066876738</v>
      </c>
      <c r="I1896" s="719">
        <f t="shared" si="267"/>
        <v>0</v>
      </c>
      <c r="J1896" s="1386">
        <f t="shared" si="268"/>
        <v>0</v>
      </c>
      <c r="K1896" s="889"/>
      <c r="L1896" s="1590">
        <v>10695</v>
      </c>
      <c r="M1896" s="1589"/>
      <c r="N1896" s="1591" t="s">
        <v>1806</v>
      </c>
      <c r="O1896" s="1592" t="s">
        <v>4841</v>
      </c>
      <c r="P1896" s="910">
        <f t="shared" si="269"/>
        <v>0</v>
      </c>
      <c r="Q1896" s="910">
        <f t="shared" si="270"/>
        <v>10695</v>
      </c>
      <c r="R1896" s="1344">
        <f t="shared" si="271"/>
        <v>3.63</v>
      </c>
      <c r="S1896" s="1344">
        <f>(1/9)*cnst_fish!$C$7*(1/cnst_fish!$C$8)^(R1896-1)</f>
        <v>60.158650087404119</v>
      </c>
      <c r="T1896" s="1362">
        <f t="shared" si="272"/>
        <v>55588.279320477428</v>
      </c>
      <c r="W1896" s="1612"/>
      <c r="X1896" s="1612"/>
      <c r="Y1896" s="1613"/>
      <c r="Z1896" s="1614"/>
      <c r="AA1896" s="1614"/>
      <c r="AB1896" s="1615"/>
      <c r="AC1896" s="1615"/>
      <c r="AD1896" s="583"/>
      <c r="AE1896" s="583"/>
    </row>
    <row r="1897" spans="1:31" ht="12.75" customHeight="1">
      <c r="A1897" s="1385" t="s">
        <v>6922</v>
      </c>
      <c r="B1897" s="19" t="s">
        <v>3865</v>
      </c>
      <c r="C1897" s="1383">
        <v>2749</v>
      </c>
      <c r="D1897" s="1589"/>
      <c r="E1897" s="1589"/>
      <c r="F1897" s="1344">
        <f>(1/S1897)*cnst_fish!$C$6</f>
        <v>1.6946922663690973</v>
      </c>
      <c r="G1897" s="719">
        <f t="shared" si="274"/>
        <v>1</v>
      </c>
      <c r="H1897" s="719">
        <f t="shared" si="274"/>
        <v>0.367192066876738</v>
      </c>
      <c r="I1897" s="719">
        <f t="shared" si="267"/>
        <v>0</v>
      </c>
      <c r="J1897" s="1386">
        <f t="shared" si="268"/>
        <v>0</v>
      </c>
      <c r="K1897" s="889"/>
      <c r="L1897" s="1590"/>
      <c r="M1897" s="1589">
        <v>0</v>
      </c>
      <c r="N1897" s="1591" t="s">
        <v>2429</v>
      </c>
      <c r="O1897" s="1592"/>
      <c r="P1897" s="910">
        <f t="shared" si="269"/>
        <v>0</v>
      </c>
      <c r="Q1897" s="910">
        <f t="shared" si="270"/>
        <v>0</v>
      </c>
      <c r="R1897" s="1344">
        <f t="shared" si="271"/>
        <v>2.25</v>
      </c>
      <c r="S1897" s="1344">
        <f>(1/9)*cnst_fish!$C$7*(1/cnst_fish!$C$8)^(R1897-1)</f>
        <v>2.5078299372343786</v>
      </c>
      <c r="T1897" s="1362">
        <f t="shared" si="272"/>
        <v>0</v>
      </c>
      <c r="W1897" s="1612"/>
      <c r="X1897" s="1612"/>
      <c r="Y1897" s="1613"/>
      <c r="Z1897" s="1614"/>
      <c r="AA1897" s="1614"/>
      <c r="AB1897" s="1615"/>
      <c r="AC1897" s="1615"/>
      <c r="AD1897" s="583"/>
      <c r="AE1897" s="583"/>
    </row>
    <row r="1898" spans="1:31" ht="12.75" customHeight="1">
      <c r="A1898" s="1385" t="s">
        <v>6924</v>
      </c>
      <c r="B1898" s="19" t="s">
        <v>6923</v>
      </c>
      <c r="C1898" s="1383">
        <v>15834</v>
      </c>
      <c r="D1898" s="1589"/>
      <c r="E1898" s="1589"/>
      <c r="F1898" s="1344">
        <f>(1/S1898)*cnst_fish!$C$6</f>
        <v>0.60129950673834842</v>
      </c>
      <c r="G1898" s="719">
        <f t="shared" si="274"/>
        <v>1</v>
      </c>
      <c r="H1898" s="719">
        <f t="shared" si="274"/>
        <v>0.367192066876738</v>
      </c>
      <c r="I1898" s="719">
        <f t="shared" si="267"/>
        <v>0</v>
      </c>
      <c r="J1898" s="1386">
        <f t="shared" si="268"/>
        <v>0</v>
      </c>
      <c r="K1898" s="889"/>
      <c r="L1898" s="1590"/>
      <c r="M1898" s="1589">
        <v>3226</v>
      </c>
      <c r="N1898" s="1591" t="s">
        <v>1806</v>
      </c>
      <c r="O1898" s="1592" t="s">
        <v>4845</v>
      </c>
      <c r="P1898" s="910">
        <f t="shared" si="269"/>
        <v>0</v>
      </c>
      <c r="Q1898" s="910">
        <f t="shared" si="270"/>
        <v>3226</v>
      </c>
      <c r="R1898" s="1344">
        <f t="shared" si="271"/>
        <v>2.7</v>
      </c>
      <c r="S1898" s="1344">
        <f>(1/9)*cnst_fish!$C$7*(1/cnst_fish!$C$8)^(R1898-1)</f>
        <v>7.0680250896153813</v>
      </c>
      <c r="T1898" s="1362">
        <f t="shared" si="272"/>
        <v>1970.0026267605292</v>
      </c>
      <c r="W1898" s="1612"/>
      <c r="X1898" s="1612"/>
      <c r="Y1898" s="1613"/>
      <c r="Z1898" s="1614"/>
      <c r="AA1898" s="1614"/>
      <c r="AB1898" s="1615"/>
      <c r="AC1898" s="1615"/>
      <c r="AD1898" s="583"/>
      <c r="AE1898" s="583"/>
    </row>
    <row r="1899" spans="1:31" ht="12.75" customHeight="1">
      <c r="A1899" s="1385" t="s">
        <v>3950</v>
      </c>
      <c r="B1899" s="19" t="s">
        <v>4155</v>
      </c>
      <c r="C1899" s="1383">
        <v>15836</v>
      </c>
      <c r="D1899" s="1589"/>
      <c r="E1899" s="1589"/>
      <c r="F1899" s="1344">
        <f>(1/S1899)*cnst_fish!$C$6</f>
        <v>0.28124890974018413</v>
      </c>
      <c r="G1899" s="719">
        <f t="shared" si="274"/>
        <v>1</v>
      </c>
      <c r="H1899" s="719">
        <f t="shared" si="274"/>
        <v>0.367192066876738</v>
      </c>
      <c r="I1899" s="719">
        <f t="shared" si="267"/>
        <v>0</v>
      </c>
      <c r="J1899" s="1386">
        <f t="shared" si="268"/>
        <v>0</v>
      </c>
      <c r="K1899" s="889"/>
      <c r="L1899" s="1590">
        <v>0</v>
      </c>
      <c r="M1899" s="1589"/>
      <c r="N1899" s="1591" t="s">
        <v>5366</v>
      </c>
      <c r="O1899" s="1592" t="s">
        <v>4841</v>
      </c>
      <c r="P1899" s="910">
        <f t="shared" si="269"/>
        <v>0</v>
      </c>
      <c r="Q1899" s="910">
        <f t="shared" si="270"/>
        <v>0</v>
      </c>
      <c r="R1899" s="1344">
        <f t="shared" si="271"/>
        <v>3.03</v>
      </c>
      <c r="S1899" s="1344">
        <f>(1/9)*cnst_fish!$C$7*(1/cnst_fish!$C$8)^(R1899-1)</f>
        <v>15.111169689248294</v>
      </c>
      <c r="T1899" s="1362">
        <f t="shared" si="272"/>
        <v>0</v>
      </c>
      <c r="W1899" s="1612"/>
      <c r="X1899" s="1612"/>
      <c r="Y1899" s="1613"/>
      <c r="Z1899" s="1614"/>
      <c r="AA1899" s="1614"/>
      <c r="AB1899" s="1615"/>
      <c r="AC1899" s="1615"/>
      <c r="AD1899" s="583"/>
      <c r="AE1899" s="583"/>
    </row>
    <row r="1900" spans="1:31" ht="12.75" customHeight="1">
      <c r="A1900" s="1385" t="s">
        <v>2646</v>
      </c>
      <c r="B1900" s="19" t="s">
        <v>4156</v>
      </c>
      <c r="C1900" s="1383">
        <v>3019</v>
      </c>
      <c r="D1900" s="1589"/>
      <c r="E1900" s="1589"/>
      <c r="F1900" s="1344">
        <f>(1/S1900)*cnst_fish!$C$6</f>
        <v>0.17341667202478855</v>
      </c>
      <c r="G1900" s="719">
        <f t="shared" si="274"/>
        <v>1</v>
      </c>
      <c r="H1900" s="719">
        <f t="shared" si="274"/>
        <v>0.367192066876738</v>
      </c>
      <c r="I1900" s="719">
        <f t="shared" si="267"/>
        <v>0</v>
      </c>
      <c r="J1900" s="1386">
        <f t="shared" si="268"/>
        <v>0</v>
      </c>
      <c r="K1900" s="889"/>
      <c r="L1900" s="1590">
        <v>85851</v>
      </c>
      <c r="M1900" s="1589"/>
      <c r="N1900" s="1591" t="s">
        <v>1806</v>
      </c>
      <c r="O1900" s="1592" t="s">
        <v>4841</v>
      </c>
      <c r="P1900" s="910">
        <f t="shared" si="269"/>
        <v>0</v>
      </c>
      <c r="Q1900" s="910">
        <f t="shared" si="270"/>
        <v>85851</v>
      </c>
      <c r="R1900" s="1344">
        <f t="shared" si="271"/>
        <v>3.24</v>
      </c>
      <c r="S1900" s="1344">
        <f>(1/9)*cnst_fish!$C$7*(1/cnst_fish!$C$8)^(R1900-1)</f>
        <v>24.507447584927103</v>
      </c>
      <c r="T1900" s="1362">
        <f t="shared" si="272"/>
        <v>181780.71211589593</v>
      </c>
      <c r="W1900" s="1612"/>
      <c r="X1900" s="1612"/>
      <c r="Y1900" s="1613"/>
      <c r="Z1900" s="1614"/>
      <c r="AA1900" s="1614"/>
      <c r="AB1900" s="1615"/>
      <c r="AC1900" s="1615"/>
      <c r="AD1900" s="583"/>
      <c r="AE1900" s="583"/>
    </row>
    <row r="1901" spans="1:31" ht="12.75" customHeight="1">
      <c r="A1901" s="1385" t="s">
        <v>199</v>
      </c>
      <c r="B1901" s="19" t="s">
        <v>4157</v>
      </c>
      <c r="C1901" s="1383">
        <v>2235</v>
      </c>
      <c r="D1901" s="1589"/>
      <c r="E1901" s="1589"/>
      <c r="F1901" s="1344">
        <f>(1/S1901)*cnst_fish!$C$6</f>
        <v>5.6116535073067304E-2</v>
      </c>
      <c r="G1901" s="719">
        <f t="shared" si="274"/>
        <v>1</v>
      </c>
      <c r="H1901" s="719">
        <f t="shared" si="274"/>
        <v>0.367192066876738</v>
      </c>
      <c r="I1901" s="719">
        <f t="shared" si="267"/>
        <v>0</v>
      </c>
      <c r="J1901" s="1386">
        <f t="shared" si="268"/>
        <v>0</v>
      </c>
      <c r="K1901" s="889"/>
      <c r="L1901" s="1590">
        <v>11888</v>
      </c>
      <c r="M1901" s="1589"/>
      <c r="N1901" s="1591" t="s">
        <v>1806</v>
      </c>
      <c r="O1901" s="1592" t="s">
        <v>4841</v>
      </c>
      <c r="P1901" s="910">
        <f t="shared" si="269"/>
        <v>0</v>
      </c>
      <c r="Q1901" s="910">
        <f t="shared" si="270"/>
        <v>11888</v>
      </c>
      <c r="R1901" s="1344">
        <f t="shared" si="271"/>
        <v>3.73</v>
      </c>
      <c r="S1901" s="1344">
        <f>(1/9)*cnst_fish!$C$7*(1/cnst_fish!$C$8)^(R1901-1)</f>
        <v>75.735253334266432</v>
      </c>
      <c r="T1901" s="1362">
        <f t="shared" si="272"/>
        <v>77787.755166047224</v>
      </c>
      <c r="W1901" s="1612"/>
      <c r="X1901" s="1612"/>
      <c r="Y1901" s="1613"/>
      <c r="Z1901" s="1614"/>
      <c r="AA1901" s="1614"/>
      <c r="AB1901" s="1615"/>
      <c r="AC1901" s="1615"/>
      <c r="AD1901" s="583"/>
      <c r="AE1901" s="583"/>
    </row>
    <row r="1902" spans="1:31" ht="12.75" customHeight="1">
      <c r="A1902" s="1385" t="s">
        <v>2137</v>
      </c>
      <c r="B1902" s="19" t="s">
        <v>3828</v>
      </c>
      <c r="C1902" s="1383">
        <v>3020</v>
      </c>
      <c r="D1902" s="1589"/>
      <c r="E1902" s="1589"/>
      <c r="F1902" s="1344">
        <f>(1/S1902)*cnst_fish!$C$6</f>
        <v>4.4574948243432784E-2</v>
      </c>
      <c r="G1902" s="719">
        <f t="shared" si="274"/>
        <v>1</v>
      </c>
      <c r="H1902" s="719">
        <f t="shared" si="274"/>
        <v>0.367192066876738</v>
      </c>
      <c r="I1902" s="719">
        <f t="shared" si="267"/>
        <v>0</v>
      </c>
      <c r="J1902" s="1386">
        <f t="shared" si="268"/>
        <v>0</v>
      </c>
      <c r="K1902" s="889"/>
      <c r="L1902" s="1590">
        <v>1383</v>
      </c>
      <c r="M1902" s="1589"/>
      <c r="N1902" s="1591" t="s">
        <v>1806</v>
      </c>
      <c r="O1902" s="1592" t="s">
        <v>4841</v>
      </c>
      <c r="P1902" s="910">
        <f t="shared" si="269"/>
        <v>0</v>
      </c>
      <c r="Q1902" s="910">
        <f t="shared" si="270"/>
        <v>1383</v>
      </c>
      <c r="R1902" s="1344">
        <f t="shared" si="271"/>
        <v>3.83</v>
      </c>
      <c r="S1902" s="1344">
        <f>(1/9)*cnst_fish!$C$7*(1/cnst_fish!$C$8)^(R1902-1)</f>
        <v>95.345034991176945</v>
      </c>
      <c r="T1902" s="1362">
        <f t="shared" si="272"/>
        <v>11392.646508913145</v>
      </c>
      <c r="W1902" s="1612"/>
      <c r="X1902" s="1612"/>
      <c r="Y1902" s="1613"/>
      <c r="Z1902" s="1614"/>
      <c r="AA1902" s="1614"/>
      <c r="AB1902" s="1615"/>
      <c r="AC1902" s="1615"/>
      <c r="AD1902" s="583"/>
      <c r="AE1902" s="583"/>
    </row>
    <row r="1903" spans="1:31" ht="12.75" customHeight="1">
      <c r="A1903" s="1385" t="s">
        <v>1250</v>
      </c>
      <c r="B1903" s="19" t="s">
        <v>384</v>
      </c>
      <c r="C1903" s="1383">
        <v>3653</v>
      </c>
      <c r="D1903" s="1589"/>
      <c r="E1903" s="1589"/>
      <c r="F1903" s="1344">
        <f>(1/S1903)*cnst_fish!$C$6</f>
        <v>0.14481532779905856</v>
      </c>
      <c r="G1903" s="719">
        <f t="shared" si="274"/>
        <v>1</v>
      </c>
      <c r="H1903" s="719">
        <f t="shared" si="274"/>
        <v>0.367192066876738</v>
      </c>
      <c r="I1903" s="719">
        <f t="shared" si="267"/>
        <v>0</v>
      </c>
      <c r="J1903" s="1386">
        <f t="shared" si="268"/>
        <v>0</v>
      </c>
      <c r="K1903" s="889"/>
      <c r="L1903" s="1590">
        <v>60</v>
      </c>
      <c r="M1903" s="1589"/>
      <c r="N1903" s="1591" t="s">
        <v>1804</v>
      </c>
      <c r="O1903" s="1592" t="s">
        <v>4851</v>
      </c>
      <c r="P1903" s="910">
        <f t="shared" si="269"/>
        <v>0</v>
      </c>
      <c r="Q1903" s="910">
        <f t="shared" si="270"/>
        <v>60</v>
      </c>
      <c r="R1903" s="1344">
        <f t="shared" si="271"/>
        <v>3.3182763159269002</v>
      </c>
      <c r="S1903" s="1344">
        <f>(1/9)*cnst_fish!$C$7*(1/cnst_fish!$C$8)^(R1903-1)</f>
        <v>29.347722127157517</v>
      </c>
      <c r="T1903" s="1362">
        <f t="shared" si="272"/>
        <v>152.13530464934325</v>
      </c>
      <c r="W1903" s="1612"/>
      <c r="X1903" s="1612"/>
      <c r="Y1903" s="1613"/>
      <c r="Z1903" s="1614"/>
      <c r="AA1903" s="1614"/>
      <c r="AB1903" s="1615"/>
      <c r="AC1903" s="1615"/>
      <c r="AD1903" s="583"/>
      <c r="AE1903" s="583"/>
    </row>
    <row r="1904" spans="1:31" ht="12.75" customHeight="1">
      <c r="A1904" s="1385" t="s">
        <v>1111</v>
      </c>
      <c r="B1904" s="19" t="s">
        <v>2734</v>
      </c>
      <c r="C1904" s="1383">
        <v>2656</v>
      </c>
      <c r="D1904" s="1589"/>
      <c r="E1904" s="1589"/>
      <c r="F1904" s="1344">
        <f>(1/S1904)*cnst_fish!$C$6</f>
        <v>2.3938164528281742</v>
      </c>
      <c r="G1904" s="719">
        <f t="shared" si="274"/>
        <v>1</v>
      </c>
      <c r="H1904" s="719">
        <f t="shared" si="274"/>
        <v>0.367192066876738</v>
      </c>
      <c r="I1904" s="719">
        <f t="shared" si="267"/>
        <v>0</v>
      </c>
      <c r="J1904" s="1386">
        <f t="shared" si="268"/>
        <v>0</v>
      </c>
      <c r="K1904" s="889"/>
      <c r="L1904" s="1590">
        <v>8348</v>
      </c>
      <c r="M1904" s="1589"/>
      <c r="N1904" s="1591" t="s">
        <v>1804</v>
      </c>
      <c r="O1904" s="1592" t="s">
        <v>4851</v>
      </c>
      <c r="P1904" s="910">
        <f t="shared" si="269"/>
        <v>0</v>
      </c>
      <c r="Q1904" s="910">
        <f t="shared" si="270"/>
        <v>8348</v>
      </c>
      <c r="R1904" s="1344">
        <f t="shared" si="271"/>
        <v>2.1</v>
      </c>
      <c r="S1904" s="1344">
        <f>(1/9)*cnst_fish!$C$7*(1/cnst_fish!$C$8)^(R1904-1)</f>
        <v>1.7754076320174161</v>
      </c>
      <c r="T1904" s="1362">
        <f t="shared" si="272"/>
        <v>1280.5156262776486</v>
      </c>
      <c r="W1904" s="1612"/>
      <c r="X1904" s="1612"/>
      <c r="Y1904" s="1613"/>
      <c r="Z1904" s="1614"/>
      <c r="AA1904" s="1614"/>
      <c r="AB1904" s="1615"/>
      <c r="AC1904" s="1615"/>
      <c r="AD1904" s="583"/>
      <c r="AE1904" s="583"/>
    </row>
    <row r="1905" spans="1:31" ht="12.75" customHeight="1">
      <c r="A1905" s="1385" t="s">
        <v>3263</v>
      </c>
      <c r="B1905" s="19" t="s">
        <v>4203</v>
      </c>
      <c r="C1905" s="1383">
        <v>15861</v>
      </c>
      <c r="D1905" s="1589"/>
      <c r="E1905" s="1589"/>
      <c r="F1905" s="1344">
        <f>(1/S1905)*cnst_fish!$C$6</f>
        <v>1.0211530705467781E-2</v>
      </c>
      <c r="G1905" s="719">
        <f t="shared" si="274"/>
        <v>1</v>
      </c>
      <c r="H1905" s="719">
        <f t="shared" si="274"/>
        <v>0.367192066876738</v>
      </c>
      <c r="I1905" s="719">
        <f t="shared" si="267"/>
        <v>0</v>
      </c>
      <c r="J1905" s="1386">
        <f t="shared" si="268"/>
        <v>0</v>
      </c>
      <c r="K1905" s="889"/>
      <c r="L1905" s="1590">
        <v>284</v>
      </c>
      <c r="M1905" s="1589"/>
      <c r="N1905" s="1591" t="s">
        <v>1806</v>
      </c>
      <c r="O1905" s="1592" t="s">
        <v>4859</v>
      </c>
      <c r="P1905" s="910">
        <f t="shared" si="269"/>
        <v>0</v>
      </c>
      <c r="Q1905" s="910">
        <f t="shared" si="270"/>
        <v>284</v>
      </c>
      <c r="R1905" s="1344">
        <f t="shared" si="271"/>
        <v>4.47</v>
      </c>
      <c r="S1905" s="1344">
        <f>(1/9)*cnst_fish!$C$7*(1/cnst_fish!$C$8)^(R1905-1)</f>
        <v>416.19617299141356</v>
      </c>
      <c r="T1905" s="1362">
        <f t="shared" si="272"/>
        <v>10212.234580772041</v>
      </c>
      <c r="W1905" s="1612"/>
      <c r="X1905" s="1612"/>
      <c r="Y1905" s="1613"/>
      <c r="Z1905" s="1614"/>
      <c r="AA1905" s="1614"/>
      <c r="AB1905" s="1615"/>
      <c r="AC1905" s="1615"/>
      <c r="AD1905" s="583"/>
      <c r="AE1905" s="583"/>
    </row>
    <row r="1906" spans="1:31" ht="12.75" customHeight="1">
      <c r="A1906" s="1385" t="s">
        <v>989</v>
      </c>
      <c r="B1906" s="19" t="s">
        <v>4204</v>
      </c>
      <c r="C1906" s="1383">
        <v>2998</v>
      </c>
      <c r="D1906" s="1589"/>
      <c r="E1906" s="1589"/>
      <c r="F1906" s="1344">
        <f>(1/S1906)*cnst_fish!$C$6</f>
        <v>1.0941852286935309E-2</v>
      </c>
      <c r="G1906" s="719">
        <f t="shared" si="274"/>
        <v>1</v>
      </c>
      <c r="H1906" s="719">
        <f t="shared" si="274"/>
        <v>0.367192066876738</v>
      </c>
      <c r="I1906" s="719">
        <f t="shared" si="267"/>
        <v>0</v>
      </c>
      <c r="J1906" s="1386">
        <f t="shared" si="268"/>
        <v>0</v>
      </c>
      <c r="K1906" s="889"/>
      <c r="L1906" s="1590">
        <v>17648</v>
      </c>
      <c r="M1906" s="1589"/>
      <c r="N1906" s="1591" t="s">
        <v>1806</v>
      </c>
      <c r="O1906" s="1592" t="s">
        <v>4859</v>
      </c>
      <c r="P1906" s="910">
        <f t="shared" si="269"/>
        <v>0</v>
      </c>
      <c r="Q1906" s="910">
        <f t="shared" si="270"/>
        <v>17648</v>
      </c>
      <c r="R1906" s="1344">
        <f t="shared" si="271"/>
        <v>4.4400000000000004</v>
      </c>
      <c r="S1906" s="1344">
        <f>(1/9)*cnst_fish!$C$7*(1/cnst_fish!$C$8)^(R1906-1)</f>
        <v>388.41686841948564</v>
      </c>
      <c r="T1906" s="1362">
        <f t="shared" si="272"/>
        <v>592240.2739779359</v>
      </c>
      <c r="W1906" s="1612"/>
      <c r="X1906" s="1612"/>
      <c r="Y1906" s="1613"/>
      <c r="Z1906" s="1614"/>
      <c r="AA1906" s="1614"/>
      <c r="AB1906" s="1615"/>
      <c r="AC1906" s="1615"/>
      <c r="AD1906" s="583"/>
      <c r="AE1906" s="583"/>
    </row>
    <row r="1907" spans="1:31" ht="12.75" customHeight="1">
      <c r="A1907" s="1385" t="s">
        <v>6698</v>
      </c>
      <c r="B1907" s="19" t="s">
        <v>6697</v>
      </c>
      <c r="C1907" s="1383">
        <v>16196</v>
      </c>
      <c r="D1907" s="1589"/>
      <c r="E1907" s="1589"/>
      <c r="F1907" s="1344">
        <f>(1/S1907)*cnst_fish!$C$6</f>
        <v>3.0136363636363641</v>
      </c>
      <c r="G1907" s="719">
        <f t="shared" si="274"/>
        <v>1</v>
      </c>
      <c r="H1907" s="719">
        <f t="shared" si="274"/>
        <v>0.367192066876738</v>
      </c>
      <c r="I1907" s="719">
        <f t="shared" si="267"/>
        <v>0</v>
      </c>
      <c r="J1907" s="1386">
        <f t="shared" si="268"/>
        <v>0</v>
      </c>
      <c r="K1907" s="889"/>
      <c r="L1907" s="1590">
        <v>201</v>
      </c>
      <c r="M1907" s="1589"/>
      <c r="N1907" s="1591" t="s">
        <v>2430</v>
      </c>
      <c r="O1907" s="1592" t="s">
        <v>4840</v>
      </c>
      <c r="P1907" s="910">
        <f t="shared" si="269"/>
        <v>0</v>
      </c>
      <c r="Q1907" s="910">
        <f t="shared" si="270"/>
        <v>201</v>
      </c>
      <c r="R1907" s="1344">
        <f t="shared" si="271"/>
        <v>2</v>
      </c>
      <c r="S1907" s="1344">
        <f>(1/9)*cnst_fish!$C$7*(1/cnst_fish!$C$8)^(R1907-1)</f>
        <v>1.4102564102564099</v>
      </c>
      <c r="T1907" s="1362">
        <f t="shared" si="272"/>
        <v>24.490547808882884</v>
      </c>
      <c r="W1907" s="1612"/>
      <c r="X1907" s="1612"/>
      <c r="Y1907" s="1613"/>
      <c r="Z1907" s="1614"/>
      <c r="AA1907" s="1614"/>
      <c r="AB1907" s="1615"/>
      <c r="AC1907" s="1615"/>
      <c r="AD1907" s="583"/>
      <c r="AE1907" s="583"/>
    </row>
    <row r="1908" spans="1:31" ht="12.75" customHeight="1">
      <c r="A1908" s="1385" t="s">
        <v>4528</v>
      </c>
      <c r="B1908" s="19" t="s">
        <v>1798</v>
      </c>
      <c r="C1908" s="1383">
        <v>2775</v>
      </c>
      <c r="D1908" s="1589"/>
      <c r="E1908" s="1589"/>
      <c r="F1908" s="1344">
        <f>(1/S1908)*cnst_fish!$C$6</f>
        <v>30.136363636363644</v>
      </c>
      <c r="G1908" s="719">
        <f t="shared" ref="G1908:H1930" si="275">G$7</f>
        <v>1</v>
      </c>
      <c r="H1908" s="719">
        <f t="shared" si="275"/>
        <v>0.367192066876738</v>
      </c>
      <c r="I1908" s="719">
        <f t="shared" si="267"/>
        <v>0</v>
      </c>
      <c r="J1908" s="1386">
        <f t="shared" si="268"/>
        <v>0</v>
      </c>
      <c r="K1908" s="889"/>
      <c r="L1908" s="1590">
        <v>247</v>
      </c>
      <c r="M1908" s="1589"/>
      <c r="N1908" s="1591" t="s">
        <v>1808</v>
      </c>
      <c r="O1908" s="1592" t="s">
        <v>4831</v>
      </c>
      <c r="P1908" s="910">
        <f t="shared" si="269"/>
        <v>0</v>
      </c>
      <c r="Q1908" s="910">
        <f t="shared" si="270"/>
        <v>247</v>
      </c>
      <c r="R1908" s="1344">
        <f t="shared" si="271"/>
        <v>1</v>
      </c>
      <c r="S1908" s="1344">
        <f>(1/9)*cnst_fish!$C$7*(1/cnst_fish!$C$8)^(R1908-1)</f>
        <v>0.141025641025641</v>
      </c>
      <c r="T1908" s="1362">
        <f t="shared" si="272"/>
        <v>3.0095349794995379</v>
      </c>
      <c r="W1908" s="1612"/>
      <c r="X1908" s="1612"/>
      <c r="Y1908" s="1613"/>
      <c r="Z1908" s="1614"/>
      <c r="AA1908" s="1614"/>
      <c r="AB1908" s="1615"/>
      <c r="AC1908" s="1615"/>
      <c r="AD1908" s="583"/>
      <c r="AE1908" s="583"/>
    </row>
    <row r="1909" spans="1:31" ht="12.75" customHeight="1">
      <c r="A1909" s="1586" t="s">
        <v>8610</v>
      </c>
      <c r="B1909" s="1586" t="s">
        <v>8611</v>
      </c>
      <c r="C1909" s="1383">
        <v>20407</v>
      </c>
      <c r="D1909" s="1589"/>
      <c r="E1909" s="1589"/>
      <c r="F1909" s="1344">
        <f>(1/S1909)*cnst_fish!$C$6</f>
        <v>30.136363636363644</v>
      </c>
      <c r="G1909" s="719">
        <f t="shared" si="275"/>
        <v>1</v>
      </c>
      <c r="H1909" s="719">
        <f t="shared" si="275"/>
        <v>0.367192066876738</v>
      </c>
      <c r="I1909" s="719">
        <f t="shared" si="267"/>
        <v>0</v>
      </c>
      <c r="J1909" s="1386">
        <f t="shared" si="268"/>
        <v>0</v>
      </c>
      <c r="K1909" s="889"/>
      <c r="L1909" s="1590">
        <v>748</v>
      </c>
      <c r="M1909" s="1589"/>
      <c r="N1909" s="1591" t="s">
        <v>1808</v>
      </c>
      <c r="O1909" s="1592" t="s">
        <v>4831</v>
      </c>
      <c r="P1909" s="910">
        <f t="shared" si="269"/>
        <v>0</v>
      </c>
      <c r="Q1909" s="910">
        <f t="shared" si="270"/>
        <v>748</v>
      </c>
      <c r="R1909" s="1344">
        <f t="shared" si="271"/>
        <v>1</v>
      </c>
      <c r="S1909" s="1344">
        <f>(1/9)*cnst_fish!$C$7*(1/cnst_fish!$C$8)^(R1909-1)</f>
        <v>0.141025641025641</v>
      </c>
      <c r="T1909" s="1362">
        <f t="shared" si="272"/>
        <v>9.1138954035046744</v>
      </c>
      <c r="W1909" s="1616"/>
      <c r="X1909" s="1616"/>
      <c r="Y1909" s="1613"/>
      <c r="Z1909" s="1614"/>
      <c r="AA1909" s="1614"/>
      <c r="AB1909" s="1615"/>
      <c r="AC1909" s="1615"/>
      <c r="AD1909" s="583"/>
      <c r="AE1909" s="583"/>
    </row>
    <row r="1910" spans="1:31" ht="12.75" customHeight="1">
      <c r="A1910" s="1385" t="s">
        <v>6928</v>
      </c>
      <c r="B1910" s="19" t="s">
        <v>1894</v>
      </c>
      <c r="C1910" s="1383">
        <v>2356</v>
      </c>
      <c r="D1910" s="1589"/>
      <c r="E1910" s="1589"/>
      <c r="F1910" s="1344">
        <f>(1/S1910)*cnst_fish!$C$6</f>
        <v>0.12855555498429813</v>
      </c>
      <c r="G1910" s="719">
        <f t="shared" si="275"/>
        <v>1</v>
      </c>
      <c r="H1910" s="719">
        <f t="shared" si="275"/>
        <v>0.367192066876738</v>
      </c>
      <c r="I1910" s="719">
        <f t="shared" si="267"/>
        <v>0</v>
      </c>
      <c r="J1910" s="1386">
        <f t="shared" si="268"/>
        <v>0</v>
      </c>
      <c r="K1910" s="889"/>
      <c r="L1910" s="1590">
        <v>3030</v>
      </c>
      <c r="M1910" s="1589"/>
      <c r="N1910" s="1591" t="s">
        <v>1806</v>
      </c>
      <c r="O1910" s="1592" t="s">
        <v>4841</v>
      </c>
      <c r="P1910" s="910">
        <f t="shared" si="269"/>
        <v>0</v>
      </c>
      <c r="Q1910" s="910">
        <f t="shared" si="270"/>
        <v>3030</v>
      </c>
      <c r="R1910" s="1344">
        <f t="shared" si="271"/>
        <v>3.37</v>
      </c>
      <c r="S1910" s="1344">
        <f>(1/9)*cnst_fish!$C$7*(1/cnst_fish!$C$8)^(R1910-1)</f>
        <v>33.059637139127112</v>
      </c>
      <c r="T1910" s="1362">
        <f t="shared" si="272"/>
        <v>8654.5615455699972</v>
      </c>
      <c r="W1910" s="1612"/>
      <c r="X1910" s="1612"/>
      <c r="Y1910" s="1613"/>
      <c r="Z1910" s="1614"/>
      <c r="AA1910" s="1614"/>
      <c r="AB1910" s="1615"/>
      <c r="AC1910" s="1615"/>
      <c r="AD1910" s="583"/>
      <c r="AE1910" s="583"/>
    </row>
    <row r="1911" spans="1:31" ht="12.75" customHeight="1">
      <c r="A1911" s="1385" t="s">
        <v>1444</v>
      </c>
      <c r="B1911" s="19" t="s">
        <v>1895</v>
      </c>
      <c r="C1911" s="1383">
        <v>3155</v>
      </c>
      <c r="D1911" s="1589"/>
      <c r="E1911" s="1589"/>
      <c r="F1911" s="1344">
        <f>(1/S1911)*cnst_fish!$C$6</f>
        <v>4.2568745094767511E-2</v>
      </c>
      <c r="G1911" s="719">
        <f t="shared" si="275"/>
        <v>1</v>
      </c>
      <c r="H1911" s="719">
        <f t="shared" si="275"/>
        <v>0.367192066876738</v>
      </c>
      <c r="I1911" s="719">
        <f t="shared" si="267"/>
        <v>0</v>
      </c>
      <c r="J1911" s="1386">
        <f t="shared" si="268"/>
        <v>0</v>
      </c>
      <c r="K1911" s="889"/>
      <c r="L1911" s="1590">
        <v>14025</v>
      </c>
      <c r="M1911" s="1589"/>
      <c r="N1911" s="1591" t="s">
        <v>1806</v>
      </c>
      <c r="O1911" s="1592" t="s">
        <v>4841</v>
      </c>
      <c r="P1911" s="910">
        <f t="shared" si="269"/>
        <v>0</v>
      </c>
      <c r="Q1911" s="910">
        <f t="shared" si="270"/>
        <v>14025</v>
      </c>
      <c r="R1911" s="1344">
        <f t="shared" si="271"/>
        <v>3.85</v>
      </c>
      <c r="S1911" s="1344">
        <f>(1/9)*cnst_fish!$C$7*(1/cnst_fish!$C$8)^(R1911-1)</f>
        <v>99.838508054173388</v>
      </c>
      <c r="T1911" s="1362">
        <f t="shared" si="272"/>
        <v>120977.69681679587</v>
      </c>
      <c r="W1911" s="1612"/>
      <c r="X1911" s="1612"/>
      <c r="Y1911" s="1613"/>
      <c r="Z1911" s="1614"/>
      <c r="AA1911" s="1614"/>
      <c r="AB1911" s="1615"/>
      <c r="AC1911" s="1615"/>
      <c r="AD1911" s="583"/>
      <c r="AE1911" s="583"/>
    </row>
    <row r="1912" spans="1:31" ht="12.75" customHeight="1">
      <c r="A1912" s="1385" t="s">
        <v>3284</v>
      </c>
      <c r="B1912" s="19" t="s">
        <v>1896</v>
      </c>
      <c r="C1912" s="1383">
        <v>3154</v>
      </c>
      <c r="D1912" s="1589"/>
      <c r="E1912" s="1589"/>
      <c r="F1912" s="1344">
        <f>(1/S1912)*cnst_fish!$C$6</f>
        <v>0.10449387811364928</v>
      </c>
      <c r="G1912" s="719">
        <f t="shared" si="275"/>
        <v>1</v>
      </c>
      <c r="H1912" s="719">
        <f t="shared" si="275"/>
        <v>0.367192066876738</v>
      </c>
      <c r="I1912" s="719">
        <f t="shared" si="267"/>
        <v>0</v>
      </c>
      <c r="J1912" s="1386">
        <f t="shared" si="268"/>
        <v>0</v>
      </c>
      <c r="K1912" s="889"/>
      <c r="L1912" s="1590">
        <v>188</v>
      </c>
      <c r="M1912" s="1589"/>
      <c r="N1912" s="1591" t="s">
        <v>1806</v>
      </c>
      <c r="O1912" s="1592" t="s">
        <v>4841</v>
      </c>
      <c r="P1912" s="910">
        <f t="shared" si="269"/>
        <v>0</v>
      </c>
      <c r="Q1912" s="910">
        <f t="shared" si="270"/>
        <v>188</v>
      </c>
      <c r="R1912" s="1344">
        <f t="shared" si="271"/>
        <v>3.46</v>
      </c>
      <c r="S1912" s="1344">
        <f>(1/9)*cnst_fish!$C$7*(1/cnst_fish!$C$8)^(R1912-1)</f>
        <v>40.672239146657276</v>
      </c>
      <c r="T1912" s="1362">
        <f t="shared" si="272"/>
        <v>660.63304204047506</v>
      </c>
      <c r="W1912" s="1612"/>
      <c r="X1912" s="1612"/>
      <c r="Y1912" s="1613"/>
      <c r="Z1912" s="1614"/>
      <c r="AA1912" s="1614"/>
      <c r="AB1912" s="1615"/>
      <c r="AC1912" s="1615"/>
      <c r="AD1912" s="583"/>
      <c r="AE1912" s="583"/>
    </row>
    <row r="1913" spans="1:31" ht="12.75" customHeight="1">
      <c r="A1913" s="1385" t="s">
        <v>4217</v>
      </c>
      <c r="B1913" s="19" t="s">
        <v>2025</v>
      </c>
      <c r="C1913" s="1383">
        <v>2777</v>
      </c>
      <c r="D1913" s="1589"/>
      <c r="E1913" s="1589"/>
      <c r="F1913" s="1344">
        <f>(1/S1913)*cnst_fish!$C$6</f>
        <v>30.136363636363644</v>
      </c>
      <c r="G1913" s="719">
        <f t="shared" si="275"/>
        <v>1</v>
      </c>
      <c r="H1913" s="719">
        <f t="shared" si="275"/>
        <v>0.367192066876738</v>
      </c>
      <c r="I1913" s="719">
        <f t="shared" si="267"/>
        <v>0</v>
      </c>
      <c r="J1913" s="1386">
        <f t="shared" si="268"/>
        <v>0</v>
      </c>
      <c r="K1913" s="889"/>
      <c r="L1913" s="1590">
        <v>2787</v>
      </c>
      <c r="M1913" s="1589"/>
      <c r="N1913" s="1591" t="s">
        <v>1808</v>
      </c>
      <c r="O1913" s="1592" t="s">
        <v>4831</v>
      </c>
      <c r="P1913" s="910">
        <f t="shared" si="269"/>
        <v>0</v>
      </c>
      <c r="Q1913" s="910">
        <f t="shared" si="270"/>
        <v>2787</v>
      </c>
      <c r="R1913" s="1344">
        <f t="shared" si="271"/>
        <v>1</v>
      </c>
      <c r="S1913" s="1344">
        <f>(1/9)*cnst_fish!$C$7*(1/cnst_fish!$C$8)^(R1913-1)</f>
        <v>0.141025641025641</v>
      </c>
      <c r="T1913" s="1362">
        <f t="shared" si="272"/>
        <v>33.957789424555514</v>
      </c>
      <c r="W1913" s="1612"/>
      <c r="X1913" s="1612"/>
      <c r="Y1913" s="1613"/>
      <c r="Z1913" s="1614"/>
      <c r="AA1913" s="1614"/>
      <c r="AB1913" s="1615"/>
      <c r="AC1913" s="1615"/>
      <c r="AD1913" s="583"/>
      <c r="AE1913" s="583"/>
    </row>
    <row r="1914" spans="1:31" ht="12.75" customHeight="1">
      <c r="A1914" s="1385" t="s">
        <v>5582</v>
      </c>
      <c r="B1914" s="19" t="s">
        <v>1897</v>
      </c>
      <c r="C1914" s="1383">
        <v>2402</v>
      </c>
      <c r="D1914" s="1589"/>
      <c r="E1914" s="1589"/>
      <c r="F1914" s="1344">
        <f>(1/S1914)*cnst_fish!$C$6</f>
        <v>9.5299549485983348E-2</v>
      </c>
      <c r="G1914" s="719">
        <f t="shared" si="275"/>
        <v>1</v>
      </c>
      <c r="H1914" s="719">
        <f t="shared" si="275"/>
        <v>0.367192066876738</v>
      </c>
      <c r="I1914" s="719">
        <f t="shared" si="267"/>
        <v>0</v>
      </c>
      <c r="J1914" s="1386">
        <f t="shared" si="268"/>
        <v>0</v>
      </c>
      <c r="K1914" s="889"/>
      <c r="L1914" s="1590">
        <v>151903</v>
      </c>
      <c r="M1914" s="1589"/>
      <c r="N1914" s="1591" t="s">
        <v>1806</v>
      </c>
      <c r="O1914" s="1592" t="s">
        <v>4841</v>
      </c>
      <c r="P1914" s="910">
        <f t="shared" si="269"/>
        <v>0</v>
      </c>
      <c r="Q1914" s="910">
        <f t="shared" si="270"/>
        <v>151903</v>
      </c>
      <c r="R1914" s="1344">
        <f t="shared" si="271"/>
        <v>3.5</v>
      </c>
      <c r="S1914" s="1344">
        <f>(1/9)*cnst_fish!$C$7*(1/cnst_fish!$C$8)^(R1914-1)</f>
        <v>44.596223412631026</v>
      </c>
      <c r="T1914" s="1362">
        <f t="shared" si="272"/>
        <v>585286.88577883458</v>
      </c>
      <c r="W1914" s="1612"/>
      <c r="X1914" s="1612"/>
      <c r="Y1914" s="1613"/>
      <c r="Z1914" s="1614"/>
      <c r="AA1914" s="1614"/>
      <c r="AB1914" s="1615"/>
      <c r="AC1914" s="1615"/>
      <c r="AD1914" s="583"/>
      <c r="AE1914" s="583"/>
    </row>
    <row r="1915" spans="1:31" ht="12.75" customHeight="1">
      <c r="A1915" s="1385" t="s">
        <v>4268</v>
      </c>
      <c r="B1915" s="19" t="s">
        <v>5300</v>
      </c>
      <c r="C1915" s="1383">
        <v>16352</v>
      </c>
      <c r="D1915" s="1589">
        <v>1</v>
      </c>
      <c r="E1915" s="1589"/>
      <c r="F1915" s="1344">
        <f>(1/S1915)*cnst_fish!$C$6</f>
        <v>0.3314045734418738</v>
      </c>
      <c r="G1915" s="719">
        <f t="shared" si="275"/>
        <v>1</v>
      </c>
      <c r="H1915" s="719">
        <f t="shared" si="275"/>
        <v>0.367192066876738</v>
      </c>
      <c r="I1915" s="719">
        <f t="shared" si="267"/>
        <v>1.1079873251693104</v>
      </c>
      <c r="J1915" s="1386">
        <f t="shared" si="268"/>
        <v>0</v>
      </c>
      <c r="K1915" s="889"/>
      <c r="L1915" s="1590">
        <v>1</v>
      </c>
      <c r="M1915" s="1589"/>
      <c r="N1915" s="1591" t="s">
        <v>2441</v>
      </c>
      <c r="O1915" s="1592" t="s">
        <v>4840</v>
      </c>
      <c r="P1915" s="910">
        <f t="shared" si="269"/>
        <v>1</v>
      </c>
      <c r="Q1915" s="910">
        <f t="shared" si="270"/>
        <v>1</v>
      </c>
      <c r="R1915" s="1344">
        <f t="shared" si="271"/>
        <v>2.9587323501170402</v>
      </c>
      <c r="S1915" s="1344">
        <f>(1/9)*cnst_fish!$C$7*(1/cnst_fish!$C$8)^(R1915-1)</f>
        <v>12.824204433453367</v>
      </c>
      <c r="T1915" s="1362">
        <f t="shared" si="272"/>
        <v>1.1079873251693104</v>
      </c>
      <c r="W1915" s="1612"/>
      <c r="X1915" s="1612"/>
      <c r="Y1915" s="1613"/>
      <c r="Z1915" s="1614"/>
      <c r="AA1915" s="1614"/>
      <c r="AB1915" s="1615"/>
      <c r="AC1915" s="1615"/>
      <c r="AD1915" s="583"/>
      <c r="AE1915" s="583"/>
    </row>
    <row r="1916" spans="1:31" ht="12.75" customHeight="1">
      <c r="A1916" s="1385" t="s">
        <v>5605</v>
      </c>
      <c r="B1916" s="19" t="s">
        <v>3279</v>
      </c>
      <c r="C1916" s="1383">
        <v>15903</v>
      </c>
      <c r="D1916" s="1589"/>
      <c r="E1916" s="1589"/>
      <c r="F1916" s="1344">
        <f>(1/S1916)*cnst_fish!$C$6</f>
        <v>1.256292732912874E-2</v>
      </c>
      <c r="G1916" s="719">
        <f t="shared" si="275"/>
        <v>1</v>
      </c>
      <c r="H1916" s="719">
        <f t="shared" si="275"/>
        <v>0.367192066876738</v>
      </c>
      <c r="I1916" s="719">
        <f t="shared" si="267"/>
        <v>0</v>
      </c>
      <c r="J1916" s="1386">
        <f t="shared" si="268"/>
        <v>0</v>
      </c>
      <c r="K1916" s="889"/>
      <c r="L1916" s="1590">
        <v>154</v>
      </c>
      <c r="M1916" s="1589"/>
      <c r="N1916" s="1591" t="s">
        <v>1806</v>
      </c>
      <c r="O1916" s="1592" t="s">
        <v>4841</v>
      </c>
      <c r="P1916" s="910">
        <f t="shared" si="269"/>
        <v>0</v>
      </c>
      <c r="Q1916" s="910">
        <f t="shared" si="270"/>
        <v>154</v>
      </c>
      <c r="R1916" s="1344">
        <f t="shared" si="271"/>
        <v>4.38</v>
      </c>
      <c r="S1916" s="1344">
        <f>(1/9)*cnst_fish!$C$7*(1/cnst_fish!$C$8)^(R1916-1)</f>
        <v>338.2969501181334</v>
      </c>
      <c r="T1916" s="1362">
        <f t="shared" si="272"/>
        <v>4501.1466529703566</v>
      </c>
      <c r="W1916" s="1612"/>
      <c r="X1916" s="1612"/>
      <c r="Y1916" s="1613"/>
      <c r="Z1916" s="1614"/>
      <c r="AA1916" s="1614"/>
      <c r="AB1916" s="1615"/>
      <c r="AC1916" s="1615"/>
      <c r="AD1916" s="583"/>
      <c r="AE1916" s="583"/>
    </row>
    <row r="1917" spans="1:31" ht="12.75" customHeight="1">
      <c r="A1917" s="1385" t="s">
        <v>6899</v>
      </c>
      <c r="B1917" s="19" t="s">
        <v>6898</v>
      </c>
      <c r="C1917" s="1383">
        <v>2434</v>
      </c>
      <c r="D1917" s="1589"/>
      <c r="E1917" s="1589"/>
      <c r="F1917" s="1344">
        <f>(1/S1917)*cnst_fish!$C$6</f>
        <v>3.0136363636363641</v>
      </c>
      <c r="G1917" s="719">
        <f t="shared" si="275"/>
        <v>1</v>
      </c>
      <c r="H1917" s="719">
        <f t="shared" si="275"/>
        <v>0.367192066876738</v>
      </c>
      <c r="I1917" s="719">
        <f t="shared" si="267"/>
        <v>0</v>
      </c>
      <c r="J1917" s="1386">
        <f t="shared" si="268"/>
        <v>0</v>
      </c>
      <c r="K1917" s="889"/>
      <c r="L1917" s="1590"/>
      <c r="M1917" s="1589"/>
      <c r="N1917" s="1591" t="s">
        <v>1806</v>
      </c>
      <c r="O1917" s="1592" t="s">
        <v>4841</v>
      </c>
      <c r="P1917" s="910">
        <f t="shared" si="269"/>
        <v>0</v>
      </c>
      <c r="Q1917" s="910">
        <f t="shared" si="270"/>
        <v>0</v>
      </c>
      <c r="R1917" s="1344">
        <f t="shared" si="271"/>
        <v>2</v>
      </c>
      <c r="S1917" s="1344">
        <f>(1/9)*cnst_fish!$C$7*(1/cnst_fish!$C$8)^(R1917-1)</f>
        <v>1.4102564102564099</v>
      </c>
      <c r="T1917" s="1362">
        <f t="shared" si="272"/>
        <v>0</v>
      </c>
      <c r="W1917" s="1612"/>
      <c r="X1917" s="1612"/>
      <c r="Y1917" s="1613"/>
      <c r="Z1917" s="1614"/>
      <c r="AA1917" s="1614"/>
      <c r="AB1917" s="1615"/>
      <c r="AC1917" s="1615"/>
      <c r="AD1917" s="583"/>
      <c r="AE1917" s="583"/>
    </row>
    <row r="1918" spans="1:31" ht="12.75" customHeight="1">
      <c r="A1918" s="1385" t="s">
        <v>1933</v>
      </c>
      <c r="B1918" s="19" t="s">
        <v>3232</v>
      </c>
      <c r="C1918" s="1383">
        <v>2225</v>
      </c>
      <c r="D1918" s="1589"/>
      <c r="E1918" s="1589"/>
      <c r="F1918" s="1344">
        <f>(1/S1918)*cnst_fish!$C$6</f>
        <v>4.8875458843134996E-2</v>
      </c>
      <c r="G1918" s="719">
        <f t="shared" si="275"/>
        <v>1</v>
      </c>
      <c r="H1918" s="719">
        <f t="shared" si="275"/>
        <v>0.367192066876738</v>
      </c>
      <c r="I1918" s="719">
        <f t="shared" si="267"/>
        <v>0</v>
      </c>
      <c r="J1918" s="1386">
        <f t="shared" si="268"/>
        <v>0</v>
      </c>
      <c r="K1918" s="889"/>
      <c r="L1918" s="1590">
        <v>5382</v>
      </c>
      <c r="M1918" s="1589"/>
      <c r="N1918" s="1591" t="s">
        <v>1806</v>
      </c>
      <c r="O1918" s="1592" t="s">
        <v>4841</v>
      </c>
      <c r="P1918" s="910">
        <f t="shared" si="269"/>
        <v>0</v>
      </c>
      <c r="Q1918" s="910">
        <f t="shared" si="270"/>
        <v>5382</v>
      </c>
      <c r="R1918" s="1344">
        <f t="shared" si="271"/>
        <v>3.79</v>
      </c>
      <c r="S1918" s="1344">
        <f>(1/9)*cnst_fish!$C$7*(1/cnst_fish!$C$8)^(R1918-1)</f>
        <v>86.955705390721903</v>
      </c>
      <c r="T1918" s="1362">
        <f t="shared" si="272"/>
        <v>40433.946825405263</v>
      </c>
      <c r="W1918" s="1612"/>
      <c r="X1918" s="1612"/>
      <c r="Y1918" s="1613"/>
      <c r="Z1918" s="1614"/>
      <c r="AA1918" s="1614"/>
      <c r="AB1918" s="1615"/>
      <c r="AC1918" s="1615"/>
      <c r="AD1918" s="583"/>
      <c r="AE1918" s="583"/>
    </row>
    <row r="1919" spans="1:31" ht="12.75" customHeight="1">
      <c r="A1919" s="1385" t="s">
        <v>1986</v>
      </c>
      <c r="B1919" s="19" t="s">
        <v>3414</v>
      </c>
      <c r="C1919" s="1383">
        <v>2226</v>
      </c>
      <c r="D1919" s="1589">
        <v>529</v>
      </c>
      <c r="E1919" s="1589"/>
      <c r="F1919" s="1344">
        <f>(1/S1919)*cnst_fish!$C$6</f>
        <v>6.9038420626592392E-2</v>
      </c>
      <c r="G1919" s="719">
        <f t="shared" si="275"/>
        <v>1</v>
      </c>
      <c r="H1919" s="719">
        <f t="shared" si="275"/>
        <v>0.367192066876738</v>
      </c>
      <c r="I1919" s="719">
        <f t="shared" si="267"/>
        <v>2813.5725240356205</v>
      </c>
      <c r="J1919" s="1386">
        <f t="shared" si="268"/>
        <v>0</v>
      </c>
      <c r="K1919" s="889"/>
      <c r="L1919" s="1590">
        <v>825</v>
      </c>
      <c r="M1919" s="1589"/>
      <c r="N1919" s="1591" t="s">
        <v>3930</v>
      </c>
      <c r="O1919" s="1592" t="s">
        <v>4841</v>
      </c>
      <c r="P1919" s="910">
        <f t="shared" si="269"/>
        <v>529</v>
      </c>
      <c r="Q1919" s="910">
        <f t="shared" si="270"/>
        <v>825</v>
      </c>
      <c r="R1919" s="1344">
        <f t="shared" si="271"/>
        <v>3.64</v>
      </c>
      <c r="S1919" s="1344">
        <f>(1/9)*cnst_fish!$C$7*(1/cnst_fish!$C$8)^(R1919-1)</f>
        <v>61.559925059510611</v>
      </c>
      <c r="T1919" s="1362">
        <f t="shared" si="272"/>
        <v>4387.89665846765</v>
      </c>
      <c r="W1919" s="1612"/>
      <c r="X1919" s="1612"/>
      <c r="Y1919" s="1613"/>
      <c r="Z1919" s="1614"/>
      <c r="AA1919" s="1614"/>
      <c r="AB1919" s="1615"/>
      <c r="AC1919" s="1615"/>
      <c r="AD1919" s="583"/>
      <c r="AE1919" s="583"/>
    </row>
    <row r="1920" spans="1:31" ht="12.75" customHeight="1">
      <c r="A1920" s="1385" t="s">
        <v>920</v>
      </c>
      <c r="B1920" s="19" t="s">
        <v>1999</v>
      </c>
      <c r="C1920" s="1383">
        <v>2227</v>
      </c>
      <c r="D1920" s="1589">
        <v>2239</v>
      </c>
      <c r="E1920" s="1589"/>
      <c r="F1920" s="1344">
        <f>(1/S1920)*cnst_fish!$C$6</f>
        <v>1.9014759972289439E-2</v>
      </c>
      <c r="G1920" s="719">
        <f t="shared" si="275"/>
        <v>1</v>
      </c>
      <c r="H1920" s="719">
        <f t="shared" si="275"/>
        <v>0.367192066876738</v>
      </c>
      <c r="I1920" s="719">
        <f t="shared" si="267"/>
        <v>43237.097861615955</v>
      </c>
      <c r="J1920" s="1386">
        <f t="shared" si="268"/>
        <v>0</v>
      </c>
      <c r="K1920" s="889"/>
      <c r="L1920" s="1590">
        <v>3722</v>
      </c>
      <c r="M1920" s="1589"/>
      <c r="N1920" s="1591" t="s">
        <v>3930</v>
      </c>
      <c r="O1920" s="1592" t="s">
        <v>4841</v>
      </c>
      <c r="P1920" s="910">
        <f t="shared" si="269"/>
        <v>2239</v>
      </c>
      <c r="Q1920" s="910">
        <f t="shared" si="270"/>
        <v>3722</v>
      </c>
      <c r="R1920" s="1344">
        <f t="shared" si="271"/>
        <v>4.2</v>
      </c>
      <c r="S1920" s="1344">
        <f>(1/9)*cnst_fish!$C$7*(1/cnst_fish!$C$8)^(R1920-1)</f>
        <v>223.51057842400343</v>
      </c>
      <c r="T1920" s="1362">
        <f t="shared" si="272"/>
        <v>71875.157767277618</v>
      </c>
      <c r="W1920" s="1612"/>
      <c r="X1920" s="1612"/>
      <c r="Y1920" s="1613"/>
      <c r="Z1920" s="1614"/>
      <c r="AA1920" s="1614"/>
      <c r="AB1920" s="1615"/>
      <c r="AC1920" s="1615"/>
      <c r="AD1920" s="583"/>
      <c r="AE1920" s="583"/>
    </row>
    <row r="1921" spans="1:31" ht="12.75" customHeight="1">
      <c r="A1921" s="1385" t="s">
        <v>3608</v>
      </c>
      <c r="B1921" s="19" t="s">
        <v>1898</v>
      </c>
      <c r="C1921" s="1383">
        <v>15945</v>
      </c>
      <c r="D1921" s="1589"/>
      <c r="E1921" s="1589"/>
      <c r="F1921" s="1344">
        <f>(1/S1921)*cnst_fish!$C$6</f>
        <v>1.4424170509541332</v>
      </c>
      <c r="G1921" s="719">
        <f t="shared" si="275"/>
        <v>1</v>
      </c>
      <c r="H1921" s="719">
        <f t="shared" si="275"/>
        <v>0.367192066876738</v>
      </c>
      <c r="I1921" s="719">
        <f t="shared" si="267"/>
        <v>0</v>
      </c>
      <c r="J1921" s="1386">
        <f t="shared" si="268"/>
        <v>0</v>
      </c>
      <c r="K1921" s="889"/>
      <c r="L1921" s="1590">
        <v>4537</v>
      </c>
      <c r="M1921" s="1589"/>
      <c r="N1921" s="1591" t="s">
        <v>1806</v>
      </c>
      <c r="O1921" s="1592" t="s">
        <v>4841</v>
      </c>
      <c r="P1921" s="910">
        <f t="shared" si="269"/>
        <v>0</v>
      </c>
      <c r="Q1921" s="910">
        <f t="shared" si="270"/>
        <v>4537</v>
      </c>
      <c r="R1921" s="1344">
        <f t="shared" si="271"/>
        <v>2.3199999999999998</v>
      </c>
      <c r="S1921" s="1344">
        <f>(1/9)*cnst_fish!$C$7*(1/cnst_fish!$C$8)^(R1921-1)</f>
        <v>2.946443261460824</v>
      </c>
      <c r="T1921" s="1362">
        <f t="shared" si="272"/>
        <v>1154.971376910557</v>
      </c>
      <c r="W1921" s="1612"/>
      <c r="X1921" s="1612"/>
      <c r="Y1921" s="1613"/>
      <c r="Z1921" s="1614"/>
      <c r="AA1921" s="1614"/>
      <c r="AB1921" s="1615"/>
      <c r="AC1921" s="1615"/>
      <c r="AD1921" s="583"/>
      <c r="AE1921" s="583"/>
    </row>
    <row r="1922" spans="1:31" ht="12.75" customHeight="1">
      <c r="A1922" s="1586" t="s">
        <v>8612</v>
      </c>
      <c r="B1922" s="1586" t="s">
        <v>8613</v>
      </c>
      <c r="C1922" s="1383">
        <v>20405</v>
      </c>
      <c r="D1922" s="1589"/>
      <c r="E1922" s="1589"/>
      <c r="F1922" s="1344">
        <f>(1/S1922)*cnst_fish!$C$6</f>
        <v>0.60129950673834842</v>
      </c>
      <c r="G1922" s="719">
        <f t="shared" si="275"/>
        <v>1</v>
      </c>
      <c r="H1922" s="719">
        <f t="shared" si="275"/>
        <v>0.367192066876738</v>
      </c>
      <c r="I1922" s="719">
        <f t="shared" si="267"/>
        <v>0</v>
      </c>
      <c r="J1922" s="1386">
        <f t="shared" si="268"/>
        <v>0</v>
      </c>
      <c r="K1922" s="889"/>
      <c r="L1922" s="1590"/>
      <c r="M1922" s="1589">
        <v>55</v>
      </c>
      <c r="N1922" s="1591" t="s">
        <v>1806</v>
      </c>
      <c r="O1922" s="1592" t="s">
        <v>4845</v>
      </c>
      <c r="P1922" s="910">
        <f t="shared" si="269"/>
        <v>0</v>
      </c>
      <c r="Q1922" s="910">
        <f t="shared" si="270"/>
        <v>55</v>
      </c>
      <c r="R1922" s="1344">
        <f t="shared" si="271"/>
        <v>2.7</v>
      </c>
      <c r="S1922" s="1344">
        <f>(1/9)*cnst_fish!$C$7*(1/cnst_fish!$C$8)^(R1922-1)</f>
        <v>7.0680250896153813</v>
      </c>
      <c r="T1922" s="1362">
        <f t="shared" si="272"/>
        <v>33.586529594491346</v>
      </c>
      <c r="W1922" s="1616"/>
      <c r="X1922" s="1616"/>
      <c r="Y1922" s="1613"/>
      <c r="Z1922" s="1614"/>
      <c r="AA1922" s="1614"/>
      <c r="AB1922" s="1615"/>
      <c r="AC1922" s="1615"/>
      <c r="AD1922" s="583"/>
      <c r="AE1922" s="583"/>
    </row>
    <row r="1923" spans="1:31" ht="12.75" customHeight="1">
      <c r="A1923" s="1385" t="s">
        <v>2569</v>
      </c>
      <c r="B1923" s="19" t="s">
        <v>1048</v>
      </c>
      <c r="C1923" s="1383">
        <v>15958</v>
      </c>
      <c r="D1923" s="1589"/>
      <c r="E1923" s="1589"/>
      <c r="F1923" s="1344">
        <f>(1/S1923)*cnst_fish!$C$6</f>
        <v>1.4095836303336913E-2</v>
      </c>
      <c r="G1923" s="719">
        <f t="shared" si="275"/>
        <v>1</v>
      </c>
      <c r="H1923" s="719">
        <f t="shared" si="275"/>
        <v>0.367192066876738</v>
      </c>
      <c r="I1923" s="719">
        <f t="shared" si="267"/>
        <v>0</v>
      </c>
      <c r="J1923" s="1386">
        <f t="shared" si="268"/>
        <v>0</v>
      </c>
      <c r="K1923" s="889"/>
      <c r="L1923" s="1590">
        <v>1915</v>
      </c>
      <c r="M1923" s="1589"/>
      <c r="N1923" s="1591" t="s">
        <v>1806</v>
      </c>
      <c r="O1923" s="1592" t="s">
        <v>4841</v>
      </c>
      <c r="P1923" s="910">
        <f t="shared" si="269"/>
        <v>0</v>
      </c>
      <c r="Q1923" s="910">
        <f t="shared" si="270"/>
        <v>1915</v>
      </c>
      <c r="R1923" s="1344">
        <f t="shared" si="271"/>
        <v>4.33</v>
      </c>
      <c r="S1923" s="1344">
        <f>(1/9)*cnst_fish!$C$7*(1/cnst_fish!$C$8)^(R1923-1)</f>
        <v>301.50747416057146</v>
      </c>
      <c r="T1923" s="1362">
        <f t="shared" si="272"/>
        <v>49885.142884533278</v>
      </c>
      <c r="W1923" s="1612"/>
      <c r="X1923" s="1612"/>
      <c r="Y1923" s="1613"/>
      <c r="Z1923" s="1614"/>
      <c r="AA1923" s="1614"/>
      <c r="AB1923" s="1615"/>
      <c r="AC1923" s="1615"/>
      <c r="AD1923" s="583"/>
      <c r="AE1923" s="583"/>
    </row>
    <row r="1924" spans="1:31" ht="12.75" customHeight="1">
      <c r="A1924" s="1385" t="s">
        <v>1546</v>
      </c>
      <c r="B1924" s="19" t="s">
        <v>4727</v>
      </c>
      <c r="C1924" s="1383">
        <v>3540</v>
      </c>
      <c r="D1924" s="1589"/>
      <c r="E1924" s="1589"/>
      <c r="F1924" s="1344">
        <f>(1/S1924)*cnst_fish!$C$6</f>
        <v>2.3938164528281742</v>
      </c>
      <c r="G1924" s="719">
        <f t="shared" si="275"/>
        <v>1</v>
      </c>
      <c r="H1924" s="719">
        <f t="shared" si="275"/>
        <v>0.367192066876738</v>
      </c>
      <c r="I1924" s="719">
        <f t="shared" si="267"/>
        <v>0</v>
      </c>
      <c r="J1924" s="1386">
        <f t="shared" si="268"/>
        <v>0</v>
      </c>
      <c r="K1924" s="889"/>
      <c r="L1924" s="1590">
        <v>12619</v>
      </c>
      <c r="M1924" s="1589"/>
      <c r="N1924" s="1591" t="s">
        <v>1804</v>
      </c>
      <c r="O1924" s="1592" t="s">
        <v>4851</v>
      </c>
      <c r="P1924" s="910">
        <f t="shared" si="269"/>
        <v>0</v>
      </c>
      <c r="Q1924" s="910">
        <f t="shared" si="270"/>
        <v>12619</v>
      </c>
      <c r="R1924" s="1344">
        <f t="shared" si="271"/>
        <v>2.1</v>
      </c>
      <c r="S1924" s="1344">
        <f>(1/9)*cnst_fish!$C$7*(1/cnst_fish!$C$8)^(R1924-1)</f>
        <v>1.7754076320174161</v>
      </c>
      <c r="T1924" s="1362">
        <f t="shared" si="272"/>
        <v>1935.6524542402549</v>
      </c>
      <c r="W1924" s="1612"/>
      <c r="X1924" s="1612"/>
      <c r="Y1924" s="1613"/>
      <c r="Z1924" s="1614"/>
      <c r="AA1924" s="1614"/>
      <c r="AB1924" s="1615"/>
      <c r="AC1924" s="1615"/>
      <c r="AD1924" s="583"/>
      <c r="AE1924" s="583"/>
    </row>
    <row r="1925" spans="1:31" ht="12.75" customHeight="1">
      <c r="A1925" s="1385" t="s">
        <v>745</v>
      </c>
      <c r="B1925" s="19" t="s">
        <v>1482</v>
      </c>
      <c r="C1925" s="1383">
        <v>3544</v>
      </c>
      <c r="D1925" s="1589"/>
      <c r="E1925" s="1589"/>
      <c r="F1925" s="1344">
        <f>(1/S1925)*cnst_fish!$C$6</f>
        <v>2.3938164528281742</v>
      </c>
      <c r="G1925" s="719">
        <f t="shared" si="275"/>
        <v>1</v>
      </c>
      <c r="H1925" s="719">
        <f t="shared" si="275"/>
        <v>0.367192066876738</v>
      </c>
      <c r="I1925" s="719">
        <f t="shared" si="267"/>
        <v>0</v>
      </c>
      <c r="J1925" s="1386">
        <f t="shared" si="268"/>
        <v>0</v>
      </c>
      <c r="K1925" s="889"/>
      <c r="L1925" s="1590">
        <v>2456</v>
      </c>
      <c r="M1925" s="1589"/>
      <c r="N1925" s="1591" t="s">
        <v>1804</v>
      </c>
      <c r="O1925" s="1592" t="s">
        <v>4851</v>
      </c>
      <c r="P1925" s="910">
        <f t="shared" si="269"/>
        <v>0</v>
      </c>
      <c r="Q1925" s="910">
        <f t="shared" si="270"/>
        <v>2456</v>
      </c>
      <c r="R1925" s="1344">
        <f t="shared" si="271"/>
        <v>2.1</v>
      </c>
      <c r="S1925" s="1344">
        <f>(1/9)*cnst_fish!$C$7*(1/cnst_fish!$C$8)^(R1925-1)</f>
        <v>1.7754076320174161</v>
      </c>
      <c r="T1925" s="1362">
        <f t="shared" si="272"/>
        <v>376.73051966194356</v>
      </c>
      <c r="W1925" s="1612"/>
      <c r="X1925" s="1612"/>
      <c r="Y1925" s="1613"/>
      <c r="Z1925" s="1614"/>
      <c r="AA1925" s="1614"/>
      <c r="AB1925" s="1615"/>
      <c r="AC1925" s="1615"/>
      <c r="AD1925" s="583"/>
      <c r="AE1925" s="583"/>
    </row>
    <row r="1926" spans="1:31" ht="12.75" customHeight="1">
      <c r="A1926" s="1385" t="s">
        <v>342</v>
      </c>
      <c r="B1926" s="19" t="s">
        <v>343</v>
      </c>
      <c r="C1926" s="1383">
        <v>17577</v>
      </c>
      <c r="D1926" s="1589"/>
      <c r="E1926" s="1589"/>
      <c r="F1926" s="1344">
        <f>(1/S1926)*cnst_fish!$C$6</f>
        <v>0.14481532779905856</v>
      </c>
      <c r="G1926" s="719">
        <f t="shared" si="275"/>
        <v>1</v>
      </c>
      <c r="H1926" s="719">
        <f t="shared" si="275"/>
        <v>0.367192066876738</v>
      </c>
      <c r="I1926" s="719">
        <f t="shared" si="267"/>
        <v>0</v>
      </c>
      <c r="J1926" s="1386">
        <f t="shared" si="268"/>
        <v>0</v>
      </c>
      <c r="K1926" s="889"/>
      <c r="L1926" s="1590">
        <v>369</v>
      </c>
      <c r="M1926" s="1589"/>
      <c r="N1926" s="1591" t="s">
        <v>1804</v>
      </c>
      <c r="O1926" s="1592" t="s">
        <v>4851</v>
      </c>
      <c r="P1926" s="910">
        <f t="shared" si="269"/>
        <v>0</v>
      </c>
      <c r="Q1926" s="910">
        <f t="shared" si="270"/>
        <v>369</v>
      </c>
      <c r="R1926" s="1344">
        <f t="shared" si="271"/>
        <v>3.3182763159269002</v>
      </c>
      <c r="S1926" s="1344">
        <f>(1/9)*cnst_fish!$C$7*(1/cnst_fish!$C$8)^(R1926-1)</f>
        <v>29.347722127157517</v>
      </c>
      <c r="T1926" s="1362">
        <f t="shared" si="272"/>
        <v>935.63212359346107</v>
      </c>
      <c r="W1926" s="1612"/>
      <c r="X1926" s="1612"/>
      <c r="Y1926" s="1613"/>
      <c r="Z1926" s="1614"/>
      <c r="AA1926" s="1614"/>
      <c r="AB1926" s="1615"/>
      <c r="AC1926" s="1615"/>
      <c r="AD1926" s="583"/>
      <c r="AE1926" s="583"/>
    </row>
    <row r="1927" spans="1:31" ht="12.75" customHeight="1">
      <c r="A1927" s="1385" t="s">
        <v>4435</v>
      </c>
      <c r="B1927" s="19" t="s">
        <v>6937</v>
      </c>
      <c r="C1927" s="1383">
        <v>17580</v>
      </c>
      <c r="D1927" s="1589"/>
      <c r="E1927" s="1589"/>
      <c r="F1927" s="1344">
        <f>(1/S1927)*cnst_fish!$C$6</f>
        <v>3.0136363636363641</v>
      </c>
      <c r="G1927" s="719">
        <f t="shared" si="275"/>
        <v>1</v>
      </c>
      <c r="H1927" s="719">
        <f t="shared" si="275"/>
        <v>0.367192066876738</v>
      </c>
      <c r="I1927" s="719">
        <f t="shared" si="267"/>
        <v>0</v>
      </c>
      <c r="J1927" s="1386">
        <f t="shared" si="268"/>
        <v>0</v>
      </c>
      <c r="K1927" s="889"/>
      <c r="L1927" s="1590">
        <v>71</v>
      </c>
      <c r="M1927" s="1589"/>
      <c r="N1927" s="1591" t="s">
        <v>1804</v>
      </c>
      <c r="O1927" s="1592" t="s">
        <v>4851</v>
      </c>
      <c r="P1927" s="910">
        <f t="shared" si="269"/>
        <v>0</v>
      </c>
      <c r="Q1927" s="910">
        <f t="shared" si="270"/>
        <v>71</v>
      </c>
      <c r="R1927" s="1344">
        <f t="shared" si="271"/>
        <v>2</v>
      </c>
      <c r="S1927" s="1344">
        <f>(1/9)*cnst_fish!$C$7*(1/cnst_fish!$C$8)^(R1927-1)</f>
        <v>1.4102564102564099</v>
      </c>
      <c r="T1927" s="1362">
        <f t="shared" si="272"/>
        <v>8.6508900220432086</v>
      </c>
      <c r="W1927" s="1612"/>
      <c r="X1927" s="1612"/>
      <c r="Y1927" s="1613"/>
      <c r="Z1927" s="1614"/>
      <c r="AA1927" s="1614"/>
      <c r="AB1927" s="1615"/>
      <c r="AC1927" s="1615"/>
      <c r="AD1927" s="583"/>
      <c r="AE1927" s="583"/>
    </row>
    <row r="1928" spans="1:31" ht="12.75" customHeight="1">
      <c r="A1928" s="1385" t="s">
        <v>3459</v>
      </c>
      <c r="B1928" s="19" t="s">
        <v>2907</v>
      </c>
      <c r="C1928" s="1383">
        <v>15973</v>
      </c>
      <c r="D1928" s="1589"/>
      <c r="E1928" s="1589"/>
      <c r="F1928" s="1344">
        <f>(1/S1928)*cnst_fish!$C$6</f>
        <v>0.20849269714511576</v>
      </c>
      <c r="G1928" s="719">
        <f t="shared" si="275"/>
        <v>1</v>
      </c>
      <c r="H1928" s="719">
        <f t="shared" si="275"/>
        <v>0.367192066876738</v>
      </c>
      <c r="I1928" s="719">
        <f t="shared" si="267"/>
        <v>0</v>
      </c>
      <c r="J1928" s="1386">
        <f t="shared" si="268"/>
        <v>0</v>
      </c>
      <c r="K1928" s="889"/>
      <c r="L1928" s="1590">
        <v>53</v>
      </c>
      <c r="M1928" s="1589">
        <v>133</v>
      </c>
      <c r="N1928" s="1591" t="s">
        <v>1806</v>
      </c>
      <c r="O1928" s="1592" t="s">
        <v>4845</v>
      </c>
      <c r="P1928" s="910">
        <f t="shared" si="269"/>
        <v>0</v>
      </c>
      <c r="Q1928" s="910">
        <f t="shared" si="270"/>
        <v>186</v>
      </c>
      <c r="R1928" s="1344">
        <f t="shared" si="271"/>
        <v>3.16</v>
      </c>
      <c r="S1928" s="1344">
        <f>(1/9)*cnst_fish!$C$7*(1/cnst_fish!$C$8)^(R1928-1)</f>
        <v>20.384407023340014</v>
      </c>
      <c r="T1928" s="1362">
        <f t="shared" si="272"/>
        <v>327.57849734917318</v>
      </c>
      <c r="W1928" s="1612"/>
      <c r="X1928" s="1612"/>
      <c r="Y1928" s="1613"/>
      <c r="Z1928" s="1614"/>
      <c r="AA1928" s="1614"/>
      <c r="AB1928" s="1615"/>
      <c r="AC1928" s="1615"/>
      <c r="AD1928" s="583"/>
      <c r="AE1928" s="583"/>
    </row>
    <row r="1929" spans="1:31" ht="12.75" customHeight="1">
      <c r="A1929" s="1588" t="s">
        <v>8614</v>
      </c>
      <c r="B1929" s="1586" t="s">
        <v>8615</v>
      </c>
      <c r="C1929" s="1383">
        <v>15998</v>
      </c>
      <c r="D1929" s="1589"/>
      <c r="E1929" s="1589"/>
      <c r="F1929" s="1344">
        <f>(1/S1929)*cnst_fish!$C$6</f>
        <v>0.37939434000887845</v>
      </c>
      <c r="G1929" s="719">
        <f t="shared" si="275"/>
        <v>1</v>
      </c>
      <c r="H1929" s="719">
        <f t="shared" si="275"/>
        <v>0.367192066876738</v>
      </c>
      <c r="I1929" s="719">
        <f t="shared" si="267"/>
        <v>0</v>
      </c>
      <c r="J1929" s="1386">
        <f t="shared" si="268"/>
        <v>0</v>
      </c>
      <c r="K1929" s="889"/>
      <c r="L1929" s="1590"/>
      <c r="M1929" s="1589"/>
      <c r="N1929" s="1591" t="s">
        <v>1806</v>
      </c>
      <c r="O1929" s="1592" t="s">
        <v>4845</v>
      </c>
      <c r="P1929" s="910">
        <f t="shared" si="269"/>
        <v>0</v>
      </c>
      <c r="Q1929" s="910">
        <f t="shared" si="270"/>
        <v>0</v>
      </c>
      <c r="R1929" s="1344">
        <f t="shared" si="271"/>
        <v>2.9</v>
      </c>
      <c r="S1929" s="1344">
        <f>(1/9)*cnst_fish!$C$7*(1/cnst_fish!$C$8)^(R1929-1)</f>
        <v>11.20206484867577</v>
      </c>
      <c r="T1929" s="1362">
        <f t="shared" si="272"/>
        <v>0</v>
      </c>
      <c r="W1929" s="1616"/>
      <c r="X1929" s="1616"/>
      <c r="Y1929" s="1613"/>
      <c r="Z1929" s="1614"/>
      <c r="AA1929" s="1614"/>
      <c r="AB1929" s="1615"/>
      <c r="AC1929" s="1615"/>
      <c r="AD1929" s="583"/>
      <c r="AE1929" s="583"/>
    </row>
    <row r="1930" spans="1:31" ht="12.75" customHeight="1">
      <c r="A1930" s="1385" t="s">
        <v>4228</v>
      </c>
      <c r="B1930" s="19" t="s">
        <v>2401</v>
      </c>
      <c r="C1930" s="1383">
        <v>2503</v>
      </c>
      <c r="D1930" s="1589">
        <v>3272</v>
      </c>
      <c r="E1930" s="1589"/>
      <c r="F1930" s="1344">
        <f>(1/S1930)*cnst_fish!$C$6</f>
        <v>9.7519361156519751E-3</v>
      </c>
      <c r="G1930" s="719">
        <f t="shared" si="275"/>
        <v>1</v>
      </c>
      <c r="H1930" s="719">
        <f t="shared" si="275"/>
        <v>0.367192066876738</v>
      </c>
      <c r="I1930" s="719">
        <f t="shared" si="267"/>
        <v>123201.42672923596</v>
      </c>
      <c r="J1930" s="1386">
        <f t="shared" si="268"/>
        <v>0</v>
      </c>
      <c r="K1930" s="889"/>
      <c r="L1930" s="1590">
        <v>114831</v>
      </c>
      <c r="M1930" s="1589"/>
      <c r="N1930" s="1591" t="s">
        <v>4228</v>
      </c>
      <c r="O1930" s="1592" t="s">
        <v>4859</v>
      </c>
      <c r="P1930" s="910">
        <f t="shared" si="269"/>
        <v>3272</v>
      </c>
      <c r="Q1930" s="910">
        <f t="shared" si="270"/>
        <v>114831</v>
      </c>
      <c r="R1930" s="1344">
        <f t="shared" si="271"/>
        <v>4.49</v>
      </c>
      <c r="S1930" s="1344">
        <f>(1/9)*cnst_fish!$C$7*(1/cnst_fish!$C$8)^(R1930-1)</f>
        <v>435.81089432883982</v>
      </c>
      <c r="T1930" s="1362">
        <f t="shared" si="272"/>
        <v>4323760.0955821797</v>
      </c>
      <c r="W1930" s="1612"/>
      <c r="X1930" s="1612"/>
      <c r="Y1930" s="1613"/>
      <c r="Z1930" s="1614"/>
      <c r="AA1930" s="1614"/>
      <c r="AB1930" s="1615"/>
      <c r="AC1930" s="1615"/>
      <c r="AD1930" s="583"/>
      <c r="AE1930" s="583"/>
    </row>
    <row r="1931" spans="1:31" ht="12.75" customHeight="1">
      <c r="A1931" s="1385" t="s">
        <v>4041</v>
      </c>
      <c r="B1931" s="19" t="s">
        <v>1696</v>
      </c>
      <c r="C1931" s="1383">
        <v>2600</v>
      </c>
      <c r="D1931" s="1589">
        <v>905</v>
      </c>
      <c r="E1931" s="1589"/>
      <c r="F1931" s="1344">
        <f>(1/S1931)*cnst_fish!$C$6</f>
        <v>0.60129950673834842</v>
      </c>
      <c r="G1931" s="719">
        <f t="shared" ref="G1931:H1947" si="276">G$7</f>
        <v>1</v>
      </c>
      <c r="H1931" s="719">
        <f t="shared" si="276"/>
        <v>0.367192066876738</v>
      </c>
      <c r="I1931" s="719">
        <f t="shared" ref="I1931:I1937" si="277">IF($F1931=0,0,D1931/$F1931*$H1931*$G1931)</f>
        <v>552.65107787299405</v>
      </c>
      <c r="J1931" s="1386">
        <f t="shared" ref="J1931:J1937" si="278">IF($F1931=0,0,E1931/$F1931*$H1931*$G1931)</f>
        <v>0</v>
      </c>
      <c r="K1931" s="889"/>
      <c r="L1931" s="1590">
        <v>49217</v>
      </c>
      <c r="M1931" s="1589"/>
      <c r="N1931" s="1591" t="s">
        <v>2441</v>
      </c>
      <c r="O1931" s="1592" t="s">
        <v>4840</v>
      </c>
      <c r="P1931" s="910">
        <f t="shared" ref="P1931:P1937" si="279">D1931+E1931</f>
        <v>905</v>
      </c>
      <c r="Q1931" s="910">
        <f t="shared" ref="Q1931:Q1937" si="280">L1931+M1931</f>
        <v>49217</v>
      </c>
      <c r="R1931" s="1344">
        <f t="shared" ref="R1931:R1937" si="281">VLOOKUP(B1931,constant_fish_trophic,3,FALSE)</f>
        <v>2.7</v>
      </c>
      <c r="S1931" s="1344">
        <f>(1/9)*cnst_fish!$C$7*(1/cnst_fish!$C$8)^(R1931-1)</f>
        <v>7.0680250896153813</v>
      </c>
      <c r="T1931" s="1362">
        <f t="shared" ref="T1931:T1937" si="282">IF(F1931=0,0,Q1931/F1931*H1931*G1931)</f>
        <v>30055.058673674193</v>
      </c>
      <c r="W1931" s="1612"/>
      <c r="X1931" s="1612"/>
      <c r="Y1931" s="1613"/>
      <c r="Z1931" s="1614"/>
      <c r="AA1931" s="1614"/>
      <c r="AB1931" s="1615"/>
      <c r="AC1931" s="1615"/>
      <c r="AD1931" s="583"/>
      <c r="AE1931" s="583"/>
    </row>
    <row r="1932" spans="1:31" ht="12.75" customHeight="1">
      <c r="A1932" s="1385" t="s">
        <v>2187</v>
      </c>
      <c r="B1932" s="19" t="s">
        <v>1697</v>
      </c>
      <c r="C1932" s="1383">
        <v>3418</v>
      </c>
      <c r="D1932" s="1589"/>
      <c r="E1932" s="1589"/>
      <c r="F1932" s="1344">
        <f>(1/S1932)*cnst_fish!$C$6</f>
        <v>0.60129950673834842</v>
      </c>
      <c r="G1932" s="719">
        <f t="shared" si="276"/>
        <v>1</v>
      </c>
      <c r="H1932" s="719">
        <f t="shared" si="276"/>
        <v>0.367192066876738</v>
      </c>
      <c r="I1932" s="719">
        <f t="shared" si="277"/>
        <v>0</v>
      </c>
      <c r="J1932" s="1386">
        <f t="shared" si="278"/>
        <v>0</v>
      </c>
      <c r="K1932" s="889"/>
      <c r="L1932" s="1590">
        <v>659</v>
      </c>
      <c r="M1932" s="1589"/>
      <c r="N1932" s="1591" t="s">
        <v>2441</v>
      </c>
      <c r="O1932" s="1592" t="s">
        <v>4840</v>
      </c>
      <c r="P1932" s="910">
        <f t="shared" si="279"/>
        <v>0</v>
      </c>
      <c r="Q1932" s="910">
        <f t="shared" si="280"/>
        <v>659</v>
      </c>
      <c r="R1932" s="1344">
        <f t="shared" si="281"/>
        <v>2.7</v>
      </c>
      <c r="S1932" s="1344">
        <f>(1/9)*cnst_fish!$C$7*(1/cnst_fish!$C$8)^(R1932-1)</f>
        <v>7.0680250896153813</v>
      </c>
      <c r="T1932" s="1362">
        <f t="shared" si="282"/>
        <v>402.4276909594509</v>
      </c>
      <c r="W1932" s="1612"/>
      <c r="X1932" s="1612"/>
      <c r="Y1932" s="1613"/>
      <c r="Z1932" s="1614"/>
      <c r="AA1932" s="1614"/>
      <c r="AB1932" s="1615"/>
      <c r="AC1932" s="1615"/>
      <c r="AD1932" s="583"/>
      <c r="AE1932" s="583"/>
    </row>
    <row r="1933" spans="1:31" ht="12.75" customHeight="1">
      <c r="A1933" s="1385" t="s">
        <v>2708</v>
      </c>
      <c r="B1933" s="19" t="s">
        <v>6944</v>
      </c>
      <c r="C1933" s="1383">
        <v>2582</v>
      </c>
      <c r="D1933" s="1589"/>
      <c r="E1933" s="1589"/>
      <c r="F1933" s="1344">
        <f>(1/S1933)*cnst_fish!$C$6</f>
        <v>1.5103960722494616</v>
      </c>
      <c r="G1933" s="719">
        <f t="shared" si="276"/>
        <v>1</v>
      </c>
      <c r="H1933" s="719">
        <f t="shared" si="276"/>
        <v>0.367192066876738</v>
      </c>
      <c r="I1933" s="719">
        <f t="shared" si="277"/>
        <v>0</v>
      </c>
      <c r="J1933" s="1386">
        <f t="shared" si="278"/>
        <v>0</v>
      </c>
      <c r="K1933" s="889"/>
      <c r="L1933" s="1590">
        <v>1791</v>
      </c>
      <c r="M1933" s="1589"/>
      <c r="N1933" s="1591" t="s">
        <v>2441</v>
      </c>
      <c r="O1933" s="1592" t="s">
        <v>4840</v>
      </c>
      <c r="P1933" s="910">
        <f t="shared" si="279"/>
        <v>0</v>
      </c>
      <c r="Q1933" s="910">
        <f t="shared" si="280"/>
        <v>1791</v>
      </c>
      <c r="R1933" s="1344">
        <f t="shared" si="281"/>
        <v>2.2999999999999998</v>
      </c>
      <c r="S1933" s="1344">
        <f>(1/9)*cnst_fish!$C$7*(1/cnst_fish!$C$8)^(R1933-1)</f>
        <v>2.8138314698279068</v>
      </c>
      <c r="T1933" s="1362">
        <f t="shared" si="282"/>
        <v>435.4096278844267</v>
      </c>
      <c r="W1933" s="1612"/>
      <c r="X1933" s="1612"/>
      <c r="Y1933" s="1613"/>
      <c r="Z1933" s="1614"/>
      <c r="AA1933" s="1614"/>
      <c r="AB1933" s="1615"/>
      <c r="AC1933" s="1615"/>
      <c r="AD1933" s="583"/>
      <c r="AE1933" s="583"/>
    </row>
    <row r="1934" spans="1:31" ht="12.75" customHeight="1">
      <c r="A1934" s="1385" t="s">
        <v>1655</v>
      </c>
      <c r="B1934" s="19" t="s">
        <v>1656</v>
      </c>
      <c r="C1934" s="1383">
        <v>16030</v>
      </c>
      <c r="D1934" s="1589"/>
      <c r="E1934" s="1589"/>
      <c r="F1934" s="1344">
        <f>(1/S1934)*cnst_fish!$C$6</f>
        <v>0.21831865524078092</v>
      </c>
      <c r="G1934" s="719">
        <f t="shared" si="276"/>
        <v>1</v>
      </c>
      <c r="H1934" s="719">
        <f t="shared" si="276"/>
        <v>0.367192066876738</v>
      </c>
      <c r="I1934" s="719">
        <f t="shared" si="277"/>
        <v>0</v>
      </c>
      <c r="J1934" s="1386">
        <f t="shared" si="278"/>
        <v>0</v>
      </c>
      <c r="K1934" s="889"/>
      <c r="L1934" s="1590">
        <v>63</v>
      </c>
      <c r="M1934" s="1589"/>
      <c r="N1934" s="1591" t="s">
        <v>1806</v>
      </c>
      <c r="O1934" s="1592" t="s">
        <v>4841</v>
      </c>
      <c r="P1934" s="910">
        <f t="shared" si="279"/>
        <v>0</v>
      </c>
      <c r="Q1934" s="910">
        <f t="shared" si="280"/>
        <v>63</v>
      </c>
      <c r="R1934" s="1344">
        <f t="shared" si="281"/>
        <v>3.14</v>
      </c>
      <c r="S1934" s="1344">
        <f>(1/9)*cnst_fish!$C$7*(1/cnst_fish!$C$8)^(R1934-1)</f>
        <v>19.466957577733005</v>
      </c>
      <c r="T1934" s="1362">
        <f t="shared" si="282"/>
        <v>105.96025423352523</v>
      </c>
      <c r="W1934" s="1612"/>
      <c r="X1934" s="1612"/>
      <c r="Y1934" s="1613"/>
      <c r="Z1934" s="1614"/>
      <c r="AA1934" s="1614"/>
      <c r="AB1934" s="1615"/>
      <c r="AC1934" s="1615"/>
      <c r="AD1934" s="583"/>
      <c r="AE1934" s="583"/>
    </row>
    <row r="1935" spans="1:31" ht="12.75" customHeight="1">
      <c r="A1935" s="1385" t="s">
        <v>6600</v>
      </c>
      <c r="B1935" s="19" t="s">
        <v>6599</v>
      </c>
      <c r="C1935" s="1383">
        <v>16037</v>
      </c>
      <c r="D1935" s="1589"/>
      <c r="E1935" s="1589"/>
      <c r="F1935" s="1344">
        <f>(1/S1935)*cnst_fish!$C$6</f>
        <v>3.0136363636363641</v>
      </c>
      <c r="G1935" s="719">
        <f t="shared" si="276"/>
        <v>1</v>
      </c>
      <c r="H1935" s="719">
        <f t="shared" si="276"/>
        <v>0.367192066876738</v>
      </c>
      <c r="I1935" s="719">
        <f t="shared" si="277"/>
        <v>0</v>
      </c>
      <c r="J1935" s="1386">
        <f t="shared" si="278"/>
        <v>0</v>
      </c>
      <c r="K1935" s="889"/>
      <c r="L1935" s="1590"/>
      <c r="M1935" s="1589"/>
      <c r="N1935" s="1591" t="s">
        <v>1806</v>
      </c>
      <c r="O1935" s="1592" t="s">
        <v>4845</v>
      </c>
      <c r="P1935" s="910">
        <f t="shared" si="279"/>
        <v>0</v>
      </c>
      <c r="Q1935" s="910">
        <f t="shared" si="280"/>
        <v>0</v>
      </c>
      <c r="R1935" s="1344">
        <f t="shared" si="281"/>
        <v>2</v>
      </c>
      <c r="S1935" s="1344">
        <f>(1/9)*cnst_fish!$C$7*(1/cnst_fish!$C$8)^(R1935-1)</f>
        <v>1.4102564102564099</v>
      </c>
      <c r="T1935" s="1362">
        <f t="shared" si="282"/>
        <v>0</v>
      </c>
      <c r="W1935" s="1612"/>
      <c r="X1935" s="1612"/>
      <c r="Y1935" s="1613"/>
      <c r="Z1935" s="1614"/>
      <c r="AA1935" s="1614"/>
      <c r="AB1935" s="1615"/>
      <c r="AC1935" s="1615"/>
      <c r="AD1935" s="583"/>
      <c r="AE1935" s="583"/>
    </row>
    <row r="1936" spans="1:31" ht="12.75" customHeight="1">
      <c r="A1936" s="1385" t="s">
        <v>5644</v>
      </c>
      <c r="B1936" s="19" t="s">
        <v>5645</v>
      </c>
      <c r="C1936" s="1383">
        <v>16042</v>
      </c>
      <c r="D1936" s="1589"/>
      <c r="E1936" s="1589"/>
      <c r="F1936" s="1344">
        <f>(1/S1936)*cnst_fish!$C$6</f>
        <v>0.15634746627722768</v>
      </c>
      <c r="G1936" s="719">
        <f t="shared" si="276"/>
        <v>1</v>
      </c>
      <c r="H1936" s="719">
        <f t="shared" si="276"/>
        <v>0.367192066876738</v>
      </c>
      <c r="I1936" s="719">
        <f t="shared" si="277"/>
        <v>0</v>
      </c>
      <c r="J1936" s="1386">
        <f t="shared" si="278"/>
        <v>0</v>
      </c>
      <c r="K1936" s="889"/>
      <c r="L1936" s="1590">
        <v>0</v>
      </c>
      <c r="M1936" s="1589"/>
      <c r="N1936" s="1591" t="s">
        <v>1806</v>
      </c>
      <c r="O1936" s="1592" t="s">
        <v>4841</v>
      </c>
      <c r="P1936" s="910">
        <f t="shared" si="279"/>
        <v>0</v>
      </c>
      <c r="Q1936" s="910">
        <f t="shared" si="280"/>
        <v>0</v>
      </c>
      <c r="R1936" s="1344">
        <f t="shared" si="281"/>
        <v>3.2850000000000001</v>
      </c>
      <c r="S1936" s="1344">
        <f>(1/9)*cnst_fish!$C$7*(1/cnst_fish!$C$8)^(R1936-1)</f>
        <v>27.18304364756451</v>
      </c>
      <c r="T1936" s="1362">
        <f t="shared" si="282"/>
        <v>0</v>
      </c>
      <c r="W1936" s="1612"/>
      <c r="X1936" s="1612"/>
      <c r="Y1936" s="1613"/>
      <c r="Z1936" s="1614"/>
      <c r="AA1936" s="1614"/>
      <c r="AB1936" s="1615"/>
      <c r="AC1936" s="1615"/>
      <c r="AD1936" s="583"/>
      <c r="AE1936" s="583"/>
    </row>
    <row r="1937" spans="1:31" ht="12.75" customHeight="1">
      <c r="A1937" s="1385" t="s">
        <v>6735</v>
      </c>
      <c r="B1937" s="19" t="s">
        <v>6734</v>
      </c>
      <c r="C1937" s="1383">
        <v>19223</v>
      </c>
      <c r="D1937" s="1589"/>
      <c r="E1937" s="1589"/>
      <c r="F1937" s="1344">
        <f>(1/S1937)*cnst_fish!$C$6</f>
        <v>6.0129950673834844E-2</v>
      </c>
      <c r="G1937" s="719">
        <f t="shared" si="276"/>
        <v>1</v>
      </c>
      <c r="H1937" s="719">
        <f t="shared" si="276"/>
        <v>0.367192066876738</v>
      </c>
      <c r="I1937" s="719">
        <f t="shared" si="277"/>
        <v>0</v>
      </c>
      <c r="J1937" s="1386">
        <f t="shared" si="278"/>
        <v>0</v>
      </c>
      <c r="K1937" s="889"/>
      <c r="L1937" s="1590">
        <v>2080</v>
      </c>
      <c r="M1937" s="1589"/>
      <c r="N1937" s="1591" t="s">
        <v>1806</v>
      </c>
      <c r="O1937" s="1592" t="s">
        <v>4841</v>
      </c>
      <c r="P1937" s="910">
        <f t="shared" si="279"/>
        <v>0</v>
      </c>
      <c r="Q1937" s="910">
        <f t="shared" si="280"/>
        <v>2080</v>
      </c>
      <c r="R1937" s="1344">
        <f t="shared" si="281"/>
        <v>3.7</v>
      </c>
      <c r="S1937" s="1344">
        <f>(1/9)*cnst_fish!$C$7*(1/cnst_fish!$C$8)^(R1937-1)</f>
        <v>70.680250896153822</v>
      </c>
      <c r="T1937" s="1362">
        <f t="shared" si="282"/>
        <v>12701.814828462184</v>
      </c>
      <c r="W1937" s="1612"/>
      <c r="X1937" s="1612"/>
      <c r="Y1937" s="1613"/>
      <c r="Z1937" s="1614"/>
      <c r="AA1937" s="1614"/>
      <c r="AB1937" s="1615"/>
      <c r="AC1937" s="1615"/>
      <c r="AD1937" s="583"/>
      <c r="AE1937" s="583"/>
    </row>
    <row r="1938" spans="1:31" ht="12.75" customHeight="1">
      <c r="A1938" s="1385" t="s">
        <v>3944</v>
      </c>
      <c r="B1938" s="19" t="s">
        <v>3280</v>
      </c>
      <c r="C1938" s="1383">
        <v>3043</v>
      </c>
      <c r="D1938" s="1589"/>
      <c r="E1938" s="1589"/>
      <c r="F1938" s="1344">
        <f>(1/S1938)*cnst_fish!$C$6</f>
        <v>1.315499985341953E-2</v>
      </c>
      <c r="G1938" s="719">
        <f t="shared" si="276"/>
        <v>1</v>
      </c>
      <c r="H1938" s="719">
        <f t="shared" si="276"/>
        <v>0.367192066876738</v>
      </c>
      <c r="I1938" s="719">
        <f t="shared" ref="I1938:I1947" si="283">IF($F1938=0,0,D1938/$F1938*$H1938*$G1938)</f>
        <v>0</v>
      </c>
      <c r="J1938" s="1386">
        <f t="shared" ref="J1938:J1947" si="284">IF($F1938=0,0,E1938/$F1938*$H1938*$G1938)</f>
        <v>0</v>
      </c>
      <c r="K1938" s="889"/>
      <c r="L1938" s="1590">
        <v>10</v>
      </c>
      <c r="M1938" s="1589"/>
      <c r="N1938" s="1591" t="s">
        <v>1806</v>
      </c>
      <c r="O1938" s="1592" t="s">
        <v>4841</v>
      </c>
      <c r="P1938" s="910">
        <f t="shared" ref="P1938:P1947" si="285">D1938+E1938</f>
        <v>0</v>
      </c>
      <c r="Q1938" s="910">
        <f t="shared" ref="Q1938:Q1947" si="286">L1938+M1938</f>
        <v>10</v>
      </c>
      <c r="R1938" s="1344">
        <f t="shared" ref="R1938:R1947" si="287">VLOOKUP(B1938,constant_fish_trophic,3,FALSE)</f>
        <v>4.3600000000000003</v>
      </c>
      <c r="S1938" s="1344">
        <f>(1/9)*cnst_fish!$C$7*(1/cnst_fish!$C$8)^(R1938-1)</f>
        <v>323.07107923648124</v>
      </c>
      <c r="T1938" s="1362">
        <f t="shared" ref="T1938:T1947" si="288">IF(F1938=0,0,Q1938/F1938*H1938*G1938)</f>
        <v>279.12738195986338</v>
      </c>
      <c r="W1938" s="1612"/>
      <c r="X1938" s="1612"/>
      <c r="Y1938" s="1613"/>
      <c r="Z1938" s="1614"/>
      <c r="AA1938" s="1614"/>
      <c r="AB1938" s="1615"/>
      <c r="AC1938" s="1615"/>
      <c r="AD1938" s="583"/>
      <c r="AE1938" s="583"/>
    </row>
    <row r="1939" spans="1:31" ht="12.75" customHeight="1">
      <c r="A1939" s="1385" t="s">
        <v>3495</v>
      </c>
      <c r="B1939" s="19" t="s">
        <v>5535</v>
      </c>
      <c r="C1939" s="1383">
        <v>3044</v>
      </c>
      <c r="D1939" s="1589">
        <v>66</v>
      </c>
      <c r="E1939" s="1589"/>
      <c r="F1939" s="1344">
        <f>(1/S1939)*cnst_fish!$C$6</f>
        <v>9.5299549485983424E-3</v>
      </c>
      <c r="G1939" s="719">
        <f t="shared" si="276"/>
        <v>1</v>
      </c>
      <c r="H1939" s="719">
        <f t="shared" si="276"/>
        <v>0.367192066876738</v>
      </c>
      <c r="I1939" s="719">
        <f t="shared" si="283"/>
        <v>2543.0001027894809</v>
      </c>
      <c r="J1939" s="1386">
        <f t="shared" si="284"/>
        <v>0</v>
      </c>
      <c r="K1939" s="889"/>
      <c r="L1939" s="1590">
        <v>173</v>
      </c>
      <c r="M1939" s="1589"/>
      <c r="N1939" s="1591" t="s">
        <v>1806</v>
      </c>
      <c r="O1939" s="1592" t="s">
        <v>4841</v>
      </c>
      <c r="P1939" s="910">
        <f t="shared" si="285"/>
        <v>66</v>
      </c>
      <c r="Q1939" s="910">
        <f t="shared" si="286"/>
        <v>173</v>
      </c>
      <c r="R1939" s="1344">
        <f t="shared" si="287"/>
        <v>4.5</v>
      </c>
      <c r="S1939" s="1344">
        <f>(1/9)*cnst_fish!$C$7*(1/cnst_fish!$C$8)^(R1939-1)</f>
        <v>445.96223412630997</v>
      </c>
      <c r="T1939" s="1362">
        <f t="shared" si="288"/>
        <v>6665.7426936754573</v>
      </c>
      <c r="W1939" s="1612"/>
      <c r="X1939" s="1612"/>
      <c r="Y1939" s="1613"/>
      <c r="Z1939" s="1614"/>
      <c r="AA1939" s="1614"/>
      <c r="AB1939" s="1615"/>
      <c r="AC1939" s="1615"/>
      <c r="AD1939" s="583"/>
      <c r="AE1939" s="583"/>
    </row>
    <row r="1940" spans="1:31" ht="12.75" customHeight="1">
      <c r="A1940" s="1385" t="s">
        <v>3445</v>
      </c>
      <c r="B1940" s="19" t="s">
        <v>2853</v>
      </c>
      <c r="C1940" s="1383">
        <v>18586</v>
      </c>
      <c r="D1940" s="1589"/>
      <c r="E1940" s="1589"/>
      <c r="F1940" s="1344">
        <f>(1/S1940)*cnst_fish!$C$6</f>
        <v>3.1556646698079359E-2</v>
      </c>
      <c r="G1940" s="719">
        <f t="shared" si="276"/>
        <v>1</v>
      </c>
      <c r="H1940" s="719">
        <f t="shared" si="276"/>
        <v>0.367192066876738</v>
      </c>
      <c r="I1940" s="719">
        <f t="shared" si="283"/>
        <v>0</v>
      </c>
      <c r="J1940" s="1386">
        <f t="shared" si="284"/>
        <v>0</v>
      </c>
      <c r="K1940" s="889"/>
      <c r="L1940" s="1590">
        <v>745</v>
      </c>
      <c r="M1940" s="1589"/>
      <c r="N1940" s="1591" t="s">
        <v>1806</v>
      </c>
      <c r="O1940" s="1592" t="s">
        <v>4841</v>
      </c>
      <c r="P1940" s="910">
        <f t="shared" si="285"/>
        <v>0</v>
      </c>
      <c r="Q1940" s="910">
        <f t="shared" si="286"/>
        <v>745</v>
      </c>
      <c r="R1940" s="1344">
        <f t="shared" si="287"/>
        <v>3.98</v>
      </c>
      <c r="S1940" s="1344">
        <f>(1/9)*cnst_fish!$C$7*(1/cnst_fish!$C$8)^(R1940-1)</f>
        <v>134.67844161840773</v>
      </c>
      <c r="T1940" s="1362">
        <f t="shared" si="288"/>
        <v>8668.7946422336263</v>
      </c>
      <c r="W1940" s="1612"/>
      <c r="X1940" s="1612"/>
      <c r="Y1940" s="1613"/>
      <c r="Z1940" s="1614"/>
      <c r="AA1940" s="1614"/>
      <c r="AB1940" s="1615"/>
      <c r="AC1940" s="1615"/>
      <c r="AD1940" s="583"/>
      <c r="AE1940" s="583"/>
    </row>
    <row r="1941" spans="1:31" ht="12.75" customHeight="1">
      <c r="A1941" s="1385" t="s">
        <v>3419</v>
      </c>
      <c r="B1941" s="19" t="s">
        <v>3923</v>
      </c>
      <c r="C1941" s="1383">
        <v>2250</v>
      </c>
      <c r="D1941" s="1589"/>
      <c r="E1941" s="1589"/>
      <c r="F1941" s="1344">
        <f>(1/S1941)*cnst_fish!$C$6</f>
        <v>9.5299549485983424E-3</v>
      </c>
      <c r="G1941" s="719">
        <f t="shared" si="276"/>
        <v>1</v>
      </c>
      <c r="H1941" s="719">
        <f t="shared" si="276"/>
        <v>0.367192066876738</v>
      </c>
      <c r="I1941" s="719">
        <f t="shared" si="283"/>
        <v>0</v>
      </c>
      <c r="J1941" s="1386">
        <f t="shared" si="284"/>
        <v>0</v>
      </c>
      <c r="K1941" s="889"/>
      <c r="L1941" s="1590">
        <v>11677</v>
      </c>
      <c r="M1941" s="1589"/>
      <c r="N1941" s="1591" t="s">
        <v>1806</v>
      </c>
      <c r="O1941" s="1592" t="s">
        <v>4841</v>
      </c>
      <c r="P1941" s="910">
        <f t="shared" si="285"/>
        <v>0</v>
      </c>
      <c r="Q1941" s="910">
        <f t="shared" si="286"/>
        <v>11677</v>
      </c>
      <c r="R1941" s="1344">
        <f t="shared" si="287"/>
        <v>4.5</v>
      </c>
      <c r="S1941" s="1344">
        <f>(1/9)*cnst_fish!$C$7*(1/cnst_fish!$C$8)^(R1941-1)</f>
        <v>445.96223412630997</v>
      </c>
      <c r="T1941" s="1362">
        <f t="shared" si="288"/>
        <v>449918.36667079956</v>
      </c>
      <c r="W1941" s="1612"/>
      <c r="X1941" s="1612"/>
      <c r="Y1941" s="1613"/>
      <c r="Z1941" s="1614"/>
      <c r="AA1941" s="1614"/>
      <c r="AB1941" s="1615"/>
      <c r="AC1941" s="1615"/>
      <c r="AD1941" s="583"/>
      <c r="AE1941" s="583"/>
    </row>
    <row r="1942" spans="1:31" ht="12.75" customHeight="1">
      <c r="A1942" s="1385" t="s">
        <v>1951</v>
      </c>
      <c r="B1942" s="19" t="s">
        <v>2735</v>
      </c>
      <c r="C1942" s="1383">
        <v>18711</v>
      </c>
      <c r="D1942" s="1589"/>
      <c r="E1942" s="1589"/>
      <c r="F1942" s="1344">
        <f>(1/S1942)*cnst_fish!$C$6</f>
        <v>3.1663335279055209</v>
      </c>
      <c r="G1942" s="719">
        <f t="shared" si="276"/>
        <v>1</v>
      </c>
      <c r="H1942" s="719">
        <f t="shared" si="276"/>
        <v>0.367192066876738</v>
      </c>
      <c r="I1942" s="719">
        <f t="shared" si="283"/>
        <v>0</v>
      </c>
      <c r="J1942" s="1386">
        <f t="shared" si="284"/>
        <v>0</v>
      </c>
      <c r="K1942" s="889"/>
      <c r="L1942" s="1590">
        <v>114</v>
      </c>
      <c r="M1942" s="1589"/>
      <c r="N1942" s="1591" t="s">
        <v>1804</v>
      </c>
      <c r="O1942" s="1592" t="s">
        <v>4851</v>
      </c>
      <c r="P1942" s="910">
        <f t="shared" si="285"/>
        <v>0</v>
      </c>
      <c r="Q1942" s="910">
        <f t="shared" si="286"/>
        <v>114</v>
      </c>
      <c r="R1942" s="1344">
        <f t="shared" si="287"/>
        <v>1.9785341879407026</v>
      </c>
      <c r="S1942" s="1344">
        <f>(1/9)*cnst_fish!$C$7*(1/cnst_fish!$C$8)^(R1942-1)</f>
        <v>1.3422464697871885</v>
      </c>
      <c r="T1942" s="1362">
        <f t="shared" si="288"/>
        <v>13.220305206330485</v>
      </c>
      <c r="W1942" s="1612"/>
      <c r="X1942" s="1612"/>
      <c r="Y1942" s="1613"/>
      <c r="Z1942" s="1614"/>
      <c r="AA1942" s="1614"/>
      <c r="AB1942" s="1615"/>
      <c r="AC1942" s="1615"/>
      <c r="AD1942" s="583"/>
      <c r="AE1942" s="583"/>
    </row>
    <row r="1943" spans="1:31" ht="12.75" customHeight="1">
      <c r="A1943" s="1385" t="s">
        <v>4279</v>
      </c>
      <c r="B1943" s="19" t="s">
        <v>578</v>
      </c>
      <c r="C1943" s="1383">
        <v>3254</v>
      </c>
      <c r="D1943" s="1589"/>
      <c r="E1943" s="1589"/>
      <c r="F1943" s="1344">
        <f>(1/S1943)*cnst_fish!$C$6</f>
        <v>0.10211530705467774</v>
      </c>
      <c r="G1943" s="719">
        <f t="shared" si="276"/>
        <v>1</v>
      </c>
      <c r="H1943" s="719">
        <f t="shared" si="276"/>
        <v>0.367192066876738</v>
      </c>
      <c r="I1943" s="719">
        <f t="shared" si="283"/>
        <v>0</v>
      </c>
      <c r="J1943" s="1386">
        <f t="shared" si="284"/>
        <v>0</v>
      </c>
      <c r="K1943" s="889"/>
      <c r="L1943" s="1590">
        <v>46</v>
      </c>
      <c r="M1943" s="1589"/>
      <c r="N1943" s="1591" t="s">
        <v>1806</v>
      </c>
      <c r="O1943" s="1592" t="s">
        <v>4841</v>
      </c>
      <c r="P1943" s="910">
        <f t="shared" si="285"/>
        <v>0</v>
      </c>
      <c r="Q1943" s="910">
        <f t="shared" si="286"/>
        <v>46</v>
      </c>
      <c r="R1943" s="1344">
        <f t="shared" si="287"/>
        <v>3.47</v>
      </c>
      <c r="S1943" s="1344">
        <f>(1/9)*cnst_fish!$C$7*(1/cnst_fish!$C$8)^(R1943-1)</f>
        <v>41.619617299141382</v>
      </c>
      <c r="T1943" s="1362">
        <f t="shared" si="288"/>
        <v>165.40943335053319</v>
      </c>
      <c r="W1943" s="1612"/>
      <c r="X1943" s="1612"/>
      <c r="Y1943" s="1613"/>
      <c r="Z1943" s="1614"/>
      <c r="AA1943" s="1614"/>
      <c r="AB1943" s="1615"/>
      <c r="AC1943" s="1615"/>
      <c r="AD1943" s="583"/>
      <c r="AE1943" s="583"/>
    </row>
    <row r="1944" spans="1:31" ht="12.75" customHeight="1">
      <c r="A1944" s="1385" t="s">
        <v>3833</v>
      </c>
      <c r="B1944" s="19" t="s">
        <v>2035</v>
      </c>
      <c r="C1944" s="1383">
        <v>2793</v>
      </c>
      <c r="D1944" s="1589"/>
      <c r="E1944" s="1589"/>
      <c r="F1944" s="1344">
        <f>(1/S1944)*cnst_fish!$C$6</f>
        <v>30.136363636363644</v>
      </c>
      <c r="G1944" s="719">
        <f t="shared" si="276"/>
        <v>1</v>
      </c>
      <c r="H1944" s="719">
        <f t="shared" si="276"/>
        <v>0.367192066876738</v>
      </c>
      <c r="I1944" s="719">
        <f t="shared" si="283"/>
        <v>0</v>
      </c>
      <c r="J1944" s="1386">
        <f t="shared" si="284"/>
        <v>0</v>
      </c>
      <c r="K1944" s="889"/>
      <c r="L1944" s="1590">
        <v>209</v>
      </c>
      <c r="M1944" s="1589"/>
      <c r="N1944" s="1591" t="s">
        <v>1808</v>
      </c>
      <c r="O1944" s="1592" t="s">
        <v>4831</v>
      </c>
      <c r="P1944" s="910">
        <f t="shared" si="285"/>
        <v>0</v>
      </c>
      <c r="Q1944" s="910">
        <f t="shared" si="286"/>
        <v>209</v>
      </c>
      <c r="R1944" s="1344">
        <f t="shared" si="287"/>
        <v>1</v>
      </c>
      <c r="S1944" s="1344">
        <f>(1/9)*cnst_fish!$C$7*(1/cnst_fish!$C$8)^(R1944-1)</f>
        <v>0.141025641025641</v>
      </c>
      <c r="T1944" s="1362">
        <f t="shared" si="288"/>
        <v>2.5465295980380707</v>
      </c>
      <c r="W1944" s="1612"/>
      <c r="X1944" s="1612"/>
      <c r="Y1944" s="1613"/>
      <c r="Z1944" s="1614"/>
      <c r="AA1944" s="1614"/>
      <c r="AB1944" s="1615"/>
      <c r="AC1944" s="1615"/>
      <c r="AD1944" s="583"/>
      <c r="AE1944" s="583"/>
    </row>
    <row r="1945" spans="1:31" ht="12.75" customHeight="1">
      <c r="A1945" s="1588" t="s">
        <v>8616</v>
      </c>
      <c r="B1945" s="1586" t="s">
        <v>8617</v>
      </c>
      <c r="C1945" s="1383">
        <v>16068</v>
      </c>
      <c r="D1945" s="1589"/>
      <c r="E1945" s="1589"/>
      <c r="F1945" s="1344">
        <f>(1/S1945)*cnst_fish!$C$6</f>
        <v>9.5299549485983424E-3</v>
      </c>
      <c r="G1945" s="719">
        <f t="shared" si="276"/>
        <v>1</v>
      </c>
      <c r="H1945" s="719">
        <f t="shared" si="276"/>
        <v>0.367192066876738</v>
      </c>
      <c r="I1945" s="719">
        <f t="shared" si="283"/>
        <v>0</v>
      </c>
      <c r="J1945" s="1386">
        <f t="shared" si="284"/>
        <v>0</v>
      </c>
      <c r="K1945" s="889"/>
      <c r="L1945" s="1590"/>
      <c r="M1945" s="1589">
        <v>801</v>
      </c>
      <c r="N1945" s="1591" t="s">
        <v>1806</v>
      </c>
      <c r="O1945" s="1592" t="s">
        <v>4845</v>
      </c>
      <c r="P1945" s="910">
        <f t="shared" si="285"/>
        <v>0</v>
      </c>
      <c r="Q1945" s="910">
        <f t="shared" si="286"/>
        <v>801</v>
      </c>
      <c r="R1945" s="1344">
        <f t="shared" si="287"/>
        <v>4.5</v>
      </c>
      <c r="S1945" s="1344">
        <f>(1/9)*cnst_fish!$C$7*(1/cnst_fish!$C$8)^(R1945-1)</f>
        <v>445.96223412630997</v>
      </c>
      <c r="T1945" s="1362">
        <f t="shared" si="288"/>
        <v>30862.773974763248</v>
      </c>
      <c r="W1945" s="1616"/>
      <c r="X1945" s="1616"/>
      <c r="Y1945" s="1613"/>
      <c r="Z1945" s="1614"/>
      <c r="AA1945" s="1614"/>
      <c r="AB1945" s="1615"/>
      <c r="AC1945" s="1615"/>
      <c r="AD1945" s="583"/>
      <c r="AE1945" s="583"/>
    </row>
    <row r="1946" spans="1:31" ht="12.75" customHeight="1">
      <c r="A1946" s="1385" t="s">
        <v>3943</v>
      </c>
      <c r="B1946" s="19" t="s">
        <v>6949</v>
      </c>
      <c r="C1946" s="1383">
        <v>17523</v>
      </c>
      <c r="D1946" s="1589"/>
      <c r="E1946" s="1589"/>
      <c r="F1946" s="1344">
        <f>(1/S1946)*cnst_fish!$C$6</f>
        <v>3.2747250784370503</v>
      </c>
      <c r="G1946" s="719">
        <f t="shared" si="276"/>
        <v>1</v>
      </c>
      <c r="H1946" s="719">
        <f t="shared" si="276"/>
        <v>0.367192066876738</v>
      </c>
      <c r="I1946" s="719">
        <f t="shared" si="283"/>
        <v>0</v>
      </c>
      <c r="J1946" s="1386">
        <f t="shared" si="284"/>
        <v>0</v>
      </c>
      <c r="K1946" s="889"/>
      <c r="L1946" s="1590">
        <v>54</v>
      </c>
      <c r="M1946" s="1589"/>
      <c r="N1946" s="1591" t="s">
        <v>1804</v>
      </c>
      <c r="O1946" s="1592" t="s">
        <v>4851</v>
      </c>
      <c r="P1946" s="910">
        <f t="shared" si="285"/>
        <v>0</v>
      </c>
      <c r="Q1946" s="910">
        <f t="shared" si="286"/>
        <v>54</v>
      </c>
      <c r="R1946" s="1344">
        <f t="shared" si="287"/>
        <v>1.9639160018591753</v>
      </c>
      <c r="S1946" s="1344">
        <f>(1/9)*cnst_fish!$C$7*(1/cnst_fish!$C$8)^(R1946-1)</f>
        <v>1.2978188697380439</v>
      </c>
      <c r="T1946" s="1362">
        <f t="shared" si="288"/>
        <v>6.0549729019718113</v>
      </c>
      <c r="W1946" s="1612"/>
      <c r="X1946" s="1612"/>
      <c r="Y1946" s="1613"/>
      <c r="Z1946" s="1614"/>
      <c r="AA1946" s="1614"/>
      <c r="AB1946" s="1615"/>
      <c r="AC1946" s="1615"/>
      <c r="AD1946" s="583"/>
      <c r="AE1946" s="583"/>
    </row>
    <row r="1947" spans="1:31" ht="12.75" customHeight="1">
      <c r="A1947" s="1387" t="s">
        <v>3563</v>
      </c>
      <c r="B1947" s="722" t="s">
        <v>6950</v>
      </c>
      <c r="C1947" s="845">
        <v>17524</v>
      </c>
      <c r="D1947" s="1237"/>
      <c r="E1947" s="1237"/>
      <c r="F1947" s="729">
        <f>(1/S1947)*cnst_fish!$C$6</f>
        <v>3.2747250784370503</v>
      </c>
      <c r="G1947" s="721">
        <f t="shared" si="276"/>
        <v>1</v>
      </c>
      <c r="H1947" s="721">
        <f t="shared" si="276"/>
        <v>0.367192066876738</v>
      </c>
      <c r="I1947" s="721">
        <f t="shared" si="283"/>
        <v>0</v>
      </c>
      <c r="J1947" s="576">
        <f t="shared" si="284"/>
        <v>0</v>
      </c>
      <c r="K1947" s="889"/>
      <c r="L1947" s="1461">
        <v>42202</v>
      </c>
      <c r="M1947" s="1237"/>
      <c r="N1947" s="1242" t="s">
        <v>1804</v>
      </c>
      <c r="O1947" s="1243" t="s">
        <v>4851</v>
      </c>
      <c r="P1947" s="712">
        <f t="shared" si="285"/>
        <v>0</v>
      </c>
      <c r="Q1947" s="712">
        <f t="shared" si="286"/>
        <v>42202</v>
      </c>
      <c r="R1947" s="729">
        <f t="shared" si="287"/>
        <v>1.9639160018591753</v>
      </c>
      <c r="S1947" s="729">
        <f>(1/9)*cnst_fish!$C$7*(1/cnst_fish!$C$8)^(R1947-1)</f>
        <v>1.2978188697380439</v>
      </c>
      <c r="T1947" s="1363">
        <f t="shared" si="288"/>
        <v>4732.0734520187843</v>
      </c>
      <c r="W1947" s="1612"/>
      <c r="X1947" s="1612"/>
      <c r="Y1947" s="1613"/>
      <c r="Z1947" s="1614"/>
      <c r="AA1947" s="1614"/>
      <c r="AB1947" s="1615"/>
      <c r="AC1947" s="1615"/>
      <c r="AD1947" s="583"/>
      <c r="AE1947" s="583"/>
    </row>
  </sheetData>
  <phoneticPr fontId="5" type="noConversion"/>
  <hyperlinks>
    <hyperlink ref="D2" location="figis_capture_marine_n!A1" tooltip="Go to figis_capture_marine_n" display="figis_capture_marine_n"/>
    <hyperlink ref="F2" location="eqf" tooltip="Go to eqf" display="eqf"/>
    <hyperlink ref="D3" location="ef_fish!A1" tooltip="Go to ef_fish" display="ef_fish"/>
    <hyperlink ref="G2" location="iyf" display="iyf"/>
    <hyperlink ref="H2" location="constant_fish_trophic" display="constant_fish_trophic"/>
    <hyperlink ref="E2" location="fish_yield_w" display="fish_capture_yield"/>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rgb="FF0000FF"/>
    <pageSetUpPr autoPageBreaks="0"/>
  </sheetPr>
  <dimension ref="A1:N494"/>
  <sheetViews>
    <sheetView workbookViewId="0">
      <selection activeCell="A65536" sqref="A65536"/>
    </sheetView>
  </sheetViews>
  <sheetFormatPr baseColWidth="10" defaultColWidth="9.1640625" defaultRowHeight="12.75" customHeight="1" x14ac:dyDescent="0"/>
  <cols>
    <col min="1" max="1" width="62.5" style="889" customWidth="1"/>
    <col min="2" max="2" width="15.6640625" style="53" customWidth="1"/>
    <col min="3" max="3" width="19.6640625" style="53" customWidth="1"/>
    <col min="4" max="4" width="19.6640625" style="814" customWidth="1"/>
    <col min="5" max="5" width="16.6640625" style="53" customWidth="1"/>
    <col min="6" max="6" width="16.6640625" style="814" customWidth="1"/>
    <col min="7" max="9" width="16.6640625" style="53" customWidth="1"/>
    <col min="10" max="10" width="16.6640625" style="814" customWidth="1"/>
    <col min="11" max="12" width="24.6640625" style="53" customWidth="1"/>
    <col min="13" max="13" width="9.1640625" style="53"/>
    <col min="14" max="14" width="9.1640625" style="601"/>
    <col min="15" max="16384" width="9.1640625" style="53"/>
  </cols>
  <sheetData>
    <row r="1" spans="1:14" ht="12.75" customHeight="1">
      <c r="A1" s="889" t="s">
        <v>467</v>
      </c>
      <c r="B1" s="185"/>
      <c r="C1" s="185"/>
      <c r="D1" s="185"/>
      <c r="E1" s="185"/>
      <c r="F1" s="185"/>
      <c r="G1" s="185"/>
      <c r="H1" s="185"/>
      <c r="I1" s="185"/>
      <c r="J1" s="185"/>
      <c r="K1" s="185"/>
      <c r="L1" s="185"/>
      <c r="N1" s="53"/>
    </row>
    <row r="2" spans="1:14" ht="12.75" customHeight="1">
      <c r="B2" s="54" t="s">
        <v>1005</v>
      </c>
      <c r="C2" s="1064" t="s">
        <v>1844</v>
      </c>
      <c r="D2" s="1064" t="s">
        <v>1841</v>
      </c>
      <c r="E2" s="1064" t="s">
        <v>2117</v>
      </c>
      <c r="F2" s="1064" t="s">
        <v>6348</v>
      </c>
      <c r="I2" s="185"/>
      <c r="J2" s="185"/>
      <c r="N2" s="53"/>
    </row>
    <row r="3" spans="1:14" ht="12.75" customHeight="1">
      <c r="B3" s="54" t="s">
        <v>1006</v>
      </c>
      <c r="C3" s="1064" t="s">
        <v>1839</v>
      </c>
      <c r="D3" s="1064" t="s">
        <v>0</v>
      </c>
      <c r="E3" s="1064" t="s">
        <v>5416</v>
      </c>
      <c r="F3" s="1064"/>
      <c r="G3" s="125"/>
      <c r="I3" s="185"/>
      <c r="J3" s="185"/>
      <c r="K3" s="185"/>
      <c r="L3" s="185"/>
      <c r="N3" s="53"/>
    </row>
    <row r="4" spans="1:14" ht="12.75" customHeight="1">
      <c r="N4" s="53"/>
    </row>
    <row r="5" spans="1:14" ht="12">
      <c r="A5" s="302" t="s">
        <v>1445</v>
      </c>
      <c r="B5" s="500" t="s">
        <v>515</v>
      </c>
      <c r="C5" s="500" t="s">
        <v>5570</v>
      </c>
      <c r="D5" s="500" t="s">
        <v>1025</v>
      </c>
      <c r="E5" s="304" t="s">
        <v>7139</v>
      </c>
      <c r="F5" s="500" t="s">
        <v>7138</v>
      </c>
      <c r="G5" s="513" t="s">
        <v>6223</v>
      </c>
      <c r="H5" s="304" t="s">
        <v>1855</v>
      </c>
      <c r="I5" s="303" t="s">
        <v>4970</v>
      </c>
      <c r="J5" s="841" t="s">
        <v>1042</v>
      </c>
      <c r="K5" s="1636" t="s">
        <v>7136</v>
      </c>
      <c r="L5" s="1637" t="s">
        <v>7137</v>
      </c>
      <c r="N5" s="53"/>
    </row>
    <row r="6" spans="1:14" ht="12">
      <c r="A6" s="310" t="s">
        <v>548</v>
      </c>
      <c r="B6" s="691" t="s">
        <v>548</v>
      </c>
      <c r="C6" s="691" t="s">
        <v>4965</v>
      </c>
      <c r="D6" s="691" t="s">
        <v>4965</v>
      </c>
      <c r="E6" s="714" t="s">
        <v>1834</v>
      </c>
      <c r="F6" s="691" t="s">
        <v>1834</v>
      </c>
      <c r="G6" s="714" t="s">
        <v>548</v>
      </c>
      <c r="H6" s="714" t="s">
        <v>4969</v>
      </c>
      <c r="I6" s="842" t="s">
        <v>732</v>
      </c>
      <c r="J6" s="309" t="s">
        <v>732</v>
      </c>
      <c r="K6" s="1638" t="s">
        <v>732</v>
      </c>
      <c r="L6" s="1639" t="s">
        <v>732</v>
      </c>
      <c r="N6" s="53"/>
    </row>
    <row r="7" spans="1:14" ht="15" customHeight="1">
      <c r="A7" s="1586" t="s">
        <v>8730</v>
      </c>
      <c r="B7" s="1606">
        <v>307.89</v>
      </c>
      <c r="C7" s="1635">
        <v>240</v>
      </c>
      <c r="D7" s="1634">
        <v>312</v>
      </c>
      <c r="E7" s="43">
        <f t="shared" ref="E7:E70" si="0">VLOOKUP(B7,fish_commodity_yield,5,FALSE)</f>
        <v>0.12083018201159709</v>
      </c>
      <c r="F7" s="43">
        <f t="shared" ref="F7:F70" si="1">VLOOKUP(B7,fish_commodity_yield,6,FALSE)</f>
        <v>0.32500127536564577</v>
      </c>
      <c r="G7" s="1344">
        <f>VLOOKUP("Marine Fishing Grounds",iyf,2,FALSE)</f>
        <v>1</v>
      </c>
      <c r="H7" s="1344">
        <f>VLOOKUP("Marine Fishing Grounds",eqf,2,FALSE)</f>
        <v>0.367192066876738</v>
      </c>
      <c r="I7" s="1344">
        <f t="shared" ref="I7:I38" si="2">IFERROR(C7/E7*H7*G7,0)</f>
        <v>729.33843666608823</v>
      </c>
      <c r="J7" s="1344">
        <f t="shared" ref="J7:J38" si="3">IFERROR(D7/F7*H7*G7,0)</f>
        <v>352.50300090869189</v>
      </c>
      <c r="K7" s="448">
        <f t="shared" ref="K7:K70" si="4">VLOOKUP(B7,fish_commodity_yield,8,FALSE)*C7</f>
        <v>33.436966364360231</v>
      </c>
      <c r="L7" s="159">
        <f t="shared" ref="L7:L70" si="5">VLOOKUP(B7,fish_commodity_yield,9,FALSE)*D7</f>
        <v>43.468056273668303</v>
      </c>
      <c r="N7" s="1607"/>
    </row>
    <row r="8" spans="1:14" ht="15" customHeight="1">
      <c r="A8" s="1586" t="s">
        <v>8731</v>
      </c>
      <c r="B8" s="1606">
        <v>307.81</v>
      </c>
      <c r="C8" s="1633">
        <v>81</v>
      </c>
      <c r="D8" s="1236">
        <v>116</v>
      </c>
      <c r="E8" s="43">
        <f t="shared" si="0"/>
        <v>8.9679489122291789E-2</v>
      </c>
      <c r="F8" s="43">
        <f t="shared" si="1"/>
        <v>0.24121413916340045</v>
      </c>
      <c r="G8" s="1344">
        <f>$G$7</f>
        <v>1</v>
      </c>
      <c r="H8" s="1344">
        <f>$H$7</f>
        <v>0.367192066876738</v>
      </c>
      <c r="I8" s="1344">
        <f t="shared" si="2"/>
        <v>331.65395686473215</v>
      </c>
      <c r="J8" s="1344">
        <f t="shared" si="3"/>
        <v>176.5828483580222</v>
      </c>
      <c r="K8" s="449">
        <f t="shared" si="4"/>
        <v>8.3756465384634318</v>
      </c>
      <c r="L8" s="902">
        <f t="shared" si="5"/>
        <v>11.994753067429112</v>
      </c>
      <c r="M8" s="889"/>
      <c r="N8" s="1607"/>
    </row>
    <row r="9" spans="1:14" ht="15" customHeight="1">
      <c r="A9" s="1586" t="s">
        <v>8620</v>
      </c>
      <c r="B9" s="1606">
        <v>1605.57</v>
      </c>
      <c r="C9" s="1236">
        <v>159</v>
      </c>
      <c r="D9" s="1236">
        <v>43</v>
      </c>
      <c r="E9" s="43">
        <f t="shared" si="0"/>
        <v>0.22009367576844149</v>
      </c>
      <c r="F9" s="43">
        <f t="shared" si="1"/>
        <v>0.59199385562285256</v>
      </c>
      <c r="G9" s="1344">
        <f t="shared" ref="G9:G72" si="6">$G$7</f>
        <v>1</v>
      </c>
      <c r="H9" s="1344">
        <f t="shared" ref="H9:H72" si="7">$H$7</f>
        <v>0.367192066876738</v>
      </c>
      <c r="I9" s="1344">
        <f t="shared" si="2"/>
        <v>265.26677074913374</v>
      </c>
      <c r="J9" s="1344">
        <f t="shared" si="3"/>
        <v>26.671322220206882</v>
      </c>
      <c r="K9" s="449">
        <f t="shared" si="4"/>
        <v>40.350125036173402</v>
      </c>
      <c r="L9" s="902">
        <f t="shared" si="5"/>
        <v>10.912297965757586</v>
      </c>
      <c r="M9" s="889"/>
      <c r="N9" s="1607"/>
    </row>
    <row r="10" spans="1:14" ht="15" customHeight="1">
      <c r="A10" s="1586" t="s">
        <v>6230</v>
      </c>
      <c r="B10" s="1606">
        <v>1302.31</v>
      </c>
      <c r="C10" s="1236">
        <v>1420</v>
      </c>
      <c r="D10" s="1236">
        <v>191</v>
      </c>
      <c r="E10" s="43">
        <f t="shared" si="0"/>
        <v>0</v>
      </c>
      <c r="F10" s="43">
        <f t="shared" si="1"/>
        <v>0</v>
      </c>
      <c r="G10" s="1344">
        <f t="shared" si="6"/>
        <v>1</v>
      </c>
      <c r="H10" s="1344">
        <f t="shared" si="7"/>
        <v>0.367192066876738</v>
      </c>
      <c r="I10" s="1344">
        <f t="shared" si="2"/>
        <v>0</v>
      </c>
      <c r="J10" s="1344">
        <f t="shared" si="3"/>
        <v>0</v>
      </c>
      <c r="K10" s="449">
        <f t="shared" si="4"/>
        <v>0</v>
      </c>
      <c r="L10" s="902">
        <f t="shared" si="5"/>
        <v>0</v>
      </c>
      <c r="M10" s="889"/>
      <c r="N10" s="1607"/>
    </row>
    <row r="11" spans="1:14" ht="15" customHeight="1">
      <c r="A11" s="1586" t="s">
        <v>8632</v>
      </c>
      <c r="B11" s="1606">
        <v>304.75</v>
      </c>
      <c r="C11" s="1236">
        <v>52577</v>
      </c>
      <c r="D11" s="1236">
        <v>114888</v>
      </c>
      <c r="E11" s="43">
        <f t="shared" si="0"/>
        <v>6.9114566294985781E-3</v>
      </c>
      <c r="F11" s="43">
        <f t="shared" si="1"/>
        <v>9.7356772782209999E-3</v>
      </c>
      <c r="G11" s="1344">
        <f t="shared" si="6"/>
        <v>1</v>
      </c>
      <c r="H11" s="1344">
        <f t="shared" si="7"/>
        <v>0.367192066876738</v>
      </c>
      <c r="I11" s="1344">
        <f t="shared" si="2"/>
        <v>2793312.370330085</v>
      </c>
      <c r="J11" s="1344">
        <f t="shared" si="3"/>
        <v>4333130.708194891</v>
      </c>
      <c r="K11" s="449">
        <f t="shared" si="4"/>
        <v>43.725703034909266</v>
      </c>
      <c r="L11" s="902">
        <f t="shared" si="5"/>
        <v>95.546694757682175</v>
      </c>
      <c r="M11" s="889"/>
      <c r="N11" s="1607"/>
    </row>
    <row r="12" spans="1:14" ht="15" customHeight="1">
      <c r="A12" s="1586" t="s">
        <v>8622</v>
      </c>
      <c r="B12" s="1606">
        <v>302.55</v>
      </c>
      <c r="C12" s="1236">
        <v>25</v>
      </c>
      <c r="D12" s="1236">
        <v>33</v>
      </c>
      <c r="E12" s="43">
        <f t="shared" si="0"/>
        <v>1.1623717630244369E-2</v>
      </c>
      <c r="F12" s="43">
        <f t="shared" si="1"/>
        <v>1.6373504123317777E-2</v>
      </c>
      <c r="G12" s="1344">
        <f t="shared" si="6"/>
        <v>1</v>
      </c>
      <c r="H12" s="1344">
        <f t="shared" si="7"/>
        <v>0.367192066876738</v>
      </c>
      <c r="I12" s="1344">
        <f t="shared" si="2"/>
        <v>789.74747700624073</v>
      </c>
      <c r="J12" s="1344">
        <f t="shared" si="3"/>
        <v>740.0577247038924</v>
      </c>
      <c r="K12" s="449">
        <f t="shared" si="4"/>
        <v>3.4966846883163774E-2</v>
      </c>
      <c r="L12" s="902">
        <f t="shared" si="5"/>
        <v>4.6156237885776184E-2</v>
      </c>
      <c r="M12" s="889"/>
      <c r="N12" s="1607"/>
    </row>
    <row r="13" spans="1:14" ht="15" customHeight="1">
      <c r="A13" s="1586" t="s">
        <v>8696</v>
      </c>
      <c r="B13" s="1606">
        <v>303.67</v>
      </c>
      <c r="C13" s="1236">
        <v>755</v>
      </c>
      <c r="D13" s="1236">
        <v>63683</v>
      </c>
      <c r="E13" s="43">
        <f t="shared" si="0"/>
        <v>7.513673827285035E-3</v>
      </c>
      <c r="F13" s="43">
        <f t="shared" si="1"/>
        <v>1.0583977803470606E-2</v>
      </c>
      <c r="G13" s="1344">
        <f t="shared" si="6"/>
        <v>1</v>
      </c>
      <c r="H13" s="1344">
        <f t="shared" si="7"/>
        <v>0.367192066876738</v>
      </c>
      <c r="I13" s="1344">
        <f t="shared" si="2"/>
        <v>36896.732126594128</v>
      </c>
      <c r="J13" s="1344">
        <f t="shared" si="3"/>
        <v>2209367.1046100892</v>
      </c>
      <c r="K13" s="449">
        <f t="shared" si="4"/>
        <v>0.68260694351917617</v>
      </c>
      <c r="L13" s="902">
        <f t="shared" si="5"/>
        <v>57.576765541896293</v>
      </c>
      <c r="M13" s="889"/>
      <c r="N13" s="1607"/>
    </row>
    <row r="14" spans="1:14" ht="15" customHeight="1">
      <c r="A14" s="1586" t="s">
        <v>8624</v>
      </c>
      <c r="B14" s="1606">
        <v>304.94</v>
      </c>
      <c r="C14" s="1236">
        <v>1200</v>
      </c>
      <c r="D14" s="1236">
        <v>166660</v>
      </c>
      <c r="E14" s="43">
        <f t="shared" si="0"/>
        <v>4.1161469816543318E-3</v>
      </c>
      <c r="F14" s="43">
        <f t="shared" si="1"/>
        <v>5.7981234334993333E-3</v>
      </c>
      <c r="G14" s="1344">
        <f t="shared" si="6"/>
        <v>1</v>
      </c>
      <c r="H14" s="1344">
        <f t="shared" si="7"/>
        <v>0.367192066876738</v>
      </c>
      <c r="I14" s="1344">
        <f t="shared" si="2"/>
        <v>107049.25801143055</v>
      </c>
      <c r="J14" s="1344">
        <f t="shared" si="3"/>
        <v>10554488.97691774</v>
      </c>
      <c r="K14" s="449">
        <f t="shared" si="4"/>
        <v>0.59435173152496301</v>
      </c>
      <c r="L14" s="902">
        <f t="shared" si="5"/>
        <v>82.545549646625275</v>
      </c>
      <c r="M14" s="889"/>
      <c r="N14" s="1607"/>
    </row>
    <row r="15" spans="1:14" ht="15" customHeight="1">
      <c r="A15" s="1586" t="s">
        <v>6231</v>
      </c>
      <c r="B15" s="1606">
        <v>302.31</v>
      </c>
      <c r="C15" s="1236">
        <v>857</v>
      </c>
      <c r="D15" s="1236">
        <v>1481</v>
      </c>
      <c r="E15" s="43">
        <f t="shared" si="0"/>
        <v>1.1753591973572983E-2</v>
      </c>
      <c r="F15" s="43">
        <f t="shared" si="1"/>
        <v>1.1174426707199481E-2</v>
      </c>
      <c r="G15" s="1344">
        <f t="shared" si="6"/>
        <v>1</v>
      </c>
      <c r="H15" s="1344">
        <f t="shared" si="7"/>
        <v>0.367192066876738</v>
      </c>
      <c r="I15" s="1344">
        <f t="shared" si="2"/>
        <v>26773.39846583968</v>
      </c>
      <c r="J15" s="1344">
        <f t="shared" si="3"/>
        <v>48665.713713445468</v>
      </c>
      <c r="K15" s="449">
        <f t="shared" si="4"/>
        <v>5.5104293095065637</v>
      </c>
      <c r="L15" s="902">
        <f t="shared" si="5"/>
        <v>9.5226905570352631</v>
      </c>
      <c r="M15" s="889"/>
      <c r="N15" s="1607"/>
    </row>
    <row r="16" spans="1:14" ht="15" customHeight="1">
      <c r="A16" s="1586" t="s">
        <v>6232</v>
      </c>
      <c r="B16" s="1606">
        <v>303.41000000000003</v>
      </c>
      <c r="C16" s="1236">
        <v>2199</v>
      </c>
      <c r="D16" s="1236">
        <v>13740</v>
      </c>
      <c r="E16" s="43">
        <f t="shared" si="0"/>
        <v>1.0766290247792853E-2</v>
      </c>
      <c r="F16" s="43">
        <f t="shared" si="1"/>
        <v>1.0235774863794725E-2</v>
      </c>
      <c r="G16" s="1344">
        <f t="shared" si="6"/>
        <v>1</v>
      </c>
      <c r="H16" s="1344">
        <f t="shared" si="7"/>
        <v>0.367192066876738</v>
      </c>
      <c r="I16" s="1344">
        <f t="shared" si="2"/>
        <v>74998.475470924575</v>
      </c>
      <c r="J16" s="1344">
        <f t="shared" si="3"/>
        <v>492900.54402544349</v>
      </c>
      <c r="K16" s="449">
        <f t="shared" si="4"/>
        <v>12.951656465892787</v>
      </c>
      <c r="L16" s="902">
        <f t="shared" si="5"/>
        <v>80.925766185250978</v>
      </c>
      <c r="M16" s="889"/>
      <c r="N16" s="1607"/>
    </row>
    <row r="17" spans="1:14" ht="15" customHeight="1">
      <c r="A17" s="1586" t="s">
        <v>8625</v>
      </c>
      <c r="B17" s="1606">
        <v>302.42</v>
      </c>
      <c r="C17" s="1236">
        <v>28</v>
      </c>
      <c r="D17" s="1236">
        <v>939</v>
      </c>
      <c r="E17" s="43">
        <f t="shared" si="0"/>
        <v>0.35424105012890406</v>
      </c>
      <c r="F17" s="43">
        <f t="shared" si="1"/>
        <v>0.28843185966581592</v>
      </c>
      <c r="G17" s="1344">
        <f t="shared" si="6"/>
        <v>1</v>
      </c>
      <c r="H17" s="1344">
        <f t="shared" si="7"/>
        <v>0.367192066876738</v>
      </c>
      <c r="I17" s="1344">
        <f t="shared" si="2"/>
        <v>29.023677150932659</v>
      </c>
      <c r="J17" s="1344">
        <f t="shared" si="3"/>
        <v>1195.4066072893017</v>
      </c>
      <c r="K17" s="449">
        <f t="shared" si="4"/>
        <v>0</v>
      </c>
      <c r="L17" s="902">
        <f t="shared" si="5"/>
        <v>0</v>
      </c>
      <c r="M17" s="889"/>
      <c r="N17" s="1607"/>
    </row>
    <row r="18" spans="1:14" ht="15" customHeight="1">
      <c r="A18" s="1586" t="s">
        <v>6233</v>
      </c>
      <c r="B18" s="1606">
        <v>1604.16</v>
      </c>
      <c r="C18" s="1236">
        <v>2453</v>
      </c>
      <c r="D18" s="1236">
        <v>213</v>
      </c>
      <c r="E18" s="43">
        <f t="shared" si="0"/>
        <v>0.21764472108562122</v>
      </c>
      <c r="F18" s="43">
        <f t="shared" si="1"/>
        <v>0.17721173654586397</v>
      </c>
      <c r="G18" s="1344">
        <f t="shared" si="6"/>
        <v>1</v>
      </c>
      <c r="H18" s="1344">
        <f t="shared" si="7"/>
        <v>0.367192066876738</v>
      </c>
      <c r="I18" s="1344">
        <f t="shared" si="2"/>
        <v>4138.4975273270938</v>
      </c>
      <c r="J18" s="1344">
        <f t="shared" si="3"/>
        <v>441.34723675315524</v>
      </c>
      <c r="K18" s="449">
        <f t="shared" si="4"/>
        <v>0</v>
      </c>
      <c r="L18" s="902">
        <f t="shared" si="5"/>
        <v>0</v>
      </c>
      <c r="M18" s="889"/>
      <c r="N18" s="1607"/>
    </row>
    <row r="19" spans="1:14" ht="15" customHeight="1">
      <c r="A19" s="1586" t="s">
        <v>897</v>
      </c>
      <c r="B19" s="1606">
        <v>305.63</v>
      </c>
      <c r="C19" s="1236">
        <v>1052</v>
      </c>
      <c r="D19" s="1236">
        <v>74</v>
      </c>
      <c r="E19" s="43">
        <f t="shared" si="0"/>
        <v>0.27205590135702645</v>
      </c>
      <c r="F19" s="43">
        <f t="shared" si="1"/>
        <v>0.22151467068232994</v>
      </c>
      <c r="G19" s="1344">
        <f t="shared" si="6"/>
        <v>1</v>
      </c>
      <c r="H19" s="1344">
        <f t="shared" si="7"/>
        <v>0.367192066876738</v>
      </c>
      <c r="I19" s="1344">
        <f t="shared" si="2"/>
        <v>1419.8775046875185</v>
      </c>
      <c r="J19" s="1344">
        <f t="shared" si="3"/>
        <v>122.66552307881123</v>
      </c>
      <c r="K19" s="449">
        <f t="shared" si="4"/>
        <v>0</v>
      </c>
      <c r="L19" s="902">
        <f t="shared" si="5"/>
        <v>0</v>
      </c>
      <c r="M19" s="889"/>
      <c r="N19" s="1607"/>
    </row>
    <row r="20" spans="1:14" ht="15" customHeight="1">
      <c r="A20" s="1586" t="s">
        <v>8626</v>
      </c>
      <c r="B20" s="1606">
        <v>302.14</v>
      </c>
      <c r="C20" s="1236">
        <v>87037</v>
      </c>
      <c r="D20" s="1236">
        <v>7118</v>
      </c>
      <c r="E20" s="43">
        <f t="shared" si="0"/>
        <v>4.6403862671948966E-2</v>
      </c>
      <c r="F20" s="43">
        <f t="shared" si="1"/>
        <v>2.0161997636001149E-2</v>
      </c>
      <c r="G20" s="1344">
        <f t="shared" si="6"/>
        <v>1</v>
      </c>
      <c r="H20" s="1344">
        <f t="shared" si="7"/>
        <v>0.367192066876738</v>
      </c>
      <c r="I20" s="1344">
        <f t="shared" si="2"/>
        <v>688720.59532384516</v>
      </c>
      <c r="J20" s="1344">
        <f t="shared" si="3"/>
        <v>129633.6394446184</v>
      </c>
      <c r="K20" s="449">
        <f t="shared" si="4"/>
        <v>22784.78651621017</v>
      </c>
      <c r="L20" s="902">
        <f t="shared" si="5"/>
        <v>1863.3697211804633</v>
      </c>
      <c r="M20" s="889"/>
      <c r="N20" s="1607"/>
    </row>
    <row r="21" spans="1:14" ht="15" customHeight="1">
      <c r="A21" s="1586" t="s">
        <v>6234</v>
      </c>
      <c r="B21" s="1606">
        <v>303.13</v>
      </c>
      <c r="C21" s="1236">
        <v>2542</v>
      </c>
      <c r="D21" s="1236">
        <v>101</v>
      </c>
      <c r="E21" s="43">
        <f t="shared" si="0"/>
        <v>0</v>
      </c>
      <c r="F21" s="43">
        <f t="shared" si="1"/>
        <v>0</v>
      </c>
      <c r="G21" s="1344">
        <f t="shared" si="6"/>
        <v>1</v>
      </c>
      <c r="H21" s="1344">
        <f t="shared" si="7"/>
        <v>0.367192066876738</v>
      </c>
      <c r="I21" s="1344">
        <f t="shared" si="2"/>
        <v>0</v>
      </c>
      <c r="J21" s="1344">
        <f t="shared" si="3"/>
        <v>0</v>
      </c>
      <c r="K21" s="449">
        <f t="shared" si="4"/>
        <v>0</v>
      </c>
      <c r="L21" s="902">
        <f t="shared" si="5"/>
        <v>0</v>
      </c>
      <c r="M21" s="889"/>
      <c r="N21" s="1607"/>
    </row>
    <row r="22" spans="1:14" ht="15" customHeight="1">
      <c r="A22" s="1586" t="s">
        <v>3827</v>
      </c>
      <c r="B22" s="1606">
        <v>302.33999999999997</v>
      </c>
      <c r="C22" s="1236">
        <v>4025</v>
      </c>
      <c r="D22" s="1236">
        <v>147</v>
      </c>
      <c r="E22" s="43">
        <f t="shared" si="0"/>
        <v>1.1366438183902927E-2</v>
      </c>
      <c r="F22" s="43">
        <f t="shared" si="1"/>
        <v>1.0806350151810308E-2</v>
      </c>
      <c r="G22" s="1344">
        <f t="shared" si="6"/>
        <v>1</v>
      </c>
      <c r="H22" s="1344">
        <f t="shared" si="7"/>
        <v>0.367192066876738</v>
      </c>
      <c r="I22" s="1344">
        <f t="shared" si="2"/>
        <v>130027.37051541181</v>
      </c>
      <c r="J22" s="1344">
        <f t="shared" si="3"/>
        <v>4994.9551025642158</v>
      </c>
      <c r="K22" s="449">
        <f t="shared" si="4"/>
        <v>25.027892590160409</v>
      </c>
      <c r="L22" s="902">
        <f t="shared" si="5"/>
        <v>0.91406216416238018</v>
      </c>
      <c r="M22" s="889"/>
      <c r="N22" s="1607"/>
    </row>
    <row r="23" spans="1:14" ht="15" customHeight="1">
      <c r="A23" s="1586" t="s">
        <v>6235</v>
      </c>
      <c r="B23" s="1606">
        <v>303.44</v>
      </c>
      <c r="C23" s="1236">
        <v>485</v>
      </c>
      <c r="D23" s="1236">
        <v>25</v>
      </c>
      <c r="E23" s="43">
        <f t="shared" si="0"/>
        <v>1.09147305837316E-2</v>
      </c>
      <c r="F23" s="43">
        <f t="shared" si="1"/>
        <v>1.03769007134983E-2</v>
      </c>
      <c r="G23" s="1344">
        <f t="shared" si="6"/>
        <v>1</v>
      </c>
      <c r="H23" s="1344">
        <f t="shared" si="7"/>
        <v>0.367192066876738</v>
      </c>
      <c r="I23" s="1344">
        <f t="shared" si="2"/>
        <v>16316.312259750894</v>
      </c>
      <c r="J23" s="1344">
        <f t="shared" si="3"/>
        <v>884.63809429894025</v>
      </c>
      <c r="K23" s="449">
        <f t="shared" si="4"/>
        <v>2.8959346825595729</v>
      </c>
      <c r="L23" s="902">
        <f t="shared" si="5"/>
        <v>0.14927498363709138</v>
      </c>
      <c r="M23" s="889"/>
      <c r="N23" s="1607"/>
    </row>
    <row r="24" spans="1:14" ht="15" customHeight="1">
      <c r="A24" s="1586" t="s">
        <v>8627</v>
      </c>
      <c r="B24" s="1606">
        <v>302.56</v>
      </c>
      <c r="C24" s="1236">
        <v>0</v>
      </c>
      <c r="D24" s="1236">
        <v>5</v>
      </c>
      <c r="E24" s="43">
        <f t="shared" si="0"/>
        <v>1.3599749627385912E-2</v>
      </c>
      <c r="F24" s="43">
        <f t="shared" si="1"/>
        <v>1.9156999824281797E-2</v>
      </c>
      <c r="G24" s="1344">
        <f t="shared" si="6"/>
        <v>1</v>
      </c>
      <c r="H24" s="1344">
        <f t="shared" si="7"/>
        <v>0.367192066876738</v>
      </c>
      <c r="I24" s="1344">
        <f t="shared" si="2"/>
        <v>0</v>
      </c>
      <c r="J24" s="1344">
        <f t="shared" si="3"/>
        <v>95.837571186725256</v>
      </c>
      <c r="K24" s="449">
        <f t="shared" si="4"/>
        <v>0</v>
      </c>
      <c r="L24" s="902">
        <f t="shared" si="5"/>
        <v>8.1822421706603237E-3</v>
      </c>
      <c r="M24" s="889"/>
      <c r="N24" s="1607"/>
    </row>
    <row r="25" spans="1:14" ht="15" customHeight="1">
      <c r="A25" s="1586" t="s">
        <v>8628</v>
      </c>
      <c r="B25" s="1606">
        <v>303.68</v>
      </c>
      <c r="C25" s="1236">
        <v>22</v>
      </c>
      <c r="D25" s="1236">
        <v>48</v>
      </c>
      <c r="E25" s="43">
        <f t="shared" si="0"/>
        <v>1.3599749627385912E-2</v>
      </c>
      <c r="F25" s="43">
        <f t="shared" si="1"/>
        <v>1.9156999824281797E-2</v>
      </c>
      <c r="G25" s="1344">
        <f t="shared" si="6"/>
        <v>1</v>
      </c>
      <c r="H25" s="1344">
        <f t="shared" si="7"/>
        <v>0.367192066876738</v>
      </c>
      <c r="I25" s="1344">
        <f t="shared" si="2"/>
        <v>593.99810236366818</v>
      </c>
      <c r="J25" s="1344">
        <f t="shared" si="3"/>
        <v>920.04068339256253</v>
      </c>
      <c r="K25" s="449">
        <f t="shared" si="4"/>
        <v>3.6001865550905426E-2</v>
      </c>
      <c r="L25" s="902">
        <f t="shared" si="5"/>
        <v>7.8549524838339102E-2</v>
      </c>
      <c r="M25" s="889"/>
      <c r="N25" s="1607"/>
    </row>
    <row r="26" spans="1:14" ht="15" customHeight="1">
      <c r="A26" s="1586" t="s">
        <v>8746</v>
      </c>
      <c r="B26" s="1606">
        <v>302.35000000000002</v>
      </c>
      <c r="C26" s="1236">
        <v>650</v>
      </c>
      <c r="D26" s="1236">
        <v>220</v>
      </c>
      <c r="E26" s="43">
        <f t="shared" si="0"/>
        <v>6.781203179378241E-3</v>
      </c>
      <c r="F26" s="43">
        <f t="shared" si="1"/>
        <v>6.4470553414621408E-3</v>
      </c>
      <c r="G26" s="1344">
        <f t="shared" si="6"/>
        <v>1</v>
      </c>
      <c r="H26" s="1344">
        <f t="shared" si="7"/>
        <v>0.367192066876738</v>
      </c>
      <c r="I26" s="1344">
        <f t="shared" si="2"/>
        <v>35196.533293043649</v>
      </c>
      <c r="J26" s="1344">
        <f t="shared" si="3"/>
        <v>12530.101020439137</v>
      </c>
      <c r="K26" s="449">
        <f t="shared" si="4"/>
        <v>2.4113159397545463</v>
      </c>
      <c r="L26" s="902">
        <f t="shared" si="5"/>
        <v>0.81613770268615415</v>
      </c>
      <c r="M26" s="889"/>
      <c r="N26" s="1607"/>
    </row>
    <row r="27" spans="1:14" ht="15" customHeight="1">
      <c r="A27" s="1586" t="s">
        <v>8747</v>
      </c>
      <c r="B27" s="1606">
        <v>303.45</v>
      </c>
      <c r="C27" s="1236">
        <v>391</v>
      </c>
      <c r="D27" s="1236">
        <v>76</v>
      </c>
      <c r="E27" s="43">
        <f t="shared" si="0"/>
        <v>7.394430115242343E-3</v>
      </c>
      <c r="F27" s="43">
        <f t="shared" si="1"/>
        <v>7.0300651537051661E-3</v>
      </c>
      <c r="G27" s="1344">
        <f t="shared" si="6"/>
        <v>1</v>
      </c>
      <c r="H27" s="1344">
        <f t="shared" si="7"/>
        <v>0.367192066876738</v>
      </c>
      <c r="I27" s="1344">
        <f t="shared" si="2"/>
        <v>19416.249245882442</v>
      </c>
      <c r="J27" s="1344">
        <f t="shared" si="3"/>
        <v>3969.6071761047669</v>
      </c>
      <c r="K27" s="449">
        <f t="shared" si="4"/>
        <v>1.581668515085553</v>
      </c>
      <c r="L27" s="902">
        <f t="shared" si="5"/>
        <v>0.30743428937724304</v>
      </c>
      <c r="M27" s="889"/>
      <c r="N27" s="1607"/>
    </row>
    <row r="28" spans="1:14" ht="15" customHeight="1">
      <c r="A28" s="1586" t="s">
        <v>8748</v>
      </c>
      <c r="B28" s="1606">
        <v>301.94</v>
      </c>
      <c r="C28" s="1236">
        <v>1</v>
      </c>
      <c r="D28" s="1236">
        <v>161</v>
      </c>
      <c r="E28" s="43">
        <f t="shared" si="0"/>
        <v>1.3457862809741065E-2</v>
      </c>
      <c r="F28" s="43">
        <f t="shared" si="1"/>
        <v>1.2794718579743404E-2</v>
      </c>
      <c r="G28" s="1344">
        <f t="shared" si="6"/>
        <v>1</v>
      </c>
      <c r="H28" s="1344">
        <f t="shared" si="7"/>
        <v>0.367192066876738</v>
      </c>
      <c r="I28" s="1344">
        <f t="shared" si="2"/>
        <v>27.284574978053509</v>
      </c>
      <c r="J28" s="1344">
        <f t="shared" si="3"/>
        <v>4620.4941827130378</v>
      </c>
      <c r="K28" s="449">
        <f t="shared" si="4"/>
        <v>7.3622421929813477E-3</v>
      </c>
      <c r="L28" s="902">
        <f t="shared" si="5"/>
        <v>1.1853209930699971</v>
      </c>
      <c r="M28" s="889"/>
      <c r="N28" s="1607"/>
    </row>
    <row r="29" spans="1:14" ht="15" customHeight="1">
      <c r="A29" s="1586" t="s">
        <v>8629</v>
      </c>
      <c r="B29" s="1606">
        <v>302.73</v>
      </c>
      <c r="C29" s="1236">
        <v>0</v>
      </c>
      <c r="D29" s="1236">
        <v>87</v>
      </c>
      <c r="E29" s="43">
        <f t="shared" si="0"/>
        <v>1.7995890252805316</v>
      </c>
      <c r="F29" s="43">
        <f t="shared" si="1"/>
        <v>0.87538262709311898</v>
      </c>
      <c r="G29" s="1344">
        <f t="shared" si="6"/>
        <v>1</v>
      </c>
      <c r="H29" s="1344">
        <f t="shared" si="7"/>
        <v>0.367192066876738</v>
      </c>
      <c r="I29" s="1344">
        <f t="shared" si="2"/>
        <v>0</v>
      </c>
      <c r="J29" s="1344">
        <f t="shared" si="3"/>
        <v>36.493424508958157</v>
      </c>
      <c r="K29" s="449">
        <f t="shared" si="4"/>
        <v>0</v>
      </c>
      <c r="L29" s="902">
        <f t="shared" si="5"/>
        <v>34.937809294126495</v>
      </c>
      <c r="M29" s="889"/>
      <c r="N29" s="1607"/>
    </row>
    <row r="30" spans="1:14" ht="15" customHeight="1">
      <c r="A30" s="1586" t="s">
        <v>8630</v>
      </c>
      <c r="B30" s="1606">
        <v>303.25</v>
      </c>
      <c r="C30" s="1236">
        <v>125</v>
      </c>
      <c r="D30" s="1236">
        <v>303</v>
      </c>
      <c r="E30" s="43">
        <f t="shared" si="0"/>
        <v>1.6560748123393083</v>
      </c>
      <c r="F30" s="43">
        <f t="shared" si="1"/>
        <v>0.805572327638717</v>
      </c>
      <c r="G30" s="1344">
        <f t="shared" si="6"/>
        <v>1</v>
      </c>
      <c r="H30" s="1344">
        <f t="shared" si="7"/>
        <v>0.367192066876738</v>
      </c>
      <c r="I30" s="1344">
        <f t="shared" si="2"/>
        <v>27.715540395640129</v>
      </c>
      <c r="J30" s="1344">
        <f t="shared" si="3"/>
        <v>138.11198876427781</v>
      </c>
      <c r="K30" s="449">
        <f t="shared" si="4"/>
        <v>46.194795223380048</v>
      </c>
      <c r="L30" s="902">
        <f t="shared" si="5"/>
        <v>111.97618362147324</v>
      </c>
      <c r="M30" s="889"/>
      <c r="N30" s="1607"/>
    </row>
    <row r="31" spans="1:14" ht="15" customHeight="1">
      <c r="A31" s="1586" t="s">
        <v>6239</v>
      </c>
      <c r="B31" s="1606">
        <v>301.93</v>
      </c>
      <c r="C31" s="1236"/>
      <c r="D31" s="1236"/>
      <c r="E31" s="43">
        <f t="shared" si="0"/>
        <v>2.6123639370272977</v>
      </c>
      <c r="F31" s="43">
        <f t="shared" si="1"/>
        <v>1.2707445833427413</v>
      </c>
      <c r="G31" s="1344">
        <f t="shared" si="6"/>
        <v>1</v>
      </c>
      <c r="H31" s="1344">
        <f t="shared" si="7"/>
        <v>0.367192066876738</v>
      </c>
      <c r="I31" s="1344">
        <f t="shared" si="2"/>
        <v>0</v>
      </c>
      <c r="J31" s="1344">
        <f t="shared" si="3"/>
        <v>0</v>
      </c>
      <c r="K31" s="449">
        <f t="shared" si="4"/>
        <v>0</v>
      </c>
      <c r="L31" s="902">
        <f t="shared" si="5"/>
        <v>0</v>
      </c>
      <c r="M31" s="889"/>
      <c r="N31" s="1607"/>
    </row>
    <row r="32" spans="1:14" ht="15" customHeight="1">
      <c r="A32" s="1586" t="s">
        <v>8618</v>
      </c>
      <c r="B32" s="1606">
        <v>304.39</v>
      </c>
      <c r="C32" s="1236">
        <v>86</v>
      </c>
      <c r="D32" s="1236">
        <v>43</v>
      </c>
      <c r="E32" s="43">
        <f t="shared" si="0"/>
        <v>1.3276156213105834</v>
      </c>
      <c r="F32" s="43">
        <f t="shared" si="1"/>
        <v>0.64579836508591459</v>
      </c>
      <c r="G32" s="1344">
        <f t="shared" si="6"/>
        <v>1</v>
      </c>
      <c r="H32" s="1344">
        <f t="shared" si="7"/>
        <v>0.367192066876738</v>
      </c>
      <c r="I32" s="1344">
        <f t="shared" si="2"/>
        <v>23.785888961012734</v>
      </c>
      <c r="J32" s="1344">
        <f t="shared" si="3"/>
        <v>24.449208498072291</v>
      </c>
      <c r="K32" s="449">
        <f t="shared" si="4"/>
        <v>25.478501778864874</v>
      </c>
      <c r="L32" s="902">
        <f t="shared" si="5"/>
        <v>12.739250889432437</v>
      </c>
      <c r="M32" s="889"/>
      <c r="N32" s="1607"/>
    </row>
    <row r="33" spans="1:14" ht="15" customHeight="1">
      <c r="A33" s="1586" t="s">
        <v>8633</v>
      </c>
      <c r="B33" s="1606">
        <v>304.69</v>
      </c>
      <c r="C33" s="1236">
        <v>1495</v>
      </c>
      <c r="D33" s="1236">
        <v>31</v>
      </c>
      <c r="E33" s="43">
        <f t="shared" si="0"/>
        <v>1.3276156213105834</v>
      </c>
      <c r="F33" s="43">
        <f t="shared" si="1"/>
        <v>0.64579836508591459</v>
      </c>
      <c r="G33" s="1344">
        <f t="shared" si="6"/>
        <v>1</v>
      </c>
      <c r="H33" s="1344">
        <f t="shared" si="7"/>
        <v>0.367192066876738</v>
      </c>
      <c r="I33" s="1344">
        <f t="shared" si="2"/>
        <v>413.48725577574464</v>
      </c>
      <c r="J33" s="1344">
        <f t="shared" si="3"/>
        <v>17.626173568377695</v>
      </c>
      <c r="K33" s="449">
        <f t="shared" si="4"/>
        <v>442.91116464422078</v>
      </c>
      <c r="L33" s="902">
        <f t="shared" si="5"/>
        <v>9.1841111063350134</v>
      </c>
      <c r="M33" s="889"/>
      <c r="N33" s="1607"/>
    </row>
    <row r="34" spans="1:14" ht="15" customHeight="1">
      <c r="A34" s="1586" t="s">
        <v>8642</v>
      </c>
      <c r="B34" s="1606">
        <v>302.72000000000003</v>
      </c>
      <c r="C34" s="1236">
        <v>7</v>
      </c>
      <c r="D34" s="1236">
        <v>12</v>
      </c>
      <c r="E34" s="43">
        <f t="shared" si="0"/>
        <v>5.2619654448995384E-2</v>
      </c>
      <c r="F34" s="43">
        <f t="shared" si="1"/>
        <v>6.557211209160925E-2</v>
      </c>
      <c r="G34" s="1344">
        <f t="shared" si="6"/>
        <v>1</v>
      </c>
      <c r="H34" s="1344">
        <f t="shared" si="7"/>
        <v>0.367192066876738</v>
      </c>
      <c r="I34" s="1344">
        <f t="shared" si="2"/>
        <v>48.847612076750131</v>
      </c>
      <c r="J34" s="1344">
        <f t="shared" si="3"/>
        <v>67.197847712529239</v>
      </c>
      <c r="K34" s="449">
        <f t="shared" si="4"/>
        <v>0.89507276837116412</v>
      </c>
      <c r="L34" s="902">
        <f t="shared" si="5"/>
        <v>1.5344104600648527</v>
      </c>
      <c r="M34" s="889"/>
      <c r="N34" s="1607"/>
    </row>
    <row r="35" spans="1:14" ht="15" customHeight="1">
      <c r="A35" s="1586" t="s">
        <v>8621</v>
      </c>
      <c r="B35" s="1606">
        <v>304.32</v>
      </c>
      <c r="C35" s="1236">
        <v>9702</v>
      </c>
      <c r="D35" s="1236">
        <v>249</v>
      </c>
      <c r="E35" s="43">
        <f t="shared" si="0"/>
        <v>5.2619654448995384E-2</v>
      </c>
      <c r="F35" s="43">
        <f t="shared" si="1"/>
        <v>6.557211209160925E-2</v>
      </c>
      <c r="G35" s="1344">
        <f t="shared" si="6"/>
        <v>1</v>
      </c>
      <c r="H35" s="1344">
        <f t="shared" si="7"/>
        <v>0.367192066876738</v>
      </c>
      <c r="I35" s="1344">
        <f t="shared" si="2"/>
        <v>67702.790338375693</v>
      </c>
      <c r="J35" s="1344">
        <f t="shared" si="3"/>
        <v>1394.355340034982</v>
      </c>
      <c r="K35" s="449">
        <f t="shared" si="4"/>
        <v>1240.5708569624335</v>
      </c>
      <c r="L35" s="902">
        <f t="shared" si="5"/>
        <v>31.839017046345695</v>
      </c>
      <c r="M35" s="889"/>
      <c r="N35" s="1607"/>
    </row>
    <row r="36" spans="1:14" ht="15" customHeight="1">
      <c r="A36" s="1586" t="s">
        <v>8634</v>
      </c>
      <c r="B36" s="1606">
        <v>304.62</v>
      </c>
      <c r="C36" s="1236">
        <v>108949</v>
      </c>
      <c r="D36" s="1236">
        <v>618</v>
      </c>
      <c r="E36" s="43">
        <f t="shared" si="0"/>
        <v>5.2619654448995384E-2</v>
      </c>
      <c r="F36" s="43">
        <f t="shared" si="1"/>
        <v>6.557211209160925E-2</v>
      </c>
      <c r="G36" s="1344">
        <f t="shared" si="6"/>
        <v>1</v>
      </c>
      <c r="H36" s="1344">
        <f t="shared" si="7"/>
        <v>0.367192066876738</v>
      </c>
      <c r="I36" s="1344">
        <f t="shared" si="2"/>
        <v>760271.21259283577</v>
      </c>
      <c r="J36" s="1344">
        <f t="shared" si="3"/>
        <v>3460.6891571952565</v>
      </c>
      <c r="K36" s="449">
        <f t="shared" si="4"/>
        <v>13931.040434467137</v>
      </c>
      <c r="L36" s="902">
        <f t="shared" si="5"/>
        <v>79.022138693339926</v>
      </c>
      <c r="M36" s="889"/>
      <c r="N36" s="1607"/>
    </row>
    <row r="37" spans="1:14" ht="15" customHeight="1">
      <c r="A37" s="1586" t="s">
        <v>8697</v>
      </c>
      <c r="B37" s="1606">
        <v>303.24</v>
      </c>
      <c r="C37" s="1236">
        <v>430</v>
      </c>
      <c r="D37" s="1236">
        <v>68</v>
      </c>
      <c r="E37" s="43">
        <f t="shared" si="0"/>
        <v>5.7204572296199553E-2</v>
      </c>
      <c r="F37" s="43">
        <f t="shared" si="1"/>
        <v>7.1285618768075681E-2</v>
      </c>
      <c r="G37" s="1344">
        <f t="shared" si="6"/>
        <v>1</v>
      </c>
      <c r="H37" s="1344">
        <f t="shared" si="7"/>
        <v>0.367192066876738</v>
      </c>
      <c r="I37" s="1344">
        <f t="shared" si="2"/>
        <v>2760.1393108831462</v>
      </c>
      <c r="J37" s="1344">
        <f t="shared" si="3"/>
        <v>350.26785176479729</v>
      </c>
      <c r="K37" s="449">
        <f t="shared" si="4"/>
        <v>59.773888762039718</v>
      </c>
      <c r="L37" s="902">
        <f t="shared" si="5"/>
        <v>9.4526149670202351</v>
      </c>
      <c r="M37" s="889"/>
      <c r="N37" s="1607"/>
    </row>
    <row r="38" spans="1:14" ht="15" customHeight="1">
      <c r="A38" s="1586" t="s">
        <v>8638</v>
      </c>
      <c r="B38" s="1606">
        <v>1604.31</v>
      </c>
      <c r="C38" s="1236">
        <v>20</v>
      </c>
      <c r="D38" s="1236">
        <v>172</v>
      </c>
      <c r="E38" s="43">
        <f t="shared" si="0"/>
        <v>0</v>
      </c>
      <c r="F38" s="43">
        <f t="shared" si="1"/>
        <v>0</v>
      </c>
      <c r="G38" s="1344">
        <f t="shared" si="6"/>
        <v>1</v>
      </c>
      <c r="H38" s="1344">
        <f t="shared" si="7"/>
        <v>0.367192066876738</v>
      </c>
      <c r="I38" s="1344">
        <f t="shared" si="2"/>
        <v>0</v>
      </c>
      <c r="J38" s="1344">
        <f t="shared" si="3"/>
        <v>0</v>
      </c>
      <c r="K38" s="449">
        <f t="shared" si="4"/>
        <v>0</v>
      </c>
      <c r="L38" s="902">
        <f t="shared" si="5"/>
        <v>0</v>
      </c>
      <c r="M38" s="889"/>
      <c r="N38" s="1607"/>
    </row>
    <row r="39" spans="1:14" ht="15" customHeight="1">
      <c r="A39" s="1586" t="s">
        <v>8639</v>
      </c>
      <c r="B39" s="1606">
        <v>1604.32</v>
      </c>
      <c r="C39" s="1236">
        <v>1022</v>
      </c>
      <c r="D39" s="1236">
        <v>584</v>
      </c>
      <c r="E39" s="43">
        <f t="shared" si="0"/>
        <v>0</v>
      </c>
      <c r="F39" s="43">
        <f t="shared" si="1"/>
        <v>0</v>
      </c>
      <c r="G39" s="1344">
        <f t="shared" si="6"/>
        <v>1</v>
      </c>
      <c r="H39" s="1344">
        <f t="shared" si="7"/>
        <v>0.367192066876738</v>
      </c>
      <c r="I39" s="1344">
        <f t="shared" ref="I39:I70" si="8">IFERROR(C39/E39*H39*G39,0)</f>
        <v>0</v>
      </c>
      <c r="J39" s="1344">
        <f t="shared" ref="J39:J70" si="9">IFERROR(D39/F39*H39*G39,0)</f>
        <v>0</v>
      </c>
      <c r="K39" s="449">
        <f t="shared" si="4"/>
        <v>0</v>
      </c>
      <c r="L39" s="902">
        <f t="shared" si="5"/>
        <v>0</v>
      </c>
      <c r="M39" s="889"/>
      <c r="N39" s="1607"/>
    </row>
    <row r="40" spans="1:14" ht="15" customHeight="1">
      <c r="A40" s="1586" t="s">
        <v>8645</v>
      </c>
      <c r="B40" s="1606">
        <v>307.79000000000002</v>
      </c>
      <c r="C40" s="1236">
        <v>1545</v>
      </c>
      <c r="D40" s="1236">
        <v>1756</v>
      </c>
      <c r="E40" s="43">
        <f t="shared" si="0"/>
        <v>0.12083018201159709</v>
      </c>
      <c r="F40" s="43">
        <f t="shared" si="1"/>
        <v>0.32500127536564577</v>
      </c>
      <c r="G40" s="1344">
        <f t="shared" si="6"/>
        <v>1</v>
      </c>
      <c r="H40" s="1344">
        <f t="shared" si="7"/>
        <v>0.367192066876738</v>
      </c>
      <c r="I40" s="1344">
        <f t="shared" si="8"/>
        <v>4695.1161860379425</v>
      </c>
      <c r="J40" s="1344">
        <f t="shared" si="9"/>
        <v>1983.9591974219966</v>
      </c>
      <c r="K40" s="449">
        <f t="shared" si="4"/>
        <v>215.25047097056901</v>
      </c>
      <c r="L40" s="902">
        <f t="shared" si="5"/>
        <v>244.64713723256904</v>
      </c>
      <c r="M40" s="889"/>
      <c r="N40" s="1607"/>
    </row>
    <row r="41" spans="1:14" ht="15" customHeight="1">
      <c r="A41" s="1586" t="s">
        <v>8646</v>
      </c>
      <c r="B41" s="1606">
        <v>307.70999999999998</v>
      </c>
      <c r="C41" s="1236">
        <v>3188</v>
      </c>
      <c r="D41" s="1236">
        <v>5871</v>
      </c>
      <c r="E41" s="43">
        <f t="shared" si="0"/>
        <v>8.9679489122291789E-2</v>
      </c>
      <c r="F41" s="43">
        <f t="shared" si="1"/>
        <v>0.24121413916340045</v>
      </c>
      <c r="G41" s="1344">
        <f t="shared" si="6"/>
        <v>1</v>
      </c>
      <c r="H41" s="1344">
        <f t="shared" si="7"/>
        <v>0.367192066876738</v>
      </c>
      <c r="I41" s="1344">
        <f t="shared" si="8"/>
        <v>13053.244623268718</v>
      </c>
      <c r="J41" s="1344">
        <f t="shared" si="9"/>
        <v>8937.2232992236932</v>
      </c>
      <c r="K41" s="449">
        <f t="shared" si="4"/>
        <v>329.64890326693114</v>
      </c>
      <c r="L41" s="902">
        <f t="shared" si="5"/>
        <v>607.07926947307169</v>
      </c>
      <c r="M41" s="889"/>
      <c r="N41" s="1607"/>
    </row>
    <row r="42" spans="1:14" ht="15" customHeight="1">
      <c r="A42" s="1586" t="s">
        <v>8713</v>
      </c>
      <c r="B42" s="1606">
        <v>1605.56</v>
      </c>
      <c r="C42" s="1236">
        <v>17631</v>
      </c>
      <c r="D42" s="1236">
        <v>1653</v>
      </c>
      <c r="E42" s="43">
        <f t="shared" si="0"/>
        <v>0.1466373254259557</v>
      </c>
      <c r="F42" s="43">
        <f t="shared" si="1"/>
        <v>0.3944156748441276</v>
      </c>
      <c r="G42" s="1344">
        <f t="shared" si="6"/>
        <v>1</v>
      </c>
      <c r="H42" s="1344">
        <f t="shared" si="7"/>
        <v>0.367192066876738</v>
      </c>
      <c r="I42" s="1344">
        <f t="shared" si="8"/>
        <v>44149.491354251317</v>
      </c>
      <c r="J42" s="1344">
        <f t="shared" si="9"/>
        <v>1538.9055893560032</v>
      </c>
      <c r="K42" s="449">
        <f t="shared" si="4"/>
        <v>2980.9979208342074</v>
      </c>
      <c r="L42" s="902">
        <f t="shared" si="5"/>
        <v>279.48440605404943</v>
      </c>
      <c r="M42" s="889"/>
      <c r="N42" s="1607"/>
    </row>
    <row r="43" spans="1:14" ht="15" customHeight="1">
      <c r="A43" s="1586" t="s">
        <v>6241</v>
      </c>
      <c r="B43" s="1606">
        <v>303.64999999999998</v>
      </c>
      <c r="C43" s="1236">
        <v>38</v>
      </c>
      <c r="D43" s="1236">
        <v>305</v>
      </c>
      <c r="E43" s="43">
        <f t="shared" si="0"/>
        <v>0</v>
      </c>
      <c r="F43" s="43">
        <f t="shared" si="1"/>
        <v>0</v>
      </c>
      <c r="G43" s="1344">
        <f t="shared" si="6"/>
        <v>1</v>
      </c>
      <c r="H43" s="1344">
        <f t="shared" si="7"/>
        <v>0.367192066876738</v>
      </c>
      <c r="I43" s="1344">
        <f t="shared" si="8"/>
        <v>0</v>
      </c>
      <c r="J43" s="1344">
        <f t="shared" si="9"/>
        <v>0</v>
      </c>
      <c r="K43" s="449">
        <f t="shared" si="4"/>
        <v>0</v>
      </c>
      <c r="L43" s="902">
        <f t="shared" si="5"/>
        <v>0</v>
      </c>
      <c r="M43" s="889"/>
      <c r="N43" s="1607"/>
    </row>
    <row r="44" spans="1:14" ht="15" customHeight="1">
      <c r="A44" s="1586" t="s">
        <v>8643</v>
      </c>
      <c r="B44" s="1606">
        <v>304.73</v>
      </c>
      <c r="C44" s="1236">
        <v>1785</v>
      </c>
      <c r="D44" s="1236">
        <v>54</v>
      </c>
      <c r="E44" s="43">
        <f t="shared" si="0"/>
        <v>7.2599002164652543E-3</v>
      </c>
      <c r="F44" s="43">
        <f t="shared" si="1"/>
        <v>7.2599002164652534E-3</v>
      </c>
      <c r="G44" s="1344">
        <f t="shared" si="6"/>
        <v>1</v>
      </c>
      <c r="H44" s="1344">
        <f t="shared" si="7"/>
        <v>0.367192066876738</v>
      </c>
      <c r="I44" s="1344">
        <f t="shared" si="8"/>
        <v>90281.934989748523</v>
      </c>
      <c r="J44" s="1344">
        <f t="shared" si="9"/>
        <v>2731.2182013705442</v>
      </c>
      <c r="K44" s="449">
        <f t="shared" si="4"/>
        <v>0</v>
      </c>
      <c r="L44" s="902">
        <f t="shared" si="5"/>
        <v>0</v>
      </c>
      <c r="M44" s="889"/>
      <c r="N44" s="1607"/>
    </row>
    <row r="45" spans="1:14" ht="15" customHeight="1">
      <c r="A45" s="1586" t="s">
        <v>8644</v>
      </c>
      <c r="B45" s="1606">
        <v>302.52999999999997</v>
      </c>
      <c r="C45" s="1236">
        <v>88</v>
      </c>
      <c r="D45" s="1236">
        <v>183</v>
      </c>
      <c r="E45" s="43">
        <f t="shared" si="0"/>
        <v>7.9656409919715669E-3</v>
      </c>
      <c r="F45" s="43">
        <f t="shared" si="1"/>
        <v>7.9656409919715652E-3</v>
      </c>
      <c r="G45" s="1344">
        <f t="shared" si="6"/>
        <v>1</v>
      </c>
      <c r="H45" s="1344">
        <f t="shared" si="7"/>
        <v>0.367192066876738</v>
      </c>
      <c r="I45" s="1344">
        <f t="shared" si="8"/>
        <v>4056.5350506909067</v>
      </c>
      <c r="J45" s="1344">
        <f t="shared" si="9"/>
        <v>8435.7490258685921</v>
      </c>
      <c r="K45" s="449">
        <f t="shared" si="4"/>
        <v>0</v>
      </c>
      <c r="L45" s="902">
        <f t="shared" si="5"/>
        <v>0</v>
      </c>
      <c r="M45" s="889"/>
      <c r="N45" s="1607"/>
    </row>
    <row r="46" spans="1:14" ht="15" customHeight="1">
      <c r="A46" s="1586" t="s">
        <v>8654</v>
      </c>
      <c r="B46" s="1606">
        <v>302.45999999999998</v>
      </c>
      <c r="C46" s="1236">
        <v>635</v>
      </c>
      <c r="D46" s="1236">
        <v>29</v>
      </c>
      <c r="E46" s="43">
        <f t="shared" si="0"/>
        <v>6.6800177971691091E-2</v>
      </c>
      <c r="F46" s="43">
        <f t="shared" si="1"/>
        <v>8.3243206432398048E-2</v>
      </c>
      <c r="G46" s="1344">
        <f t="shared" si="6"/>
        <v>1</v>
      </c>
      <c r="H46" s="1344">
        <f t="shared" si="7"/>
        <v>0.367192066876738</v>
      </c>
      <c r="I46" s="1344">
        <f t="shared" si="8"/>
        <v>3490.5140906292381</v>
      </c>
      <c r="J46" s="1344">
        <f t="shared" si="9"/>
        <v>127.92118895700064</v>
      </c>
      <c r="K46" s="449">
        <f t="shared" si="4"/>
        <v>103.07744793495925</v>
      </c>
      <c r="L46" s="902">
        <f t="shared" si="5"/>
        <v>4.7074740001792419</v>
      </c>
      <c r="M46" s="889"/>
      <c r="N46" s="1607"/>
    </row>
    <row r="47" spans="1:14" ht="15" customHeight="1">
      <c r="A47" s="1586" t="s">
        <v>8698</v>
      </c>
      <c r="B47" s="1606">
        <v>303.56</v>
      </c>
      <c r="C47" s="1236">
        <v>3</v>
      </c>
      <c r="D47" s="1236">
        <v>0</v>
      </c>
      <c r="E47" s="43">
        <f t="shared" si="0"/>
        <v>5.7204572296199553E-2</v>
      </c>
      <c r="F47" s="43">
        <f t="shared" si="1"/>
        <v>7.1285618768075681E-2</v>
      </c>
      <c r="G47" s="1344">
        <f t="shared" si="6"/>
        <v>1</v>
      </c>
      <c r="H47" s="1344">
        <f t="shared" si="7"/>
        <v>0.367192066876738</v>
      </c>
      <c r="I47" s="1344">
        <f t="shared" si="8"/>
        <v>19.256785889882416</v>
      </c>
      <c r="J47" s="1344">
        <f t="shared" si="9"/>
        <v>0</v>
      </c>
      <c r="K47" s="449">
        <f t="shared" si="4"/>
        <v>0.41702713089795151</v>
      </c>
      <c r="L47" s="902">
        <f t="shared" si="5"/>
        <v>0</v>
      </c>
      <c r="M47" s="889"/>
      <c r="N47" s="1607"/>
    </row>
    <row r="48" spans="1:14" ht="15" customHeight="1">
      <c r="A48" s="1586" t="s">
        <v>8647</v>
      </c>
      <c r="B48" s="1606">
        <v>302.51</v>
      </c>
      <c r="C48" s="1236">
        <v>1951</v>
      </c>
      <c r="D48" s="1236">
        <v>2110</v>
      </c>
      <c r="E48" s="43">
        <f t="shared" si="0"/>
        <v>8.1503201713081716E-3</v>
      </c>
      <c r="F48" s="43">
        <f t="shared" si="1"/>
        <v>1.148077621776062E-2</v>
      </c>
      <c r="G48" s="1344">
        <f t="shared" si="6"/>
        <v>1</v>
      </c>
      <c r="H48" s="1344">
        <f t="shared" si="7"/>
        <v>0.367192066876738</v>
      </c>
      <c r="I48" s="1344">
        <f t="shared" si="8"/>
        <v>87897.371811042729</v>
      </c>
      <c r="J48" s="1344">
        <f t="shared" si="9"/>
        <v>67484.571288076258</v>
      </c>
      <c r="K48" s="449">
        <f t="shared" si="4"/>
        <v>1.913389343301289</v>
      </c>
      <c r="L48" s="902">
        <f t="shared" si="5"/>
        <v>2.069324200084941</v>
      </c>
      <c r="M48" s="889"/>
      <c r="N48" s="1607"/>
    </row>
    <row r="49" spans="1:14" ht="15" customHeight="1">
      <c r="A49" s="1586" t="s">
        <v>6242</v>
      </c>
      <c r="B49" s="1606">
        <v>305.51</v>
      </c>
      <c r="C49" s="1236">
        <v>2484</v>
      </c>
      <c r="D49" s="1236">
        <v>3203</v>
      </c>
      <c r="E49" s="43">
        <f t="shared" si="0"/>
        <v>3.5396262276148499E-3</v>
      </c>
      <c r="F49" s="43">
        <f t="shared" si="1"/>
        <v>4.9860196605306783E-3</v>
      </c>
      <c r="G49" s="1344">
        <f t="shared" si="6"/>
        <v>1</v>
      </c>
      <c r="H49" s="1344">
        <f t="shared" si="7"/>
        <v>0.367192066876738</v>
      </c>
      <c r="I49" s="1344">
        <f t="shared" si="8"/>
        <v>257684.01392381825</v>
      </c>
      <c r="J49" s="1344">
        <f t="shared" si="9"/>
        <v>235882.78231558637</v>
      </c>
      <c r="K49" s="449">
        <f t="shared" si="4"/>
        <v>1.0579871861940264</v>
      </c>
      <c r="L49" s="902">
        <f t="shared" si="5"/>
        <v>1.3642242179466453</v>
      </c>
      <c r="M49" s="889"/>
      <c r="N49" s="1607"/>
    </row>
    <row r="50" spans="1:14" ht="15" customHeight="1">
      <c r="A50" s="1586" t="s">
        <v>6244</v>
      </c>
      <c r="B50" s="1606">
        <v>303.63</v>
      </c>
      <c r="C50" s="1236">
        <v>465</v>
      </c>
      <c r="D50" s="1236">
        <v>91864</v>
      </c>
      <c r="E50" s="43">
        <f t="shared" si="0"/>
        <v>0</v>
      </c>
      <c r="F50" s="43">
        <f t="shared" si="1"/>
        <v>0</v>
      </c>
      <c r="G50" s="1344">
        <f t="shared" si="6"/>
        <v>1</v>
      </c>
      <c r="H50" s="1344">
        <f t="shared" si="7"/>
        <v>0.367192066876738</v>
      </c>
      <c r="I50" s="1344">
        <f t="shared" si="8"/>
        <v>0</v>
      </c>
      <c r="J50" s="1344">
        <f t="shared" si="9"/>
        <v>0</v>
      </c>
      <c r="K50" s="449">
        <f t="shared" si="4"/>
        <v>0</v>
      </c>
      <c r="L50" s="902">
        <f t="shared" si="5"/>
        <v>0</v>
      </c>
      <c r="M50" s="889"/>
      <c r="N50" s="1607"/>
    </row>
    <row r="51" spans="1:14" ht="15" customHeight="1">
      <c r="A51" s="1586" t="s">
        <v>6245</v>
      </c>
      <c r="B51" s="1606">
        <v>305.62</v>
      </c>
      <c r="C51" s="1236">
        <v>609</v>
      </c>
      <c r="D51" s="1236">
        <v>404</v>
      </c>
      <c r="E51" s="43">
        <f t="shared" si="0"/>
        <v>3.5396262276148499E-3</v>
      </c>
      <c r="F51" s="43">
        <f t="shared" si="1"/>
        <v>4.9860196605306783E-3</v>
      </c>
      <c r="G51" s="1344">
        <f t="shared" si="6"/>
        <v>1</v>
      </c>
      <c r="H51" s="1344">
        <f t="shared" si="7"/>
        <v>0.367192066876738</v>
      </c>
      <c r="I51" s="1344">
        <f t="shared" si="8"/>
        <v>63176.153172143837</v>
      </c>
      <c r="J51" s="1344">
        <f t="shared" si="9"/>
        <v>29752.308478144518</v>
      </c>
      <c r="K51" s="449">
        <f t="shared" si="4"/>
        <v>0.25938574733983982</v>
      </c>
      <c r="L51" s="902">
        <f t="shared" si="5"/>
        <v>0.17207199002511542</v>
      </c>
      <c r="M51" s="889"/>
      <c r="N51" s="1607"/>
    </row>
    <row r="52" spans="1:14" ht="15" customHeight="1">
      <c r="A52" s="1586" t="s">
        <v>8648</v>
      </c>
      <c r="B52" s="1606">
        <v>304.70999999999998</v>
      </c>
      <c r="C52" s="1236">
        <v>47739</v>
      </c>
      <c r="D52" s="1236">
        <v>3539</v>
      </c>
      <c r="E52" s="43">
        <f t="shared" si="0"/>
        <v>7.8590620384158139E-3</v>
      </c>
      <c r="F52" s="43">
        <f t="shared" si="1"/>
        <v>1.1070501605836603E-2</v>
      </c>
      <c r="G52" s="1344">
        <f t="shared" si="6"/>
        <v>1</v>
      </c>
      <c r="H52" s="1344">
        <f t="shared" si="7"/>
        <v>0.367192066876738</v>
      </c>
      <c r="I52" s="1344">
        <f t="shared" si="8"/>
        <v>2230467.4520882228</v>
      </c>
      <c r="J52" s="1344">
        <f t="shared" si="9"/>
        <v>117383.36445312068</v>
      </c>
      <c r="K52" s="449">
        <f t="shared" si="4"/>
        <v>45.145601773960436</v>
      </c>
      <c r="L52" s="902">
        <f t="shared" si="5"/>
        <v>3.3467455262583208</v>
      </c>
      <c r="M52" s="889"/>
      <c r="N52" s="1607"/>
    </row>
    <row r="53" spans="1:14" ht="15" customHeight="1">
      <c r="A53" s="1586" t="s">
        <v>8649</v>
      </c>
      <c r="B53" s="1606">
        <v>306.16000000000003</v>
      </c>
      <c r="C53" s="1236">
        <v>11271</v>
      </c>
      <c r="D53" s="1236">
        <v>4528</v>
      </c>
      <c r="E53" s="43">
        <f t="shared" si="0"/>
        <v>0.26357114240626822</v>
      </c>
      <c r="F53" s="43">
        <f t="shared" si="1"/>
        <v>0.23404366367147533</v>
      </c>
      <c r="G53" s="1344">
        <f t="shared" si="6"/>
        <v>1</v>
      </c>
      <c r="H53" s="1344">
        <f t="shared" si="7"/>
        <v>0.367192066876738</v>
      </c>
      <c r="I53" s="1344">
        <f t="shared" si="8"/>
        <v>15702.105124196212</v>
      </c>
      <c r="J53" s="1344">
        <f t="shared" si="9"/>
        <v>7103.9978298737806</v>
      </c>
      <c r="K53" s="449">
        <f t="shared" si="4"/>
        <v>3564.9628417456752</v>
      </c>
      <c r="L53" s="902">
        <f t="shared" si="5"/>
        <v>1432.1845219966654</v>
      </c>
      <c r="M53" s="889"/>
      <c r="N53" s="1607"/>
    </row>
    <row r="54" spans="1:14" ht="15" customHeight="1">
      <c r="A54" s="1586" t="s">
        <v>8650</v>
      </c>
      <c r="B54" s="1606">
        <v>306.26</v>
      </c>
      <c r="C54" s="1236">
        <v>65</v>
      </c>
      <c r="D54" s="1236">
        <v>1025</v>
      </c>
      <c r="E54" s="43">
        <f t="shared" si="0"/>
        <v>0.26357114240626822</v>
      </c>
      <c r="F54" s="43">
        <f t="shared" si="1"/>
        <v>0.23404366367147533</v>
      </c>
      <c r="G54" s="1344">
        <f t="shared" si="6"/>
        <v>1</v>
      </c>
      <c r="H54" s="1344">
        <f t="shared" si="7"/>
        <v>0.367192066876738</v>
      </c>
      <c r="I54" s="1344">
        <f t="shared" si="8"/>
        <v>90.554239470566401</v>
      </c>
      <c r="J54" s="1344">
        <f t="shared" si="9"/>
        <v>1608.1267172307034</v>
      </c>
      <c r="K54" s="449">
        <f t="shared" si="4"/>
        <v>20.559185938556372</v>
      </c>
      <c r="L54" s="902">
        <f t="shared" si="5"/>
        <v>324.20254749261971</v>
      </c>
      <c r="M54" s="889"/>
      <c r="N54" s="1607"/>
    </row>
    <row r="55" spans="1:14" ht="15" customHeight="1">
      <c r="A55" s="1586" t="s">
        <v>6246</v>
      </c>
      <c r="B55" s="1606">
        <v>508</v>
      </c>
      <c r="C55" s="1236">
        <v>5960</v>
      </c>
      <c r="D55" s="1236">
        <v>5677</v>
      </c>
      <c r="E55" s="43">
        <f t="shared" si="0"/>
        <v>1.5105623667394623</v>
      </c>
      <c r="F55" s="43">
        <f t="shared" si="1"/>
        <v>1.5105623265662114</v>
      </c>
      <c r="G55" s="1344">
        <f t="shared" si="6"/>
        <v>1</v>
      </c>
      <c r="H55" s="1344">
        <f t="shared" si="7"/>
        <v>0.367192066876738</v>
      </c>
      <c r="I55" s="1344">
        <f t="shared" si="8"/>
        <v>1448.7748184202042</v>
      </c>
      <c r="J55" s="1344">
        <f t="shared" si="9"/>
        <v>1379.9823595480561</v>
      </c>
      <c r="K55" s="449">
        <f t="shared" si="4"/>
        <v>0</v>
      </c>
      <c r="L55" s="902">
        <f t="shared" si="5"/>
        <v>0</v>
      </c>
      <c r="M55" s="889"/>
      <c r="N55" s="1607"/>
    </row>
    <row r="56" spans="1:14" ht="15" customHeight="1">
      <c r="A56" s="1586" t="s">
        <v>6247</v>
      </c>
      <c r="B56" s="1606">
        <v>1605.1</v>
      </c>
      <c r="C56" s="1236">
        <v>33348</v>
      </c>
      <c r="D56" s="1236">
        <v>2029</v>
      </c>
      <c r="E56" s="43">
        <f t="shared" si="0"/>
        <v>5.6523546594272354E-2</v>
      </c>
      <c r="F56" s="43">
        <f t="shared" si="1"/>
        <v>3.1468840630383382E-2</v>
      </c>
      <c r="G56" s="1344">
        <f t="shared" si="6"/>
        <v>1</v>
      </c>
      <c r="H56" s="1344">
        <f t="shared" si="7"/>
        <v>0.367192066876738</v>
      </c>
      <c r="I56" s="1344">
        <f t="shared" si="8"/>
        <v>216637.52159964928</v>
      </c>
      <c r="J56" s="1344">
        <f t="shared" si="9"/>
        <v>23675.251098178916</v>
      </c>
      <c r="K56" s="449">
        <f t="shared" si="4"/>
        <v>3531.5914308516708</v>
      </c>
      <c r="L56" s="902">
        <f t="shared" si="5"/>
        <v>214.87342608846228</v>
      </c>
      <c r="M56" s="889"/>
      <c r="N56" s="1607"/>
    </row>
    <row r="57" spans="1:14" ht="15" customHeight="1">
      <c r="A57" s="1586" t="s">
        <v>6248</v>
      </c>
      <c r="B57" s="1606">
        <v>306.14</v>
      </c>
      <c r="C57" s="1236">
        <v>73532</v>
      </c>
      <c r="D57" s="1236">
        <v>12584</v>
      </c>
      <c r="E57" s="43">
        <f t="shared" si="0"/>
        <v>5.7576083452851645E-2</v>
      </c>
      <c r="F57" s="43">
        <f t="shared" si="1"/>
        <v>3.2054828535530024E-2</v>
      </c>
      <c r="G57" s="1344">
        <f t="shared" si="6"/>
        <v>1</v>
      </c>
      <c r="H57" s="1344">
        <f t="shared" si="7"/>
        <v>0.367192066876738</v>
      </c>
      <c r="I57" s="1344">
        <f t="shared" si="8"/>
        <v>468951.08945176122</v>
      </c>
      <c r="J57" s="1344">
        <f t="shared" si="9"/>
        <v>144151.29266578893</v>
      </c>
      <c r="K57" s="449">
        <f t="shared" si="4"/>
        <v>7932.1287569427095</v>
      </c>
      <c r="L57" s="902">
        <f t="shared" si="5"/>
        <v>1357.4757694251082</v>
      </c>
      <c r="M57" s="889"/>
      <c r="N57" s="1607"/>
    </row>
    <row r="58" spans="1:14" ht="15" customHeight="1">
      <c r="A58" s="1586" t="s">
        <v>6249</v>
      </c>
      <c r="B58" s="1606">
        <v>306.24</v>
      </c>
      <c r="C58" s="1236">
        <v>1181</v>
      </c>
      <c r="D58" s="1236">
        <v>14324</v>
      </c>
      <c r="E58" s="43">
        <f t="shared" si="0"/>
        <v>5.6523546594272354E-2</v>
      </c>
      <c r="F58" s="43">
        <f t="shared" si="1"/>
        <v>3.1468840630383382E-2</v>
      </c>
      <c r="G58" s="1344">
        <f t="shared" si="6"/>
        <v>1</v>
      </c>
      <c r="H58" s="1344">
        <f t="shared" si="7"/>
        <v>0.367192066876738</v>
      </c>
      <c r="I58" s="1344">
        <f t="shared" si="8"/>
        <v>7672.0916699407999</v>
      </c>
      <c r="J58" s="1344">
        <f t="shared" si="9"/>
        <v>167138.63811252575</v>
      </c>
      <c r="K58" s="449">
        <f t="shared" si="4"/>
        <v>125.06925392334843</v>
      </c>
      <c r="L58" s="902">
        <f t="shared" si="5"/>
        <v>1516.9280213361922</v>
      </c>
      <c r="M58" s="889"/>
      <c r="N58" s="1607"/>
    </row>
    <row r="59" spans="1:14" ht="15" customHeight="1">
      <c r="A59" s="1586" t="s">
        <v>8651</v>
      </c>
      <c r="B59" s="1606">
        <v>1605.54</v>
      </c>
      <c r="C59" s="1236">
        <v>5507</v>
      </c>
      <c r="D59" s="1236">
        <v>762</v>
      </c>
      <c r="E59" s="43">
        <f t="shared" si="0"/>
        <v>2.7490601401049104E-2</v>
      </c>
      <c r="F59" s="43">
        <f t="shared" si="1"/>
        <v>2.9290393825674898E-2</v>
      </c>
      <c r="G59" s="1344">
        <f t="shared" si="6"/>
        <v>1</v>
      </c>
      <c r="H59" s="1344">
        <f t="shared" si="7"/>
        <v>0.367192066876738</v>
      </c>
      <c r="I59" s="1344">
        <f t="shared" si="8"/>
        <v>73557.019826166012</v>
      </c>
      <c r="J59" s="1344">
        <f t="shared" si="9"/>
        <v>9552.6320549098073</v>
      </c>
      <c r="K59" s="449">
        <f t="shared" si="4"/>
        <v>0</v>
      </c>
      <c r="L59" s="902">
        <f t="shared" si="5"/>
        <v>0</v>
      </c>
      <c r="M59" s="889"/>
      <c r="N59" s="1607"/>
    </row>
    <row r="60" spans="1:14" ht="15" customHeight="1">
      <c r="A60" s="1586" t="s">
        <v>8749</v>
      </c>
      <c r="B60" s="1606">
        <v>307.49</v>
      </c>
      <c r="C60" s="1236">
        <v>65887</v>
      </c>
      <c r="D60" s="1236">
        <v>95900</v>
      </c>
      <c r="E60" s="43">
        <f t="shared" si="0"/>
        <v>2.7490601401049104E-2</v>
      </c>
      <c r="F60" s="43">
        <f t="shared" si="1"/>
        <v>2.9290393825674898E-2</v>
      </c>
      <c r="G60" s="1344">
        <f t="shared" si="6"/>
        <v>1</v>
      </c>
      <c r="H60" s="1344">
        <f t="shared" si="7"/>
        <v>0.367192066876738</v>
      </c>
      <c r="I60" s="1344">
        <f t="shared" si="8"/>
        <v>880052.90816898504</v>
      </c>
      <c r="J60" s="1344">
        <f t="shared" si="9"/>
        <v>1202227.5775142396</v>
      </c>
      <c r="K60" s="449">
        <f t="shared" si="4"/>
        <v>0</v>
      </c>
      <c r="L60" s="902">
        <f t="shared" si="5"/>
        <v>0</v>
      </c>
      <c r="M60" s="889"/>
      <c r="N60" s="1607"/>
    </row>
    <row r="61" spans="1:14" ht="15" customHeight="1">
      <c r="A61" s="1586" t="s">
        <v>6250</v>
      </c>
      <c r="B61" s="1606">
        <v>307.41000000000003</v>
      </c>
      <c r="C61" s="1236">
        <v>533</v>
      </c>
      <c r="D61" s="1236">
        <v>184</v>
      </c>
      <c r="E61" s="43">
        <f t="shared" si="0"/>
        <v>1.8733768082198354E-2</v>
      </c>
      <c r="F61" s="43">
        <f t="shared" si="1"/>
        <v>1.996025612395325E-2</v>
      </c>
      <c r="G61" s="1344">
        <f t="shared" si="6"/>
        <v>1</v>
      </c>
      <c r="H61" s="1344">
        <f t="shared" si="7"/>
        <v>0.367192066876738</v>
      </c>
      <c r="I61" s="1344">
        <f t="shared" si="8"/>
        <v>10447.090557893516</v>
      </c>
      <c r="J61" s="1344">
        <f t="shared" si="9"/>
        <v>3384.8934545604648</v>
      </c>
      <c r="K61" s="449">
        <f t="shared" si="4"/>
        <v>0</v>
      </c>
      <c r="L61" s="902">
        <f t="shared" si="5"/>
        <v>0</v>
      </c>
      <c r="M61" s="889"/>
      <c r="N61" s="1607"/>
    </row>
    <row r="62" spans="1:14" ht="15" customHeight="1">
      <c r="A62" s="1586" t="s">
        <v>8652</v>
      </c>
      <c r="B62" s="1606">
        <v>302.81</v>
      </c>
      <c r="C62" s="1236">
        <v>436</v>
      </c>
      <c r="D62" s="1236">
        <v>1050</v>
      </c>
      <c r="E62" s="43">
        <f t="shared" si="0"/>
        <v>1.9723755610728224E-2</v>
      </c>
      <c r="F62" s="43">
        <f t="shared" si="1"/>
        <v>1.1071080374736331E-2</v>
      </c>
      <c r="G62" s="1344">
        <f t="shared" si="6"/>
        <v>1</v>
      </c>
      <c r="H62" s="1344">
        <f t="shared" si="7"/>
        <v>0.367192066876738</v>
      </c>
      <c r="I62" s="1344">
        <f t="shared" si="8"/>
        <v>8116.8994545429196</v>
      </c>
      <c r="J62" s="1344">
        <f t="shared" si="9"/>
        <v>34825.117077135954</v>
      </c>
      <c r="K62" s="449">
        <f t="shared" si="4"/>
        <v>0</v>
      </c>
      <c r="L62" s="902">
        <f t="shared" si="5"/>
        <v>0</v>
      </c>
      <c r="M62" s="889"/>
      <c r="N62" s="1607"/>
    </row>
    <row r="63" spans="1:14" ht="15" customHeight="1">
      <c r="A63" s="1586" t="s">
        <v>6253</v>
      </c>
      <c r="B63" s="1606">
        <v>303.81</v>
      </c>
      <c r="C63" s="1236">
        <v>3</v>
      </c>
      <c r="D63" s="1236">
        <v>3529</v>
      </c>
      <c r="E63" s="43">
        <f t="shared" si="0"/>
        <v>0</v>
      </c>
      <c r="F63" s="43">
        <f t="shared" si="1"/>
        <v>0</v>
      </c>
      <c r="G63" s="1344">
        <f t="shared" si="6"/>
        <v>1</v>
      </c>
      <c r="H63" s="1344">
        <f t="shared" si="7"/>
        <v>0.367192066876738</v>
      </c>
      <c r="I63" s="1344">
        <f t="shared" si="8"/>
        <v>0</v>
      </c>
      <c r="J63" s="1344">
        <f t="shared" si="9"/>
        <v>0</v>
      </c>
      <c r="K63" s="449">
        <f t="shared" si="4"/>
        <v>0</v>
      </c>
      <c r="L63" s="902">
        <f t="shared" si="5"/>
        <v>0</v>
      </c>
      <c r="M63" s="889"/>
      <c r="N63" s="1607"/>
    </row>
    <row r="64" spans="1:14" ht="15" customHeight="1">
      <c r="A64" s="1586" t="s">
        <v>8653</v>
      </c>
      <c r="B64" s="1606">
        <v>302.74</v>
      </c>
      <c r="C64" s="1236">
        <v>1</v>
      </c>
      <c r="D64" s="1236">
        <v>94</v>
      </c>
      <c r="E64" s="43">
        <f t="shared" si="0"/>
        <v>3.9645169057007788E-2</v>
      </c>
      <c r="F64" s="43">
        <f t="shared" si="1"/>
        <v>3.8297845058711935E-2</v>
      </c>
      <c r="G64" s="1344">
        <f t="shared" si="6"/>
        <v>1</v>
      </c>
      <c r="H64" s="1344">
        <f t="shared" si="7"/>
        <v>0.367192066876738</v>
      </c>
      <c r="I64" s="1344">
        <f t="shared" si="8"/>
        <v>9.2619624436141006</v>
      </c>
      <c r="J64" s="1344">
        <f t="shared" si="9"/>
        <v>901.25317060265547</v>
      </c>
      <c r="K64" s="449">
        <f t="shared" si="4"/>
        <v>0.23083039451807974</v>
      </c>
      <c r="L64" s="902">
        <f t="shared" si="5"/>
        <v>21.698057084699496</v>
      </c>
      <c r="M64" s="889"/>
      <c r="N64" s="1607"/>
    </row>
    <row r="65" spans="1:14" ht="15" customHeight="1">
      <c r="A65" s="1586" t="s">
        <v>6256</v>
      </c>
      <c r="B65" s="1606">
        <v>301.92</v>
      </c>
      <c r="C65" s="1236">
        <v>105</v>
      </c>
      <c r="D65" s="1236">
        <v>1023</v>
      </c>
      <c r="E65" s="43">
        <f t="shared" si="0"/>
        <v>3.9645169057007788E-2</v>
      </c>
      <c r="F65" s="43">
        <f t="shared" si="1"/>
        <v>3.8297845058711935E-2</v>
      </c>
      <c r="G65" s="1344">
        <f t="shared" si="6"/>
        <v>1</v>
      </c>
      <c r="H65" s="1344">
        <f t="shared" si="7"/>
        <v>0.367192066876738</v>
      </c>
      <c r="I65" s="1344">
        <f t="shared" si="8"/>
        <v>972.50605657948051</v>
      </c>
      <c r="J65" s="1344">
        <f t="shared" si="9"/>
        <v>9808.3190800693246</v>
      </c>
      <c r="K65" s="449">
        <f t="shared" si="4"/>
        <v>24.237191424398372</v>
      </c>
      <c r="L65" s="902">
        <f t="shared" si="5"/>
        <v>236.13949359199557</v>
      </c>
      <c r="M65" s="889"/>
      <c r="N65" s="1607"/>
    </row>
    <row r="66" spans="1:14" ht="15" customHeight="1">
      <c r="A66" s="1586" t="s">
        <v>8714</v>
      </c>
      <c r="B66" s="1606">
        <v>1604.17</v>
      </c>
      <c r="C66" s="1236">
        <v>1187</v>
      </c>
      <c r="D66" s="1236">
        <v>244</v>
      </c>
      <c r="E66" s="43">
        <f t="shared" si="0"/>
        <v>3.1379123715514823E-2</v>
      </c>
      <c r="F66" s="43">
        <f t="shared" si="1"/>
        <v>3.0312717708603502E-2</v>
      </c>
      <c r="G66" s="1344">
        <f t="shared" si="6"/>
        <v>1</v>
      </c>
      <c r="H66" s="1344">
        <f t="shared" si="7"/>
        <v>0.367192066876738</v>
      </c>
      <c r="I66" s="1344">
        <f t="shared" si="8"/>
        <v>13890.03043342433</v>
      </c>
      <c r="J66" s="1344">
        <f t="shared" si="9"/>
        <v>2955.6856359499179</v>
      </c>
      <c r="K66" s="449">
        <f t="shared" si="4"/>
        <v>216.86738866740814</v>
      </c>
      <c r="L66" s="902">
        <f t="shared" si="5"/>
        <v>44.579311571059463</v>
      </c>
      <c r="M66" s="889"/>
      <c r="N66" s="1607"/>
    </row>
    <row r="67" spans="1:14" ht="15" customHeight="1">
      <c r="A67" s="1586" t="s">
        <v>8655</v>
      </c>
      <c r="B67" s="1606">
        <v>303.26</v>
      </c>
      <c r="C67" s="1236">
        <v>260</v>
      </c>
      <c r="D67" s="1236">
        <v>443</v>
      </c>
      <c r="E67" s="43">
        <f t="shared" si="0"/>
        <v>3.9645169057007788E-2</v>
      </c>
      <c r="F67" s="43">
        <f t="shared" si="1"/>
        <v>3.8297845058711935E-2</v>
      </c>
      <c r="G67" s="1344">
        <f t="shared" si="6"/>
        <v>1</v>
      </c>
      <c r="H67" s="1344">
        <f t="shared" si="7"/>
        <v>0.367192066876738</v>
      </c>
      <c r="I67" s="1344">
        <f t="shared" si="8"/>
        <v>2408.1102353396664</v>
      </c>
      <c r="J67" s="1344">
        <f t="shared" si="9"/>
        <v>4247.3952614571954</v>
      </c>
      <c r="K67" s="449">
        <f t="shared" si="4"/>
        <v>60.015902574700732</v>
      </c>
      <c r="L67" s="902">
        <f t="shared" si="5"/>
        <v>102.25786477150932</v>
      </c>
      <c r="M67" s="889"/>
      <c r="N67" s="1607"/>
    </row>
    <row r="68" spans="1:14" ht="15" customHeight="1">
      <c r="A68" s="1586" t="s">
        <v>8656</v>
      </c>
      <c r="B68" s="1606">
        <v>304.49</v>
      </c>
      <c r="C68" s="1236">
        <v>8369</v>
      </c>
      <c r="D68" s="1236">
        <v>579</v>
      </c>
      <c r="E68" s="43">
        <f t="shared" si="0"/>
        <v>7.3387292186792338E-2</v>
      </c>
      <c r="F68" s="43">
        <f t="shared" si="1"/>
        <v>7.3387292186792338E-2</v>
      </c>
      <c r="G68" s="1344">
        <f t="shared" si="6"/>
        <v>1</v>
      </c>
      <c r="H68" s="1344">
        <f t="shared" si="7"/>
        <v>0.367192066876738</v>
      </c>
      <c r="I68" s="1344">
        <f t="shared" si="8"/>
        <v>41874.148999388752</v>
      </c>
      <c r="J68" s="1344">
        <f t="shared" si="9"/>
        <v>2897.0166412529675</v>
      </c>
      <c r="K68" s="449">
        <f t="shared" si="4"/>
        <v>0</v>
      </c>
      <c r="L68" s="902">
        <f t="shared" si="5"/>
        <v>0</v>
      </c>
      <c r="M68" s="889"/>
      <c r="N68" s="1607"/>
    </row>
    <row r="69" spans="1:14" ht="15" customHeight="1">
      <c r="A69" s="1586" t="s">
        <v>1909</v>
      </c>
      <c r="B69" s="1606">
        <v>304.89</v>
      </c>
      <c r="C69" s="1236">
        <v>49637</v>
      </c>
      <c r="D69" s="1236">
        <v>2894</v>
      </c>
      <c r="E69" s="43">
        <f t="shared" si="0"/>
        <v>0</v>
      </c>
      <c r="F69" s="43">
        <f t="shared" si="1"/>
        <v>0</v>
      </c>
      <c r="G69" s="1344">
        <f t="shared" si="6"/>
        <v>1</v>
      </c>
      <c r="H69" s="1344">
        <f t="shared" si="7"/>
        <v>0.367192066876738</v>
      </c>
      <c r="I69" s="1344">
        <f t="shared" si="8"/>
        <v>0</v>
      </c>
      <c r="J69" s="1344">
        <f t="shared" si="9"/>
        <v>0</v>
      </c>
      <c r="K69" s="449">
        <f t="shared" si="4"/>
        <v>0</v>
      </c>
      <c r="L69" s="902">
        <f t="shared" si="5"/>
        <v>0</v>
      </c>
      <c r="M69" s="889"/>
      <c r="N69" s="1607"/>
    </row>
    <row r="70" spans="1:14" ht="15" customHeight="1">
      <c r="A70" s="1586" t="s">
        <v>5004</v>
      </c>
      <c r="B70" s="1606">
        <v>305.10000000000002</v>
      </c>
      <c r="C70" s="1236">
        <v>62</v>
      </c>
      <c r="D70" s="1236">
        <v>1134</v>
      </c>
      <c r="E70" s="43">
        <f t="shared" si="0"/>
        <v>9.4283796598758893E-2</v>
      </c>
      <c r="F70" s="43">
        <f t="shared" si="1"/>
        <v>0.47158357768660519</v>
      </c>
      <c r="G70" s="1344">
        <f t="shared" si="6"/>
        <v>1</v>
      </c>
      <c r="H70" s="1344">
        <f t="shared" si="7"/>
        <v>0.367192066876738</v>
      </c>
      <c r="I70" s="1344">
        <f t="shared" si="8"/>
        <v>241.46151266311477</v>
      </c>
      <c r="J70" s="1344">
        <f t="shared" si="9"/>
        <v>882.97350361708357</v>
      </c>
      <c r="K70" s="449">
        <f t="shared" si="4"/>
        <v>0</v>
      </c>
      <c r="L70" s="902">
        <f t="shared" si="5"/>
        <v>0</v>
      </c>
      <c r="M70" s="889"/>
      <c r="N70" s="1607"/>
    </row>
    <row r="71" spans="1:14" ht="15" customHeight="1">
      <c r="A71" s="1586" t="s">
        <v>8657</v>
      </c>
      <c r="B71" s="1606">
        <v>305.72000000000003</v>
      </c>
      <c r="C71" s="1236">
        <v>57</v>
      </c>
      <c r="D71" s="1236">
        <v>432</v>
      </c>
      <c r="E71" s="43">
        <f t="shared" ref="E71:E134" si="10">VLOOKUP(B71,fish_commodity_yield,5,FALSE)</f>
        <v>0</v>
      </c>
      <c r="F71" s="43">
        <f t="shared" ref="F71:F134" si="11">VLOOKUP(B71,fish_commodity_yield,6,FALSE)</f>
        <v>0</v>
      </c>
      <c r="G71" s="1344">
        <f t="shared" si="6"/>
        <v>1</v>
      </c>
      <c r="H71" s="1344">
        <f t="shared" si="7"/>
        <v>0.367192066876738</v>
      </c>
      <c r="I71" s="1344">
        <f t="shared" ref="I71:I102" si="12">IFERROR(C71/E71*H71*G71,0)</f>
        <v>0</v>
      </c>
      <c r="J71" s="1344">
        <f t="shared" ref="J71:J102" si="13">IFERROR(D71/F71*H71*G71,0)</f>
        <v>0</v>
      </c>
      <c r="K71" s="449">
        <f t="shared" ref="K71:K134" si="14">VLOOKUP(B71,fish_commodity_yield,8,FALSE)*C71</f>
        <v>0</v>
      </c>
      <c r="L71" s="902">
        <f t="shared" ref="L71:L134" si="15">VLOOKUP(B71,fish_commodity_yield,9,FALSE)*D71</f>
        <v>0</v>
      </c>
      <c r="M71" s="889"/>
      <c r="N71" s="1607"/>
    </row>
    <row r="72" spans="1:14" ht="15" customHeight="1">
      <c r="A72" s="1586" t="s">
        <v>8750</v>
      </c>
      <c r="B72" s="1606">
        <v>305.2</v>
      </c>
      <c r="C72" s="1236">
        <v>347</v>
      </c>
      <c r="D72" s="1236">
        <v>761</v>
      </c>
      <c r="E72" s="43">
        <f t="shared" si="10"/>
        <v>0</v>
      </c>
      <c r="F72" s="43">
        <f t="shared" si="11"/>
        <v>0</v>
      </c>
      <c r="G72" s="1344">
        <f t="shared" si="6"/>
        <v>1</v>
      </c>
      <c r="H72" s="1344">
        <f t="shared" si="7"/>
        <v>0.367192066876738</v>
      </c>
      <c r="I72" s="1344">
        <f t="shared" si="12"/>
        <v>0</v>
      </c>
      <c r="J72" s="1344">
        <f t="shared" si="13"/>
        <v>0</v>
      </c>
      <c r="K72" s="449">
        <f t="shared" si="14"/>
        <v>0</v>
      </c>
      <c r="L72" s="902">
        <f t="shared" si="15"/>
        <v>0</v>
      </c>
      <c r="M72" s="889"/>
      <c r="N72" s="1607"/>
    </row>
    <row r="73" spans="1:14" ht="15" customHeight="1">
      <c r="A73" s="1586" t="s">
        <v>6259</v>
      </c>
      <c r="B73" s="1606">
        <v>303.89999999999998</v>
      </c>
      <c r="C73" s="1236">
        <v>1176</v>
      </c>
      <c r="D73" s="1236">
        <v>38395</v>
      </c>
      <c r="E73" s="43">
        <f t="shared" si="10"/>
        <v>0</v>
      </c>
      <c r="F73" s="43">
        <f t="shared" si="11"/>
        <v>0</v>
      </c>
      <c r="G73" s="1344">
        <f t="shared" ref="G73:G136" si="16">$G$7</f>
        <v>1</v>
      </c>
      <c r="H73" s="1344">
        <f t="shared" ref="H73:H136" si="17">$H$7</f>
        <v>0.367192066876738</v>
      </c>
      <c r="I73" s="1344">
        <f t="shared" si="12"/>
        <v>0</v>
      </c>
      <c r="J73" s="1344">
        <f t="shared" si="13"/>
        <v>0</v>
      </c>
      <c r="K73" s="449">
        <f t="shared" si="14"/>
        <v>0</v>
      </c>
      <c r="L73" s="902">
        <f t="shared" si="15"/>
        <v>0</v>
      </c>
      <c r="M73" s="889"/>
      <c r="N73" s="1607"/>
    </row>
    <row r="74" spans="1:14" ht="15" customHeight="1">
      <c r="A74" s="1586" t="s">
        <v>8751</v>
      </c>
      <c r="B74" s="1606">
        <v>304.99</v>
      </c>
      <c r="C74" s="1236">
        <v>7542</v>
      </c>
      <c r="D74" s="1236">
        <v>28920</v>
      </c>
      <c r="E74" s="43">
        <f t="shared" si="10"/>
        <v>6.6514095839050005E-2</v>
      </c>
      <c r="F74" s="43">
        <f t="shared" si="11"/>
        <v>8.2886704477655435E-2</v>
      </c>
      <c r="G74" s="1344">
        <f t="shared" si="16"/>
        <v>1</v>
      </c>
      <c r="H74" s="1344">
        <f t="shared" si="17"/>
        <v>0.367192066876738</v>
      </c>
      <c r="I74" s="1344">
        <f t="shared" si="12"/>
        <v>41635.724479900135</v>
      </c>
      <c r="J74" s="1344">
        <f t="shared" si="13"/>
        <v>128116.98379126632</v>
      </c>
      <c r="K74" s="449">
        <f t="shared" si="14"/>
        <v>1219.0247761093262</v>
      </c>
      <c r="L74" s="902">
        <f t="shared" si="15"/>
        <v>4674.3829919227937</v>
      </c>
      <c r="M74" s="889"/>
      <c r="N74" s="1607"/>
    </row>
    <row r="75" spans="1:14" ht="15" customHeight="1">
      <c r="A75" s="1586" t="s">
        <v>6260</v>
      </c>
      <c r="B75" s="1606">
        <v>1504.2</v>
      </c>
      <c r="C75" s="1236">
        <v>21740</v>
      </c>
      <c r="D75" s="1236">
        <v>64941</v>
      </c>
      <c r="E75" s="43">
        <f t="shared" si="10"/>
        <v>0.10924768271672192</v>
      </c>
      <c r="F75" s="43">
        <f t="shared" si="11"/>
        <v>0.5464291312829993</v>
      </c>
      <c r="G75" s="1344">
        <f t="shared" si="16"/>
        <v>1</v>
      </c>
      <c r="H75" s="1344">
        <f t="shared" si="17"/>
        <v>0.367192066876738</v>
      </c>
      <c r="I75" s="1344">
        <f t="shared" si="12"/>
        <v>73070.250419860022</v>
      </c>
      <c r="J75" s="1344">
        <f t="shared" si="13"/>
        <v>43639.36446626293</v>
      </c>
      <c r="K75" s="449">
        <f t="shared" si="14"/>
        <v>0</v>
      </c>
      <c r="L75" s="902">
        <f t="shared" si="15"/>
        <v>0</v>
      </c>
      <c r="M75" s="889"/>
      <c r="N75" s="1607"/>
    </row>
    <row r="76" spans="1:14" ht="15" customHeight="1">
      <c r="A76" s="1586" t="s">
        <v>6261</v>
      </c>
      <c r="B76" s="1606">
        <v>511.91</v>
      </c>
      <c r="C76" s="1236">
        <v>30336</v>
      </c>
      <c r="D76" s="1236">
        <v>35276</v>
      </c>
      <c r="E76" s="43">
        <f t="shared" si="10"/>
        <v>0</v>
      </c>
      <c r="F76" s="43">
        <f t="shared" si="11"/>
        <v>0</v>
      </c>
      <c r="G76" s="1344">
        <f t="shared" si="16"/>
        <v>1</v>
      </c>
      <c r="H76" s="1344">
        <f t="shared" si="17"/>
        <v>0.367192066876738</v>
      </c>
      <c r="I76" s="1344">
        <f t="shared" si="12"/>
        <v>0</v>
      </c>
      <c r="J76" s="1344">
        <f t="shared" si="13"/>
        <v>0</v>
      </c>
      <c r="K76" s="449">
        <f t="shared" si="14"/>
        <v>0</v>
      </c>
      <c r="L76" s="902">
        <f t="shared" si="15"/>
        <v>0</v>
      </c>
      <c r="M76" s="889"/>
      <c r="N76" s="1607"/>
    </row>
    <row r="77" spans="1:14" ht="15" customHeight="1">
      <c r="A77" s="1586" t="s">
        <v>6262</v>
      </c>
      <c r="B77" s="1606">
        <v>1504.1</v>
      </c>
      <c r="C77" s="1236">
        <v>2318</v>
      </c>
      <c r="D77" s="1236">
        <v>908</v>
      </c>
      <c r="E77" s="43">
        <f t="shared" si="10"/>
        <v>2.2750060577905625E-2</v>
      </c>
      <c r="F77" s="43">
        <f t="shared" si="11"/>
        <v>2.2750060577905625E-2</v>
      </c>
      <c r="G77" s="1344">
        <f t="shared" si="16"/>
        <v>1</v>
      </c>
      <c r="H77" s="1344">
        <f t="shared" si="17"/>
        <v>0.367192066876738</v>
      </c>
      <c r="I77" s="1344">
        <f t="shared" si="12"/>
        <v>37413.140422443474</v>
      </c>
      <c r="J77" s="1344">
        <f t="shared" si="13"/>
        <v>14655.363030016684</v>
      </c>
      <c r="K77" s="449">
        <f t="shared" si="14"/>
        <v>0</v>
      </c>
      <c r="L77" s="902">
        <f t="shared" si="15"/>
        <v>0</v>
      </c>
      <c r="M77" s="889"/>
      <c r="N77" s="1607"/>
    </row>
    <row r="78" spans="1:14" ht="15" customHeight="1">
      <c r="A78" s="1586" t="s">
        <v>8658</v>
      </c>
      <c r="B78" s="1606">
        <v>304.43</v>
      </c>
      <c r="C78" s="1236">
        <v>1218</v>
      </c>
      <c r="D78" s="1236">
        <v>409</v>
      </c>
      <c r="E78" s="43">
        <f t="shared" si="10"/>
        <v>0</v>
      </c>
      <c r="F78" s="43">
        <f t="shared" si="11"/>
        <v>0</v>
      </c>
      <c r="G78" s="1344">
        <f t="shared" si="16"/>
        <v>1</v>
      </c>
      <c r="H78" s="1344">
        <f t="shared" si="17"/>
        <v>0.367192066876738</v>
      </c>
      <c r="I78" s="1344">
        <f t="shared" si="12"/>
        <v>0</v>
      </c>
      <c r="J78" s="1344">
        <f t="shared" si="13"/>
        <v>0</v>
      </c>
      <c r="K78" s="449">
        <f t="shared" si="14"/>
        <v>0</v>
      </c>
      <c r="L78" s="902">
        <f t="shared" si="15"/>
        <v>0</v>
      </c>
      <c r="M78" s="889"/>
      <c r="N78" s="1607"/>
    </row>
    <row r="79" spans="1:14" ht="15" customHeight="1">
      <c r="A79" s="1586" t="s">
        <v>8635</v>
      </c>
      <c r="B79" s="1606">
        <v>304.83</v>
      </c>
      <c r="C79" s="1236">
        <v>23051</v>
      </c>
      <c r="D79" s="1236">
        <v>1246</v>
      </c>
      <c r="E79" s="43">
        <f t="shared" si="10"/>
        <v>0</v>
      </c>
      <c r="F79" s="43">
        <f t="shared" si="11"/>
        <v>0</v>
      </c>
      <c r="G79" s="1344">
        <f t="shared" si="16"/>
        <v>1</v>
      </c>
      <c r="H79" s="1344">
        <f t="shared" si="17"/>
        <v>0.367192066876738</v>
      </c>
      <c r="I79" s="1344">
        <f t="shared" si="12"/>
        <v>0</v>
      </c>
      <c r="J79" s="1344">
        <f t="shared" si="13"/>
        <v>0</v>
      </c>
      <c r="K79" s="449">
        <f t="shared" si="14"/>
        <v>0</v>
      </c>
      <c r="L79" s="902">
        <f t="shared" si="15"/>
        <v>0</v>
      </c>
      <c r="M79" s="889"/>
      <c r="N79" s="1607"/>
    </row>
    <row r="80" spans="1:14" ht="15" customHeight="1">
      <c r="A80" s="1586" t="s">
        <v>6264</v>
      </c>
      <c r="B80" s="1606">
        <v>302.36</v>
      </c>
      <c r="C80" s="1236">
        <v>21</v>
      </c>
      <c r="D80" s="1236">
        <v>70</v>
      </c>
      <c r="E80" s="43">
        <f t="shared" si="10"/>
        <v>6.781203179378241E-3</v>
      </c>
      <c r="F80" s="43">
        <f t="shared" si="11"/>
        <v>6.4470553414621408E-3</v>
      </c>
      <c r="G80" s="1344">
        <f t="shared" si="16"/>
        <v>1</v>
      </c>
      <c r="H80" s="1344">
        <f t="shared" si="17"/>
        <v>0.367192066876738</v>
      </c>
      <c r="I80" s="1344">
        <f t="shared" si="12"/>
        <v>1137.1187679291024</v>
      </c>
      <c r="J80" s="1344">
        <f t="shared" si="13"/>
        <v>3986.8503246851797</v>
      </c>
      <c r="K80" s="449">
        <f t="shared" si="14"/>
        <v>7.7904053438223805E-2</v>
      </c>
      <c r="L80" s="902">
        <f t="shared" si="15"/>
        <v>0.25968017812741268</v>
      </c>
      <c r="M80" s="889"/>
      <c r="N80" s="1607"/>
    </row>
    <row r="81" spans="1:14" ht="15" customHeight="1">
      <c r="A81" s="1586" t="s">
        <v>8660</v>
      </c>
      <c r="B81" s="1606">
        <v>304.79000000000002</v>
      </c>
      <c r="C81" s="1236">
        <v>14929</v>
      </c>
      <c r="D81" s="1236">
        <v>585</v>
      </c>
      <c r="E81" s="43">
        <f t="shared" si="10"/>
        <v>6.1817043760845052E-3</v>
      </c>
      <c r="F81" s="43">
        <f t="shared" si="11"/>
        <v>8.7077271928553621E-3</v>
      </c>
      <c r="G81" s="1344">
        <f t="shared" si="16"/>
        <v>1</v>
      </c>
      <c r="H81" s="1344">
        <f t="shared" si="17"/>
        <v>0.367192066876738</v>
      </c>
      <c r="I81" s="1344">
        <f t="shared" si="12"/>
        <v>886779.76701872039</v>
      </c>
      <c r="J81" s="1344">
        <f t="shared" si="13"/>
        <v>24668.590823463081</v>
      </c>
      <c r="K81" s="449">
        <f t="shared" si="14"/>
        <v>11.104790305980725</v>
      </c>
      <c r="L81" s="902">
        <f t="shared" si="15"/>
        <v>0.43514651543966265</v>
      </c>
      <c r="M81" s="889"/>
      <c r="N81" s="1607"/>
    </row>
    <row r="82" spans="1:14" ht="15" customHeight="1">
      <c r="A82" s="1586" t="s">
        <v>8661</v>
      </c>
      <c r="B82" s="1606">
        <v>305.32</v>
      </c>
      <c r="C82" s="1236">
        <v>1455</v>
      </c>
      <c r="D82" s="1236"/>
      <c r="E82" s="43">
        <f t="shared" si="10"/>
        <v>5.912934620602571E-3</v>
      </c>
      <c r="F82" s="43">
        <f t="shared" si="11"/>
        <v>8.3291303583833912E-3</v>
      </c>
      <c r="G82" s="1344">
        <f t="shared" si="16"/>
        <v>1</v>
      </c>
      <c r="H82" s="1344">
        <f t="shared" si="17"/>
        <v>0.367192066876738</v>
      </c>
      <c r="I82" s="1344">
        <f t="shared" si="12"/>
        <v>90355.211343637071</v>
      </c>
      <c r="J82" s="1344">
        <f t="shared" si="13"/>
        <v>0</v>
      </c>
      <c r="K82" s="449">
        <f t="shared" si="14"/>
        <v>1.035231509418328</v>
      </c>
      <c r="L82" s="902">
        <f t="shared" si="15"/>
        <v>0</v>
      </c>
      <c r="M82" s="889"/>
      <c r="N82" s="1607"/>
    </row>
    <row r="83" spans="1:14" ht="15" customHeight="1">
      <c r="A83" s="1586" t="s">
        <v>8662</v>
      </c>
      <c r="B83" s="1606">
        <v>304.44</v>
      </c>
      <c r="C83" s="1236">
        <v>6213</v>
      </c>
      <c r="D83" s="1236">
        <v>1152</v>
      </c>
      <c r="E83" s="43">
        <f t="shared" si="10"/>
        <v>6.1817043760845052E-3</v>
      </c>
      <c r="F83" s="43">
        <f t="shared" si="11"/>
        <v>8.7077271928553621E-3</v>
      </c>
      <c r="G83" s="1344">
        <f t="shared" si="16"/>
        <v>1</v>
      </c>
      <c r="H83" s="1344">
        <f t="shared" si="17"/>
        <v>0.367192066876738</v>
      </c>
      <c r="I83" s="1344">
        <f t="shared" si="12"/>
        <v>369051.02099854709</v>
      </c>
      <c r="J83" s="1344">
        <f t="shared" si="13"/>
        <v>48578.148083127307</v>
      </c>
      <c r="K83" s="449">
        <f t="shared" si="14"/>
        <v>4.6214791460284168</v>
      </c>
      <c r="L83" s="902">
        <f t="shared" si="15"/>
        <v>0.85690390732733568</v>
      </c>
      <c r="M83" s="889"/>
      <c r="N83" s="1607"/>
    </row>
    <row r="84" spans="1:14" ht="15" customHeight="1">
      <c r="A84" s="1586" t="s">
        <v>8663</v>
      </c>
      <c r="B84" s="1606">
        <v>304.52999999999997</v>
      </c>
      <c r="C84" s="1236">
        <v>1075</v>
      </c>
      <c r="D84" s="1236">
        <v>119</v>
      </c>
      <c r="E84" s="43">
        <f t="shared" si="10"/>
        <v>1.3599749627385912E-2</v>
      </c>
      <c r="F84" s="43">
        <f t="shared" si="11"/>
        <v>1.9156999824281797E-2</v>
      </c>
      <c r="G84" s="1344">
        <f t="shared" si="16"/>
        <v>1</v>
      </c>
      <c r="H84" s="1344">
        <f t="shared" si="17"/>
        <v>0.367192066876738</v>
      </c>
      <c r="I84" s="1344">
        <f t="shared" si="12"/>
        <v>29024.907274588335</v>
      </c>
      <c r="J84" s="1344">
        <f t="shared" si="13"/>
        <v>2280.934194244061</v>
      </c>
      <c r="K84" s="449">
        <f t="shared" si="14"/>
        <v>1.7591820666919695</v>
      </c>
      <c r="L84" s="902">
        <f t="shared" si="15"/>
        <v>0.19473736366171571</v>
      </c>
      <c r="M84" s="889"/>
      <c r="N84" s="1607"/>
    </row>
    <row r="85" spans="1:14" ht="15" customHeight="1">
      <c r="A85" s="1586" t="s">
        <v>6267</v>
      </c>
      <c r="B85" s="1606">
        <v>302.20999999999998</v>
      </c>
      <c r="C85" s="1236">
        <v>4434</v>
      </c>
      <c r="D85" s="1236">
        <v>2158</v>
      </c>
      <c r="E85" s="43">
        <f t="shared" si="10"/>
        <v>7.6811006923584576E-3</v>
      </c>
      <c r="F85" s="43">
        <f t="shared" si="11"/>
        <v>1.102208049686546E-2</v>
      </c>
      <c r="G85" s="1344">
        <f t="shared" si="16"/>
        <v>1</v>
      </c>
      <c r="H85" s="1344">
        <f t="shared" si="17"/>
        <v>0.367192066876738</v>
      </c>
      <c r="I85" s="1344">
        <f t="shared" si="12"/>
        <v>211965.6660862682</v>
      </c>
      <c r="J85" s="1344">
        <f t="shared" si="13"/>
        <v>71892.097008849581</v>
      </c>
      <c r="K85" s="449">
        <f t="shared" si="14"/>
        <v>21.191182275269817</v>
      </c>
      <c r="L85" s="902">
        <f t="shared" si="15"/>
        <v>10.313615550300465</v>
      </c>
      <c r="M85" s="889"/>
      <c r="N85" s="1607"/>
    </row>
    <row r="86" spans="1:14" ht="15" customHeight="1">
      <c r="A86" s="1586" t="s">
        <v>6268</v>
      </c>
      <c r="B86" s="1606">
        <v>303.31</v>
      </c>
      <c r="C86" s="1236">
        <v>735</v>
      </c>
      <c r="D86" s="1236">
        <v>2059</v>
      </c>
      <c r="E86" s="43">
        <f t="shared" si="10"/>
        <v>6.4901651903842674E-3</v>
      </c>
      <c r="F86" s="43">
        <f t="shared" si="11"/>
        <v>9.3131344102201728E-3</v>
      </c>
      <c r="G86" s="1344">
        <f t="shared" si="16"/>
        <v>1</v>
      </c>
      <c r="H86" s="1344">
        <f t="shared" si="17"/>
        <v>0.367192066876738</v>
      </c>
      <c r="I86" s="1344">
        <f t="shared" si="12"/>
        <v>41583.867472936094</v>
      </c>
      <c r="J86" s="1344">
        <f t="shared" si="13"/>
        <v>81180.882009983761</v>
      </c>
      <c r="K86" s="449">
        <f t="shared" si="14"/>
        <v>2.9681041065705194</v>
      </c>
      <c r="L86" s="902">
        <f t="shared" si="15"/>
        <v>8.3147297352771421</v>
      </c>
      <c r="M86" s="889"/>
      <c r="N86" s="1607"/>
    </row>
    <row r="87" spans="1:14" ht="15" customHeight="1">
      <c r="A87" s="1586" t="s">
        <v>8664</v>
      </c>
      <c r="B87" s="1606">
        <v>304.72000000000003</v>
      </c>
      <c r="C87" s="1236">
        <v>20710</v>
      </c>
      <c r="D87" s="1236">
        <v>283</v>
      </c>
      <c r="E87" s="43">
        <f t="shared" si="10"/>
        <v>1.2755186561344318E-2</v>
      </c>
      <c r="F87" s="43">
        <f t="shared" si="11"/>
        <v>1.2755186561344318E-2</v>
      </c>
      <c r="G87" s="1344">
        <f t="shared" si="16"/>
        <v>1</v>
      </c>
      <c r="H87" s="1344">
        <f t="shared" si="17"/>
        <v>0.367192066876738</v>
      </c>
      <c r="I87" s="1344">
        <f t="shared" si="12"/>
        <v>596192.58945717616</v>
      </c>
      <c r="J87" s="1344">
        <f t="shared" si="13"/>
        <v>8146.9098414476521</v>
      </c>
      <c r="K87" s="449">
        <f t="shared" si="14"/>
        <v>0</v>
      </c>
      <c r="L87" s="902">
        <f t="shared" si="15"/>
        <v>0</v>
      </c>
      <c r="M87" s="889"/>
      <c r="N87" s="1607"/>
    </row>
    <row r="88" spans="1:14" ht="15" customHeight="1">
      <c r="A88" s="1586" t="s">
        <v>8665</v>
      </c>
      <c r="B88" s="1606">
        <v>302.52</v>
      </c>
      <c r="C88" s="1236">
        <v>2257</v>
      </c>
      <c r="D88" s="1236">
        <v>99</v>
      </c>
      <c r="E88" s="43">
        <f t="shared" si="10"/>
        <v>1.5505797292060209E-2</v>
      </c>
      <c r="F88" s="43">
        <f t="shared" si="11"/>
        <v>1.5505797292060209E-2</v>
      </c>
      <c r="G88" s="1344">
        <f t="shared" si="16"/>
        <v>1</v>
      </c>
      <c r="H88" s="1344">
        <f t="shared" si="17"/>
        <v>0.367192066876738</v>
      </c>
      <c r="I88" s="1344">
        <f t="shared" si="12"/>
        <v>53447.912373081454</v>
      </c>
      <c r="J88" s="1344">
        <f t="shared" si="13"/>
        <v>2344.4144106934264</v>
      </c>
      <c r="K88" s="449">
        <f t="shared" si="14"/>
        <v>0</v>
      </c>
      <c r="L88" s="902">
        <f t="shared" si="15"/>
        <v>0</v>
      </c>
      <c r="M88" s="889"/>
      <c r="N88" s="1607"/>
    </row>
    <row r="89" spans="1:14" ht="15" customHeight="1">
      <c r="A89" s="1586" t="s">
        <v>8666</v>
      </c>
      <c r="B89" s="1606">
        <v>303.64</v>
      </c>
      <c r="C89" s="1236">
        <v>7053</v>
      </c>
      <c r="D89" s="1236">
        <v>58</v>
      </c>
      <c r="E89" s="43">
        <f t="shared" si="10"/>
        <v>1.5505797292060209E-2</v>
      </c>
      <c r="F89" s="43">
        <f t="shared" si="11"/>
        <v>1.5505797292060209E-2</v>
      </c>
      <c r="G89" s="1344">
        <f t="shared" si="16"/>
        <v>1</v>
      </c>
      <c r="H89" s="1344">
        <f t="shared" si="17"/>
        <v>0.367192066876738</v>
      </c>
      <c r="I89" s="1344">
        <f t="shared" si="12"/>
        <v>167021.76604667411</v>
      </c>
      <c r="J89" s="1344">
        <f t="shared" si="13"/>
        <v>1373.4953113153406</v>
      </c>
      <c r="K89" s="449">
        <f t="shared" si="14"/>
        <v>0</v>
      </c>
      <c r="L89" s="902">
        <f t="shared" si="15"/>
        <v>0</v>
      </c>
      <c r="M89" s="889"/>
      <c r="N89" s="1607"/>
    </row>
    <row r="90" spans="1:14" ht="15" customHeight="1">
      <c r="A90" s="1586" t="s">
        <v>8636</v>
      </c>
      <c r="B90" s="1606">
        <v>304.74</v>
      </c>
      <c r="C90" s="1236">
        <v>2934</v>
      </c>
      <c r="D90" s="1236">
        <v>9122</v>
      </c>
      <c r="E90" s="43">
        <f t="shared" si="10"/>
        <v>7.5049452914522814E-3</v>
      </c>
      <c r="F90" s="43">
        <f t="shared" si="11"/>
        <v>6.9150342754092332E-3</v>
      </c>
      <c r="G90" s="1344">
        <f t="shared" si="16"/>
        <v>1</v>
      </c>
      <c r="H90" s="1344">
        <f t="shared" si="17"/>
        <v>0.367192066876738</v>
      </c>
      <c r="I90" s="1344">
        <f t="shared" si="12"/>
        <v>143550.88310149068</v>
      </c>
      <c r="J90" s="1344">
        <f t="shared" si="13"/>
        <v>484383.1426781147</v>
      </c>
      <c r="K90" s="449">
        <f t="shared" si="14"/>
        <v>0</v>
      </c>
      <c r="L90" s="902">
        <f t="shared" si="15"/>
        <v>0</v>
      </c>
      <c r="M90" s="889"/>
      <c r="N90" s="1607"/>
    </row>
    <row r="91" spans="1:14" ht="15" customHeight="1">
      <c r="A91" s="1586" t="s">
        <v>8659</v>
      </c>
      <c r="B91" s="1606">
        <v>302.54000000000002</v>
      </c>
      <c r="C91" s="1236">
        <v>6316</v>
      </c>
      <c r="D91" s="1236">
        <v>932</v>
      </c>
      <c r="E91" s="43">
        <f t="shared" si="10"/>
        <v>9.5274605351648948E-3</v>
      </c>
      <c r="F91" s="43">
        <f t="shared" si="11"/>
        <v>8.7785738069684309E-3</v>
      </c>
      <c r="G91" s="1344">
        <f t="shared" si="16"/>
        <v>1</v>
      </c>
      <c r="H91" s="1344">
        <f t="shared" si="17"/>
        <v>0.367192066876738</v>
      </c>
      <c r="I91" s="1344">
        <f t="shared" si="12"/>
        <v>243421.11791842111</v>
      </c>
      <c r="J91" s="1344">
        <f t="shared" si="13"/>
        <v>38983.895773304685</v>
      </c>
      <c r="K91" s="449">
        <f t="shared" si="14"/>
        <v>0</v>
      </c>
      <c r="L91" s="902">
        <f t="shared" si="15"/>
        <v>0</v>
      </c>
      <c r="M91" s="889"/>
      <c r="N91" s="1607"/>
    </row>
    <row r="92" spans="1:14" ht="15" customHeight="1">
      <c r="A92" s="1586" t="s">
        <v>8669</v>
      </c>
      <c r="B92" s="1606">
        <v>303.66000000000003</v>
      </c>
      <c r="C92" s="1236">
        <v>1034</v>
      </c>
      <c r="D92" s="1236">
        <v>53435</v>
      </c>
      <c r="E92" s="43">
        <f t="shared" si="10"/>
        <v>9.5274605351648948E-3</v>
      </c>
      <c r="F92" s="43">
        <f t="shared" si="11"/>
        <v>8.7785738069684309E-3</v>
      </c>
      <c r="G92" s="1344">
        <f t="shared" si="16"/>
        <v>1</v>
      </c>
      <c r="H92" s="1344">
        <f t="shared" si="17"/>
        <v>0.367192066876738</v>
      </c>
      <c r="I92" s="1344">
        <f t="shared" si="12"/>
        <v>39850.765663022074</v>
      </c>
      <c r="J92" s="1344">
        <f t="shared" si="13"/>
        <v>2235090.6337409182</v>
      </c>
      <c r="K92" s="449">
        <f t="shared" si="14"/>
        <v>0</v>
      </c>
      <c r="L92" s="902">
        <f t="shared" si="15"/>
        <v>0</v>
      </c>
      <c r="M92" s="889"/>
      <c r="N92" s="1607"/>
    </row>
    <row r="93" spans="1:14" ht="15" customHeight="1">
      <c r="A93" s="1586" t="s">
        <v>8670</v>
      </c>
      <c r="B93" s="1606">
        <v>304.86</v>
      </c>
      <c r="C93" s="1236">
        <v>466</v>
      </c>
      <c r="D93" s="1236">
        <v>182</v>
      </c>
      <c r="E93" s="43">
        <f t="shared" si="10"/>
        <v>0.11836244440883907</v>
      </c>
      <c r="F93" s="43">
        <f t="shared" si="11"/>
        <v>0.11983258290279465</v>
      </c>
      <c r="G93" s="1344">
        <f t="shared" si="16"/>
        <v>1</v>
      </c>
      <c r="H93" s="1344">
        <f t="shared" si="17"/>
        <v>0.367192066876738</v>
      </c>
      <c r="I93" s="1344">
        <f t="shared" si="12"/>
        <v>1445.6570580235639</v>
      </c>
      <c r="J93" s="1344">
        <f t="shared" si="13"/>
        <v>557.68601955092947</v>
      </c>
      <c r="K93" s="449">
        <f t="shared" si="14"/>
        <v>0</v>
      </c>
      <c r="L93" s="902">
        <f t="shared" si="15"/>
        <v>0</v>
      </c>
      <c r="M93" s="889"/>
      <c r="N93" s="1607"/>
    </row>
    <row r="94" spans="1:14" ht="15" customHeight="1">
      <c r="A94" s="1586" t="s">
        <v>8671</v>
      </c>
      <c r="B94" s="1606">
        <v>302.41000000000003</v>
      </c>
      <c r="C94" s="1236">
        <v>329</v>
      </c>
      <c r="D94" s="1236">
        <v>3267</v>
      </c>
      <c r="E94" s="43">
        <f t="shared" si="10"/>
        <v>0.13409815996828692</v>
      </c>
      <c r="F94" s="43">
        <f t="shared" si="11"/>
        <v>0.13576374627754764</v>
      </c>
      <c r="G94" s="1344">
        <f t="shared" si="16"/>
        <v>1</v>
      </c>
      <c r="H94" s="1344">
        <f t="shared" si="17"/>
        <v>0.367192066876738</v>
      </c>
      <c r="I94" s="1344">
        <f t="shared" si="12"/>
        <v>900.87880423576621</v>
      </c>
      <c r="J94" s="1344">
        <f t="shared" si="13"/>
        <v>8836.0590759912866</v>
      </c>
      <c r="K94" s="449">
        <f t="shared" si="14"/>
        <v>0</v>
      </c>
      <c r="L94" s="902">
        <f t="shared" si="15"/>
        <v>0</v>
      </c>
      <c r="M94" s="889"/>
      <c r="N94" s="1607"/>
    </row>
    <row r="95" spans="1:14" ht="15" customHeight="1">
      <c r="A95" s="1586" t="s">
        <v>6271</v>
      </c>
      <c r="B95" s="1606">
        <v>303.51</v>
      </c>
      <c r="C95" s="1236">
        <v>2295</v>
      </c>
      <c r="D95" s="1236">
        <v>43141</v>
      </c>
      <c r="E95" s="43">
        <f t="shared" si="10"/>
        <v>0.11836244440883907</v>
      </c>
      <c r="F95" s="43">
        <f t="shared" si="11"/>
        <v>0.11983258290279465</v>
      </c>
      <c r="G95" s="1344">
        <f t="shared" si="16"/>
        <v>1</v>
      </c>
      <c r="H95" s="1344">
        <f t="shared" si="17"/>
        <v>0.367192066876738</v>
      </c>
      <c r="I95" s="1344">
        <f t="shared" si="12"/>
        <v>7119.7058973478079</v>
      </c>
      <c r="J95" s="1344">
        <f t="shared" si="13"/>
        <v>132193.03609586071</v>
      </c>
      <c r="K95" s="449">
        <f t="shared" si="14"/>
        <v>0</v>
      </c>
      <c r="L95" s="902">
        <f t="shared" si="15"/>
        <v>0</v>
      </c>
      <c r="M95" s="889"/>
      <c r="N95" s="1607"/>
    </row>
    <row r="96" spans="1:14" ht="15" customHeight="1">
      <c r="A96" s="1586" t="s">
        <v>6272</v>
      </c>
      <c r="B96" s="1606">
        <v>305.42</v>
      </c>
      <c r="C96" s="1236">
        <v>860</v>
      </c>
      <c r="D96" s="1236">
        <v>16</v>
      </c>
      <c r="E96" s="43">
        <f t="shared" si="10"/>
        <v>0.11347243836577441</v>
      </c>
      <c r="F96" s="43">
        <f t="shared" si="11"/>
        <v>0.11488183980622041</v>
      </c>
      <c r="G96" s="1344">
        <f t="shared" si="16"/>
        <v>1</v>
      </c>
      <c r="H96" s="1344">
        <f t="shared" si="17"/>
        <v>0.367192066876738</v>
      </c>
      <c r="I96" s="1344">
        <f t="shared" si="12"/>
        <v>2782.9240480060212</v>
      </c>
      <c r="J96" s="1344">
        <f t="shared" si="13"/>
        <v>51.140137378873135</v>
      </c>
      <c r="K96" s="449">
        <f t="shared" si="14"/>
        <v>0</v>
      </c>
      <c r="L96" s="902">
        <f t="shared" si="15"/>
        <v>0</v>
      </c>
      <c r="M96" s="889"/>
      <c r="N96" s="1607"/>
    </row>
    <row r="97" spans="1:14" ht="15" customHeight="1">
      <c r="A97" s="1586" t="s">
        <v>6273</v>
      </c>
      <c r="B97" s="1606">
        <v>1604.12</v>
      </c>
      <c r="C97" s="1236">
        <v>12439</v>
      </c>
      <c r="D97" s="1236">
        <v>43</v>
      </c>
      <c r="E97" s="43">
        <f t="shared" si="10"/>
        <v>0.11347243836577441</v>
      </c>
      <c r="F97" s="43">
        <f t="shared" si="11"/>
        <v>0.11488183980622041</v>
      </c>
      <c r="G97" s="1344">
        <f t="shared" si="16"/>
        <v>1</v>
      </c>
      <c r="H97" s="1344">
        <f t="shared" si="17"/>
        <v>0.367192066876738</v>
      </c>
      <c r="I97" s="1344">
        <f t="shared" si="12"/>
        <v>40252.083992031279</v>
      </c>
      <c r="J97" s="1344">
        <f t="shared" si="13"/>
        <v>137.43911920572157</v>
      </c>
      <c r="K97" s="449">
        <f t="shared" si="14"/>
        <v>0</v>
      </c>
      <c r="L97" s="902">
        <f t="shared" si="15"/>
        <v>0</v>
      </c>
      <c r="M97" s="889"/>
      <c r="N97" s="1607"/>
    </row>
    <row r="98" spans="1:14" ht="15" customHeight="1">
      <c r="A98" s="1586" t="s">
        <v>6274</v>
      </c>
      <c r="B98" s="1606">
        <v>305.61</v>
      </c>
      <c r="C98" s="1236">
        <v>112</v>
      </c>
      <c r="D98" s="1236">
        <v>17</v>
      </c>
      <c r="E98" s="43">
        <f t="shared" si="10"/>
        <v>0.11347243836577441</v>
      </c>
      <c r="F98" s="43">
        <f t="shared" si="11"/>
        <v>0.11488183980622041</v>
      </c>
      <c r="G98" s="1344">
        <f t="shared" si="16"/>
        <v>1</v>
      </c>
      <c r="H98" s="1344">
        <f t="shared" si="17"/>
        <v>0.367192066876738</v>
      </c>
      <c r="I98" s="1344">
        <f t="shared" si="12"/>
        <v>362.42731787985394</v>
      </c>
      <c r="J98" s="1344">
        <f t="shared" si="13"/>
        <v>54.336395965052709</v>
      </c>
      <c r="K98" s="449">
        <f t="shared" si="14"/>
        <v>0</v>
      </c>
      <c r="L98" s="902">
        <f t="shared" si="15"/>
        <v>0</v>
      </c>
      <c r="M98" s="889"/>
      <c r="N98" s="1607"/>
    </row>
    <row r="99" spans="1:14" ht="15" customHeight="1">
      <c r="A99" s="1586" t="s">
        <v>8672</v>
      </c>
      <c r="B99" s="1606">
        <v>302.45</v>
      </c>
      <c r="C99" s="1236">
        <v>1120</v>
      </c>
      <c r="D99" s="1236">
        <v>127</v>
      </c>
      <c r="E99" s="43">
        <f t="shared" si="10"/>
        <v>6.2939022827777219E-2</v>
      </c>
      <c r="F99" s="43">
        <f t="shared" si="11"/>
        <v>6.0782488826240037E-2</v>
      </c>
      <c r="G99" s="1344">
        <f t="shared" si="16"/>
        <v>1</v>
      </c>
      <c r="H99" s="1344">
        <f t="shared" si="17"/>
        <v>0.367192066876738</v>
      </c>
      <c r="I99" s="1344">
        <f t="shared" si="12"/>
        <v>6534.1833480205405</v>
      </c>
      <c r="J99" s="1344">
        <f t="shared" si="13"/>
        <v>767.21755548143847</v>
      </c>
      <c r="K99" s="449">
        <f t="shared" si="14"/>
        <v>0.18703900706024815</v>
      </c>
      <c r="L99" s="902">
        <f t="shared" si="15"/>
        <v>2.1208887407724569E-2</v>
      </c>
      <c r="M99" s="889"/>
      <c r="N99" s="1607"/>
    </row>
    <row r="100" spans="1:14" ht="15" customHeight="1">
      <c r="A100" s="1586" t="s">
        <v>8703</v>
      </c>
      <c r="B100" s="1606">
        <v>303.55</v>
      </c>
      <c r="C100" s="1236">
        <v>692</v>
      </c>
      <c r="D100" s="1236">
        <v>87</v>
      </c>
      <c r="E100" s="43">
        <f t="shared" si="10"/>
        <v>3.5364080782237253E-2</v>
      </c>
      <c r="F100" s="43">
        <f t="shared" si="11"/>
        <v>3.4152370793528244E-2</v>
      </c>
      <c r="G100" s="1344">
        <f t="shared" si="16"/>
        <v>1</v>
      </c>
      <c r="H100" s="1344">
        <f t="shared" si="17"/>
        <v>0.367192066876738</v>
      </c>
      <c r="I100" s="1344">
        <f t="shared" si="12"/>
        <v>7185.1693768986934</v>
      </c>
      <c r="J100" s="1344">
        <f t="shared" si="13"/>
        <v>935.3877659447819</v>
      </c>
      <c r="K100" s="449">
        <f t="shared" si="14"/>
        <v>6.4932576837385791E-2</v>
      </c>
      <c r="L100" s="902">
        <f t="shared" si="15"/>
        <v>8.1634887064343416E-3</v>
      </c>
      <c r="M100" s="889"/>
      <c r="N100" s="1607"/>
    </row>
    <row r="101" spans="1:14" ht="15" customHeight="1">
      <c r="A101" s="1586" t="s">
        <v>8674</v>
      </c>
      <c r="B101" s="1606">
        <v>308.3</v>
      </c>
      <c r="C101" s="1236">
        <v>600</v>
      </c>
      <c r="D101" s="1236">
        <v>455</v>
      </c>
      <c r="E101" s="43">
        <f t="shared" si="10"/>
        <v>0</v>
      </c>
      <c r="F101" s="43">
        <f t="shared" si="11"/>
        <v>0</v>
      </c>
      <c r="G101" s="1344">
        <f t="shared" si="16"/>
        <v>1</v>
      </c>
      <c r="H101" s="1344">
        <f t="shared" si="17"/>
        <v>0.367192066876738</v>
      </c>
      <c r="I101" s="1344">
        <f t="shared" si="12"/>
        <v>0</v>
      </c>
      <c r="J101" s="1344">
        <f t="shared" si="13"/>
        <v>0</v>
      </c>
      <c r="K101" s="449">
        <f t="shared" si="14"/>
        <v>0</v>
      </c>
      <c r="L101" s="902">
        <f t="shared" si="15"/>
        <v>0</v>
      </c>
      <c r="M101" s="889"/>
      <c r="N101" s="1607"/>
    </row>
    <row r="102" spans="1:14" ht="15" customHeight="1">
      <c r="A102" s="1586" t="s">
        <v>8715</v>
      </c>
      <c r="B102" s="1606">
        <v>1605.63</v>
      </c>
      <c r="C102" s="1236">
        <v>809</v>
      </c>
      <c r="D102" s="1236">
        <v>0</v>
      </c>
      <c r="E102" s="43">
        <f t="shared" si="10"/>
        <v>3.2386698735102026E-2</v>
      </c>
      <c r="F102" s="43">
        <f t="shared" si="11"/>
        <v>4.035876445737159E-2</v>
      </c>
      <c r="G102" s="1344">
        <f t="shared" si="16"/>
        <v>1</v>
      </c>
      <c r="H102" s="1344">
        <f t="shared" si="17"/>
        <v>0.367192066876738</v>
      </c>
      <c r="I102" s="1344">
        <f t="shared" si="12"/>
        <v>9172.2340869931595</v>
      </c>
      <c r="J102" s="1344">
        <f t="shared" si="13"/>
        <v>0</v>
      </c>
      <c r="K102" s="449">
        <f t="shared" si="14"/>
        <v>63.668924773491966</v>
      </c>
      <c r="L102" s="902">
        <f t="shared" si="15"/>
        <v>0</v>
      </c>
      <c r="M102" s="889"/>
      <c r="N102" s="1607"/>
    </row>
    <row r="103" spans="1:14" ht="15" customHeight="1">
      <c r="A103" s="1586" t="s">
        <v>6275</v>
      </c>
      <c r="B103" s="1606">
        <v>302.89999999999998</v>
      </c>
      <c r="C103" s="1236">
        <v>100</v>
      </c>
      <c r="D103" s="1236">
        <v>1450</v>
      </c>
      <c r="E103" s="43">
        <f t="shared" si="10"/>
        <v>0</v>
      </c>
      <c r="F103" s="43">
        <f t="shared" si="11"/>
        <v>0</v>
      </c>
      <c r="G103" s="1344">
        <f t="shared" si="16"/>
        <v>1</v>
      </c>
      <c r="H103" s="1344">
        <f t="shared" si="17"/>
        <v>0.367192066876738</v>
      </c>
      <c r="I103" s="1344">
        <f t="shared" ref="I103:I134" si="18">IFERROR(C103/E103*H103*G103,0)</f>
        <v>0</v>
      </c>
      <c r="J103" s="1344">
        <f t="shared" ref="J103:J134" si="19">IFERROR(D103/F103*H103*G103,0)</f>
        <v>0</v>
      </c>
      <c r="K103" s="449">
        <f t="shared" si="14"/>
        <v>0</v>
      </c>
      <c r="L103" s="902">
        <f t="shared" si="15"/>
        <v>0</v>
      </c>
      <c r="M103" s="889"/>
      <c r="N103" s="1607"/>
    </row>
    <row r="104" spans="1:14" ht="15" customHeight="1">
      <c r="A104" s="1586" t="s">
        <v>6276</v>
      </c>
      <c r="B104" s="1606">
        <v>1605.3</v>
      </c>
      <c r="C104" s="1236">
        <v>8204</v>
      </c>
      <c r="D104" s="1236">
        <v>3055</v>
      </c>
      <c r="E104" s="43">
        <f t="shared" si="10"/>
        <v>7.8134118516942241E-2</v>
      </c>
      <c r="F104" s="43">
        <f t="shared" si="11"/>
        <v>6.3636707091675682E-2</v>
      </c>
      <c r="G104" s="1344">
        <f t="shared" si="16"/>
        <v>1</v>
      </c>
      <c r="H104" s="1344">
        <f t="shared" si="17"/>
        <v>0.367192066876738</v>
      </c>
      <c r="I104" s="1344">
        <f t="shared" si="18"/>
        <v>38554.779574348868</v>
      </c>
      <c r="J104" s="1344">
        <f t="shared" si="19"/>
        <v>17627.746870880652</v>
      </c>
      <c r="K104" s="449">
        <f t="shared" si="14"/>
        <v>0.64428697761585751</v>
      </c>
      <c r="L104" s="902">
        <f t="shared" si="15"/>
        <v>0.23991915122092206</v>
      </c>
      <c r="M104" s="889"/>
      <c r="N104" s="1607"/>
    </row>
    <row r="105" spans="1:14" ht="15" customHeight="1">
      <c r="A105" s="1586" t="s">
        <v>6277</v>
      </c>
      <c r="B105" s="1606">
        <v>306.12</v>
      </c>
      <c r="C105" s="1236">
        <v>15669</v>
      </c>
      <c r="D105" s="1236">
        <v>2615</v>
      </c>
      <c r="E105" s="43">
        <f t="shared" si="10"/>
        <v>7.8134118516942241E-2</v>
      </c>
      <c r="F105" s="43">
        <f t="shared" si="11"/>
        <v>6.3636707091675682E-2</v>
      </c>
      <c r="G105" s="1344">
        <f t="shared" si="16"/>
        <v>1</v>
      </c>
      <c r="H105" s="1344">
        <f t="shared" si="17"/>
        <v>0.367192066876738</v>
      </c>
      <c r="I105" s="1344">
        <f t="shared" si="18"/>
        <v>73636.62130064267</v>
      </c>
      <c r="J105" s="1344">
        <f t="shared" si="19"/>
        <v>15088.889711081147</v>
      </c>
      <c r="K105" s="449">
        <f t="shared" si="14"/>
        <v>1.2305378659511057</v>
      </c>
      <c r="L105" s="902">
        <f t="shared" si="15"/>
        <v>0.20536451078321152</v>
      </c>
      <c r="M105" s="889"/>
      <c r="N105" s="1607"/>
    </row>
    <row r="106" spans="1:14" ht="15" customHeight="1">
      <c r="A106" s="1586" t="s">
        <v>6344</v>
      </c>
      <c r="B106" s="1606">
        <v>306.22000000000003</v>
      </c>
      <c r="C106" s="1236">
        <v>251</v>
      </c>
      <c r="D106" s="1236">
        <v>43047</v>
      </c>
      <c r="E106" s="43">
        <f t="shared" si="10"/>
        <v>7.8134118516942241E-2</v>
      </c>
      <c r="F106" s="43">
        <f t="shared" si="11"/>
        <v>6.3636707091675682E-2</v>
      </c>
      <c r="G106" s="1344">
        <f t="shared" si="16"/>
        <v>1</v>
      </c>
      <c r="H106" s="1344">
        <f t="shared" si="17"/>
        <v>0.367192066876738</v>
      </c>
      <c r="I106" s="1344">
        <f t="shared" si="18"/>
        <v>1179.5769957534819</v>
      </c>
      <c r="J106" s="1344">
        <f t="shared" si="19"/>
        <v>248386.78217702109</v>
      </c>
      <c r="K106" s="449">
        <f t="shared" si="14"/>
        <v>1.9711851704239423E-2</v>
      </c>
      <c r="L106" s="902">
        <f t="shared" si="15"/>
        <v>3.380621833913922</v>
      </c>
      <c r="M106" s="889"/>
      <c r="N106" s="1607"/>
    </row>
    <row r="107" spans="1:14" ht="15" customHeight="1">
      <c r="A107" s="1586" t="s">
        <v>8676</v>
      </c>
      <c r="B107" s="1606">
        <v>302.44</v>
      </c>
      <c r="C107" s="1236">
        <v>171</v>
      </c>
      <c r="D107" s="1236">
        <v>1337</v>
      </c>
      <c r="E107" s="43">
        <f t="shared" si="10"/>
        <v>4.7678946901936255E-2</v>
      </c>
      <c r="F107" s="43">
        <f t="shared" si="11"/>
        <v>4.6045282038201948E-2</v>
      </c>
      <c r="G107" s="1344">
        <f t="shared" si="16"/>
        <v>1</v>
      </c>
      <c r="H107" s="1344">
        <f t="shared" si="17"/>
        <v>0.367192066876738</v>
      </c>
      <c r="I107" s="1344">
        <f t="shared" si="18"/>
        <v>1316.9301655312418</v>
      </c>
      <c r="J107" s="1344">
        <f t="shared" si="19"/>
        <v>10662.02163789308</v>
      </c>
      <c r="K107" s="449">
        <f t="shared" si="14"/>
        <v>2.1633009178522598E-2</v>
      </c>
      <c r="L107" s="902">
        <f t="shared" si="15"/>
        <v>0.16914229983441353</v>
      </c>
      <c r="M107" s="889"/>
      <c r="N107" s="1607"/>
    </row>
    <row r="108" spans="1:14" ht="15" customHeight="1">
      <c r="A108" s="1586" t="s">
        <v>8677</v>
      </c>
      <c r="B108" s="1606">
        <v>303.54000000000002</v>
      </c>
      <c r="C108" s="1236">
        <v>6476</v>
      </c>
      <c r="D108" s="1236">
        <v>6004</v>
      </c>
      <c r="E108" s="43">
        <f t="shared" si="10"/>
        <v>4.2226128304359185E-2</v>
      </c>
      <c r="F108" s="43">
        <f t="shared" si="11"/>
        <v>4.0779298065338809E-2</v>
      </c>
      <c r="G108" s="1344">
        <f t="shared" si="16"/>
        <v>1</v>
      </c>
      <c r="H108" s="1344">
        <f t="shared" si="17"/>
        <v>0.367192066876738</v>
      </c>
      <c r="I108" s="1344">
        <f t="shared" si="18"/>
        <v>56314.322922385261</v>
      </c>
      <c r="J108" s="1344">
        <f t="shared" si="19"/>
        <v>54062.263798547268</v>
      </c>
      <c r="K108" s="449">
        <f t="shared" si="14"/>
        <v>0.72557493692593522</v>
      </c>
      <c r="L108" s="902">
        <f t="shared" si="15"/>
        <v>0.67269177290045012</v>
      </c>
      <c r="M108" s="889"/>
      <c r="N108" s="1607"/>
    </row>
    <row r="109" spans="1:14" ht="15" customHeight="1">
      <c r="A109" s="1586" t="s">
        <v>6280</v>
      </c>
      <c r="B109" s="1606">
        <v>1604.15</v>
      </c>
      <c r="C109" s="1236">
        <v>9805</v>
      </c>
      <c r="D109" s="1236">
        <v>61</v>
      </c>
      <c r="E109" s="43">
        <f t="shared" si="10"/>
        <v>4.2226128304359276E-2</v>
      </c>
      <c r="F109" s="43">
        <f t="shared" si="11"/>
        <v>4.0779298065338893E-2</v>
      </c>
      <c r="G109" s="1344">
        <f t="shared" si="16"/>
        <v>1</v>
      </c>
      <c r="H109" s="1344">
        <f t="shared" si="17"/>
        <v>0.367192066876738</v>
      </c>
      <c r="I109" s="1344">
        <f t="shared" si="18"/>
        <v>85262.80671000405</v>
      </c>
      <c r="J109" s="1344">
        <f t="shared" si="19"/>
        <v>549.26683739363364</v>
      </c>
      <c r="K109" s="449">
        <f t="shared" si="14"/>
        <v>1.0985581001480558</v>
      </c>
      <c r="L109" s="902">
        <f t="shared" si="15"/>
        <v>6.8344767066834677E-3</v>
      </c>
      <c r="M109" s="889"/>
      <c r="N109" s="1607"/>
    </row>
    <row r="110" spans="1:14" ht="15" customHeight="1">
      <c r="A110" s="1586" t="s">
        <v>6281</v>
      </c>
      <c r="B110" s="1606">
        <v>2301.1999999999998</v>
      </c>
      <c r="C110" s="1236">
        <v>47465</v>
      </c>
      <c r="D110" s="1236">
        <v>148555</v>
      </c>
      <c r="E110" s="43">
        <f t="shared" si="10"/>
        <v>9.4283796598758893E-2</v>
      </c>
      <c r="F110" s="43">
        <f t="shared" si="11"/>
        <v>0.47158357768660519</v>
      </c>
      <c r="G110" s="1344">
        <f t="shared" si="16"/>
        <v>1</v>
      </c>
      <c r="H110" s="1344">
        <f t="shared" si="17"/>
        <v>0.367192066876738</v>
      </c>
      <c r="I110" s="1344">
        <f t="shared" si="18"/>
        <v>184854.36610572165</v>
      </c>
      <c r="J110" s="1344">
        <f t="shared" si="19"/>
        <v>115670.30761008452</v>
      </c>
      <c r="K110" s="449">
        <f t="shared" si="14"/>
        <v>0</v>
      </c>
      <c r="L110" s="902">
        <f t="shared" si="15"/>
        <v>0</v>
      </c>
      <c r="M110" s="889"/>
      <c r="N110" s="1607"/>
    </row>
    <row r="111" spans="1:14" ht="15" customHeight="1">
      <c r="A111" s="1586" t="s">
        <v>8705</v>
      </c>
      <c r="B111" s="1606">
        <v>304.95</v>
      </c>
      <c r="C111" s="1236">
        <v>1891</v>
      </c>
      <c r="D111" s="1236">
        <v>2426</v>
      </c>
      <c r="E111" s="43">
        <f t="shared" si="10"/>
        <v>7.513673827285035E-3</v>
      </c>
      <c r="F111" s="43">
        <f t="shared" si="11"/>
        <v>1.0583977803470606E-2</v>
      </c>
      <c r="G111" s="1344">
        <f t="shared" si="16"/>
        <v>1</v>
      </c>
      <c r="H111" s="1344">
        <f t="shared" si="17"/>
        <v>0.367192066876738</v>
      </c>
      <c r="I111" s="1344">
        <f t="shared" si="18"/>
        <v>92412.874770052309</v>
      </c>
      <c r="J111" s="1344">
        <f t="shared" si="19"/>
        <v>84165.705067036368</v>
      </c>
      <c r="K111" s="449">
        <f t="shared" si="14"/>
        <v>1.7096817618473672</v>
      </c>
      <c r="L111" s="902">
        <f t="shared" si="15"/>
        <v>2.1933833708311545</v>
      </c>
      <c r="M111" s="889"/>
      <c r="N111" s="1607"/>
    </row>
    <row r="112" spans="1:14" ht="15" customHeight="1">
      <c r="A112" s="1586" t="s">
        <v>8679</v>
      </c>
      <c r="B112" s="1606">
        <v>304.51</v>
      </c>
      <c r="C112" s="1236">
        <v>401</v>
      </c>
      <c r="D112" s="1236">
        <v>71</v>
      </c>
      <c r="E112" s="43">
        <f t="shared" si="10"/>
        <v>4.5017511241791826E-2</v>
      </c>
      <c r="F112" s="43">
        <f t="shared" si="11"/>
        <v>5.6098682595746518E-2</v>
      </c>
      <c r="G112" s="1344">
        <f t="shared" si="16"/>
        <v>1</v>
      </c>
      <c r="H112" s="1344">
        <f t="shared" si="17"/>
        <v>0.367192066876738</v>
      </c>
      <c r="I112" s="1344">
        <f t="shared" si="18"/>
        <v>3270.8165057529554</v>
      </c>
      <c r="J112" s="1344">
        <f t="shared" si="19"/>
        <v>464.72814586603346</v>
      </c>
      <c r="K112" s="449">
        <f t="shared" si="14"/>
        <v>43.867023460440905</v>
      </c>
      <c r="L112" s="902">
        <f t="shared" si="15"/>
        <v>7.7669792161877904</v>
      </c>
      <c r="M112" s="889"/>
      <c r="N112" s="1607"/>
    </row>
    <row r="113" spans="1:14" ht="15" customHeight="1">
      <c r="A113" s="1586" t="s">
        <v>8752</v>
      </c>
      <c r="B113" s="1606">
        <v>307.39</v>
      </c>
      <c r="C113" s="1236">
        <v>13273</v>
      </c>
      <c r="D113" s="1236">
        <v>169</v>
      </c>
      <c r="E113" s="43">
        <f t="shared" si="10"/>
        <v>0.12851444650124311</v>
      </c>
      <c r="F113" s="43">
        <f t="shared" si="11"/>
        <v>0.13558788507850233</v>
      </c>
      <c r="G113" s="1344">
        <f t="shared" si="16"/>
        <v>1</v>
      </c>
      <c r="H113" s="1344">
        <f t="shared" si="17"/>
        <v>0.367192066876738</v>
      </c>
      <c r="I113" s="1344">
        <f t="shared" si="18"/>
        <v>37923.676569760588</v>
      </c>
      <c r="J113" s="1344">
        <f t="shared" si="19"/>
        <v>457.67702082114494</v>
      </c>
      <c r="K113" s="449">
        <f t="shared" si="14"/>
        <v>2872.9350501178437</v>
      </c>
      <c r="L113" s="902">
        <f t="shared" si="15"/>
        <v>36.579976152332975</v>
      </c>
      <c r="M113" s="889"/>
      <c r="N113" s="1607"/>
    </row>
    <row r="114" spans="1:14" ht="15" customHeight="1">
      <c r="A114" s="1586" t="s">
        <v>6283</v>
      </c>
      <c r="B114" s="1606">
        <v>307.31</v>
      </c>
      <c r="C114" s="1236">
        <v>14895</v>
      </c>
      <c r="D114" s="1236">
        <v>291</v>
      </c>
      <c r="E114" s="43">
        <f t="shared" si="10"/>
        <v>4.1270046118048444E-2</v>
      </c>
      <c r="F114" s="43">
        <f t="shared" si="11"/>
        <v>4.3541550561666371E-2</v>
      </c>
      <c r="G114" s="1344">
        <f t="shared" si="16"/>
        <v>1</v>
      </c>
      <c r="H114" s="1344">
        <f t="shared" si="17"/>
        <v>0.367192066876738</v>
      </c>
      <c r="I114" s="1344">
        <f t="shared" si="18"/>
        <v>132525.31437654819</v>
      </c>
      <c r="J114" s="1344">
        <f t="shared" si="19"/>
        <v>2454.0442424024095</v>
      </c>
      <c r="K114" s="449">
        <f t="shared" si="14"/>
        <v>1035.3334009400426</v>
      </c>
      <c r="L114" s="902">
        <f t="shared" si="15"/>
        <v>20.227057379896099</v>
      </c>
      <c r="M114" s="889"/>
      <c r="N114" s="1607"/>
    </row>
    <row r="115" spans="1:14" ht="15" customHeight="1">
      <c r="A115" s="1586" t="s">
        <v>8680</v>
      </c>
      <c r="B115" s="1606">
        <v>1605.53</v>
      </c>
      <c r="C115" s="1236">
        <v>4053</v>
      </c>
      <c r="D115" s="1236">
        <v>13</v>
      </c>
      <c r="E115" s="43">
        <f t="shared" si="10"/>
        <v>0.12851444650124311</v>
      </c>
      <c r="F115" s="43">
        <f t="shared" si="11"/>
        <v>0.13558788507850233</v>
      </c>
      <c r="G115" s="1344">
        <f t="shared" si="16"/>
        <v>1</v>
      </c>
      <c r="H115" s="1344">
        <f t="shared" si="17"/>
        <v>0.367192066876738</v>
      </c>
      <c r="I115" s="1344">
        <f t="shared" si="18"/>
        <v>11580.250217527286</v>
      </c>
      <c r="J115" s="1344">
        <f t="shared" si="19"/>
        <v>35.205924678549614</v>
      </c>
      <c r="K115" s="449">
        <f t="shared" si="14"/>
        <v>877.27007896689679</v>
      </c>
      <c r="L115" s="902">
        <f t="shared" si="15"/>
        <v>2.8138443194102289</v>
      </c>
      <c r="M115" s="889"/>
      <c r="N115" s="1607"/>
    </row>
    <row r="116" spans="1:14" ht="15" customHeight="1">
      <c r="A116" s="1586" t="s">
        <v>8667</v>
      </c>
      <c r="B116" s="1606">
        <v>302.79000000000002</v>
      </c>
      <c r="C116" s="1236">
        <v>77</v>
      </c>
      <c r="D116" s="1236">
        <v>1</v>
      </c>
      <c r="E116" s="43">
        <f t="shared" si="10"/>
        <v>6.6800177971691091E-2</v>
      </c>
      <c r="F116" s="43">
        <f t="shared" si="11"/>
        <v>8.3243206432398048E-2</v>
      </c>
      <c r="G116" s="1344">
        <f t="shared" si="16"/>
        <v>1</v>
      </c>
      <c r="H116" s="1344">
        <f t="shared" si="17"/>
        <v>0.367192066876738</v>
      </c>
      <c r="I116" s="1344">
        <f t="shared" si="18"/>
        <v>423.25918894244307</v>
      </c>
      <c r="J116" s="1344">
        <f t="shared" si="19"/>
        <v>4.4110754812758843</v>
      </c>
      <c r="K116" s="449">
        <f t="shared" si="14"/>
        <v>12.499155103924194</v>
      </c>
      <c r="L116" s="902">
        <f t="shared" si="15"/>
        <v>0.16232668966135316</v>
      </c>
      <c r="M116" s="889"/>
      <c r="N116" s="1607"/>
    </row>
    <row r="117" spans="1:14" ht="15" customHeight="1">
      <c r="A117" s="1586" t="s">
        <v>8753</v>
      </c>
      <c r="B117" s="1606">
        <v>303.29000000000002</v>
      </c>
      <c r="C117" s="1236">
        <v>233</v>
      </c>
      <c r="D117" s="1236">
        <v>783</v>
      </c>
      <c r="E117" s="43">
        <f t="shared" si="10"/>
        <v>4.4695114797928891E-2</v>
      </c>
      <c r="F117" s="43">
        <f t="shared" si="11"/>
        <v>1.9419564385560969E-2</v>
      </c>
      <c r="G117" s="1344">
        <f t="shared" si="16"/>
        <v>1</v>
      </c>
      <c r="H117" s="1344">
        <f t="shared" si="17"/>
        <v>0.367192066876738</v>
      </c>
      <c r="I117" s="1344">
        <f t="shared" si="18"/>
        <v>1914.208118025563</v>
      </c>
      <c r="J117" s="1344">
        <f t="shared" si="19"/>
        <v>14805.243962025186</v>
      </c>
      <c r="K117" s="449">
        <f t="shared" si="14"/>
        <v>58.749326971244599</v>
      </c>
      <c r="L117" s="902">
        <f t="shared" si="15"/>
        <v>197.42799578748722</v>
      </c>
      <c r="M117" s="889"/>
      <c r="N117" s="1607"/>
    </row>
    <row r="118" spans="1:14" ht="15" customHeight="1">
      <c r="A118" s="1586" t="s">
        <v>8623</v>
      </c>
      <c r="B118" s="1606">
        <v>304.33</v>
      </c>
      <c r="C118" s="1236">
        <v>66</v>
      </c>
      <c r="D118" s="1236">
        <v>1</v>
      </c>
      <c r="E118" s="43">
        <f t="shared" si="10"/>
        <v>5.2619654448995384E-2</v>
      </c>
      <c r="F118" s="43">
        <f t="shared" si="11"/>
        <v>6.557211209160925E-2</v>
      </c>
      <c r="G118" s="1344">
        <f t="shared" si="16"/>
        <v>1</v>
      </c>
      <c r="H118" s="1344">
        <f t="shared" si="17"/>
        <v>0.367192066876738</v>
      </c>
      <c r="I118" s="1344">
        <f t="shared" si="18"/>
        <v>460.56319958078706</v>
      </c>
      <c r="J118" s="1344">
        <f t="shared" si="19"/>
        <v>5.5998206427107702</v>
      </c>
      <c r="K118" s="449">
        <f t="shared" si="14"/>
        <v>8.4392575303566897</v>
      </c>
      <c r="L118" s="902">
        <f t="shared" si="15"/>
        <v>0.12786753833873774</v>
      </c>
      <c r="M118" s="889"/>
      <c r="N118" s="1607"/>
    </row>
    <row r="119" spans="1:14" ht="15" customHeight="1">
      <c r="A119" s="1586" t="s">
        <v>8637</v>
      </c>
      <c r="B119" s="1606">
        <v>304.63</v>
      </c>
      <c r="C119" s="1236">
        <v>46</v>
      </c>
      <c r="D119" s="1236"/>
      <c r="E119" s="43">
        <f t="shared" si="10"/>
        <v>5.2619654448995384E-2</v>
      </c>
      <c r="F119" s="43">
        <f t="shared" si="11"/>
        <v>6.557211209160925E-2</v>
      </c>
      <c r="G119" s="1344">
        <f t="shared" si="16"/>
        <v>1</v>
      </c>
      <c r="H119" s="1344">
        <f t="shared" si="17"/>
        <v>0.367192066876738</v>
      </c>
      <c r="I119" s="1344">
        <f t="shared" si="18"/>
        <v>320.99859364721522</v>
      </c>
      <c r="J119" s="1344">
        <f t="shared" si="19"/>
        <v>0</v>
      </c>
      <c r="K119" s="449">
        <f t="shared" si="14"/>
        <v>5.8819067635819362</v>
      </c>
      <c r="L119" s="902">
        <f t="shared" si="15"/>
        <v>0</v>
      </c>
      <c r="M119" s="889"/>
      <c r="N119" s="1607"/>
    </row>
    <row r="120" spans="1:14" ht="15" customHeight="1">
      <c r="A120" s="1586" t="s">
        <v>8684</v>
      </c>
      <c r="B120" s="1606">
        <v>306.14999999999998</v>
      </c>
      <c r="C120" s="1236">
        <v>35</v>
      </c>
      <c r="D120" s="1236">
        <v>55</v>
      </c>
      <c r="E120" s="43">
        <f t="shared" si="10"/>
        <v>7.8134118516942241E-2</v>
      </c>
      <c r="F120" s="43">
        <f t="shared" si="11"/>
        <v>6.3636707091675682E-2</v>
      </c>
      <c r="G120" s="1344">
        <f t="shared" si="16"/>
        <v>1</v>
      </c>
      <c r="H120" s="1344">
        <f t="shared" si="17"/>
        <v>0.367192066876738</v>
      </c>
      <c r="I120" s="1344">
        <f t="shared" si="18"/>
        <v>164.48284801343374</v>
      </c>
      <c r="J120" s="1344">
        <f t="shared" si="19"/>
        <v>317.35714497493808</v>
      </c>
      <c r="K120" s="449">
        <f t="shared" si="14"/>
        <v>2.7486645802724296E-3</v>
      </c>
      <c r="L120" s="902">
        <f t="shared" si="15"/>
        <v>4.3193300547138174E-3</v>
      </c>
      <c r="M120" s="889"/>
      <c r="N120" s="1607"/>
    </row>
    <row r="121" spans="1:14" ht="15" customHeight="1">
      <c r="A121" s="1586" t="s">
        <v>8685</v>
      </c>
      <c r="B121" s="1606">
        <v>306.25</v>
      </c>
      <c r="C121" s="1236">
        <v>0</v>
      </c>
      <c r="D121" s="1236">
        <v>9</v>
      </c>
      <c r="E121" s="43">
        <f t="shared" si="10"/>
        <v>7.8134118516942241E-2</v>
      </c>
      <c r="F121" s="43">
        <f t="shared" si="11"/>
        <v>6.3636707091675682E-2</v>
      </c>
      <c r="G121" s="1344">
        <f t="shared" si="16"/>
        <v>1</v>
      </c>
      <c r="H121" s="1344">
        <f t="shared" si="17"/>
        <v>0.367192066876738</v>
      </c>
      <c r="I121" s="1344">
        <f t="shared" si="18"/>
        <v>0</v>
      </c>
      <c r="J121" s="1344">
        <f t="shared" si="19"/>
        <v>51.931169177717145</v>
      </c>
      <c r="K121" s="449">
        <f t="shared" si="14"/>
        <v>0</v>
      </c>
      <c r="L121" s="902">
        <f t="shared" si="15"/>
        <v>7.0679946349862471E-4</v>
      </c>
      <c r="M121" s="889"/>
      <c r="N121" s="1607"/>
    </row>
    <row r="122" spans="1:14" ht="15" customHeight="1">
      <c r="A122" s="1586" t="s">
        <v>8754</v>
      </c>
      <c r="B122" s="1606">
        <v>307.58999999999997</v>
      </c>
      <c r="C122" s="1236">
        <v>11989</v>
      </c>
      <c r="D122" s="1236">
        <v>153</v>
      </c>
      <c r="E122" s="43">
        <f t="shared" si="10"/>
        <v>0.15523673372474603</v>
      </c>
      <c r="F122" s="43">
        <f t="shared" si="11"/>
        <v>0.18152515486672496</v>
      </c>
      <c r="G122" s="1344">
        <f t="shared" si="16"/>
        <v>1</v>
      </c>
      <c r="H122" s="1344">
        <f t="shared" si="17"/>
        <v>0.367192066876738</v>
      </c>
      <c r="I122" s="1344">
        <f t="shared" si="18"/>
        <v>28358.401933339919</v>
      </c>
      <c r="J122" s="1344">
        <f t="shared" si="19"/>
        <v>309.4909147626858</v>
      </c>
      <c r="K122" s="449">
        <f t="shared" si="14"/>
        <v>3.7104728367961533E-2</v>
      </c>
      <c r="L122" s="902">
        <f t="shared" si="15"/>
        <v>4.7351934609209394E-4</v>
      </c>
      <c r="M122" s="889"/>
      <c r="N122" s="1607"/>
    </row>
    <row r="123" spans="1:14" ht="15" customHeight="1">
      <c r="A123" s="1586" t="s">
        <v>1533</v>
      </c>
      <c r="B123" s="1606">
        <v>307.51</v>
      </c>
      <c r="C123" s="1236">
        <v>2</v>
      </c>
      <c r="D123" s="1236">
        <v>0</v>
      </c>
      <c r="E123" s="43">
        <f t="shared" si="10"/>
        <v>7.8555786752015203E-2</v>
      </c>
      <c r="F123" s="43">
        <f t="shared" si="11"/>
        <v>9.1858743827485226E-2</v>
      </c>
      <c r="G123" s="1344">
        <f t="shared" si="16"/>
        <v>1</v>
      </c>
      <c r="H123" s="1344">
        <f t="shared" si="17"/>
        <v>0.367192066876738</v>
      </c>
      <c r="I123" s="1344">
        <f t="shared" si="18"/>
        <v>9.348568248342783</v>
      </c>
      <c r="J123" s="1344">
        <f t="shared" si="19"/>
        <v>0</v>
      </c>
      <c r="K123" s="449">
        <f t="shared" si="14"/>
        <v>3.132275678263828E-6</v>
      </c>
      <c r="L123" s="902">
        <f t="shared" si="15"/>
        <v>0</v>
      </c>
      <c r="M123" s="889"/>
      <c r="N123" s="1607"/>
    </row>
    <row r="124" spans="1:14" ht="15" customHeight="1">
      <c r="A124" s="1586" t="s">
        <v>8686</v>
      </c>
      <c r="B124" s="1606">
        <v>1605.55</v>
      </c>
      <c r="C124" s="1236">
        <v>3607</v>
      </c>
      <c r="D124" s="1236">
        <v>36</v>
      </c>
      <c r="E124" s="43">
        <f t="shared" si="10"/>
        <v>0.15523673372474603</v>
      </c>
      <c r="F124" s="43">
        <f t="shared" si="11"/>
        <v>0.18152515486672496</v>
      </c>
      <c r="G124" s="1344">
        <f t="shared" si="16"/>
        <v>1</v>
      </c>
      <c r="H124" s="1344">
        <f t="shared" si="17"/>
        <v>0.367192066876738</v>
      </c>
      <c r="I124" s="1344">
        <f t="shared" si="18"/>
        <v>8531.8838746815491</v>
      </c>
      <c r="J124" s="1344">
        <f t="shared" si="19"/>
        <v>72.821391708867239</v>
      </c>
      <c r="K124" s="449">
        <f t="shared" si="14"/>
        <v>1.1163295956563287E-2</v>
      </c>
      <c r="L124" s="902">
        <f t="shared" si="15"/>
        <v>1.1141631672755151E-4</v>
      </c>
      <c r="M124" s="889"/>
      <c r="N124" s="1607"/>
    </row>
    <row r="125" spans="1:14" ht="15" customHeight="1">
      <c r="A125" s="1586" t="s">
        <v>6286</v>
      </c>
      <c r="B125" s="1606">
        <v>1504.3</v>
      </c>
      <c r="C125" s="1236">
        <v>1</v>
      </c>
      <c r="D125" s="1236">
        <v>0</v>
      </c>
      <c r="E125" s="43">
        <f t="shared" si="10"/>
        <v>0</v>
      </c>
      <c r="F125" s="43">
        <f t="shared" si="11"/>
        <v>0</v>
      </c>
      <c r="G125" s="1344">
        <f t="shared" si="16"/>
        <v>1</v>
      </c>
      <c r="H125" s="1344">
        <f t="shared" si="17"/>
        <v>0.367192066876738</v>
      </c>
      <c r="I125" s="1344">
        <f t="shared" si="18"/>
        <v>0</v>
      </c>
      <c r="J125" s="1344">
        <f t="shared" si="19"/>
        <v>0</v>
      </c>
      <c r="K125" s="449">
        <f t="shared" si="14"/>
        <v>0</v>
      </c>
      <c r="L125" s="902">
        <f t="shared" si="15"/>
        <v>0</v>
      </c>
      <c r="M125" s="889"/>
      <c r="N125" s="1607"/>
    </row>
    <row r="126" spans="1:14" ht="15" customHeight="1">
      <c r="A126" s="1586" t="s">
        <v>8687</v>
      </c>
      <c r="B126" s="1606">
        <v>301.19</v>
      </c>
      <c r="C126" s="1236"/>
      <c r="D126" s="1236"/>
      <c r="E126" s="43">
        <f t="shared" si="10"/>
        <v>7.3387292186792338E-2</v>
      </c>
      <c r="F126" s="43">
        <f t="shared" si="11"/>
        <v>7.3387292186792338E-2</v>
      </c>
      <c r="G126" s="1344">
        <f t="shared" si="16"/>
        <v>1</v>
      </c>
      <c r="H126" s="1344">
        <f t="shared" si="17"/>
        <v>0.367192066876738</v>
      </c>
      <c r="I126" s="1344">
        <f t="shared" si="18"/>
        <v>0</v>
      </c>
      <c r="J126" s="1344">
        <f t="shared" si="19"/>
        <v>0</v>
      </c>
      <c r="K126" s="449">
        <f t="shared" si="14"/>
        <v>0</v>
      </c>
      <c r="L126" s="902">
        <f t="shared" si="15"/>
        <v>0</v>
      </c>
      <c r="M126" s="889"/>
      <c r="N126" s="1607"/>
    </row>
    <row r="127" spans="1:14" ht="15" customHeight="1">
      <c r="A127" s="1586" t="s">
        <v>8688</v>
      </c>
      <c r="B127" s="1606">
        <v>301.11</v>
      </c>
      <c r="C127" s="1236"/>
      <c r="D127" s="1236"/>
      <c r="E127" s="43">
        <f t="shared" si="10"/>
        <v>7.3387292186792338E-2</v>
      </c>
      <c r="F127" s="43">
        <f t="shared" si="11"/>
        <v>7.3387292186792338E-2</v>
      </c>
      <c r="G127" s="1344">
        <f t="shared" si="16"/>
        <v>1</v>
      </c>
      <c r="H127" s="1344">
        <f t="shared" si="17"/>
        <v>0.367192066876738</v>
      </c>
      <c r="I127" s="1344">
        <f t="shared" si="18"/>
        <v>0</v>
      </c>
      <c r="J127" s="1344">
        <f t="shared" si="19"/>
        <v>0</v>
      </c>
      <c r="K127" s="449">
        <f t="shared" si="14"/>
        <v>0</v>
      </c>
      <c r="L127" s="902">
        <f t="shared" si="15"/>
        <v>0</v>
      </c>
      <c r="M127" s="889"/>
      <c r="N127" s="1607"/>
    </row>
    <row r="128" spans="1:14" ht="15" customHeight="1">
      <c r="A128" s="1586" t="s">
        <v>8689</v>
      </c>
      <c r="B128" s="1606">
        <v>305.79000000000002</v>
      </c>
      <c r="C128" s="1236">
        <v>25</v>
      </c>
      <c r="D128" s="1236">
        <v>40</v>
      </c>
      <c r="E128" s="43">
        <f t="shared" si="10"/>
        <v>0</v>
      </c>
      <c r="F128" s="43">
        <f t="shared" si="11"/>
        <v>0</v>
      </c>
      <c r="G128" s="1344">
        <f t="shared" si="16"/>
        <v>1</v>
      </c>
      <c r="H128" s="1344">
        <f t="shared" si="17"/>
        <v>0.367192066876738</v>
      </c>
      <c r="I128" s="1344">
        <f t="shared" si="18"/>
        <v>0</v>
      </c>
      <c r="J128" s="1344">
        <f t="shared" si="19"/>
        <v>0</v>
      </c>
      <c r="K128" s="449">
        <f t="shared" si="14"/>
        <v>0</v>
      </c>
      <c r="L128" s="902">
        <f t="shared" si="15"/>
        <v>0</v>
      </c>
      <c r="M128" s="889"/>
      <c r="N128" s="1607"/>
    </row>
    <row r="129" spans="1:14" ht="15" customHeight="1">
      <c r="A129" s="1586" t="s">
        <v>8755</v>
      </c>
      <c r="B129" s="1606">
        <v>511.99</v>
      </c>
      <c r="C129" s="1236">
        <v>7</v>
      </c>
      <c r="D129" s="1236">
        <v>125</v>
      </c>
      <c r="E129" s="43">
        <f t="shared" si="10"/>
        <v>0</v>
      </c>
      <c r="F129" s="43">
        <f t="shared" si="11"/>
        <v>0</v>
      </c>
      <c r="G129" s="1344">
        <f t="shared" si="16"/>
        <v>1</v>
      </c>
      <c r="H129" s="1344">
        <f t="shared" si="17"/>
        <v>0.367192066876738</v>
      </c>
      <c r="I129" s="1344">
        <f t="shared" si="18"/>
        <v>0</v>
      </c>
      <c r="J129" s="1344">
        <f t="shared" si="19"/>
        <v>0</v>
      </c>
      <c r="K129" s="449">
        <f t="shared" si="14"/>
        <v>0</v>
      </c>
      <c r="L129" s="902">
        <f t="shared" si="15"/>
        <v>0</v>
      </c>
      <c r="M129" s="889"/>
      <c r="N129" s="1607"/>
    </row>
    <row r="130" spans="1:14" ht="15" customHeight="1">
      <c r="A130" s="1586" t="s">
        <v>8690</v>
      </c>
      <c r="B130" s="1606">
        <v>308.89999999999998</v>
      </c>
      <c r="C130" s="1236">
        <v>117</v>
      </c>
      <c r="D130" s="1236">
        <v>48</v>
      </c>
      <c r="E130" s="43">
        <f t="shared" si="10"/>
        <v>0</v>
      </c>
      <c r="F130" s="43">
        <f t="shared" si="11"/>
        <v>0</v>
      </c>
      <c r="G130" s="1344">
        <f t="shared" si="16"/>
        <v>1</v>
      </c>
      <c r="H130" s="1344">
        <f t="shared" si="17"/>
        <v>0.367192066876738</v>
      </c>
      <c r="I130" s="1344">
        <f t="shared" si="18"/>
        <v>0</v>
      </c>
      <c r="J130" s="1344">
        <f t="shared" si="19"/>
        <v>0</v>
      </c>
      <c r="K130" s="449">
        <f t="shared" si="14"/>
        <v>0</v>
      </c>
      <c r="L130" s="902">
        <f t="shared" si="15"/>
        <v>0</v>
      </c>
      <c r="M130" s="889"/>
      <c r="N130" s="1607"/>
    </row>
    <row r="131" spans="1:14" ht="15" customHeight="1">
      <c r="A131" s="1586" t="s">
        <v>8716</v>
      </c>
      <c r="B131" s="1606">
        <v>1605.69</v>
      </c>
      <c r="C131" s="1236">
        <v>4152</v>
      </c>
      <c r="D131" s="1236">
        <v>219</v>
      </c>
      <c r="E131" s="43">
        <f t="shared" si="10"/>
        <v>0.1466373254259557</v>
      </c>
      <c r="F131" s="43">
        <f t="shared" si="11"/>
        <v>0.3944156748441276</v>
      </c>
      <c r="G131" s="1344">
        <f t="shared" si="16"/>
        <v>1</v>
      </c>
      <c r="H131" s="1344">
        <f t="shared" si="17"/>
        <v>0.367192066876738</v>
      </c>
      <c r="I131" s="1344">
        <f t="shared" si="18"/>
        <v>10396.953553561991</v>
      </c>
      <c r="J131" s="1344">
        <f t="shared" si="19"/>
        <v>203.88404359888972</v>
      </c>
      <c r="K131" s="449">
        <f t="shared" si="14"/>
        <v>702.00801811035274</v>
      </c>
      <c r="L131" s="902">
        <f t="shared" si="15"/>
        <v>37.02787956795936</v>
      </c>
      <c r="M131" s="889"/>
      <c r="N131" s="1607"/>
    </row>
    <row r="132" spans="1:14" ht="15" customHeight="1">
      <c r="A132" s="1586" t="s">
        <v>6288</v>
      </c>
      <c r="B132" s="1606">
        <v>1605.4</v>
      </c>
      <c r="C132" s="1236">
        <v>15617</v>
      </c>
      <c r="D132" s="1236">
        <v>57</v>
      </c>
      <c r="E132" s="43">
        <f t="shared" si="10"/>
        <v>0.86325725328524539</v>
      </c>
      <c r="F132" s="43">
        <f t="shared" si="11"/>
        <v>0.86430727146770236</v>
      </c>
      <c r="G132" s="1344">
        <f t="shared" si="16"/>
        <v>1</v>
      </c>
      <c r="H132" s="1344">
        <f t="shared" si="17"/>
        <v>0.367192066876738</v>
      </c>
      <c r="I132" s="1344">
        <f t="shared" si="18"/>
        <v>6642.7921533132976</v>
      </c>
      <c r="J132" s="1344">
        <f t="shared" si="19"/>
        <v>24.21586454598766</v>
      </c>
      <c r="K132" s="449">
        <f t="shared" si="14"/>
        <v>10.378507393085949</v>
      </c>
      <c r="L132" s="902">
        <f t="shared" si="15"/>
        <v>3.7880189627066602E-2</v>
      </c>
      <c r="M132" s="889"/>
      <c r="N132" s="1607"/>
    </row>
    <row r="133" spans="1:14" ht="15" customHeight="1">
      <c r="A133" s="1586" t="s">
        <v>6289</v>
      </c>
      <c r="B133" s="1606">
        <v>306.19</v>
      </c>
      <c r="C133" s="1236">
        <v>5093</v>
      </c>
      <c r="D133" s="1236">
        <v>245</v>
      </c>
      <c r="E133" s="43">
        <f t="shared" si="10"/>
        <v>1.8991659572275399</v>
      </c>
      <c r="F133" s="43">
        <f t="shared" si="11"/>
        <v>1.9014759972289452</v>
      </c>
      <c r="G133" s="1344">
        <f t="shared" si="16"/>
        <v>1</v>
      </c>
      <c r="H133" s="1344">
        <f t="shared" si="17"/>
        <v>0.367192066876738</v>
      </c>
      <c r="I133" s="1344">
        <f t="shared" si="18"/>
        <v>984.7002519639035</v>
      </c>
      <c r="J133" s="1344">
        <f t="shared" si="19"/>
        <v>47.311697079481469</v>
      </c>
      <c r="K133" s="449">
        <f t="shared" si="14"/>
        <v>7.4461819771128139</v>
      </c>
      <c r="L133" s="902">
        <f t="shared" si="15"/>
        <v>0.35820038963138418</v>
      </c>
      <c r="M133" s="889"/>
      <c r="N133" s="1607"/>
    </row>
    <row r="134" spans="1:14" ht="15" customHeight="1">
      <c r="A134" s="1586" t="s">
        <v>6290</v>
      </c>
      <c r="B134" s="1606">
        <v>306.29000000000002</v>
      </c>
      <c r="C134" s="1236">
        <v>25186</v>
      </c>
      <c r="D134" s="1236">
        <v>69</v>
      </c>
      <c r="E134" s="43">
        <f t="shared" si="10"/>
        <v>1.8991659572275399</v>
      </c>
      <c r="F134" s="43">
        <f t="shared" si="11"/>
        <v>1.9014759972289452</v>
      </c>
      <c r="G134" s="1344">
        <f t="shared" si="16"/>
        <v>1</v>
      </c>
      <c r="H134" s="1344">
        <f t="shared" si="17"/>
        <v>0.367192066876738</v>
      </c>
      <c r="I134" s="1344">
        <f t="shared" si="18"/>
        <v>4869.5583243594883</v>
      </c>
      <c r="J134" s="1344">
        <f t="shared" si="19"/>
        <v>13.324518769323353</v>
      </c>
      <c r="K134" s="449">
        <f t="shared" si="14"/>
        <v>36.823000054106288</v>
      </c>
      <c r="L134" s="902">
        <f t="shared" si="15"/>
        <v>0.10088092605945105</v>
      </c>
      <c r="M134" s="889"/>
      <c r="N134" s="1607"/>
    </row>
    <row r="135" spans="1:14" ht="15" customHeight="1">
      <c r="A135" s="1586" t="s">
        <v>8692</v>
      </c>
      <c r="B135" s="1606">
        <v>305.39</v>
      </c>
      <c r="C135" s="1236">
        <v>4320</v>
      </c>
      <c r="D135" s="1236">
        <v>31</v>
      </c>
      <c r="E135" s="43">
        <f t="shared" ref="E135:E198" si="20">VLOOKUP(B135,fish_commodity_yield,5,FALSE)</f>
        <v>5.4494882029537464E-2</v>
      </c>
      <c r="F135" s="43">
        <f t="shared" ref="F135:F198" si="21">VLOOKUP(B135,fish_commodity_yield,6,FALSE)</f>
        <v>6.7908931563272087E-2</v>
      </c>
      <c r="G135" s="1344">
        <f t="shared" si="16"/>
        <v>1</v>
      </c>
      <c r="H135" s="1344">
        <f t="shared" si="17"/>
        <v>0.367192066876738</v>
      </c>
      <c r="I135" s="1344">
        <f t="shared" ref="I135:I166" si="22">IFERROR(C135/E135*H135*G135,0)</f>
        <v>29108.600107579165</v>
      </c>
      <c r="J135" s="1344">
        <f t="shared" ref="J135:J166" si="23">IFERROR(D135/F135*H135*G135,0)</f>
        <v>167.62086828848359</v>
      </c>
      <c r="K135" s="449">
        <f t="shared" ref="K135:K198" si="24">VLOOKUP(B135,fish_commodity_yield,8,FALSE)*C135</f>
        <v>572.07342840653735</v>
      </c>
      <c r="L135" s="902">
        <f t="shared" ref="L135:L198" si="25">VLOOKUP(B135,fish_commodity_yield,9,FALSE)*D135</f>
        <v>4.1051565464357997</v>
      </c>
      <c r="M135" s="889"/>
      <c r="N135" s="1607"/>
    </row>
    <row r="136" spans="1:14" ht="15" customHeight="1">
      <c r="A136" s="1586" t="s">
        <v>8693</v>
      </c>
      <c r="B136" s="1606">
        <v>304.58999999999997</v>
      </c>
      <c r="C136" s="1236">
        <v>5952</v>
      </c>
      <c r="D136" s="1236">
        <v>341</v>
      </c>
      <c r="E136" s="43">
        <f t="shared" si="20"/>
        <v>4.9304893264819613E-2</v>
      </c>
      <c r="F136" s="43">
        <f t="shared" si="21"/>
        <v>6.1441414271531894E-2</v>
      </c>
      <c r="G136" s="1344">
        <f t="shared" si="16"/>
        <v>1</v>
      </c>
      <c r="H136" s="1344">
        <f t="shared" si="17"/>
        <v>0.367192066876738</v>
      </c>
      <c r="I136" s="1344">
        <f t="shared" si="22"/>
        <v>44326.780514699494</v>
      </c>
      <c r="J136" s="1344">
        <f t="shared" si="23"/>
        <v>2037.9168723494583</v>
      </c>
      <c r="K136" s="449">
        <f t="shared" si="24"/>
        <v>713.12433720941897</v>
      </c>
      <c r="L136" s="902">
        <f t="shared" si="25"/>
        <v>40.856081819289628</v>
      </c>
      <c r="M136" s="889"/>
      <c r="N136" s="1607"/>
    </row>
    <row r="137" spans="1:14" ht="15" customHeight="1">
      <c r="A137" s="1586" t="s">
        <v>6291</v>
      </c>
      <c r="B137" s="1606">
        <v>305.58999999999997</v>
      </c>
      <c r="C137" s="1236">
        <v>8643</v>
      </c>
      <c r="D137" s="1236">
        <v>398</v>
      </c>
      <c r="E137" s="43">
        <f t="shared" si="20"/>
        <v>3.2289067314798706E-2</v>
      </c>
      <c r="F137" s="43">
        <f t="shared" si="21"/>
        <v>4.0237100822312986E-2</v>
      </c>
      <c r="G137" s="1344">
        <f t="shared" ref="G137:G200" si="26">$G$7</f>
        <v>1</v>
      </c>
      <c r="H137" s="1344">
        <f t="shared" ref="H137:H200" si="27">$H$7</f>
        <v>0.367192066876738</v>
      </c>
      <c r="I137" s="1344">
        <f t="shared" si="22"/>
        <v>98288.408366664255</v>
      </c>
      <c r="J137" s="1344">
        <f t="shared" si="23"/>
        <v>3632.0321203634094</v>
      </c>
      <c r="K137" s="449">
        <f t="shared" si="24"/>
        <v>678.1602433633368</v>
      </c>
      <c r="L137" s="902">
        <f t="shared" si="25"/>
        <v>31.228482802106683</v>
      </c>
      <c r="M137" s="889"/>
      <c r="N137" s="1607"/>
    </row>
    <row r="138" spans="1:14" ht="15" customHeight="1">
      <c r="A138" s="1586" t="s">
        <v>6292</v>
      </c>
      <c r="B138" s="1606">
        <v>305.49</v>
      </c>
      <c r="C138" s="1236">
        <v>2220</v>
      </c>
      <c r="D138" s="1236">
        <v>80</v>
      </c>
      <c r="E138" s="43">
        <f t="shared" si="20"/>
        <v>5.1770137928060594E-2</v>
      </c>
      <c r="F138" s="43">
        <f t="shared" si="21"/>
        <v>6.4513484985108491E-2</v>
      </c>
      <c r="G138" s="1344">
        <f t="shared" si="26"/>
        <v>1</v>
      </c>
      <c r="H138" s="1344">
        <f t="shared" si="27"/>
        <v>0.367192066876738</v>
      </c>
      <c r="I138" s="1344">
        <f t="shared" si="22"/>
        <v>15745.88017515247</v>
      </c>
      <c r="J138" s="1344">
        <f t="shared" si="23"/>
        <v>455.33682387363967</v>
      </c>
      <c r="K138" s="449">
        <f t="shared" si="24"/>
        <v>279.28306956235815</v>
      </c>
      <c r="L138" s="902">
        <f t="shared" si="25"/>
        <v>10.064254759003896</v>
      </c>
      <c r="M138" s="889"/>
      <c r="N138" s="1607"/>
    </row>
    <row r="139" spans="1:14" ht="15" customHeight="1">
      <c r="A139" s="1586" t="s">
        <v>6293</v>
      </c>
      <c r="B139" s="1606">
        <v>301.99</v>
      </c>
      <c r="C139" s="1236"/>
      <c r="D139" s="1236"/>
      <c r="E139" s="43">
        <f t="shared" si="20"/>
        <v>9.3157454148317775E-2</v>
      </c>
      <c r="F139" s="43">
        <f t="shared" si="21"/>
        <v>0.11608839110685316</v>
      </c>
      <c r="G139" s="1344">
        <f t="shared" si="26"/>
        <v>1</v>
      </c>
      <c r="H139" s="1344">
        <f t="shared" si="27"/>
        <v>0.367192066876738</v>
      </c>
      <c r="I139" s="1344">
        <f t="shared" si="22"/>
        <v>0</v>
      </c>
      <c r="J139" s="1344">
        <f t="shared" si="23"/>
        <v>0</v>
      </c>
      <c r="K139" s="449">
        <f t="shared" si="24"/>
        <v>0</v>
      </c>
      <c r="L139" s="902">
        <f t="shared" si="25"/>
        <v>0</v>
      </c>
      <c r="M139" s="889"/>
      <c r="N139" s="1607"/>
    </row>
    <row r="140" spans="1:14" ht="15" customHeight="1">
      <c r="A140" s="1586" t="s">
        <v>6295</v>
      </c>
      <c r="B140" s="1606">
        <v>305.69</v>
      </c>
      <c r="C140" s="1236">
        <v>4940</v>
      </c>
      <c r="D140" s="1236">
        <v>1192</v>
      </c>
      <c r="E140" s="43">
        <f t="shared" si="20"/>
        <v>0.10354027585612119</v>
      </c>
      <c r="F140" s="43">
        <f t="shared" si="21"/>
        <v>0.12902696997021698</v>
      </c>
      <c r="G140" s="1344">
        <f t="shared" si="26"/>
        <v>1</v>
      </c>
      <c r="H140" s="1344">
        <f t="shared" si="27"/>
        <v>0.367192066876738</v>
      </c>
      <c r="I140" s="1344">
        <f t="shared" si="22"/>
        <v>17519.064879561534</v>
      </c>
      <c r="J140" s="1344">
        <f t="shared" si="23"/>
        <v>3392.2593378586153</v>
      </c>
      <c r="K140" s="449">
        <f t="shared" si="24"/>
        <v>1242.9354627369812</v>
      </c>
      <c r="L140" s="902">
        <f t="shared" si="25"/>
        <v>299.91479181831613</v>
      </c>
      <c r="M140" s="889"/>
      <c r="N140" s="1607"/>
    </row>
    <row r="141" spans="1:14" ht="15" customHeight="1">
      <c r="A141" s="1586" t="s">
        <v>8756</v>
      </c>
      <c r="B141" s="1606">
        <v>1604.19</v>
      </c>
      <c r="C141" s="1236">
        <v>10274</v>
      </c>
      <c r="D141" s="1236">
        <v>7047</v>
      </c>
      <c r="E141" s="43">
        <f t="shared" si="20"/>
        <v>6.902685057074745E-2</v>
      </c>
      <c r="F141" s="43">
        <f t="shared" si="21"/>
        <v>8.6017979980144654E-2</v>
      </c>
      <c r="G141" s="1344">
        <f t="shared" si="26"/>
        <v>1</v>
      </c>
      <c r="H141" s="1344">
        <f t="shared" si="27"/>
        <v>0.367192066876738</v>
      </c>
      <c r="I141" s="1344">
        <f t="shared" si="22"/>
        <v>54653.09895929612</v>
      </c>
      <c r="J141" s="1344">
        <f t="shared" si="23"/>
        <v>30082.111854726925</v>
      </c>
      <c r="K141" s="449">
        <f t="shared" si="24"/>
        <v>1723.3358899001005</v>
      </c>
      <c r="L141" s="902">
        <f t="shared" si="25"/>
        <v>1182.0467214450077</v>
      </c>
      <c r="M141" s="889"/>
      <c r="N141" s="1607"/>
    </row>
    <row r="142" spans="1:14" ht="15" customHeight="1">
      <c r="A142" s="1586" t="s">
        <v>6296</v>
      </c>
      <c r="B142" s="1606">
        <v>302.29000000000002</v>
      </c>
      <c r="C142" s="1236">
        <v>875</v>
      </c>
      <c r="D142" s="1236">
        <v>107</v>
      </c>
      <c r="E142" s="43">
        <f t="shared" si="20"/>
        <v>4.4600666889700151E-2</v>
      </c>
      <c r="F142" s="43">
        <f t="shared" si="21"/>
        <v>1.4829862268495345E-2</v>
      </c>
      <c r="G142" s="1344">
        <f t="shared" si="26"/>
        <v>1</v>
      </c>
      <c r="H142" s="1344">
        <f t="shared" si="27"/>
        <v>0.367192066876738</v>
      </c>
      <c r="I142" s="1344">
        <f t="shared" si="22"/>
        <v>7203.7725200773511</v>
      </c>
      <c r="J142" s="1344">
        <f t="shared" si="23"/>
        <v>2649.3537461421975</v>
      </c>
      <c r="K142" s="449">
        <f t="shared" si="24"/>
        <v>188.37039035261628</v>
      </c>
      <c r="L142" s="902">
        <f t="shared" si="25"/>
        <v>23.035007734548508</v>
      </c>
      <c r="M142" s="889"/>
      <c r="N142" s="1607"/>
    </row>
    <row r="143" spans="1:14" ht="15" customHeight="1">
      <c r="A143" s="1586" t="s">
        <v>6297</v>
      </c>
      <c r="B143" s="1606">
        <v>303.39</v>
      </c>
      <c r="C143" s="1236">
        <v>3982</v>
      </c>
      <c r="D143" s="1236">
        <v>91112</v>
      </c>
      <c r="E143" s="43">
        <f t="shared" si="20"/>
        <v>3.0492292669488875E-2</v>
      </c>
      <c r="F143" s="43">
        <f t="shared" si="21"/>
        <v>1.0138783387644774E-2</v>
      </c>
      <c r="G143" s="1344">
        <f t="shared" si="26"/>
        <v>1</v>
      </c>
      <c r="H143" s="1344">
        <f t="shared" si="27"/>
        <v>0.367192066876738</v>
      </c>
      <c r="I143" s="1344">
        <f t="shared" si="22"/>
        <v>47951.750501405644</v>
      </c>
      <c r="J143" s="1344">
        <f t="shared" si="23"/>
        <v>3299765.1018013358</v>
      </c>
      <c r="K143" s="449">
        <f t="shared" si="24"/>
        <v>586.07685042257617</v>
      </c>
      <c r="L143" s="902">
        <f t="shared" si="25"/>
        <v>13410.003514741777</v>
      </c>
      <c r="M143" s="889"/>
      <c r="N143" s="1607"/>
    </row>
    <row r="144" spans="1:14" ht="15" customHeight="1">
      <c r="A144" s="1586" t="s">
        <v>6299</v>
      </c>
      <c r="B144" s="1606">
        <v>303.89</v>
      </c>
      <c r="C144" s="1236">
        <v>63634</v>
      </c>
      <c r="D144" s="1236">
        <v>103024</v>
      </c>
      <c r="E144" s="43">
        <f t="shared" si="20"/>
        <v>0</v>
      </c>
      <c r="F144" s="43">
        <f t="shared" si="21"/>
        <v>0</v>
      </c>
      <c r="G144" s="1344">
        <f t="shared" si="26"/>
        <v>1</v>
      </c>
      <c r="H144" s="1344">
        <f t="shared" si="27"/>
        <v>0.367192066876738</v>
      </c>
      <c r="I144" s="1344">
        <f t="shared" si="22"/>
        <v>0</v>
      </c>
      <c r="J144" s="1344">
        <f t="shared" si="23"/>
        <v>0</v>
      </c>
      <c r="K144" s="449">
        <f t="shared" si="24"/>
        <v>0</v>
      </c>
      <c r="L144" s="902">
        <f t="shared" si="25"/>
        <v>0</v>
      </c>
      <c r="M144" s="889"/>
      <c r="N144" s="1607"/>
    </row>
    <row r="145" spans="1:14" ht="15" customHeight="1">
      <c r="A145" s="1586" t="s">
        <v>8694</v>
      </c>
      <c r="B145" s="1606">
        <v>302.89</v>
      </c>
      <c r="C145" s="1236">
        <v>34176</v>
      </c>
      <c r="D145" s="1236">
        <v>5381</v>
      </c>
      <c r="E145" s="43">
        <f t="shared" si="20"/>
        <v>9.3157454148317775E-2</v>
      </c>
      <c r="F145" s="43">
        <f t="shared" si="21"/>
        <v>0.11608839110685316</v>
      </c>
      <c r="G145" s="1344">
        <f t="shared" si="26"/>
        <v>1</v>
      </c>
      <c r="H145" s="1344">
        <f t="shared" si="27"/>
        <v>0.367192066876738</v>
      </c>
      <c r="I145" s="1344">
        <f t="shared" si="22"/>
        <v>134709.09217419836</v>
      </c>
      <c r="J145" s="1344">
        <f t="shared" si="23"/>
        <v>17020.310928808143</v>
      </c>
      <c r="K145" s="449">
        <f t="shared" si="24"/>
        <v>7736.6180211861792</v>
      </c>
      <c r="L145" s="902">
        <f t="shared" si="25"/>
        <v>1218.1279720272364</v>
      </c>
      <c r="M145" s="889"/>
      <c r="N145" s="1607"/>
    </row>
    <row r="146" spans="1:14" ht="15" customHeight="1">
      <c r="A146" s="1586" t="s">
        <v>8668</v>
      </c>
      <c r="B146" s="1606">
        <v>302.58999999999997</v>
      </c>
      <c r="C146" s="1236">
        <v>901</v>
      </c>
      <c r="D146" s="1236">
        <v>105</v>
      </c>
      <c r="E146" s="43">
        <f t="shared" si="20"/>
        <v>8.7740320176683297E-3</v>
      </c>
      <c r="F146" s="43">
        <f t="shared" si="21"/>
        <v>1.2359354725343094E-2</v>
      </c>
      <c r="G146" s="1344">
        <f t="shared" si="26"/>
        <v>1</v>
      </c>
      <c r="H146" s="1344">
        <f t="shared" si="27"/>
        <v>0.367192066876738</v>
      </c>
      <c r="I146" s="1344">
        <f t="shared" si="22"/>
        <v>37706.729538908221</v>
      </c>
      <c r="J146" s="1344">
        <f t="shared" si="23"/>
        <v>3119.5129421279071</v>
      </c>
      <c r="K146" s="449">
        <f t="shared" si="24"/>
        <v>0.95125163816321956</v>
      </c>
      <c r="L146" s="902">
        <f t="shared" si="25"/>
        <v>0.11085618424765599</v>
      </c>
      <c r="M146" s="889"/>
      <c r="N146" s="1607"/>
    </row>
    <row r="147" spans="1:14" ht="15" customHeight="1">
      <c r="A147" s="1586" t="s">
        <v>8706</v>
      </c>
      <c r="B147" s="1606">
        <v>303.69</v>
      </c>
      <c r="C147" s="1236">
        <v>681</v>
      </c>
      <c r="D147" s="1236">
        <v>264</v>
      </c>
      <c r="E147" s="43">
        <f t="shared" si="20"/>
        <v>7.513673827285035E-3</v>
      </c>
      <c r="F147" s="43">
        <f t="shared" si="21"/>
        <v>1.0583977803470606E-2</v>
      </c>
      <c r="G147" s="1344">
        <f t="shared" si="26"/>
        <v>1</v>
      </c>
      <c r="H147" s="1344">
        <f t="shared" si="27"/>
        <v>0.367192066876738</v>
      </c>
      <c r="I147" s="1344">
        <f t="shared" si="22"/>
        <v>33280.363679749142</v>
      </c>
      <c r="J147" s="1344">
        <f t="shared" si="23"/>
        <v>9159.0050031729606</v>
      </c>
      <c r="K147" s="449">
        <f t="shared" si="24"/>
        <v>0.61570242190272717</v>
      </c>
      <c r="L147" s="902">
        <f t="shared" si="25"/>
        <v>0.23868640144246692</v>
      </c>
      <c r="M147" s="889"/>
      <c r="N147" s="1607"/>
    </row>
    <row r="148" spans="1:14" ht="15" customHeight="1">
      <c r="A148" s="1586" t="s">
        <v>8757</v>
      </c>
      <c r="B148" s="1606">
        <v>307.91000000000003</v>
      </c>
      <c r="C148" s="1236">
        <v>969</v>
      </c>
      <c r="D148" s="1236">
        <v>1309</v>
      </c>
      <c r="E148" s="43">
        <f t="shared" si="20"/>
        <v>0.15626650979559345</v>
      </c>
      <c r="F148" s="43">
        <f t="shared" si="21"/>
        <v>0.42031563749222528</v>
      </c>
      <c r="G148" s="1344">
        <f t="shared" si="26"/>
        <v>1</v>
      </c>
      <c r="H148" s="1344">
        <f t="shared" si="27"/>
        <v>0.367192066876738</v>
      </c>
      <c r="I148" s="1344">
        <f t="shared" si="22"/>
        <v>2276.9377345726871</v>
      </c>
      <c r="J148" s="1344">
        <f t="shared" si="23"/>
        <v>1143.55587246154</v>
      </c>
      <c r="K148" s="449">
        <f t="shared" si="24"/>
        <v>174.59422970840839</v>
      </c>
      <c r="L148" s="902">
        <f t="shared" si="25"/>
        <v>235.85536293942889</v>
      </c>
      <c r="M148" s="889"/>
      <c r="N148" s="1607"/>
    </row>
    <row r="149" spans="1:14" ht="15" customHeight="1">
      <c r="A149" s="1586" t="s">
        <v>8758</v>
      </c>
      <c r="B149" s="1606">
        <v>307.99</v>
      </c>
      <c r="C149" s="1236">
        <v>2050</v>
      </c>
      <c r="D149" s="1236">
        <v>967</v>
      </c>
      <c r="E149" s="43">
        <f t="shared" si="20"/>
        <v>0.15626650979559345</v>
      </c>
      <c r="F149" s="43">
        <f t="shared" si="21"/>
        <v>0.42031563749222528</v>
      </c>
      <c r="G149" s="1344">
        <f t="shared" si="26"/>
        <v>1</v>
      </c>
      <c r="H149" s="1344">
        <f t="shared" si="27"/>
        <v>0.367192066876738</v>
      </c>
      <c r="I149" s="1344">
        <f t="shared" si="22"/>
        <v>4817.0509348544974</v>
      </c>
      <c r="J149" s="1344">
        <f t="shared" si="23"/>
        <v>844.78115253652345</v>
      </c>
      <c r="K149" s="449">
        <f t="shared" si="24"/>
        <v>369.36859742232946</v>
      </c>
      <c r="L149" s="902">
        <f t="shared" si="25"/>
        <v>174.2338701011671</v>
      </c>
      <c r="M149" s="889"/>
      <c r="N149" s="1607"/>
    </row>
    <row r="150" spans="1:14" ht="15" customHeight="1">
      <c r="A150" s="1586" t="s">
        <v>8717</v>
      </c>
      <c r="B150" s="1606">
        <v>1605.59</v>
      </c>
      <c r="C150" s="1236">
        <v>1371</v>
      </c>
      <c r="D150" s="1236">
        <v>63</v>
      </c>
      <c r="E150" s="43">
        <f t="shared" si="20"/>
        <v>8.9679489122291789E-2</v>
      </c>
      <c r="F150" s="43">
        <f t="shared" si="21"/>
        <v>0.24121413916340045</v>
      </c>
      <c r="G150" s="1344">
        <f t="shared" si="26"/>
        <v>1</v>
      </c>
      <c r="H150" s="1344">
        <f t="shared" si="27"/>
        <v>0.367192066876738</v>
      </c>
      <c r="I150" s="1344">
        <f t="shared" si="22"/>
        <v>5613.5503069326887</v>
      </c>
      <c r="J150" s="1344">
        <f t="shared" si="23"/>
        <v>95.902753849615522</v>
      </c>
      <c r="K150" s="449">
        <f t="shared" si="24"/>
        <v>141.76557289176995</v>
      </c>
      <c r="L150" s="902">
        <f t="shared" si="25"/>
        <v>6.5143917521382253</v>
      </c>
      <c r="M150" s="889"/>
      <c r="N150" s="1607"/>
    </row>
    <row r="151" spans="1:14" ht="15" customHeight="1">
      <c r="A151" s="1586" t="s">
        <v>6301</v>
      </c>
      <c r="B151" s="1606">
        <v>303.12</v>
      </c>
      <c r="C151" s="1236">
        <v>1306</v>
      </c>
      <c r="D151" s="1236">
        <v>145857</v>
      </c>
      <c r="E151" s="43">
        <f t="shared" si="20"/>
        <v>0</v>
      </c>
      <c r="F151" s="43">
        <f t="shared" si="21"/>
        <v>0</v>
      </c>
      <c r="G151" s="1344">
        <f t="shared" si="26"/>
        <v>1</v>
      </c>
      <c r="H151" s="1344">
        <f t="shared" si="27"/>
        <v>0.367192066876738</v>
      </c>
      <c r="I151" s="1344">
        <f t="shared" si="22"/>
        <v>0</v>
      </c>
      <c r="J151" s="1344">
        <f t="shared" si="23"/>
        <v>0</v>
      </c>
      <c r="K151" s="449">
        <f t="shared" si="24"/>
        <v>0</v>
      </c>
      <c r="L151" s="902">
        <f t="shared" si="25"/>
        <v>0</v>
      </c>
      <c r="M151" s="889"/>
      <c r="N151" s="1607"/>
    </row>
    <row r="152" spans="1:14" ht="15" customHeight="1">
      <c r="A152" s="1586" t="s">
        <v>6302</v>
      </c>
      <c r="B152" s="1606">
        <v>302.19</v>
      </c>
      <c r="C152" s="1236">
        <v>2118</v>
      </c>
      <c r="D152" s="1236">
        <v>824</v>
      </c>
      <c r="E152" s="43">
        <f t="shared" si="20"/>
        <v>6.2662253969189341E-2</v>
      </c>
      <c r="F152" s="43">
        <f t="shared" si="21"/>
        <v>2.7226100234906077E-2</v>
      </c>
      <c r="G152" s="1344">
        <f t="shared" si="26"/>
        <v>1</v>
      </c>
      <c r="H152" s="1344">
        <f t="shared" si="27"/>
        <v>0.367192066876738</v>
      </c>
      <c r="I152" s="1344">
        <f t="shared" si="22"/>
        <v>12411.184539058042</v>
      </c>
      <c r="J152" s="1344">
        <f t="shared" si="23"/>
        <v>11113.095907820009</v>
      </c>
      <c r="K152" s="449">
        <f t="shared" si="24"/>
        <v>748.71905450487702</v>
      </c>
      <c r="L152" s="902">
        <f t="shared" si="25"/>
        <v>291.28635548253953</v>
      </c>
      <c r="M152" s="889"/>
      <c r="N152" s="1607"/>
    </row>
    <row r="153" spans="1:14" ht="15" customHeight="1">
      <c r="A153" s="1586" t="s">
        <v>6303</v>
      </c>
      <c r="B153" s="1606">
        <v>303.19</v>
      </c>
      <c r="C153" s="1236">
        <v>2861</v>
      </c>
      <c r="D153" s="1236">
        <v>1328</v>
      </c>
      <c r="E153" s="43">
        <f t="shared" si="20"/>
        <v>6.7361923016878544E-2</v>
      </c>
      <c r="F153" s="43">
        <f t="shared" si="21"/>
        <v>2.9268057752524033E-2</v>
      </c>
      <c r="G153" s="1344">
        <f t="shared" si="26"/>
        <v>1</v>
      </c>
      <c r="H153" s="1344">
        <f t="shared" si="27"/>
        <v>0.367192066876738</v>
      </c>
      <c r="I153" s="1344">
        <f t="shared" si="22"/>
        <v>15595.405479607814</v>
      </c>
      <c r="J153" s="1344">
        <f t="shared" si="23"/>
        <v>16660.861780971969</v>
      </c>
      <c r="K153" s="449">
        <f t="shared" si="24"/>
        <v>1087.2245543242857</v>
      </c>
      <c r="L153" s="902">
        <f t="shared" si="25"/>
        <v>504.66068093067162</v>
      </c>
      <c r="M153" s="889"/>
      <c r="N153" s="1607"/>
    </row>
    <row r="154" spans="1:14" ht="15" customHeight="1">
      <c r="A154" s="1586" t="s">
        <v>8719</v>
      </c>
      <c r="B154" s="1606">
        <v>1605.29</v>
      </c>
      <c r="C154" s="1236">
        <v>46182</v>
      </c>
      <c r="D154" s="1236">
        <v>294</v>
      </c>
      <c r="E154" s="43">
        <f t="shared" si="20"/>
        <v>0.14826548173367834</v>
      </c>
      <c r="F154" s="43">
        <f t="shared" si="21"/>
        <v>0.13165552277145284</v>
      </c>
      <c r="G154" s="1344">
        <f t="shared" si="26"/>
        <v>1</v>
      </c>
      <c r="H154" s="1344">
        <f t="shared" si="27"/>
        <v>0.367192066876738</v>
      </c>
      <c r="I154" s="1344">
        <f t="shared" si="22"/>
        <v>114373.64809539213</v>
      </c>
      <c r="J154" s="1344">
        <f t="shared" si="23"/>
        <v>819.97674984865102</v>
      </c>
      <c r="K154" s="449">
        <f t="shared" si="24"/>
        <v>8216.8902951164455</v>
      </c>
      <c r="L154" s="902">
        <f t="shared" si="25"/>
        <v>52.309682273704802</v>
      </c>
      <c r="M154" s="889"/>
      <c r="N154" s="1607"/>
    </row>
    <row r="155" spans="1:14" ht="15" customHeight="1">
      <c r="A155" s="1586" t="s">
        <v>8699</v>
      </c>
      <c r="B155" s="1606">
        <v>306.17</v>
      </c>
      <c r="C155" s="1236">
        <v>384462</v>
      </c>
      <c r="D155" s="1236">
        <v>2832</v>
      </c>
      <c r="E155" s="43">
        <f t="shared" si="20"/>
        <v>0.26357114240626822</v>
      </c>
      <c r="F155" s="43">
        <f t="shared" si="21"/>
        <v>0.23404366367147533</v>
      </c>
      <c r="G155" s="1344">
        <f t="shared" si="26"/>
        <v>1</v>
      </c>
      <c r="H155" s="1344">
        <f t="shared" si="27"/>
        <v>0.367192066876738</v>
      </c>
      <c r="I155" s="1344">
        <f t="shared" si="22"/>
        <v>535610.21562050609</v>
      </c>
      <c r="J155" s="1344">
        <f t="shared" si="23"/>
        <v>4443.1364518998553</v>
      </c>
      <c r="K155" s="449">
        <f t="shared" si="24"/>
        <v>121603.47298937323</v>
      </c>
      <c r="L155" s="902">
        <f t="shared" si="25"/>
        <v>895.74791658448692</v>
      </c>
      <c r="M155" s="889"/>
      <c r="N155" s="1607"/>
    </row>
    <row r="156" spans="1:14" ht="15" customHeight="1">
      <c r="A156" s="1586" t="s">
        <v>8700</v>
      </c>
      <c r="B156" s="1606">
        <v>306.27</v>
      </c>
      <c r="C156" s="1236">
        <v>1388</v>
      </c>
      <c r="D156" s="1236">
        <v>555</v>
      </c>
      <c r="E156" s="43">
        <f t="shared" si="20"/>
        <v>0.26357114240626822</v>
      </c>
      <c r="F156" s="43">
        <f t="shared" si="21"/>
        <v>0.23404366367147533</v>
      </c>
      <c r="G156" s="1344">
        <f t="shared" si="26"/>
        <v>1</v>
      </c>
      <c r="H156" s="1344">
        <f t="shared" si="27"/>
        <v>0.367192066876738</v>
      </c>
      <c r="I156" s="1344">
        <f t="shared" si="22"/>
        <v>1933.6812982330177</v>
      </c>
      <c r="J156" s="1344">
        <f t="shared" si="23"/>
        <v>870.7417834761369</v>
      </c>
      <c r="K156" s="449">
        <f t="shared" si="24"/>
        <v>439.0176935802499</v>
      </c>
      <c r="L156" s="902">
        <f t="shared" si="25"/>
        <v>175.54381839844288</v>
      </c>
      <c r="M156" s="889"/>
      <c r="N156" s="1607"/>
    </row>
    <row r="157" spans="1:14" ht="15" customHeight="1">
      <c r="A157" s="1586" t="s">
        <v>6304</v>
      </c>
      <c r="B157" s="1606">
        <v>302.39</v>
      </c>
      <c r="C157" s="1236">
        <v>264</v>
      </c>
      <c r="D157" s="1236">
        <v>179</v>
      </c>
      <c r="E157" s="43">
        <f t="shared" si="20"/>
        <v>1.251894214859634E-2</v>
      </c>
      <c r="F157" s="43">
        <f t="shared" si="21"/>
        <v>1.1902063795110144E-2</v>
      </c>
      <c r="G157" s="1344">
        <f t="shared" si="26"/>
        <v>1</v>
      </c>
      <c r="H157" s="1344">
        <f t="shared" si="27"/>
        <v>0.367192066876738</v>
      </c>
      <c r="I157" s="1344">
        <f t="shared" si="22"/>
        <v>7743.362378771586</v>
      </c>
      <c r="J157" s="1344">
        <f t="shared" si="23"/>
        <v>5522.3515099910328</v>
      </c>
      <c r="K157" s="449">
        <f t="shared" si="24"/>
        <v>1.8080297106484424</v>
      </c>
      <c r="L157" s="902">
        <f t="shared" si="25"/>
        <v>1.2258989325987546</v>
      </c>
      <c r="M157" s="889"/>
      <c r="N157" s="1607"/>
    </row>
    <row r="158" spans="1:14" ht="15" customHeight="1">
      <c r="A158" s="1586" t="s">
        <v>6305</v>
      </c>
      <c r="B158" s="1606">
        <v>303.49</v>
      </c>
      <c r="C158" s="1236">
        <v>129</v>
      </c>
      <c r="D158" s="1236">
        <v>340</v>
      </c>
      <c r="E158" s="43">
        <f t="shared" si="20"/>
        <v>8.9293876462736912E-3</v>
      </c>
      <c r="F158" s="43">
        <f t="shared" si="21"/>
        <v>8.4893867353747696E-3</v>
      </c>
      <c r="G158" s="1344">
        <f t="shared" si="26"/>
        <v>1</v>
      </c>
      <c r="H158" s="1344">
        <f t="shared" si="27"/>
        <v>0.367192066876738</v>
      </c>
      <c r="I158" s="1344">
        <f t="shared" si="22"/>
        <v>5304.7060451974194</v>
      </c>
      <c r="J158" s="1344">
        <f t="shared" si="23"/>
        <v>14706.044927587991</v>
      </c>
      <c r="K158" s="449">
        <f t="shared" si="24"/>
        <v>0.63015210429025181</v>
      </c>
      <c r="L158" s="902">
        <f t="shared" si="25"/>
        <v>1.6608660113076403</v>
      </c>
      <c r="M158" s="889"/>
      <c r="N158" s="1607"/>
    </row>
    <row r="159" spans="1:14" ht="15" customHeight="1">
      <c r="A159" s="1586" t="s">
        <v>8701</v>
      </c>
      <c r="B159" s="1606">
        <v>307.11</v>
      </c>
      <c r="C159" s="1236">
        <v>3515</v>
      </c>
      <c r="D159" s="1236">
        <v>2648</v>
      </c>
      <c r="E159" s="43">
        <f t="shared" si="20"/>
        <v>0.10490536698487697</v>
      </c>
      <c r="F159" s="43">
        <f t="shared" si="21"/>
        <v>0.5543304241646585</v>
      </c>
      <c r="G159" s="1344">
        <f t="shared" si="26"/>
        <v>1</v>
      </c>
      <c r="H159" s="1344">
        <f t="shared" si="27"/>
        <v>0.367192066876738</v>
      </c>
      <c r="I159" s="1344">
        <f t="shared" si="22"/>
        <v>12303.28011013771</v>
      </c>
      <c r="J159" s="1344">
        <f t="shared" si="23"/>
        <v>1754.0523678721677</v>
      </c>
      <c r="K159" s="449">
        <f t="shared" si="24"/>
        <v>648.47101692734975</v>
      </c>
      <c r="L159" s="902">
        <f t="shared" si="25"/>
        <v>488.52098231113007</v>
      </c>
      <c r="M159" s="889"/>
      <c r="N159" s="1607"/>
    </row>
    <row r="160" spans="1:14" ht="15" customHeight="1">
      <c r="A160" s="1586" t="s">
        <v>8702</v>
      </c>
      <c r="B160" s="1606">
        <v>307.19</v>
      </c>
      <c r="C160" s="1236">
        <v>1441</v>
      </c>
      <c r="D160" s="1236">
        <v>506</v>
      </c>
      <c r="E160" s="43">
        <f t="shared" si="20"/>
        <v>0.12186379449708143</v>
      </c>
      <c r="F160" s="43">
        <f t="shared" si="21"/>
        <v>0.64394044685645346</v>
      </c>
      <c r="G160" s="1344">
        <f t="shared" si="26"/>
        <v>1</v>
      </c>
      <c r="H160" s="1344">
        <f t="shared" si="27"/>
        <v>0.367192066876738</v>
      </c>
      <c r="I160" s="1344">
        <f t="shared" si="22"/>
        <v>4341.9275639086691</v>
      </c>
      <c r="J160" s="1344">
        <f t="shared" si="23"/>
        <v>288.53473445665941</v>
      </c>
      <c r="K160" s="449">
        <f t="shared" si="24"/>
        <v>308.82056349882447</v>
      </c>
      <c r="L160" s="902">
        <f t="shared" si="25"/>
        <v>108.44080855683913</v>
      </c>
      <c r="M160" s="889"/>
      <c r="N160" s="1607"/>
    </row>
    <row r="161" spans="1:14" ht="15" customHeight="1">
      <c r="A161" s="1586" t="s">
        <v>8723</v>
      </c>
      <c r="B161" s="1606">
        <v>1605.51</v>
      </c>
      <c r="C161" s="1236">
        <v>4818</v>
      </c>
      <c r="D161" s="1236">
        <v>301</v>
      </c>
      <c r="E161" s="43">
        <f t="shared" si="20"/>
        <v>0.12186379449708143</v>
      </c>
      <c r="F161" s="43">
        <f t="shared" si="21"/>
        <v>0.64394044685645346</v>
      </c>
      <c r="G161" s="1344">
        <f t="shared" si="26"/>
        <v>1</v>
      </c>
      <c r="H161" s="1344">
        <f t="shared" si="27"/>
        <v>0.367192066876738</v>
      </c>
      <c r="I161" s="1344">
        <f t="shared" si="22"/>
        <v>14517.284526656467</v>
      </c>
      <c r="J161" s="1344">
        <f t="shared" si="23"/>
        <v>171.63825112935672</v>
      </c>
      <c r="K161" s="449">
        <f t="shared" si="24"/>
        <v>1032.5450901716422</v>
      </c>
      <c r="L161" s="902">
        <f t="shared" si="25"/>
        <v>64.507279398435927</v>
      </c>
      <c r="M161" s="889"/>
      <c r="N161" s="1607"/>
    </row>
    <row r="162" spans="1:14" ht="15" customHeight="1">
      <c r="A162" s="1586" t="s">
        <v>8704</v>
      </c>
      <c r="B162" s="1606">
        <v>302.13</v>
      </c>
      <c r="C162" s="1236">
        <v>7467</v>
      </c>
      <c r="D162" s="1236">
        <v>8501</v>
      </c>
      <c r="E162" s="43">
        <f t="shared" si="20"/>
        <v>5.6134935847398787E-2</v>
      </c>
      <c r="F162" s="43">
        <f t="shared" si="21"/>
        <v>2.439004812710336E-2</v>
      </c>
      <c r="G162" s="1344">
        <f t="shared" si="26"/>
        <v>1</v>
      </c>
      <c r="H162" s="1344">
        <f t="shared" si="27"/>
        <v>0.367192066876738</v>
      </c>
      <c r="I162" s="1344">
        <f t="shared" si="22"/>
        <v>48843.436301809808</v>
      </c>
      <c r="J162" s="1344">
        <f t="shared" si="23"/>
        <v>127982.51746991814</v>
      </c>
      <c r="K162" s="449">
        <f t="shared" si="24"/>
        <v>2364.6469029300488</v>
      </c>
      <c r="L162" s="902">
        <f t="shared" si="25"/>
        <v>2692.0936549897337</v>
      </c>
      <c r="M162" s="889"/>
      <c r="N162" s="1607"/>
    </row>
    <row r="163" spans="1:14" ht="15" customHeight="1">
      <c r="A163" s="1586" t="s">
        <v>8619</v>
      </c>
      <c r="B163" s="1606">
        <v>304.41000000000003</v>
      </c>
      <c r="C163" s="1236">
        <v>104863</v>
      </c>
      <c r="D163" s="1236">
        <v>5888</v>
      </c>
      <c r="E163" s="43">
        <f t="shared" si="20"/>
        <v>3.4233645630744443E-2</v>
      </c>
      <c r="F163" s="43">
        <f t="shared" si="21"/>
        <v>1.4874164402180385E-2</v>
      </c>
      <c r="G163" s="1344">
        <f t="shared" si="26"/>
        <v>1</v>
      </c>
      <c r="H163" s="1344">
        <f t="shared" si="27"/>
        <v>0.367192066876738</v>
      </c>
      <c r="I163" s="1344">
        <f t="shared" si="22"/>
        <v>1124766.6148157781</v>
      </c>
      <c r="J163" s="1344">
        <f t="shared" si="23"/>
        <v>145354.51076857164</v>
      </c>
      <c r="K163" s="449">
        <f t="shared" si="24"/>
        <v>20251.740160668487</v>
      </c>
      <c r="L163" s="902">
        <f t="shared" si="25"/>
        <v>1137.1241149501354</v>
      </c>
      <c r="M163" s="889"/>
      <c r="N163" s="1607"/>
    </row>
    <row r="164" spans="1:14" ht="15" customHeight="1">
      <c r="A164" s="1586" t="s">
        <v>8640</v>
      </c>
      <c r="B164" s="1606">
        <v>304.81</v>
      </c>
      <c r="C164" s="1236">
        <v>72808</v>
      </c>
      <c r="D164" s="1236">
        <v>2897</v>
      </c>
      <c r="E164" s="43">
        <f t="shared" si="20"/>
        <v>3.4233645630744443E-2</v>
      </c>
      <c r="F164" s="43">
        <f t="shared" si="21"/>
        <v>1.4874164402180385E-2</v>
      </c>
      <c r="G164" s="1344">
        <f t="shared" si="26"/>
        <v>1</v>
      </c>
      <c r="H164" s="1344">
        <f t="shared" si="27"/>
        <v>0.367192066876738</v>
      </c>
      <c r="I164" s="1344">
        <f t="shared" si="22"/>
        <v>780942.82722702157</v>
      </c>
      <c r="J164" s="1344">
        <f t="shared" si="23"/>
        <v>71516.986701180707</v>
      </c>
      <c r="K164" s="449">
        <f t="shared" si="24"/>
        <v>14061.095883371172</v>
      </c>
      <c r="L164" s="902">
        <f t="shared" si="25"/>
        <v>559.4851496281492</v>
      </c>
      <c r="M164" s="889"/>
      <c r="N164" s="1607"/>
    </row>
    <row r="165" spans="1:14" ht="15" customHeight="1">
      <c r="A165" s="1586" t="s">
        <v>6307</v>
      </c>
      <c r="B165" s="1606">
        <v>302.22000000000003</v>
      </c>
      <c r="C165" s="1236"/>
      <c r="D165" s="1236"/>
      <c r="E165" s="43">
        <f t="shared" si="20"/>
        <v>0.12660499393148747</v>
      </c>
      <c r="F165" s="43">
        <f t="shared" si="21"/>
        <v>0.12660499393148747</v>
      </c>
      <c r="G165" s="1344">
        <f t="shared" si="26"/>
        <v>1</v>
      </c>
      <c r="H165" s="1344">
        <f t="shared" si="27"/>
        <v>0.367192066876738</v>
      </c>
      <c r="I165" s="1344">
        <f t="shared" si="22"/>
        <v>0</v>
      </c>
      <c r="J165" s="1344">
        <f t="shared" si="23"/>
        <v>0</v>
      </c>
      <c r="K165" s="449">
        <f t="shared" si="24"/>
        <v>0</v>
      </c>
      <c r="L165" s="902">
        <f t="shared" si="25"/>
        <v>0</v>
      </c>
      <c r="M165" s="889"/>
      <c r="N165" s="1607"/>
    </row>
    <row r="166" spans="1:14" ht="15" customHeight="1">
      <c r="A166" s="1586" t="s">
        <v>6308</v>
      </c>
      <c r="B166" s="1606">
        <v>303.32</v>
      </c>
      <c r="C166" s="1236"/>
      <c r="D166" s="1236"/>
      <c r="E166" s="43">
        <f t="shared" si="20"/>
        <v>0.11810172543636417</v>
      </c>
      <c r="F166" s="43">
        <f t="shared" si="21"/>
        <v>0.11810172543636417</v>
      </c>
      <c r="G166" s="1344">
        <f t="shared" si="26"/>
        <v>1</v>
      </c>
      <c r="H166" s="1344">
        <f t="shared" si="27"/>
        <v>0.367192066876738</v>
      </c>
      <c r="I166" s="1344">
        <f t="shared" si="22"/>
        <v>0</v>
      </c>
      <c r="J166" s="1344">
        <f t="shared" si="23"/>
        <v>0</v>
      </c>
      <c r="K166" s="449">
        <f t="shared" si="24"/>
        <v>0</v>
      </c>
      <c r="L166" s="902">
        <f t="shared" si="25"/>
        <v>0</v>
      </c>
      <c r="M166" s="889"/>
      <c r="N166" s="1607"/>
    </row>
    <row r="167" spans="1:14" ht="15" customHeight="1">
      <c r="A167" s="1586" t="s">
        <v>1912</v>
      </c>
      <c r="B167" s="1606">
        <v>2309.9</v>
      </c>
      <c r="C167" s="1236"/>
      <c r="D167" s="1236"/>
      <c r="E167" s="43">
        <f t="shared" si="20"/>
        <v>1.9633936673041946E-2</v>
      </c>
      <c r="F167" s="43">
        <f t="shared" si="21"/>
        <v>1.9633936673041946E-2</v>
      </c>
      <c r="G167" s="1344">
        <f t="shared" si="26"/>
        <v>1</v>
      </c>
      <c r="H167" s="1344">
        <f t="shared" si="27"/>
        <v>0.367192066876738</v>
      </c>
      <c r="I167" s="1344">
        <f t="shared" ref="I167:I179" si="28">IFERROR(C167/E167*H167*G167,0)</f>
        <v>0</v>
      </c>
      <c r="J167" s="1344">
        <f t="shared" ref="J167:J179" si="29">IFERROR(D167/F167*H167*G167,0)</f>
        <v>0</v>
      </c>
      <c r="K167" s="449">
        <f t="shared" si="24"/>
        <v>0</v>
      </c>
      <c r="L167" s="902">
        <f t="shared" si="25"/>
        <v>0</v>
      </c>
      <c r="M167" s="889"/>
      <c r="N167" s="1607"/>
    </row>
    <row r="168" spans="1:14" ht="15" customHeight="1">
      <c r="A168" s="1586" t="s">
        <v>1314</v>
      </c>
      <c r="B168" s="1606">
        <v>1604.2</v>
      </c>
      <c r="C168" s="1236">
        <v>113048</v>
      </c>
      <c r="D168" s="1236">
        <v>18078</v>
      </c>
      <c r="E168" s="43">
        <f t="shared" si="20"/>
        <v>4.8924861457861554E-2</v>
      </c>
      <c r="F168" s="43">
        <f t="shared" si="21"/>
        <v>4.8924861457861554E-2</v>
      </c>
      <c r="G168" s="1344">
        <f t="shared" si="26"/>
        <v>1</v>
      </c>
      <c r="H168" s="1344">
        <f t="shared" si="27"/>
        <v>0.367192066876738</v>
      </c>
      <c r="I168" s="1344">
        <f t="shared" si="28"/>
        <v>848450.61466415948</v>
      </c>
      <c r="J168" s="1344">
        <f t="shared" si="29"/>
        <v>135679.4477735004</v>
      </c>
      <c r="K168" s="449">
        <f t="shared" si="24"/>
        <v>0</v>
      </c>
      <c r="L168" s="902">
        <f t="shared" si="25"/>
        <v>0</v>
      </c>
      <c r="M168" s="889"/>
      <c r="N168" s="1607"/>
    </row>
    <row r="169" spans="1:14" ht="15" customHeight="1">
      <c r="A169" s="1586" t="s">
        <v>8673</v>
      </c>
      <c r="B169" s="1606">
        <v>302.82</v>
      </c>
      <c r="C169" s="1236">
        <v>30</v>
      </c>
      <c r="D169" s="1236">
        <v>1074</v>
      </c>
      <c r="E169" s="43">
        <f t="shared" si="20"/>
        <v>6.6800177971691091E-2</v>
      </c>
      <c r="F169" s="43">
        <f t="shared" si="21"/>
        <v>8.3243206432398048E-2</v>
      </c>
      <c r="G169" s="1344">
        <f t="shared" si="26"/>
        <v>1</v>
      </c>
      <c r="H169" s="1344">
        <f t="shared" si="27"/>
        <v>0.367192066876738</v>
      </c>
      <c r="I169" s="1344">
        <f t="shared" si="28"/>
        <v>164.90617751004277</v>
      </c>
      <c r="J169" s="1344">
        <f t="shared" si="29"/>
        <v>4737.4950668903002</v>
      </c>
      <c r="K169" s="449">
        <f t="shared" si="24"/>
        <v>4.869800689840595</v>
      </c>
      <c r="L169" s="902">
        <f t="shared" si="25"/>
        <v>174.33886469629329</v>
      </c>
      <c r="M169" s="889"/>
      <c r="N169" s="1607"/>
    </row>
    <row r="170" spans="1:14" ht="15" customHeight="1">
      <c r="A170" s="1586" t="s">
        <v>8707</v>
      </c>
      <c r="B170" s="1606">
        <v>303.82</v>
      </c>
      <c r="C170" s="1236">
        <v>11</v>
      </c>
      <c r="D170" s="1236">
        <v>2777</v>
      </c>
      <c r="E170" s="43">
        <f t="shared" si="20"/>
        <v>5.7204572296199553E-2</v>
      </c>
      <c r="F170" s="43">
        <f t="shared" si="21"/>
        <v>7.1285618768075681E-2</v>
      </c>
      <c r="G170" s="1344">
        <f t="shared" si="26"/>
        <v>1</v>
      </c>
      <c r="H170" s="1344">
        <f t="shared" si="27"/>
        <v>0.367192066876738</v>
      </c>
      <c r="I170" s="1344">
        <f t="shared" si="28"/>
        <v>70.608214929568859</v>
      </c>
      <c r="J170" s="1344">
        <f t="shared" si="29"/>
        <v>14304.320946335913</v>
      </c>
      <c r="K170" s="449">
        <f t="shared" si="24"/>
        <v>1.5290994799591557</v>
      </c>
      <c r="L170" s="902">
        <f t="shared" si="25"/>
        <v>386.02811416787046</v>
      </c>
      <c r="M170" s="889"/>
      <c r="N170" s="1607"/>
    </row>
    <row r="171" spans="1:14" ht="15" customHeight="1">
      <c r="A171" s="1586" t="s">
        <v>6309</v>
      </c>
      <c r="B171" s="1606">
        <v>306.11</v>
      </c>
      <c r="C171" s="1236">
        <v>9184</v>
      </c>
      <c r="D171" s="1236">
        <v>1256</v>
      </c>
      <c r="E171" s="43">
        <f t="shared" si="20"/>
        <v>0.14129905612473317</v>
      </c>
      <c r="F171" s="43">
        <f t="shared" si="21"/>
        <v>9.5488456364093102E-2</v>
      </c>
      <c r="G171" s="1344">
        <f t="shared" si="26"/>
        <v>1</v>
      </c>
      <c r="H171" s="1344">
        <f t="shared" si="27"/>
        <v>0.367192066876738</v>
      </c>
      <c r="I171" s="1344">
        <f t="shared" si="28"/>
        <v>23866.344437708325</v>
      </c>
      <c r="J171" s="1344">
        <f t="shared" si="29"/>
        <v>4829.8323541714226</v>
      </c>
      <c r="K171" s="449">
        <f t="shared" si="24"/>
        <v>54.761071531246955</v>
      </c>
      <c r="L171" s="902">
        <f t="shared" si="25"/>
        <v>7.489101245998059</v>
      </c>
      <c r="M171" s="889"/>
      <c r="N171" s="1607"/>
    </row>
    <row r="172" spans="1:14" ht="15" customHeight="1">
      <c r="A172" s="1586" t="s">
        <v>6342</v>
      </c>
      <c r="B172" s="1606">
        <v>306.20999999999998</v>
      </c>
      <c r="C172" s="1236">
        <v>71</v>
      </c>
      <c r="D172" s="1236">
        <v>811</v>
      </c>
      <c r="E172" s="43">
        <f t="shared" si="20"/>
        <v>0.14129905612473317</v>
      </c>
      <c r="F172" s="43">
        <f t="shared" si="21"/>
        <v>9.5488456364093102E-2</v>
      </c>
      <c r="G172" s="1344">
        <f t="shared" si="26"/>
        <v>1</v>
      </c>
      <c r="H172" s="1344">
        <f t="shared" si="27"/>
        <v>0.367192066876738</v>
      </c>
      <c r="I172" s="1344">
        <f t="shared" si="28"/>
        <v>184.50680042217888</v>
      </c>
      <c r="J172" s="1344">
        <f t="shared" si="29"/>
        <v>3118.6258274148277</v>
      </c>
      <c r="K172" s="449">
        <f t="shared" si="24"/>
        <v>0.42334887616708772</v>
      </c>
      <c r="L172" s="902">
        <f t="shared" si="25"/>
        <v>4.8357174446691289</v>
      </c>
      <c r="M172" s="889"/>
      <c r="N172" s="1607"/>
    </row>
    <row r="173" spans="1:14" ht="15" customHeight="1">
      <c r="A173" s="1586" t="s">
        <v>6310</v>
      </c>
      <c r="B173" s="1606">
        <v>1604.11</v>
      </c>
      <c r="C173" s="1236">
        <v>7921</v>
      </c>
      <c r="D173" s="1236">
        <v>45468</v>
      </c>
      <c r="E173" s="43">
        <f t="shared" si="20"/>
        <v>6.0629912088438168E-2</v>
      </c>
      <c r="F173" s="43">
        <f t="shared" si="21"/>
        <v>2.6343068740633052E-2</v>
      </c>
      <c r="G173" s="1344">
        <f t="shared" si="26"/>
        <v>1</v>
      </c>
      <c r="H173" s="1344">
        <f t="shared" si="27"/>
        <v>0.367192066876738</v>
      </c>
      <c r="I173" s="1344">
        <f t="shared" si="28"/>
        <v>47971.838677385844</v>
      </c>
      <c r="J173" s="1344">
        <f t="shared" si="29"/>
        <v>633771.60273660335</v>
      </c>
      <c r="K173" s="449">
        <f t="shared" si="24"/>
        <v>2709.2798651754047</v>
      </c>
      <c r="L173" s="902">
        <f t="shared" si="25"/>
        <v>15551.76580100938</v>
      </c>
      <c r="M173" s="889"/>
      <c r="N173" s="1607"/>
    </row>
    <row r="174" spans="1:14" ht="15" customHeight="1">
      <c r="A174" s="1586" t="s">
        <v>8708</v>
      </c>
      <c r="B174" s="1606">
        <v>304.52</v>
      </c>
      <c r="C174" s="1236">
        <v>1431</v>
      </c>
      <c r="D174" s="1236">
        <v>61</v>
      </c>
      <c r="E174" s="43">
        <f t="shared" si="20"/>
        <v>2.9287792616034154E-2</v>
      </c>
      <c r="F174" s="43">
        <f t="shared" si="21"/>
        <v>1.2725242501097406E-2</v>
      </c>
      <c r="G174" s="1344">
        <f t="shared" si="26"/>
        <v>1</v>
      </c>
      <c r="H174" s="1344">
        <f t="shared" si="27"/>
        <v>0.367192066876738</v>
      </c>
      <c r="I174" s="1344">
        <f t="shared" si="28"/>
        <v>17940.984989525758</v>
      </c>
      <c r="J174" s="1344">
        <f t="shared" si="29"/>
        <v>1760.1799005047947</v>
      </c>
      <c r="K174" s="449">
        <f t="shared" si="24"/>
        <v>236.4357760646252</v>
      </c>
      <c r="L174" s="902">
        <f t="shared" si="25"/>
        <v>10.078673892342515</v>
      </c>
      <c r="M174" s="889"/>
      <c r="N174" s="1607"/>
    </row>
    <row r="175" spans="1:14" ht="15" customHeight="1">
      <c r="A175" s="1586" t="s">
        <v>6311</v>
      </c>
      <c r="B175" s="1606">
        <v>305.41000000000003</v>
      </c>
      <c r="C175" s="1236">
        <v>5255</v>
      </c>
      <c r="D175" s="1236">
        <v>245</v>
      </c>
      <c r="E175" s="43">
        <f t="shared" si="20"/>
        <v>3.0177068549124286E-2</v>
      </c>
      <c r="F175" s="43">
        <f t="shared" si="21"/>
        <v>1.3111623682066515E-2</v>
      </c>
      <c r="G175" s="1344">
        <f t="shared" si="26"/>
        <v>1</v>
      </c>
      <c r="H175" s="1344">
        <f t="shared" si="27"/>
        <v>0.367192066876738</v>
      </c>
      <c r="I175" s="1344">
        <f t="shared" si="28"/>
        <v>63942.404090580676</v>
      </c>
      <c r="J175" s="1344">
        <f t="shared" si="29"/>
        <v>6861.2445389083905</v>
      </c>
      <c r="K175" s="449">
        <f t="shared" si="24"/>
        <v>894.61605398508345</v>
      </c>
      <c r="L175" s="902">
        <f t="shared" si="25"/>
        <v>41.70902630377649</v>
      </c>
      <c r="M175" s="889"/>
      <c r="N175" s="1607"/>
    </row>
    <row r="176" spans="1:14" ht="15" customHeight="1">
      <c r="A176" s="1586" t="s">
        <v>6312</v>
      </c>
      <c r="B176" s="1606">
        <v>1604.13</v>
      </c>
      <c r="C176" s="1236">
        <v>27420</v>
      </c>
      <c r="D176" s="1236">
        <v>2344</v>
      </c>
      <c r="E176" s="43">
        <f t="shared" si="20"/>
        <v>0.22165511851463643</v>
      </c>
      <c r="F176" s="43">
        <f t="shared" si="21"/>
        <v>0.69202445412454971</v>
      </c>
      <c r="G176" s="1344">
        <f t="shared" si="26"/>
        <v>1</v>
      </c>
      <c r="H176" s="1344">
        <f t="shared" si="27"/>
        <v>0.367192066876738</v>
      </c>
      <c r="I176" s="1344">
        <f t="shared" si="28"/>
        <v>45423.749026103877</v>
      </c>
      <c r="J176" s="1344">
        <f t="shared" si="29"/>
        <v>1243.7395812087393</v>
      </c>
      <c r="K176" s="449">
        <f t="shared" si="24"/>
        <v>0</v>
      </c>
      <c r="L176" s="902">
        <f t="shared" si="25"/>
        <v>0</v>
      </c>
      <c r="M176" s="889"/>
      <c r="N176" s="1607"/>
    </row>
    <row r="177" spans="1:14" ht="15" customHeight="1">
      <c r="A177" s="1586" t="s">
        <v>8709</v>
      </c>
      <c r="B177" s="1606">
        <v>303.52999999999997</v>
      </c>
      <c r="C177" s="1236">
        <v>1415</v>
      </c>
      <c r="D177" s="1236">
        <v>38059</v>
      </c>
      <c r="E177" s="43">
        <f t="shared" si="20"/>
        <v>0.27990224774082778</v>
      </c>
      <c r="F177" s="43">
        <f t="shared" si="21"/>
        <v>0.87387650463073063</v>
      </c>
      <c r="G177" s="1344">
        <f t="shared" si="26"/>
        <v>1</v>
      </c>
      <c r="H177" s="1344">
        <f t="shared" si="27"/>
        <v>0.367192066876738</v>
      </c>
      <c r="I177" s="1344">
        <f t="shared" si="28"/>
        <v>1856.2793933390644</v>
      </c>
      <c r="J177" s="1344">
        <f t="shared" si="29"/>
        <v>15991.919681107684</v>
      </c>
      <c r="K177" s="449">
        <f t="shared" si="24"/>
        <v>0</v>
      </c>
      <c r="L177" s="902">
        <f t="shared" si="25"/>
        <v>0</v>
      </c>
      <c r="M177" s="889"/>
      <c r="N177" s="1607"/>
    </row>
    <row r="178" spans="1:14" ht="15" customHeight="1">
      <c r="A178" s="1586" t="s">
        <v>284</v>
      </c>
      <c r="B178" s="1606">
        <v>302.43</v>
      </c>
      <c r="C178" s="1236">
        <v>98</v>
      </c>
      <c r="D178" s="1236">
        <v>13828</v>
      </c>
      <c r="E178" s="43">
        <f t="shared" si="20"/>
        <v>0</v>
      </c>
      <c r="F178" s="43">
        <f t="shared" si="21"/>
        <v>0</v>
      </c>
      <c r="G178" s="1344">
        <f t="shared" si="26"/>
        <v>1</v>
      </c>
      <c r="H178" s="1344">
        <f t="shared" si="27"/>
        <v>0.367192066876738</v>
      </c>
      <c r="I178" s="1344">
        <f t="shared" si="28"/>
        <v>0</v>
      </c>
      <c r="J178" s="1344">
        <f t="shared" si="29"/>
        <v>0</v>
      </c>
      <c r="K178" s="449">
        <f t="shared" si="24"/>
        <v>0</v>
      </c>
      <c r="L178" s="902">
        <f t="shared" si="25"/>
        <v>0</v>
      </c>
      <c r="M178" s="889"/>
      <c r="N178" s="1607"/>
    </row>
    <row r="179" spans="1:14" ht="15" customHeight="1">
      <c r="A179" s="1586" t="s">
        <v>6314</v>
      </c>
      <c r="B179" s="1606">
        <v>2103.9</v>
      </c>
      <c r="C179" s="1236"/>
      <c r="D179" s="1236"/>
      <c r="E179" s="43">
        <f t="shared" si="20"/>
        <v>0</v>
      </c>
      <c r="F179" s="43">
        <f t="shared" si="21"/>
        <v>0</v>
      </c>
      <c r="G179" s="1344">
        <f t="shared" si="26"/>
        <v>1</v>
      </c>
      <c r="H179" s="1344">
        <f t="shared" si="27"/>
        <v>0.367192066876738</v>
      </c>
      <c r="I179" s="1344">
        <f t="shared" si="28"/>
        <v>0</v>
      </c>
      <c r="J179" s="1344">
        <f t="shared" si="29"/>
        <v>0</v>
      </c>
      <c r="K179" s="449">
        <f t="shared" si="24"/>
        <v>0</v>
      </c>
      <c r="L179" s="902">
        <f t="shared" si="25"/>
        <v>0</v>
      </c>
      <c r="M179" s="889"/>
      <c r="N179" s="1607"/>
    </row>
    <row r="180" spans="1:14" ht="15" customHeight="1">
      <c r="A180" s="1586" t="s">
        <v>6315</v>
      </c>
      <c r="B180" s="1606">
        <v>307.20999999999998</v>
      </c>
      <c r="C180" s="1236">
        <v>2669</v>
      </c>
      <c r="D180" s="1236">
        <v>2813</v>
      </c>
      <c r="E180" s="43">
        <f t="shared" si="20"/>
        <v>0.16194422829867039</v>
      </c>
      <c r="F180" s="43">
        <f t="shared" si="21"/>
        <v>0.78165435194389488</v>
      </c>
      <c r="G180" s="1344">
        <f t="shared" si="26"/>
        <v>1</v>
      </c>
      <c r="H180" s="1344">
        <f t="shared" si="27"/>
        <v>0.367192066876738</v>
      </c>
      <c r="I180" s="1344">
        <f t="shared" ref="I180:I234" si="30">IFERROR(C180/E180*H180*G180,0)</f>
        <v>6051.6860451892999</v>
      </c>
      <c r="J180" s="1344">
        <f t="shared" ref="J180:J234" si="31">IFERROR(D180/F180*H180*G180,0)</f>
        <v>1321.4425040371343</v>
      </c>
      <c r="K180" s="449">
        <f t="shared" si="24"/>
        <v>444.17371594111472</v>
      </c>
      <c r="L180" s="902">
        <f t="shared" si="25"/>
        <v>468.13812774160948</v>
      </c>
      <c r="M180" s="889"/>
      <c r="N180" s="1607"/>
    </row>
    <row r="181" spans="1:14" ht="15" customHeight="1">
      <c r="A181" s="1586" t="s">
        <v>6316</v>
      </c>
      <c r="B181" s="1606">
        <v>307.29000000000002</v>
      </c>
      <c r="C181" s="1236">
        <v>24481</v>
      </c>
      <c r="D181" s="1236">
        <v>6561</v>
      </c>
      <c r="E181" s="43">
        <f t="shared" si="20"/>
        <v>6.7938931392421659E-2</v>
      </c>
      <c r="F181" s="43">
        <f t="shared" si="21"/>
        <v>0.32792006203125729</v>
      </c>
      <c r="G181" s="1344">
        <f t="shared" si="26"/>
        <v>1</v>
      </c>
      <c r="H181" s="1344">
        <f t="shared" si="27"/>
        <v>0.367192066876738</v>
      </c>
      <c r="I181" s="1344">
        <f t="shared" si="30"/>
        <v>132313.37033087539</v>
      </c>
      <c r="J181" s="1344">
        <f t="shared" si="31"/>
        <v>7346.7513266957076</v>
      </c>
      <c r="K181" s="449">
        <f t="shared" si="24"/>
        <v>1709.1755552646798</v>
      </c>
      <c r="L181" s="902">
        <f t="shared" si="25"/>
        <v>458.06547192073708</v>
      </c>
      <c r="M181" s="889"/>
      <c r="N181" s="1607"/>
    </row>
    <row r="182" spans="1:14" ht="15" customHeight="1">
      <c r="A182" s="1586" t="s">
        <v>8710</v>
      </c>
      <c r="B182" s="1606">
        <v>1605.52</v>
      </c>
      <c r="C182" s="1236">
        <v>439</v>
      </c>
      <c r="D182" s="1236">
        <v>254</v>
      </c>
      <c r="E182" s="43">
        <f t="shared" si="20"/>
        <v>6.7938931392421659E-2</v>
      </c>
      <c r="F182" s="43">
        <f t="shared" si="21"/>
        <v>0.32792006203125729</v>
      </c>
      <c r="G182" s="1344">
        <f t="shared" si="26"/>
        <v>1</v>
      </c>
      <c r="H182" s="1344">
        <f t="shared" si="27"/>
        <v>0.367192066876738</v>
      </c>
      <c r="I182" s="1344">
        <f t="shared" si="30"/>
        <v>2372.6796117501044</v>
      </c>
      <c r="J182" s="1344">
        <f t="shared" si="31"/>
        <v>284.41927099233493</v>
      </c>
      <c r="K182" s="449">
        <f t="shared" si="24"/>
        <v>30.649404385490563</v>
      </c>
      <c r="L182" s="902">
        <f t="shared" si="25"/>
        <v>17.733368368825975</v>
      </c>
      <c r="M182" s="889"/>
      <c r="N182" s="1607"/>
    </row>
    <row r="183" spans="1:14" ht="15" customHeight="1">
      <c r="A183" s="1586" t="s">
        <v>8675</v>
      </c>
      <c r="B183" s="1606">
        <v>308.19</v>
      </c>
      <c r="C183" s="1236">
        <v>1808</v>
      </c>
      <c r="D183" s="1236">
        <v>1176</v>
      </c>
      <c r="E183" s="43">
        <f t="shared" si="20"/>
        <v>0</v>
      </c>
      <c r="F183" s="43">
        <f t="shared" si="21"/>
        <v>0</v>
      </c>
      <c r="G183" s="1344">
        <f t="shared" si="26"/>
        <v>1</v>
      </c>
      <c r="H183" s="1344">
        <f t="shared" si="27"/>
        <v>0.367192066876738</v>
      </c>
      <c r="I183" s="1344">
        <f t="shared" si="30"/>
        <v>0</v>
      </c>
      <c r="J183" s="1344">
        <f t="shared" si="31"/>
        <v>0</v>
      </c>
      <c r="K183" s="449">
        <f t="shared" si="24"/>
        <v>0</v>
      </c>
      <c r="L183" s="902">
        <f t="shared" si="25"/>
        <v>0</v>
      </c>
      <c r="M183" s="889"/>
      <c r="N183" s="1607"/>
    </row>
    <row r="184" spans="1:14" ht="15" customHeight="1">
      <c r="A184" s="1586" t="s">
        <v>8678</v>
      </c>
      <c r="B184" s="1606">
        <v>308.11</v>
      </c>
      <c r="C184" s="1236">
        <v>2056</v>
      </c>
      <c r="D184" s="1236">
        <v>258</v>
      </c>
      <c r="E184" s="43">
        <f t="shared" si="20"/>
        <v>0</v>
      </c>
      <c r="F184" s="43">
        <f t="shared" si="21"/>
        <v>0</v>
      </c>
      <c r="G184" s="1344">
        <f t="shared" si="26"/>
        <v>1</v>
      </c>
      <c r="H184" s="1344">
        <f t="shared" si="27"/>
        <v>0.367192066876738</v>
      </c>
      <c r="I184" s="1344">
        <f t="shared" si="30"/>
        <v>0</v>
      </c>
      <c r="J184" s="1344">
        <f t="shared" si="31"/>
        <v>0</v>
      </c>
      <c r="K184" s="449">
        <f t="shared" si="24"/>
        <v>0</v>
      </c>
      <c r="L184" s="902">
        <f t="shared" si="25"/>
        <v>0</v>
      </c>
      <c r="M184" s="889"/>
      <c r="N184" s="1607"/>
    </row>
    <row r="185" spans="1:14" ht="15" customHeight="1">
      <c r="A185" s="1586" t="s">
        <v>8727</v>
      </c>
      <c r="B185" s="1606">
        <v>1605.61</v>
      </c>
      <c r="C185" s="1236">
        <v>206</v>
      </c>
      <c r="D185" s="1236">
        <v>818</v>
      </c>
      <c r="E185" s="43">
        <f t="shared" si="20"/>
        <v>0</v>
      </c>
      <c r="F185" s="43">
        <f t="shared" si="21"/>
        <v>0</v>
      </c>
      <c r="G185" s="1344">
        <f t="shared" si="26"/>
        <v>1</v>
      </c>
      <c r="H185" s="1344">
        <f t="shared" si="27"/>
        <v>0.367192066876738</v>
      </c>
      <c r="I185" s="1344">
        <f t="shared" si="30"/>
        <v>0</v>
      </c>
      <c r="J185" s="1344">
        <f t="shared" si="31"/>
        <v>0</v>
      </c>
      <c r="K185" s="449">
        <f t="shared" si="24"/>
        <v>0</v>
      </c>
      <c r="L185" s="902">
        <f t="shared" si="25"/>
        <v>0</v>
      </c>
      <c r="M185" s="889"/>
      <c r="N185" s="1607"/>
    </row>
    <row r="186" spans="1:14" ht="15" customHeight="1">
      <c r="A186" s="1586" t="s">
        <v>8681</v>
      </c>
      <c r="B186" s="1606">
        <v>308.29000000000002</v>
      </c>
      <c r="C186" s="1236">
        <v>12</v>
      </c>
      <c r="D186" s="1236">
        <v>28</v>
      </c>
      <c r="E186" s="43">
        <f t="shared" si="20"/>
        <v>0.30245130928179376</v>
      </c>
      <c r="F186" s="43">
        <f t="shared" si="21"/>
        <v>0.81351413708172637</v>
      </c>
      <c r="G186" s="1344">
        <f t="shared" si="26"/>
        <v>1</v>
      </c>
      <c r="H186" s="1344">
        <f t="shared" si="27"/>
        <v>0.367192066876738</v>
      </c>
      <c r="I186" s="1344">
        <f t="shared" si="30"/>
        <v>14.568641851755068</v>
      </c>
      <c r="J186" s="1344">
        <f t="shared" si="31"/>
        <v>12.638228893514347</v>
      </c>
      <c r="K186" s="449">
        <f t="shared" si="24"/>
        <v>4.1848212453828042</v>
      </c>
      <c r="L186" s="902">
        <f t="shared" si="25"/>
        <v>9.7645829058932101</v>
      </c>
      <c r="M186" s="889"/>
      <c r="N186" s="1607"/>
    </row>
    <row r="187" spans="1:14" ht="15" customHeight="1">
      <c r="A187" s="1586" t="s">
        <v>8682</v>
      </c>
      <c r="B187" s="1606">
        <v>308.20999999999998</v>
      </c>
      <c r="C187" s="1236">
        <v>2283</v>
      </c>
      <c r="D187" s="1236">
        <v>725</v>
      </c>
      <c r="E187" s="43">
        <f t="shared" si="20"/>
        <v>0.30245130928179376</v>
      </c>
      <c r="F187" s="43">
        <f t="shared" si="21"/>
        <v>0.81351413708172637</v>
      </c>
      <c r="G187" s="1344">
        <f t="shared" si="26"/>
        <v>1</v>
      </c>
      <c r="H187" s="1344">
        <f t="shared" si="27"/>
        <v>0.367192066876738</v>
      </c>
      <c r="I187" s="1344">
        <f t="shared" si="30"/>
        <v>2771.6841122964015</v>
      </c>
      <c r="J187" s="1344">
        <f t="shared" si="31"/>
        <v>327.23985527849646</v>
      </c>
      <c r="K187" s="449">
        <f t="shared" si="24"/>
        <v>796.16224193407857</v>
      </c>
      <c r="L187" s="902">
        <f t="shared" si="25"/>
        <v>252.83295024187777</v>
      </c>
      <c r="M187" s="889"/>
      <c r="N187" s="1607"/>
    </row>
    <row r="188" spans="1:14" ht="15" customHeight="1">
      <c r="A188" s="1586" t="s">
        <v>8728</v>
      </c>
      <c r="B188" s="1606">
        <v>1605.62</v>
      </c>
      <c r="C188" s="1236">
        <v>111</v>
      </c>
      <c r="D188" s="1236">
        <v>208</v>
      </c>
      <c r="E188" s="43">
        <f t="shared" si="20"/>
        <v>0.1466373254259557</v>
      </c>
      <c r="F188" s="43">
        <f t="shared" si="21"/>
        <v>0.3944156748441276</v>
      </c>
      <c r="G188" s="1344">
        <f t="shared" si="26"/>
        <v>1</v>
      </c>
      <c r="H188" s="1344">
        <f t="shared" si="27"/>
        <v>0.367192066876738</v>
      </c>
      <c r="I188" s="1344">
        <f t="shared" si="30"/>
        <v>277.95323806487977</v>
      </c>
      <c r="J188" s="1344">
        <f t="shared" si="31"/>
        <v>193.64329255054363</v>
      </c>
      <c r="K188" s="449">
        <f t="shared" si="24"/>
        <v>18.767555397458853</v>
      </c>
      <c r="L188" s="902">
        <f t="shared" si="25"/>
        <v>35.168031735778754</v>
      </c>
      <c r="M188" s="889"/>
      <c r="N188" s="1607"/>
    </row>
    <row r="189" spans="1:14" ht="15" customHeight="1">
      <c r="A189" s="1586" t="s">
        <v>8683</v>
      </c>
      <c r="B189" s="1606">
        <v>302.83999999999997</v>
      </c>
      <c r="C189" s="1236">
        <v>4271</v>
      </c>
      <c r="D189" s="1236">
        <v>133</v>
      </c>
      <c r="E189" s="43">
        <f t="shared" si="20"/>
        <v>0.12276477848009736</v>
      </c>
      <c r="F189" s="43">
        <f t="shared" si="21"/>
        <v>9.4137752070277414E-2</v>
      </c>
      <c r="G189" s="1344">
        <f t="shared" si="26"/>
        <v>1</v>
      </c>
      <c r="H189" s="1344">
        <f t="shared" si="27"/>
        <v>0.367192066876738</v>
      </c>
      <c r="I189" s="1344">
        <f t="shared" si="30"/>
        <v>12774.651956748306</v>
      </c>
      <c r="J189" s="1344">
        <f t="shared" si="31"/>
        <v>518.7774704684665</v>
      </c>
      <c r="K189" s="449">
        <f t="shared" si="24"/>
        <v>1704.0342305229208</v>
      </c>
      <c r="L189" s="902">
        <f t="shared" si="25"/>
        <v>53.064048854963353</v>
      </c>
      <c r="M189" s="889"/>
      <c r="N189" s="1607"/>
    </row>
    <row r="190" spans="1:14" ht="15" customHeight="1">
      <c r="A190" s="1586" t="s">
        <v>8718</v>
      </c>
      <c r="B190" s="1606">
        <v>303.83999999999997</v>
      </c>
      <c r="C190" s="1236">
        <v>2981</v>
      </c>
      <c r="D190" s="1236">
        <v>365</v>
      </c>
      <c r="E190" s="43">
        <f t="shared" si="20"/>
        <v>0.11773265685639654</v>
      </c>
      <c r="F190" s="43">
        <f t="shared" si="21"/>
        <v>9.0279050709314773E-2</v>
      </c>
      <c r="G190" s="1344">
        <f t="shared" si="26"/>
        <v>1</v>
      </c>
      <c r="H190" s="1344">
        <f t="shared" si="27"/>
        <v>0.367192066876738</v>
      </c>
      <c r="I190" s="1344">
        <f t="shared" si="30"/>
        <v>9297.331603538727</v>
      </c>
      <c r="J190" s="1344">
        <f t="shared" si="31"/>
        <v>1484.5648393174895</v>
      </c>
      <c r="K190" s="449">
        <f t="shared" si="24"/>
        <v>1140.6013452973543</v>
      </c>
      <c r="L190" s="902">
        <f t="shared" si="25"/>
        <v>139.65766220514402</v>
      </c>
      <c r="M190" s="889"/>
      <c r="N190" s="1607"/>
    </row>
    <row r="191" spans="1:14" ht="15" customHeight="1">
      <c r="A191" s="1586" t="s">
        <v>8691</v>
      </c>
      <c r="B191" s="1606">
        <v>302.85000000000002</v>
      </c>
      <c r="C191" s="1236">
        <v>433</v>
      </c>
      <c r="D191" s="1236">
        <v>252</v>
      </c>
      <c r="E191" s="43">
        <f t="shared" si="20"/>
        <v>6.6800177971691091E-2</v>
      </c>
      <c r="F191" s="43">
        <f t="shared" si="21"/>
        <v>8.3243206432398048E-2</v>
      </c>
      <c r="G191" s="1344">
        <f t="shared" si="26"/>
        <v>1</v>
      </c>
      <c r="H191" s="1344">
        <f t="shared" si="27"/>
        <v>0.367192066876738</v>
      </c>
      <c r="I191" s="1344">
        <f t="shared" si="30"/>
        <v>2380.145828728284</v>
      </c>
      <c r="J191" s="1344">
        <f t="shared" si="31"/>
        <v>1111.5910212815227</v>
      </c>
      <c r="K191" s="449">
        <f t="shared" si="24"/>
        <v>70.287456623365927</v>
      </c>
      <c r="L191" s="902">
        <f t="shared" si="25"/>
        <v>40.906325794660994</v>
      </c>
      <c r="M191" s="889"/>
      <c r="N191" s="1607"/>
    </row>
    <row r="192" spans="1:14" ht="15" customHeight="1">
      <c r="A192" s="1586" t="s">
        <v>8720</v>
      </c>
      <c r="B192" s="1606">
        <v>1212.21</v>
      </c>
      <c r="C192" s="1236">
        <v>6439</v>
      </c>
      <c r="D192" s="1236">
        <v>1233</v>
      </c>
      <c r="E192" s="43">
        <f t="shared" si="20"/>
        <v>0</v>
      </c>
      <c r="F192" s="43">
        <f t="shared" si="21"/>
        <v>0</v>
      </c>
      <c r="G192" s="1344">
        <f t="shared" si="26"/>
        <v>1</v>
      </c>
      <c r="H192" s="1344">
        <f t="shared" si="27"/>
        <v>0.367192066876738</v>
      </c>
      <c r="I192" s="1344">
        <f t="shared" si="30"/>
        <v>0</v>
      </c>
      <c r="J192" s="1344">
        <f t="shared" si="31"/>
        <v>0</v>
      </c>
      <c r="K192" s="449">
        <f t="shared" si="24"/>
        <v>0</v>
      </c>
      <c r="L192" s="902">
        <f t="shared" si="25"/>
        <v>0</v>
      </c>
      <c r="M192" s="889"/>
      <c r="N192" s="1607"/>
    </row>
    <row r="193" spans="1:14" ht="15" customHeight="1">
      <c r="A193" s="1586" t="s">
        <v>8721</v>
      </c>
      <c r="B193" s="1606">
        <v>1212.29</v>
      </c>
      <c r="C193" s="1236">
        <v>23652</v>
      </c>
      <c r="D193" s="1236">
        <v>156</v>
      </c>
      <c r="E193" s="43">
        <f t="shared" si="20"/>
        <v>0</v>
      </c>
      <c r="F193" s="43">
        <f t="shared" si="21"/>
        <v>0</v>
      </c>
      <c r="G193" s="1344">
        <f t="shared" si="26"/>
        <v>1</v>
      </c>
      <c r="H193" s="1344">
        <f t="shared" si="27"/>
        <v>0.367192066876738</v>
      </c>
      <c r="I193" s="1344">
        <f t="shared" si="30"/>
        <v>0</v>
      </c>
      <c r="J193" s="1344">
        <f t="shared" si="31"/>
        <v>0</v>
      </c>
      <c r="K193" s="449">
        <f t="shared" si="24"/>
        <v>0</v>
      </c>
      <c r="L193" s="902">
        <f t="shared" si="25"/>
        <v>0</v>
      </c>
      <c r="M193" s="889"/>
      <c r="N193" s="1607"/>
    </row>
    <row r="194" spans="1:14" ht="15" customHeight="1">
      <c r="A194" s="1586" t="s">
        <v>8722</v>
      </c>
      <c r="B194" s="1606">
        <v>305.70999999999998</v>
      </c>
      <c r="C194" s="1236">
        <v>57</v>
      </c>
      <c r="D194" s="1236">
        <v>12</v>
      </c>
      <c r="E194" s="43">
        <f t="shared" si="20"/>
        <v>0</v>
      </c>
      <c r="F194" s="43">
        <f t="shared" si="21"/>
        <v>0</v>
      </c>
      <c r="G194" s="1344">
        <f t="shared" si="26"/>
        <v>1</v>
      </c>
      <c r="H194" s="1344">
        <f t="shared" si="27"/>
        <v>0.367192066876738</v>
      </c>
      <c r="I194" s="1344">
        <f t="shared" si="30"/>
        <v>0</v>
      </c>
      <c r="J194" s="1344">
        <f t="shared" si="31"/>
        <v>0</v>
      </c>
      <c r="K194" s="449">
        <f t="shared" si="24"/>
        <v>0</v>
      </c>
      <c r="L194" s="902">
        <f t="shared" si="25"/>
        <v>0</v>
      </c>
      <c r="M194" s="889"/>
      <c r="N194" s="1607"/>
    </row>
    <row r="195" spans="1:14" ht="15" customHeight="1">
      <c r="A195" s="1586" t="s">
        <v>8729</v>
      </c>
      <c r="B195" s="1606">
        <v>1605.21</v>
      </c>
      <c r="C195" s="1236">
        <v>65535</v>
      </c>
      <c r="D195" s="1236">
        <v>1824</v>
      </c>
      <c r="E195" s="43">
        <f t="shared" si="20"/>
        <v>0.14826548173367834</v>
      </c>
      <c r="F195" s="43">
        <f t="shared" si="21"/>
        <v>0.13165552277145284</v>
      </c>
      <c r="G195" s="1344">
        <f t="shared" si="26"/>
        <v>1</v>
      </c>
      <c r="H195" s="1344">
        <f t="shared" si="27"/>
        <v>0.367192066876738</v>
      </c>
      <c r="I195" s="1344">
        <f t="shared" si="30"/>
        <v>162302.99744340917</v>
      </c>
      <c r="J195" s="1344">
        <f t="shared" si="31"/>
        <v>5087.2026929385702</v>
      </c>
      <c r="K195" s="449">
        <f t="shared" si="24"/>
        <v>11660.255196623279</v>
      </c>
      <c r="L195" s="902">
        <f t="shared" si="25"/>
        <v>324.53353900420939</v>
      </c>
      <c r="M195" s="889"/>
      <c r="N195" s="1607"/>
    </row>
    <row r="196" spans="1:14" ht="15" customHeight="1">
      <c r="A196" s="1586" t="s">
        <v>6321</v>
      </c>
      <c r="B196" s="1606">
        <v>302.33</v>
      </c>
      <c r="C196" s="1236">
        <v>38</v>
      </c>
      <c r="D196" s="1236">
        <v>10</v>
      </c>
      <c r="E196" s="43">
        <f t="shared" si="20"/>
        <v>1.2307988432487409E-2</v>
      </c>
      <c r="F196" s="43">
        <f t="shared" si="21"/>
        <v>1.1849037487307684E-2</v>
      </c>
      <c r="G196" s="1344">
        <f t="shared" si="26"/>
        <v>1</v>
      </c>
      <c r="H196" s="1344">
        <f t="shared" si="27"/>
        <v>0.367192066876738</v>
      </c>
      <c r="I196" s="1344">
        <f t="shared" si="30"/>
        <v>1133.6782300254504</v>
      </c>
      <c r="J196" s="1344">
        <f t="shared" si="31"/>
        <v>309.89189397878317</v>
      </c>
      <c r="K196" s="449">
        <f t="shared" si="24"/>
        <v>1.1013404745925983</v>
      </c>
      <c r="L196" s="902">
        <f t="shared" si="25"/>
        <v>0.28982644068226271</v>
      </c>
      <c r="M196" s="889"/>
      <c r="N196" s="1607"/>
    </row>
    <row r="197" spans="1:14" ht="15" customHeight="1">
      <c r="A197" s="1586" t="s">
        <v>6322</v>
      </c>
      <c r="B197" s="1606">
        <v>303.43</v>
      </c>
      <c r="C197" s="1236">
        <v>272</v>
      </c>
      <c r="D197" s="1236">
        <v>575</v>
      </c>
      <c r="E197" s="43">
        <f t="shared" si="20"/>
        <v>9.0960152430427377E-3</v>
      </c>
      <c r="F197" s="43">
        <f t="shared" si="21"/>
        <v>8.756835139318837E-3</v>
      </c>
      <c r="G197" s="1344">
        <f t="shared" si="26"/>
        <v>1</v>
      </c>
      <c r="H197" s="1344">
        <f t="shared" si="27"/>
        <v>0.367192066876738</v>
      </c>
      <c r="I197" s="1344">
        <f t="shared" si="30"/>
        <v>10980.219307225218</v>
      </c>
      <c r="J197" s="1344">
        <f t="shared" si="31"/>
        <v>24110.929930165137</v>
      </c>
      <c r="K197" s="449">
        <f t="shared" si="24"/>
        <v>5.8260070717012633</v>
      </c>
      <c r="L197" s="902">
        <f t="shared" si="25"/>
        <v>12.316007596427303</v>
      </c>
      <c r="M197" s="889"/>
      <c r="N197" s="1607"/>
    </row>
    <row r="198" spans="1:14" ht="15" customHeight="1">
      <c r="A198" s="1586" t="s">
        <v>6323</v>
      </c>
      <c r="B198" s="1606">
        <v>303.11</v>
      </c>
      <c r="C198" s="1236">
        <v>3379</v>
      </c>
      <c r="D198" s="1236">
        <v>13447</v>
      </c>
      <c r="E198" s="43">
        <f t="shared" si="20"/>
        <v>3.0177068549124286E-2</v>
      </c>
      <c r="F198" s="43">
        <f t="shared" si="21"/>
        <v>1.3111623682066515E-2</v>
      </c>
      <c r="G198" s="1344">
        <f t="shared" si="26"/>
        <v>1</v>
      </c>
      <c r="H198" s="1344">
        <f t="shared" si="27"/>
        <v>0.367192066876738</v>
      </c>
      <c r="I198" s="1344">
        <f t="shared" si="30"/>
        <v>41115.391707340081</v>
      </c>
      <c r="J198" s="1344">
        <f t="shared" si="31"/>
        <v>376584.30740694341</v>
      </c>
      <c r="K198" s="449">
        <f t="shared" si="24"/>
        <v>575.24408114473783</v>
      </c>
      <c r="L198" s="902">
        <f t="shared" si="25"/>
        <v>2289.2297008444184</v>
      </c>
      <c r="M198" s="889"/>
      <c r="N198" s="1607"/>
    </row>
    <row r="199" spans="1:14" ht="15" customHeight="1">
      <c r="A199" s="1586" t="s">
        <v>6324</v>
      </c>
      <c r="B199" s="1606">
        <v>302.23</v>
      </c>
      <c r="C199" s="1236">
        <v>475</v>
      </c>
      <c r="D199" s="1236">
        <v>112</v>
      </c>
      <c r="E199" s="43">
        <f t="shared" ref="E199:E234" si="32">VLOOKUP(B199,fish_commodity_yield,5,FALSE)</f>
        <v>0.12727712050516277</v>
      </c>
      <c r="F199" s="43">
        <f t="shared" ref="F199:F234" si="33">VLOOKUP(B199,fish_commodity_yield,6,FALSE)</f>
        <v>0.12355811353532165</v>
      </c>
      <c r="G199" s="1344">
        <f t="shared" si="26"/>
        <v>1</v>
      </c>
      <c r="H199" s="1344">
        <f t="shared" si="27"/>
        <v>0.367192066876738</v>
      </c>
      <c r="I199" s="1344">
        <f t="shared" si="30"/>
        <v>1370.3659469525451</v>
      </c>
      <c r="J199" s="1344">
        <f t="shared" si="31"/>
        <v>332.84347189744102</v>
      </c>
      <c r="K199" s="449">
        <f t="shared" ref="K199:K234" si="34">VLOOKUP(B199,fish_commodity_yield,8,FALSE)*C199</f>
        <v>0.54151494930850985</v>
      </c>
      <c r="L199" s="902">
        <f t="shared" ref="L199:L234" si="35">VLOOKUP(B199,fish_commodity_yield,9,FALSE)*D199</f>
        <v>0.12768352488958548</v>
      </c>
      <c r="M199" s="889"/>
      <c r="N199" s="1607"/>
    </row>
    <row r="200" spans="1:14" ht="15" customHeight="1">
      <c r="A200" s="1586" t="s">
        <v>6325</v>
      </c>
      <c r="B200" s="1606">
        <v>303.33</v>
      </c>
      <c r="C200" s="1236">
        <v>612</v>
      </c>
      <c r="D200" s="1236">
        <v>28320</v>
      </c>
      <c r="E200" s="43">
        <f t="shared" si="32"/>
        <v>0.12743696618240627</v>
      </c>
      <c r="F200" s="43">
        <f t="shared" si="33"/>
        <v>0.12371328856016975</v>
      </c>
      <c r="G200" s="1344">
        <f t="shared" si="26"/>
        <v>1</v>
      </c>
      <c r="H200" s="1344">
        <f t="shared" si="27"/>
        <v>0.367192066876738</v>
      </c>
      <c r="I200" s="1344">
        <f t="shared" si="30"/>
        <v>1763.3937126760347</v>
      </c>
      <c r="J200" s="1344">
        <f t="shared" si="31"/>
        <v>84056.284130637869</v>
      </c>
      <c r="K200" s="449">
        <f t="shared" si="34"/>
        <v>0.69857549241479999</v>
      </c>
      <c r="L200" s="902">
        <f t="shared" si="35"/>
        <v>32.326238472527997</v>
      </c>
      <c r="M200" s="889"/>
      <c r="N200" s="1607"/>
    </row>
    <row r="201" spans="1:14" ht="15" customHeight="1">
      <c r="A201" s="1586" t="s">
        <v>8759</v>
      </c>
      <c r="B201" s="1606">
        <v>303.45999999999998</v>
      </c>
      <c r="C201" s="1236">
        <v>18</v>
      </c>
      <c r="D201" s="1236">
        <v>0</v>
      </c>
      <c r="E201" s="43">
        <f t="shared" si="32"/>
        <v>7.394430115242343E-3</v>
      </c>
      <c r="F201" s="43">
        <f t="shared" si="33"/>
        <v>7.0300651537051661E-3</v>
      </c>
      <c r="G201" s="1344">
        <f t="shared" ref="G201:G234" si="36">$G$7</f>
        <v>1</v>
      </c>
      <c r="H201" s="1344">
        <f t="shared" ref="H201:H234" si="37">$H$7</f>
        <v>0.367192066876738</v>
      </c>
      <c r="I201" s="1344">
        <f t="shared" si="30"/>
        <v>893.84267628103316</v>
      </c>
      <c r="J201" s="1344">
        <f t="shared" si="31"/>
        <v>0</v>
      </c>
      <c r="K201" s="449">
        <f t="shared" si="34"/>
        <v>7.281338432618914E-2</v>
      </c>
      <c r="L201" s="902">
        <f t="shared" si="35"/>
        <v>0</v>
      </c>
      <c r="M201" s="889"/>
      <c r="N201" s="1607"/>
    </row>
    <row r="202" spans="1:14" ht="15" customHeight="1">
      <c r="A202" s="1586" t="s">
        <v>6326</v>
      </c>
      <c r="B202" s="1606">
        <v>301.95</v>
      </c>
      <c r="C202" s="1236"/>
      <c r="D202" s="1236">
        <v>0</v>
      </c>
      <c r="E202" s="43">
        <f t="shared" si="32"/>
        <v>1.1443760892636962E-2</v>
      </c>
      <c r="F202" s="43">
        <f t="shared" si="33"/>
        <v>1.0879862737877045E-2</v>
      </c>
      <c r="G202" s="1344">
        <f t="shared" si="36"/>
        <v>1</v>
      </c>
      <c r="H202" s="1344">
        <f t="shared" si="37"/>
        <v>0.367192066876738</v>
      </c>
      <c r="I202" s="1344">
        <f t="shared" si="30"/>
        <v>0</v>
      </c>
      <c r="J202" s="1344">
        <f t="shared" si="31"/>
        <v>0</v>
      </c>
      <c r="K202" s="449">
        <f t="shared" si="34"/>
        <v>0</v>
      </c>
      <c r="L202" s="902">
        <f t="shared" si="35"/>
        <v>0</v>
      </c>
      <c r="M202" s="889"/>
      <c r="N202" s="1607"/>
    </row>
    <row r="203" spans="1:14" ht="15" customHeight="1">
      <c r="A203" s="1586" t="s">
        <v>6329</v>
      </c>
      <c r="B203" s="1606">
        <v>304.91000000000003</v>
      </c>
      <c r="C203" s="1236">
        <v>186</v>
      </c>
      <c r="D203" s="1236">
        <v>2</v>
      </c>
      <c r="E203" s="43">
        <f t="shared" si="32"/>
        <v>0</v>
      </c>
      <c r="F203" s="43">
        <f t="shared" si="33"/>
        <v>0</v>
      </c>
      <c r="G203" s="1344">
        <f t="shared" si="36"/>
        <v>1</v>
      </c>
      <c r="H203" s="1344">
        <f t="shared" si="37"/>
        <v>0.367192066876738</v>
      </c>
      <c r="I203" s="1344">
        <f t="shared" si="30"/>
        <v>0</v>
      </c>
      <c r="J203" s="1344">
        <f t="shared" si="31"/>
        <v>0</v>
      </c>
      <c r="K203" s="449">
        <f t="shared" si="34"/>
        <v>0</v>
      </c>
      <c r="L203" s="902">
        <f t="shared" si="35"/>
        <v>0</v>
      </c>
      <c r="M203" s="889"/>
      <c r="N203" s="1607"/>
    </row>
    <row r="204" spans="1:14" ht="15" customHeight="1">
      <c r="A204" s="1586" t="s">
        <v>8724</v>
      </c>
      <c r="B204" s="1606">
        <v>304.54000000000002</v>
      </c>
      <c r="C204" s="1236">
        <v>63</v>
      </c>
      <c r="D204" s="1236">
        <v>2</v>
      </c>
      <c r="E204" s="43">
        <f t="shared" si="32"/>
        <v>0</v>
      </c>
      <c r="F204" s="43">
        <f t="shared" si="33"/>
        <v>0</v>
      </c>
      <c r="G204" s="1344">
        <f t="shared" si="36"/>
        <v>1</v>
      </c>
      <c r="H204" s="1344">
        <f t="shared" si="37"/>
        <v>0.367192066876738</v>
      </c>
      <c r="I204" s="1344">
        <f t="shared" si="30"/>
        <v>0</v>
      </c>
      <c r="J204" s="1344">
        <f t="shared" si="31"/>
        <v>0</v>
      </c>
      <c r="K204" s="449">
        <f t="shared" si="34"/>
        <v>0</v>
      </c>
      <c r="L204" s="902">
        <f t="shared" si="35"/>
        <v>0</v>
      </c>
      <c r="M204" s="889"/>
      <c r="N204" s="1607"/>
    </row>
    <row r="205" spans="1:14" ht="15" customHeight="1">
      <c r="A205" s="1586" t="s">
        <v>8725</v>
      </c>
      <c r="B205" s="1606">
        <v>304.45</v>
      </c>
      <c r="C205" s="1236">
        <v>31</v>
      </c>
      <c r="D205" s="1236">
        <v>0</v>
      </c>
      <c r="E205" s="43">
        <f t="shared" si="32"/>
        <v>0</v>
      </c>
      <c r="F205" s="43">
        <f t="shared" si="33"/>
        <v>0</v>
      </c>
      <c r="G205" s="1344">
        <f t="shared" si="36"/>
        <v>1</v>
      </c>
      <c r="H205" s="1344">
        <f t="shared" si="37"/>
        <v>0.367192066876738</v>
      </c>
      <c r="I205" s="1344">
        <f t="shared" si="30"/>
        <v>0</v>
      </c>
      <c r="J205" s="1344">
        <f t="shared" si="31"/>
        <v>0</v>
      </c>
      <c r="K205" s="449">
        <f t="shared" si="34"/>
        <v>0</v>
      </c>
      <c r="L205" s="902">
        <f t="shared" si="35"/>
        <v>0</v>
      </c>
      <c r="M205" s="889"/>
      <c r="N205" s="1607"/>
    </row>
    <row r="206" spans="1:14" ht="15" customHeight="1">
      <c r="A206" s="1586" t="s">
        <v>8726</v>
      </c>
      <c r="B206" s="1606">
        <v>304.83999999999997</v>
      </c>
      <c r="C206" s="1236">
        <v>1378</v>
      </c>
      <c r="D206" s="1236">
        <v>18</v>
      </c>
      <c r="E206" s="43">
        <f t="shared" si="32"/>
        <v>0</v>
      </c>
      <c r="F206" s="43">
        <f t="shared" si="33"/>
        <v>0</v>
      </c>
      <c r="G206" s="1344">
        <f t="shared" si="36"/>
        <v>1</v>
      </c>
      <c r="H206" s="1344">
        <f t="shared" si="37"/>
        <v>0.367192066876738</v>
      </c>
      <c r="I206" s="1344">
        <f t="shared" si="30"/>
        <v>0</v>
      </c>
      <c r="J206" s="1344">
        <f t="shared" si="31"/>
        <v>0</v>
      </c>
      <c r="K206" s="449">
        <f t="shared" si="34"/>
        <v>0</v>
      </c>
      <c r="L206" s="902">
        <f t="shared" si="35"/>
        <v>0</v>
      </c>
      <c r="M206" s="889"/>
      <c r="N206" s="1607"/>
    </row>
    <row r="207" spans="1:14" ht="15" customHeight="1">
      <c r="A207" s="1586" t="s">
        <v>6330</v>
      </c>
      <c r="B207" s="1606">
        <v>302.47000000000003</v>
      </c>
      <c r="C207" s="1236">
        <v>5943</v>
      </c>
      <c r="D207" s="1236">
        <v>160</v>
      </c>
      <c r="E207" s="43">
        <f t="shared" si="32"/>
        <v>0</v>
      </c>
      <c r="F207" s="43">
        <f t="shared" si="33"/>
        <v>0</v>
      </c>
      <c r="G207" s="1344">
        <f t="shared" si="36"/>
        <v>1</v>
      </c>
      <c r="H207" s="1344">
        <f t="shared" si="37"/>
        <v>0.367192066876738</v>
      </c>
      <c r="I207" s="1344">
        <f t="shared" si="30"/>
        <v>0</v>
      </c>
      <c r="J207" s="1344">
        <f t="shared" si="31"/>
        <v>0</v>
      </c>
      <c r="K207" s="449">
        <f t="shared" si="34"/>
        <v>0</v>
      </c>
      <c r="L207" s="902">
        <f t="shared" si="35"/>
        <v>0</v>
      </c>
      <c r="M207" s="889"/>
      <c r="N207" s="1607"/>
    </row>
    <row r="208" spans="1:14" ht="15" customHeight="1">
      <c r="A208" s="1586" t="s">
        <v>6331</v>
      </c>
      <c r="B208" s="1606">
        <v>303.57</v>
      </c>
      <c r="C208" s="1236">
        <v>469</v>
      </c>
      <c r="D208" s="1236">
        <v>13</v>
      </c>
      <c r="E208" s="43">
        <f t="shared" si="32"/>
        <v>0</v>
      </c>
      <c r="F208" s="43">
        <f t="shared" si="33"/>
        <v>0</v>
      </c>
      <c r="G208" s="1344">
        <f t="shared" si="36"/>
        <v>1</v>
      </c>
      <c r="H208" s="1344">
        <f t="shared" si="37"/>
        <v>0.367192066876738</v>
      </c>
      <c r="I208" s="1344">
        <f t="shared" si="30"/>
        <v>0</v>
      </c>
      <c r="J208" s="1344">
        <f t="shared" si="31"/>
        <v>0</v>
      </c>
      <c r="K208" s="449">
        <f t="shared" si="34"/>
        <v>0</v>
      </c>
      <c r="L208" s="902">
        <f t="shared" si="35"/>
        <v>0</v>
      </c>
      <c r="M208" s="889"/>
      <c r="N208" s="1607"/>
    </row>
    <row r="209" spans="1:14" ht="15" customHeight="1">
      <c r="A209" s="1586" t="s">
        <v>8631</v>
      </c>
      <c r="B209" s="1606">
        <v>304.31</v>
      </c>
      <c r="C209" s="1236">
        <v>26764</v>
      </c>
      <c r="D209" s="1236">
        <v>286</v>
      </c>
      <c r="E209" s="43">
        <f t="shared" si="32"/>
        <v>5.2619654448995384E-2</v>
      </c>
      <c r="F209" s="43">
        <f t="shared" si="33"/>
        <v>6.557211209160925E-2</v>
      </c>
      <c r="G209" s="1344">
        <f t="shared" si="36"/>
        <v>1</v>
      </c>
      <c r="H209" s="1344">
        <f t="shared" si="37"/>
        <v>0.367192066876738</v>
      </c>
      <c r="I209" s="1344">
        <f t="shared" si="30"/>
        <v>186765.3556603058</v>
      </c>
      <c r="J209" s="1344">
        <f t="shared" si="31"/>
        <v>1601.5487038152803</v>
      </c>
      <c r="K209" s="449">
        <f t="shared" si="34"/>
        <v>3422.2467960979766</v>
      </c>
      <c r="L209" s="902">
        <f t="shared" si="35"/>
        <v>36.570115964878994</v>
      </c>
      <c r="M209" s="889"/>
      <c r="N209" s="1607"/>
    </row>
    <row r="210" spans="1:14" ht="15" customHeight="1">
      <c r="A210" s="1586" t="s">
        <v>8641</v>
      </c>
      <c r="B210" s="1606">
        <v>304.61</v>
      </c>
      <c r="C210" s="1236">
        <v>160464</v>
      </c>
      <c r="D210" s="1236">
        <v>598</v>
      </c>
      <c r="E210" s="43">
        <f t="shared" si="32"/>
        <v>5.2619654448995384E-2</v>
      </c>
      <c r="F210" s="43">
        <f t="shared" si="33"/>
        <v>6.557211209160925E-2</v>
      </c>
      <c r="G210" s="1344">
        <f t="shared" si="36"/>
        <v>1</v>
      </c>
      <c r="H210" s="1344">
        <f t="shared" si="37"/>
        <v>0.367192066876738</v>
      </c>
      <c r="I210" s="1344">
        <f t="shared" si="30"/>
        <v>1119754.7463262335</v>
      </c>
      <c r="J210" s="1344">
        <f t="shared" si="31"/>
        <v>3348.6927443410409</v>
      </c>
      <c r="K210" s="449">
        <f t="shared" si="34"/>
        <v>20518.136671987213</v>
      </c>
      <c r="L210" s="902">
        <f t="shared" si="35"/>
        <v>76.464787926565165</v>
      </c>
      <c r="M210" s="889"/>
      <c r="N210" s="1607"/>
    </row>
    <row r="211" spans="1:14" ht="15" customHeight="1">
      <c r="A211" s="1586" t="s">
        <v>8695</v>
      </c>
      <c r="B211" s="1606">
        <v>302.70999999999998</v>
      </c>
      <c r="C211" s="1236">
        <v>457</v>
      </c>
      <c r="D211" s="1236">
        <v>54</v>
      </c>
      <c r="E211" s="43">
        <f t="shared" si="32"/>
        <v>6.6800177971691091E-2</v>
      </c>
      <c r="F211" s="43">
        <f t="shared" si="33"/>
        <v>8.3243206432398048E-2</v>
      </c>
      <c r="G211" s="1344">
        <f t="shared" si="36"/>
        <v>1</v>
      </c>
      <c r="H211" s="1344">
        <f t="shared" si="37"/>
        <v>0.367192066876738</v>
      </c>
      <c r="I211" s="1344">
        <f t="shared" si="30"/>
        <v>2512.0707707363181</v>
      </c>
      <c r="J211" s="1344">
        <f t="shared" si="31"/>
        <v>238.19807598889773</v>
      </c>
      <c r="K211" s="449">
        <f t="shared" si="34"/>
        <v>74.183297175238394</v>
      </c>
      <c r="L211" s="902">
        <f t="shared" si="35"/>
        <v>8.7656412417130714</v>
      </c>
      <c r="M211" s="889"/>
      <c r="N211" s="1607"/>
    </row>
    <row r="212" spans="1:14" ht="15" customHeight="1">
      <c r="A212" s="1586" t="s">
        <v>8711</v>
      </c>
      <c r="B212" s="1606">
        <v>303.23</v>
      </c>
      <c r="C212" s="1236">
        <v>41774</v>
      </c>
      <c r="D212" s="1236">
        <v>1123</v>
      </c>
      <c r="E212" s="43">
        <f t="shared" si="32"/>
        <v>5.7204572296199553E-2</v>
      </c>
      <c r="F212" s="43">
        <f t="shared" si="33"/>
        <v>7.1285618768075681E-2</v>
      </c>
      <c r="G212" s="1344">
        <f t="shared" si="36"/>
        <v>1</v>
      </c>
      <c r="H212" s="1344">
        <f t="shared" si="37"/>
        <v>0.367192066876738</v>
      </c>
      <c r="I212" s="1344">
        <f t="shared" si="30"/>
        <v>268144.32458798267</v>
      </c>
      <c r="J212" s="1344">
        <f t="shared" si="31"/>
        <v>5784.5705519392259</v>
      </c>
      <c r="K212" s="449">
        <f t="shared" si="34"/>
        <v>5806.9637887103427</v>
      </c>
      <c r="L212" s="902">
        <f t="shared" si="35"/>
        <v>156.10715599946653</v>
      </c>
      <c r="M212" s="889"/>
      <c r="N212" s="1607"/>
    </row>
    <row r="213" spans="1:14" ht="15" customHeight="1">
      <c r="A213" s="1586" t="s">
        <v>8712</v>
      </c>
      <c r="B213" s="1606">
        <v>304.93</v>
      </c>
      <c r="C213" s="1236">
        <v>1468</v>
      </c>
      <c r="D213" s="1236">
        <v>2</v>
      </c>
      <c r="E213" s="43">
        <f t="shared" si="32"/>
        <v>5.7204572296199553E-2</v>
      </c>
      <c r="F213" s="43">
        <f t="shared" si="33"/>
        <v>7.1285618768075681E-2</v>
      </c>
      <c r="G213" s="1344">
        <f t="shared" si="36"/>
        <v>1</v>
      </c>
      <c r="H213" s="1344">
        <f t="shared" si="37"/>
        <v>0.367192066876738</v>
      </c>
      <c r="I213" s="1344">
        <f t="shared" si="30"/>
        <v>9422.9872287824619</v>
      </c>
      <c r="J213" s="1344">
        <f t="shared" si="31"/>
        <v>10.301995640141097</v>
      </c>
      <c r="K213" s="449">
        <f t="shared" si="34"/>
        <v>204.06527605273095</v>
      </c>
      <c r="L213" s="902">
        <f t="shared" si="35"/>
        <v>0.27801808726530103</v>
      </c>
      <c r="M213" s="889"/>
      <c r="N213" s="1607"/>
    </row>
    <row r="214" spans="1:14" ht="15" customHeight="1">
      <c r="A214" s="1586" t="s">
        <v>8732</v>
      </c>
      <c r="B214" s="1606">
        <v>305.31</v>
      </c>
      <c r="C214" s="1236">
        <v>2032</v>
      </c>
      <c r="D214" s="1236"/>
      <c r="E214" s="43">
        <f t="shared" si="32"/>
        <v>5.7204572296199553E-2</v>
      </c>
      <c r="F214" s="43">
        <f t="shared" si="33"/>
        <v>7.1285618768075681E-2</v>
      </c>
      <c r="G214" s="1344">
        <f t="shared" si="36"/>
        <v>1</v>
      </c>
      <c r="H214" s="1344">
        <f t="shared" si="37"/>
        <v>0.367192066876738</v>
      </c>
      <c r="I214" s="1344">
        <f t="shared" si="30"/>
        <v>13043.262976080356</v>
      </c>
      <c r="J214" s="1344">
        <f t="shared" si="31"/>
        <v>0</v>
      </c>
      <c r="K214" s="449">
        <f t="shared" si="34"/>
        <v>282.46637666154584</v>
      </c>
      <c r="L214" s="902">
        <f t="shared" si="35"/>
        <v>0</v>
      </c>
      <c r="M214" s="889"/>
      <c r="N214" s="1607"/>
    </row>
    <row r="215" spans="1:14" ht="15" customHeight="1">
      <c r="A215" s="1586" t="s">
        <v>8733</v>
      </c>
      <c r="B215" s="1606">
        <v>305.44</v>
      </c>
      <c r="C215" s="1236">
        <v>29</v>
      </c>
      <c r="D215" s="1236">
        <v>13</v>
      </c>
      <c r="E215" s="43">
        <f t="shared" si="32"/>
        <v>5.7204572296199553E-2</v>
      </c>
      <c r="F215" s="43">
        <f t="shared" si="33"/>
        <v>7.1285618768075681E-2</v>
      </c>
      <c r="G215" s="1344">
        <f t="shared" si="36"/>
        <v>1</v>
      </c>
      <c r="H215" s="1344">
        <f t="shared" si="37"/>
        <v>0.367192066876738</v>
      </c>
      <c r="I215" s="1344">
        <f t="shared" si="30"/>
        <v>186.14893026886332</v>
      </c>
      <c r="J215" s="1344">
        <f t="shared" si="31"/>
        <v>66.962971660917134</v>
      </c>
      <c r="K215" s="449">
        <f t="shared" si="34"/>
        <v>4.0312622653468653</v>
      </c>
      <c r="L215" s="902">
        <f t="shared" si="35"/>
        <v>1.8071175672244566</v>
      </c>
      <c r="M215" s="889"/>
      <c r="N215" s="1607"/>
    </row>
    <row r="216" spans="1:14" ht="15" customHeight="1">
      <c r="A216" s="1586" t="s">
        <v>8734</v>
      </c>
      <c r="B216" s="1606">
        <v>305.64</v>
      </c>
      <c r="C216" s="1236">
        <v>339</v>
      </c>
      <c r="D216" s="1236"/>
      <c r="E216" s="43">
        <f t="shared" si="32"/>
        <v>5.7204572296199553E-2</v>
      </c>
      <c r="F216" s="43">
        <f t="shared" si="33"/>
        <v>7.1285618768075681E-2</v>
      </c>
      <c r="G216" s="1344">
        <f t="shared" si="36"/>
        <v>1</v>
      </c>
      <c r="H216" s="1344">
        <f t="shared" si="37"/>
        <v>0.367192066876738</v>
      </c>
      <c r="I216" s="1344">
        <f t="shared" si="30"/>
        <v>2176.0168055567128</v>
      </c>
      <c r="J216" s="1344">
        <f t="shared" si="31"/>
        <v>0</v>
      </c>
      <c r="K216" s="449">
        <f t="shared" si="34"/>
        <v>47.124065791468524</v>
      </c>
      <c r="L216" s="902">
        <f t="shared" si="35"/>
        <v>0</v>
      </c>
      <c r="M216" s="889"/>
      <c r="N216" s="1607"/>
    </row>
    <row r="217" spans="1:14" ht="15" customHeight="1">
      <c r="A217" s="1586" t="s">
        <v>6334</v>
      </c>
      <c r="B217" s="1606">
        <v>304.92</v>
      </c>
      <c r="C217" s="1236">
        <v>2078</v>
      </c>
      <c r="D217" s="1236">
        <v>4</v>
      </c>
      <c r="E217" s="43">
        <f t="shared" si="32"/>
        <v>1.5669329442732079E-2</v>
      </c>
      <c r="F217" s="43">
        <f t="shared" si="33"/>
        <v>1.5669329442732079E-2</v>
      </c>
      <c r="G217" s="1344">
        <f t="shared" si="36"/>
        <v>1</v>
      </c>
      <c r="H217" s="1344">
        <f t="shared" si="37"/>
        <v>0.367192066876738</v>
      </c>
      <c r="I217" s="1344">
        <f t="shared" si="30"/>
        <v>48695.454247646587</v>
      </c>
      <c r="J217" s="1344">
        <f t="shared" si="31"/>
        <v>93.735234355431345</v>
      </c>
      <c r="K217" s="449">
        <f t="shared" si="34"/>
        <v>0</v>
      </c>
      <c r="L217" s="902">
        <f t="shared" si="35"/>
        <v>0</v>
      </c>
      <c r="M217" s="889"/>
      <c r="N217" s="1607"/>
    </row>
    <row r="218" spans="1:14" ht="15" customHeight="1">
      <c r="A218" s="1586" t="s">
        <v>8735</v>
      </c>
      <c r="B218" s="1606">
        <v>302.83</v>
      </c>
      <c r="C218" s="1236">
        <v>233</v>
      </c>
      <c r="D218" s="1236">
        <v>0</v>
      </c>
      <c r="E218" s="43">
        <f t="shared" si="32"/>
        <v>1.5956039528000846E-2</v>
      </c>
      <c r="F218" s="43">
        <f t="shared" si="33"/>
        <v>1.5956039528000846E-2</v>
      </c>
      <c r="G218" s="1344">
        <f t="shared" si="36"/>
        <v>1</v>
      </c>
      <c r="H218" s="1344">
        <f t="shared" si="37"/>
        <v>0.367192066876738</v>
      </c>
      <c r="I218" s="1344">
        <f t="shared" si="30"/>
        <v>5361.9666354009933</v>
      </c>
      <c r="J218" s="1344">
        <f t="shared" si="31"/>
        <v>0</v>
      </c>
      <c r="K218" s="449">
        <f t="shared" si="34"/>
        <v>0</v>
      </c>
      <c r="L218" s="902">
        <f t="shared" si="35"/>
        <v>0</v>
      </c>
      <c r="M218" s="889"/>
      <c r="N218" s="1607"/>
    </row>
    <row r="219" spans="1:14" ht="15" customHeight="1">
      <c r="A219" s="1586" t="s">
        <v>8736</v>
      </c>
      <c r="B219" s="1606">
        <v>304.45999999999998</v>
      </c>
      <c r="C219" s="1236">
        <v>79</v>
      </c>
      <c r="D219" s="1236">
        <v>13</v>
      </c>
      <c r="E219" s="43">
        <f t="shared" si="32"/>
        <v>9.285528558656048E-3</v>
      </c>
      <c r="F219" s="43">
        <f t="shared" si="33"/>
        <v>9.285528558656048E-3</v>
      </c>
      <c r="G219" s="1344">
        <f t="shared" si="36"/>
        <v>1</v>
      </c>
      <c r="H219" s="1344">
        <f t="shared" si="37"/>
        <v>0.367192066876738</v>
      </c>
      <c r="I219" s="1344">
        <f t="shared" si="30"/>
        <v>3124.0196075021099</v>
      </c>
      <c r="J219" s="1344">
        <f t="shared" si="31"/>
        <v>514.07917591806881</v>
      </c>
      <c r="K219" s="449">
        <f t="shared" si="34"/>
        <v>0</v>
      </c>
      <c r="L219" s="902">
        <f t="shared" si="35"/>
        <v>0</v>
      </c>
      <c r="M219" s="889"/>
      <c r="N219" s="1607"/>
    </row>
    <row r="220" spans="1:14" ht="15" customHeight="1">
      <c r="A220" s="1586" t="s">
        <v>8737</v>
      </c>
      <c r="B220" s="1606">
        <v>304.85000000000002</v>
      </c>
      <c r="C220" s="1236">
        <v>1422</v>
      </c>
      <c r="D220" s="1236">
        <v>21</v>
      </c>
      <c r="E220" s="43">
        <f t="shared" si="32"/>
        <v>1.1395875958350603E-2</v>
      </c>
      <c r="F220" s="43">
        <f t="shared" si="33"/>
        <v>1.1395875958350603E-2</v>
      </c>
      <c r="G220" s="1344">
        <f t="shared" si="36"/>
        <v>1</v>
      </c>
      <c r="H220" s="1344">
        <f t="shared" si="37"/>
        <v>0.367192066876738</v>
      </c>
      <c r="I220" s="1344">
        <f t="shared" si="30"/>
        <v>45818.954243364286</v>
      </c>
      <c r="J220" s="1344">
        <f t="shared" si="31"/>
        <v>676.65122300327005</v>
      </c>
      <c r="K220" s="449">
        <f t="shared" si="34"/>
        <v>0</v>
      </c>
      <c r="L220" s="902">
        <f t="shared" si="35"/>
        <v>0</v>
      </c>
      <c r="M220" s="889"/>
      <c r="N220" s="1607"/>
    </row>
    <row r="221" spans="1:14" s="583" customFormat="1" ht="15" customHeight="1">
      <c r="A221" s="1586" t="s">
        <v>1911</v>
      </c>
      <c r="B221" s="1606">
        <v>303.83</v>
      </c>
      <c r="C221" s="1236">
        <v>4173</v>
      </c>
      <c r="D221" s="1236">
        <v>153</v>
      </c>
      <c r="E221" s="43">
        <f t="shared" si="32"/>
        <v>0</v>
      </c>
      <c r="F221" s="43">
        <f t="shared" si="33"/>
        <v>0</v>
      </c>
      <c r="G221" s="1344">
        <f t="shared" si="36"/>
        <v>1</v>
      </c>
      <c r="H221" s="1344">
        <f t="shared" si="37"/>
        <v>0.367192066876738</v>
      </c>
      <c r="I221" s="1344">
        <f t="shared" si="30"/>
        <v>0</v>
      </c>
      <c r="J221" s="1344">
        <f t="shared" si="31"/>
        <v>0</v>
      </c>
      <c r="K221" s="449">
        <f t="shared" si="34"/>
        <v>0</v>
      </c>
      <c r="L221" s="902">
        <f t="shared" si="35"/>
        <v>0</v>
      </c>
      <c r="N221" s="1607"/>
    </row>
    <row r="222" spans="1:14" s="583" customFormat="1" ht="15" customHeight="1">
      <c r="A222" s="1586" t="s">
        <v>8738</v>
      </c>
      <c r="B222" s="1606">
        <v>304.55</v>
      </c>
      <c r="C222" s="1236">
        <v>1</v>
      </c>
      <c r="D222" s="1236">
        <v>0</v>
      </c>
      <c r="E222" s="43">
        <f t="shared" si="32"/>
        <v>9.285528558656048E-3</v>
      </c>
      <c r="F222" s="43">
        <f t="shared" si="33"/>
        <v>9.285528558656048E-3</v>
      </c>
      <c r="G222" s="1344">
        <f t="shared" si="36"/>
        <v>1</v>
      </c>
      <c r="H222" s="1344">
        <f t="shared" si="37"/>
        <v>0.367192066876738</v>
      </c>
      <c r="I222" s="1344">
        <f t="shared" si="30"/>
        <v>39.544551993697596</v>
      </c>
      <c r="J222" s="1344">
        <f t="shared" si="31"/>
        <v>0</v>
      </c>
      <c r="K222" s="449">
        <f t="shared" si="34"/>
        <v>0</v>
      </c>
      <c r="L222" s="902">
        <f t="shared" si="35"/>
        <v>0</v>
      </c>
      <c r="N222" s="1607"/>
    </row>
    <row r="223" spans="1:14" s="583" customFormat="1" ht="15" customHeight="1">
      <c r="A223" s="1586" t="s">
        <v>6335</v>
      </c>
      <c r="B223" s="1606">
        <v>302.11</v>
      </c>
      <c r="C223" s="1236">
        <v>2028</v>
      </c>
      <c r="D223" s="1236">
        <v>362</v>
      </c>
      <c r="E223" s="43">
        <f t="shared" si="32"/>
        <v>0.15188842024854002</v>
      </c>
      <c r="F223" s="43">
        <f t="shared" si="33"/>
        <v>0.21614713489188722</v>
      </c>
      <c r="G223" s="1344">
        <f t="shared" si="36"/>
        <v>1</v>
      </c>
      <c r="H223" s="1344">
        <f t="shared" si="37"/>
        <v>0.367192066876738</v>
      </c>
      <c r="I223" s="1344">
        <f t="shared" si="30"/>
        <v>4902.7141793133669</v>
      </c>
      <c r="J223" s="1344">
        <f t="shared" si="31"/>
        <v>614.96780087260947</v>
      </c>
      <c r="K223" s="449">
        <f t="shared" si="34"/>
        <v>850.55868231121349</v>
      </c>
      <c r="L223" s="902">
        <f t="shared" si="35"/>
        <v>151.82556360782016</v>
      </c>
      <c r="N223" s="1607"/>
    </row>
    <row r="224" spans="1:14" s="583" customFormat="1" ht="15" customHeight="1">
      <c r="A224" s="1586" t="s">
        <v>6336</v>
      </c>
      <c r="B224" s="1606">
        <v>301.91000000000003</v>
      </c>
      <c r="C224" s="1236"/>
      <c r="D224" s="1236"/>
      <c r="E224" s="43">
        <f t="shared" si="32"/>
        <v>0.15188842024854002</v>
      </c>
      <c r="F224" s="43">
        <f t="shared" si="33"/>
        <v>0.21614713489188722</v>
      </c>
      <c r="G224" s="1344">
        <f t="shared" si="36"/>
        <v>1</v>
      </c>
      <c r="H224" s="1344">
        <f t="shared" si="37"/>
        <v>0.367192066876738</v>
      </c>
      <c r="I224" s="1344">
        <f t="shared" si="30"/>
        <v>0</v>
      </c>
      <c r="J224" s="1344">
        <f t="shared" si="31"/>
        <v>0</v>
      </c>
      <c r="K224" s="449">
        <f t="shared" si="34"/>
        <v>0</v>
      </c>
      <c r="L224" s="902">
        <f t="shared" si="35"/>
        <v>0</v>
      </c>
      <c r="N224" s="1607"/>
    </row>
    <row r="225" spans="1:14" s="583" customFormat="1" ht="15" customHeight="1">
      <c r="A225" s="1588" t="s">
        <v>8739</v>
      </c>
      <c r="B225" s="1629">
        <v>304.42</v>
      </c>
      <c r="C225" s="1236">
        <v>4176</v>
      </c>
      <c r="D225" s="1236">
        <v>546</v>
      </c>
      <c r="E225" s="43">
        <f t="shared" si="32"/>
        <v>0.15188842024854002</v>
      </c>
      <c r="F225" s="43">
        <f t="shared" si="33"/>
        <v>0.21614713489188722</v>
      </c>
      <c r="G225" s="1344">
        <f t="shared" si="36"/>
        <v>1</v>
      </c>
      <c r="H225" s="1344">
        <f t="shared" si="37"/>
        <v>0.367192066876738</v>
      </c>
      <c r="I225" s="1344">
        <f t="shared" si="30"/>
        <v>10095.529789355336</v>
      </c>
      <c r="J225" s="1344">
        <f t="shared" si="31"/>
        <v>927.5481195481899</v>
      </c>
      <c r="K225" s="449">
        <f t="shared" si="34"/>
        <v>1751.4462807355164</v>
      </c>
      <c r="L225" s="902">
        <f t="shared" si="35"/>
        <v>228.99656831455746</v>
      </c>
      <c r="N225" s="1607"/>
    </row>
    <row r="226" spans="1:14" s="583" customFormat="1" ht="15" customHeight="1">
      <c r="A226" s="1588" t="s">
        <v>8740</v>
      </c>
      <c r="B226" s="1629">
        <v>304.82</v>
      </c>
      <c r="C226" s="1236">
        <v>1865</v>
      </c>
      <c r="D226" s="1236">
        <v>18</v>
      </c>
      <c r="E226" s="43">
        <f t="shared" si="32"/>
        <v>0.13967161330647934</v>
      </c>
      <c r="F226" s="43">
        <f t="shared" si="33"/>
        <v>0.19876182129304415</v>
      </c>
      <c r="G226" s="1344">
        <f t="shared" si="36"/>
        <v>1</v>
      </c>
      <c r="H226" s="1344">
        <f t="shared" si="37"/>
        <v>0.367192066876738</v>
      </c>
      <c r="I226" s="1344">
        <f t="shared" si="30"/>
        <v>4903.0235171869963</v>
      </c>
      <c r="J226" s="1344">
        <f t="shared" si="31"/>
        <v>33.253152747260458</v>
      </c>
      <c r="K226" s="449">
        <f t="shared" si="34"/>
        <v>719.28110531900768</v>
      </c>
      <c r="L226" s="902">
        <f t="shared" si="35"/>
        <v>6.9421232684944441</v>
      </c>
      <c r="N226" s="1607"/>
    </row>
    <row r="227" spans="1:14" s="583" customFormat="1" ht="15" customHeight="1">
      <c r="A227" s="1588" t="s">
        <v>6337</v>
      </c>
      <c r="B227" s="1629">
        <v>303.14</v>
      </c>
      <c r="C227" s="1236">
        <v>413</v>
      </c>
      <c r="D227" s="1236">
        <v>13</v>
      </c>
      <c r="E227" s="43">
        <f t="shared" si="32"/>
        <v>0</v>
      </c>
      <c r="F227" s="43">
        <f t="shared" si="33"/>
        <v>0</v>
      </c>
      <c r="G227" s="1344">
        <f t="shared" si="36"/>
        <v>1</v>
      </c>
      <c r="H227" s="1344">
        <f t="shared" si="37"/>
        <v>0.367192066876738</v>
      </c>
      <c r="I227" s="1344">
        <f t="shared" si="30"/>
        <v>0</v>
      </c>
      <c r="J227" s="1344">
        <f t="shared" si="31"/>
        <v>0</v>
      </c>
      <c r="K227" s="449">
        <f t="shared" si="34"/>
        <v>0</v>
      </c>
      <c r="L227" s="902">
        <f t="shared" si="35"/>
        <v>0</v>
      </c>
      <c r="N227" s="1607"/>
    </row>
    <row r="228" spans="1:14" s="583" customFormat="1" ht="15" customHeight="1">
      <c r="A228" s="1588" t="s">
        <v>8741</v>
      </c>
      <c r="B228" s="1629">
        <v>305.43</v>
      </c>
      <c r="C228" s="1236">
        <v>49</v>
      </c>
      <c r="D228" s="1236">
        <v>7</v>
      </c>
      <c r="E228" s="43">
        <f t="shared" si="32"/>
        <v>0.13967161330647934</v>
      </c>
      <c r="F228" s="43">
        <f t="shared" si="33"/>
        <v>0.19876182129304415</v>
      </c>
      <c r="G228" s="1344">
        <f t="shared" si="36"/>
        <v>1</v>
      </c>
      <c r="H228" s="1344">
        <f t="shared" si="37"/>
        <v>0.367192066876738</v>
      </c>
      <c r="I228" s="1344">
        <f t="shared" si="30"/>
        <v>128.81938463386746</v>
      </c>
      <c r="J228" s="1344">
        <f t="shared" si="31"/>
        <v>12.931781623934624</v>
      </c>
      <c r="K228" s="449">
        <f t="shared" si="34"/>
        <v>18.89800223090154</v>
      </c>
      <c r="L228" s="902">
        <f t="shared" si="35"/>
        <v>2.6997146044145057</v>
      </c>
    </row>
    <row r="229" spans="1:14" s="583" customFormat="1" ht="15" customHeight="1">
      <c r="A229" s="1588" t="s">
        <v>6338</v>
      </c>
      <c r="B229" s="1629">
        <v>1604.14</v>
      </c>
      <c r="C229" s="1236">
        <v>155780</v>
      </c>
      <c r="D229" s="1236">
        <v>1692</v>
      </c>
      <c r="E229" s="43">
        <f t="shared" si="32"/>
        <v>1.2584555273738831E-2</v>
      </c>
      <c r="F229" s="43">
        <f t="shared" si="33"/>
        <v>1.2115291464365744E-2</v>
      </c>
      <c r="G229" s="1344">
        <f t="shared" si="36"/>
        <v>1</v>
      </c>
      <c r="H229" s="1344">
        <f t="shared" si="37"/>
        <v>0.367192066876738</v>
      </c>
      <c r="I229" s="1344">
        <f t="shared" si="30"/>
        <v>4545347.7642888501</v>
      </c>
      <c r="J229" s="1344">
        <f t="shared" si="31"/>
        <v>51281.38922475079</v>
      </c>
      <c r="K229" s="449">
        <f t="shared" si="34"/>
        <v>4616.3687881715832</v>
      </c>
      <c r="L229" s="902">
        <f t="shared" si="35"/>
        <v>50.140557129197063</v>
      </c>
    </row>
    <row r="230" spans="1:14" s="583" customFormat="1" ht="15" customHeight="1">
      <c r="A230" s="1588" t="s">
        <v>8742</v>
      </c>
      <c r="B230" s="1629">
        <v>304.87</v>
      </c>
      <c r="C230" s="1236">
        <v>18388</v>
      </c>
      <c r="D230" s="1236">
        <v>534</v>
      </c>
      <c r="E230" s="43">
        <f t="shared" si="32"/>
        <v>6.6643826784107225E-3</v>
      </c>
      <c r="F230" s="43">
        <f t="shared" si="33"/>
        <v>6.4158753982752753E-3</v>
      </c>
      <c r="G230" s="1344">
        <f t="shared" si="36"/>
        <v>1</v>
      </c>
      <c r="H230" s="1344">
        <f t="shared" si="37"/>
        <v>0.367192066876738</v>
      </c>
      <c r="I230" s="1344">
        <f t="shared" si="30"/>
        <v>1013136.2575565082</v>
      </c>
      <c r="J230" s="1344">
        <f t="shared" si="31"/>
        <v>30561.778641288565</v>
      </c>
      <c r="K230" s="449">
        <f t="shared" si="34"/>
        <v>288.56612391218056</v>
      </c>
      <c r="L230" s="902">
        <f t="shared" si="35"/>
        <v>8.3801560892486631</v>
      </c>
    </row>
    <row r="231" spans="1:14" s="583" customFormat="1" ht="15" customHeight="1">
      <c r="A231" s="1588" t="s">
        <v>8743</v>
      </c>
      <c r="B231" s="1629">
        <v>302.24</v>
      </c>
      <c r="C231" s="1236">
        <v>62</v>
      </c>
      <c r="D231" s="1236">
        <v>20</v>
      </c>
      <c r="E231" s="43">
        <f t="shared" si="32"/>
        <v>0.10354027585612119</v>
      </c>
      <c r="F231" s="43">
        <f t="shared" si="33"/>
        <v>0.12902696997021698</v>
      </c>
      <c r="G231" s="1344">
        <f t="shared" si="36"/>
        <v>1</v>
      </c>
      <c r="H231" s="1344">
        <f t="shared" si="37"/>
        <v>0.367192066876738</v>
      </c>
      <c r="I231" s="1344">
        <f t="shared" si="30"/>
        <v>219.8749033467237</v>
      </c>
      <c r="J231" s="1344">
        <f t="shared" si="31"/>
        <v>56.917102984204959</v>
      </c>
      <c r="K231" s="449">
        <f t="shared" si="34"/>
        <v>15.59959487645604</v>
      </c>
      <c r="L231" s="902">
        <f t="shared" si="35"/>
        <v>5.0321273795019481</v>
      </c>
    </row>
    <row r="232" spans="1:14" s="583" customFormat="1" ht="15" customHeight="1">
      <c r="A232" s="1588" t="s">
        <v>8744</v>
      </c>
      <c r="B232" s="1629">
        <v>303.33999999999997</v>
      </c>
      <c r="C232" s="1236">
        <v>110</v>
      </c>
      <c r="D232" s="1236">
        <v>56</v>
      </c>
      <c r="E232" s="43">
        <f t="shared" si="32"/>
        <v>9.3279527798307366E-2</v>
      </c>
      <c r="F232" s="43">
        <f t="shared" si="33"/>
        <v>0.11624051348668195</v>
      </c>
      <c r="G232" s="1344">
        <f t="shared" si="36"/>
        <v>1</v>
      </c>
      <c r="H232" s="1344">
        <f t="shared" si="37"/>
        <v>0.367192066876738</v>
      </c>
      <c r="I232" s="1344">
        <f t="shared" si="30"/>
        <v>433.011704816693</v>
      </c>
      <c r="J232" s="1344">
        <f t="shared" si="31"/>
        <v>176.89835607490903</v>
      </c>
      <c r="K232" s="449">
        <f t="shared" si="34"/>
        <v>24.93396449302767</v>
      </c>
      <c r="L232" s="902">
        <f t="shared" si="35"/>
        <v>12.693654650995903</v>
      </c>
    </row>
    <row r="233" spans="1:14" s="583" customFormat="1" ht="15" customHeight="1">
      <c r="A233" s="1588" t="s">
        <v>6339</v>
      </c>
      <c r="B233" s="1629">
        <v>302.32</v>
      </c>
      <c r="C233" s="1236">
        <v>16047</v>
      </c>
      <c r="D233" s="1236">
        <v>222</v>
      </c>
      <c r="E233" s="43">
        <f t="shared" si="32"/>
        <v>6.781203179378241E-3</v>
      </c>
      <c r="F233" s="43">
        <f t="shared" si="33"/>
        <v>6.4470553414621408E-3</v>
      </c>
      <c r="G233" s="1344">
        <f t="shared" si="36"/>
        <v>1</v>
      </c>
      <c r="H233" s="1344">
        <f t="shared" si="37"/>
        <v>0.367192066876738</v>
      </c>
      <c r="I233" s="1344">
        <f t="shared" si="30"/>
        <v>868921.18423610984</v>
      </c>
      <c r="J233" s="1344">
        <f t="shared" si="31"/>
        <v>12644.011029715855</v>
      </c>
      <c r="K233" s="449">
        <f t="shared" si="34"/>
        <v>59.529825977294159</v>
      </c>
      <c r="L233" s="902">
        <f t="shared" si="35"/>
        <v>0.82355713634693739</v>
      </c>
    </row>
    <row r="234" spans="1:14" s="583" customFormat="1" ht="15" customHeight="1">
      <c r="A234" s="1632" t="s">
        <v>6340</v>
      </c>
      <c r="B234" s="1630">
        <v>303.42</v>
      </c>
      <c r="C234" s="1237">
        <v>2654</v>
      </c>
      <c r="D234" s="1237">
        <v>538</v>
      </c>
      <c r="E234" s="1631">
        <f t="shared" si="32"/>
        <v>7.394430115242343E-3</v>
      </c>
      <c r="F234" s="1631">
        <f t="shared" si="33"/>
        <v>7.0300651537051661E-3</v>
      </c>
      <c r="G234" s="729">
        <f t="shared" si="36"/>
        <v>1</v>
      </c>
      <c r="H234" s="729">
        <f t="shared" si="37"/>
        <v>0.367192066876738</v>
      </c>
      <c r="I234" s="729">
        <f t="shared" si="30"/>
        <v>131792.13682499231</v>
      </c>
      <c r="J234" s="729">
        <f t="shared" si="31"/>
        <v>28100.640272952165</v>
      </c>
      <c r="K234" s="511">
        <f t="shared" si="34"/>
        <v>10.735929000094776</v>
      </c>
      <c r="L234" s="709">
        <f t="shared" si="35"/>
        <v>2.1763111537494311</v>
      </c>
    </row>
    <row r="235" spans="1:14" s="583" customFormat="1" ht="12.75" customHeight="1">
      <c r="B235" s="1601"/>
      <c r="C235" s="1602"/>
      <c r="D235" s="1602"/>
      <c r="E235" s="1603"/>
      <c r="F235" s="1603"/>
      <c r="G235" s="579"/>
      <c r="H235" s="579"/>
      <c r="I235" s="580"/>
      <c r="J235" s="580"/>
      <c r="K235" s="1604"/>
      <c r="L235" s="1604"/>
    </row>
    <row r="236" spans="1:14" s="583" customFormat="1" ht="12.75" customHeight="1">
      <c r="B236" s="1601"/>
      <c r="C236" s="1602"/>
      <c r="D236" s="1602"/>
      <c r="E236" s="1603"/>
      <c r="F236" s="1603"/>
      <c r="G236" s="579"/>
      <c r="H236" s="579"/>
      <c r="I236" s="580"/>
      <c r="J236" s="580"/>
      <c r="K236" s="1604"/>
      <c r="L236" s="1604"/>
    </row>
    <row r="237" spans="1:14" s="583" customFormat="1" ht="12.75" customHeight="1">
      <c r="B237" s="1601"/>
      <c r="C237" s="1602"/>
      <c r="D237" s="1602"/>
      <c r="E237" s="1603"/>
      <c r="F237" s="1603"/>
      <c r="G237" s="579"/>
      <c r="H237" s="579"/>
      <c r="I237" s="580"/>
      <c r="J237" s="580"/>
      <c r="K237" s="1604"/>
      <c r="L237" s="1604"/>
    </row>
    <row r="238" spans="1:14" s="583" customFormat="1" ht="12.75" customHeight="1">
      <c r="B238" s="1601"/>
      <c r="C238" s="1602"/>
      <c r="D238" s="1602"/>
      <c r="E238" s="1603"/>
      <c r="F238" s="1603"/>
      <c r="G238" s="579"/>
      <c r="H238" s="579"/>
      <c r="I238" s="580"/>
      <c r="J238" s="580"/>
      <c r="K238" s="1604"/>
      <c r="L238" s="1604"/>
    </row>
    <row r="239" spans="1:14" s="583" customFormat="1" ht="12.75" customHeight="1">
      <c r="B239" s="1601"/>
      <c r="C239" s="1602"/>
      <c r="D239" s="1602"/>
      <c r="E239" s="1603"/>
      <c r="F239" s="1603"/>
      <c r="G239" s="579"/>
      <c r="H239" s="579"/>
      <c r="I239" s="580"/>
      <c r="J239" s="580"/>
      <c r="K239" s="1604"/>
      <c r="L239" s="1604"/>
    </row>
    <row r="240" spans="1:14" s="583" customFormat="1" ht="12.75" customHeight="1">
      <c r="B240" s="1601"/>
      <c r="C240" s="1602"/>
      <c r="D240" s="1602"/>
      <c r="E240" s="1603"/>
      <c r="F240" s="1603"/>
      <c r="G240" s="579"/>
      <c r="H240" s="579"/>
      <c r="I240" s="580"/>
      <c r="J240" s="580"/>
      <c r="K240" s="1604"/>
      <c r="L240" s="1604"/>
    </row>
    <row r="241" spans="2:12" s="583" customFormat="1" ht="12.75" customHeight="1">
      <c r="B241" s="1601"/>
      <c r="C241" s="1602"/>
      <c r="D241" s="1602"/>
      <c r="E241" s="1603"/>
      <c r="F241" s="1603"/>
      <c r="G241" s="579"/>
      <c r="H241" s="579"/>
      <c r="I241" s="580"/>
      <c r="J241" s="580"/>
      <c r="K241" s="1604"/>
      <c r="L241" s="1604"/>
    </row>
    <row r="242" spans="2:12" s="583" customFormat="1" ht="12.75" customHeight="1">
      <c r="B242" s="1601"/>
      <c r="C242" s="1602"/>
      <c r="D242" s="1602"/>
      <c r="E242" s="1603"/>
      <c r="F242" s="1603"/>
      <c r="G242" s="579"/>
      <c r="H242" s="579"/>
      <c r="I242" s="580"/>
      <c r="J242" s="580"/>
      <c r="K242" s="1604"/>
      <c r="L242" s="1604"/>
    </row>
    <row r="243" spans="2:12" s="583" customFormat="1" ht="12.75" customHeight="1">
      <c r="B243" s="1601"/>
      <c r="C243" s="1602"/>
      <c r="D243" s="1602"/>
      <c r="E243" s="1603"/>
      <c r="F243" s="1603"/>
      <c r="G243" s="579"/>
      <c r="H243" s="579"/>
      <c r="I243" s="580"/>
      <c r="J243" s="580"/>
      <c r="K243" s="1604"/>
      <c r="L243" s="1604"/>
    </row>
    <row r="244" spans="2:12" s="583" customFormat="1" ht="12.75" customHeight="1">
      <c r="B244" s="1601"/>
      <c r="C244" s="1602"/>
      <c r="D244" s="1602"/>
      <c r="E244" s="1603"/>
      <c r="F244" s="1603"/>
      <c r="G244" s="579"/>
      <c r="H244" s="579"/>
      <c r="I244" s="580"/>
      <c r="J244" s="580"/>
      <c r="K244" s="1604"/>
      <c r="L244" s="1604"/>
    </row>
    <row r="245" spans="2:12" s="583" customFormat="1" ht="12.75" customHeight="1">
      <c r="B245" s="1601"/>
      <c r="C245" s="1602"/>
      <c r="D245" s="1602"/>
      <c r="E245" s="1603"/>
      <c r="F245" s="1603"/>
      <c r="G245" s="579"/>
      <c r="H245" s="579"/>
      <c r="I245" s="580"/>
      <c r="J245" s="580"/>
      <c r="K245" s="1604"/>
      <c r="L245" s="1604"/>
    </row>
    <row r="246" spans="2:12" s="583" customFormat="1" ht="12.75" customHeight="1">
      <c r="B246" s="1601"/>
      <c r="C246" s="1602"/>
      <c r="D246" s="1602"/>
      <c r="E246" s="1603"/>
      <c r="F246" s="1603"/>
      <c r="G246" s="579"/>
      <c r="H246" s="579"/>
      <c r="I246" s="580"/>
      <c r="J246" s="580"/>
      <c r="K246" s="1604"/>
      <c r="L246" s="1604"/>
    </row>
    <row r="247" spans="2:12" s="583" customFormat="1" ht="12.75" customHeight="1">
      <c r="B247" s="1601"/>
      <c r="C247" s="1602"/>
      <c r="D247" s="1602"/>
      <c r="E247" s="1603"/>
      <c r="F247" s="1603"/>
      <c r="G247" s="579"/>
      <c r="H247" s="579"/>
      <c r="I247" s="580"/>
      <c r="J247" s="580"/>
      <c r="K247" s="1604"/>
      <c r="L247" s="1604"/>
    </row>
    <row r="248" spans="2:12" s="583" customFormat="1" ht="12.75" customHeight="1">
      <c r="B248" s="1601"/>
      <c r="C248" s="1602"/>
      <c r="D248" s="1602"/>
      <c r="E248" s="1603"/>
      <c r="F248" s="1603"/>
      <c r="G248" s="579"/>
      <c r="H248" s="579"/>
      <c r="I248" s="580"/>
      <c r="J248" s="580"/>
      <c r="K248" s="1604"/>
      <c r="L248" s="1604"/>
    </row>
    <row r="249" spans="2:12" s="583" customFormat="1" ht="12.75" customHeight="1">
      <c r="B249" s="1601"/>
      <c r="C249" s="1602"/>
      <c r="D249" s="1602"/>
      <c r="E249" s="1603"/>
      <c r="F249" s="1603"/>
      <c r="G249" s="579"/>
      <c r="H249" s="579"/>
      <c r="I249" s="580"/>
      <c r="J249" s="580"/>
      <c r="K249" s="1604"/>
      <c r="L249" s="1604"/>
    </row>
    <row r="250" spans="2:12" s="583" customFormat="1" ht="12.75" customHeight="1">
      <c r="B250" s="1601"/>
      <c r="C250" s="1602"/>
      <c r="D250" s="1602"/>
      <c r="E250" s="1603"/>
      <c r="F250" s="1603"/>
      <c r="G250" s="579"/>
      <c r="H250" s="579"/>
      <c r="I250" s="580"/>
      <c r="J250" s="580"/>
      <c r="K250" s="1604"/>
      <c r="L250" s="1604"/>
    </row>
    <row r="251" spans="2:12" s="583" customFormat="1" ht="12.75" customHeight="1">
      <c r="B251" s="1601"/>
      <c r="C251" s="1602"/>
      <c r="D251" s="1602"/>
      <c r="E251" s="1603"/>
      <c r="F251" s="1603"/>
      <c r="G251" s="579"/>
      <c r="H251" s="579"/>
      <c r="I251" s="580"/>
      <c r="J251" s="580"/>
      <c r="K251" s="1604"/>
      <c r="L251" s="1604"/>
    </row>
    <row r="252" spans="2:12" s="583" customFormat="1" ht="12.75" customHeight="1">
      <c r="B252" s="1601"/>
      <c r="C252" s="1602"/>
      <c r="D252" s="1602"/>
      <c r="E252" s="1603"/>
      <c r="F252" s="1603"/>
      <c r="G252" s="579"/>
      <c r="H252" s="579"/>
      <c r="I252" s="580"/>
      <c r="J252" s="580"/>
      <c r="K252" s="1604"/>
      <c r="L252" s="1604"/>
    </row>
    <row r="253" spans="2:12" s="583" customFormat="1" ht="12.75" customHeight="1">
      <c r="B253" s="1601"/>
      <c r="C253" s="1602"/>
      <c r="D253" s="1602"/>
      <c r="E253" s="1603"/>
      <c r="F253" s="1603"/>
      <c r="G253" s="579"/>
      <c r="H253" s="579"/>
      <c r="I253" s="580"/>
      <c r="J253" s="580"/>
      <c r="K253" s="1604"/>
      <c r="L253" s="1604"/>
    </row>
    <row r="254" spans="2:12" s="583" customFormat="1" ht="12.75" customHeight="1">
      <c r="B254" s="1601"/>
      <c r="C254" s="1602"/>
      <c r="D254" s="1602"/>
      <c r="E254" s="1603"/>
      <c r="F254" s="1603"/>
      <c r="G254" s="579"/>
      <c r="H254" s="579"/>
      <c r="I254" s="580"/>
      <c r="J254" s="580"/>
      <c r="K254" s="1604"/>
      <c r="L254" s="1604"/>
    </row>
    <row r="255" spans="2:12" s="583" customFormat="1" ht="12.75" customHeight="1">
      <c r="B255" s="1601"/>
      <c r="C255" s="1602"/>
      <c r="D255" s="1602"/>
      <c r="E255" s="1603"/>
      <c r="F255" s="1603"/>
      <c r="G255" s="579"/>
      <c r="H255" s="579"/>
      <c r="I255" s="580"/>
      <c r="J255" s="580"/>
      <c r="K255" s="1604"/>
      <c r="L255" s="1604"/>
    </row>
    <row r="256" spans="2:12" s="583" customFormat="1" ht="12.75" customHeight="1">
      <c r="B256" s="1601"/>
      <c r="C256" s="1602"/>
      <c r="D256" s="1602"/>
      <c r="E256" s="1603"/>
      <c r="F256" s="1603"/>
      <c r="G256" s="579"/>
      <c r="H256" s="579"/>
      <c r="I256" s="580"/>
      <c r="J256" s="580"/>
      <c r="K256" s="1604"/>
      <c r="L256" s="1604"/>
    </row>
    <row r="257" spans="2:12" s="583" customFormat="1" ht="12.75" customHeight="1">
      <c r="B257" s="1601"/>
      <c r="C257" s="1602"/>
      <c r="D257" s="1602"/>
      <c r="E257" s="1603"/>
      <c r="F257" s="1603"/>
      <c r="G257" s="579"/>
      <c r="H257" s="579"/>
      <c r="I257" s="580"/>
      <c r="J257" s="580"/>
      <c r="K257" s="1604"/>
      <c r="L257" s="1604"/>
    </row>
    <row r="258" spans="2:12" s="583" customFormat="1" ht="12.75" customHeight="1">
      <c r="B258" s="1601"/>
      <c r="C258" s="1602"/>
      <c r="D258" s="1602"/>
      <c r="E258" s="1603"/>
      <c r="F258" s="1603"/>
      <c r="G258" s="579"/>
      <c r="H258" s="579"/>
      <c r="I258" s="580"/>
      <c r="J258" s="580"/>
      <c r="K258" s="1604"/>
      <c r="L258" s="1604"/>
    </row>
    <row r="259" spans="2:12" s="583" customFormat="1" ht="12.75" customHeight="1">
      <c r="B259" s="1601"/>
      <c r="C259" s="1602"/>
      <c r="D259" s="1602"/>
      <c r="E259" s="1603"/>
      <c r="F259" s="1603"/>
      <c r="G259" s="579"/>
      <c r="H259" s="579"/>
      <c r="I259" s="580"/>
      <c r="J259" s="580"/>
      <c r="K259" s="1604"/>
      <c r="L259" s="1604"/>
    </row>
    <row r="260" spans="2:12" s="583" customFormat="1" ht="12.75" customHeight="1">
      <c r="B260" s="1601"/>
      <c r="C260" s="1602"/>
      <c r="D260" s="1602"/>
      <c r="E260" s="1603"/>
      <c r="F260" s="1603"/>
      <c r="G260" s="579"/>
      <c r="H260" s="579"/>
      <c r="I260" s="580"/>
      <c r="J260" s="580"/>
      <c r="K260" s="1604"/>
      <c r="L260" s="1604"/>
    </row>
    <row r="261" spans="2:12" s="583" customFormat="1" ht="12.75" customHeight="1">
      <c r="B261" s="1601"/>
      <c r="C261" s="1602"/>
      <c r="D261" s="1602"/>
      <c r="E261" s="1603"/>
      <c r="F261" s="1603"/>
      <c r="G261" s="579"/>
      <c r="H261" s="579"/>
      <c r="I261" s="580"/>
      <c r="J261" s="580"/>
      <c r="K261" s="1604"/>
      <c r="L261" s="1604"/>
    </row>
    <row r="262" spans="2:12" s="583" customFormat="1" ht="12.75" customHeight="1">
      <c r="B262" s="1601"/>
      <c r="C262" s="1602"/>
      <c r="D262" s="1602"/>
      <c r="E262" s="1603"/>
      <c r="F262" s="1603"/>
      <c r="G262" s="579"/>
      <c r="H262" s="579"/>
      <c r="I262" s="580"/>
      <c r="J262" s="580"/>
      <c r="K262" s="1604"/>
      <c r="L262" s="1604"/>
    </row>
    <row r="263" spans="2:12" s="583" customFormat="1" ht="12.75" customHeight="1">
      <c r="B263" s="1601"/>
      <c r="C263" s="1602"/>
      <c r="D263" s="1602"/>
      <c r="E263" s="1603"/>
      <c r="F263" s="1603"/>
      <c r="G263" s="579"/>
      <c r="H263" s="579"/>
      <c r="I263" s="580"/>
      <c r="J263" s="580"/>
      <c r="K263" s="1604"/>
      <c r="L263" s="1604"/>
    </row>
    <row r="264" spans="2:12" s="583" customFormat="1" ht="12.75" customHeight="1">
      <c r="B264" s="1601"/>
      <c r="C264" s="1602"/>
      <c r="D264" s="1602"/>
      <c r="E264" s="1603"/>
      <c r="F264" s="1603"/>
      <c r="G264" s="579"/>
      <c r="H264" s="579"/>
      <c r="I264" s="580"/>
      <c r="J264" s="580"/>
      <c r="K264" s="1604"/>
      <c r="L264" s="1604"/>
    </row>
    <row r="265" spans="2:12" s="583" customFormat="1" ht="12.75" customHeight="1"/>
    <row r="266" spans="2:12" s="583" customFormat="1" ht="12.75" customHeight="1"/>
    <row r="267" spans="2:12" s="583" customFormat="1" ht="12.75" customHeight="1">
      <c r="C267" s="1605"/>
    </row>
    <row r="268" spans="2:12" s="583" customFormat="1" ht="12.75" customHeight="1">
      <c r="C268" s="1605"/>
    </row>
    <row r="269" spans="2:12" s="583" customFormat="1" ht="12.75" customHeight="1">
      <c r="C269" s="1605"/>
    </row>
    <row r="270" spans="2:12" s="583" customFormat="1" ht="12.75" customHeight="1">
      <c r="C270" s="1605"/>
    </row>
    <row r="271" spans="2:12" s="583" customFormat="1" ht="12.75" customHeight="1">
      <c r="C271" s="1605"/>
    </row>
    <row r="272" spans="2:12" s="583" customFormat="1" ht="12.75" customHeight="1">
      <c r="C272" s="1605"/>
    </row>
    <row r="273" spans="3:3" s="583" customFormat="1" ht="12.75" customHeight="1">
      <c r="C273" s="1605"/>
    </row>
    <row r="274" spans="3:3" s="583" customFormat="1" ht="12.75" customHeight="1">
      <c r="C274" s="1605"/>
    </row>
    <row r="275" spans="3:3" s="583" customFormat="1" ht="12.75" customHeight="1">
      <c r="C275" s="1605"/>
    </row>
    <row r="276" spans="3:3" s="583" customFormat="1" ht="12.75" customHeight="1">
      <c r="C276" s="1605"/>
    </row>
    <row r="277" spans="3:3" s="583" customFormat="1" ht="12.75" customHeight="1">
      <c r="C277" s="1605"/>
    </row>
    <row r="278" spans="3:3" s="583" customFormat="1" ht="12.75" customHeight="1">
      <c r="C278" s="1605"/>
    </row>
    <row r="279" spans="3:3" s="583" customFormat="1" ht="12.75" customHeight="1">
      <c r="C279" s="1605"/>
    </row>
    <row r="280" spans="3:3" s="583" customFormat="1" ht="12.75" customHeight="1">
      <c r="C280" s="1605"/>
    </row>
    <row r="281" spans="3:3" s="583" customFormat="1" ht="12.75" customHeight="1">
      <c r="C281" s="1605"/>
    </row>
    <row r="282" spans="3:3" s="583" customFormat="1" ht="12.75" customHeight="1">
      <c r="C282" s="1605"/>
    </row>
    <row r="283" spans="3:3" s="583" customFormat="1" ht="12.75" customHeight="1">
      <c r="C283" s="1605"/>
    </row>
    <row r="284" spans="3:3" s="583" customFormat="1" ht="12.75" customHeight="1">
      <c r="C284" s="1605"/>
    </row>
    <row r="285" spans="3:3" s="583" customFormat="1" ht="12.75" customHeight="1">
      <c r="C285" s="1605"/>
    </row>
    <row r="286" spans="3:3" s="583" customFormat="1" ht="12.75" customHeight="1">
      <c r="C286" s="1605"/>
    </row>
    <row r="287" spans="3:3" s="583" customFormat="1" ht="12.75" customHeight="1">
      <c r="C287" s="1605"/>
    </row>
    <row r="288" spans="3:3" s="583" customFormat="1" ht="12.75" customHeight="1">
      <c r="C288" s="1605"/>
    </row>
    <row r="289" spans="3:3" s="583" customFormat="1" ht="12.75" customHeight="1">
      <c r="C289" s="1605"/>
    </row>
    <row r="290" spans="3:3" s="583" customFormat="1" ht="12.75" customHeight="1">
      <c r="C290" s="1605"/>
    </row>
    <row r="291" spans="3:3" s="583" customFormat="1" ht="12.75" customHeight="1">
      <c r="C291" s="1605"/>
    </row>
    <row r="292" spans="3:3" s="583" customFormat="1" ht="12.75" customHeight="1">
      <c r="C292" s="1605"/>
    </row>
    <row r="293" spans="3:3" s="583" customFormat="1" ht="12.75" customHeight="1">
      <c r="C293" s="1605"/>
    </row>
    <row r="294" spans="3:3" s="583" customFormat="1" ht="12.75" customHeight="1">
      <c r="C294" s="1605"/>
    </row>
    <row r="295" spans="3:3" s="583" customFormat="1" ht="12.75" customHeight="1">
      <c r="C295" s="1605"/>
    </row>
    <row r="296" spans="3:3" s="583" customFormat="1" ht="12.75" customHeight="1">
      <c r="C296" s="1605"/>
    </row>
    <row r="297" spans="3:3" s="583" customFormat="1" ht="12.75" customHeight="1">
      <c r="C297" s="1605"/>
    </row>
    <row r="298" spans="3:3" s="583" customFormat="1" ht="12.75" customHeight="1">
      <c r="C298" s="1605"/>
    </row>
    <row r="299" spans="3:3" s="583" customFormat="1" ht="12.75" customHeight="1">
      <c r="C299" s="1605"/>
    </row>
    <row r="300" spans="3:3" s="583" customFormat="1" ht="12.75" customHeight="1">
      <c r="C300" s="1605"/>
    </row>
    <row r="301" spans="3:3" s="583" customFormat="1" ht="12.75" customHeight="1">
      <c r="C301" s="1605"/>
    </row>
    <row r="302" spans="3:3" s="583" customFormat="1" ht="12.75" customHeight="1">
      <c r="C302" s="1605"/>
    </row>
    <row r="303" spans="3:3" s="583" customFormat="1" ht="12.75" customHeight="1">
      <c r="C303" s="1605"/>
    </row>
    <row r="304" spans="3:3" s="583" customFormat="1" ht="12.75" customHeight="1">
      <c r="C304" s="1605"/>
    </row>
    <row r="305" spans="3:3" s="583" customFormat="1" ht="12.75" customHeight="1">
      <c r="C305" s="1605"/>
    </row>
    <row r="306" spans="3:3" s="583" customFormat="1" ht="12.75" customHeight="1">
      <c r="C306" s="1605"/>
    </row>
    <row r="307" spans="3:3" s="583" customFormat="1" ht="12.75" customHeight="1">
      <c r="C307" s="1605"/>
    </row>
    <row r="308" spans="3:3" s="583" customFormat="1" ht="12.75" customHeight="1">
      <c r="C308" s="1605"/>
    </row>
    <row r="309" spans="3:3" s="583" customFormat="1" ht="12.75" customHeight="1">
      <c r="C309" s="1605"/>
    </row>
    <row r="310" spans="3:3" s="583" customFormat="1" ht="12.75" customHeight="1">
      <c r="C310" s="1605"/>
    </row>
    <row r="311" spans="3:3" s="583" customFormat="1" ht="12.75" customHeight="1">
      <c r="C311" s="1605"/>
    </row>
    <row r="312" spans="3:3" s="583" customFormat="1" ht="12.75" customHeight="1">
      <c r="C312" s="1605"/>
    </row>
    <row r="313" spans="3:3" s="583" customFormat="1" ht="12.75" customHeight="1">
      <c r="C313" s="1605"/>
    </row>
    <row r="314" spans="3:3" s="583" customFormat="1" ht="12.75" customHeight="1">
      <c r="C314" s="1605"/>
    </row>
    <row r="315" spans="3:3" s="583" customFormat="1" ht="12.75" customHeight="1">
      <c r="C315" s="1605"/>
    </row>
    <row r="316" spans="3:3" s="583" customFormat="1" ht="12.75" customHeight="1">
      <c r="C316" s="1605"/>
    </row>
    <row r="317" spans="3:3" s="583" customFormat="1" ht="12.75" customHeight="1">
      <c r="C317" s="1605"/>
    </row>
    <row r="318" spans="3:3" s="583" customFormat="1" ht="12.75" customHeight="1">
      <c r="C318" s="1605"/>
    </row>
    <row r="319" spans="3:3" s="583" customFormat="1" ht="12.75" customHeight="1">
      <c r="C319" s="1605"/>
    </row>
    <row r="320" spans="3:3" s="583" customFormat="1" ht="12.75" customHeight="1">
      <c r="C320" s="1605"/>
    </row>
    <row r="321" spans="3:3" s="583" customFormat="1" ht="12.75" customHeight="1">
      <c r="C321" s="1605"/>
    </row>
    <row r="322" spans="3:3" s="583" customFormat="1" ht="12.75" customHeight="1">
      <c r="C322" s="1605"/>
    </row>
    <row r="323" spans="3:3" s="583" customFormat="1" ht="12.75" customHeight="1">
      <c r="C323" s="1605"/>
    </row>
    <row r="324" spans="3:3" s="583" customFormat="1" ht="12.75" customHeight="1">
      <c r="C324" s="1605"/>
    </row>
    <row r="325" spans="3:3" s="583" customFormat="1" ht="12.75" customHeight="1">
      <c r="C325" s="1605"/>
    </row>
    <row r="326" spans="3:3" s="583" customFormat="1" ht="12.75" customHeight="1">
      <c r="C326" s="1605"/>
    </row>
    <row r="327" spans="3:3" s="583" customFormat="1" ht="12.75" customHeight="1">
      <c r="C327" s="1605"/>
    </row>
    <row r="328" spans="3:3" s="583" customFormat="1" ht="12.75" customHeight="1">
      <c r="C328" s="1605"/>
    </row>
    <row r="329" spans="3:3" s="583" customFormat="1" ht="12.75" customHeight="1">
      <c r="C329" s="1605"/>
    </row>
    <row r="330" spans="3:3" s="583" customFormat="1" ht="12.75" customHeight="1">
      <c r="C330" s="1605"/>
    </row>
    <row r="331" spans="3:3" s="583" customFormat="1" ht="12.75" customHeight="1">
      <c r="C331" s="1605"/>
    </row>
    <row r="332" spans="3:3" s="583" customFormat="1" ht="12.75" customHeight="1">
      <c r="C332" s="1605"/>
    </row>
    <row r="333" spans="3:3" s="583" customFormat="1" ht="12.75" customHeight="1">
      <c r="C333" s="1605"/>
    </row>
    <row r="334" spans="3:3" s="583" customFormat="1" ht="12.75" customHeight="1">
      <c r="C334" s="1605"/>
    </row>
    <row r="335" spans="3:3" s="583" customFormat="1" ht="12.75" customHeight="1">
      <c r="C335" s="1605"/>
    </row>
    <row r="336" spans="3:3" s="583" customFormat="1" ht="12.75" customHeight="1">
      <c r="C336" s="1605"/>
    </row>
    <row r="337" spans="3:3" s="583" customFormat="1" ht="12.75" customHeight="1">
      <c r="C337" s="1605"/>
    </row>
    <row r="338" spans="3:3" s="583" customFormat="1" ht="12.75" customHeight="1">
      <c r="C338" s="1605"/>
    </row>
    <row r="339" spans="3:3" s="583" customFormat="1" ht="12.75" customHeight="1">
      <c r="C339" s="1605"/>
    </row>
    <row r="340" spans="3:3" s="583" customFormat="1" ht="12.75" customHeight="1">
      <c r="C340" s="1605"/>
    </row>
    <row r="341" spans="3:3" s="583" customFormat="1" ht="12.75" customHeight="1">
      <c r="C341" s="1605"/>
    </row>
    <row r="342" spans="3:3" s="583" customFormat="1" ht="12.75" customHeight="1">
      <c r="C342" s="1605"/>
    </row>
    <row r="343" spans="3:3" s="583" customFormat="1" ht="12.75" customHeight="1">
      <c r="C343" s="1605"/>
    </row>
    <row r="344" spans="3:3" s="583" customFormat="1" ht="12.75" customHeight="1">
      <c r="C344" s="1605"/>
    </row>
    <row r="345" spans="3:3" s="583" customFormat="1" ht="12.75" customHeight="1">
      <c r="C345" s="1605"/>
    </row>
    <row r="346" spans="3:3" s="583" customFormat="1" ht="12.75" customHeight="1">
      <c r="C346" s="1605"/>
    </row>
    <row r="347" spans="3:3" s="583" customFormat="1" ht="12.75" customHeight="1">
      <c r="C347" s="1605"/>
    </row>
    <row r="348" spans="3:3" s="583" customFormat="1" ht="12.75" customHeight="1">
      <c r="C348" s="1605"/>
    </row>
    <row r="349" spans="3:3" s="583" customFormat="1" ht="12.75" customHeight="1">
      <c r="C349" s="1605"/>
    </row>
    <row r="350" spans="3:3" s="583" customFormat="1" ht="12.75" customHeight="1">
      <c r="C350" s="1605"/>
    </row>
    <row r="351" spans="3:3" s="583" customFormat="1" ht="12.75" customHeight="1">
      <c r="C351" s="1605"/>
    </row>
    <row r="352" spans="3:3" s="583" customFormat="1" ht="12.75" customHeight="1">
      <c r="C352" s="1605"/>
    </row>
    <row r="353" spans="3:3" s="583" customFormat="1" ht="12.75" customHeight="1">
      <c r="C353" s="1605"/>
    </row>
    <row r="354" spans="3:3" s="583" customFormat="1" ht="12.75" customHeight="1">
      <c r="C354" s="1605"/>
    </row>
    <row r="355" spans="3:3" s="583" customFormat="1" ht="12.75" customHeight="1">
      <c r="C355" s="1605"/>
    </row>
    <row r="356" spans="3:3" s="583" customFormat="1" ht="12.75" customHeight="1">
      <c r="C356" s="1605"/>
    </row>
    <row r="357" spans="3:3" s="583" customFormat="1" ht="12.75" customHeight="1">
      <c r="C357" s="1605"/>
    </row>
    <row r="358" spans="3:3" s="583" customFormat="1" ht="12.75" customHeight="1">
      <c r="C358" s="1605"/>
    </row>
    <row r="359" spans="3:3" s="583" customFormat="1" ht="12.75" customHeight="1">
      <c r="C359" s="1605"/>
    </row>
    <row r="360" spans="3:3" s="583" customFormat="1" ht="12.75" customHeight="1">
      <c r="C360" s="1605"/>
    </row>
    <row r="361" spans="3:3" s="583" customFormat="1" ht="12.75" customHeight="1">
      <c r="C361" s="1605"/>
    </row>
    <row r="362" spans="3:3" s="583" customFormat="1" ht="12.75" customHeight="1">
      <c r="C362" s="1605"/>
    </row>
    <row r="363" spans="3:3" s="583" customFormat="1" ht="12.75" customHeight="1">
      <c r="C363" s="1605"/>
    </row>
    <row r="364" spans="3:3" s="583" customFormat="1" ht="12.75" customHeight="1">
      <c r="C364" s="1605"/>
    </row>
    <row r="365" spans="3:3" s="583" customFormat="1" ht="12.75" customHeight="1">
      <c r="C365" s="1605"/>
    </row>
    <row r="366" spans="3:3" s="583" customFormat="1" ht="12.75" customHeight="1">
      <c r="C366" s="1605"/>
    </row>
    <row r="367" spans="3:3" s="583" customFormat="1" ht="12.75" customHeight="1">
      <c r="C367" s="1605"/>
    </row>
    <row r="368" spans="3:3" s="583" customFormat="1" ht="12.75" customHeight="1">
      <c r="C368" s="1605"/>
    </row>
    <row r="369" spans="3:3" s="583" customFormat="1" ht="12.75" customHeight="1">
      <c r="C369" s="1605"/>
    </row>
    <row r="370" spans="3:3" s="583" customFormat="1" ht="12.75" customHeight="1">
      <c r="C370" s="1605"/>
    </row>
    <row r="371" spans="3:3" s="583" customFormat="1" ht="12.75" customHeight="1">
      <c r="C371" s="1605"/>
    </row>
    <row r="372" spans="3:3" s="583" customFormat="1" ht="12.75" customHeight="1">
      <c r="C372" s="1605"/>
    </row>
    <row r="373" spans="3:3" s="583" customFormat="1" ht="12.75" customHeight="1">
      <c r="C373" s="1605"/>
    </row>
    <row r="374" spans="3:3" s="583" customFormat="1" ht="12.75" customHeight="1">
      <c r="C374" s="1605"/>
    </row>
    <row r="375" spans="3:3" s="583" customFormat="1" ht="12.75" customHeight="1">
      <c r="C375" s="1605"/>
    </row>
    <row r="376" spans="3:3" s="583" customFormat="1" ht="12.75" customHeight="1">
      <c r="C376" s="1605"/>
    </row>
    <row r="377" spans="3:3" s="583" customFormat="1" ht="12.75" customHeight="1">
      <c r="C377" s="1605"/>
    </row>
    <row r="378" spans="3:3" s="583" customFormat="1" ht="12.75" customHeight="1">
      <c r="C378" s="1605"/>
    </row>
    <row r="379" spans="3:3" s="583" customFormat="1" ht="12.75" customHeight="1">
      <c r="C379" s="1605"/>
    </row>
    <row r="380" spans="3:3" s="583" customFormat="1" ht="12.75" customHeight="1">
      <c r="C380" s="1605"/>
    </row>
    <row r="381" spans="3:3" s="583" customFormat="1" ht="12.75" customHeight="1">
      <c r="C381" s="1605"/>
    </row>
    <row r="382" spans="3:3" s="583" customFormat="1" ht="12.75" customHeight="1">
      <c r="C382" s="1605"/>
    </row>
    <row r="383" spans="3:3" s="583" customFormat="1" ht="12.75" customHeight="1">
      <c r="C383" s="1605"/>
    </row>
    <row r="384" spans="3:3" s="583" customFormat="1" ht="12.75" customHeight="1">
      <c r="C384" s="1605"/>
    </row>
    <row r="385" spans="3:3" s="583" customFormat="1" ht="12.75" customHeight="1">
      <c r="C385" s="1605"/>
    </row>
    <row r="386" spans="3:3" s="583" customFormat="1" ht="12.75" customHeight="1">
      <c r="C386" s="1605"/>
    </row>
    <row r="387" spans="3:3" s="583" customFormat="1" ht="12.75" customHeight="1">
      <c r="C387" s="1605"/>
    </row>
    <row r="388" spans="3:3" s="583" customFormat="1" ht="12.75" customHeight="1">
      <c r="C388" s="1605"/>
    </row>
    <row r="389" spans="3:3" s="583" customFormat="1" ht="12.75" customHeight="1">
      <c r="C389" s="1605"/>
    </row>
    <row r="390" spans="3:3" s="583" customFormat="1" ht="12.75" customHeight="1">
      <c r="C390" s="1605"/>
    </row>
    <row r="391" spans="3:3" s="583" customFormat="1" ht="12.75" customHeight="1">
      <c r="C391" s="1605"/>
    </row>
    <row r="392" spans="3:3" s="583" customFormat="1" ht="12.75" customHeight="1">
      <c r="C392" s="1605"/>
    </row>
    <row r="393" spans="3:3" s="583" customFormat="1" ht="12.75" customHeight="1">
      <c r="C393" s="1605"/>
    </row>
    <row r="394" spans="3:3" s="583" customFormat="1" ht="12.75" customHeight="1">
      <c r="C394" s="1605"/>
    </row>
    <row r="395" spans="3:3" s="583" customFormat="1" ht="12.75" customHeight="1">
      <c r="C395" s="1605"/>
    </row>
    <row r="396" spans="3:3" s="583" customFormat="1" ht="12.75" customHeight="1">
      <c r="C396" s="1605"/>
    </row>
    <row r="397" spans="3:3" s="583" customFormat="1" ht="12.75" customHeight="1">
      <c r="C397" s="1605"/>
    </row>
    <row r="398" spans="3:3" s="583" customFormat="1" ht="12.75" customHeight="1">
      <c r="C398" s="1605"/>
    </row>
    <row r="399" spans="3:3" s="583" customFormat="1" ht="12.75" customHeight="1">
      <c r="C399" s="1605"/>
    </row>
    <row r="400" spans="3:3" s="583" customFormat="1" ht="12.75" customHeight="1">
      <c r="C400" s="1605"/>
    </row>
    <row r="401" spans="3:3" s="583" customFormat="1" ht="12.75" customHeight="1">
      <c r="C401" s="1605"/>
    </row>
    <row r="402" spans="3:3" s="583" customFormat="1" ht="12.75" customHeight="1">
      <c r="C402" s="1605"/>
    </row>
    <row r="403" spans="3:3" s="583" customFormat="1" ht="12.75" customHeight="1">
      <c r="C403" s="1605"/>
    </row>
    <row r="404" spans="3:3" s="583" customFormat="1" ht="12.75" customHeight="1">
      <c r="C404" s="1605"/>
    </row>
    <row r="405" spans="3:3" s="583" customFormat="1" ht="12.75" customHeight="1">
      <c r="C405" s="1605"/>
    </row>
    <row r="406" spans="3:3" s="583" customFormat="1" ht="12.75" customHeight="1">
      <c r="C406" s="1605"/>
    </row>
    <row r="407" spans="3:3" s="583" customFormat="1" ht="12.75" customHeight="1">
      <c r="C407" s="1605"/>
    </row>
    <row r="408" spans="3:3" s="583" customFormat="1" ht="12.75" customHeight="1">
      <c r="C408" s="1605"/>
    </row>
    <row r="409" spans="3:3" s="583" customFormat="1" ht="12.75" customHeight="1">
      <c r="C409" s="1605"/>
    </row>
    <row r="410" spans="3:3" s="583" customFormat="1" ht="12.75" customHeight="1">
      <c r="C410" s="1605"/>
    </row>
    <row r="411" spans="3:3" s="583" customFormat="1" ht="12.75" customHeight="1">
      <c r="C411" s="1605"/>
    </row>
    <row r="412" spans="3:3" s="583" customFormat="1" ht="12.75" customHeight="1">
      <c r="C412" s="1605"/>
    </row>
    <row r="413" spans="3:3" s="583" customFormat="1" ht="12.75" customHeight="1">
      <c r="C413" s="1605"/>
    </row>
    <row r="414" spans="3:3" s="583" customFormat="1" ht="12.75" customHeight="1">
      <c r="C414" s="1605"/>
    </row>
    <row r="415" spans="3:3" s="583" customFormat="1" ht="12.75" customHeight="1">
      <c r="C415" s="1605"/>
    </row>
    <row r="416" spans="3:3" s="583" customFormat="1" ht="12.75" customHeight="1">
      <c r="C416" s="1605"/>
    </row>
    <row r="417" spans="3:3" s="583" customFormat="1" ht="12.75" customHeight="1">
      <c r="C417" s="1605"/>
    </row>
    <row r="418" spans="3:3" s="583" customFormat="1" ht="12.75" customHeight="1">
      <c r="C418" s="1605"/>
    </row>
    <row r="419" spans="3:3" s="583" customFormat="1" ht="12.75" customHeight="1">
      <c r="C419" s="1605"/>
    </row>
    <row r="420" spans="3:3" s="583" customFormat="1" ht="12.75" customHeight="1">
      <c r="C420" s="1605"/>
    </row>
    <row r="421" spans="3:3" s="583" customFormat="1" ht="12.75" customHeight="1">
      <c r="C421" s="1605"/>
    </row>
    <row r="422" spans="3:3" s="583" customFormat="1" ht="12.75" customHeight="1">
      <c r="C422" s="1605"/>
    </row>
    <row r="423" spans="3:3" s="583" customFormat="1" ht="12.75" customHeight="1">
      <c r="C423" s="1605"/>
    </row>
    <row r="424" spans="3:3" s="583" customFormat="1" ht="12.75" customHeight="1">
      <c r="C424" s="1605"/>
    </row>
    <row r="425" spans="3:3" s="583" customFormat="1" ht="12.75" customHeight="1">
      <c r="C425" s="1605"/>
    </row>
    <row r="426" spans="3:3" s="583" customFormat="1" ht="12.75" customHeight="1">
      <c r="C426" s="1605"/>
    </row>
    <row r="427" spans="3:3" s="583" customFormat="1" ht="12.75" customHeight="1">
      <c r="C427" s="1605"/>
    </row>
    <row r="428" spans="3:3" s="583" customFormat="1" ht="12.75" customHeight="1">
      <c r="C428" s="1605"/>
    </row>
    <row r="429" spans="3:3" s="583" customFormat="1" ht="12.75" customHeight="1">
      <c r="C429" s="1605"/>
    </row>
    <row r="430" spans="3:3" s="583" customFormat="1" ht="12.75" customHeight="1">
      <c r="C430" s="1605"/>
    </row>
    <row r="431" spans="3:3" s="583" customFormat="1" ht="12.75" customHeight="1">
      <c r="C431" s="1605"/>
    </row>
    <row r="432" spans="3:3" s="583" customFormat="1" ht="12.75" customHeight="1">
      <c r="C432" s="1605"/>
    </row>
    <row r="433" spans="3:3" s="583" customFormat="1" ht="12.75" customHeight="1">
      <c r="C433" s="1605"/>
    </row>
    <row r="434" spans="3:3" s="583" customFormat="1" ht="12.75" customHeight="1">
      <c r="C434" s="1605"/>
    </row>
    <row r="435" spans="3:3" s="583" customFormat="1" ht="12.75" customHeight="1">
      <c r="C435" s="1605"/>
    </row>
    <row r="436" spans="3:3" s="583" customFormat="1" ht="12.75" customHeight="1">
      <c r="C436" s="1605"/>
    </row>
    <row r="437" spans="3:3" s="583" customFormat="1" ht="12.75" customHeight="1">
      <c r="C437" s="1605"/>
    </row>
    <row r="438" spans="3:3" s="583" customFormat="1" ht="12.75" customHeight="1">
      <c r="C438" s="1605"/>
    </row>
    <row r="439" spans="3:3" s="583" customFormat="1" ht="12.75" customHeight="1">
      <c r="C439" s="1605"/>
    </row>
    <row r="440" spans="3:3" s="583" customFormat="1" ht="12.75" customHeight="1">
      <c r="C440" s="1605"/>
    </row>
    <row r="441" spans="3:3" s="583" customFormat="1" ht="12.75" customHeight="1">
      <c r="C441" s="1605"/>
    </row>
    <row r="442" spans="3:3" s="583" customFormat="1" ht="12.75" customHeight="1">
      <c r="C442" s="1605"/>
    </row>
    <row r="443" spans="3:3" s="583" customFormat="1" ht="12.75" customHeight="1">
      <c r="C443" s="1605"/>
    </row>
    <row r="444" spans="3:3" s="583" customFormat="1" ht="12.75" customHeight="1">
      <c r="C444" s="1605"/>
    </row>
    <row r="445" spans="3:3" s="583" customFormat="1" ht="12.75" customHeight="1">
      <c r="C445" s="1605"/>
    </row>
    <row r="446" spans="3:3" s="583" customFormat="1" ht="12.75" customHeight="1">
      <c r="C446" s="1605"/>
    </row>
    <row r="447" spans="3:3" s="583" customFormat="1" ht="12.75" customHeight="1">
      <c r="C447" s="1605"/>
    </row>
    <row r="448" spans="3:3" s="583" customFormat="1" ht="12.75" customHeight="1">
      <c r="C448" s="1605"/>
    </row>
    <row r="449" spans="3:3" s="583" customFormat="1" ht="12.75" customHeight="1">
      <c r="C449" s="1605"/>
    </row>
    <row r="450" spans="3:3" s="583" customFormat="1" ht="12.75" customHeight="1">
      <c r="C450" s="1605"/>
    </row>
    <row r="451" spans="3:3" s="583" customFormat="1" ht="12.75" customHeight="1">
      <c r="C451" s="1605"/>
    </row>
    <row r="452" spans="3:3" s="583" customFormat="1" ht="12.75" customHeight="1">
      <c r="C452" s="1605"/>
    </row>
    <row r="453" spans="3:3" s="583" customFormat="1" ht="12.75" customHeight="1">
      <c r="C453" s="1605"/>
    </row>
    <row r="454" spans="3:3" s="583" customFormat="1" ht="12.75" customHeight="1">
      <c r="C454" s="1605"/>
    </row>
    <row r="455" spans="3:3" s="583" customFormat="1" ht="12.75" customHeight="1">
      <c r="C455" s="1605"/>
    </row>
    <row r="456" spans="3:3" s="583" customFormat="1" ht="12.75" customHeight="1">
      <c r="C456" s="1605"/>
    </row>
    <row r="457" spans="3:3" s="583" customFormat="1" ht="12.75" customHeight="1">
      <c r="C457" s="1605"/>
    </row>
    <row r="458" spans="3:3" s="583" customFormat="1" ht="12.75" customHeight="1">
      <c r="C458" s="1605"/>
    </row>
    <row r="459" spans="3:3" s="583" customFormat="1" ht="12.75" customHeight="1">
      <c r="C459" s="1605"/>
    </row>
    <row r="460" spans="3:3" s="583" customFormat="1" ht="12.75" customHeight="1">
      <c r="C460" s="1605"/>
    </row>
    <row r="461" spans="3:3" s="583" customFormat="1" ht="12.75" customHeight="1">
      <c r="C461" s="1605"/>
    </row>
    <row r="462" spans="3:3" s="583" customFormat="1" ht="12.75" customHeight="1">
      <c r="C462" s="1605"/>
    </row>
    <row r="463" spans="3:3" s="583" customFormat="1" ht="12.75" customHeight="1">
      <c r="C463" s="1605"/>
    </row>
    <row r="464" spans="3:3" s="583" customFormat="1" ht="12.75" customHeight="1">
      <c r="C464" s="1605"/>
    </row>
    <row r="465" spans="3:3" s="583" customFormat="1" ht="12.75" customHeight="1">
      <c r="C465" s="1605"/>
    </row>
    <row r="466" spans="3:3" s="583" customFormat="1" ht="12.75" customHeight="1">
      <c r="C466" s="1605"/>
    </row>
    <row r="467" spans="3:3" s="583" customFormat="1" ht="12.75" customHeight="1">
      <c r="C467" s="1605"/>
    </row>
    <row r="468" spans="3:3" s="583" customFormat="1" ht="12.75" customHeight="1">
      <c r="C468" s="1605"/>
    </row>
    <row r="469" spans="3:3" s="583" customFormat="1" ht="12.75" customHeight="1">
      <c r="C469" s="1605"/>
    </row>
    <row r="470" spans="3:3" s="583" customFormat="1" ht="12.75" customHeight="1">
      <c r="C470" s="1605"/>
    </row>
    <row r="471" spans="3:3" s="583" customFormat="1" ht="12.75" customHeight="1">
      <c r="C471" s="1605"/>
    </row>
    <row r="472" spans="3:3" s="583" customFormat="1" ht="12.75" customHeight="1">
      <c r="C472" s="1605"/>
    </row>
    <row r="473" spans="3:3" s="583" customFormat="1" ht="12.75" customHeight="1">
      <c r="C473" s="1605"/>
    </row>
    <row r="474" spans="3:3" s="583" customFormat="1" ht="12.75" customHeight="1">
      <c r="C474" s="1605"/>
    </row>
    <row r="475" spans="3:3" s="583" customFormat="1" ht="12.75" customHeight="1">
      <c r="C475" s="1605"/>
    </row>
    <row r="476" spans="3:3" s="583" customFormat="1" ht="12.75" customHeight="1">
      <c r="C476" s="1605"/>
    </row>
    <row r="477" spans="3:3" s="583" customFormat="1" ht="12.75" customHeight="1">
      <c r="C477" s="1605"/>
    </row>
    <row r="478" spans="3:3" s="583" customFormat="1" ht="12.75" customHeight="1">
      <c r="C478" s="1605"/>
    </row>
    <row r="479" spans="3:3" s="583" customFormat="1" ht="12.75" customHeight="1">
      <c r="C479" s="1605"/>
    </row>
    <row r="480" spans="3:3" s="583" customFormat="1" ht="12.75" customHeight="1">
      <c r="C480" s="1605"/>
    </row>
    <row r="481" spans="3:3" s="583" customFormat="1" ht="12.75" customHeight="1">
      <c r="C481" s="1605"/>
    </row>
    <row r="482" spans="3:3" s="583" customFormat="1" ht="12.75" customHeight="1">
      <c r="C482" s="1605"/>
    </row>
    <row r="483" spans="3:3" s="583" customFormat="1" ht="12.75" customHeight="1">
      <c r="C483" s="1605"/>
    </row>
    <row r="484" spans="3:3" s="583" customFormat="1" ht="12.75" customHeight="1">
      <c r="C484" s="1605"/>
    </row>
    <row r="485" spans="3:3" s="583" customFormat="1" ht="12.75" customHeight="1">
      <c r="C485" s="1605"/>
    </row>
    <row r="486" spans="3:3" s="583" customFormat="1" ht="12.75" customHeight="1">
      <c r="C486" s="1605"/>
    </row>
    <row r="487" spans="3:3" s="583" customFormat="1" ht="12.75" customHeight="1">
      <c r="C487" s="1605"/>
    </row>
    <row r="488" spans="3:3" s="583" customFormat="1" ht="12.75" customHeight="1">
      <c r="C488" s="1605"/>
    </row>
    <row r="489" spans="3:3" s="583" customFormat="1" ht="12.75" customHeight="1">
      <c r="C489" s="1605"/>
    </row>
    <row r="490" spans="3:3" s="583" customFormat="1" ht="12.75" customHeight="1">
      <c r="C490" s="1605"/>
    </row>
    <row r="491" spans="3:3" s="583" customFormat="1" ht="12.75" customHeight="1">
      <c r="C491" s="1605"/>
    </row>
    <row r="492" spans="3:3" s="583" customFormat="1" ht="12.75" customHeight="1">
      <c r="C492" s="1605"/>
    </row>
    <row r="493" spans="3:3" s="583" customFormat="1" ht="12.75" customHeight="1">
      <c r="C493" s="1605"/>
    </row>
    <row r="494" spans="3:3" s="583" customFormat="1" ht="12.75" customHeight="1">
      <c r="C494" s="1605"/>
    </row>
  </sheetData>
  <phoneticPr fontId="5" type="noConversion"/>
  <hyperlinks>
    <hyperlink ref="E2" location="eqf" tooltip="Go to eqf" display="eqf"/>
    <hyperlink ref="C3" location="ef_fish!A1" tooltip="Go to ef_fish" display="ef_fish"/>
    <hyperlink ref="C2" location="figis_commodity_n!A1" tooltip="Go to figis_commodity_n" display="figis_commodity_n"/>
    <hyperlink ref="D2" location="fish_commodity_yield_n!A1" tooltip="Go to fish_commodity_yield_n" display="fish_commodity_yield_n"/>
    <hyperlink ref="D3" location="ef_crop!A1" display="ef_crop"/>
    <hyperlink ref="E3" location="foodaid_fish!A1" display="foodaid_fish"/>
    <hyperlink ref="F2" location="iyf" display="iyf"/>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enableFormatConditionsCalculation="0">
    <tabColor rgb="FF0000FF"/>
    <pageSetUpPr autoPageBreaks="0"/>
  </sheetPr>
  <dimension ref="A1:N278"/>
  <sheetViews>
    <sheetView workbookViewId="0">
      <selection activeCell="A65536" sqref="A65536"/>
    </sheetView>
  </sheetViews>
  <sheetFormatPr baseColWidth="10" defaultColWidth="9.1640625" defaultRowHeight="12.75" customHeight="1" x14ac:dyDescent="0"/>
  <cols>
    <col min="1" max="1" width="50.6640625" style="53" customWidth="1"/>
    <col min="2" max="2" width="15.6640625" style="53" customWidth="1"/>
    <col min="3" max="3" width="24" style="53" customWidth="1"/>
    <col min="4" max="4" width="16.5" style="53" customWidth="1"/>
    <col min="5" max="5" width="17.6640625" style="53" customWidth="1"/>
    <col min="6" max="6" width="21" style="53" customWidth="1"/>
    <col min="7" max="7" width="16.33203125" style="53" customWidth="1"/>
    <col min="8" max="8" width="21.6640625" style="53" customWidth="1"/>
    <col min="9" max="9" width="21.6640625" style="83" customWidth="1"/>
    <col min="10" max="10" width="21.6640625" style="53" customWidth="1"/>
    <col min="11" max="11" width="9.1640625" style="53"/>
    <col min="12" max="13" width="13.5" style="53" customWidth="1"/>
    <col min="14" max="16384" width="9.1640625" style="53"/>
  </cols>
  <sheetData>
    <row r="1" spans="1:14" ht="12.75" customHeight="1">
      <c r="B1" s="185"/>
      <c r="C1" s="185"/>
      <c r="D1" s="185"/>
      <c r="E1" s="185"/>
      <c r="F1" s="185"/>
      <c r="G1" s="185"/>
      <c r="H1" s="185"/>
      <c r="I1" s="397"/>
      <c r="J1" s="185"/>
    </row>
    <row r="2" spans="1:14" ht="12.75" customHeight="1">
      <c r="B2" s="54" t="s">
        <v>1005</v>
      </c>
      <c r="C2" s="1064" t="s">
        <v>1842</v>
      </c>
      <c r="D2" s="1064" t="s">
        <v>6373</v>
      </c>
      <c r="E2" s="1064" t="s">
        <v>1844</v>
      </c>
      <c r="F2" s="1064" t="s">
        <v>5417</v>
      </c>
      <c r="G2" s="1064" t="s">
        <v>6373</v>
      </c>
    </row>
    <row r="3" spans="1:14" ht="12.75" customHeight="1">
      <c r="B3" s="54" t="s">
        <v>1006</v>
      </c>
      <c r="C3" s="1064" t="s">
        <v>7140</v>
      </c>
      <c r="D3" s="1064" t="s">
        <v>1842</v>
      </c>
      <c r="E3" s="1064" t="s">
        <v>5262</v>
      </c>
      <c r="F3" s="1064"/>
      <c r="G3" s="1064"/>
      <c r="H3" s="185"/>
    </row>
    <row r="4" spans="1:14" ht="12.75" customHeight="1">
      <c r="I4" s="486"/>
    </row>
    <row r="5" spans="1:14" ht="12">
      <c r="A5" s="302" t="s">
        <v>1445</v>
      </c>
      <c r="B5" s="500" t="s">
        <v>515</v>
      </c>
      <c r="C5" s="500" t="s">
        <v>1446</v>
      </c>
      <c r="D5" s="500" t="s">
        <v>4246</v>
      </c>
      <c r="E5" s="304" t="s">
        <v>5425</v>
      </c>
      <c r="F5" s="500" t="s">
        <v>4061</v>
      </c>
      <c r="G5" s="500" t="s">
        <v>4063</v>
      </c>
      <c r="H5" s="501" t="s">
        <v>3889</v>
      </c>
      <c r="I5" s="485" t="s">
        <v>945</v>
      </c>
      <c r="J5" s="483" t="s">
        <v>946</v>
      </c>
    </row>
    <row r="6" spans="1:14" ht="12">
      <c r="A6" s="310" t="s">
        <v>548</v>
      </c>
      <c r="B6" s="691" t="s">
        <v>548</v>
      </c>
      <c r="C6" s="691" t="s">
        <v>548</v>
      </c>
      <c r="D6" s="691" t="s">
        <v>548</v>
      </c>
      <c r="E6" s="714" t="s">
        <v>1846</v>
      </c>
      <c r="F6" s="691" t="s">
        <v>1834</v>
      </c>
      <c r="G6" s="691" t="s">
        <v>1834</v>
      </c>
      <c r="H6" s="311" t="s">
        <v>1845</v>
      </c>
      <c r="I6" s="487" t="s">
        <v>947</v>
      </c>
      <c r="J6" s="488" t="s">
        <v>947</v>
      </c>
    </row>
    <row r="7" spans="1:14" ht="12">
      <c r="A7" s="1348" t="s">
        <v>8730</v>
      </c>
      <c r="B7" s="1618">
        <v>307.89</v>
      </c>
      <c r="C7" s="1348" t="s">
        <v>1804</v>
      </c>
      <c r="D7" s="1348" t="s">
        <v>4851</v>
      </c>
      <c r="E7" s="1006">
        <f t="shared" ref="E7:E70" si="0">IFERROR(1/VLOOKUP(B7,constant_fish_extr,2,FALSE),0)</f>
        <v>0.2577438210521471</v>
      </c>
      <c r="F7" s="1006">
        <f>IFERROR($E7*(VLOOKUP(C7,fish_group_yield_n!$A$7:$J$49,7,FALSE)),0)</f>
        <v>0.12083018201159709</v>
      </c>
      <c r="G7" s="1006">
        <f>IFERROR($E7*(VLOOKUP(C7,fish_group_yield_n!$A$7:$J$49,10,FALSE)),0)</f>
        <v>0.32500127536564577</v>
      </c>
      <c r="H7" s="1619">
        <f t="shared" ref="H7:H70" si="1">IF(ISERROR(VLOOKUP(B7,tbl_figis_commodity,2,FALSE)/E7),0,VLOOKUP(B7,tbl_figis_commodity,2,FALSE)/E7)</f>
        <v>931.15714285714284</v>
      </c>
      <c r="I7" s="1620">
        <f>IF(ISERROR($E7*VLOOKUP($C7,fish_group_yield_w!$A$7:$I$45,9,FALSE)),0,$E7*VLOOKUP($C7,fish_group_yield_w!$A$7:$I$45,9,FALSE))</f>
        <v>0.13932069318483431</v>
      </c>
      <c r="J7" s="1621">
        <f>IF(ISERROR($E7*VLOOKUP($C7,fish_group_yield_w!$A$7:$I$45,9,FALSE)),0,$E7*VLOOKUP($C7,fish_group_yield_w!$A$7:$I$45,9,FALSE))</f>
        <v>0.13932069318483431</v>
      </c>
      <c r="L7" s="921"/>
      <c r="M7" s="601"/>
    </row>
    <row r="8" spans="1:14" ht="12">
      <c r="A8" s="1348" t="s">
        <v>8731</v>
      </c>
      <c r="B8" s="1618">
        <v>307.81</v>
      </c>
      <c r="C8" s="1348" t="s">
        <v>1804</v>
      </c>
      <c r="D8" s="1348" t="s">
        <v>4851</v>
      </c>
      <c r="E8" s="1006">
        <f t="shared" si="0"/>
        <v>0.19129603060736489</v>
      </c>
      <c r="F8" s="1006">
        <f>IFERROR($E8*(VLOOKUP(C8,fish_group_yield_n!$A$7:$J$49,7,FALSE)),0)</f>
        <v>8.9679489122291789E-2</v>
      </c>
      <c r="G8" s="1006">
        <f>IFERROR($E8*(VLOOKUP(C8,fish_group_yield_n!$A$7:$J$49,10,FALSE)),0)</f>
        <v>0.24121413916340045</v>
      </c>
      <c r="H8" s="1619">
        <f t="shared" si="1"/>
        <v>423.42750000000001</v>
      </c>
      <c r="I8" s="997">
        <f>IF(ISERROR($E8*VLOOKUP($C8,fish_group_yield_w!$A$7:$I$45,9,FALSE)),0,$E8*VLOOKUP($C8,fish_group_yield_w!$A$7:$I$45,9,FALSE))</f>
        <v>0.10340304368473373</v>
      </c>
      <c r="J8" s="998">
        <f>IF(ISERROR($E8*VLOOKUP($C8,fish_group_yield_w!$A$7:$I$45,9,FALSE)),0,$E8*VLOOKUP($C8,fish_group_yield_w!$A$7:$I$45,9,FALSE))</f>
        <v>0.10340304368473373</v>
      </c>
      <c r="L8" s="1586"/>
      <c r="M8" s="1586"/>
    </row>
    <row r="9" spans="1:14" ht="12">
      <c r="A9" s="1348" t="s">
        <v>8620</v>
      </c>
      <c r="B9" s="1618">
        <v>1605.57</v>
      </c>
      <c r="C9" s="1348" t="s">
        <v>1804</v>
      </c>
      <c r="D9" s="1348" t="s">
        <v>4851</v>
      </c>
      <c r="E9" s="1006">
        <f t="shared" si="0"/>
        <v>0.46948356807511737</v>
      </c>
      <c r="F9" s="1006">
        <f>IFERROR($E9*(VLOOKUP(C9,fish_group_yield_n!$A$7:$J$49,7,FALSE)),0)</f>
        <v>0.22009367576844149</v>
      </c>
      <c r="G9" s="1006">
        <f>IFERROR($E9*(VLOOKUP(C9,fish_group_yield_n!$A$7:$J$49,10,FALSE)),0)</f>
        <v>0.59199385562285256</v>
      </c>
      <c r="H9" s="1619">
        <f t="shared" si="1"/>
        <v>338.67</v>
      </c>
      <c r="I9" s="997">
        <f>IF(ISERROR($E9*VLOOKUP($C9,fish_group_yield_w!$A$7:$I$45,9,FALSE)),0,$E9*VLOOKUP($C9,fish_group_yield_w!$A$7:$I$45,9,FALSE))</f>
        <v>0.25377437129668806</v>
      </c>
      <c r="J9" s="998">
        <f>IF(ISERROR($E9*VLOOKUP($C9,fish_group_yield_w!$A$7:$I$45,9,FALSE)),0,$E9*VLOOKUP($C9,fish_group_yield_w!$A$7:$I$45,9,FALSE))</f>
        <v>0.25377437129668806</v>
      </c>
      <c r="L9" s="1586"/>
      <c r="M9" s="1586"/>
      <c r="N9" s="889"/>
    </row>
    <row r="10" spans="1:14" ht="12">
      <c r="A10" s="995" t="s">
        <v>6230</v>
      </c>
      <c r="B10" s="1599">
        <v>1302.31</v>
      </c>
      <c r="C10" s="996"/>
      <c r="D10" s="996"/>
      <c r="E10" s="1006">
        <f t="shared" si="0"/>
        <v>0</v>
      </c>
      <c r="F10" s="1006">
        <f>IFERROR($E10*(VLOOKUP(C10,fish_group_yield_n!$A$7:$J$49,7,FALSE)),0)</f>
        <v>0</v>
      </c>
      <c r="G10" s="1006">
        <f>IFERROR($E10*(VLOOKUP(C10,fish_group_yield_n!$A$7:$J$49,10,FALSE)),0)</f>
        <v>0</v>
      </c>
      <c r="H10" s="1619">
        <f t="shared" si="1"/>
        <v>0</v>
      </c>
      <c r="I10" s="997">
        <f>IF(ISERROR($E10*VLOOKUP($C10,fish_group_yield_w!$A$7:$I$45,9,FALSE)),0,$E10*VLOOKUP($C10,fish_group_yield_w!$A$7:$I$45,9,FALSE))</f>
        <v>0</v>
      </c>
      <c r="J10" s="998">
        <f>IF(ISERROR($E10*VLOOKUP($C10,fish_group_yield_w!$A$7:$I$45,9,FALSE)),0,$E10*VLOOKUP($C10,fish_group_yield_w!$A$7:$I$45,9,FALSE))</f>
        <v>0</v>
      </c>
      <c r="L10" s="1586"/>
      <c r="M10" s="1586"/>
      <c r="N10" s="889"/>
    </row>
    <row r="11" spans="1:14" ht="12">
      <c r="A11" s="1348" t="s">
        <v>8632</v>
      </c>
      <c r="B11" s="1618">
        <v>304.75</v>
      </c>
      <c r="C11" s="1348" t="s">
        <v>5366</v>
      </c>
      <c r="D11" s="1348" t="s">
        <v>4841</v>
      </c>
      <c r="E11" s="1006">
        <f t="shared" si="0"/>
        <v>0.50820469632624188</v>
      </c>
      <c r="F11" s="1006">
        <f>IFERROR($E11*(VLOOKUP(C11,fish_group_yield_n!$A$7:$J$49,7,FALSE)),0)</f>
        <v>6.9114566294985781E-3</v>
      </c>
      <c r="G11" s="1006">
        <f>IFERROR($E11*(VLOOKUP(C11,fish_group_yield_n!$A$7:$J$49,10,FALSE)),0)</f>
        <v>9.7356772782209999E-3</v>
      </c>
      <c r="H11" s="1619">
        <f t="shared" si="1"/>
        <v>103456.34422521788</v>
      </c>
      <c r="I11" s="997">
        <f>IF(ISERROR($E11*VLOOKUP($C11,fish_group_yield_w!$A$7:$I$45,9,FALSE)),0,$E11*VLOOKUP($C11,fish_group_yield_w!$A$7:$I$45,9,FALSE))</f>
        <v>8.3165077952164002E-4</v>
      </c>
      <c r="J11" s="998">
        <f>IF(ISERROR($E11*VLOOKUP($C11,fish_group_yield_w!$A$7:$I$45,9,FALSE)),0,$E11*VLOOKUP($C11,fish_group_yield_w!$A$7:$I$45,9,FALSE))</f>
        <v>8.3165077952164002E-4</v>
      </c>
      <c r="L11" s="1586"/>
      <c r="M11" s="1586"/>
      <c r="N11" s="889"/>
    </row>
    <row r="12" spans="1:14" ht="12">
      <c r="A12" s="1348" t="s">
        <v>8622</v>
      </c>
      <c r="B12" s="1618">
        <v>302.55</v>
      </c>
      <c r="C12" s="1348" t="s">
        <v>5366</v>
      </c>
      <c r="D12" s="1348" t="s">
        <v>4841</v>
      </c>
      <c r="E12" s="1006">
        <f t="shared" si="0"/>
        <v>0.85470085470085477</v>
      </c>
      <c r="F12" s="1006">
        <f>IFERROR($E12*(VLOOKUP(C12,fish_group_yield_n!$A$7:$J$49,7,FALSE)),0)</f>
        <v>1.1623717630244369E-2</v>
      </c>
      <c r="G12" s="1006">
        <f>IFERROR($E12*(VLOOKUP(C12,fish_group_yield_n!$A$7:$J$49,10,FALSE)),0)</f>
        <v>1.6373504123317777E-2</v>
      </c>
      <c r="H12" s="1619">
        <f t="shared" si="1"/>
        <v>29.249999999999996</v>
      </c>
      <c r="I12" s="997">
        <f>IF(ISERROR($E12*VLOOKUP($C12,fish_group_yield_w!$A$7:$I$45,9,FALSE)),0,$E12*VLOOKUP($C12,fish_group_yield_w!$A$7:$I$45,9,FALSE))</f>
        <v>1.3986738753265511E-3</v>
      </c>
      <c r="J12" s="998">
        <f>IF(ISERROR($E12*VLOOKUP($C12,fish_group_yield_w!$A$7:$I$45,9,FALSE)),0,$E12*VLOOKUP($C12,fish_group_yield_w!$A$7:$I$45,9,FALSE))</f>
        <v>1.3986738753265511E-3</v>
      </c>
      <c r="L12" s="1586"/>
      <c r="M12" s="1586"/>
      <c r="N12" s="889"/>
    </row>
    <row r="13" spans="1:14" ht="12">
      <c r="A13" s="1348" t="s">
        <v>8696</v>
      </c>
      <c r="B13" s="1618">
        <v>303.67</v>
      </c>
      <c r="C13" s="1348" t="s">
        <v>5366</v>
      </c>
      <c r="D13" s="1348" t="s">
        <v>4841</v>
      </c>
      <c r="E13" s="1006">
        <f t="shared" si="0"/>
        <v>0.5524861878453039</v>
      </c>
      <c r="F13" s="1006">
        <f>IFERROR($E13*(VLOOKUP(C13,fish_group_yield_n!$A$7:$J$49,7,FALSE)),0)</f>
        <v>7.513673827285035E-3</v>
      </c>
      <c r="G13" s="1006">
        <f>IFERROR($E13*(VLOOKUP(C13,fish_group_yield_n!$A$7:$J$49,10,FALSE)),0)</f>
        <v>1.0583977803470606E-2</v>
      </c>
      <c r="H13" s="1619">
        <f t="shared" si="1"/>
        <v>1366.55</v>
      </c>
      <c r="I13" s="997">
        <f>IF(ISERROR($E13*VLOOKUP($C13,fish_group_yield_w!$A$7:$I$45,9,FALSE)),0,$E13*VLOOKUP($C13,fish_group_yield_w!$A$7:$I$45,9,FALSE))</f>
        <v>9.0411515697904135E-4</v>
      </c>
      <c r="J13" s="998">
        <f>IF(ISERROR($E13*VLOOKUP($C13,fish_group_yield_w!$A$7:$I$45,9,FALSE)),0,$E13*VLOOKUP($C13,fish_group_yield_w!$A$7:$I$45,9,FALSE))</f>
        <v>9.0411515697904135E-4</v>
      </c>
      <c r="L13" s="1586"/>
      <c r="M13" s="1586"/>
      <c r="N13" s="889"/>
    </row>
    <row r="14" spans="1:14" ht="12">
      <c r="A14" s="1348" t="s">
        <v>8624</v>
      </c>
      <c r="B14" s="1618">
        <v>304.94</v>
      </c>
      <c r="C14" s="1348" t="s">
        <v>5366</v>
      </c>
      <c r="D14" s="1348" t="s">
        <v>4841</v>
      </c>
      <c r="E14" s="1006">
        <f t="shared" si="0"/>
        <v>0.30266343825665859</v>
      </c>
      <c r="F14" s="1006">
        <f>IFERROR($E14*(VLOOKUP(C14,fish_group_yield_n!$A$7:$J$49,7,FALSE)),0)</f>
        <v>4.1161469816543318E-3</v>
      </c>
      <c r="G14" s="1006">
        <f>IFERROR($E14*(VLOOKUP(C14,fish_group_yield_n!$A$7:$J$49,10,FALSE)),0)</f>
        <v>5.7981234334993333E-3</v>
      </c>
      <c r="H14" s="1619">
        <f t="shared" si="1"/>
        <v>3964.8</v>
      </c>
      <c r="I14" s="997">
        <f>IF(ISERROR($E14*VLOOKUP($C14,fish_group_yield_w!$A$7:$I$45,9,FALSE)),0,$E14*VLOOKUP($C14,fish_group_yield_w!$A$7:$I$45,9,FALSE))</f>
        <v>4.9529310960413583E-4</v>
      </c>
      <c r="J14" s="998">
        <f>IF(ISERROR($E14*VLOOKUP($C14,fish_group_yield_w!$A$7:$I$45,9,FALSE)),0,$E14*VLOOKUP($C14,fish_group_yield_w!$A$7:$I$45,9,FALSE))</f>
        <v>4.9529310960413583E-4</v>
      </c>
      <c r="L14" s="1586"/>
      <c r="M14" s="1586"/>
      <c r="N14" s="889"/>
    </row>
    <row r="15" spans="1:14" ht="12">
      <c r="A15" s="995" t="s">
        <v>6231</v>
      </c>
      <c r="B15" s="1599">
        <v>302.31</v>
      </c>
      <c r="C15" s="996" t="s">
        <v>2969</v>
      </c>
      <c r="D15" s="996" t="s">
        <v>4859</v>
      </c>
      <c r="E15" s="1006">
        <f t="shared" si="0"/>
        <v>0.8733624454148472</v>
      </c>
      <c r="F15" s="1006">
        <f>IFERROR($E15*(VLOOKUP(C15,fish_group_yield_n!$A$7:$J$49,7,FALSE)),0)</f>
        <v>1.1753591973572983E-2</v>
      </c>
      <c r="G15" s="1006">
        <f>IFERROR($E15*(VLOOKUP(C15,fish_group_yield_n!$A$7:$J$49,10,FALSE)),0)</f>
        <v>1.1174426707199481E-2</v>
      </c>
      <c r="H15" s="1619">
        <f t="shared" si="1"/>
        <v>981.26499999999999</v>
      </c>
      <c r="I15" s="997">
        <f>IF(ISERROR($E15*VLOOKUP($C15,fish_group_yield_w!$A$7:$I$45,9,FALSE)),0,$E15*VLOOKUP($C15,fish_group_yield_w!$A$7:$I$45,9,FALSE))</f>
        <v>6.4299058453985572E-3</v>
      </c>
      <c r="J15" s="998">
        <f>IF(ISERROR($E15*VLOOKUP($C15,fish_group_yield_w!$A$7:$I$45,9,FALSE)),0,$E15*VLOOKUP($C15,fish_group_yield_w!$A$7:$I$45,9,FALSE))</f>
        <v>6.4299058453985572E-3</v>
      </c>
      <c r="L15" s="1586"/>
      <c r="M15" s="1586"/>
      <c r="N15" s="889"/>
    </row>
    <row r="16" spans="1:14" ht="12">
      <c r="A16" s="995" t="s">
        <v>6232</v>
      </c>
      <c r="B16" s="1599">
        <v>303.41000000000003</v>
      </c>
      <c r="C16" s="996" t="s">
        <v>2969</v>
      </c>
      <c r="D16" s="996" t="s">
        <v>4859</v>
      </c>
      <c r="E16" s="1006">
        <f t="shared" si="0"/>
        <v>0.8</v>
      </c>
      <c r="F16" s="1006">
        <f>IFERROR($E16*(VLOOKUP(C16,fish_group_yield_n!$A$7:$J$49,7,FALSE)),0)</f>
        <v>1.0766290247792853E-2</v>
      </c>
      <c r="G16" s="1006">
        <f>IFERROR($E16*(VLOOKUP(C16,fish_group_yield_n!$A$7:$J$49,10,FALSE)),0)</f>
        <v>1.0235774863794725E-2</v>
      </c>
      <c r="H16" s="1619">
        <f t="shared" si="1"/>
        <v>2748.75</v>
      </c>
      <c r="I16" s="997">
        <f>IF(ISERROR($E16*VLOOKUP($C16,fish_group_yield_w!$A$7:$I$45,9,FALSE)),0,$E16*VLOOKUP($C16,fish_group_yield_w!$A$7:$I$45,9,FALSE))</f>
        <v>5.8897937543850786E-3</v>
      </c>
      <c r="J16" s="998">
        <f>IF(ISERROR($E16*VLOOKUP($C16,fish_group_yield_w!$A$7:$I$45,9,FALSE)),0,$E16*VLOOKUP($C16,fish_group_yield_w!$A$7:$I$45,9,FALSE))</f>
        <v>5.8897937543850786E-3</v>
      </c>
      <c r="L16" s="1586"/>
      <c r="M16" s="1586"/>
      <c r="N16" s="889"/>
    </row>
    <row r="17" spans="1:14" ht="12">
      <c r="A17" s="1348" t="s">
        <v>8625</v>
      </c>
      <c r="B17" s="1618">
        <v>302.42</v>
      </c>
      <c r="C17" s="1348" t="s">
        <v>104</v>
      </c>
      <c r="D17" s="1348" t="s">
        <v>4859</v>
      </c>
      <c r="E17" s="1006">
        <f t="shared" si="0"/>
        <v>0.70765717226627223</v>
      </c>
      <c r="F17" s="1006">
        <f>IFERROR($E17*(VLOOKUP(C17,fish_group_yield_n!$A$7:$J$49,7,FALSE)),0)</f>
        <v>0.35424105012890406</v>
      </c>
      <c r="G17" s="1006">
        <f>IFERROR($E17*(VLOOKUP(C17,fish_group_yield_n!$A$7:$J$49,10,FALSE)),0)</f>
        <v>0.28843185966581592</v>
      </c>
      <c r="H17" s="1619">
        <f t="shared" si="1"/>
        <v>39.567181818181808</v>
      </c>
      <c r="I17" s="997">
        <f>IF(ISERROR($E17*VLOOKUP($C17,fish_group_yield_w!$A$7:$I$45,9,FALSE)),0,$E17*VLOOKUP($C17,fish_group_yield_w!$A$7:$I$45,9,FALSE))</f>
        <v>0</v>
      </c>
      <c r="J17" s="998">
        <f>IF(ISERROR($E17*VLOOKUP($C17,fish_group_yield_w!$A$7:$I$45,9,FALSE)),0,$E17*VLOOKUP($C17,fish_group_yield_w!$A$7:$I$45,9,FALSE))</f>
        <v>0</v>
      </c>
      <c r="L17" s="1586"/>
      <c r="M17" s="1586"/>
      <c r="N17" s="889"/>
    </row>
    <row r="18" spans="1:14" ht="12">
      <c r="A18" s="995" t="s">
        <v>6233</v>
      </c>
      <c r="B18" s="1599">
        <v>1604.16</v>
      </c>
      <c r="C18" s="996" t="s">
        <v>104</v>
      </c>
      <c r="D18" s="996" t="s">
        <v>4859</v>
      </c>
      <c r="E18" s="1006">
        <f t="shared" si="0"/>
        <v>0.43478260869565222</v>
      </c>
      <c r="F18" s="1006">
        <f>IFERROR($E18*(VLOOKUP(C18,fish_group_yield_n!$A$7:$J$49,7,FALSE)),0)</f>
        <v>0.21764472108562122</v>
      </c>
      <c r="G18" s="1006">
        <f>IFERROR($E18*(VLOOKUP(C18,fish_group_yield_n!$A$7:$J$49,10,FALSE)),0)</f>
        <v>0.17721173654586397</v>
      </c>
      <c r="H18" s="1619">
        <f t="shared" si="1"/>
        <v>5641.9</v>
      </c>
      <c r="I18" s="997">
        <f>IF(ISERROR($E18*VLOOKUP($C18,fish_group_yield_w!$A$7:$I$45,9,FALSE)),0,$E18*VLOOKUP($C18,fish_group_yield_w!$A$7:$I$45,9,FALSE))</f>
        <v>0</v>
      </c>
      <c r="J18" s="998">
        <f>IF(ISERROR($E18*VLOOKUP($C18,fish_group_yield_w!$A$7:$I$45,9,FALSE)),0,$E18*VLOOKUP($C18,fish_group_yield_w!$A$7:$I$45,9,FALSE))</f>
        <v>0</v>
      </c>
      <c r="L18" s="1586"/>
      <c r="M18" s="1586"/>
      <c r="N18" s="889"/>
    </row>
    <row r="19" spans="1:14" ht="12">
      <c r="A19" s="995" t="s">
        <v>897</v>
      </c>
      <c r="B19" s="1599">
        <v>305.63</v>
      </c>
      <c r="C19" s="996" t="s">
        <v>104</v>
      </c>
      <c r="D19" s="996" t="s">
        <v>4859</v>
      </c>
      <c r="E19" s="1006">
        <f t="shared" si="0"/>
        <v>0.54347826086956519</v>
      </c>
      <c r="F19" s="1006">
        <f>IFERROR($E19*(VLOOKUP(C19,fish_group_yield_n!$A$7:$J$49,7,FALSE)),0)</f>
        <v>0.27205590135702645</v>
      </c>
      <c r="G19" s="1006">
        <f>IFERROR($E19*(VLOOKUP(C19,fish_group_yield_n!$A$7:$J$49,10,FALSE)),0)</f>
        <v>0.22151467068232994</v>
      </c>
      <c r="H19" s="1619">
        <f t="shared" si="1"/>
        <v>1935.68</v>
      </c>
      <c r="I19" s="997">
        <f>IF(ISERROR($E19*VLOOKUP($C19,fish_group_yield_w!$A$7:$I$45,9,FALSE)),0,$E19*VLOOKUP($C19,fish_group_yield_w!$A$7:$I$45,9,FALSE))</f>
        <v>0</v>
      </c>
      <c r="J19" s="998">
        <f>IF(ISERROR($E19*VLOOKUP($C19,fish_group_yield_w!$A$7:$I$45,9,FALSE)),0,$E19*VLOOKUP($C19,fish_group_yield_w!$A$7:$I$45,9,FALSE))</f>
        <v>0</v>
      </c>
      <c r="L19" s="1586"/>
      <c r="M19" s="1586"/>
      <c r="N19" s="889"/>
    </row>
    <row r="20" spans="1:14" ht="12">
      <c r="A20" s="1348" t="s">
        <v>8626</v>
      </c>
      <c r="B20" s="1618">
        <v>302.14</v>
      </c>
      <c r="C20" s="1348" t="s">
        <v>3933</v>
      </c>
      <c r="D20" s="1348" t="s">
        <v>4845</v>
      </c>
      <c r="E20" s="1006">
        <f t="shared" si="0"/>
        <v>0.68887378200770455</v>
      </c>
      <c r="F20" s="1006">
        <f>IFERROR($E20*(VLOOKUP(C20,fish_group_yield_n!$A$7:$J$49,7,FALSE)),0)</f>
        <v>4.6403862671948966E-2</v>
      </c>
      <c r="G20" s="1006">
        <f>IFERROR($E20*(VLOOKUP(C20,fish_group_yield_n!$A$7:$J$49,10,FALSE)),0)</f>
        <v>2.0161997636001149E-2</v>
      </c>
      <c r="H20" s="1619">
        <f t="shared" si="1"/>
        <v>126346.80296052631</v>
      </c>
      <c r="I20" s="997">
        <f>IF(ISERROR($E20*VLOOKUP($C20,fish_group_yield_w!$A$7:$I$45,9,FALSE)),0,$E20*VLOOKUP($C20,fish_group_yield_w!$A$7:$I$45,9,FALSE))</f>
        <v>0.26178276498742109</v>
      </c>
      <c r="J20" s="998">
        <f>IF(ISERROR($E20*VLOOKUP($C20,fish_group_yield_w!$A$7:$I$45,9,FALSE)),0,$E20*VLOOKUP($C20,fish_group_yield_w!$A$7:$I$45,9,FALSE))</f>
        <v>0.26178276498742109</v>
      </c>
      <c r="L20" s="1586"/>
      <c r="M20" s="1586"/>
      <c r="N20" s="889"/>
    </row>
    <row r="21" spans="1:14" ht="12">
      <c r="A21" s="995" t="s">
        <v>6234</v>
      </c>
      <c r="B21" s="1599">
        <v>303.22000000000003</v>
      </c>
      <c r="C21" s="996" t="s">
        <v>3933</v>
      </c>
      <c r="D21" s="996" t="s">
        <v>4845</v>
      </c>
      <c r="E21" s="1006">
        <f t="shared" si="0"/>
        <v>0.69484655471916612</v>
      </c>
      <c r="F21" s="1006">
        <f>IFERROR($E21*(VLOOKUP(C21,fish_group_yield_n!$A$7:$J$49,7,FALSE)),0)</f>
        <v>4.6806200127535752E-2</v>
      </c>
      <c r="G21" s="1006">
        <f>IFERROR($E21*(VLOOKUP(C21,fish_group_yield_n!$A$7:$J$49,10,FALSE)),0)</f>
        <v>2.0336809092662906E-2</v>
      </c>
      <c r="H21" s="1619">
        <f t="shared" si="1"/>
        <v>0</v>
      </c>
      <c r="I21" s="997">
        <f>IF(ISERROR($E21*VLOOKUP($C21,fish_group_yield_w!$A$7:$I$45,9,FALSE)),0,$E21*VLOOKUP($C21,fish_group_yield_w!$A$7:$I$45,9,FALSE))</f>
        <v>0.26405251163170601</v>
      </c>
      <c r="J21" s="998">
        <f>IF(ISERROR($E21*VLOOKUP($C21,fish_group_yield_w!$A$7:$I$45,9,FALSE)),0,$E21*VLOOKUP($C21,fish_group_yield_w!$A$7:$I$45,9,FALSE))</f>
        <v>0.26405251163170601</v>
      </c>
      <c r="L21" s="1586"/>
      <c r="M21" s="1586"/>
      <c r="N21" s="889"/>
    </row>
    <row r="22" spans="1:14" ht="12">
      <c r="A22" s="1587" t="s">
        <v>6234</v>
      </c>
      <c r="B22" s="1587">
        <v>303.13</v>
      </c>
      <c r="C22" s="996" t="s">
        <v>3933</v>
      </c>
      <c r="D22" s="996" t="s">
        <v>4845</v>
      </c>
      <c r="E22" s="1006">
        <f t="shared" si="0"/>
        <v>0</v>
      </c>
      <c r="F22" s="1006">
        <f>IFERROR($E22*(VLOOKUP(C22,fish_group_yield_n!$A$7:$J$49,7,FALSE)),0)</f>
        <v>0</v>
      </c>
      <c r="G22" s="1006">
        <f>IFERROR($E22*(VLOOKUP(C22,fish_group_yield_n!$A$7:$J$49,10,FALSE)),0)</f>
        <v>0</v>
      </c>
      <c r="H22" s="1619">
        <f t="shared" si="1"/>
        <v>0</v>
      </c>
      <c r="I22" s="997">
        <f>IF(ISERROR($E22*VLOOKUP($C22,fish_group_yield_w!$A$7:$I$45,9,FALSE)),0,$E22*VLOOKUP($C22,fish_group_yield_w!$A$7:$I$45,9,FALSE))</f>
        <v>0</v>
      </c>
      <c r="J22" s="998">
        <f>IF(ISERROR($E22*VLOOKUP($C22,fish_group_yield_w!$A$7:$I$45,9,FALSE)),0,$E22*VLOOKUP($C22,fish_group_yield_w!$A$7:$I$45,9,FALSE))</f>
        <v>0</v>
      </c>
      <c r="L22" s="1586"/>
      <c r="M22" s="1586"/>
      <c r="N22" s="889"/>
    </row>
    <row r="23" spans="1:14" ht="12">
      <c r="A23" s="995" t="s">
        <v>3827</v>
      </c>
      <c r="B23" s="1599">
        <v>302.33999999999997</v>
      </c>
      <c r="C23" s="996" t="s">
        <v>2969</v>
      </c>
      <c r="D23" s="996" t="s">
        <v>4859</v>
      </c>
      <c r="E23" s="1006">
        <f t="shared" si="0"/>
        <v>0.84459459459459463</v>
      </c>
      <c r="F23" s="1006">
        <f>IFERROR($E23*(VLOOKUP(C23,fish_group_yield_n!$A$7:$J$49,7,FALSE)),0)</f>
        <v>1.1366438183902927E-2</v>
      </c>
      <c r="G23" s="1006">
        <f>IFERROR($E23*(VLOOKUP(C23,fish_group_yield_n!$A$7:$J$49,10,FALSE)),0)</f>
        <v>1.0806350151810308E-2</v>
      </c>
      <c r="H23" s="1619">
        <f t="shared" si="1"/>
        <v>4765.5999999999995</v>
      </c>
      <c r="I23" s="997">
        <f>IF(ISERROR($E23*VLOOKUP($C23,fish_group_yield_w!$A$7:$I$45,9,FALSE)),0,$E23*VLOOKUP($C23,fish_group_yield_w!$A$7:$I$45,9,FALSE))</f>
        <v>6.2181099602883006E-3</v>
      </c>
      <c r="J23" s="998">
        <f>IF(ISERROR($E23*VLOOKUP($C23,fish_group_yield_w!$A$7:$I$45,9,FALSE)),0,$E23*VLOOKUP($C23,fish_group_yield_w!$A$7:$I$45,9,FALSE))</f>
        <v>6.2181099602883006E-3</v>
      </c>
      <c r="L23" s="1586"/>
      <c r="M23" s="1586"/>
      <c r="N23" s="889"/>
    </row>
    <row r="24" spans="1:14" ht="12">
      <c r="A24" s="995" t="s">
        <v>6235</v>
      </c>
      <c r="B24" s="1599">
        <v>303.44</v>
      </c>
      <c r="C24" s="996" t="s">
        <v>2969</v>
      </c>
      <c r="D24" s="996" t="s">
        <v>4859</v>
      </c>
      <c r="E24" s="1006">
        <f t="shared" si="0"/>
        <v>0.81103000811030002</v>
      </c>
      <c r="F24" s="1006">
        <f>IFERROR($E24*(VLOOKUP(C24,fish_group_yield_n!$A$7:$J$49,7,FALSE)),0)</f>
        <v>1.09147305837316E-2</v>
      </c>
      <c r="G24" s="1006">
        <f>IFERROR($E24*(VLOOKUP(C24,fish_group_yield_n!$A$7:$J$49,10,FALSE)),0)</f>
        <v>1.03769007134983E-2</v>
      </c>
      <c r="H24" s="1619">
        <f t="shared" si="1"/>
        <v>598.005</v>
      </c>
      <c r="I24" s="997">
        <f>IF(ISERROR($E24*VLOOKUP($C24,fish_group_yield_w!$A$7:$I$45,9,FALSE)),0,$E24*VLOOKUP($C24,fish_group_yield_w!$A$7:$I$45,9,FALSE))</f>
        <v>5.970999345483655E-3</v>
      </c>
      <c r="J24" s="998">
        <f>IF(ISERROR($E24*VLOOKUP($C24,fish_group_yield_w!$A$7:$I$45,9,FALSE)),0,$E24*VLOOKUP($C24,fish_group_yield_w!$A$7:$I$45,9,FALSE))</f>
        <v>5.970999345483655E-3</v>
      </c>
      <c r="L24" s="1586"/>
      <c r="M24" s="1586"/>
      <c r="N24" s="889"/>
    </row>
    <row r="25" spans="1:14" ht="12">
      <c r="A25" s="1348" t="s">
        <v>8627</v>
      </c>
      <c r="B25" s="1618">
        <v>302.56</v>
      </c>
      <c r="C25" s="1348" t="s">
        <v>5366</v>
      </c>
      <c r="D25" s="1348" t="s">
        <v>4841</v>
      </c>
      <c r="E25" s="1006">
        <f t="shared" si="0"/>
        <v>1</v>
      </c>
      <c r="F25" s="1006">
        <f>IFERROR($E25*(VLOOKUP(C25,fish_group_yield_n!$A$7:$J$49,7,FALSE)),0)</f>
        <v>1.3599749627385912E-2</v>
      </c>
      <c r="G25" s="1006">
        <f>IFERROR($E25*(VLOOKUP(C25,fish_group_yield_n!$A$7:$J$49,10,FALSE)),0)</f>
        <v>1.9156999824281797E-2</v>
      </c>
      <c r="H25" s="1619">
        <f t="shared" si="1"/>
        <v>0</v>
      </c>
      <c r="I25" s="997">
        <f>IF(ISERROR($E25*VLOOKUP($C25,fish_group_yield_w!$A$7:$I$45,9,FALSE)),0,$E25*VLOOKUP($C25,fish_group_yield_w!$A$7:$I$45,9,FALSE))</f>
        <v>1.6364484341320647E-3</v>
      </c>
      <c r="J25" s="998">
        <f>IF(ISERROR($E25*VLOOKUP($C25,fish_group_yield_w!$A$7:$I$45,9,FALSE)),0,$E25*VLOOKUP($C25,fish_group_yield_w!$A$7:$I$45,9,FALSE))</f>
        <v>1.6364484341320647E-3</v>
      </c>
      <c r="L25" s="1586"/>
      <c r="M25" s="1586"/>
      <c r="N25" s="889"/>
    </row>
    <row r="26" spans="1:14" ht="12">
      <c r="A26" s="1348" t="s">
        <v>8628</v>
      </c>
      <c r="B26" s="1618">
        <v>303.68</v>
      </c>
      <c r="C26" s="1348" t="s">
        <v>5366</v>
      </c>
      <c r="D26" s="1348" t="s">
        <v>4841</v>
      </c>
      <c r="E26" s="1006">
        <f t="shared" si="0"/>
        <v>1</v>
      </c>
      <c r="F26" s="1006">
        <f>IFERROR($E26*(VLOOKUP(C26,fish_group_yield_n!$A$7:$J$49,7,FALSE)),0)</f>
        <v>1.3599749627385912E-2</v>
      </c>
      <c r="G26" s="1006">
        <f>IFERROR($E26*(VLOOKUP(C26,fish_group_yield_n!$A$7:$J$49,10,FALSE)),0)</f>
        <v>1.9156999824281797E-2</v>
      </c>
      <c r="H26" s="1619">
        <f t="shared" si="1"/>
        <v>22</v>
      </c>
      <c r="I26" s="997">
        <f>IF(ISERROR($E26*VLOOKUP($C26,fish_group_yield_w!$A$7:$I$45,9,FALSE)),0,$E26*VLOOKUP($C26,fish_group_yield_w!$A$7:$I$45,9,FALSE))</f>
        <v>1.6364484341320647E-3</v>
      </c>
      <c r="J26" s="998">
        <f>IF(ISERROR($E26*VLOOKUP($C26,fish_group_yield_w!$A$7:$I$45,9,FALSE)),0,$E26*VLOOKUP($C26,fish_group_yield_w!$A$7:$I$45,9,FALSE))</f>
        <v>1.6364484341320647E-3</v>
      </c>
      <c r="L26" s="1586"/>
      <c r="M26" s="1586"/>
      <c r="N26" s="889"/>
    </row>
    <row r="27" spans="1:14" ht="12">
      <c r="A27" s="995" t="s">
        <v>6236</v>
      </c>
      <c r="B27" s="1599">
        <v>302.35000000000002</v>
      </c>
      <c r="C27" s="996" t="s">
        <v>2969</v>
      </c>
      <c r="D27" s="996" t="s">
        <v>4859</v>
      </c>
      <c r="E27" s="1006">
        <f t="shared" si="0"/>
        <v>0.50388410665546934</v>
      </c>
      <c r="F27" s="1006">
        <f>IFERROR($E27*(VLOOKUP(C27,fish_group_yield_n!$A$7:$J$49,7,FALSE)),0)</f>
        <v>6.781203179378241E-3</v>
      </c>
      <c r="G27" s="1006">
        <f>IFERROR($E27*(VLOOKUP(C27,fish_group_yield_n!$A$7:$J$49,10,FALSE)),0)</f>
        <v>6.4470553414621408E-3</v>
      </c>
      <c r="H27" s="1619">
        <f t="shared" si="1"/>
        <v>1289.9791666666665</v>
      </c>
      <c r="I27" s="997">
        <f>IF(ISERROR($E27*VLOOKUP($C27,fish_group_yield_w!$A$7:$I$45,9,FALSE)),0,$E27*VLOOKUP($C27,fish_group_yield_w!$A$7:$I$45,9,FALSE))</f>
        <v>3.7097168303916097E-3</v>
      </c>
      <c r="J27" s="998">
        <f>IF(ISERROR($E27*VLOOKUP($C27,fish_group_yield_w!$A$7:$I$45,9,FALSE)),0,$E27*VLOOKUP($C27,fish_group_yield_w!$A$7:$I$45,9,FALSE))</f>
        <v>3.7097168303916097E-3</v>
      </c>
      <c r="L27" s="1586"/>
      <c r="M27" s="1586"/>
      <c r="N27" s="889"/>
    </row>
    <row r="28" spans="1:14" ht="12">
      <c r="A28" s="995" t="s">
        <v>6237</v>
      </c>
      <c r="B28" s="1599">
        <v>303.45</v>
      </c>
      <c r="C28" s="996" t="s">
        <v>2969</v>
      </c>
      <c r="D28" s="996" t="s">
        <v>4859</v>
      </c>
      <c r="E28" s="1006">
        <f t="shared" si="0"/>
        <v>0.54945054945054939</v>
      </c>
      <c r="F28" s="1006">
        <f>IFERROR($E28*(VLOOKUP(C28,fish_group_yield_n!$A$7:$J$49,7,FALSE)),0)</f>
        <v>7.394430115242343E-3</v>
      </c>
      <c r="G28" s="1006">
        <f>IFERROR($E28*(VLOOKUP(C28,fish_group_yield_n!$A$7:$J$49,10,FALSE)),0)</f>
        <v>7.0300651537051661E-3</v>
      </c>
      <c r="H28" s="1619">
        <f t="shared" si="1"/>
        <v>711.62000000000012</v>
      </c>
      <c r="I28" s="997">
        <f>IF(ISERROR($E28*VLOOKUP($C28,fish_group_yield_w!$A$7:$I$45,9,FALSE)),0,$E28*VLOOKUP($C28,fish_group_yield_w!$A$7:$I$45,9,FALSE))</f>
        <v>4.0451880181216187E-3</v>
      </c>
      <c r="J28" s="998">
        <f>IF(ISERROR($E28*VLOOKUP($C28,fish_group_yield_w!$A$7:$I$45,9,FALSE)),0,$E28*VLOOKUP($C28,fish_group_yield_w!$A$7:$I$45,9,FALSE))</f>
        <v>4.0451880181216187E-3</v>
      </c>
      <c r="L28" s="1586"/>
      <c r="M28" s="1586"/>
      <c r="N28" s="889"/>
    </row>
    <row r="29" spans="1:14" ht="12">
      <c r="A29" s="995" t="s">
        <v>6238</v>
      </c>
      <c r="B29" s="1599">
        <v>301.94</v>
      </c>
      <c r="C29" s="996" t="s">
        <v>2969</v>
      </c>
      <c r="D29" s="996" t="s">
        <v>4859</v>
      </c>
      <c r="E29" s="1006">
        <f t="shared" si="0"/>
        <v>1</v>
      </c>
      <c r="F29" s="1006">
        <f>IFERROR($E29*(VLOOKUP(C29,fish_group_yield_n!$A$7:$J$49,7,FALSE)),0)</f>
        <v>1.3457862809741065E-2</v>
      </c>
      <c r="G29" s="1006">
        <f>IFERROR($E29*(VLOOKUP(C29,fish_group_yield_n!$A$7:$J$49,10,FALSE)),0)</f>
        <v>1.2794718579743404E-2</v>
      </c>
      <c r="H29" s="1619">
        <f t="shared" si="1"/>
        <v>1</v>
      </c>
      <c r="I29" s="997">
        <f>IF(ISERROR($E29*VLOOKUP($C29,fish_group_yield_w!$A$7:$I$45,9,FALSE)),0,$E29*VLOOKUP($C29,fish_group_yield_w!$A$7:$I$45,9,FALSE))</f>
        <v>7.3622421929813477E-3</v>
      </c>
      <c r="J29" s="998">
        <f>IF(ISERROR($E29*VLOOKUP($C29,fish_group_yield_w!$A$7:$I$45,9,FALSE)),0,$E29*VLOOKUP($C29,fish_group_yield_w!$A$7:$I$45,9,FALSE))</f>
        <v>7.3622421929813477E-3</v>
      </c>
      <c r="L29" s="1586"/>
      <c r="M29" s="1586"/>
      <c r="N29" s="889"/>
    </row>
    <row r="30" spans="1:14" ht="12">
      <c r="A30" s="1348" t="s">
        <v>8629</v>
      </c>
      <c r="B30" s="1618">
        <v>302.73</v>
      </c>
      <c r="C30" s="1348" t="s">
        <v>5365</v>
      </c>
      <c r="D30" s="1348" t="s">
        <v>4845</v>
      </c>
      <c r="E30" s="1006">
        <f t="shared" si="0"/>
        <v>0.68887378200770455</v>
      </c>
      <c r="F30" s="1006">
        <f>IFERROR($E30*(VLOOKUP(C30,fish_group_yield_n!$A$7:$J$49,7,FALSE)),0)</f>
        <v>1.7995890252805316</v>
      </c>
      <c r="G30" s="1006">
        <f>IFERROR($E30*(VLOOKUP(C30,fish_group_yield_n!$A$7:$J$49,10,FALSE)),0)</f>
        <v>0.87538262709311898</v>
      </c>
      <c r="H30" s="1619">
        <f t="shared" si="1"/>
        <v>0</v>
      </c>
      <c r="I30" s="997">
        <f>IF(ISERROR($E30*VLOOKUP($C30,fish_group_yield_w!$A$7:$I$45,9,FALSE)),0,$E30*VLOOKUP($C30,fish_group_yield_w!$A$7:$I$45,9,FALSE))</f>
        <v>0.40158401487501716</v>
      </c>
      <c r="J30" s="998">
        <f>IF(ISERROR($E30*VLOOKUP($C30,fish_group_yield_w!$A$7:$I$45,9,FALSE)),0,$E30*VLOOKUP($C30,fish_group_yield_w!$A$7:$I$45,9,FALSE))</f>
        <v>0.40158401487501716</v>
      </c>
      <c r="L30" s="1586"/>
      <c r="M30" s="1586"/>
      <c r="N30" s="889"/>
    </row>
    <row r="31" spans="1:14" ht="12">
      <c r="A31" s="1348" t="s">
        <v>8630</v>
      </c>
      <c r="B31" s="1618">
        <v>303.25</v>
      </c>
      <c r="C31" s="1348" t="s">
        <v>5365</v>
      </c>
      <c r="D31" s="1348" t="s">
        <v>4845</v>
      </c>
      <c r="E31" s="1006">
        <f t="shared" si="0"/>
        <v>0.63393725080427155</v>
      </c>
      <c r="F31" s="1006">
        <f>IFERROR($E31*(VLOOKUP(C31,fish_group_yield_n!$A$7:$J$49,7,FALSE)),0)</f>
        <v>1.6560748123393083</v>
      </c>
      <c r="G31" s="1006">
        <f>IFERROR($E31*(VLOOKUP(C31,fish_group_yield_n!$A$7:$J$49,10,FALSE)),0)</f>
        <v>0.805572327638717</v>
      </c>
      <c r="H31" s="1619">
        <f t="shared" si="1"/>
        <v>197.18039891395154</v>
      </c>
      <c r="I31" s="997">
        <f>IF(ISERROR($E31*VLOOKUP($C31,fish_group_yield_w!$A$7:$I$45,9,FALSE)),0,$E31*VLOOKUP($C31,fish_group_yield_w!$A$7:$I$45,9,FALSE))</f>
        <v>0.36955836178704038</v>
      </c>
      <c r="J31" s="998">
        <f>IF(ISERROR($E31*VLOOKUP($C31,fish_group_yield_w!$A$7:$I$45,9,FALSE)),0,$E31*VLOOKUP($C31,fish_group_yield_w!$A$7:$I$45,9,FALSE))</f>
        <v>0.36955836178704038</v>
      </c>
      <c r="L31" s="1586"/>
      <c r="M31" s="1586"/>
      <c r="N31" s="889"/>
    </row>
    <row r="32" spans="1:14" ht="12">
      <c r="A32" s="995" t="s">
        <v>6239</v>
      </c>
      <c r="B32" s="1599">
        <v>301.93</v>
      </c>
      <c r="C32" s="996" t="s">
        <v>5365</v>
      </c>
      <c r="D32" s="996" t="s">
        <v>4845</v>
      </c>
      <c r="E32" s="1006">
        <f t="shared" si="0"/>
        <v>1</v>
      </c>
      <c r="F32" s="1006">
        <f>IFERROR($E32*(VLOOKUP(C32,fish_group_yield_n!$A$7:$J$49,7,FALSE)),0)</f>
        <v>2.6123639370272977</v>
      </c>
      <c r="G32" s="1006">
        <f>IFERROR($E32*(VLOOKUP(C32,fish_group_yield_n!$A$7:$J$49,10,FALSE)),0)</f>
        <v>1.2707445833427413</v>
      </c>
      <c r="H32" s="1619">
        <f t="shared" si="1"/>
        <v>0</v>
      </c>
      <c r="I32" s="997">
        <f>IF(ISERROR($E32*VLOOKUP($C32,fish_group_yield_w!$A$7:$I$45,9,FALSE)),0,$E32*VLOOKUP($C32,fish_group_yield_w!$A$7:$I$45,9,FALSE))</f>
        <v>0.58295732159324032</v>
      </c>
      <c r="J32" s="998">
        <f>IF(ISERROR($E32*VLOOKUP($C32,fish_group_yield_w!$A$7:$I$45,9,FALSE)),0,$E32*VLOOKUP($C32,fish_group_yield_w!$A$7:$I$45,9,FALSE))</f>
        <v>0.58295732159324032</v>
      </c>
      <c r="L32" s="1586"/>
      <c r="M32" s="1586"/>
      <c r="N32" s="889"/>
    </row>
    <row r="33" spans="1:14" ht="12">
      <c r="A33" s="1348" t="s">
        <v>8618</v>
      </c>
      <c r="B33" s="1618">
        <v>304.39</v>
      </c>
      <c r="C33" s="1348" t="s">
        <v>5365</v>
      </c>
      <c r="D33" s="1348" t="s">
        <v>4845</v>
      </c>
      <c r="E33" s="1006">
        <f t="shared" si="0"/>
        <v>0.50820469632624188</v>
      </c>
      <c r="F33" s="1006">
        <f>IFERROR($E33*(VLOOKUP(C33,fish_group_yield_n!$A$7:$J$49,7,FALSE)),0)</f>
        <v>1.3276156213105834</v>
      </c>
      <c r="G33" s="1006">
        <f>IFERROR($E33*(VLOOKUP(C33,fish_group_yield_n!$A$7:$J$49,10,FALSE)),0)</f>
        <v>0.64579836508591459</v>
      </c>
      <c r="H33" s="1619">
        <f t="shared" si="1"/>
        <v>169.22315087145972</v>
      </c>
      <c r="I33" s="997">
        <f>IF(ISERROR($E33*VLOOKUP($C33,fish_group_yield_w!$A$7:$I$45,9,FALSE)),0,$E33*VLOOKUP($C33,fish_group_yield_w!$A$7:$I$45,9,FALSE))</f>
        <v>0.29626164859145204</v>
      </c>
      <c r="J33" s="998">
        <f>IF(ISERROR($E33*VLOOKUP($C33,fish_group_yield_w!$A$7:$I$45,9,FALSE)),0,$E33*VLOOKUP($C33,fish_group_yield_w!$A$7:$I$45,9,FALSE))</f>
        <v>0.29626164859145204</v>
      </c>
      <c r="L33" s="1586"/>
      <c r="M33" s="1586"/>
      <c r="N33" s="889"/>
    </row>
    <row r="34" spans="1:14" ht="12">
      <c r="A34" s="1348" t="s">
        <v>8633</v>
      </c>
      <c r="B34" s="1618">
        <v>304.69</v>
      </c>
      <c r="C34" s="1348" t="s">
        <v>5365</v>
      </c>
      <c r="D34" s="1348" t="s">
        <v>4845</v>
      </c>
      <c r="E34" s="1006">
        <f t="shared" si="0"/>
        <v>0.50820469632624188</v>
      </c>
      <c r="F34" s="1006">
        <f>IFERROR($E34*(VLOOKUP(C34,fish_group_yield_n!$A$7:$J$49,7,FALSE)),0)</f>
        <v>1.3276156213105834</v>
      </c>
      <c r="G34" s="1006">
        <f>IFERROR($E34*(VLOOKUP(C34,fish_group_yield_n!$A$7:$J$49,10,FALSE)),0)</f>
        <v>0.64579836508591459</v>
      </c>
      <c r="H34" s="1619">
        <f t="shared" si="1"/>
        <v>2941.7280296840963</v>
      </c>
      <c r="I34" s="997">
        <f>IF(ISERROR($E34*VLOOKUP($C34,fish_group_yield_w!$A$7:$I$45,9,FALSE)),0,$E34*VLOOKUP($C34,fish_group_yield_w!$A$7:$I$45,9,FALSE))</f>
        <v>0.29626164859145204</v>
      </c>
      <c r="J34" s="998">
        <f>IF(ISERROR($E34*VLOOKUP($C34,fish_group_yield_w!$A$7:$I$45,9,FALSE)),0,$E34*VLOOKUP($C34,fish_group_yield_w!$A$7:$I$45,9,FALSE))</f>
        <v>0.29626164859145204</v>
      </c>
      <c r="L34" s="1586"/>
      <c r="M34" s="1586"/>
      <c r="N34" s="889"/>
    </row>
    <row r="35" spans="1:14" ht="12">
      <c r="A35" s="1348" t="s">
        <v>8642</v>
      </c>
      <c r="B35" s="1618">
        <v>302.72000000000003</v>
      </c>
      <c r="C35" s="1348" t="s">
        <v>1806</v>
      </c>
      <c r="D35" s="1348" t="s">
        <v>4841</v>
      </c>
      <c r="E35" s="1006">
        <f t="shared" si="0"/>
        <v>0.50820469632624188</v>
      </c>
      <c r="F35" s="1006">
        <f>IFERROR($E35*(VLOOKUP(C35,fish_group_yield_n!$A$7:$J$49,7,FALSE)),0)</f>
        <v>5.2619654448995384E-2</v>
      </c>
      <c r="G35" s="1006">
        <f>IFERROR($E35*(VLOOKUP(C35,fish_group_yield_n!$A$7:$J$49,10,FALSE)),0)</f>
        <v>6.557211209160925E-2</v>
      </c>
      <c r="H35" s="1619">
        <f t="shared" si="1"/>
        <v>13.773977396514162</v>
      </c>
      <c r="I35" s="997">
        <f>IF(ISERROR($E35*VLOOKUP($C35,fish_group_yield_w!$A$7:$I$45,9,FALSE)),0,$E35*VLOOKUP($C35,fish_group_yield_w!$A$7:$I$45,9,FALSE))</f>
        <v>0.12786753833873774</v>
      </c>
      <c r="J35" s="998">
        <f>IF(ISERROR($E35*VLOOKUP($C35,fish_group_yield_w!$A$7:$I$45,9,FALSE)),0,$E35*VLOOKUP($C35,fish_group_yield_w!$A$7:$I$45,9,FALSE))</f>
        <v>0.12786753833873774</v>
      </c>
      <c r="L35" s="1586"/>
      <c r="M35" s="1586"/>
      <c r="N35" s="889"/>
    </row>
    <row r="36" spans="1:14" ht="12">
      <c r="A36" s="1348" t="s">
        <v>8621</v>
      </c>
      <c r="B36" s="1618">
        <v>304.32</v>
      </c>
      <c r="C36" s="1348" t="s">
        <v>1806</v>
      </c>
      <c r="D36" s="1348"/>
      <c r="E36" s="1006">
        <f t="shared" si="0"/>
        <v>0.50820469632624188</v>
      </c>
      <c r="F36" s="1006">
        <f>IFERROR($E36*(VLOOKUP(C36,fish_group_yield_n!$A$7:$J$49,7,FALSE)),0)</f>
        <v>5.2619654448995384E-2</v>
      </c>
      <c r="G36" s="1006">
        <f>IFERROR($E36*(VLOOKUP(C36,fish_group_yield_n!$A$7:$J$49,10,FALSE)),0)</f>
        <v>6.557211209160925E-2</v>
      </c>
      <c r="H36" s="1619">
        <f t="shared" si="1"/>
        <v>19090.732671568629</v>
      </c>
      <c r="I36" s="997">
        <f>IF(ISERROR($E36*VLOOKUP($C36,fish_group_yield_w!$A$7:$I$45,9,FALSE)),0,$E36*VLOOKUP($C36,fish_group_yield_w!$A$7:$I$45,9,FALSE))</f>
        <v>0.12786753833873774</v>
      </c>
      <c r="J36" s="998">
        <f>IF(ISERROR($E36*VLOOKUP($C36,fish_group_yield_w!$A$7:$I$45,9,FALSE)),0,$E36*VLOOKUP($C36,fish_group_yield_w!$A$7:$I$45,9,FALSE))</f>
        <v>0.12786753833873774</v>
      </c>
      <c r="L36" s="1586"/>
      <c r="M36" s="1586"/>
      <c r="N36" s="889"/>
    </row>
    <row r="37" spans="1:14" ht="12">
      <c r="A37" s="1348" t="s">
        <v>8634</v>
      </c>
      <c r="B37" s="1618">
        <v>304.62</v>
      </c>
      <c r="C37" s="1348" t="s">
        <v>1806</v>
      </c>
      <c r="D37" s="1348" t="s">
        <v>4841</v>
      </c>
      <c r="E37" s="1006">
        <f t="shared" si="0"/>
        <v>0.50820469632624188</v>
      </c>
      <c r="F37" s="1006">
        <f>IFERROR($E37*(VLOOKUP(C37,fish_group_yield_n!$A$7:$J$49,7,FALSE)),0)</f>
        <v>5.2619654448995384E-2</v>
      </c>
      <c r="G37" s="1006">
        <f>IFERROR($E37*(VLOOKUP(C37,fish_group_yield_n!$A$7:$J$49,10,FALSE)),0)</f>
        <v>6.557211209160925E-2</v>
      </c>
      <c r="H37" s="1619">
        <f t="shared" si="1"/>
        <v>214380.15191040307</v>
      </c>
      <c r="I37" s="997">
        <f>IF(ISERROR($E37*VLOOKUP($C37,fish_group_yield_w!$A$7:$I$45,9,FALSE)),0,$E37*VLOOKUP($C37,fish_group_yield_w!$A$7:$I$45,9,FALSE))</f>
        <v>0.12786753833873774</v>
      </c>
      <c r="J37" s="998">
        <f>IF(ISERROR($E37*VLOOKUP($C37,fish_group_yield_w!$A$7:$I$45,9,FALSE)),0,$E37*VLOOKUP($C37,fish_group_yield_w!$A$7:$I$45,9,FALSE))</f>
        <v>0.12786753833873774</v>
      </c>
      <c r="L37" s="1586"/>
      <c r="M37" s="1586"/>
      <c r="N37" s="889"/>
    </row>
    <row r="38" spans="1:14" ht="12">
      <c r="A38" s="1348" t="s">
        <v>8697</v>
      </c>
      <c r="B38" s="1618">
        <v>303.24</v>
      </c>
      <c r="C38" s="1348" t="s">
        <v>1806</v>
      </c>
      <c r="D38" s="1348" t="s">
        <v>4845</v>
      </c>
      <c r="E38" s="1006">
        <f t="shared" si="0"/>
        <v>0.5524861878453039</v>
      </c>
      <c r="F38" s="1006">
        <f>IFERROR($E38*(VLOOKUP(C38,fish_group_yield_n!$A$7:$J$49,7,FALSE)),0)</f>
        <v>5.7204572296199553E-2</v>
      </c>
      <c r="G38" s="1006">
        <f>IFERROR($E38*(VLOOKUP(C38,fish_group_yield_n!$A$7:$J$49,10,FALSE)),0)</f>
        <v>7.1285618768075681E-2</v>
      </c>
      <c r="H38" s="1619">
        <f t="shared" si="1"/>
        <v>778.3</v>
      </c>
      <c r="I38" s="997">
        <f>IF(ISERROR($E38*VLOOKUP($C38,fish_group_yield_w!$A$7:$I$45,9,FALSE)),0,$E38*VLOOKUP($C38,fish_group_yield_w!$A$7:$I$45,9,FALSE))</f>
        <v>0.13900904363265051</v>
      </c>
      <c r="J38" s="998">
        <f>IF(ISERROR($E38*VLOOKUP($C38,fish_group_yield_w!$A$7:$I$45,9,FALSE)),0,$E38*VLOOKUP($C38,fish_group_yield_w!$A$7:$I$45,9,FALSE))</f>
        <v>0.13900904363265051</v>
      </c>
      <c r="L38" s="1586"/>
      <c r="M38" s="1586"/>
      <c r="N38" s="889"/>
    </row>
    <row r="39" spans="1:14" ht="12">
      <c r="A39" s="1348" t="s">
        <v>8638</v>
      </c>
      <c r="B39" s="1618">
        <v>1604.31</v>
      </c>
      <c r="C39" s="1348" t="s">
        <v>1803</v>
      </c>
      <c r="D39" s="1348"/>
      <c r="E39" s="1006">
        <f t="shared" si="0"/>
        <v>0</v>
      </c>
      <c r="F39" s="1006">
        <f>IFERROR($E39*(VLOOKUP(C39,fish_group_yield_n!$A$7:$J$49,7,FALSE)),0)</f>
        <v>0</v>
      </c>
      <c r="G39" s="1006">
        <f>IFERROR($E39*(VLOOKUP(C39,fish_group_yield_n!$A$7:$J$49,10,FALSE)),0)</f>
        <v>0</v>
      </c>
      <c r="H39" s="1619">
        <f t="shared" si="1"/>
        <v>0</v>
      </c>
      <c r="I39" s="997">
        <f>IF(ISERROR($E39*VLOOKUP($C39,fish_group_yield_w!$A$7:$I$45,9,FALSE)),0,$E39*VLOOKUP($C39,fish_group_yield_w!$A$7:$I$45,9,FALSE))</f>
        <v>0</v>
      </c>
      <c r="J39" s="998">
        <f>IF(ISERROR($E39*VLOOKUP($C39,fish_group_yield_w!$A$7:$I$45,9,FALSE)),0,$E39*VLOOKUP($C39,fish_group_yield_w!$A$7:$I$45,9,FALSE))</f>
        <v>0</v>
      </c>
      <c r="L39" s="1586"/>
      <c r="M39" s="1586"/>
      <c r="N39" s="889"/>
    </row>
    <row r="40" spans="1:14" ht="12">
      <c r="A40" s="995" t="s">
        <v>5070</v>
      </c>
      <c r="B40" s="1599">
        <v>1604.3</v>
      </c>
      <c r="C40" s="1348" t="s">
        <v>1803</v>
      </c>
      <c r="D40" s="996"/>
      <c r="E40" s="1006">
        <f t="shared" si="0"/>
        <v>0</v>
      </c>
      <c r="F40" s="1006">
        <f>IFERROR($E40*(VLOOKUP(C40,fish_group_yield_n!$A$7:$J$49,7,FALSE)),0)</f>
        <v>0</v>
      </c>
      <c r="G40" s="1006">
        <f>IFERROR($E40*(VLOOKUP(C40,fish_group_yield_n!$A$7:$J$49,10,FALSE)),0)</f>
        <v>0</v>
      </c>
      <c r="H40" s="1619">
        <f t="shared" si="1"/>
        <v>0</v>
      </c>
      <c r="I40" s="997">
        <f>IF(ISERROR($E40*VLOOKUP($C40,fish_group_yield_w!$A$7:$I$45,9,FALSE)),0,$E40*VLOOKUP($C40,fish_group_yield_w!$A$7:$I$45,9,FALSE))</f>
        <v>0</v>
      </c>
      <c r="J40" s="998">
        <f>IF(ISERROR($E40*VLOOKUP($C40,fish_group_yield_w!$A$7:$I$45,9,FALSE)),0,$E40*VLOOKUP($C40,fish_group_yield_w!$A$7:$I$45,9,FALSE))</f>
        <v>0</v>
      </c>
      <c r="L40" s="1586"/>
      <c r="M40" s="1586"/>
      <c r="N40" s="889"/>
    </row>
    <row r="41" spans="1:14" ht="12">
      <c r="A41" s="1348" t="s">
        <v>8639</v>
      </c>
      <c r="B41" s="1618">
        <v>1604.32</v>
      </c>
      <c r="C41" s="1348" t="s">
        <v>1803</v>
      </c>
      <c r="D41" s="1348"/>
      <c r="E41" s="1006">
        <f t="shared" si="0"/>
        <v>0</v>
      </c>
      <c r="F41" s="1006">
        <f>IFERROR($E41*(VLOOKUP(C41,fish_group_yield_n!$A$7:$J$49,7,FALSE)),0)</f>
        <v>0</v>
      </c>
      <c r="G41" s="1006">
        <f>IFERROR($E41*(VLOOKUP(C41,fish_group_yield_n!$A$7:$J$49,10,FALSE)),0)</f>
        <v>0</v>
      </c>
      <c r="H41" s="1619">
        <f t="shared" si="1"/>
        <v>0</v>
      </c>
      <c r="I41" s="997">
        <f>IF(ISERROR($E41*VLOOKUP($C41,fish_group_yield_w!$A$7:$I$45,9,FALSE)),0,$E41*VLOOKUP($C41,fish_group_yield_w!$A$7:$I$45,9,FALSE))</f>
        <v>0</v>
      </c>
      <c r="J41" s="998">
        <f>IF(ISERROR($E41*VLOOKUP($C41,fish_group_yield_w!$A$7:$I$45,9,FALSE)),0,$E41*VLOOKUP($C41,fish_group_yield_w!$A$7:$I$45,9,FALSE))</f>
        <v>0</v>
      </c>
      <c r="L41" s="1586"/>
      <c r="M41" s="1586"/>
      <c r="N41" s="889"/>
    </row>
    <row r="42" spans="1:14" ht="12">
      <c r="A42" s="1348" t="s">
        <v>8645</v>
      </c>
      <c r="B42" s="1618">
        <v>307.79000000000002</v>
      </c>
      <c r="C42" s="1348" t="s">
        <v>1804</v>
      </c>
      <c r="D42" s="1348" t="s">
        <v>4851</v>
      </c>
      <c r="E42" s="1006">
        <f t="shared" si="0"/>
        <v>0.2577438210521471</v>
      </c>
      <c r="F42" s="1006">
        <f>IFERROR($E42*(VLOOKUP(C42,fish_group_yield_n!$A$7:$J$49,7,FALSE)),0)</f>
        <v>0.12083018201159709</v>
      </c>
      <c r="G42" s="1006">
        <f>IFERROR($E42*(VLOOKUP(C42,fish_group_yield_n!$A$7:$J$49,10,FALSE)),0)</f>
        <v>0.32500127536564577</v>
      </c>
      <c r="H42" s="1619">
        <f t="shared" si="1"/>
        <v>5994.3241071428574</v>
      </c>
      <c r="I42" s="997">
        <f>IF(ISERROR($E42*VLOOKUP($C42,fish_group_yield_w!$A$7:$I$45,9,FALSE)),0,$E42*VLOOKUP($C42,fish_group_yield_w!$A$7:$I$45,9,FALSE))</f>
        <v>0.13932069318483431</v>
      </c>
      <c r="J42" s="998">
        <f>IF(ISERROR($E42*VLOOKUP($C42,fish_group_yield_w!$A$7:$I$45,9,FALSE)),0,$E42*VLOOKUP($C42,fish_group_yield_w!$A$7:$I$45,9,FALSE))</f>
        <v>0.13932069318483431</v>
      </c>
      <c r="L42" s="1586"/>
      <c r="M42" s="1586"/>
      <c r="N42" s="889"/>
    </row>
    <row r="43" spans="1:14" ht="12">
      <c r="A43" s="1348" t="s">
        <v>8646</v>
      </c>
      <c r="B43" s="1618">
        <v>307.70999999999998</v>
      </c>
      <c r="C43" s="1348" t="s">
        <v>1804</v>
      </c>
      <c r="D43" s="1348" t="s">
        <v>4851</v>
      </c>
      <c r="E43" s="1006">
        <f t="shared" si="0"/>
        <v>0.19129603060736489</v>
      </c>
      <c r="F43" s="1006">
        <f>IFERROR($E43*(VLOOKUP(C43,fish_group_yield_n!$A$7:$J$49,7,FALSE)),0)</f>
        <v>8.9679489122291789E-2</v>
      </c>
      <c r="G43" s="1006">
        <f>IFERROR($E43*(VLOOKUP(C43,fish_group_yield_n!$A$7:$J$49,10,FALSE)),0)</f>
        <v>0.24121413916340045</v>
      </c>
      <c r="H43" s="1619">
        <f t="shared" si="1"/>
        <v>16665.27</v>
      </c>
      <c r="I43" s="997">
        <f>IF(ISERROR($E43*VLOOKUP($C43,fish_group_yield_w!$A$7:$I$45,9,FALSE)),0,$E43*VLOOKUP($C43,fish_group_yield_w!$A$7:$I$45,9,FALSE))</f>
        <v>0.10340304368473373</v>
      </c>
      <c r="J43" s="998">
        <f>IF(ISERROR($E43*VLOOKUP($C43,fish_group_yield_w!$A$7:$I$45,9,FALSE)),0,$E43*VLOOKUP($C43,fish_group_yield_w!$A$7:$I$45,9,FALSE))</f>
        <v>0.10340304368473373</v>
      </c>
      <c r="L43" s="1586"/>
      <c r="M43" s="1586"/>
      <c r="N43" s="889"/>
    </row>
    <row r="44" spans="1:14" ht="12">
      <c r="A44" s="1348" t="s">
        <v>8713</v>
      </c>
      <c r="B44" s="1618">
        <v>1605.56</v>
      </c>
      <c r="C44" s="1348" t="s">
        <v>1804</v>
      </c>
      <c r="D44" s="1348" t="s">
        <v>4851</v>
      </c>
      <c r="E44" s="1006">
        <f t="shared" si="0"/>
        <v>0.3127932436659368</v>
      </c>
      <c r="F44" s="1006">
        <f>IFERROR($E44*(VLOOKUP(C44,fish_group_yield_n!$A$7:$J$49,7,FALSE)),0)</f>
        <v>0.1466373254259557</v>
      </c>
      <c r="G44" s="1006">
        <f>IFERROR($E44*(VLOOKUP(C44,fish_group_yield_n!$A$7:$J$49,10,FALSE)),0)</f>
        <v>0.3944156748441276</v>
      </c>
      <c r="H44" s="1619">
        <f t="shared" si="1"/>
        <v>56366.307000000001</v>
      </c>
      <c r="I44" s="997">
        <f>IF(ISERROR($E44*VLOOKUP($C44,fish_group_yield_w!$A$7:$I$45,9,FALSE)),0,$E44*VLOOKUP($C44,fish_group_yield_w!$A$7:$I$45,9,FALSE))</f>
        <v>0.16907707565278246</v>
      </c>
      <c r="J44" s="998">
        <f>IF(ISERROR($E44*VLOOKUP($C44,fish_group_yield_w!$A$7:$I$45,9,FALSE)),0,$E44*VLOOKUP($C44,fish_group_yield_w!$A$7:$I$45,9,FALSE))</f>
        <v>0.16907707565278246</v>
      </c>
      <c r="L44" s="1586"/>
      <c r="M44" s="1586"/>
      <c r="N44" s="889"/>
    </row>
    <row r="45" spans="1:14" ht="12">
      <c r="A45" s="995" t="s">
        <v>6240</v>
      </c>
      <c r="B45" s="1599">
        <v>302.63</v>
      </c>
      <c r="C45" s="996" t="s">
        <v>4154</v>
      </c>
      <c r="D45" s="996" t="s">
        <v>4841</v>
      </c>
      <c r="E45" s="1006">
        <f t="shared" si="0"/>
        <v>0.63405930666352084</v>
      </c>
      <c r="F45" s="1006">
        <f>IFERROR($E45*(VLOOKUP(C45,fish_group_yield_n!$A$7:$J$49,7,FALSE)),0)</f>
        <v>7.9656409919715669E-3</v>
      </c>
      <c r="G45" s="1006">
        <f>IFERROR($E45*(VLOOKUP(C45,fish_group_yield_n!$A$7:$J$49,10,FALSE)),0)</f>
        <v>7.9656409919715652E-3</v>
      </c>
      <c r="H45" s="1619">
        <f t="shared" si="1"/>
        <v>0</v>
      </c>
      <c r="I45" s="997">
        <f>IF(ISERROR($E45*VLOOKUP($C45,fish_group_yield_w!$A$7:$I$45,9,FALSE)),0,$E45*VLOOKUP($C45,fish_group_yield_w!$A$7:$I$45,9,FALSE))</f>
        <v>0</v>
      </c>
      <c r="J45" s="998">
        <f>IF(ISERROR($E45*VLOOKUP($C45,fish_group_yield_w!$A$7:$I$45,9,FALSE)),0,$E45*VLOOKUP($C45,fish_group_yield_w!$A$7:$I$45,9,FALSE))</f>
        <v>0</v>
      </c>
      <c r="L45" s="1586"/>
      <c r="M45" s="1586"/>
      <c r="N45" s="889"/>
    </row>
    <row r="46" spans="1:14" ht="12">
      <c r="A46" s="995" t="s">
        <v>6241</v>
      </c>
      <c r="B46" s="1599">
        <v>303.73</v>
      </c>
      <c r="C46" s="996" t="s">
        <v>4154</v>
      </c>
      <c r="D46" s="996" t="s">
        <v>4841</v>
      </c>
      <c r="E46" s="1006">
        <f t="shared" si="0"/>
        <v>0.57788284738639339</v>
      </c>
      <c r="F46" s="1006">
        <f>IFERROR($E46*(VLOOKUP(C46,fish_group_yield_n!$A$7:$J$49,7,FALSE)),0)</f>
        <v>7.2599002164652543E-3</v>
      </c>
      <c r="G46" s="1006">
        <f>IFERROR($E46*(VLOOKUP(C46,fish_group_yield_n!$A$7:$J$49,10,FALSE)),0)</f>
        <v>7.2599002164652534E-3</v>
      </c>
      <c r="H46" s="1619">
        <f t="shared" si="1"/>
        <v>0</v>
      </c>
      <c r="I46" s="997">
        <f>IF(ISERROR($E46*VLOOKUP($C46,fish_group_yield_w!$A$7:$I$45,9,FALSE)),0,$E46*VLOOKUP($C46,fish_group_yield_w!$A$7:$I$45,9,FALSE))</f>
        <v>0</v>
      </c>
      <c r="J46" s="998">
        <f>IF(ISERROR($E46*VLOOKUP($C46,fish_group_yield_w!$A$7:$I$45,9,FALSE)),0,$E46*VLOOKUP($C46,fish_group_yield_w!$A$7:$I$45,9,FALSE))</f>
        <v>0</v>
      </c>
      <c r="L46" s="1586"/>
      <c r="M46" s="1586"/>
      <c r="N46" s="889"/>
    </row>
    <row r="47" spans="1:14" ht="12">
      <c r="A47" s="1587" t="s">
        <v>6241</v>
      </c>
      <c r="B47" s="1587">
        <v>303.64999999999998</v>
      </c>
      <c r="C47" s="996" t="s">
        <v>4154</v>
      </c>
      <c r="D47" s="996" t="s">
        <v>4841</v>
      </c>
      <c r="E47" s="1006">
        <f t="shared" si="0"/>
        <v>0</v>
      </c>
      <c r="F47" s="1006">
        <f>IFERROR($E47*(VLOOKUP(C47,fish_group_yield_n!$A$7:$J$49,7,FALSE)),0)</f>
        <v>0</v>
      </c>
      <c r="G47" s="1006">
        <f>IFERROR($E47*(VLOOKUP(C47,fish_group_yield_n!$A$7:$J$49,10,FALSE)),0)</f>
        <v>0</v>
      </c>
      <c r="H47" s="1619">
        <f t="shared" si="1"/>
        <v>0</v>
      </c>
      <c r="I47" s="997">
        <f>IF(ISERROR($E47*VLOOKUP($C47,fish_group_yield_w!$A$7:$I$45,9,FALSE)),0,$E47*VLOOKUP($C47,fish_group_yield_w!$A$7:$I$45,9,FALSE))</f>
        <v>0</v>
      </c>
      <c r="J47" s="998">
        <f>IF(ISERROR($E47*VLOOKUP($C47,fish_group_yield_w!$A$7:$I$45,9,FALSE)),0,$E47*VLOOKUP($C47,fish_group_yield_w!$A$7:$I$45,9,FALSE))</f>
        <v>0</v>
      </c>
      <c r="L47" s="1586"/>
      <c r="M47" s="1586"/>
      <c r="N47" s="889"/>
    </row>
    <row r="48" spans="1:14" ht="12">
      <c r="A48" s="1348" t="s">
        <v>8643</v>
      </c>
      <c r="B48" s="1618">
        <v>304.73</v>
      </c>
      <c r="C48" s="996" t="s">
        <v>4154</v>
      </c>
      <c r="D48" s="996" t="s">
        <v>4841</v>
      </c>
      <c r="E48" s="1006">
        <f t="shared" si="0"/>
        <v>0.57788284738639339</v>
      </c>
      <c r="F48" s="1006">
        <f>IFERROR($E48*(VLOOKUP(C48,fish_group_yield_n!$A$7:$J$49,7,FALSE)),0)</f>
        <v>7.2599002164652543E-3</v>
      </c>
      <c r="G48" s="1006">
        <f>IFERROR($E48*(VLOOKUP(C48,fish_group_yield_n!$A$7:$J$49,10,FALSE)),0)</f>
        <v>7.2599002164652534E-3</v>
      </c>
      <c r="H48" s="1619">
        <f t="shared" si="1"/>
        <v>3088.8613636363643</v>
      </c>
      <c r="I48" s="997">
        <f>IF(ISERROR($E48*VLOOKUP($C48,fish_group_yield_w!$A$7:$I$45,9,FALSE)),0,$E48*VLOOKUP($C48,fish_group_yield_w!$A$7:$I$45,9,FALSE))</f>
        <v>0</v>
      </c>
      <c r="J48" s="998">
        <f>IF(ISERROR($E48*VLOOKUP($C48,fish_group_yield_w!$A$7:$I$45,9,FALSE)),0,$E48*VLOOKUP($C48,fish_group_yield_w!$A$7:$I$45,9,FALSE))</f>
        <v>0</v>
      </c>
      <c r="L48" s="1586"/>
      <c r="M48" s="1586"/>
      <c r="N48" s="889"/>
    </row>
    <row r="49" spans="1:14" ht="12">
      <c r="A49" s="1348" t="s">
        <v>8644</v>
      </c>
      <c r="B49" s="1618">
        <v>302.52999999999997</v>
      </c>
      <c r="C49" s="996" t="s">
        <v>4154</v>
      </c>
      <c r="D49" s="996" t="s">
        <v>4841</v>
      </c>
      <c r="E49" s="1006">
        <f t="shared" si="0"/>
        <v>0.63405930666352084</v>
      </c>
      <c r="F49" s="1006">
        <f>IFERROR($E49*(VLOOKUP(C49,fish_group_yield_n!$A$7:$J$49,7,FALSE)),0)</f>
        <v>7.9656409919715669E-3</v>
      </c>
      <c r="G49" s="1006">
        <f>IFERROR($E49*(VLOOKUP(C49,fish_group_yield_n!$A$7:$J$49,10,FALSE)),0)</f>
        <v>7.9656409919715652E-3</v>
      </c>
      <c r="H49" s="1619">
        <f t="shared" si="1"/>
        <v>138.78827906976747</v>
      </c>
      <c r="I49" s="997">
        <f>IF(ISERROR($E49*VLOOKUP($C49,fish_group_yield_w!$A$7:$I$45,9,FALSE)),0,$E49*VLOOKUP($C49,fish_group_yield_w!$A$7:$I$45,9,FALSE))</f>
        <v>0</v>
      </c>
      <c r="J49" s="998">
        <f>IF(ISERROR($E49*VLOOKUP($C49,fish_group_yield_w!$A$7:$I$45,9,FALSE)),0,$E49*VLOOKUP($C49,fish_group_yield_w!$A$7:$I$45,9,FALSE))</f>
        <v>0</v>
      </c>
      <c r="L49" s="1586"/>
      <c r="M49" s="1586"/>
      <c r="N49" s="889"/>
    </row>
    <row r="50" spans="1:14" ht="12">
      <c r="A50" s="1348" t="s">
        <v>8654</v>
      </c>
      <c r="B50" s="1618">
        <v>302.45999999999998</v>
      </c>
      <c r="C50" s="1348" t="s">
        <v>1806</v>
      </c>
      <c r="D50" s="1348" t="s">
        <v>4859</v>
      </c>
      <c r="E50" s="1006">
        <f t="shared" si="0"/>
        <v>0.64516129032258063</v>
      </c>
      <c r="F50" s="1006">
        <f>IFERROR($E50*(VLOOKUP(C50,fish_group_yield_n!$A$7:$J$49,7,FALSE)),0)</f>
        <v>6.6800177971691091E-2</v>
      </c>
      <c r="G50" s="1006">
        <f>IFERROR($E50*(VLOOKUP(C50,fish_group_yield_n!$A$7:$J$49,10,FALSE)),0)</f>
        <v>8.3243206432398048E-2</v>
      </c>
      <c r="H50" s="1619">
        <f t="shared" si="1"/>
        <v>984.25</v>
      </c>
      <c r="I50" s="997">
        <f>IF(ISERROR($E50*VLOOKUP($C50,fish_group_yield_w!$A$7:$I$45,9,FALSE)),0,$E50*VLOOKUP($C50,fish_group_yield_w!$A$7:$I$45,9,FALSE))</f>
        <v>0.16232668966135316</v>
      </c>
      <c r="J50" s="998">
        <f>IF(ISERROR($E50*VLOOKUP($C50,fish_group_yield_w!$A$7:$I$45,9,FALSE)),0,$E50*VLOOKUP($C50,fish_group_yield_w!$A$7:$I$45,9,FALSE))</f>
        <v>0.16232668966135316</v>
      </c>
      <c r="L50" s="1586"/>
      <c r="M50" s="1586"/>
      <c r="N50" s="889"/>
    </row>
    <row r="51" spans="1:14" ht="12">
      <c r="A51" s="1348" t="s">
        <v>8698</v>
      </c>
      <c r="B51" s="1618">
        <v>303.56</v>
      </c>
      <c r="C51" s="1348" t="s">
        <v>1806</v>
      </c>
      <c r="D51" s="1348" t="s">
        <v>4859</v>
      </c>
      <c r="E51" s="1006">
        <f t="shared" si="0"/>
        <v>0.5524861878453039</v>
      </c>
      <c r="F51" s="1006">
        <f>IFERROR($E51*(VLOOKUP(C51,fish_group_yield_n!$A$7:$J$49,7,FALSE)),0)</f>
        <v>5.7204572296199553E-2</v>
      </c>
      <c r="G51" s="1006">
        <f>IFERROR($E51*(VLOOKUP(C51,fish_group_yield_n!$A$7:$J$49,10,FALSE)),0)</f>
        <v>7.1285618768075681E-2</v>
      </c>
      <c r="H51" s="1619">
        <f t="shared" si="1"/>
        <v>5.43</v>
      </c>
      <c r="I51" s="997">
        <f>IF(ISERROR($E51*VLOOKUP($C51,fish_group_yield_w!$A$7:$I$45,9,FALSE)),0,$E51*VLOOKUP($C51,fish_group_yield_w!$A$7:$I$45,9,FALSE))</f>
        <v>0.13900904363265051</v>
      </c>
      <c r="J51" s="998">
        <f>IF(ISERROR($E51*VLOOKUP($C51,fish_group_yield_w!$A$7:$I$45,9,FALSE)),0,$E51*VLOOKUP($C51,fish_group_yield_w!$A$7:$I$45,9,FALSE))</f>
        <v>0.13900904363265051</v>
      </c>
      <c r="L51" s="1586"/>
      <c r="M51" s="1586"/>
      <c r="N51" s="889"/>
    </row>
    <row r="52" spans="1:14" ht="12">
      <c r="A52" s="1348" t="s">
        <v>8647</v>
      </c>
      <c r="B52" s="1618">
        <v>302.51</v>
      </c>
      <c r="C52" s="996" t="s">
        <v>5366</v>
      </c>
      <c r="D52" s="996" t="s">
        <v>4841</v>
      </c>
      <c r="E52" s="1006">
        <f t="shared" si="0"/>
        <v>0.59929928084086304</v>
      </c>
      <c r="F52" s="1006">
        <f>IFERROR($E52*(VLOOKUP(C52,fish_group_yield_n!$A$7:$J$49,7,FALSE)),0)</f>
        <v>8.1503201713081716E-3</v>
      </c>
      <c r="G52" s="1006">
        <f>IFERROR($E52*(VLOOKUP(C52,fish_group_yield_n!$A$7:$J$49,10,FALSE)),0)</f>
        <v>1.148077621776062E-2</v>
      </c>
      <c r="H52" s="1619">
        <f t="shared" si="1"/>
        <v>3255.4686153846151</v>
      </c>
      <c r="I52" s="997">
        <f>IF(ISERROR($E52*VLOOKUP($C52,fish_group_yield_w!$A$7:$I$45,9,FALSE)),0,$E52*VLOOKUP($C52,fish_group_yield_w!$A$7:$I$45,9,FALSE))</f>
        <v>9.8072236970850281E-4</v>
      </c>
      <c r="J52" s="998">
        <f>IF(ISERROR($E52*VLOOKUP($C52,fish_group_yield_w!$A$7:$I$45,9,FALSE)),0,$E52*VLOOKUP($C52,fish_group_yield_w!$A$7:$I$45,9,FALSE))</f>
        <v>9.8072236970850281E-4</v>
      </c>
      <c r="L52" s="1586"/>
      <c r="M52" s="1586"/>
      <c r="N52" s="889"/>
    </row>
    <row r="53" spans="1:14" ht="12">
      <c r="A53" s="995" t="s">
        <v>6242</v>
      </c>
      <c r="B53" s="1599">
        <v>305.51</v>
      </c>
      <c r="C53" s="996" t="s">
        <v>5366</v>
      </c>
      <c r="D53" s="996" t="s">
        <v>4841</v>
      </c>
      <c r="E53" s="1006">
        <f t="shared" si="0"/>
        <v>0.26027142591559771</v>
      </c>
      <c r="F53" s="1006">
        <f>IFERROR($E53*(VLOOKUP(C53,fish_group_yield_n!$A$7:$J$49,7,FALSE)),0)</f>
        <v>3.5396262276148499E-3</v>
      </c>
      <c r="G53" s="1006">
        <f>IFERROR($E53*(VLOOKUP(C53,fish_group_yield_n!$A$7:$J$49,10,FALSE)),0)</f>
        <v>4.9860196605306783E-3</v>
      </c>
      <c r="H53" s="1619">
        <f t="shared" si="1"/>
        <v>9543.8828571428567</v>
      </c>
      <c r="I53" s="997">
        <f>IF(ISERROR($E53*VLOOKUP($C53,fish_group_yield_w!$A$7:$I$45,9,FALSE)),0,$E53*VLOOKUP($C53,fish_group_yield_w!$A$7:$I$45,9,FALSE))</f>
        <v>4.2592076738889954E-4</v>
      </c>
      <c r="J53" s="998">
        <f>IF(ISERROR($E53*VLOOKUP($C53,fish_group_yield_w!$A$7:$I$45,9,FALSE)),0,$E53*VLOOKUP($C53,fish_group_yield_w!$A$7:$I$45,9,FALSE))</f>
        <v>4.2592076738889954E-4</v>
      </c>
      <c r="L53" s="1586"/>
      <c r="M53" s="1586"/>
      <c r="N53" s="889"/>
    </row>
    <row r="54" spans="1:14" ht="12">
      <c r="A54" s="995" t="s">
        <v>6243</v>
      </c>
      <c r="B54" s="1599">
        <v>302.5</v>
      </c>
      <c r="C54" s="996" t="s">
        <v>5366</v>
      </c>
      <c r="D54" s="996" t="s">
        <v>4841</v>
      </c>
      <c r="E54" s="1006">
        <f t="shared" si="0"/>
        <v>0.59929928084086304</v>
      </c>
      <c r="F54" s="1006">
        <f>IFERROR($E54*(VLOOKUP(C54,fish_group_yield_n!$A$7:$J$49,7,FALSE)),0)</f>
        <v>8.1503201713081716E-3</v>
      </c>
      <c r="G54" s="1006">
        <f>IFERROR($E54*(VLOOKUP(C54,fish_group_yield_n!$A$7:$J$49,10,FALSE)),0)</f>
        <v>1.148077621776062E-2</v>
      </c>
      <c r="H54" s="1619">
        <f t="shared" si="1"/>
        <v>0</v>
      </c>
      <c r="I54" s="997">
        <f>IF(ISERROR($E54*VLOOKUP($C54,fish_group_yield_w!$A$7:$I$45,9,FALSE)),0,$E54*VLOOKUP($C54,fish_group_yield_w!$A$7:$I$45,9,FALSE))</f>
        <v>9.8072236970850281E-4</v>
      </c>
      <c r="J54" s="998">
        <f>IF(ISERROR($E54*VLOOKUP($C54,fish_group_yield_w!$A$7:$I$45,9,FALSE)),0,$E54*VLOOKUP($C54,fish_group_yield_w!$A$7:$I$45,9,FALSE))</f>
        <v>9.8072236970850281E-4</v>
      </c>
      <c r="L54" s="1586"/>
      <c r="M54" s="1586"/>
      <c r="N54" s="889"/>
    </row>
    <row r="55" spans="1:14" ht="12">
      <c r="A55" s="995" t="s">
        <v>6244</v>
      </c>
      <c r="B55" s="1599">
        <v>303.52</v>
      </c>
      <c r="C55" s="996" t="s">
        <v>5366</v>
      </c>
      <c r="D55" s="996" t="s">
        <v>4841</v>
      </c>
      <c r="E55" s="1006">
        <f t="shared" si="0"/>
        <v>0.45766590389016015</v>
      </c>
      <c r="F55" s="1006">
        <f>IFERROR($E55*(VLOOKUP(C55,fish_group_yield_n!$A$7:$J$49,7,FALSE)),0)</f>
        <v>6.2241417058974419E-3</v>
      </c>
      <c r="G55" s="1006">
        <f>IFERROR($E55*(VLOOKUP(C55,fish_group_yield_n!$A$7:$J$49,10,FALSE)),0)</f>
        <v>8.7675056404035671E-3</v>
      </c>
      <c r="H55" s="1619">
        <f t="shared" si="1"/>
        <v>0</v>
      </c>
      <c r="I55" s="997">
        <f>IF(ISERROR($E55*VLOOKUP($C55,fish_group_yield_w!$A$7:$I$45,9,FALSE)),0,$E55*VLOOKUP($C55,fish_group_yield_w!$A$7:$I$45,9,FALSE))</f>
        <v>7.4894665177668862E-4</v>
      </c>
      <c r="J55" s="998">
        <f>IF(ISERROR($E55*VLOOKUP($C55,fish_group_yield_w!$A$7:$I$45,9,FALSE)),0,$E55*VLOOKUP($C55,fish_group_yield_w!$A$7:$I$45,9,FALSE))</f>
        <v>7.4894665177668862E-4</v>
      </c>
      <c r="L55" s="1586"/>
      <c r="M55" s="1586"/>
      <c r="N55" s="889"/>
    </row>
    <row r="56" spans="1:14" ht="12">
      <c r="A56" s="1587" t="s">
        <v>6244</v>
      </c>
      <c r="B56" s="1587">
        <v>303.63</v>
      </c>
      <c r="C56" s="996" t="s">
        <v>5366</v>
      </c>
      <c r="D56" s="996" t="s">
        <v>4841</v>
      </c>
      <c r="E56" s="1006">
        <f t="shared" si="0"/>
        <v>0</v>
      </c>
      <c r="F56" s="1006">
        <f>IFERROR($E56*(VLOOKUP(C56,fish_group_yield_n!$A$7:$J$49,7,FALSE)),0)</f>
        <v>0</v>
      </c>
      <c r="G56" s="1006">
        <f>IFERROR($E56*(VLOOKUP(C56,fish_group_yield_n!$A$7:$J$49,10,FALSE)),0)</f>
        <v>0</v>
      </c>
      <c r="H56" s="1619">
        <f t="shared" si="1"/>
        <v>0</v>
      </c>
      <c r="I56" s="997">
        <f>IF(ISERROR($E56*VLOOKUP($C56,fish_group_yield_w!$A$7:$I$45,9,FALSE)),0,$E56*VLOOKUP($C56,fish_group_yield_w!$A$7:$I$45,9,FALSE))</f>
        <v>0</v>
      </c>
      <c r="J56" s="998">
        <f>IF(ISERROR($E56*VLOOKUP($C56,fish_group_yield_w!$A$7:$I$45,9,FALSE)),0,$E56*VLOOKUP($C56,fish_group_yield_w!$A$7:$I$45,9,FALSE))</f>
        <v>0</v>
      </c>
      <c r="L56" s="1586"/>
      <c r="M56" s="1586"/>
      <c r="N56" s="889"/>
    </row>
    <row r="57" spans="1:14" ht="12">
      <c r="A57" s="995" t="s">
        <v>6245</v>
      </c>
      <c r="B57" s="1599">
        <v>305.62</v>
      </c>
      <c r="C57" s="996" t="s">
        <v>5366</v>
      </c>
      <c r="D57" s="996" t="s">
        <v>4841</v>
      </c>
      <c r="E57" s="1006">
        <f t="shared" si="0"/>
        <v>0.26027142591559771</v>
      </c>
      <c r="F57" s="1006">
        <f>IFERROR($E57*(VLOOKUP(C57,fish_group_yield_n!$A$7:$J$49,7,FALSE)),0)</f>
        <v>3.5396262276148499E-3</v>
      </c>
      <c r="G57" s="1006">
        <f>IFERROR($E57*(VLOOKUP(C57,fish_group_yield_n!$A$7:$J$49,10,FALSE)),0)</f>
        <v>4.9860196605306783E-3</v>
      </c>
      <c r="H57" s="1619">
        <f t="shared" si="1"/>
        <v>2339.8649999999998</v>
      </c>
      <c r="I57" s="997">
        <f>IF(ISERROR($E57*VLOOKUP($C57,fish_group_yield_w!$A$7:$I$45,9,FALSE)),0,$E57*VLOOKUP($C57,fish_group_yield_w!$A$7:$I$45,9,FALSE))</f>
        <v>4.2592076738889954E-4</v>
      </c>
      <c r="J57" s="998">
        <f>IF(ISERROR($E57*VLOOKUP($C57,fish_group_yield_w!$A$7:$I$45,9,FALSE)),0,$E57*VLOOKUP($C57,fish_group_yield_w!$A$7:$I$45,9,FALSE))</f>
        <v>4.2592076738889954E-4</v>
      </c>
      <c r="L57" s="1586"/>
      <c r="M57" s="1586"/>
      <c r="N57" s="889"/>
    </row>
    <row r="58" spans="1:14" ht="12">
      <c r="A58" s="1348" t="s">
        <v>8648</v>
      </c>
      <c r="B58" s="1618">
        <v>304.70999999999998</v>
      </c>
      <c r="C58" s="996" t="s">
        <v>5366</v>
      </c>
      <c r="D58" s="996" t="s">
        <v>4841</v>
      </c>
      <c r="E58" s="1006">
        <f t="shared" si="0"/>
        <v>0.57788284738639339</v>
      </c>
      <c r="F58" s="1006">
        <f>IFERROR($E58*(VLOOKUP(C58,fish_group_yield_n!$A$7:$J$49,7,FALSE)),0)</f>
        <v>7.8590620384158139E-3</v>
      </c>
      <c r="G58" s="1006">
        <f>IFERROR($E58*(VLOOKUP(C58,fish_group_yield_n!$A$7:$J$49,10,FALSE)),0)</f>
        <v>1.1070501605836603E-2</v>
      </c>
      <c r="H58" s="1619">
        <f t="shared" si="1"/>
        <v>82610.169545454555</v>
      </c>
      <c r="I58" s="997">
        <f>IF(ISERROR($E58*VLOOKUP($C58,fish_group_yield_w!$A$7:$I$45,9,FALSE)),0,$E58*VLOOKUP($C58,fish_group_yield_w!$A$7:$I$45,9,FALSE))</f>
        <v>9.4567548071724237E-4</v>
      </c>
      <c r="J58" s="998">
        <f>IF(ISERROR($E58*VLOOKUP($C58,fish_group_yield_w!$A$7:$I$45,9,FALSE)),0,$E58*VLOOKUP($C58,fish_group_yield_w!$A$7:$I$45,9,FALSE))</f>
        <v>9.4567548071724237E-4</v>
      </c>
      <c r="L58" s="1586"/>
      <c r="M58" s="1586"/>
      <c r="N58" s="889"/>
    </row>
    <row r="59" spans="1:14" ht="12">
      <c r="A59" s="1348" t="s">
        <v>8649</v>
      </c>
      <c r="B59" s="1618">
        <v>306.16000000000003</v>
      </c>
      <c r="C59" s="1348" t="s">
        <v>2441</v>
      </c>
      <c r="D59" s="1348" t="s">
        <v>4840</v>
      </c>
      <c r="E59" s="1006">
        <f t="shared" si="0"/>
        <v>0.55605169595767268</v>
      </c>
      <c r="F59" s="1006">
        <f>IFERROR($E59*(VLOOKUP(C59,fish_group_yield_n!$A$7:$J$49,7,FALSE)),0)</f>
        <v>0.26357114240626822</v>
      </c>
      <c r="G59" s="1006">
        <f>IFERROR($E59*(VLOOKUP(C59,fish_group_yield_n!$A$7:$J$49,10,FALSE)),0)</f>
        <v>0.23404366367147533</v>
      </c>
      <c r="H59" s="1619">
        <f t="shared" si="1"/>
        <v>20269.698090909089</v>
      </c>
      <c r="I59" s="997">
        <f>IF(ISERROR($E59*VLOOKUP($C59,fish_group_yield_w!$A$7:$I$45,9,FALSE)),0,$E59*VLOOKUP($C59,fish_group_yield_w!$A$7:$I$45,9,FALSE))</f>
        <v>0.31629516828548265</v>
      </c>
      <c r="J59" s="998">
        <f>IF(ISERROR($E59*VLOOKUP($C59,fish_group_yield_w!$A$7:$I$45,9,FALSE)),0,$E59*VLOOKUP($C59,fish_group_yield_w!$A$7:$I$45,9,FALSE))</f>
        <v>0.31629516828548265</v>
      </c>
      <c r="L59" s="1586"/>
      <c r="M59" s="1586"/>
      <c r="N59" s="889"/>
    </row>
    <row r="60" spans="1:14" ht="12">
      <c r="A60" s="1348" t="s">
        <v>8650</v>
      </c>
      <c r="B60" s="1618">
        <v>306.26</v>
      </c>
      <c r="C60" s="1348" t="s">
        <v>2441</v>
      </c>
      <c r="D60" s="1348" t="s">
        <v>4840</v>
      </c>
      <c r="E60" s="1006">
        <f t="shared" si="0"/>
        <v>0.55605169595767268</v>
      </c>
      <c r="F60" s="1006">
        <f>IFERROR($E60*(VLOOKUP(C60,fish_group_yield_n!$A$7:$J$49,7,FALSE)),0)</f>
        <v>0.26357114240626822</v>
      </c>
      <c r="G60" s="1006">
        <f>IFERROR($E60*(VLOOKUP(C60,fish_group_yield_n!$A$7:$J$49,10,FALSE)),0)</f>
        <v>0.23404366367147533</v>
      </c>
      <c r="H60" s="1619">
        <f t="shared" si="1"/>
        <v>116.89560606060606</v>
      </c>
      <c r="I60" s="997">
        <f>IF(ISERROR($E60*VLOOKUP($C60,fish_group_yield_w!$A$7:$I$45,9,FALSE)),0,$E60*VLOOKUP($C60,fish_group_yield_w!$A$7:$I$45,9,FALSE))</f>
        <v>0.31629516828548265</v>
      </c>
      <c r="J60" s="998">
        <f>IF(ISERROR($E60*VLOOKUP($C60,fish_group_yield_w!$A$7:$I$45,9,FALSE)),0,$E60*VLOOKUP($C60,fish_group_yield_w!$A$7:$I$45,9,FALSE))</f>
        <v>0.31629516828548265</v>
      </c>
      <c r="L60" s="1586"/>
      <c r="M60" s="1586"/>
      <c r="N60" s="889"/>
    </row>
    <row r="61" spans="1:14" ht="15" customHeight="1">
      <c r="A61" s="995" t="s">
        <v>6246</v>
      </c>
      <c r="B61" s="1599">
        <v>508</v>
      </c>
      <c r="C61" s="996" t="s">
        <v>5367</v>
      </c>
      <c r="D61" s="996"/>
      <c r="E61" s="1006">
        <f t="shared" si="0"/>
        <v>1</v>
      </c>
      <c r="F61" s="1006">
        <f>IFERROR($E61*(VLOOKUP(C61,fish_group_yield_n!$A$7:$J$49,7,FALSE)),0)</f>
        <v>1.5105623667394623</v>
      </c>
      <c r="G61" s="1006">
        <f>IFERROR($E61*(VLOOKUP(C61,fish_group_yield_n!$A$7:$J$49,10,FALSE)),0)</f>
        <v>1.5105623265662114</v>
      </c>
      <c r="H61" s="1619">
        <f t="shared" si="1"/>
        <v>5960</v>
      </c>
      <c r="I61" s="997">
        <f>IF(ISERROR($E61*VLOOKUP($C61,fish_group_yield_w!$A$7:$I$45,9,FALSE)),0,$E61*VLOOKUP($C61,fish_group_yield_w!$A$7:$I$45,9,FALSE))</f>
        <v>0</v>
      </c>
      <c r="J61" s="998">
        <f>IF(ISERROR($E61*VLOOKUP($C61,fish_group_yield_w!$A$7:$I$45,9,FALSE)),0,$E61*VLOOKUP($C61,fish_group_yield_w!$A$7:$I$45,9,FALSE))</f>
        <v>0</v>
      </c>
      <c r="L61" s="1586"/>
      <c r="M61" s="1586"/>
      <c r="N61" s="889"/>
    </row>
    <row r="62" spans="1:14" ht="12">
      <c r="A62" s="995" t="s">
        <v>6247</v>
      </c>
      <c r="B62" s="1599">
        <v>1605.1</v>
      </c>
      <c r="C62" s="996" t="s">
        <v>2430</v>
      </c>
      <c r="D62" s="996" t="s">
        <v>4840</v>
      </c>
      <c r="E62" s="1006">
        <f t="shared" si="0"/>
        <v>0.3897644467039485</v>
      </c>
      <c r="F62" s="1006">
        <f>IFERROR($E62*(VLOOKUP(C62,fish_group_yield_n!$A$7:$J$49,7,FALSE)),0)</f>
        <v>5.6523546594272354E-2</v>
      </c>
      <c r="G62" s="1006">
        <f>IFERROR($E62*(VLOOKUP(C62,fish_group_yield_n!$A$7:$J$49,10,FALSE)),0)</f>
        <v>3.1468840630383382E-2</v>
      </c>
      <c r="H62" s="1619">
        <f t="shared" si="1"/>
        <v>85559.368695652171</v>
      </c>
      <c r="I62" s="997">
        <f>IF(ISERROR($E62*VLOOKUP($C62,fish_group_yield_w!$A$7:$I$45,9,FALSE)),0,$E62*VLOOKUP($C62,fish_group_yield_w!$A$7:$I$45,9,FALSE))</f>
        <v>0.10590114642112483</v>
      </c>
      <c r="J62" s="998">
        <f>IF(ISERROR($E62*VLOOKUP($C62,fish_group_yield_w!$A$7:$I$45,9,FALSE)),0,$E62*VLOOKUP($C62,fish_group_yield_w!$A$7:$I$45,9,FALSE))</f>
        <v>0.10590114642112483</v>
      </c>
      <c r="L62" s="1586"/>
      <c r="M62" s="1586"/>
      <c r="N62" s="889"/>
    </row>
    <row r="63" spans="1:14" ht="12">
      <c r="A63" s="995" t="s">
        <v>6248</v>
      </c>
      <c r="B63" s="1599">
        <v>306.14</v>
      </c>
      <c r="C63" s="996" t="s">
        <v>2430</v>
      </c>
      <c r="D63" s="996" t="s">
        <v>4840</v>
      </c>
      <c r="E63" s="1006">
        <f t="shared" si="0"/>
        <v>0.3970223325062035</v>
      </c>
      <c r="F63" s="1006">
        <f>IFERROR($E63*(VLOOKUP(C63,fish_group_yield_n!$A$7:$J$49,7,FALSE)),0)</f>
        <v>5.7576083452851645E-2</v>
      </c>
      <c r="G63" s="1006">
        <f>IFERROR($E63*(VLOOKUP(C63,fish_group_yield_n!$A$7:$J$49,10,FALSE)),0)</f>
        <v>3.2054828535530024E-2</v>
      </c>
      <c r="H63" s="1619">
        <f t="shared" si="1"/>
        <v>185208.72499999998</v>
      </c>
      <c r="I63" s="997">
        <f>IF(ISERROR($E63*VLOOKUP($C63,fish_group_yield_w!$A$7:$I$45,9,FALSE)),0,$E63*VLOOKUP($C63,fish_group_yield_w!$A$7:$I$45,9,FALSE))</f>
        <v>0.10787315395940147</v>
      </c>
      <c r="J63" s="998">
        <f>IF(ISERROR($E63*VLOOKUP($C63,fish_group_yield_w!$A$7:$I$45,9,FALSE)),0,$E63*VLOOKUP($C63,fish_group_yield_w!$A$7:$I$45,9,FALSE))</f>
        <v>0.10787315395940147</v>
      </c>
      <c r="L63" s="1586"/>
      <c r="M63" s="1586"/>
      <c r="N63" s="889"/>
    </row>
    <row r="64" spans="1:14" ht="12">
      <c r="A64" s="995" t="s">
        <v>6249</v>
      </c>
      <c r="B64" s="1599">
        <v>306.24</v>
      </c>
      <c r="C64" s="996" t="s">
        <v>2430</v>
      </c>
      <c r="D64" s="996" t="s">
        <v>4840</v>
      </c>
      <c r="E64" s="1006">
        <f t="shared" si="0"/>
        <v>0.3897644467039485</v>
      </c>
      <c r="F64" s="1006">
        <f>IFERROR($E64*(VLOOKUP(C64,fish_group_yield_n!$A$7:$J$49,7,FALSE)),0)</f>
        <v>5.6523546594272354E-2</v>
      </c>
      <c r="G64" s="1006">
        <f>IFERROR($E64*(VLOOKUP(C64,fish_group_yield_n!$A$7:$J$49,10,FALSE)),0)</f>
        <v>3.1468840630383382E-2</v>
      </c>
      <c r="H64" s="1619">
        <f t="shared" si="1"/>
        <v>3030.0352173913043</v>
      </c>
      <c r="I64" s="997">
        <f>IF(ISERROR($E64*VLOOKUP($C64,fish_group_yield_w!$A$7:$I$45,9,FALSE)),0,$E64*VLOOKUP($C64,fish_group_yield_w!$A$7:$I$45,9,FALSE))</f>
        <v>0.10590114642112483</v>
      </c>
      <c r="J64" s="998">
        <f>IF(ISERROR($E64*VLOOKUP($C64,fish_group_yield_w!$A$7:$I$45,9,FALSE)),0,$E64*VLOOKUP($C64,fish_group_yield_w!$A$7:$I$45,9,FALSE))</f>
        <v>0.10590114642112483</v>
      </c>
      <c r="L64" s="1586"/>
      <c r="M64" s="1586"/>
      <c r="N64" s="889"/>
    </row>
    <row r="65" spans="1:14" ht="12">
      <c r="A65" s="1348" t="s">
        <v>8651</v>
      </c>
      <c r="B65" s="1618">
        <v>1605.54</v>
      </c>
      <c r="C65" s="996" t="s">
        <v>5368</v>
      </c>
      <c r="D65" s="996" t="s">
        <v>4835</v>
      </c>
      <c r="E65" s="1006">
        <f t="shared" si="0"/>
        <v>0.74021735473234407</v>
      </c>
      <c r="F65" s="1006">
        <f>IFERROR($E65*(VLOOKUP(C65,fish_group_yield_n!$A$7:$J$49,7,FALSE)),0)</f>
        <v>2.7490601401049104E-2</v>
      </c>
      <c r="G65" s="1006">
        <f>IFERROR($E65*(VLOOKUP(C65,fish_group_yield_n!$A$7:$J$49,10,FALSE)),0)</f>
        <v>2.9290393825674898E-2</v>
      </c>
      <c r="H65" s="1619">
        <f t="shared" si="1"/>
        <v>7439.7066818181829</v>
      </c>
      <c r="I65" s="997">
        <f>IF(ISERROR($E65*VLOOKUP($C65,fish_group_yield_w!$A$7:$I$45,9,FALSE)),0,$E65*VLOOKUP($C65,fish_group_yield_w!$A$7:$I$45,9,FALSE))</f>
        <v>0</v>
      </c>
      <c r="J65" s="998">
        <f>IF(ISERROR($E65*VLOOKUP($C65,fish_group_yield_w!$A$7:$I$45,9,FALSE)),0,$E65*VLOOKUP($C65,fish_group_yield_w!$A$7:$I$45,9,FALSE))</f>
        <v>0</v>
      </c>
      <c r="L65" s="1586"/>
      <c r="M65" s="1586"/>
      <c r="N65" s="889"/>
    </row>
    <row r="66" spans="1:14" ht="12">
      <c r="A66" s="995" t="s">
        <v>6250</v>
      </c>
      <c r="B66" s="1599">
        <v>307.41000000000003</v>
      </c>
      <c r="C66" s="996" t="s">
        <v>5368</v>
      </c>
      <c r="D66" s="996" t="s">
        <v>4835</v>
      </c>
      <c r="E66" s="1006">
        <f t="shared" si="0"/>
        <v>0.50442913385826782</v>
      </c>
      <c r="F66" s="1006">
        <f>IFERROR($E66*(VLOOKUP(C66,fish_group_yield_n!$A$7:$J$49,7,FALSE)),0)</f>
        <v>1.8733768082198354E-2</v>
      </c>
      <c r="G66" s="1006">
        <f>IFERROR($E66*(VLOOKUP(C66,fish_group_yield_n!$A$7:$J$49,10,FALSE)),0)</f>
        <v>1.996025612395325E-2</v>
      </c>
      <c r="H66" s="1619">
        <f t="shared" si="1"/>
        <v>1056.6399999999999</v>
      </c>
      <c r="I66" s="997">
        <f>IF(ISERROR($E66*VLOOKUP($C66,fish_group_yield_w!$A$7:$I$45,9,FALSE)),0,$E66*VLOOKUP($C66,fish_group_yield_w!$A$7:$I$45,9,FALSE))</f>
        <v>0</v>
      </c>
      <c r="J66" s="998">
        <f>IF(ISERROR($E66*VLOOKUP($C66,fish_group_yield_w!$A$7:$I$45,9,FALSE)),0,$E66*VLOOKUP($C66,fish_group_yield_w!$A$7:$I$45,9,FALSE))</f>
        <v>0</v>
      </c>
      <c r="L66" s="1586"/>
      <c r="M66" s="1586"/>
      <c r="N66" s="889"/>
    </row>
    <row r="67" spans="1:14" ht="12">
      <c r="A67" s="995" t="s">
        <v>6251</v>
      </c>
      <c r="B67" s="1599">
        <v>307.49</v>
      </c>
      <c r="C67" s="996" t="s">
        <v>5368</v>
      </c>
      <c r="D67" s="996" t="s">
        <v>4835</v>
      </c>
      <c r="E67" s="1006">
        <f t="shared" si="0"/>
        <v>0.74021735473234407</v>
      </c>
      <c r="F67" s="1006">
        <f>IFERROR($E67*(VLOOKUP(C67,fish_group_yield_n!$A$7:$J$49,7,FALSE)),0)</f>
        <v>2.7490601401049104E-2</v>
      </c>
      <c r="G67" s="1006">
        <f>IFERROR($E67*(VLOOKUP(C67,fish_group_yield_n!$A$7:$J$49,10,FALSE)),0)</f>
        <v>2.9290393825674898E-2</v>
      </c>
      <c r="H67" s="1619">
        <f t="shared" si="1"/>
        <v>89010.342136363644</v>
      </c>
      <c r="I67" s="997">
        <f>IF(ISERROR($E67*VLOOKUP($C67,fish_group_yield_w!$A$7:$I$45,9,FALSE)),0,$E67*VLOOKUP($C67,fish_group_yield_w!$A$7:$I$45,9,FALSE))</f>
        <v>0</v>
      </c>
      <c r="J67" s="998">
        <f>IF(ISERROR($E67*VLOOKUP($C67,fish_group_yield_w!$A$7:$I$45,9,FALSE)),0,$E67*VLOOKUP($C67,fish_group_yield_w!$A$7:$I$45,9,FALSE))</f>
        <v>0</v>
      </c>
      <c r="L67" s="1586"/>
      <c r="M67" s="1586"/>
      <c r="N67" s="889"/>
    </row>
    <row r="68" spans="1:14" ht="12">
      <c r="A68" s="1348" t="s">
        <v>8652</v>
      </c>
      <c r="B68" s="1618">
        <v>302.81</v>
      </c>
      <c r="C68" s="996" t="s">
        <v>3927</v>
      </c>
      <c r="D68" s="996" t="s">
        <v>4841</v>
      </c>
      <c r="E68" s="1006">
        <f t="shared" si="0"/>
        <v>0.70425674169823926</v>
      </c>
      <c r="F68" s="1006">
        <f>IFERROR($E68*(VLOOKUP(C68,fish_group_yield_n!$A$7:$J$49,7,FALSE)),0)</f>
        <v>1.9723755610728224E-2</v>
      </c>
      <c r="G68" s="1006">
        <f>IFERROR($E68*(VLOOKUP(C68,fish_group_yield_n!$A$7:$J$49,10,FALSE)),0)</f>
        <v>1.1071080374736331E-2</v>
      </c>
      <c r="H68" s="1619">
        <f t="shared" si="1"/>
        <v>619.09240506329127</v>
      </c>
      <c r="I68" s="997">
        <f>IF(ISERROR($E68*VLOOKUP($C68,fish_group_yield_w!$A$7:$I$45,9,FALSE)),0,$E68*VLOOKUP($C68,fish_group_yield_w!$A$7:$I$45,9,FALSE))</f>
        <v>0</v>
      </c>
      <c r="J68" s="998">
        <f>IF(ISERROR($E68*VLOOKUP($C68,fish_group_yield_w!$A$7:$I$45,9,FALSE)),0,$E68*VLOOKUP($C68,fish_group_yield_w!$A$7:$I$45,9,FALSE))</f>
        <v>0</v>
      </c>
      <c r="L68" s="1586"/>
      <c r="M68" s="1586"/>
      <c r="N68" s="889"/>
    </row>
    <row r="69" spans="1:14" ht="12">
      <c r="A69" s="995" t="s">
        <v>6252</v>
      </c>
      <c r="B69" s="1599">
        <v>302.64999999999998</v>
      </c>
      <c r="C69" s="996" t="s">
        <v>3927</v>
      </c>
      <c r="D69" s="996" t="s">
        <v>4841</v>
      </c>
      <c r="E69" s="1006">
        <f t="shared" si="0"/>
        <v>0.70425674169823926</v>
      </c>
      <c r="F69" s="1006">
        <f>IFERROR($E69*(VLOOKUP(C69,fish_group_yield_n!$A$7:$J$49,7,FALSE)),0)</f>
        <v>1.9723755610728224E-2</v>
      </c>
      <c r="G69" s="1006">
        <f>IFERROR($E69*(VLOOKUP(C69,fish_group_yield_n!$A$7:$J$49,10,FALSE)),0)</f>
        <v>1.1071080374736331E-2</v>
      </c>
      <c r="H69" s="1619">
        <f t="shared" si="1"/>
        <v>0</v>
      </c>
      <c r="I69" s="997">
        <f>IF(ISERROR($E69*VLOOKUP($C69,fish_group_yield_w!$A$7:$I$45,9,FALSE)),0,$E69*VLOOKUP($C69,fish_group_yield_w!$A$7:$I$45,9,FALSE))</f>
        <v>0</v>
      </c>
      <c r="J69" s="998">
        <f>IF(ISERROR($E69*VLOOKUP($C69,fish_group_yield_w!$A$7:$I$45,9,FALSE)),0,$E69*VLOOKUP($C69,fish_group_yield_w!$A$7:$I$45,9,FALSE))</f>
        <v>0</v>
      </c>
      <c r="L69" s="1586"/>
      <c r="M69" s="1586"/>
      <c r="N69" s="889"/>
    </row>
    <row r="70" spans="1:14" ht="12">
      <c r="A70" s="995" t="s">
        <v>6253</v>
      </c>
      <c r="B70" s="1599">
        <v>303.75</v>
      </c>
      <c r="C70" s="996" t="s">
        <v>3927</v>
      </c>
      <c r="D70" s="996" t="s">
        <v>4841</v>
      </c>
      <c r="E70" s="1006">
        <f t="shared" si="0"/>
        <v>0.61671805983832018</v>
      </c>
      <c r="F70" s="1006">
        <f>IFERROR($E70*(VLOOKUP(C70,fish_group_yield_n!$A$7:$J$49,7,FALSE)),0)</f>
        <v>1.7272104862839262E-2</v>
      </c>
      <c r="G70" s="1006">
        <f>IFERROR($E70*(VLOOKUP(C70,fish_group_yield_n!$A$7:$J$49,10,FALSE)),0)</f>
        <v>9.694951861670709E-3</v>
      </c>
      <c r="H70" s="1619">
        <f t="shared" si="1"/>
        <v>0</v>
      </c>
      <c r="I70" s="997">
        <f>IF(ISERROR($E70*VLOOKUP($C70,fish_group_yield_w!$A$7:$I$45,9,FALSE)),0,$E70*VLOOKUP($C70,fish_group_yield_w!$A$7:$I$45,9,FALSE))</f>
        <v>0</v>
      </c>
      <c r="J70" s="998">
        <f>IF(ISERROR($E70*VLOOKUP($C70,fish_group_yield_w!$A$7:$I$45,9,FALSE)),0,$E70*VLOOKUP($C70,fish_group_yield_w!$A$7:$I$45,9,FALSE))</f>
        <v>0</v>
      </c>
      <c r="L70" s="1586"/>
      <c r="M70" s="1586"/>
      <c r="N70" s="889"/>
    </row>
    <row r="71" spans="1:14" ht="12">
      <c r="A71" s="1587" t="s">
        <v>6253</v>
      </c>
      <c r="B71" s="1587">
        <v>303.81</v>
      </c>
      <c r="C71" s="996" t="s">
        <v>3927</v>
      </c>
      <c r="D71" s="996" t="s">
        <v>4841</v>
      </c>
      <c r="E71" s="1006">
        <f t="shared" ref="E71:E134" si="2">IFERROR(1/VLOOKUP(B71,constant_fish_extr,2,FALSE),0)</f>
        <v>0</v>
      </c>
      <c r="F71" s="1006">
        <f>IFERROR($E71*(VLOOKUP(C71,fish_group_yield_n!$A$7:$J$49,7,FALSE)),0)</f>
        <v>0</v>
      </c>
      <c r="G71" s="1006">
        <f>IFERROR($E71*(VLOOKUP(C71,fish_group_yield_n!$A$7:$J$49,10,FALSE)),0)</f>
        <v>0</v>
      </c>
      <c r="H71" s="1619">
        <f t="shared" ref="H71:H134" si="3">IF(ISERROR(VLOOKUP(B71,tbl_figis_commodity,2,FALSE)/E71),0,VLOOKUP(B71,tbl_figis_commodity,2,FALSE)/E71)</f>
        <v>0</v>
      </c>
      <c r="I71" s="997">
        <f>IF(ISERROR($E71*VLOOKUP($C71,fish_group_yield_w!$A$7:$I$45,9,FALSE)),0,$E71*VLOOKUP($C71,fish_group_yield_w!$A$7:$I$45,9,FALSE))</f>
        <v>0</v>
      </c>
      <c r="J71" s="998">
        <f>IF(ISERROR($E71*VLOOKUP($C71,fish_group_yield_w!$A$7:$I$45,9,FALSE)),0,$E71*VLOOKUP($C71,fish_group_yield_w!$A$7:$I$45,9,FALSE))</f>
        <v>0</v>
      </c>
      <c r="L71" s="1586"/>
      <c r="M71" s="1586"/>
      <c r="N71" s="889"/>
    </row>
    <row r="72" spans="1:14" ht="12">
      <c r="A72" s="1348" t="s">
        <v>8653</v>
      </c>
      <c r="B72" s="1618">
        <v>302.74</v>
      </c>
      <c r="C72" s="996" t="s">
        <v>3928</v>
      </c>
      <c r="D72" s="996" t="s">
        <v>4841</v>
      </c>
      <c r="E72" s="1006">
        <f t="shared" si="2"/>
        <v>0.82233282839212285</v>
      </c>
      <c r="F72" s="1006">
        <f>IFERROR($E72*(VLOOKUP(C72,fish_group_yield_n!$A$7:$J$49,7,FALSE)),0)</f>
        <v>3.9645169057007788E-2</v>
      </c>
      <c r="G72" s="1006">
        <f>IFERROR($E72*(VLOOKUP(C72,fish_group_yield_n!$A$7:$J$49,10,FALSE)),0)</f>
        <v>3.8297845058711935E-2</v>
      </c>
      <c r="H72" s="1619">
        <f t="shared" si="3"/>
        <v>1.2160526315789475</v>
      </c>
      <c r="I72" s="997">
        <f>IF(ISERROR($E72*VLOOKUP($C72,fish_group_yield_w!$A$7:$I$45,9,FALSE)),0,$E72*VLOOKUP($C72,fish_group_yield_w!$A$7:$I$45,9,FALSE))</f>
        <v>0.23083039451807974</v>
      </c>
      <c r="J72" s="998">
        <f>IF(ISERROR($E72*VLOOKUP($C72,fish_group_yield_w!$A$7:$I$45,9,FALSE)),0,$E72*VLOOKUP($C72,fish_group_yield_w!$A$7:$I$45,9,FALSE))</f>
        <v>0.23083039451807974</v>
      </c>
      <c r="L72" s="1586"/>
      <c r="M72" s="1586"/>
      <c r="N72" s="889"/>
    </row>
    <row r="73" spans="1:14" ht="12">
      <c r="A73" s="995" t="s">
        <v>6254</v>
      </c>
      <c r="B73" s="1599">
        <v>302.66000000000003</v>
      </c>
      <c r="C73" s="996" t="s">
        <v>3928</v>
      </c>
      <c r="D73" s="996" t="s">
        <v>4841</v>
      </c>
      <c r="E73" s="1006">
        <f t="shared" si="2"/>
        <v>0.82233282839212285</v>
      </c>
      <c r="F73" s="1006">
        <f>IFERROR($E73*(VLOOKUP(C73,fish_group_yield_n!$A$7:$J$49,7,FALSE)),0)</f>
        <v>3.9645169057007788E-2</v>
      </c>
      <c r="G73" s="1006">
        <f>IFERROR($E73*(VLOOKUP(C73,fish_group_yield_n!$A$7:$J$49,10,FALSE)),0)</f>
        <v>3.8297845058711935E-2</v>
      </c>
      <c r="H73" s="1619">
        <f t="shared" si="3"/>
        <v>0</v>
      </c>
      <c r="I73" s="997">
        <f>IF(ISERROR($E73*VLOOKUP($C73,fish_group_yield_w!$A$7:$I$45,9,FALSE)),0,$E73*VLOOKUP($C73,fish_group_yield_w!$A$7:$I$45,9,FALSE))</f>
        <v>0.23083039451807974</v>
      </c>
      <c r="J73" s="998">
        <f>IF(ISERROR($E73*VLOOKUP($C73,fish_group_yield_w!$A$7:$I$45,9,FALSE)),0,$E73*VLOOKUP($C73,fish_group_yield_w!$A$7:$I$45,9,FALSE))</f>
        <v>0.23083039451807974</v>
      </c>
      <c r="L73" s="1586"/>
      <c r="M73" s="1586"/>
      <c r="N73" s="889"/>
    </row>
    <row r="74" spans="1:14" ht="12">
      <c r="A74" s="995" t="s">
        <v>6255</v>
      </c>
      <c r="B74" s="1599">
        <v>303.76</v>
      </c>
      <c r="C74" s="996" t="s">
        <v>3928</v>
      </c>
      <c r="D74" s="996" t="s">
        <v>4841</v>
      </c>
      <c r="E74" s="1006">
        <f t="shared" si="2"/>
        <v>0.82233282839212285</v>
      </c>
      <c r="F74" s="1006">
        <f>IFERROR($E74*(VLOOKUP(C74,fish_group_yield_n!$A$7:$J$49,7,FALSE)),0)</f>
        <v>3.9645169057007788E-2</v>
      </c>
      <c r="G74" s="1006">
        <f>IFERROR($E74*(VLOOKUP(C74,fish_group_yield_n!$A$7:$J$49,10,FALSE)),0)</f>
        <v>3.8297845058711935E-2</v>
      </c>
      <c r="H74" s="1619">
        <f t="shared" si="3"/>
        <v>0</v>
      </c>
      <c r="I74" s="997">
        <f>IF(ISERROR($E74*VLOOKUP($C74,fish_group_yield_w!$A$7:$I$45,9,FALSE)),0,$E74*VLOOKUP($C74,fish_group_yield_w!$A$7:$I$45,9,FALSE))</f>
        <v>0.23083039451807974</v>
      </c>
      <c r="J74" s="998">
        <f>IF(ISERROR($E74*VLOOKUP($C74,fish_group_yield_w!$A$7:$I$45,9,FALSE)),0,$E74*VLOOKUP($C74,fish_group_yield_w!$A$7:$I$45,9,FALSE))</f>
        <v>0.23083039451807974</v>
      </c>
      <c r="L74" s="1586"/>
      <c r="M74" s="1586"/>
      <c r="N74" s="889"/>
    </row>
    <row r="75" spans="1:14" ht="12">
      <c r="A75" s="995" t="s">
        <v>6256</v>
      </c>
      <c r="B75" s="1599">
        <v>301.92</v>
      </c>
      <c r="C75" s="996" t="s">
        <v>3928</v>
      </c>
      <c r="D75" s="996" t="s">
        <v>4841</v>
      </c>
      <c r="E75" s="1006">
        <f t="shared" si="2"/>
        <v>0.82233282839212285</v>
      </c>
      <c r="F75" s="1006">
        <f>IFERROR($E75*(VLOOKUP(C75,fish_group_yield_n!$A$7:$J$49,7,FALSE)),0)</f>
        <v>3.9645169057007788E-2</v>
      </c>
      <c r="G75" s="1006">
        <f>IFERROR($E75*(VLOOKUP(C75,fish_group_yield_n!$A$7:$J$49,10,FALSE)),0)</f>
        <v>3.8297845058711935E-2</v>
      </c>
      <c r="H75" s="1619">
        <f t="shared" si="3"/>
        <v>127.68552631578949</v>
      </c>
      <c r="I75" s="997">
        <f>IF(ISERROR($E75*VLOOKUP($C75,fish_group_yield_w!$A$7:$I$45,9,FALSE)),0,$E75*VLOOKUP($C75,fish_group_yield_w!$A$7:$I$45,9,FALSE))</f>
        <v>0.23083039451807974</v>
      </c>
      <c r="J75" s="998">
        <f>IF(ISERROR($E75*VLOOKUP($C75,fish_group_yield_w!$A$7:$I$45,9,FALSE)),0,$E75*VLOOKUP($C75,fish_group_yield_w!$A$7:$I$45,9,FALSE))</f>
        <v>0.23083039451807974</v>
      </c>
      <c r="L75" s="1586"/>
      <c r="M75" s="1586"/>
      <c r="N75" s="889"/>
    </row>
    <row r="76" spans="1:14" ht="12">
      <c r="A76" s="1348" t="s">
        <v>8714</v>
      </c>
      <c r="B76" s="1618">
        <v>1604.17</v>
      </c>
      <c r="C76" s="1348" t="s">
        <v>3928</v>
      </c>
      <c r="D76" s="1348" t="s">
        <v>4841</v>
      </c>
      <c r="E76" s="1006">
        <f t="shared" si="2"/>
        <v>0.6508758613272817</v>
      </c>
      <c r="F76" s="1006">
        <f>IFERROR($E76*(VLOOKUP(C76,fish_group_yield_n!$A$7:$J$49,7,FALSE)),0)</f>
        <v>3.1379123715514823E-2</v>
      </c>
      <c r="G76" s="1006">
        <f>IFERROR($E76*(VLOOKUP(C76,fish_group_yield_n!$A$7:$J$49,10,FALSE)),0)</f>
        <v>3.0312717708603502E-2</v>
      </c>
      <c r="H76" s="1619">
        <f t="shared" si="3"/>
        <v>1823.6964535440616</v>
      </c>
      <c r="I76" s="997">
        <f>IF(ISERROR($E76*VLOOKUP($C76,fish_group_yield_w!$A$7:$I$45,9,FALSE)),0,$E76*VLOOKUP($C76,fish_group_yield_w!$A$7:$I$45,9,FALSE))</f>
        <v>0.18270209660270273</v>
      </c>
      <c r="J76" s="998">
        <f>IF(ISERROR($E76*VLOOKUP($C76,fish_group_yield_w!$A$7:$I$45,9,FALSE)),0,$E76*VLOOKUP($C76,fish_group_yield_w!$A$7:$I$45,9,FALSE))</f>
        <v>0.18270209660270273</v>
      </c>
      <c r="L76" s="1586"/>
      <c r="M76" s="1586"/>
      <c r="N76" s="889"/>
    </row>
    <row r="77" spans="1:14" ht="12">
      <c r="A77" s="1348" t="s">
        <v>8655</v>
      </c>
      <c r="B77" s="1618">
        <v>303.26</v>
      </c>
      <c r="C77" s="1348" t="s">
        <v>3928</v>
      </c>
      <c r="D77" s="1348" t="s">
        <v>4841</v>
      </c>
      <c r="E77" s="1006">
        <f t="shared" si="2"/>
        <v>0.82233282839212285</v>
      </c>
      <c r="F77" s="1006">
        <f>IFERROR($E77*(VLOOKUP(C77,fish_group_yield_n!$A$7:$J$49,7,FALSE)),0)</f>
        <v>3.9645169057007788E-2</v>
      </c>
      <c r="G77" s="1006">
        <f>IFERROR($E77*(VLOOKUP(C77,fish_group_yield_n!$A$7:$J$49,10,FALSE)),0)</f>
        <v>3.8297845058711935E-2</v>
      </c>
      <c r="H77" s="1619">
        <f t="shared" si="3"/>
        <v>316.17368421052635</v>
      </c>
      <c r="I77" s="997">
        <f>IF(ISERROR($E77*VLOOKUP($C77,fish_group_yield_w!$A$7:$I$45,9,FALSE)),0,$E77*VLOOKUP($C77,fish_group_yield_w!$A$7:$I$45,9,FALSE))</f>
        <v>0.23083039451807974</v>
      </c>
      <c r="J77" s="998">
        <f>IF(ISERROR($E77*VLOOKUP($C77,fish_group_yield_w!$A$7:$I$45,9,FALSE)),0,$E77*VLOOKUP($C77,fish_group_yield_w!$A$7:$I$45,9,FALSE))</f>
        <v>0.23083039451807974</v>
      </c>
      <c r="L77" s="1586"/>
      <c r="M77" s="1586"/>
      <c r="N77" s="889"/>
    </row>
    <row r="78" spans="1:14" ht="12">
      <c r="A78" s="995" t="s">
        <v>6257</v>
      </c>
      <c r="B78" s="1599">
        <v>305.3</v>
      </c>
      <c r="C78" s="996" t="s">
        <v>1803</v>
      </c>
      <c r="D78" s="996"/>
      <c r="E78" s="1006">
        <f t="shared" si="2"/>
        <v>0.25</v>
      </c>
      <c r="F78" s="1006">
        <f>IFERROR($E78*(VLOOKUP(C78,fish_group_yield_n!$A$7:$J$49,7,FALSE)),0)</f>
        <v>1.8346823046698085E-2</v>
      </c>
      <c r="G78" s="1006">
        <f>IFERROR($E78*(VLOOKUP(C78,fish_group_yield_n!$A$7:$J$49,10,FALSE)),0)</f>
        <v>1.8346823046698085E-2</v>
      </c>
      <c r="H78" s="1619">
        <f t="shared" si="3"/>
        <v>0</v>
      </c>
      <c r="I78" s="997">
        <f>IF(ISERROR($E78*VLOOKUP($C78,fish_group_yield_w!$A$7:$I$45,9,FALSE)),0,$E78*VLOOKUP($C78,fish_group_yield_w!$A$7:$I$45,9,FALSE))</f>
        <v>0</v>
      </c>
      <c r="J78" s="998">
        <f>IF(ISERROR($E78*VLOOKUP($C78,fish_group_yield_w!$A$7:$I$45,9,FALSE)),0,$E78*VLOOKUP($C78,fish_group_yield_w!$A$7:$I$45,9,FALSE))</f>
        <v>0</v>
      </c>
      <c r="L78" s="1586"/>
      <c r="M78" s="1586"/>
      <c r="N78" s="889"/>
    </row>
    <row r="79" spans="1:14" ht="12">
      <c r="A79" s="1348" t="s">
        <v>8656</v>
      </c>
      <c r="B79" s="1618">
        <v>304.49</v>
      </c>
      <c r="C79" s="1348" t="s">
        <v>1803</v>
      </c>
      <c r="D79" s="1348"/>
      <c r="E79" s="1006">
        <f t="shared" si="2"/>
        <v>1</v>
      </c>
      <c r="F79" s="1006">
        <f>IFERROR($E79*(VLOOKUP(C79,fish_group_yield_n!$A$7:$J$49,7,FALSE)),0)</f>
        <v>7.3387292186792338E-2</v>
      </c>
      <c r="G79" s="1006">
        <f>IFERROR($E79*(VLOOKUP(C79,fish_group_yield_n!$A$7:$J$49,10,FALSE)),0)</f>
        <v>7.3387292186792338E-2</v>
      </c>
      <c r="H79" s="1619">
        <f t="shared" si="3"/>
        <v>8369</v>
      </c>
      <c r="I79" s="997">
        <f>IF(ISERROR($E79*VLOOKUP($C79,fish_group_yield_w!$A$7:$I$45,9,FALSE)),0,$E79*VLOOKUP($C79,fish_group_yield_w!$A$7:$I$45,9,FALSE))</f>
        <v>0</v>
      </c>
      <c r="J79" s="998">
        <f>IF(ISERROR($E79*VLOOKUP($C79,fish_group_yield_w!$A$7:$I$45,9,FALSE)),0,$E79*VLOOKUP($C79,fish_group_yield_w!$A$7:$I$45,9,FALSE))</f>
        <v>0</v>
      </c>
      <c r="L79" s="1586"/>
      <c r="M79" s="1586"/>
      <c r="N79" s="889"/>
    </row>
    <row r="80" spans="1:14" ht="12">
      <c r="A80" s="995" t="s">
        <v>1909</v>
      </c>
      <c r="B80" s="1599">
        <v>304.29000000000002</v>
      </c>
      <c r="C80" s="996" t="s">
        <v>1803</v>
      </c>
      <c r="D80" s="996"/>
      <c r="E80" s="1006">
        <f t="shared" si="2"/>
        <v>0.64922665648271916</v>
      </c>
      <c r="F80" s="1006">
        <f>IFERROR($E80*(VLOOKUP(C80,fish_group_yield_n!$A$7:$J$49,7,FALSE)),0)</f>
        <v>4.7644986334751567E-2</v>
      </c>
      <c r="G80" s="1006">
        <f>IFERROR($E80*(VLOOKUP(C80,fish_group_yield_n!$A$7:$J$49,10,FALSE)),0)</f>
        <v>4.7644986334751567E-2</v>
      </c>
      <c r="H80" s="1619">
        <f t="shared" si="3"/>
        <v>0</v>
      </c>
      <c r="I80" s="997">
        <f>IF(ISERROR($E80*VLOOKUP($C80,fish_group_yield_w!$A$7:$I$45,9,FALSE)),0,$E80*VLOOKUP($C80,fish_group_yield_w!$A$7:$I$45,9,FALSE))</f>
        <v>0</v>
      </c>
      <c r="J80" s="998">
        <f>IF(ISERROR($E80*VLOOKUP($C80,fish_group_yield_w!$A$7:$I$45,9,FALSE)),0,$E80*VLOOKUP($C80,fish_group_yield_w!$A$7:$I$45,9,FALSE))</f>
        <v>0</v>
      </c>
      <c r="L80" s="1586"/>
      <c r="M80" s="1586"/>
      <c r="N80" s="889"/>
    </row>
    <row r="81" spans="1:14" ht="12">
      <c r="A81" s="1587" t="s">
        <v>1909</v>
      </c>
      <c r="B81" s="1587">
        <v>304.89</v>
      </c>
      <c r="C81" s="996" t="s">
        <v>1803</v>
      </c>
      <c r="D81" s="1618"/>
      <c r="E81" s="1006">
        <f t="shared" si="2"/>
        <v>0</v>
      </c>
      <c r="F81" s="1006">
        <f>IFERROR($E81*(VLOOKUP(C81,fish_group_yield_n!$A$7:$J$49,7,FALSE)),0)</f>
        <v>0</v>
      </c>
      <c r="G81" s="1006">
        <f>IFERROR($E81*(VLOOKUP(C81,fish_group_yield_n!$A$7:$J$49,10,FALSE)),0)</f>
        <v>0</v>
      </c>
      <c r="H81" s="1619">
        <f t="shared" si="3"/>
        <v>0</v>
      </c>
      <c r="I81" s="997">
        <f>IF(ISERROR($E81*VLOOKUP($C81,fish_group_yield_w!$A$7:$I$45,9,FALSE)),0,$E81*VLOOKUP($C81,fish_group_yield_w!$A$7:$I$45,9,FALSE))</f>
        <v>0</v>
      </c>
      <c r="J81" s="998">
        <f>IF(ISERROR($E81*VLOOKUP($C81,fish_group_yield_w!$A$7:$I$45,9,FALSE)),0,$E81*VLOOKUP($C81,fish_group_yield_w!$A$7:$I$45,9,FALSE))</f>
        <v>0</v>
      </c>
      <c r="L81" s="1586"/>
      <c r="M81" s="1586"/>
      <c r="N81" s="889"/>
    </row>
    <row r="82" spans="1:14" ht="12">
      <c r="A82" s="995" t="s">
        <v>5004</v>
      </c>
      <c r="B82" s="1599">
        <v>305.10000000000002</v>
      </c>
      <c r="C82" s="996" t="s">
        <v>3615</v>
      </c>
      <c r="D82" s="996"/>
      <c r="E82" s="1006">
        <f t="shared" si="2"/>
        <v>0.267538644470868</v>
      </c>
      <c r="F82" s="1006">
        <f>IFERROR($E82*(VLOOKUP(C82,fish_group_yield_n!$A$7:$J$49,7,FALSE)),0)</f>
        <v>9.4283796598758893E-2</v>
      </c>
      <c r="G82" s="1006">
        <f>IFERROR($E82*(VLOOKUP(C82,fish_group_yield_n!$A$7:$J$49,10,FALSE)),0)</f>
        <v>0.47158357768660519</v>
      </c>
      <c r="H82" s="1619">
        <f t="shared" si="3"/>
        <v>231.74222222222224</v>
      </c>
      <c r="I82" s="997">
        <f>IF(ISERROR($E82*VLOOKUP($C82,fish_group_yield_w!$A$7:$I$45,9,FALSE)),0,$E82*VLOOKUP($C82,fish_group_yield_w!$A$7:$I$45,9,FALSE))</f>
        <v>0</v>
      </c>
      <c r="J82" s="998">
        <f>IF(ISERROR($E82*VLOOKUP($C82,fish_group_yield_w!$A$7:$I$45,9,FALSE)),0,$E82*VLOOKUP($C82,fish_group_yield_w!$A$7:$I$45,9,FALSE))</f>
        <v>0</v>
      </c>
      <c r="L82" s="1586"/>
      <c r="M82" s="1586"/>
      <c r="N82" s="889"/>
    </row>
    <row r="83" spans="1:14" ht="12">
      <c r="A83" s="1348" t="s">
        <v>8657</v>
      </c>
      <c r="B83" s="1618">
        <v>305.72000000000003</v>
      </c>
      <c r="C83" s="1348" t="s">
        <v>1803</v>
      </c>
      <c r="D83" s="1348"/>
      <c r="E83" s="1006">
        <f t="shared" si="2"/>
        <v>0</v>
      </c>
      <c r="F83" s="1006">
        <f>IFERROR($E83*(VLOOKUP(C83,fish_group_yield_n!$A$7:$J$49,7,FALSE)),0)</f>
        <v>0</v>
      </c>
      <c r="G83" s="1006">
        <f>IFERROR($E83*(VLOOKUP(C83,fish_group_yield_n!$A$7:$J$49,10,FALSE)),0)</f>
        <v>0</v>
      </c>
      <c r="H83" s="1619">
        <f t="shared" si="3"/>
        <v>0</v>
      </c>
      <c r="I83" s="997">
        <f>IF(ISERROR($E83*VLOOKUP($C83,fish_group_yield_w!$A$7:$I$45,9,FALSE)),0,$E83*VLOOKUP($C83,fish_group_yield_w!$A$7:$I$45,9,FALSE))</f>
        <v>0</v>
      </c>
      <c r="J83" s="998">
        <f>IF(ISERROR($E83*VLOOKUP($C83,fish_group_yield_w!$A$7:$I$45,9,FALSE)),0,$E83*VLOOKUP($C83,fish_group_yield_w!$A$7:$I$45,9,FALSE))</f>
        <v>0</v>
      </c>
      <c r="L83" s="1586"/>
      <c r="M83" s="1586"/>
      <c r="N83" s="889"/>
    </row>
    <row r="84" spans="1:14" ht="12">
      <c r="A84" s="995" t="s">
        <v>6258</v>
      </c>
      <c r="B84" s="1599">
        <v>305.2</v>
      </c>
      <c r="C84" s="996" t="s">
        <v>1803</v>
      </c>
      <c r="D84" s="996"/>
      <c r="E84" s="1006">
        <f t="shared" si="2"/>
        <v>0</v>
      </c>
      <c r="F84" s="1006">
        <f>IFERROR($E84*(VLOOKUP(C84,fish_group_yield_n!$A$7:$J$49,7,FALSE)),0)</f>
        <v>0</v>
      </c>
      <c r="G84" s="1006">
        <f>IFERROR($E84*(VLOOKUP(C84,fish_group_yield_n!$A$7:$J$49,10,FALSE)),0)</f>
        <v>0</v>
      </c>
      <c r="H84" s="1619">
        <f t="shared" si="3"/>
        <v>0</v>
      </c>
      <c r="I84" s="997">
        <f>IF(ISERROR($E84*VLOOKUP($C84,fish_group_yield_w!$A$7:$I$45,9,FALSE)),0,$E84*VLOOKUP($C84,fish_group_yield_w!$A$7:$I$45,9,FALSE))</f>
        <v>0</v>
      </c>
      <c r="J84" s="998">
        <f>IF(ISERROR($E84*VLOOKUP($C84,fish_group_yield_w!$A$7:$I$45,9,FALSE)),0,$E84*VLOOKUP($C84,fish_group_yield_w!$A$7:$I$45,9,FALSE))</f>
        <v>0</v>
      </c>
      <c r="L84" s="1586"/>
      <c r="M84" s="1586"/>
      <c r="N84" s="889"/>
    </row>
    <row r="85" spans="1:14" ht="12">
      <c r="A85" s="995" t="s">
        <v>6259</v>
      </c>
      <c r="B85" s="1599">
        <v>303.8</v>
      </c>
      <c r="C85" s="996" t="s">
        <v>1803</v>
      </c>
      <c r="D85" s="996"/>
      <c r="E85" s="1006">
        <f t="shared" si="2"/>
        <v>0</v>
      </c>
      <c r="F85" s="1006">
        <f>IFERROR($E85*(VLOOKUP(C85,fish_group_yield_n!$A$7:$J$49,7,FALSE)),0)</f>
        <v>0</v>
      </c>
      <c r="G85" s="1006">
        <f>IFERROR($E85*(VLOOKUP(C85,fish_group_yield_n!$A$7:$J$49,10,FALSE)),0)</f>
        <v>0</v>
      </c>
      <c r="H85" s="1619">
        <f t="shared" si="3"/>
        <v>0</v>
      </c>
      <c r="I85" s="997">
        <f>IF(ISERROR($E85*VLOOKUP($C85,fish_group_yield_w!$A$7:$I$45,9,FALSE)),0,$E85*VLOOKUP($C85,fish_group_yield_w!$A$7:$I$45,9,FALSE))</f>
        <v>0</v>
      </c>
      <c r="J85" s="998">
        <f>IF(ISERROR($E85*VLOOKUP($C85,fish_group_yield_w!$A$7:$I$45,9,FALSE)),0,$E85*VLOOKUP($C85,fish_group_yield_w!$A$7:$I$45,9,FALSE))</f>
        <v>0</v>
      </c>
      <c r="L85" s="1586"/>
      <c r="M85" s="1586"/>
      <c r="N85" s="889"/>
    </row>
    <row r="86" spans="1:14" ht="12">
      <c r="A86" s="1587" t="s">
        <v>6259</v>
      </c>
      <c r="B86" s="1587">
        <v>303.89999999999998</v>
      </c>
      <c r="C86" s="996" t="s">
        <v>1803</v>
      </c>
      <c r="D86" s="1618"/>
      <c r="E86" s="1006">
        <f t="shared" si="2"/>
        <v>0</v>
      </c>
      <c r="F86" s="1006">
        <f>IFERROR($E86*(VLOOKUP(C86,fish_group_yield_n!$A$7:$J$49,7,FALSE)),0)</f>
        <v>0</v>
      </c>
      <c r="G86" s="1006">
        <f>IFERROR($E86*(VLOOKUP(C86,fish_group_yield_n!$A$7:$J$49,10,FALSE)),0)</f>
        <v>0</v>
      </c>
      <c r="H86" s="1619">
        <f t="shared" si="3"/>
        <v>0</v>
      </c>
      <c r="I86" s="997">
        <f>IF(ISERROR($E86*VLOOKUP($C86,fish_group_yield_w!$A$7:$I$45,9,FALSE)),0,$E86*VLOOKUP($C86,fish_group_yield_w!$A$7:$I$45,9,FALSE))</f>
        <v>0</v>
      </c>
      <c r="J86" s="998">
        <f>IF(ISERROR($E86*VLOOKUP($C86,fish_group_yield_w!$A$7:$I$45,9,FALSE)),0,$E86*VLOOKUP($C86,fish_group_yield_w!$A$7:$I$45,9,FALSE))</f>
        <v>0</v>
      </c>
      <c r="L86" s="1586"/>
      <c r="M86" s="1586"/>
      <c r="N86" s="889"/>
    </row>
    <row r="87" spans="1:14" ht="15" customHeight="1">
      <c r="A87" s="995" t="s">
        <v>6260</v>
      </c>
      <c r="B87" s="1599">
        <v>1504.2</v>
      </c>
      <c r="C87" s="996" t="s">
        <v>3615</v>
      </c>
      <c r="D87" s="996" t="s">
        <v>4843</v>
      </c>
      <c r="E87" s="1006">
        <f t="shared" si="2"/>
        <v>0.31</v>
      </c>
      <c r="F87" s="1006">
        <f>IFERROR($E87*(VLOOKUP(C87,fish_group_yield_n!$A$7:$J$49,7,FALSE)),0)</f>
        <v>0.10924768271672192</v>
      </c>
      <c r="G87" s="1006">
        <f>IFERROR($E87*(VLOOKUP(C87,fish_group_yield_n!$A$7:$J$49,10,FALSE)),0)</f>
        <v>0.5464291312829993</v>
      </c>
      <c r="H87" s="1619">
        <f t="shared" si="3"/>
        <v>70129.032258064515</v>
      </c>
      <c r="I87" s="997">
        <f>IF(ISERROR($E87*VLOOKUP($C87,fish_group_yield_w!$A$7:$I$45,9,FALSE)),0,$E87*VLOOKUP($C87,fish_group_yield_w!$A$7:$I$45,9,FALSE))</f>
        <v>0</v>
      </c>
      <c r="J87" s="998">
        <f>IF(ISERROR($E87*VLOOKUP($C87,fish_group_yield_w!$A$7:$I$45,9,FALSE)),0,$E87*VLOOKUP($C87,fish_group_yield_w!$A$7:$I$45,9,FALSE))</f>
        <v>0</v>
      </c>
      <c r="L87" s="1586"/>
      <c r="M87" s="1586"/>
      <c r="N87" s="889"/>
    </row>
    <row r="88" spans="1:14" ht="12">
      <c r="A88" s="995" t="s">
        <v>6261</v>
      </c>
      <c r="B88" s="1599">
        <v>511.91</v>
      </c>
      <c r="C88" s="996" t="s">
        <v>1803</v>
      </c>
      <c r="D88" s="996"/>
      <c r="E88" s="1006">
        <f t="shared" si="2"/>
        <v>0</v>
      </c>
      <c r="F88" s="1006">
        <f>IFERROR($E88*(VLOOKUP(C88,fish_group_yield_n!$A$7:$J$49,7,FALSE)),0)</f>
        <v>0</v>
      </c>
      <c r="G88" s="1006">
        <f>IFERROR($E88*(VLOOKUP(C88,fish_group_yield_n!$A$7:$J$49,10,FALSE)),0)</f>
        <v>0</v>
      </c>
      <c r="H88" s="1619">
        <f t="shared" si="3"/>
        <v>0</v>
      </c>
      <c r="I88" s="997">
        <f>IF(ISERROR($E88*VLOOKUP($C88,fish_group_yield_w!$A$7:$I$45,9,FALSE)),0,$E88*VLOOKUP($C88,fish_group_yield_w!$A$7:$I$45,9,FALSE))</f>
        <v>0</v>
      </c>
      <c r="J88" s="998">
        <f>IF(ISERROR($E88*VLOOKUP($C88,fish_group_yield_w!$A$7:$I$45,9,FALSE)),0,$E88*VLOOKUP($C88,fish_group_yield_w!$A$7:$I$45,9,FALSE))</f>
        <v>0</v>
      </c>
      <c r="L88" s="1586"/>
      <c r="M88" s="1586"/>
      <c r="N88" s="889"/>
    </row>
    <row r="89" spans="1:14" ht="12">
      <c r="A89" s="995" t="s">
        <v>6262</v>
      </c>
      <c r="B89" s="1599">
        <v>1504.1</v>
      </c>
      <c r="C89" s="996" t="s">
        <v>1803</v>
      </c>
      <c r="D89" s="996" t="s">
        <v>4844</v>
      </c>
      <c r="E89" s="1006">
        <f t="shared" si="2"/>
        <v>0.31</v>
      </c>
      <c r="F89" s="1006">
        <f>IFERROR($E89*(VLOOKUP(C89,fish_group_yield_n!$A$7:$J$49,7,FALSE)),0)</f>
        <v>2.2750060577905625E-2</v>
      </c>
      <c r="G89" s="1006">
        <f>IFERROR($E89*(VLOOKUP(C89,fish_group_yield_n!$A$7:$J$49,10,FALSE)),0)</f>
        <v>2.2750060577905625E-2</v>
      </c>
      <c r="H89" s="1619">
        <f t="shared" si="3"/>
        <v>7477.4193548387093</v>
      </c>
      <c r="I89" s="997">
        <f>IF(ISERROR($E89*VLOOKUP($C89,fish_group_yield_w!$A$7:$I$45,9,FALSE)),0,$E89*VLOOKUP($C89,fish_group_yield_w!$A$7:$I$45,9,FALSE))</f>
        <v>0</v>
      </c>
      <c r="J89" s="998">
        <f>IF(ISERROR($E89*VLOOKUP($C89,fish_group_yield_w!$A$7:$I$45,9,FALSE)),0,$E89*VLOOKUP($C89,fish_group_yield_w!$A$7:$I$45,9,FALSE))</f>
        <v>0</v>
      </c>
      <c r="L89" s="1586"/>
      <c r="M89" s="1586"/>
      <c r="N89" s="889"/>
    </row>
    <row r="90" spans="1:14" ht="12">
      <c r="A90" s="1348" t="s">
        <v>8658</v>
      </c>
      <c r="B90" s="1618">
        <v>304.43</v>
      </c>
      <c r="C90" s="1348" t="s">
        <v>8745</v>
      </c>
      <c r="D90" s="1348" t="s">
        <v>4841</v>
      </c>
      <c r="E90" s="1006">
        <f t="shared" si="2"/>
        <v>1</v>
      </c>
      <c r="F90" s="1006">
        <f>IFERROR($E90*(VLOOKUP(C90,fish_group_yield_n!$A$7:$J$49,7,FALSE)),0)</f>
        <v>0</v>
      </c>
      <c r="G90" s="1006">
        <f>IFERROR($E90*(VLOOKUP(C90,fish_group_yield_n!$A$7:$J$49,10,FALSE)),0)</f>
        <v>0</v>
      </c>
      <c r="H90" s="1619">
        <f t="shared" si="3"/>
        <v>1218</v>
      </c>
      <c r="I90" s="997">
        <f>IF(ISERROR($E90*VLOOKUP($C90,fish_group_yield_w!$A$7:$I$45,9,FALSE)),0,$E90*VLOOKUP($C90,fish_group_yield_w!$A$7:$I$45,9,FALSE))</f>
        <v>0</v>
      </c>
      <c r="J90" s="998">
        <f>IF(ISERROR($E90*VLOOKUP($C90,fish_group_yield_w!$A$7:$I$45,9,FALSE)),0,$E90*VLOOKUP($C90,fish_group_yield_w!$A$7:$I$45,9,FALSE))</f>
        <v>0</v>
      </c>
      <c r="L90" s="1586"/>
      <c r="M90" s="1586"/>
      <c r="N90" s="889"/>
    </row>
    <row r="91" spans="1:14" ht="12">
      <c r="A91" s="1348" t="s">
        <v>8635</v>
      </c>
      <c r="B91" s="1618">
        <v>304.83</v>
      </c>
      <c r="C91" s="1348" t="s">
        <v>8745</v>
      </c>
      <c r="D91" s="1348" t="s">
        <v>4841</v>
      </c>
      <c r="E91" s="1006">
        <f t="shared" si="2"/>
        <v>0.50820469632624188</v>
      </c>
      <c r="F91" s="1006">
        <f>IFERROR($E91*(VLOOKUP(C91,fish_group_yield_n!$A$7:$J$49,7,FALSE)),0)</f>
        <v>0</v>
      </c>
      <c r="G91" s="1006">
        <f>IFERROR($E91*(VLOOKUP(C91,fish_group_yield_n!$A$7:$J$49,10,FALSE)),0)</f>
        <v>0</v>
      </c>
      <c r="H91" s="1619">
        <f t="shared" si="3"/>
        <v>45357.707566721139</v>
      </c>
      <c r="I91" s="997">
        <f>IF(ISERROR($E91*VLOOKUP($C91,fish_group_yield_w!$A$7:$I$45,9,FALSE)),0,$E91*VLOOKUP($C91,fish_group_yield_w!$A$7:$I$45,9,FALSE))</f>
        <v>0</v>
      </c>
      <c r="J91" s="998">
        <f>IF(ISERROR($E91*VLOOKUP($C91,fish_group_yield_w!$A$7:$I$45,9,FALSE)),0,$E91*VLOOKUP($C91,fish_group_yield_w!$A$7:$I$45,9,FALSE))</f>
        <v>0</v>
      </c>
      <c r="L91" s="1586"/>
      <c r="M91" s="1586"/>
      <c r="N91" s="889"/>
    </row>
    <row r="92" spans="1:14" ht="12">
      <c r="A92" s="995" t="s">
        <v>6263</v>
      </c>
      <c r="B92" s="1599">
        <v>304.19</v>
      </c>
      <c r="C92" s="996" t="s">
        <v>1803</v>
      </c>
      <c r="D92" s="996"/>
      <c r="E92" s="1006">
        <f t="shared" si="2"/>
        <v>0.5</v>
      </c>
      <c r="F92" s="1006">
        <f>IFERROR($E92*(VLOOKUP(C92,fish_group_yield_n!$A$7:$J$49,7,FALSE)),0)</f>
        <v>3.6693646093396169E-2</v>
      </c>
      <c r="G92" s="1006">
        <f>IFERROR($E92*(VLOOKUP(C92,fish_group_yield_n!$A$7:$J$49,10,FALSE)),0)</f>
        <v>3.6693646093396169E-2</v>
      </c>
      <c r="H92" s="1619">
        <f t="shared" si="3"/>
        <v>0</v>
      </c>
      <c r="I92" s="997">
        <f>IF(ISERROR($E92*VLOOKUP($C92,fish_group_yield_w!$A$7:$I$45,9,FALSE)),0,$E92*VLOOKUP($C92,fish_group_yield_w!$A$7:$I$45,9,FALSE))</f>
        <v>0</v>
      </c>
      <c r="J92" s="998">
        <f>IF(ISERROR($E92*VLOOKUP($C92,fish_group_yield_w!$A$7:$I$45,9,FALSE)),0,$E92*VLOOKUP($C92,fish_group_yield_w!$A$7:$I$45,9,FALSE))</f>
        <v>0</v>
      </c>
      <c r="L92" s="1586"/>
      <c r="M92" s="1586"/>
      <c r="N92" s="889"/>
    </row>
    <row r="93" spans="1:14" ht="12">
      <c r="A93" s="995" t="s">
        <v>6264</v>
      </c>
      <c r="B93" s="1599">
        <v>302.36</v>
      </c>
      <c r="C93" s="996" t="s">
        <v>2969</v>
      </c>
      <c r="D93" s="996" t="s">
        <v>4859</v>
      </c>
      <c r="E93" s="1006">
        <f t="shared" si="2"/>
        <v>0.50388410665546934</v>
      </c>
      <c r="F93" s="1006">
        <f>IFERROR($E93*(VLOOKUP(C93,fish_group_yield_n!$A$7:$J$49,7,FALSE)),0)</f>
        <v>6.781203179378241E-3</v>
      </c>
      <c r="G93" s="1006">
        <f>IFERROR($E93*(VLOOKUP(C93,fish_group_yield_n!$A$7:$J$49,10,FALSE)),0)</f>
        <v>6.4470553414621408E-3</v>
      </c>
      <c r="H93" s="1619">
        <f t="shared" si="3"/>
        <v>41.676249999999989</v>
      </c>
      <c r="I93" s="997">
        <f>IF(ISERROR($E93*VLOOKUP($C93,fish_group_yield_w!$A$7:$I$45,9,FALSE)),0,$E93*VLOOKUP($C93,fish_group_yield_w!$A$7:$I$45,9,FALSE))</f>
        <v>3.7097168303916097E-3</v>
      </c>
      <c r="J93" s="998">
        <f>IF(ISERROR($E93*VLOOKUP($C93,fish_group_yield_w!$A$7:$I$45,9,FALSE)),0,$E93*VLOOKUP($C93,fish_group_yield_w!$A$7:$I$45,9,FALSE))</f>
        <v>3.7097168303916097E-3</v>
      </c>
      <c r="L93" s="1586"/>
      <c r="M93" s="1586"/>
      <c r="N93" s="889"/>
    </row>
    <row r="94" spans="1:14" ht="12">
      <c r="A94" s="995" t="s">
        <v>6265</v>
      </c>
      <c r="B94" s="1599">
        <v>304.99</v>
      </c>
      <c r="C94" s="996" t="s">
        <v>1806</v>
      </c>
      <c r="D94" s="996"/>
      <c r="E94" s="1006">
        <f t="shared" si="2"/>
        <v>0.64239828693790135</v>
      </c>
      <c r="F94" s="1006">
        <f>IFERROR($E94*(VLOOKUP(C94,fish_group_yield_n!$A$7:$J$49,7,FALSE)),0)</f>
        <v>6.6514095839050005E-2</v>
      </c>
      <c r="G94" s="1006">
        <f>IFERROR($E94*(VLOOKUP(C94,fish_group_yield_n!$A$7:$J$49,10,FALSE)),0)</f>
        <v>8.2886704477655435E-2</v>
      </c>
      <c r="H94" s="1619">
        <f t="shared" si="3"/>
        <v>11740.380000000003</v>
      </c>
      <c r="I94" s="997">
        <f>IF(ISERROR($E94*VLOOKUP($C94,fish_group_yield_w!$A$7:$I$45,9,FALSE)),0,$E94*VLOOKUP($C94,fish_group_yield_w!$A$7:$I$45,9,FALSE))</f>
        <v>0.16163150041226812</v>
      </c>
      <c r="J94" s="998">
        <f>IF(ISERROR($E94*VLOOKUP($C94,fish_group_yield_w!$A$7:$I$45,9,FALSE)),0,$E94*VLOOKUP($C94,fish_group_yield_w!$A$7:$I$45,9,FALSE))</f>
        <v>0.16163150041226812</v>
      </c>
      <c r="L94" s="1586"/>
      <c r="M94" s="1586"/>
      <c r="N94" s="889"/>
    </row>
    <row r="95" spans="1:14" ht="12">
      <c r="A95" s="995" t="s">
        <v>6266</v>
      </c>
      <c r="B95" s="1599">
        <v>303.45999999999998</v>
      </c>
      <c r="C95" s="996" t="s">
        <v>2969</v>
      </c>
      <c r="D95" s="996" t="s">
        <v>4859</v>
      </c>
      <c r="E95" s="1006">
        <f t="shared" si="2"/>
        <v>0.54945054945054939</v>
      </c>
      <c r="F95" s="1006">
        <f>IFERROR($E95*(VLOOKUP(C95,fish_group_yield_n!$A$7:$J$49,7,FALSE)),0)</f>
        <v>7.394430115242343E-3</v>
      </c>
      <c r="G95" s="1006">
        <f>IFERROR($E95*(VLOOKUP(C95,fish_group_yield_n!$A$7:$J$49,10,FALSE)),0)</f>
        <v>7.0300651537051661E-3</v>
      </c>
      <c r="H95" s="1619">
        <f t="shared" si="3"/>
        <v>32.760000000000005</v>
      </c>
      <c r="I95" s="997">
        <f>IF(ISERROR($E95*VLOOKUP($C95,fish_group_yield_w!$A$7:$I$45,9,FALSE)),0,$E95*VLOOKUP($C95,fish_group_yield_w!$A$7:$I$45,9,FALSE))</f>
        <v>4.0451880181216187E-3</v>
      </c>
      <c r="J95" s="998">
        <f>IF(ISERROR($E95*VLOOKUP($C95,fish_group_yield_w!$A$7:$I$45,9,FALSE)),0,$E95*VLOOKUP($C95,fish_group_yield_w!$A$7:$I$45,9,FALSE))</f>
        <v>4.0451880181216187E-3</v>
      </c>
      <c r="L95" s="1586"/>
      <c r="M95" s="1586"/>
      <c r="N95" s="889"/>
    </row>
    <row r="96" spans="1:14" ht="12">
      <c r="A96" s="1348" t="s">
        <v>8660</v>
      </c>
      <c r="B96" s="1618">
        <v>304.79000000000002</v>
      </c>
      <c r="C96" s="1348" t="s">
        <v>5366</v>
      </c>
      <c r="D96" s="1348" t="s">
        <v>4841</v>
      </c>
      <c r="E96" s="1006">
        <f t="shared" si="2"/>
        <v>0.45454545454545453</v>
      </c>
      <c r="F96" s="1006">
        <f>IFERROR($E96*(VLOOKUP(C96,fish_group_yield_n!$A$7:$J$49,7,FALSE)),0)</f>
        <v>6.1817043760845052E-3</v>
      </c>
      <c r="G96" s="1006">
        <f>IFERROR($E96*(VLOOKUP(C96,fish_group_yield_n!$A$7:$J$49,10,FALSE)),0)</f>
        <v>8.7077271928553621E-3</v>
      </c>
      <c r="H96" s="1619">
        <f t="shared" si="3"/>
        <v>32843.800000000003</v>
      </c>
      <c r="I96" s="997">
        <f>IF(ISERROR($E96*VLOOKUP($C96,fish_group_yield_w!$A$7:$I$45,9,FALSE)),0,$E96*VLOOKUP($C96,fish_group_yield_w!$A$7:$I$45,9,FALSE))</f>
        <v>7.4384019733275664E-4</v>
      </c>
      <c r="J96" s="998">
        <f>IF(ISERROR($E96*VLOOKUP($C96,fish_group_yield_w!$A$7:$I$45,9,FALSE)),0,$E96*VLOOKUP($C96,fish_group_yield_w!$A$7:$I$45,9,FALSE))</f>
        <v>7.4384019733275664E-4</v>
      </c>
      <c r="L96" s="1586"/>
      <c r="M96" s="1586"/>
      <c r="N96" s="889"/>
    </row>
    <row r="97" spans="1:14" ht="12">
      <c r="A97" s="1348" t="s">
        <v>8661</v>
      </c>
      <c r="B97" s="1618">
        <v>305.32</v>
      </c>
      <c r="C97" s="1348" t="s">
        <v>5366</v>
      </c>
      <c r="D97" s="1348" t="s">
        <v>4841</v>
      </c>
      <c r="E97" s="1006">
        <f t="shared" si="2"/>
        <v>0.43478260869565222</v>
      </c>
      <c r="F97" s="1006">
        <f>IFERROR($E97*(VLOOKUP(C97,fish_group_yield_n!$A$7:$J$49,7,FALSE)),0)</f>
        <v>5.912934620602571E-3</v>
      </c>
      <c r="G97" s="1006">
        <f>IFERROR($E97*(VLOOKUP(C97,fish_group_yield_n!$A$7:$J$49,10,FALSE)),0)</f>
        <v>8.3291303583833912E-3</v>
      </c>
      <c r="H97" s="1619">
        <f t="shared" si="3"/>
        <v>3346.4999999999995</v>
      </c>
      <c r="I97" s="997">
        <f>IF(ISERROR($E97*VLOOKUP($C97,fish_group_yield_w!$A$7:$I$45,9,FALSE)),0,$E97*VLOOKUP($C97,fish_group_yield_w!$A$7:$I$45,9,FALSE))</f>
        <v>7.114993191878543E-4</v>
      </c>
      <c r="J97" s="998">
        <f>IF(ISERROR($E97*VLOOKUP($C97,fish_group_yield_w!$A$7:$I$45,9,FALSE)),0,$E97*VLOOKUP($C97,fish_group_yield_w!$A$7:$I$45,9,FALSE))</f>
        <v>7.114993191878543E-4</v>
      </c>
      <c r="L97" s="1586"/>
      <c r="M97" s="1586"/>
      <c r="N97" s="889"/>
    </row>
    <row r="98" spans="1:14" ht="12">
      <c r="A98" s="1348" t="s">
        <v>8662</v>
      </c>
      <c r="B98" s="1618">
        <v>304.44</v>
      </c>
      <c r="C98" s="1348" t="s">
        <v>5366</v>
      </c>
      <c r="D98" s="1348" t="s">
        <v>4841</v>
      </c>
      <c r="E98" s="1006">
        <f t="shared" si="2"/>
        <v>0.45454545454545453</v>
      </c>
      <c r="F98" s="1006">
        <f>IFERROR($E98*(VLOOKUP(C98,fish_group_yield_n!$A$7:$J$49,7,FALSE)),0)</f>
        <v>6.1817043760845052E-3</v>
      </c>
      <c r="G98" s="1006">
        <f>IFERROR($E98*(VLOOKUP(C98,fish_group_yield_n!$A$7:$J$49,10,FALSE)),0)</f>
        <v>8.7077271928553621E-3</v>
      </c>
      <c r="H98" s="1619">
        <f t="shared" si="3"/>
        <v>13668.6</v>
      </c>
      <c r="I98" s="997">
        <f>IF(ISERROR($E98*VLOOKUP($C98,fish_group_yield_w!$A$7:$I$45,9,FALSE)),0,$E98*VLOOKUP($C98,fish_group_yield_w!$A$7:$I$45,9,FALSE))</f>
        <v>7.4384019733275664E-4</v>
      </c>
      <c r="J98" s="998">
        <f>IF(ISERROR($E98*VLOOKUP($C98,fish_group_yield_w!$A$7:$I$45,9,FALSE)),0,$E98*VLOOKUP($C98,fish_group_yield_w!$A$7:$I$45,9,FALSE))</f>
        <v>7.4384019733275664E-4</v>
      </c>
      <c r="L98" s="1586"/>
      <c r="M98" s="1586"/>
      <c r="N98" s="889"/>
    </row>
    <row r="99" spans="1:14" ht="15" customHeight="1">
      <c r="A99" s="615" t="s">
        <v>8663</v>
      </c>
      <c r="B99" s="1618">
        <v>304.52999999999997</v>
      </c>
      <c r="C99" s="1348" t="s">
        <v>5366</v>
      </c>
      <c r="D99" s="1348" t="s">
        <v>4841</v>
      </c>
      <c r="E99" s="1006">
        <f t="shared" si="2"/>
        <v>1</v>
      </c>
      <c r="F99" s="1006">
        <f>IFERROR($E99*(VLOOKUP(C99,fish_group_yield_n!$A$7:$J$49,7,FALSE)),0)</f>
        <v>1.3599749627385912E-2</v>
      </c>
      <c r="G99" s="1006">
        <f>IFERROR($E99*(VLOOKUP(C99,fish_group_yield_n!$A$7:$J$49,10,FALSE)),0)</f>
        <v>1.9156999824281797E-2</v>
      </c>
      <c r="H99" s="1619">
        <f t="shared" si="3"/>
        <v>1075</v>
      </c>
      <c r="I99" s="997">
        <f>IF(ISERROR($E99*VLOOKUP($C99,fish_group_yield_w!$A$7:$I$45,9,FALSE)),0,$E99*VLOOKUP($C99,fish_group_yield_w!$A$7:$I$45,9,FALSE))</f>
        <v>1.6364484341320647E-3</v>
      </c>
      <c r="J99" s="998">
        <f>IF(ISERROR($E99*VLOOKUP($C99,fish_group_yield_w!$A$7:$I$45,9,FALSE)),0,$E99*VLOOKUP($C99,fish_group_yield_w!$A$7:$I$45,9,FALSE))</f>
        <v>1.6364484341320647E-3</v>
      </c>
      <c r="L99" s="1586"/>
      <c r="M99" s="1586"/>
      <c r="N99" s="889"/>
    </row>
    <row r="100" spans="1:14" ht="15" customHeight="1">
      <c r="A100" s="995" t="s">
        <v>6267</v>
      </c>
      <c r="B100" s="1599">
        <v>302.20999999999998</v>
      </c>
      <c r="C100" s="996" t="s">
        <v>3929</v>
      </c>
      <c r="D100" s="996" t="s">
        <v>4841</v>
      </c>
      <c r="E100" s="1006">
        <f t="shared" si="2"/>
        <v>0.70540812898891492</v>
      </c>
      <c r="F100" s="1006">
        <f>IFERROR($E100*(VLOOKUP(C100,fish_group_yield_n!$A$7:$J$49,7,FALSE)),0)</f>
        <v>7.6811006923584576E-3</v>
      </c>
      <c r="G100" s="1006">
        <f>IFERROR($E100*(VLOOKUP(C100,fish_group_yield_n!$A$7:$J$49,10,FALSE)),0)</f>
        <v>1.102208049686546E-2</v>
      </c>
      <c r="H100" s="1619">
        <f t="shared" si="3"/>
        <v>6285.7228571428577</v>
      </c>
      <c r="I100" s="997">
        <f>IF(ISERROR($E100*VLOOKUP($C100,fish_group_yield_w!$A$7:$I$45,9,FALSE)),0,$E100*VLOOKUP($C100,fish_group_yield_w!$A$7:$I$45,9,FALSE))</f>
        <v>4.7792472429566569E-3</v>
      </c>
      <c r="J100" s="998">
        <f>IF(ISERROR($E100*VLOOKUP($C100,fish_group_yield_w!$A$7:$I$45,9,FALSE)),0,$E100*VLOOKUP($C100,fish_group_yield_w!$A$7:$I$45,9,FALSE))</f>
        <v>4.7792472429566569E-3</v>
      </c>
      <c r="L100" s="1586"/>
      <c r="M100" s="1586"/>
      <c r="N100" s="889"/>
    </row>
    <row r="101" spans="1:14" ht="12">
      <c r="A101" s="995" t="s">
        <v>6268</v>
      </c>
      <c r="B101" s="1599">
        <v>303.31</v>
      </c>
      <c r="C101" s="996" t="s">
        <v>3929</v>
      </c>
      <c r="D101" s="996" t="s">
        <v>4841</v>
      </c>
      <c r="E101" s="1006">
        <f t="shared" si="2"/>
        <v>0.59603635821785128</v>
      </c>
      <c r="F101" s="1006">
        <f>IFERROR($E101*(VLOOKUP(C101,fish_group_yield_n!$A$7:$J$49,7,FALSE)),0)</f>
        <v>6.4901651903842674E-3</v>
      </c>
      <c r="G101" s="1006">
        <f>IFERROR($E101*(VLOOKUP(C101,fish_group_yield_n!$A$7:$J$49,10,FALSE)),0)</f>
        <v>9.3131344102201728E-3</v>
      </c>
      <c r="H101" s="1619">
        <f t="shared" si="3"/>
        <v>1233.14625</v>
      </c>
      <c r="I101" s="997">
        <f>IF(ISERROR($E101*VLOOKUP($C101,fish_group_yield_w!$A$7:$I$45,9,FALSE)),0,$E101*VLOOKUP($C101,fish_group_yield_w!$A$7:$I$45,9,FALSE))</f>
        <v>4.0382368796877816E-3</v>
      </c>
      <c r="J101" s="998">
        <f>IF(ISERROR($E101*VLOOKUP($C101,fish_group_yield_w!$A$7:$I$45,9,FALSE)),0,$E101*VLOOKUP($C101,fish_group_yield_w!$A$7:$I$45,9,FALSE))</f>
        <v>4.0382368796877816E-3</v>
      </c>
      <c r="L101" s="1586"/>
      <c r="M101" s="1586"/>
      <c r="N101" s="889"/>
    </row>
    <row r="102" spans="1:14" ht="12">
      <c r="A102" s="1348" t="s">
        <v>8664</v>
      </c>
      <c r="B102" s="1618">
        <v>304.72000000000003</v>
      </c>
      <c r="C102" s="996" t="s">
        <v>612</v>
      </c>
      <c r="D102" s="996" t="s">
        <v>4841</v>
      </c>
      <c r="E102" s="1006">
        <f t="shared" si="2"/>
        <v>0.52071005917159752</v>
      </c>
      <c r="F102" s="1006">
        <f>IFERROR($E102*(VLOOKUP(C102,fish_group_yield_n!$A$7:$J$49,7,FALSE)),0)</f>
        <v>1.2755186561344318E-2</v>
      </c>
      <c r="G102" s="1006">
        <f>IFERROR($E102*(VLOOKUP(C102,fish_group_yield_n!$A$7:$J$49,10,FALSE)),0)</f>
        <v>1.2755186561344318E-2</v>
      </c>
      <c r="H102" s="1619">
        <f t="shared" si="3"/>
        <v>39772.613636363647</v>
      </c>
      <c r="I102" s="997">
        <f>IF(ISERROR($E102*VLOOKUP($C102,fish_group_yield_w!$A$7:$I$45,9,FALSE)),0,$E102*VLOOKUP($C102,fish_group_yield_w!$A$7:$I$45,9,FALSE))</f>
        <v>0</v>
      </c>
      <c r="J102" s="998">
        <f>IF(ISERROR($E102*VLOOKUP($C102,fish_group_yield_w!$A$7:$I$45,9,FALSE)),0,$E102*VLOOKUP($C102,fish_group_yield_w!$A$7:$I$45,9,FALSE))</f>
        <v>0</v>
      </c>
      <c r="L102" s="1586"/>
      <c r="M102" s="1586"/>
      <c r="N102" s="889"/>
    </row>
    <row r="103" spans="1:14" ht="12">
      <c r="A103" s="1348" t="s">
        <v>8665</v>
      </c>
      <c r="B103" s="1618">
        <v>302.52</v>
      </c>
      <c r="C103" s="996" t="s">
        <v>612</v>
      </c>
      <c r="D103" s="996" t="s">
        <v>4841</v>
      </c>
      <c r="E103" s="1006">
        <f t="shared" si="2"/>
        <v>0.63299933612264747</v>
      </c>
      <c r="F103" s="1006">
        <f>IFERROR($E103*(VLOOKUP(C103,fish_group_yield_n!$A$7:$J$49,7,FALSE)),0)</f>
        <v>1.5505797292060209E-2</v>
      </c>
      <c r="G103" s="1006">
        <f>IFERROR($E103*(VLOOKUP(C103,fish_group_yield_n!$A$7:$J$49,10,FALSE)),0)</f>
        <v>1.5505797292060209E-2</v>
      </c>
      <c r="H103" s="1619">
        <f t="shared" si="3"/>
        <v>3565.5645609756098</v>
      </c>
      <c r="I103" s="997">
        <f>IF(ISERROR($E103*VLOOKUP($C103,fish_group_yield_w!$A$7:$I$45,9,FALSE)),0,$E103*VLOOKUP($C103,fish_group_yield_w!$A$7:$I$45,9,FALSE))</f>
        <v>0</v>
      </c>
      <c r="J103" s="998">
        <f>IF(ISERROR($E103*VLOOKUP($C103,fish_group_yield_w!$A$7:$I$45,9,FALSE)),0,$E103*VLOOKUP($C103,fish_group_yield_w!$A$7:$I$45,9,FALSE))</f>
        <v>0</v>
      </c>
      <c r="L103" s="1586"/>
      <c r="M103" s="1586"/>
      <c r="N103" s="889"/>
    </row>
    <row r="104" spans="1:14" ht="12">
      <c r="A104" s="1348" t="s">
        <v>8666</v>
      </c>
      <c r="B104" s="1618">
        <v>303.64</v>
      </c>
      <c r="C104" s="996" t="s">
        <v>612</v>
      </c>
      <c r="D104" s="996" t="s">
        <v>4841</v>
      </c>
      <c r="E104" s="1006">
        <f t="shared" si="2"/>
        <v>0.63299933612264747</v>
      </c>
      <c r="F104" s="1006">
        <f>IFERROR($E104*(VLOOKUP(C104,fish_group_yield_n!$A$7:$J$49,7,FALSE)),0)</f>
        <v>1.5505797292060209E-2</v>
      </c>
      <c r="G104" s="1006">
        <f>IFERROR($E104*(VLOOKUP(C104,fish_group_yield_n!$A$7:$J$49,10,FALSE)),0)</f>
        <v>1.5505797292060209E-2</v>
      </c>
      <c r="H104" s="1619">
        <f t="shared" si="3"/>
        <v>11142.191780487805</v>
      </c>
      <c r="I104" s="997">
        <f>IF(ISERROR($E104*VLOOKUP($C104,fish_group_yield_w!$A$7:$I$45,9,FALSE)),0,$E104*VLOOKUP($C104,fish_group_yield_w!$A$7:$I$45,9,FALSE))</f>
        <v>0</v>
      </c>
      <c r="J104" s="998">
        <f>IF(ISERROR($E104*VLOOKUP($C104,fish_group_yield_w!$A$7:$I$45,9,FALSE)),0,$E104*VLOOKUP($C104,fish_group_yield_w!$A$7:$I$45,9,FALSE))</f>
        <v>0</v>
      </c>
      <c r="L104" s="1586"/>
      <c r="M104" s="1586"/>
      <c r="N104" s="889"/>
    </row>
    <row r="105" spans="1:14" ht="12">
      <c r="A105" s="996" t="s">
        <v>2296</v>
      </c>
      <c r="B105" s="1599">
        <v>302.62</v>
      </c>
      <c r="C105" s="996" t="s">
        <v>612</v>
      </c>
      <c r="D105" s="996" t="s">
        <v>4841</v>
      </c>
      <c r="E105" s="1006">
        <f t="shared" si="2"/>
        <v>0.63299933612264747</v>
      </c>
      <c r="F105" s="1006">
        <f>IFERROR($E105*(VLOOKUP(C105,fish_group_yield_n!$A$7:$J$49,7,FALSE)),0)</f>
        <v>1.5505797292060209E-2</v>
      </c>
      <c r="G105" s="1006">
        <f>IFERROR($E105*(VLOOKUP(C105,fish_group_yield_n!$A$7:$J$49,10,FALSE)),0)</f>
        <v>1.5505797292060209E-2</v>
      </c>
      <c r="H105" s="1619">
        <f t="shared" si="3"/>
        <v>0</v>
      </c>
      <c r="I105" s="997">
        <f>IF(ISERROR($E105*VLOOKUP($C105,fish_group_yield_w!$A$7:$I$45,9,FALSE)),0,$E105*VLOOKUP($C105,fish_group_yield_w!$A$7:$I$45,9,FALSE))</f>
        <v>0</v>
      </c>
      <c r="J105" s="998">
        <f>IF(ISERROR($E105*VLOOKUP($C105,fish_group_yield_w!$A$7:$I$45,9,FALSE)),0,$E105*VLOOKUP($C105,fish_group_yield_w!$A$7:$I$45,9,FALSE))</f>
        <v>0</v>
      </c>
      <c r="L105" s="1586"/>
      <c r="M105" s="1586"/>
      <c r="N105" s="889"/>
    </row>
    <row r="106" spans="1:14" ht="12">
      <c r="A106" s="995" t="s">
        <v>2297</v>
      </c>
      <c r="B106" s="1599">
        <v>303.72000000000003</v>
      </c>
      <c r="C106" s="996" t="s">
        <v>612</v>
      </c>
      <c r="D106" s="996" t="s">
        <v>4841</v>
      </c>
      <c r="E106" s="1006">
        <f t="shared" si="2"/>
        <v>0.52071005917159752</v>
      </c>
      <c r="F106" s="1006">
        <f>IFERROR($E106*(VLOOKUP(C106,fish_group_yield_n!$A$7:$J$49,7,FALSE)),0)</f>
        <v>1.2755186561344318E-2</v>
      </c>
      <c r="G106" s="1006">
        <f>IFERROR($E106*(VLOOKUP(C106,fish_group_yield_n!$A$7:$J$49,10,FALSE)),0)</f>
        <v>1.2755186561344318E-2</v>
      </c>
      <c r="H106" s="1619">
        <f t="shared" si="3"/>
        <v>0</v>
      </c>
      <c r="I106" s="997">
        <f>IF(ISERROR($E106*VLOOKUP($C106,fish_group_yield_w!$A$7:$I$45,9,FALSE)),0,$E106*VLOOKUP($C106,fish_group_yield_w!$A$7:$I$45,9,FALSE))</f>
        <v>0</v>
      </c>
      <c r="J106" s="998">
        <f>IF(ISERROR($E106*VLOOKUP($C106,fish_group_yield_w!$A$7:$I$45,9,FALSE)),0,$E106*VLOOKUP($C106,fish_group_yield_w!$A$7:$I$45,9,FALSE))</f>
        <v>0</v>
      </c>
      <c r="L106" s="1586"/>
      <c r="M106" s="1586"/>
      <c r="N106" s="889"/>
    </row>
    <row r="107" spans="1:14" ht="12">
      <c r="A107" s="1348" t="s">
        <v>8636</v>
      </c>
      <c r="B107" s="1618">
        <v>304.74</v>
      </c>
      <c r="C107" s="1348" t="s">
        <v>3930</v>
      </c>
      <c r="D107" s="1348" t="s">
        <v>4841</v>
      </c>
      <c r="E107" s="1006">
        <f t="shared" si="2"/>
        <v>0.50820469632624188</v>
      </c>
      <c r="F107" s="1006">
        <f>IFERROR($E107*(VLOOKUP(C107,fish_group_yield_n!$A$7:$J$49,7,FALSE)),0)</f>
        <v>7.5049452914522814E-3</v>
      </c>
      <c r="G107" s="1006">
        <f>IFERROR($E107*(VLOOKUP(C107,fish_group_yield_n!$A$7:$J$49,10,FALSE)),0)</f>
        <v>6.9150342754092332E-3</v>
      </c>
      <c r="H107" s="1619">
        <f t="shared" si="3"/>
        <v>5773.2642401960793</v>
      </c>
      <c r="I107" s="997">
        <f>IF(ISERROR($E107*VLOOKUP($C107,fish_group_yield_w!$A$7:$I$45,9,FALSE)),0,$E107*VLOOKUP($C107,fish_group_yield_w!$A$7:$I$45,9,FALSE))</f>
        <v>0</v>
      </c>
      <c r="J107" s="998">
        <f>IF(ISERROR($E107*VLOOKUP($C107,fish_group_yield_w!$A$7:$I$45,9,FALSE)),0,$E107*VLOOKUP($C107,fish_group_yield_w!$A$7:$I$45,9,FALSE))</f>
        <v>0</v>
      </c>
      <c r="L107" s="1586"/>
      <c r="M107" s="1586"/>
      <c r="N107" s="889"/>
    </row>
    <row r="108" spans="1:14" ht="12">
      <c r="A108" s="1348" t="s">
        <v>8659</v>
      </c>
      <c r="B108" s="1618">
        <v>302.54000000000002</v>
      </c>
      <c r="C108" s="1348" t="s">
        <v>3930</v>
      </c>
      <c r="D108" s="1348" t="s">
        <v>4841</v>
      </c>
      <c r="E108" s="1006">
        <f t="shared" si="2"/>
        <v>0.64516129032258063</v>
      </c>
      <c r="F108" s="1006">
        <f>IFERROR($E108*(VLOOKUP(C108,fish_group_yield_n!$A$7:$J$49,7,FALSE)),0)</f>
        <v>9.5274605351648948E-3</v>
      </c>
      <c r="G108" s="1006">
        <f>IFERROR($E108*(VLOOKUP(C108,fish_group_yield_n!$A$7:$J$49,10,FALSE)),0)</f>
        <v>8.7785738069684309E-3</v>
      </c>
      <c r="H108" s="1619">
        <f t="shared" si="3"/>
        <v>9789.8000000000011</v>
      </c>
      <c r="I108" s="997">
        <f>IF(ISERROR($E108*VLOOKUP($C108,fish_group_yield_w!$A$7:$I$45,9,FALSE)),0,$E108*VLOOKUP($C108,fish_group_yield_w!$A$7:$I$45,9,FALSE))</f>
        <v>0</v>
      </c>
      <c r="J108" s="998">
        <f>IF(ISERROR($E108*VLOOKUP($C108,fish_group_yield_w!$A$7:$I$45,9,FALSE)),0,$E108*VLOOKUP($C108,fish_group_yield_w!$A$7:$I$45,9,FALSE))</f>
        <v>0</v>
      </c>
      <c r="L108" s="1586"/>
      <c r="M108" s="1586"/>
      <c r="N108" s="889"/>
    </row>
    <row r="109" spans="1:14" ht="12">
      <c r="A109" s="1348" t="s">
        <v>8669</v>
      </c>
      <c r="B109" s="1618">
        <v>303.66000000000003</v>
      </c>
      <c r="C109" s="1348" t="s">
        <v>3930</v>
      </c>
      <c r="D109" s="1348" t="s">
        <v>4841</v>
      </c>
      <c r="E109" s="1006">
        <f t="shared" si="2"/>
        <v>0.64516129032258063</v>
      </c>
      <c r="F109" s="1006">
        <f>IFERROR($E109*(VLOOKUP(C109,fish_group_yield_n!$A$7:$J$49,7,FALSE)),0)</f>
        <v>9.5274605351648948E-3</v>
      </c>
      <c r="G109" s="1006">
        <f>IFERROR($E109*(VLOOKUP(C109,fish_group_yield_n!$A$7:$J$49,10,FALSE)),0)</f>
        <v>8.7785738069684309E-3</v>
      </c>
      <c r="H109" s="1619">
        <f t="shared" si="3"/>
        <v>1602.7</v>
      </c>
      <c r="I109" s="997">
        <f>IF(ISERROR($E109*VLOOKUP($C109,fish_group_yield_w!$A$7:$I$45,9,FALSE)),0,$E109*VLOOKUP($C109,fish_group_yield_w!$A$7:$I$45,9,FALSE))</f>
        <v>0</v>
      </c>
      <c r="J109" s="998">
        <f>IF(ISERROR($E109*VLOOKUP($C109,fish_group_yield_w!$A$7:$I$45,9,FALSE)),0,$E109*VLOOKUP($C109,fish_group_yield_w!$A$7:$I$45,9,FALSE))</f>
        <v>0</v>
      </c>
      <c r="L109" s="1586"/>
      <c r="M109" s="1586"/>
      <c r="N109" s="889"/>
    </row>
    <row r="110" spans="1:14" ht="12">
      <c r="A110" s="995" t="s">
        <v>6269</v>
      </c>
      <c r="B110" s="1599">
        <v>303.77999999999997</v>
      </c>
      <c r="C110" s="996" t="s">
        <v>3930</v>
      </c>
      <c r="D110" s="996" t="s">
        <v>4841</v>
      </c>
      <c r="E110" s="1006">
        <f t="shared" si="2"/>
        <v>0.51574212893553217</v>
      </c>
      <c r="F110" s="1006">
        <f>IFERROR($E110*(VLOOKUP(C110,fish_group_yield_n!$A$7:$J$49,7,FALSE)),0)</f>
        <v>7.6162548086205727E-3</v>
      </c>
      <c r="G110" s="1006">
        <f>IFERROR($E110*(VLOOKUP(C110,fish_group_yield_n!$A$7:$J$49,10,FALSE)),0)</f>
        <v>7.0175945335465761E-3</v>
      </c>
      <c r="H110" s="1619">
        <f t="shared" si="3"/>
        <v>0</v>
      </c>
      <c r="I110" s="997">
        <f>IF(ISERROR($E110*VLOOKUP($C110,fish_group_yield_w!$A$7:$I$45,9,FALSE)),0,$E110*VLOOKUP($C110,fish_group_yield_w!$A$7:$I$45,9,FALSE))</f>
        <v>0</v>
      </c>
      <c r="J110" s="998">
        <f>IF(ISERROR($E110*VLOOKUP($C110,fish_group_yield_w!$A$7:$I$45,9,FALSE)),0,$E110*VLOOKUP($C110,fish_group_yield_w!$A$7:$I$45,9,FALSE))</f>
        <v>0</v>
      </c>
      <c r="L110" s="1586"/>
      <c r="M110" s="1586"/>
      <c r="N110" s="889"/>
    </row>
    <row r="111" spans="1:14" ht="12">
      <c r="A111" s="1348" t="s">
        <v>8670</v>
      </c>
      <c r="B111" s="1618">
        <v>304.86</v>
      </c>
      <c r="C111" s="996" t="s">
        <v>3931</v>
      </c>
      <c r="D111" s="996" t="s">
        <v>4859</v>
      </c>
      <c r="E111" s="1006">
        <f t="shared" si="2"/>
        <v>0.64239828693790135</v>
      </c>
      <c r="F111" s="1006">
        <f>IFERROR($E111*(VLOOKUP(C111,fish_group_yield_n!$A$7:$J$49,7,FALSE)),0)</f>
        <v>0.11836244440883907</v>
      </c>
      <c r="G111" s="1006">
        <f>IFERROR($E111*(VLOOKUP(C111,fish_group_yield_n!$A$7:$J$49,10,FALSE)),0)</f>
        <v>0.11983258290279465</v>
      </c>
      <c r="H111" s="1619">
        <f t="shared" si="3"/>
        <v>725.40666666666687</v>
      </c>
      <c r="I111" s="997">
        <f>IF(ISERROR($E111*VLOOKUP($C111,fish_group_yield_w!$A$7:$I$45,9,FALSE)),0,$E111*VLOOKUP($C111,fish_group_yield_w!$A$7:$I$45,9,FALSE))</f>
        <v>0</v>
      </c>
      <c r="J111" s="998">
        <f>IF(ISERROR($E111*VLOOKUP($C111,fish_group_yield_w!$A$7:$I$45,9,FALSE)),0,$E111*VLOOKUP($C111,fish_group_yield_w!$A$7:$I$45,9,FALSE))</f>
        <v>0</v>
      </c>
      <c r="L111" s="1586"/>
      <c r="M111" s="1586"/>
      <c r="N111" s="889"/>
    </row>
    <row r="112" spans="1:14" ht="12">
      <c r="A112" s="1348" t="s">
        <v>8671</v>
      </c>
      <c r="B112" s="1618">
        <v>302.41000000000003</v>
      </c>
      <c r="C112" s="996" t="s">
        <v>3931</v>
      </c>
      <c r="D112" s="996" t="s">
        <v>4859</v>
      </c>
      <c r="E112" s="1006">
        <f t="shared" si="2"/>
        <v>0.72780203784570618</v>
      </c>
      <c r="F112" s="1006">
        <f>IFERROR($E112*(VLOOKUP(C112,fish_group_yield_n!$A$7:$J$49,7,FALSE)),0)</f>
        <v>0.13409815996828692</v>
      </c>
      <c r="G112" s="1006">
        <f>IFERROR($E112*(VLOOKUP(C112,fish_group_yield_n!$A$7:$J$49,10,FALSE)),0)</f>
        <v>0.13576374627754764</v>
      </c>
      <c r="H112" s="1619">
        <f t="shared" si="3"/>
        <v>452.04599999999988</v>
      </c>
      <c r="I112" s="997">
        <f>IF(ISERROR($E112*VLOOKUP($C112,fish_group_yield_w!$A$7:$I$45,9,FALSE)),0,$E112*VLOOKUP($C112,fish_group_yield_w!$A$7:$I$45,9,FALSE))</f>
        <v>0</v>
      </c>
      <c r="J112" s="998">
        <f>IF(ISERROR($E112*VLOOKUP($C112,fish_group_yield_w!$A$7:$I$45,9,FALSE)),0,$E112*VLOOKUP($C112,fish_group_yield_w!$A$7:$I$45,9,FALSE))</f>
        <v>0</v>
      </c>
      <c r="L112" s="1586"/>
      <c r="M112" s="1586"/>
      <c r="N112" s="889"/>
    </row>
    <row r="113" spans="1:14" ht="12">
      <c r="A113" s="995" t="s">
        <v>6270</v>
      </c>
      <c r="B113" s="1599">
        <v>302.39999999999998</v>
      </c>
      <c r="C113" s="996" t="s">
        <v>3931</v>
      </c>
      <c r="D113" s="996" t="s">
        <v>4859</v>
      </c>
      <c r="E113" s="1006">
        <f t="shared" si="2"/>
        <v>0.72780203784570618</v>
      </c>
      <c r="F113" s="1006">
        <f>IFERROR($E113*(VLOOKUP(C113,fish_group_yield_n!$A$7:$J$49,7,FALSE)),0)</f>
        <v>0.13409815996828692</v>
      </c>
      <c r="G113" s="1006">
        <f>IFERROR($E113*(VLOOKUP(C113,fish_group_yield_n!$A$7:$J$49,10,FALSE)),0)</f>
        <v>0.13576374627754764</v>
      </c>
      <c r="H113" s="1619">
        <f t="shared" si="3"/>
        <v>0</v>
      </c>
      <c r="I113" s="997">
        <f>IF(ISERROR($E113*VLOOKUP($C113,fish_group_yield_w!$A$7:$I$45,9,FALSE)),0,$E113*VLOOKUP($C113,fish_group_yield_w!$A$7:$I$45,9,FALSE))</f>
        <v>0</v>
      </c>
      <c r="J113" s="998">
        <f>IF(ISERROR($E113*VLOOKUP($C113,fish_group_yield_w!$A$7:$I$45,9,FALSE)),0,$E113*VLOOKUP($C113,fish_group_yield_w!$A$7:$I$45,9,FALSE))</f>
        <v>0</v>
      </c>
      <c r="L113" s="1586"/>
      <c r="M113" s="1586"/>
      <c r="N113" s="889"/>
    </row>
    <row r="114" spans="1:14" ht="15" customHeight="1">
      <c r="A114" s="995" t="s">
        <v>6271</v>
      </c>
      <c r="B114" s="1599">
        <v>303.51</v>
      </c>
      <c r="C114" s="996" t="s">
        <v>3931</v>
      </c>
      <c r="D114" s="996" t="s">
        <v>4859</v>
      </c>
      <c r="E114" s="1006">
        <f t="shared" si="2"/>
        <v>0.64239828693790135</v>
      </c>
      <c r="F114" s="1006">
        <f>IFERROR($E114*(VLOOKUP(C114,fish_group_yield_n!$A$7:$J$49,7,FALSE)),0)</f>
        <v>0.11836244440883907</v>
      </c>
      <c r="G114" s="1006">
        <f>IFERROR($E114*(VLOOKUP(C114,fish_group_yield_n!$A$7:$J$49,10,FALSE)),0)</f>
        <v>0.11983258290279465</v>
      </c>
      <c r="H114" s="1619">
        <f t="shared" si="3"/>
        <v>3572.5500000000006</v>
      </c>
      <c r="I114" s="997">
        <f>IF(ISERROR($E114*VLOOKUP($C114,fish_group_yield_w!$A$7:$I$45,9,FALSE)),0,$E114*VLOOKUP($C114,fish_group_yield_w!$A$7:$I$45,9,FALSE))</f>
        <v>0</v>
      </c>
      <c r="J114" s="998">
        <f>IF(ISERROR($E114*VLOOKUP($C114,fish_group_yield_w!$A$7:$I$45,9,FALSE)),0,$E114*VLOOKUP($C114,fish_group_yield_w!$A$7:$I$45,9,FALSE))</f>
        <v>0</v>
      </c>
      <c r="L114" s="1586"/>
      <c r="M114" s="1586"/>
      <c r="N114" s="889"/>
    </row>
    <row r="115" spans="1:14" ht="12">
      <c r="A115" s="995" t="s">
        <v>6272</v>
      </c>
      <c r="B115" s="1599">
        <v>305.42</v>
      </c>
      <c r="C115" s="996" t="s">
        <v>3931</v>
      </c>
      <c r="D115" s="996" t="s">
        <v>4859</v>
      </c>
      <c r="E115" s="1006">
        <f t="shared" si="2"/>
        <v>0.61585835257890686</v>
      </c>
      <c r="F115" s="1006">
        <f>IFERROR($E115*(VLOOKUP(C115,fish_group_yield_n!$A$7:$J$49,7,FALSE)),0)</f>
        <v>0.11347243836577441</v>
      </c>
      <c r="G115" s="1006">
        <f>IFERROR($E115*(VLOOKUP(C115,fish_group_yield_n!$A$7:$J$49,10,FALSE)),0)</f>
        <v>0.11488183980622041</v>
      </c>
      <c r="H115" s="1619">
        <f t="shared" si="3"/>
        <v>1396.425</v>
      </c>
      <c r="I115" s="997">
        <f>IF(ISERROR($E115*VLOOKUP($C115,fish_group_yield_w!$A$7:$I$45,9,FALSE)),0,$E115*VLOOKUP($C115,fish_group_yield_w!$A$7:$I$45,9,FALSE))</f>
        <v>0</v>
      </c>
      <c r="J115" s="998">
        <f>IF(ISERROR($E115*VLOOKUP($C115,fish_group_yield_w!$A$7:$I$45,9,FALSE)),0,$E115*VLOOKUP($C115,fish_group_yield_w!$A$7:$I$45,9,FALSE))</f>
        <v>0</v>
      </c>
      <c r="L115" s="1586"/>
      <c r="M115" s="1586"/>
      <c r="N115" s="889"/>
    </row>
    <row r="116" spans="1:14" ht="12">
      <c r="A116" s="995" t="s">
        <v>6273</v>
      </c>
      <c r="B116" s="1599">
        <v>1604.12</v>
      </c>
      <c r="C116" s="996" t="s">
        <v>3931</v>
      </c>
      <c r="D116" s="996" t="s">
        <v>4859</v>
      </c>
      <c r="E116" s="1006">
        <f t="shared" si="2"/>
        <v>0.61585835257890686</v>
      </c>
      <c r="F116" s="1006">
        <f>IFERROR($E116*(VLOOKUP(C116,fish_group_yield_n!$A$7:$J$49,7,FALSE)),0)</f>
        <v>0.11347243836577441</v>
      </c>
      <c r="G116" s="1006">
        <f>IFERROR($E116*(VLOOKUP(C116,fish_group_yield_n!$A$7:$J$49,10,FALSE)),0)</f>
        <v>0.11488183980622041</v>
      </c>
      <c r="H116" s="1619">
        <f t="shared" si="3"/>
        <v>20197.826249999998</v>
      </c>
      <c r="I116" s="997">
        <f>IF(ISERROR($E116*VLOOKUP($C116,fish_group_yield_w!$A$7:$I$45,9,FALSE)),0,$E116*VLOOKUP($C116,fish_group_yield_w!$A$7:$I$45,9,FALSE))</f>
        <v>0</v>
      </c>
      <c r="J116" s="998">
        <f>IF(ISERROR($E116*VLOOKUP($C116,fish_group_yield_w!$A$7:$I$45,9,FALSE)),0,$E116*VLOOKUP($C116,fish_group_yield_w!$A$7:$I$45,9,FALSE))</f>
        <v>0</v>
      </c>
      <c r="L116" s="1586"/>
      <c r="M116" s="1586"/>
      <c r="N116" s="889"/>
    </row>
    <row r="117" spans="1:14" ht="12">
      <c r="A117" s="995" t="s">
        <v>6274</v>
      </c>
      <c r="B117" s="1599">
        <v>305.61</v>
      </c>
      <c r="C117" s="996" t="s">
        <v>3931</v>
      </c>
      <c r="D117" s="996" t="s">
        <v>4859</v>
      </c>
      <c r="E117" s="1006">
        <f t="shared" si="2"/>
        <v>0.61585835257890686</v>
      </c>
      <c r="F117" s="1006">
        <f>IFERROR($E117*(VLOOKUP(C117,fish_group_yield_n!$A$7:$J$49,7,FALSE)),0)</f>
        <v>0.11347243836577441</v>
      </c>
      <c r="G117" s="1006">
        <f>IFERROR($E117*(VLOOKUP(C117,fish_group_yield_n!$A$7:$J$49,10,FALSE)),0)</f>
        <v>0.11488183980622041</v>
      </c>
      <c r="H117" s="1619">
        <f t="shared" si="3"/>
        <v>181.85999999999999</v>
      </c>
      <c r="I117" s="997">
        <f>IF(ISERROR($E117*VLOOKUP($C117,fish_group_yield_w!$A$7:$I$45,9,FALSE)),0,$E117*VLOOKUP($C117,fish_group_yield_w!$A$7:$I$45,9,FALSE))</f>
        <v>0</v>
      </c>
      <c r="J117" s="998">
        <f>IF(ISERROR($E117*VLOOKUP($C117,fish_group_yield_w!$A$7:$I$45,9,FALSE)),0,$E117*VLOOKUP($C117,fish_group_yield_w!$A$7:$I$45,9,FALSE))</f>
        <v>0</v>
      </c>
      <c r="L117" s="1586"/>
      <c r="M117" s="1586"/>
      <c r="N117" s="889"/>
    </row>
    <row r="118" spans="1:14" ht="12">
      <c r="A118" s="1348" t="s">
        <v>8672</v>
      </c>
      <c r="B118" s="1618">
        <v>302.45</v>
      </c>
      <c r="C118" s="1348" t="s">
        <v>2432</v>
      </c>
      <c r="D118" s="1348" t="s">
        <v>4859</v>
      </c>
      <c r="E118" s="1006">
        <f t="shared" si="2"/>
        <v>0.98328416912487715</v>
      </c>
      <c r="F118" s="1006">
        <f>IFERROR($E118*(VLOOKUP(C118,fish_group_yield_n!$A$7:$J$49,7,FALSE)),0)</f>
        <v>6.2939022827777219E-2</v>
      </c>
      <c r="G118" s="1006">
        <f>IFERROR($E118*(VLOOKUP(C118,fish_group_yield_n!$A$7:$J$49,10,FALSE)),0)</f>
        <v>6.0782488826240037E-2</v>
      </c>
      <c r="H118" s="1619">
        <f t="shared" si="3"/>
        <v>1139.04</v>
      </c>
      <c r="I118" s="997">
        <f>IF(ISERROR($E118*VLOOKUP($C118,fish_group_yield_w!$A$7:$I$45,9,FALSE)),0,$E118*VLOOKUP($C118,fish_group_yield_w!$A$7:$I$45,9,FALSE))</f>
        <v>1.6699911344665014E-4</v>
      </c>
      <c r="J118" s="998">
        <f>IF(ISERROR($E118*VLOOKUP($C118,fish_group_yield_w!$A$7:$I$45,9,FALSE)),0,$E118*VLOOKUP($C118,fish_group_yield_w!$A$7:$I$45,9,FALSE))</f>
        <v>1.6699911344665014E-4</v>
      </c>
      <c r="L118" s="1586"/>
      <c r="M118" s="1586"/>
      <c r="N118" s="889"/>
    </row>
    <row r="119" spans="1:14" ht="12.75" customHeight="1">
      <c r="A119" s="1348" t="s">
        <v>8703</v>
      </c>
      <c r="B119" s="1618">
        <v>303.55</v>
      </c>
      <c r="C119" s="1348" t="s">
        <v>2432</v>
      </c>
      <c r="D119" s="1348" t="s">
        <v>4859</v>
      </c>
      <c r="E119" s="1006">
        <f t="shared" si="2"/>
        <v>0.5524861878453039</v>
      </c>
      <c r="F119" s="1006">
        <f>IFERROR($E119*(VLOOKUP(C119,fish_group_yield_n!$A$7:$J$49,7,FALSE)),0)</f>
        <v>3.5364080782237253E-2</v>
      </c>
      <c r="G119" s="1006">
        <f>IFERROR($E119*(VLOOKUP(C119,fish_group_yield_n!$A$7:$J$49,10,FALSE)),0)</f>
        <v>3.4152370793528244E-2</v>
      </c>
      <c r="H119" s="1619">
        <f t="shared" si="3"/>
        <v>1252.52</v>
      </c>
      <c r="I119" s="997">
        <f>IF(ISERROR($E119*VLOOKUP($C119,fish_group_yield_w!$A$7:$I$45,9,FALSE)),0,$E119*VLOOKUP($C119,fish_group_yield_w!$A$7:$I$45,9,FALSE))</f>
        <v>9.3833203522233809E-5</v>
      </c>
      <c r="J119" s="998">
        <f>IF(ISERROR($E119*VLOOKUP($C119,fish_group_yield_w!$A$7:$I$45,9,FALSE)),0,$E119*VLOOKUP($C119,fish_group_yield_w!$A$7:$I$45,9,FALSE))</f>
        <v>9.3833203522233809E-5</v>
      </c>
      <c r="L119" s="1586"/>
      <c r="M119" s="1586"/>
      <c r="N119" s="889"/>
    </row>
    <row r="120" spans="1:14" ht="12.75" customHeight="1">
      <c r="A120" s="1348" t="s">
        <v>8674</v>
      </c>
      <c r="B120" s="1618">
        <v>308.3</v>
      </c>
      <c r="C120" s="1348" t="s">
        <v>1806</v>
      </c>
      <c r="D120" s="1348"/>
      <c r="E120" s="1006">
        <f t="shared" si="2"/>
        <v>0</v>
      </c>
      <c r="F120" s="1006">
        <f>IFERROR($E120*(VLOOKUP(C120,fish_group_yield_n!$A$7:$J$49,7,FALSE)),0)</f>
        <v>0</v>
      </c>
      <c r="G120" s="1006">
        <f>IFERROR($E120*(VLOOKUP(C120,fish_group_yield_n!$A$7:$J$49,10,FALSE)),0)</f>
        <v>0</v>
      </c>
      <c r="H120" s="1619">
        <f t="shared" si="3"/>
        <v>0</v>
      </c>
      <c r="I120" s="997">
        <f>IF(ISERROR($E120*VLOOKUP($C120,fish_group_yield_w!$A$7:$I$45,9,FALSE)),0,$E120*VLOOKUP($C120,fish_group_yield_w!$A$7:$I$45,9,FALSE))</f>
        <v>0</v>
      </c>
      <c r="J120" s="998">
        <f>IF(ISERROR($E120*VLOOKUP($C120,fish_group_yield_w!$A$7:$I$45,9,FALSE)),0,$E120*VLOOKUP($C120,fish_group_yield_w!$A$7:$I$45,9,FALSE))</f>
        <v>0</v>
      </c>
      <c r="L120" s="1586"/>
      <c r="M120" s="1586"/>
      <c r="N120" s="889"/>
    </row>
    <row r="121" spans="1:14" ht="12.75" customHeight="1">
      <c r="A121" s="1348" t="s">
        <v>8715</v>
      </c>
      <c r="B121" s="1618">
        <v>1605.63</v>
      </c>
      <c r="C121" s="1348" t="s">
        <v>1806</v>
      </c>
      <c r="D121" s="1348"/>
      <c r="E121" s="1006">
        <f t="shared" si="2"/>
        <v>0.3127932436659368</v>
      </c>
      <c r="F121" s="1006">
        <f>IFERROR($E121*(VLOOKUP(C121,fish_group_yield_n!$A$7:$J$49,7,FALSE)),0)</f>
        <v>3.2386698735102026E-2</v>
      </c>
      <c r="G121" s="1006">
        <f>IFERROR($E121*(VLOOKUP(C121,fish_group_yield_n!$A$7:$J$49,10,FALSE)),0)</f>
        <v>4.035876445737159E-2</v>
      </c>
      <c r="H121" s="1619">
        <f t="shared" si="3"/>
        <v>2586.373</v>
      </c>
      <c r="I121" s="997">
        <f>IF(ISERROR($E121*VLOOKUP($C121,fish_group_yield_w!$A$7:$I$45,9,FALSE)),0,$E121*VLOOKUP($C121,fish_group_yield_w!$A$7:$I$45,9,FALSE))</f>
        <v>7.870077227872925E-2</v>
      </c>
      <c r="J121" s="998">
        <f>IF(ISERROR($E121*VLOOKUP($C121,fish_group_yield_w!$A$7:$I$45,9,FALSE)),0,$E121*VLOOKUP($C121,fish_group_yield_w!$A$7:$I$45,9,FALSE))</f>
        <v>7.870077227872925E-2</v>
      </c>
      <c r="L121" s="1586"/>
      <c r="M121" s="1586"/>
      <c r="N121" s="889"/>
    </row>
    <row r="122" spans="1:14" ht="12.75" customHeight="1">
      <c r="A122" s="995" t="s">
        <v>6275</v>
      </c>
      <c r="B122" s="1599">
        <v>302.7</v>
      </c>
      <c r="C122" s="996" t="s">
        <v>1803</v>
      </c>
      <c r="D122" s="996"/>
      <c r="E122" s="1006">
        <f t="shared" si="2"/>
        <v>0</v>
      </c>
      <c r="F122" s="1006">
        <f>IFERROR($E122*(VLOOKUP(C122,fish_group_yield_n!$A$7:$J$49,7,FALSE)),0)</f>
        <v>0</v>
      </c>
      <c r="G122" s="1006">
        <f>IFERROR($E122*(VLOOKUP(C122,fish_group_yield_n!$A$7:$J$49,10,FALSE)),0)</f>
        <v>0</v>
      </c>
      <c r="H122" s="1619">
        <f t="shared" si="3"/>
        <v>0</v>
      </c>
      <c r="I122" s="997">
        <f>IF(ISERROR($E122*VLOOKUP($C122,fish_group_yield_w!$A$7:$I$45,9,FALSE)),0,$E122*VLOOKUP($C122,fish_group_yield_w!$A$7:$I$45,9,FALSE))</f>
        <v>0</v>
      </c>
      <c r="J122" s="998">
        <f>IF(ISERROR($E122*VLOOKUP($C122,fish_group_yield_w!$A$7:$I$45,9,FALSE)),0,$E122*VLOOKUP($C122,fish_group_yield_w!$A$7:$I$45,9,FALSE))</f>
        <v>0</v>
      </c>
      <c r="L122" s="1586"/>
      <c r="M122" s="1586"/>
      <c r="N122" s="889"/>
    </row>
    <row r="123" spans="1:14" ht="12.75" customHeight="1">
      <c r="A123" s="1587" t="s">
        <v>6275</v>
      </c>
      <c r="B123" s="1587">
        <v>302.89999999999998</v>
      </c>
      <c r="C123" s="996" t="s">
        <v>1803</v>
      </c>
      <c r="D123" s="1618"/>
      <c r="E123" s="1006">
        <f t="shared" si="2"/>
        <v>0</v>
      </c>
      <c r="F123" s="1006">
        <f>IFERROR($E123*(VLOOKUP(C123,fish_group_yield_n!$A$7:$J$49,7,FALSE)),0)</f>
        <v>0</v>
      </c>
      <c r="G123" s="1006">
        <f>IFERROR($E123*(VLOOKUP(C123,fish_group_yield_n!$A$7:$J$49,10,FALSE)),0)</f>
        <v>0</v>
      </c>
      <c r="H123" s="1619">
        <f t="shared" si="3"/>
        <v>0</v>
      </c>
      <c r="I123" s="997">
        <f>IF(ISERROR($E123*VLOOKUP($C123,fish_group_yield_w!$A$7:$I$45,9,FALSE)),0,$E123*VLOOKUP($C123,fish_group_yield_w!$A$7:$I$45,9,FALSE))</f>
        <v>0</v>
      </c>
      <c r="J123" s="998">
        <f>IF(ISERROR($E123*VLOOKUP($C123,fish_group_yield_w!$A$7:$I$45,9,FALSE)),0,$E123*VLOOKUP($C123,fish_group_yield_w!$A$7:$I$45,9,FALSE))</f>
        <v>0</v>
      </c>
      <c r="L123" s="1586"/>
      <c r="M123" s="1586"/>
      <c r="N123" s="889"/>
    </row>
    <row r="124" spans="1:14" ht="12.75" customHeight="1">
      <c r="A124" s="995" t="s">
        <v>6276</v>
      </c>
      <c r="B124" s="1599">
        <v>1605.3</v>
      </c>
      <c r="C124" s="996" t="s">
        <v>3932</v>
      </c>
      <c r="D124" s="996" t="s">
        <v>4840</v>
      </c>
      <c r="E124" s="1006">
        <f t="shared" si="2"/>
        <v>0.46433094132545383</v>
      </c>
      <c r="F124" s="1006">
        <f>IFERROR($E124*(VLOOKUP(C124,fish_group_yield_n!$A$7:$J$49,7,FALSE)),0)</f>
        <v>7.8134118516942241E-2</v>
      </c>
      <c r="G124" s="1006">
        <f>IFERROR($E124*(VLOOKUP(C124,fish_group_yield_n!$A$7:$J$49,10,FALSE)),0)</f>
        <v>6.3636707091675682E-2</v>
      </c>
      <c r="H124" s="1619">
        <f t="shared" si="3"/>
        <v>17668.432727272724</v>
      </c>
      <c r="I124" s="997">
        <f>IF(ISERROR($E124*VLOOKUP($C124,fish_group_yield_w!$A$7:$I$45,9,FALSE)),0,$E124*VLOOKUP($C124,fish_group_yield_w!$A$7:$I$45,9,FALSE))</f>
        <v>7.8533273722069413E-5</v>
      </c>
      <c r="J124" s="998">
        <f>IF(ISERROR($E124*VLOOKUP($C124,fish_group_yield_w!$A$7:$I$45,9,FALSE)),0,$E124*VLOOKUP($C124,fish_group_yield_w!$A$7:$I$45,9,FALSE))</f>
        <v>7.8533273722069413E-5</v>
      </c>
      <c r="L124" s="1586"/>
      <c r="M124" s="1586"/>
      <c r="N124" s="889"/>
    </row>
    <row r="125" spans="1:14" ht="12.75" customHeight="1">
      <c r="A125" s="995" t="s">
        <v>6277</v>
      </c>
      <c r="B125" s="1599">
        <v>306.12</v>
      </c>
      <c r="C125" s="996" t="s">
        <v>3932</v>
      </c>
      <c r="D125" s="996" t="s">
        <v>4840</v>
      </c>
      <c r="E125" s="1006">
        <f t="shared" si="2"/>
        <v>0.46433094132545383</v>
      </c>
      <c r="F125" s="1006">
        <f>IFERROR($E125*(VLOOKUP(C125,fish_group_yield_n!$A$7:$J$49,7,FALSE)),0)</f>
        <v>7.8134118516942241E-2</v>
      </c>
      <c r="G125" s="1006">
        <f>IFERROR($E125*(VLOOKUP(C125,fish_group_yield_n!$A$7:$J$49,10,FALSE)),0)</f>
        <v>6.3636707091675682E-2</v>
      </c>
      <c r="H125" s="1619">
        <f t="shared" si="3"/>
        <v>33745.328181818179</v>
      </c>
      <c r="I125" s="997">
        <f>IF(ISERROR($E125*VLOOKUP($C125,fish_group_yield_w!$A$7:$I$45,9,FALSE)),0,$E125*VLOOKUP($C125,fish_group_yield_w!$A$7:$I$45,9,FALSE))</f>
        <v>7.8533273722069413E-5</v>
      </c>
      <c r="J125" s="998">
        <f>IF(ISERROR($E125*VLOOKUP($C125,fish_group_yield_w!$A$7:$I$45,9,FALSE)),0,$E125*VLOOKUP($C125,fish_group_yield_w!$A$7:$I$45,9,FALSE))</f>
        <v>7.8533273722069413E-5</v>
      </c>
      <c r="L125" s="1586"/>
      <c r="M125" s="1586"/>
      <c r="N125" s="889"/>
    </row>
    <row r="126" spans="1:14" ht="12.75" customHeight="1">
      <c r="A126" s="999" t="s">
        <v>6344</v>
      </c>
      <c r="B126" s="1599">
        <v>306.22000000000003</v>
      </c>
      <c r="C126" s="996" t="s">
        <v>3932</v>
      </c>
      <c r="D126" s="996" t="s">
        <v>4840</v>
      </c>
      <c r="E126" s="1006">
        <f t="shared" si="2"/>
        <v>0.46433094132545383</v>
      </c>
      <c r="F126" s="1006">
        <f>IFERROR($E126*(VLOOKUP(C126,fish_group_yield_n!$A$7:$J$49,7,FALSE)),0)</f>
        <v>7.8134118516942241E-2</v>
      </c>
      <c r="G126" s="1006">
        <f>IFERROR($E126*(VLOOKUP(C126,fish_group_yield_n!$A$7:$J$49,10,FALSE)),0)</f>
        <v>6.3636707091675682E-2</v>
      </c>
      <c r="H126" s="1619">
        <f t="shared" si="3"/>
        <v>540.56272727272722</v>
      </c>
      <c r="I126" s="1000">
        <f>IF(ISERROR($E126*VLOOKUP($C126,fish_group_yield_w!$A$7:$I$45,9,FALSE)),0,$E126*VLOOKUP($C126,fish_group_yield_w!$A$7:$I$45,9,FALSE))</f>
        <v>7.8533273722069413E-5</v>
      </c>
      <c r="J126" s="1001">
        <f>IF(ISERROR($E126*VLOOKUP($C126,fish_group_yield_w!$A$7:$I$45,9,FALSE)),0,$E126*VLOOKUP($C126,fish_group_yield_w!$A$7:$I$45,9,FALSE))</f>
        <v>7.8533273722069413E-5</v>
      </c>
      <c r="L126" s="1586"/>
      <c r="M126" s="1586"/>
      <c r="N126" s="889"/>
    </row>
    <row r="127" spans="1:14" ht="12.75" customHeight="1">
      <c r="A127" s="995" t="s">
        <v>6278</v>
      </c>
      <c r="B127" s="1599">
        <v>302.64</v>
      </c>
      <c r="C127" s="996" t="s">
        <v>2432</v>
      </c>
      <c r="D127" s="996" t="s">
        <v>4859</v>
      </c>
      <c r="E127" s="1006">
        <f t="shared" si="2"/>
        <v>0.74487895716945995</v>
      </c>
      <c r="F127" s="1006">
        <f>IFERROR($E127*(VLOOKUP(C127,fish_group_yield_n!$A$7:$J$49,7,FALSE)),0)</f>
        <v>4.7678946901936255E-2</v>
      </c>
      <c r="G127" s="1006">
        <f>IFERROR($E127*(VLOOKUP(C127,fish_group_yield_n!$A$7:$J$49,10,FALSE)),0)</f>
        <v>4.6045282038201948E-2</v>
      </c>
      <c r="H127" s="1619">
        <f t="shared" si="3"/>
        <v>0</v>
      </c>
      <c r="I127" s="997">
        <f>IF(ISERROR($E127*VLOOKUP($C127,fish_group_yield_w!$A$7:$I$45,9,FALSE)),0,$E127*VLOOKUP($C127,fish_group_yield_w!$A$7:$I$45,9,FALSE))</f>
        <v>1.265088256053953E-4</v>
      </c>
      <c r="J127" s="998">
        <f>IF(ISERROR($E127*VLOOKUP($C127,fish_group_yield_w!$A$7:$I$45,9,FALSE)),0,$E127*VLOOKUP($C127,fish_group_yield_w!$A$7:$I$45,9,FALSE))</f>
        <v>1.265088256053953E-4</v>
      </c>
      <c r="L127" s="1586"/>
      <c r="M127" s="1586"/>
      <c r="N127" s="889"/>
    </row>
    <row r="128" spans="1:14" ht="12.75" customHeight="1">
      <c r="A128" s="995" t="s">
        <v>6279</v>
      </c>
      <c r="B128" s="1599">
        <v>303.74</v>
      </c>
      <c r="C128" s="996" t="s">
        <v>2432</v>
      </c>
      <c r="D128" s="996" t="s">
        <v>4859</v>
      </c>
      <c r="E128" s="1006">
        <f t="shared" si="2"/>
        <v>0.65969062784349419</v>
      </c>
      <c r="F128" s="1006">
        <f>IFERROR($E128*(VLOOKUP(C128,fish_group_yield_n!$A$7:$J$49,7,FALSE)),0)</f>
        <v>4.2226128304359276E-2</v>
      </c>
      <c r="G128" s="1006">
        <f>IFERROR($E128*(VLOOKUP(C128,fish_group_yield_n!$A$7:$J$49,10,FALSE)),0)</f>
        <v>4.0779298065338893E-2</v>
      </c>
      <c r="H128" s="1619">
        <f t="shared" si="3"/>
        <v>0</v>
      </c>
      <c r="I128" s="997">
        <f>IF(ISERROR($E128*VLOOKUP($C128,fish_group_yield_w!$A$7:$I$45,9,FALSE)),0,$E128*VLOOKUP($C128,fish_group_yield_w!$A$7:$I$45,9,FALSE))</f>
        <v>1.1204060174890931E-4</v>
      </c>
      <c r="J128" s="998">
        <f>IF(ISERROR($E128*VLOOKUP($C128,fish_group_yield_w!$A$7:$I$45,9,FALSE)),0,$E128*VLOOKUP($C128,fish_group_yield_w!$A$7:$I$45,9,FALSE))</f>
        <v>1.1204060174890931E-4</v>
      </c>
      <c r="L128" s="1586"/>
      <c r="M128" s="1586"/>
      <c r="N128" s="889"/>
    </row>
    <row r="129" spans="1:14" ht="12.75" customHeight="1">
      <c r="A129" s="1348" t="s">
        <v>8676</v>
      </c>
      <c r="B129" s="1618">
        <v>302.44</v>
      </c>
      <c r="C129" s="996" t="s">
        <v>2432</v>
      </c>
      <c r="D129" s="996" t="s">
        <v>4859</v>
      </c>
      <c r="E129" s="1006">
        <f t="shared" si="2"/>
        <v>0.74487895716945995</v>
      </c>
      <c r="F129" s="1006">
        <f>IFERROR($E129*(VLOOKUP(C129,fish_group_yield_n!$A$7:$J$49,7,FALSE)),0)</f>
        <v>4.7678946901936255E-2</v>
      </c>
      <c r="G129" s="1006">
        <f>IFERROR($E129*(VLOOKUP(C129,fish_group_yield_n!$A$7:$J$49,10,FALSE)),0)</f>
        <v>4.6045282038201948E-2</v>
      </c>
      <c r="H129" s="1619">
        <f t="shared" si="3"/>
        <v>229.5675</v>
      </c>
      <c r="I129" s="997">
        <f>IF(ISERROR($E129*VLOOKUP($C129,fish_group_yield_w!$A$7:$I$45,9,FALSE)),0,$E129*VLOOKUP($C129,fish_group_yield_w!$A$7:$I$45,9,FALSE))</f>
        <v>1.265088256053953E-4</v>
      </c>
      <c r="J129" s="998">
        <f>IF(ISERROR($E129*VLOOKUP($C129,fish_group_yield_w!$A$7:$I$45,9,FALSE)),0,$E129*VLOOKUP($C129,fish_group_yield_w!$A$7:$I$45,9,FALSE))</f>
        <v>1.265088256053953E-4</v>
      </c>
      <c r="L129" s="1586"/>
      <c r="M129" s="1586"/>
      <c r="N129" s="889"/>
    </row>
    <row r="130" spans="1:14" ht="12.75" customHeight="1">
      <c r="A130" s="1348" t="s">
        <v>8677</v>
      </c>
      <c r="B130" s="1618">
        <v>303.54000000000002</v>
      </c>
      <c r="C130" s="996" t="s">
        <v>2432</v>
      </c>
      <c r="D130" s="996" t="s">
        <v>4859</v>
      </c>
      <c r="E130" s="1006">
        <f t="shared" si="2"/>
        <v>0.65969062784349286</v>
      </c>
      <c r="F130" s="1006">
        <f>IFERROR($E130*(VLOOKUP(C130,fish_group_yield_n!$A$7:$J$49,7,FALSE)),0)</f>
        <v>4.2226128304359185E-2</v>
      </c>
      <c r="G130" s="1006">
        <f>IFERROR($E130*(VLOOKUP(C130,fish_group_yield_n!$A$7:$J$49,10,FALSE)),0)</f>
        <v>4.0779298065338809E-2</v>
      </c>
      <c r="H130" s="1619">
        <f t="shared" si="3"/>
        <v>9816.7227586207082</v>
      </c>
      <c r="I130" s="997">
        <f>IF(ISERROR($E130*VLOOKUP($C130,fish_group_yield_w!$A$7:$I$45,9,FALSE)),0,$E130*VLOOKUP($C130,fish_group_yield_w!$A$7:$I$45,9,FALSE))</f>
        <v>1.1204060174890907E-4</v>
      </c>
      <c r="J130" s="998">
        <f>IF(ISERROR($E130*VLOOKUP($C130,fish_group_yield_w!$A$7:$I$45,9,FALSE)),0,$E130*VLOOKUP($C130,fish_group_yield_w!$A$7:$I$45,9,FALSE))</f>
        <v>1.1204060174890907E-4</v>
      </c>
      <c r="L130" s="1586"/>
      <c r="M130" s="1586"/>
      <c r="N130" s="889"/>
    </row>
    <row r="131" spans="1:14" ht="12.75" customHeight="1">
      <c r="A131" s="995" t="s">
        <v>6280</v>
      </c>
      <c r="B131" s="1599">
        <v>1604.15</v>
      </c>
      <c r="C131" s="996" t="s">
        <v>2432</v>
      </c>
      <c r="D131" s="996" t="s">
        <v>4859</v>
      </c>
      <c r="E131" s="1006">
        <f t="shared" si="2"/>
        <v>0.65969062784349419</v>
      </c>
      <c r="F131" s="1006">
        <f>IFERROR($E131*(VLOOKUP(C131,fish_group_yield_n!$A$7:$J$49,7,FALSE)),0)</f>
        <v>4.2226128304359276E-2</v>
      </c>
      <c r="G131" s="1006">
        <f>IFERROR($E131*(VLOOKUP(C131,fish_group_yield_n!$A$7:$J$49,10,FALSE)),0)</f>
        <v>4.0779298065338893E-2</v>
      </c>
      <c r="H131" s="1619">
        <f t="shared" si="3"/>
        <v>14863.027586206894</v>
      </c>
      <c r="I131" s="997">
        <f>IF(ISERROR($E131*VLOOKUP($C131,fish_group_yield_w!$A$7:$I$45,9,FALSE)),0,$E131*VLOOKUP($C131,fish_group_yield_w!$A$7:$I$45,9,FALSE))</f>
        <v>1.1204060174890931E-4</v>
      </c>
      <c r="J131" s="998">
        <f>IF(ISERROR($E131*VLOOKUP($C131,fish_group_yield_w!$A$7:$I$45,9,FALSE)),0,$E131*VLOOKUP($C131,fish_group_yield_w!$A$7:$I$45,9,FALSE))</f>
        <v>1.1204060174890931E-4</v>
      </c>
      <c r="L131" s="1586"/>
      <c r="M131" s="1586"/>
      <c r="N131" s="889"/>
    </row>
    <row r="132" spans="1:14" ht="12.75" customHeight="1">
      <c r="A132" s="995" t="s">
        <v>6281</v>
      </c>
      <c r="B132" s="1599">
        <v>2301.1999999999998</v>
      </c>
      <c r="C132" s="996" t="s">
        <v>3615</v>
      </c>
      <c r="D132" s="1002" t="s">
        <v>4626</v>
      </c>
      <c r="E132" s="1006">
        <f t="shared" si="2"/>
        <v>0.267538644470868</v>
      </c>
      <c r="F132" s="1006">
        <f>IFERROR($E132*(VLOOKUP(C132,fish_group_yield_n!$A$7:$J$49,7,FALSE)),0)</f>
        <v>9.4283796598758893E-2</v>
      </c>
      <c r="G132" s="1006">
        <f>IFERROR($E132*(VLOOKUP(C132,fish_group_yield_n!$A$7:$J$49,10,FALSE)),0)</f>
        <v>0.47158357768660519</v>
      </c>
      <c r="H132" s="1619">
        <f t="shared" si="3"/>
        <v>177413.62222222224</v>
      </c>
      <c r="I132" s="997">
        <f>IF(ISERROR($E132*VLOOKUP($C132,fish_group_yield_w!$A$7:$I$45,9,FALSE)),0,$E132*VLOOKUP($C132,fish_group_yield_w!$A$7:$I$45,9,FALSE))</f>
        <v>0</v>
      </c>
      <c r="J132" s="998">
        <f>IF(ISERROR($E132*VLOOKUP($C132,fish_group_yield_w!$A$7:$I$45,9,FALSE)),0,$E132*VLOOKUP($C132,fish_group_yield_w!$A$7:$I$45,9,FALSE))</f>
        <v>0</v>
      </c>
      <c r="L132" s="1586"/>
      <c r="M132" s="1586"/>
      <c r="N132" s="889"/>
    </row>
    <row r="133" spans="1:14" ht="12.75" customHeight="1">
      <c r="A133" s="1348" t="s">
        <v>8705</v>
      </c>
      <c r="B133" s="1618">
        <v>304.95</v>
      </c>
      <c r="C133" s="1348" t="s">
        <v>5366</v>
      </c>
      <c r="D133" s="1348" t="s">
        <v>4841</v>
      </c>
      <c r="E133" s="1006">
        <f t="shared" si="2"/>
        <v>0.5524861878453039</v>
      </c>
      <c r="F133" s="1006">
        <f>IFERROR($E133*(VLOOKUP(C133,fish_group_yield_n!$A$7:$J$49,7,FALSE)),0)</f>
        <v>7.513673827285035E-3</v>
      </c>
      <c r="G133" s="1006">
        <f>IFERROR($E133*(VLOOKUP(C133,fish_group_yield_n!$A$7:$J$49,10,FALSE)),0)</f>
        <v>1.0583977803470606E-2</v>
      </c>
      <c r="H133" s="1619">
        <f t="shared" si="3"/>
        <v>3422.7099999999996</v>
      </c>
      <c r="I133" s="997">
        <f>IF(ISERROR($E133*VLOOKUP($C133,fish_group_yield_w!$A$7:$I$45,9,FALSE)),0,$E133*VLOOKUP($C133,fish_group_yield_w!$A$7:$I$45,9,FALSE))</f>
        <v>9.0411515697904135E-4</v>
      </c>
      <c r="J133" s="998">
        <f>IF(ISERROR($E133*VLOOKUP($C133,fish_group_yield_w!$A$7:$I$45,9,FALSE)),0,$E133*VLOOKUP($C133,fish_group_yield_w!$A$7:$I$45,9,FALSE))</f>
        <v>9.0411515697904135E-4</v>
      </c>
      <c r="L133" s="1586"/>
      <c r="M133" s="1586"/>
      <c r="N133" s="889"/>
    </row>
    <row r="134" spans="1:14" ht="12.75" customHeight="1">
      <c r="A134" s="1348" t="s">
        <v>8679</v>
      </c>
      <c r="B134" s="1618">
        <v>304.51</v>
      </c>
      <c r="C134" s="1348" t="s">
        <v>1806</v>
      </c>
      <c r="D134" s="1348"/>
      <c r="E134" s="1006">
        <f t="shared" si="2"/>
        <v>0.43478260869565222</v>
      </c>
      <c r="F134" s="1006">
        <f>IFERROR($E134*(VLOOKUP(C134,fish_group_yield_n!$A$7:$J$49,7,FALSE)),0)</f>
        <v>4.5017511241791826E-2</v>
      </c>
      <c r="G134" s="1006">
        <f>IFERROR($E134*(VLOOKUP(C134,fish_group_yield_n!$A$7:$J$49,10,FALSE)),0)</f>
        <v>5.6098682595746518E-2</v>
      </c>
      <c r="H134" s="1619">
        <f t="shared" si="3"/>
        <v>922.3</v>
      </c>
      <c r="I134" s="997">
        <f>IF(ISERROR($E134*VLOOKUP($C134,fish_group_yield_w!$A$7:$I$45,9,FALSE)),0,$E134*VLOOKUP($C134,fish_group_yield_w!$A$7:$I$45,9,FALSE))</f>
        <v>0.10939407346743367</v>
      </c>
      <c r="J134" s="998">
        <f>IF(ISERROR($E134*VLOOKUP($C134,fish_group_yield_w!$A$7:$I$45,9,FALSE)),0,$E134*VLOOKUP($C134,fish_group_yield_w!$A$7:$I$45,9,FALSE))</f>
        <v>0.10939407346743367</v>
      </c>
      <c r="L134" s="1586"/>
      <c r="M134" s="1586"/>
      <c r="N134" s="889"/>
    </row>
    <row r="135" spans="1:14" ht="12.75" customHeight="1">
      <c r="A135" s="995" t="s">
        <v>6282</v>
      </c>
      <c r="B135" s="1599">
        <v>1605.9</v>
      </c>
      <c r="C135" s="996" t="s">
        <v>1804</v>
      </c>
      <c r="D135" s="996" t="s">
        <v>4851</v>
      </c>
      <c r="E135" s="1006">
        <f t="shared" ref="E135:E198" si="4">IFERROR(1/VLOOKUP(B135,constant_fish_extr,2,FALSE),0)</f>
        <v>0.46948356807511737</v>
      </c>
      <c r="F135" s="1006">
        <f>IFERROR($E135*(VLOOKUP(C135,fish_group_yield_n!$A$7:$J$49,7,FALSE)),0)</f>
        <v>0.22009367576844149</v>
      </c>
      <c r="G135" s="1006">
        <f>IFERROR($E135*(VLOOKUP(C135,fish_group_yield_n!$A$7:$J$49,10,FALSE)),0)</f>
        <v>0.59199385562285256</v>
      </c>
      <c r="H135" s="1619">
        <f t="shared" ref="H135:H198" si="5">IF(ISERROR(VLOOKUP(B135,tbl_figis_commodity,2,FALSE)/E135),0,VLOOKUP(B135,tbl_figis_commodity,2,FALSE)/E135)</f>
        <v>0</v>
      </c>
      <c r="I135" s="997">
        <f>IF(ISERROR($E135*VLOOKUP($C135,fish_group_yield_w!$A$7:$I$45,9,FALSE)),0,$E135*VLOOKUP($C135,fish_group_yield_w!$A$7:$I$45,9,FALSE))</f>
        <v>0.25377437129668806</v>
      </c>
      <c r="J135" s="998">
        <f>IF(ISERROR($E135*VLOOKUP($C135,fish_group_yield_w!$A$7:$I$45,9,FALSE)),0,$E135*VLOOKUP($C135,fish_group_yield_w!$A$7:$I$45,9,FALSE))</f>
        <v>0.25377437129668806</v>
      </c>
      <c r="L135" s="1586"/>
      <c r="M135" s="1586"/>
      <c r="N135" s="889"/>
    </row>
    <row r="136" spans="1:14" ht="12.75" customHeight="1">
      <c r="A136" s="995" t="s">
        <v>6283</v>
      </c>
      <c r="B136" s="1599">
        <v>307.31</v>
      </c>
      <c r="C136" s="996" t="s">
        <v>2433</v>
      </c>
      <c r="D136" s="996" t="s">
        <v>4851</v>
      </c>
      <c r="E136" s="1006">
        <f t="shared" si="4"/>
        <v>0.10395010395010396</v>
      </c>
      <c r="F136" s="1006">
        <f>IFERROR($E136*(VLOOKUP(C136,fish_group_yield_n!$A$7:$J$49,7,FALSE)),0)</f>
        <v>4.1270046118048444E-2</v>
      </c>
      <c r="G136" s="1006">
        <f>IFERROR($E136*(VLOOKUP(C136,fish_group_yield_n!$A$7:$J$49,10,FALSE)),0)</f>
        <v>4.3541550561666371E-2</v>
      </c>
      <c r="H136" s="1619">
        <f t="shared" si="5"/>
        <v>143289.9</v>
      </c>
      <c r="I136" s="997">
        <f>IF(ISERROR($E136*VLOOKUP($C136,fish_group_yield_w!$A$7:$I$45,9,FALSE)),0,$E136*VLOOKUP($C136,fish_group_yield_w!$A$7:$I$45,9,FALSE))</f>
        <v>6.9508788247065634E-2</v>
      </c>
      <c r="J136" s="998">
        <f>IF(ISERROR($E136*VLOOKUP($C136,fish_group_yield_w!$A$7:$I$45,9,FALSE)),0,$E136*VLOOKUP($C136,fish_group_yield_w!$A$7:$I$45,9,FALSE))</f>
        <v>6.9508788247065634E-2</v>
      </c>
      <c r="L136" s="1586"/>
      <c r="M136" s="1586"/>
      <c r="N136" s="889"/>
    </row>
    <row r="137" spans="1:14" ht="12.75" customHeight="1">
      <c r="A137" s="995" t="s">
        <v>6284</v>
      </c>
      <c r="B137" s="1599">
        <v>307.39</v>
      </c>
      <c r="C137" s="996" t="s">
        <v>2433</v>
      </c>
      <c r="D137" s="996" t="s">
        <v>4851</v>
      </c>
      <c r="E137" s="1006">
        <f t="shared" si="4"/>
        <v>0.32369942196531792</v>
      </c>
      <c r="F137" s="1006">
        <f>IFERROR($E137*(VLOOKUP(C137,fish_group_yield_n!$A$7:$J$49,7,FALSE)),0)</f>
        <v>0.12851444650124311</v>
      </c>
      <c r="G137" s="1006">
        <f>IFERROR($E137*(VLOOKUP(C137,fish_group_yield_n!$A$7:$J$49,10,FALSE)),0)</f>
        <v>0.13558788507850233</v>
      </c>
      <c r="H137" s="1619">
        <f t="shared" si="5"/>
        <v>41004.089285714283</v>
      </c>
      <c r="I137" s="997">
        <f>IF(ISERROR($E137*VLOOKUP($C137,fish_group_yield_w!$A$7:$I$45,9,FALSE)),0,$E137*VLOOKUP($C137,fish_group_yield_w!$A$7:$I$45,9,FALSE))</f>
        <v>0.21644956303155607</v>
      </c>
      <c r="J137" s="998">
        <f>IF(ISERROR($E137*VLOOKUP($C137,fish_group_yield_w!$A$7:$I$45,9,FALSE)),0,$E137*VLOOKUP($C137,fish_group_yield_w!$A$7:$I$45,9,FALSE))</f>
        <v>0.21644956303155607</v>
      </c>
      <c r="L137" s="1586"/>
      <c r="M137" s="1586"/>
      <c r="N137" s="889"/>
    </row>
    <row r="138" spans="1:14" ht="12.75" customHeight="1">
      <c r="A138" s="995" t="s">
        <v>8680</v>
      </c>
      <c r="B138" s="1599">
        <v>1605.53</v>
      </c>
      <c r="C138" s="996" t="s">
        <v>2433</v>
      </c>
      <c r="D138" s="996" t="s">
        <v>4851</v>
      </c>
      <c r="E138" s="1006">
        <f t="shared" si="4"/>
        <v>0.32369942196531792</v>
      </c>
      <c r="F138" s="1006">
        <f>IFERROR($E138*(VLOOKUP(C138,fish_group_yield_n!$A$7:$J$49,7,FALSE)),0)</f>
        <v>0.12851444650124311</v>
      </c>
      <c r="G138" s="1006">
        <f>IFERROR($E138*(VLOOKUP(C138,fish_group_yield_n!$A$7:$J$49,10,FALSE)),0)</f>
        <v>0.13558788507850233</v>
      </c>
      <c r="H138" s="1619">
        <f t="shared" si="5"/>
        <v>12520.875</v>
      </c>
      <c r="I138" s="997">
        <f>IF(ISERROR($E138*VLOOKUP($C138,fish_group_yield_w!$A$7:$I$45,9,FALSE)),0,$E138*VLOOKUP($C138,fish_group_yield_w!$A$7:$I$45,9,FALSE))</f>
        <v>0.21644956303155607</v>
      </c>
      <c r="J138" s="998">
        <f>IF(ISERROR($E138*VLOOKUP($C138,fish_group_yield_w!$A$7:$I$45,9,FALSE)),0,$E138*VLOOKUP($C138,fish_group_yield_w!$A$7:$I$45,9,FALSE))</f>
        <v>0.21644956303155607</v>
      </c>
      <c r="L138" s="1586"/>
      <c r="M138" s="1586"/>
      <c r="N138" s="889"/>
    </row>
    <row r="139" spans="1:14" ht="12.75" customHeight="1">
      <c r="A139" s="995" t="s">
        <v>8667</v>
      </c>
      <c r="B139" s="1599">
        <v>302.79000000000002</v>
      </c>
      <c r="C139" s="996" t="s">
        <v>1806</v>
      </c>
      <c r="D139" s="996" t="s">
        <v>4845</v>
      </c>
      <c r="E139" s="1006">
        <f t="shared" si="4"/>
        <v>0.64516129032258063</v>
      </c>
      <c r="F139" s="1006">
        <f>IFERROR($E139*(VLOOKUP(C139,fish_group_yield_n!$A$7:$J$49,7,FALSE)),0)</f>
        <v>6.6800177971691091E-2</v>
      </c>
      <c r="G139" s="1006">
        <f>IFERROR($E139*(VLOOKUP(C139,fish_group_yield_n!$A$7:$J$49,10,FALSE)),0)</f>
        <v>8.3243206432398048E-2</v>
      </c>
      <c r="H139" s="1619">
        <f t="shared" si="5"/>
        <v>119.35000000000001</v>
      </c>
      <c r="I139" s="997">
        <f>IF(ISERROR($E139*VLOOKUP($C139,fish_group_yield_w!$A$7:$I$45,9,FALSE)),0,$E139*VLOOKUP($C139,fish_group_yield_w!$A$7:$I$45,9,FALSE))</f>
        <v>0.16232668966135316</v>
      </c>
      <c r="J139" s="998">
        <f>IF(ISERROR($E139*VLOOKUP($C139,fish_group_yield_w!$A$7:$I$45,9,FALSE)),0,$E139*VLOOKUP($C139,fish_group_yield_w!$A$7:$I$45,9,FALSE))</f>
        <v>0.16232668966135316</v>
      </c>
      <c r="L139" s="1586"/>
      <c r="M139" s="1586"/>
      <c r="N139" s="889"/>
    </row>
    <row r="140" spans="1:14" ht="12.75" customHeight="1">
      <c r="A140" s="995" t="s">
        <v>8623</v>
      </c>
      <c r="B140" s="1599">
        <v>304.33</v>
      </c>
      <c r="C140" s="996" t="s">
        <v>1806</v>
      </c>
      <c r="D140" s="996" t="s">
        <v>4845</v>
      </c>
      <c r="E140" s="1006">
        <f t="shared" si="4"/>
        <v>0.50820469632624188</v>
      </c>
      <c r="F140" s="1006">
        <f>IFERROR($E140*(VLOOKUP(C140,fish_group_yield_n!$A$7:$J$49,7,FALSE)),0)</f>
        <v>5.2619654448995384E-2</v>
      </c>
      <c r="G140" s="1006">
        <f>IFERROR($E140*(VLOOKUP(C140,fish_group_yield_n!$A$7:$J$49,10,FALSE)),0)</f>
        <v>6.557211209160925E-2</v>
      </c>
      <c r="H140" s="1619">
        <f t="shared" si="5"/>
        <v>129.86892973856212</v>
      </c>
      <c r="I140" s="997">
        <f>IF(ISERROR($E140*VLOOKUP($C140,fish_group_yield_w!$A$7:$I$45,9,FALSE)),0,$E140*VLOOKUP($C140,fish_group_yield_w!$A$7:$I$45,9,FALSE))</f>
        <v>0.12786753833873774</v>
      </c>
      <c r="J140" s="998">
        <f>IF(ISERROR($E140*VLOOKUP($C140,fish_group_yield_w!$A$7:$I$45,9,FALSE)),0,$E140*VLOOKUP($C140,fish_group_yield_w!$A$7:$I$45,9,FALSE))</f>
        <v>0.12786753833873774</v>
      </c>
      <c r="L140" s="1586"/>
      <c r="M140" s="1586"/>
      <c r="N140" s="889"/>
    </row>
    <row r="141" spans="1:14" ht="12.75" customHeight="1">
      <c r="A141" s="995" t="s">
        <v>8637</v>
      </c>
      <c r="B141" s="1599">
        <v>304.63</v>
      </c>
      <c r="C141" s="996" t="s">
        <v>1806</v>
      </c>
      <c r="D141" s="996" t="s">
        <v>4845</v>
      </c>
      <c r="E141" s="1006">
        <f t="shared" si="4"/>
        <v>0.50820469632624188</v>
      </c>
      <c r="F141" s="1006">
        <f>IFERROR($E141*(VLOOKUP(C141,fish_group_yield_n!$A$7:$J$49,7,FALSE)),0)</f>
        <v>5.2619654448995384E-2</v>
      </c>
      <c r="G141" s="1006">
        <f>IFERROR($E141*(VLOOKUP(C141,fish_group_yield_n!$A$7:$J$49,10,FALSE)),0)</f>
        <v>6.557211209160925E-2</v>
      </c>
      <c r="H141" s="1619">
        <f t="shared" si="5"/>
        <v>90.514708605664495</v>
      </c>
      <c r="I141" s="997">
        <f>IF(ISERROR($E141*VLOOKUP($C141,fish_group_yield_w!$A$7:$I$45,9,FALSE)),0,$E141*VLOOKUP($C141,fish_group_yield_w!$A$7:$I$45,9,FALSE))</f>
        <v>0.12786753833873774</v>
      </c>
      <c r="J141" s="998">
        <f>IF(ISERROR($E141*VLOOKUP($C141,fish_group_yield_w!$A$7:$I$45,9,FALSE)),0,$E141*VLOOKUP($C141,fish_group_yield_w!$A$7:$I$45,9,FALSE))</f>
        <v>0.12786753833873774</v>
      </c>
      <c r="L141" s="1586"/>
      <c r="M141" s="1586"/>
      <c r="N141" s="889"/>
    </row>
    <row r="142" spans="1:14" ht="12.75" customHeight="1">
      <c r="A142" s="995" t="s">
        <v>8684</v>
      </c>
      <c r="B142" s="1599">
        <v>306.14999999999998</v>
      </c>
      <c r="C142" s="996" t="s">
        <v>3932</v>
      </c>
      <c r="D142" s="996" t="s">
        <v>4840</v>
      </c>
      <c r="E142" s="1006">
        <f t="shared" si="4"/>
        <v>0.46433094132545383</v>
      </c>
      <c r="F142" s="1006">
        <f>IFERROR($E142*(VLOOKUP(C142,fish_group_yield_n!$A$7:$J$49,7,FALSE)),0)</f>
        <v>7.8134118516942241E-2</v>
      </c>
      <c r="G142" s="1006">
        <f>IFERROR($E142*(VLOOKUP(C142,fish_group_yield_n!$A$7:$J$49,10,FALSE)),0)</f>
        <v>6.3636707091675682E-2</v>
      </c>
      <c r="H142" s="1619">
        <f t="shared" si="5"/>
        <v>75.377272727272725</v>
      </c>
      <c r="I142" s="997">
        <f>IF(ISERROR($E142*VLOOKUP($C142,fish_group_yield_w!$A$7:$I$45,9,FALSE)),0,$E142*VLOOKUP($C142,fish_group_yield_w!$A$7:$I$45,9,FALSE))</f>
        <v>7.8533273722069413E-5</v>
      </c>
      <c r="J142" s="998">
        <f>IF(ISERROR($E142*VLOOKUP($C142,fish_group_yield_w!$A$7:$I$45,9,FALSE)),0,$E142*VLOOKUP($C142,fish_group_yield_w!$A$7:$I$45,9,FALSE))</f>
        <v>7.8533273722069413E-5</v>
      </c>
      <c r="L142" s="1586"/>
      <c r="M142" s="1586"/>
      <c r="N142" s="889"/>
    </row>
    <row r="143" spans="1:14" ht="12.75" customHeight="1">
      <c r="A143" s="995" t="s">
        <v>8685</v>
      </c>
      <c r="B143" s="1599">
        <v>306.25</v>
      </c>
      <c r="C143" s="996" t="s">
        <v>3932</v>
      </c>
      <c r="D143" s="996" t="s">
        <v>4840</v>
      </c>
      <c r="E143" s="1006">
        <f t="shared" si="4"/>
        <v>0.46433094132545383</v>
      </c>
      <c r="F143" s="1006">
        <f>IFERROR($E143*(VLOOKUP(C143,fish_group_yield_n!$A$7:$J$49,7,FALSE)),0)</f>
        <v>7.8134118516942241E-2</v>
      </c>
      <c r="G143" s="1006">
        <f>IFERROR($E143*(VLOOKUP(C143,fish_group_yield_n!$A$7:$J$49,10,FALSE)),0)</f>
        <v>6.3636707091675682E-2</v>
      </c>
      <c r="H143" s="1619">
        <f t="shared" si="5"/>
        <v>0</v>
      </c>
      <c r="I143" s="997">
        <f>IF(ISERROR($E143*VLOOKUP($C143,fish_group_yield_w!$A$7:$I$45,9,FALSE)),0,$E143*VLOOKUP($C143,fish_group_yield_w!$A$7:$I$45,9,FALSE))</f>
        <v>7.8533273722069413E-5</v>
      </c>
      <c r="J143" s="998">
        <f>IF(ISERROR($E143*VLOOKUP($C143,fish_group_yield_w!$A$7:$I$45,9,FALSE)),0,$E143*VLOOKUP($C143,fish_group_yield_w!$A$7:$I$45,9,FALSE))</f>
        <v>7.8533273722069413E-5</v>
      </c>
      <c r="L143" s="1586"/>
      <c r="M143" s="1586"/>
      <c r="N143" s="889"/>
    </row>
    <row r="144" spans="1:14" ht="12.75" customHeight="1">
      <c r="A144" s="995" t="s">
        <v>1533</v>
      </c>
      <c r="B144" s="1599">
        <v>307.51</v>
      </c>
      <c r="C144" s="996" t="s">
        <v>2434</v>
      </c>
      <c r="D144" s="996" t="s">
        <v>4835</v>
      </c>
      <c r="E144" s="1006">
        <f t="shared" si="4"/>
        <v>0.48309178743961356</v>
      </c>
      <c r="F144" s="1006">
        <f>IFERROR($E144*(VLOOKUP(C144,fish_group_yield_n!$A$7:$J$49,7,FALSE)),0)</f>
        <v>7.8555786752015203E-2</v>
      </c>
      <c r="G144" s="1006">
        <f>IFERROR($E144*(VLOOKUP(C144,fish_group_yield_n!$A$7:$J$49,10,FALSE)),0)</f>
        <v>9.1858743827485226E-2</v>
      </c>
      <c r="H144" s="1619">
        <f t="shared" si="5"/>
        <v>4.1399999999999997</v>
      </c>
      <c r="I144" s="997">
        <f>IF(ISERROR($E144*VLOOKUP($C144,fish_group_yield_w!$A$7:$I$45,9,FALSE)),0,$E144*VLOOKUP($C144,fish_group_yield_w!$A$7:$I$45,9,FALSE))</f>
        <v>1.566137839131914E-6</v>
      </c>
      <c r="J144" s="998">
        <f>IF(ISERROR($E144*VLOOKUP($C144,fish_group_yield_w!$A$7:$I$45,9,FALSE)),0,$E144*VLOOKUP($C144,fish_group_yield_w!$A$7:$I$45,9,FALSE))</f>
        <v>1.566137839131914E-6</v>
      </c>
      <c r="L144" s="1586"/>
      <c r="M144" s="1586"/>
      <c r="N144" s="889"/>
    </row>
    <row r="145" spans="1:14" ht="12.75" customHeight="1">
      <c r="A145" s="995" t="s">
        <v>1910</v>
      </c>
      <c r="B145" s="1599">
        <v>307.58999999999997</v>
      </c>
      <c r="C145" s="996" t="s">
        <v>2434</v>
      </c>
      <c r="D145" s="996" t="s">
        <v>4835</v>
      </c>
      <c r="E145" s="1006">
        <f t="shared" si="4"/>
        <v>0.95465393794749398</v>
      </c>
      <c r="F145" s="1006">
        <f>IFERROR($E145*(VLOOKUP(C145,fish_group_yield_n!$A$7:$J$49,7,FALSE)),0)</f>
        <v>0.15523673372474603</v>
      </c>
      <c r="G145" s="1006">
        <f>IFERROR($E145*(VLOOKUP(C145,fish_group_yield_n!$A$7:$J$49,10,FALSE)),0)</f>
        <v>0.18152515486672496</v>
      </c>
      <c r="H145" s="1619">
        <f t="shared" si="5"/>
        <v>12558.477500000001</v>
      </c>
      <c r="I145" s="997">
        <f>IF(ISERROR($E145*VLOOKUP($C145,fish_group_yield_w!$A$7:$I$45,9,FALSE)),0,$E145*VLOOKUP($C145,fish_group_yield_w!$A$7:$I$45,9,FALSE))</f>
        <v>3.094897686876431E-6</v>
      </c>
      <c r="J145" s="998">
        <f>IF(ISERROR($E145*VLOOKUP($C145,fish_group_yield_w!$A$7:$I$45,9,FALSE)),0,$E145*VLOOKUP($C145,fish_group_yield_w!$A$7:$I$45,9,FALSE))</f>
        <v>3.094897686876431E-6</v>
      </c>
      <c r="L145" s="1586"/>
      <c r="M145" s="1586"/>
      <c r="N145" s="889"/>
    </row>
    <row r="146" spans="1:14" ht="12.75" customHeight="1">
      <c r="A146" s="995" t="s">
        <v>8686</v>
      </c>
      <c r="B146" s="1599">
        <v>1605.55</v>
      </c>
      <c r="C146" s="996" t="s">
        <v>2434</v>
      </c>
      <c r="D146" s="996" t="s">
        <v>4835</v>
      </c>
      <c r="E146" s="1006">
        <f t="shared" si="4"/>
        <v>0.95465393794749398</v>
      </c>
      <c r="F146" s="1006">
        <f>IFERROR($E146*(VLOOKUP(C146,fish_group_yield_n!$A$7:$J$49,7,FALSE)),0)</f>
        <v>0.15523673372474603</v>
      </c>
      <c r="G146" s="1006">
        <f>IFERROR($E146*(VLOOKUP(C146,fish_group_yield_n!$A$7:$J$49,10,FALSE)),0)</f>
        <v>0.18152515486672496</v>
      </c>
      <c r="H146" s="1619">
        <f t="shared" si="5"/>
        <v>3778.3325000000004</v>
      </c>
      <c r="I146" s="997">
        <f>IF(ISERROR($E146*VLOOKUP($C146,fish_group_yield_w!$A$7:$I$45,9,FALSE)),0,$E146*VLOOKUP($C146,fish_group_yield_w!$A$7:$I$45,9,FALSE))</f>
        <v>3.094897686876431E-6</v>
      </c>
      <c r="J146" s="998">
        <f>IF(ISERROR($E146*VLOOKUP($C146,fish_group_yield_w!$A$7:$I$45,9,FALSE)),0,$E146*VLOOKUP($C146,fish_group_yield_w!$A$7:$I$45,9,FALSE))</f>
        <v>3.094897686876431E-6</v>
      </c>
      <c r="L146" s="1586"/>
      <c r="M146" s="1586"/>
      <c r="N146" s="889"/>
    </row>
    <row r="147" spans="1:14" ht="12.75" customHeight="1">
      <c r="A147" s="995" t="s">
        <v>6286</v>
      </c>
      <c r="B147" s="1599">
        <v>1504.3</v>
      </c>
      <c r="C147" s="996"/>
      <c r="D147" s="996"/>
      <c r="E147" s="1006">
        <f t="shared" si="4"/>
        <v>0.31</v>
      </c>
      <c r="F147" s="1006">
        <f>IFERROR($E147*(VLOOKUP(C147,fish_group_yield_n!$A$7:$J$49,7,FALSE)),0)</f>
        <v>0</v>
      </c>
      <c r="G147" s="1006">
        <f>IFERROR($E147*(VLOOKUP(C147,fish_group_yield_n!$A$7:$J$49,10,FALSE)),0)</f>
        <v>0</v>
      </c>
      <c r="H147" s="1619">
        <f t="shared" si="5"/>
        <v>3.2258064516129035</v>
      </c>
      <c r="I147" s="997">
        <f>IF(ISERROR($E147*VLOOKUP($C147,fish_group_yield_w!$A$7:$I$45,9,FALSE)),0,$E147*VLOOKUP($C147,fish_group_yield_w!$A$7:$I$45,9,FALSE))</f>
        <v>0</v>
      </c>
      <c r="J147" s="998">
        <f>IF(ISERROR($E147*VLOOKUP($C147,fish_group_yield_w!$A$7:$I$45,9,FALSE)),0,$E147*VLOOKUP($C147,fish_group_yield_w!$A$7:$I$45,9,FALSE))</f>
        <v>0</v>
      </c>
      <c r="L147" s="1586"/>
      <c r="M147" s="1586"/>
      <c r="N147" s="889"/>
    </row>
    <row r="148" spans="1:14" ht="12.75" customHeight="1">
      <c r="A148" s="995" t="s">
        <v>6287</v>
      </c>
      <c r="B148" s="1599">
        <v>301.10000000000002</v>
      </c>
      <c r="C148" s="996" t="s">
        <v>1803</v>
      </c>
      <c r="D148" s="996"/>
      <c r="E148" s="1006">
        <f t="shared" si="4"/>
        <v>1</v>
      </c>
      <c r="F148" s="1006">
        <f>IFERROR($E148*(VLOOKUP(C148,fish_group_yield_n!$A$7:$J$49,7,FALSE)),0)</f>
        <v>7.3387292186792338E-2</v>
      </c>
      <c r="G148" s="1006">
        <f>IFERROR($E148*(VLOOKUP(C148,fish_group_yield_n!$A$7:$J$49,10,FALSE)),0)</f>
        <v>7.3387292186792338E-2</v>
      </c>
      <c r="H148" s="1619">
        <f t="shared" si="5"/>
        <v>0</v>
      </c>
      <c r="I148" s="997">
        <f>IF(ISERROR($E148*VLOOKUP($C148,fish_group_yield_w!$A$7:$I$45,9,FALSE)),0,$E148*VLOOKUP($C148,fish_group_yield_w!$A$7:$I$45,9,FALSE))</f>
        <v>0</v>
      </c>
      <c r="J148" s="998">
        <f>IF(ISERROR($E148*VLOOKUP($C148,fish_group_yield_w!$A$7:$I$45,9,FALSE)),0,$E148*VLOOKUP($C148,fish_group_yield_w!$A$7:$I$45,9,FALSE))</f>
        <v>0</v>
      </c>
      <c r="L148" s="1586"/>
      <c r="M148" s="1586"/>
      <c r="N148" s="889"/>
    </row>
    <row r="149" spans="1:14" ht="12.75" customHeight="1">
      <c r="A149" s="995" t="s">
        <v>8687</v>
      </c>
      <c r="B149" s="1599">
        <v>301.19</v>
      </c>
      <c r="C149" s="996" t="s">
        <v>1803</v>
      </c>
      <c r="D149" s="996"/>
      <c r="E149" s="1006">
        <f t="shared" si="4"/>
        <v>1</v>
      </c>
      <c r="F149" s="1006">
        <f>IFERROR($E149*(VLOOKUP(C149,fish_group_yield_n!$A$7:$J$49,7,FALSE)),0)</f>
        <v>7.3387292186792338E-2</v>
      </c>
      <c r="G149" s="1006">
        <f>IFERROR($E149*(VLOOKUP(C149,fish_group_yield_n!$A$7:$J$49,10,FALSE)),0)</f>
        <v>7.3387292186792338E-2</v>
      </c>
      <c r="H149" s="1619">
        <f t="shared" si="5"/>
        <v>0</v>
      </c>
      <c r="I149" s="997">
        <f>IF(ISERROR($E149*VLOOKUP($C149,fish_group_yield_w!$A$7:$I$45,9,FALSE)),0,$E149*VLOOKUP($C149,fish_group_yield_w!$A$7:$I$45,9,FALSE))</f>
        <v>0</v>
      </c>
      <c r="J149" s="998">
        <f>IF(ISERROR($E149*VLOOKUP($C149,fish_group_yield_w!$A$7:$I$45,9,FALSE)),0,$E149*VLOOKUP($C149,fish_group_yield_w!$A$7:$I$45,9,FALSE))</f>
        <v>0</v>
      </c>
      <c r="L149" s="1586"/>
      <c r="M149" s="1586"/>
      <c r="N149" s="889"/>
    </row>
    <row r="150" spans="1:14" ht="12.75" customHeight="1">
      <c r="A150" s="995" t="s">
        <v>8688</v>
      </c>
      <c r="B150" s="1599">
        <v>301.11</v>
      </c>
      <c r="C150" s="996" t="s">
        <v>1803</v>
      </c>
      <c r="D150" s="996"/>
      <c r="E150" s="1006">
        <f t="shared" si="4"/>
        <v>1</v>
      </c>
      <c r="F150" s="1006">
        <f>IFERROR($E150*(VLOOKUP(C150,fish_group_yield_n!$A$7:$J$49,7,FALSE)),0)</f>
        <v>7.3387292186792338E-2</v>
      </c>
      <c r="G150" s="1006">
        <f>IFERROR($E150*(VLOOKUP(C150,fish_group_yield_n!$A$7:$J$49,10,FALSE)),0)</f>
        <v>7.3387292186792338E-2</v>
      </c>
      <c r="H150" s="1619">
        <f t="shared" si="5"/>
        <v>0</v>
      </c>
      <c r="I150" s="997">
        <f>IF(ISERROR($E150*VLOOKUP($C150,fish_group_yield_w!$A$7:$I$45,9,FALSE)),0,$E150*VLOOKUP($C150,fish_group_yield_w!$A$7:$I$45,9,FALSE))</f>
        <v>0</v>
      </c>
      <c r="J150" s="998">
        <f>IF(ISERROR($E150*VLOOKUP($C150,fish_group_yield_w!$A$7:$I$45,9,FALSE)),0,$E150*VLOOKUP($C150,fish_group_yield_w!$A$7:$I$45,9,FALSE))</f>
        <v>0</v>
      </c>
      <c r="L150" s="1586"/>
      <c r="M150" s="1586"/>
      <c r="N150" s="889"/>
    </row>
    <row r="151" spans="1:14" ht="12.75" customHeight="1">
      <c r="A151" s="995" t="s">
        <v>8689</v>
      </c>
      <c r="B151" s="1599">
        <v>305.79000000000002</v>
      </c>
      <c r="C151" s="996" t="s">
        <v>1806</v>
      </c>
      <c r="D151" s="996"/>
      <c r="E151" s="1006">
        <f t="shared" si="4"/>
        <v>0</v>
      </c>
      <c r="F151" s="1006">
        <f>IFERROR($E151*(VLOOKUP(C151,fish_group_yield_n!$A$7:$J$49,7,FALSE)),0)</f>
        <v>0</v>
      </c>
      <c r="G151" s="1006">
        <f>IFERROR($E151*(VLOOKUP(C151,fish_group_yield_n!$A$7:$J$49,10,FALSE)),0)</f>
        <v>0</v>
      </c>
      <c r="H151" s="1619">
        <f t="shared" si="5"/>
        <v>0</v>
      </c>
      <c r="I151" s="997">
        <f>IF(ISERROR($E151*VLOOKUP($C151,fish_group_yield_w!$A$7:$I$45,9,FALSE)),0,$E151*VLOOKUP($C151,fish_group_yield_w!$A$7:$I$45,9,FALSE))</f>
        <v>0</v>
      </c>
      <c r="J151" s="998">
        <f>IF(ISERROR($E151*VLOOKUP($C151,fish_group_yield_w!$A$7:$I$45,9,FALSE)),0,$E151*VLOOKUP($C151,fish_group_yield_w!$A$7:$I$45,9,FALSE))</f>
        <v>0</v>
      </c>
      <c r="L151" s="1586"/>
      <c r="M151" s="1586"/>
      <c r="N151" s="889"/>
    </row>
    <row r="152" spans="1:14" ht="12.75" customHeight="1">
      <c r="A152" s="995" t="s">
        <v>8690</v>
      </c>
      <c r="B152" s="1599">
        <v>308.89999999999998</v>
      </c>
      <c r="C152" s="996" t="s">
        <v>1806</v>
      </c>
      <c r="D152" s="996"/>
      <c r="E152" s="1006">
        <f t="shared" si="4"/>
        <v>0</v>
      </c>
      <c r="F152" s="1006">
        <f>IFERROR($E152*(VLOOKUP(C152,fish_group_yield_n!$A$7:$J$49,7,FALSE)),0)</f>
        <v>0</v>
      </c>
      <c r="G152" s="1006">
        <f>IFERROR($E152*(VLOOKUP(C152,fish_group_yield_n!$A$7:$J$49,10,FALSE)),0)</f>
        <v>0</v>
      </c>
      <c r="H152" s="1619">
        <f t="shared" si="5"/>
        <v>0</v>
      </c>
      <c r="I152" s="997">
        <f>IF(ISERROR($E152*VLOOKUP($C152,fish_group_yield_w!$A$7:$I$45,9,FALSE)),0,$E152*VLOOKUP($C152,fish_group_yield_w!$A$7:$I$45,9,FALSE))</f>
        <v>0</v>
      </c>
      <c r="J152" s="998">
        <f>IF(ISERROR($E152*VLOOKUP($C152,fish_group_yield_w!$A$7:$I$45,9,FALSE)),0,$E152*VLOOKUP($C152,fish_group_yield_w!$A$7:$I$45,9,FALSE))</f>
        <v>0</v>
      </c>
      <c r="L152" s="1586"/>
      <c r="M152" s="1586"/>
      <c r="N152" s="889"/>
    </row>
    <row r="153" spans="1:14" ht="12.75" customHeight="1">
      <c r="A153" s="995" t="s">
        <v>8716</v>
      </c>
      <c r="B153" s="1599">
        <v>1605.69</v>
      </c>
      <c r="C153" s="996" t="s">
        <v>1804</v>
      </c>
      <c r="D153" s="996" t="s">
        <v>4851</v>
      </c>
      <c r="E153" s="1006">
        <f t="shared" si="4"/>
        <v>0.3127932436659368</v>
      </c>
      <c r="F153" s="1006">
        <f>IFERROR($E153*(VLOOKUP(C153,fish_group_yield_n!$A$7:$J$49,7,FALSE)),0)</f>
        <v>0.1466373254259557</v>
      </c>
      <c r="G153" s="1006">
        <f>IFERROR($E153*(VLOOKUP(C153,fish_group_yield_n!$A$7:$J$49,10,FALSE)),0)</f>
        <v>0.3944156748441276</v>
      </c>
      <c r="H153" s="1619">
        <f t="shared" si="5"/>
        <v>13273.944000000001</v>
      </c>
      <c r="I153" s="997">
        <f>IF(ISERROR($E153*VLOOKUP($C153,fish_group_yield_w!$A$7:$I$45,9,FALSE)),0,$E153*VLOOKUP($C153,fish_group_yield_w!$A$7:$I$45,9,FALSE))</f>
        <v>0.16907707565278246</v>
      </c>
      <c r="J153" s="998">
        <f>IF(ISERROR($E153*VLOOKUP($C153,fish_group_yield_w!$A$7:$I$45,9,FALSE)),0,$E153*VLOOKUP($C153,fish_group_yield_w!$A$7:$I$45,9,FALSE))</f>
        <v>0.16907707565278246</v>
      </c>
      <c r="L153" s="1586"/>
      <c r="M153" s="1586"/>
      <c r="N153" s="889"/>
    </row>
    <row r="154" spans="1:14" ht="12.75" customHeight="1">
      <c r="A154" s="995" t="s">
        <v>6288</v>
      </c>
      <c r="B154" s="1599">
        <v>1605.4</v>
      </c>
      <c r="C154" s="996" t="s">
        <v>1805</v>
      </c>
      <c r="D154" s="996" t="s">
        <v>4840</v>
      </c>
      <c r="E154" s="1006">
        <f t="shared" si="4"/>
        <v>0.45454545454545453</v>
      </c>
      <c r="F154" s="1006">
        <f>IFERROR($E154*(VLOOKUP(C154,fish_group_yield_n!$A$7:$J$49,7,FALSE)),0)</f>
        <v>0.86325725328524539</v>
      </c>
      <c r="G154" s="1006">
        <f>IFERROR($E154*(VLOOKUP(C154,fish_group_yield_n!$A$7:$J$49,10,FALSE)),0)</f>
        <v>0.86430727146770236</v>
      </c>
      <c r="H154" s="1619">
        <f t="shared" si="5"/>
        <v>34357.4</v>
      </c>
      <c r="I154" s="997">
        <f>IF(ISERROR($E154*VLOOKUP($C154,fish_group_yield_w!$A$7:$I$45,9,FALSE)),0,$E154*VLOOKUP($C154,fish_group_yield_w!$A$7:$I$45,9,FALSE))</f>
        <v>6.6456473029941402E-4</v>
      </c>
      <c r="J154" s="998">
        <f>IF(ISERROR($E154*VLOOKUP($C154,fish_group_yield_w!$A$7:$I$45,9,FALSE)),0,$E154*VLOOKUP($C154,fish_group_yield_w!$A$7:$I$45,9,FALSE))</f>
        <v>6.6456473029941402E-4</v>
      </c>
      <c r="L154" s="1586"/>
      <c r="M154" s="1586"/>
      <c r="N154" s="889"/>
    </row>
    <row r="155" spans="1:14" ht="12.75" customHeight="1">
      <c r="A155" s="995" t="s">
        <v>6289</v>
      </c>
      <c r="B155" s="1599">
        <v>306.19</v>
      </c>
      <c r="C155" s="996" t="s">
        <v>1805</v>
      </c>
      <c r="D155" s="996" t="s">
        <v>4840</v>
      </c>
      <c r="E155" s="1006">
        <f t="shared" si="4"/>
        <v>1</v>
      </c>
      <c r="F155" s="1006">
        <f>IFERROR($E155*(VLOOKUP(C155,fish_group_yield_n!$A$7:$J$49,7,FALSE)),0)</f>
        <v>1.8991659572275399</v>
      </c>
      <c r="G155" s="1006">
        <f>IFERROR($E155*(VLOOKUP(C155,fish_group_yield_n!$A$7:$J$49,10,FALSE)),0)</f>
        <v>1.9014759972289452</v>
      </c>
      <c r="H155" s="1619">
        <f t="shared" si="5"/>
        <v>5093</v>
      </c>
      <c r="I155" s="997">
        <f>IF(ISERROR($E155*VLOOKUP($C155,fish_group_yield_w!$A$7:$I$45,9,FALSE)),0,$E155*VLOOKUP($C155,fish_group_yield_w!$A$7:$I$45,9,FALSE))</f>
        <v>1.4620424066587108E-3</v>
      </c>
      <c r="J155" s="998">
        <f>IF(ISERROR($E155*VLOOKUP($C155,fish_group_yield_w!$A$7:$I$45,9,FALSE)),0,$E155*VLOOKUP($C155,fish_group_yield_w!$A$7:$I$45,9,FALSE))</f>
        <v>1.4620424066587108E-3</v>
      </c>
      <c r="L155" s="1586"/>
      <c r="M155" s="1586"/>
      <c r="N155" s="889"/>
    </row>
    <row r="156" spans="1:14" ht="12.75" customHeight="1">
      <c r="A156" s="995" t="s">
        <v>6290</v>
      </c>
      <c r="B156" s="1599">
        <v>306.29000000000002</v>
      </c>
      <c r="C156" s="996" t="s">
        <v>1805</v>
      </c>
      <c r="D156" s="996" t="s">
        <v>4840</v>
      </c>
      <c r="E156" s="1006">
        <f t="shared" si="4"/>
        <v>1</v>
      </c>
      <c r="F156" s="1006">
        <f>IFERROR($E156*(VLOOKUP(C156,fish_group_yield_n!$A$7:$J$49,7,FALSE)),0)</f>
        <v>1.8991659572275399</v>
      </c>
      <c r="G156" s="1006">
        <f>IFERROR($E156*(VLOOKUP(C156,fish_group_yield_n!$A$7:$J$49,10,FALSE)),0)</f>
        <v>1.9014759972289452</v>
      </c>
      <c r="H156" s="1619">
        <f t="shared" si="5"/>
        <v>25186</v>
      </c>
      <c r="I156" s="997">
        <f>IF(ISERROR($E156*VLOOKUP($C156,fish_group_yield_w!$A$7:$I$45,9,FALSE)),0,$E156*VLOOKUP($C156,fish_group_yield_w!$A$7:$I$45,9,FALSE))</f>
        <v>1.4620424066587108E-3</v>
      </c>
      <c r="J156" s="998">
        <f>IF(ISERROR($E156*VLOOKUP($C156,fish_group_yield_w!$A$7:$I$45,9,FALSE)),0,$E156*VLOOKUP($C156,fish_group_yield_w!$A$7:$I$45,9,FALSE))</f>
        <v>1.4620424066587108E-3</v>
      </c>
      <c r="L156" s="1586"/>
      <c r="M156" s="1586"/>
      <c r="N156" s="889"/>
    </row>
    <row r="157" spans="1:14" ht="12.75" customHeight="1">
      <c r="A157" s="995" t="s">
        <v>8692</v>
      </c>
      <c r="B157" s="1599">
        <v>305.39</v>
      </c>
      <c r="C157" s="996" t="s">
        <v>1806</v>
      </c>
      <c r="D157" s="996"/>
      <c r="E157" s="1006">
        <f t="shared" si="4"/>
        <v>0.52631578947368418</v>
      </c>
      <c r="F157" s="1006">
        <f>IFERROR($E157*(VLOOKUP(C157,fish_group_yield_n!$A$7:$J$49,7,FALSE)),0)</f>
        <v>5.4494882029537464E-2</v>
      </c>
      <c r="G157" s="1006">
        <f>IFERROR($E157*(VLOOKUP(C157,fish_group_yield_n!$A$7:$J$49,10,FALSE)),0)</f>
        <v>6.7908931563272087E-2</v>
      </c>
      <c r="H157" s="1619">
        <f t="shared" si="5"/>
        <v>8208</v>
      </c>
      <c r="I157" s="997">
        <f>IF(ISERROR($E157*VLOOKUP($C157,fish_group_yield_w!$A$7:$I$45,9,FALSE)),0,$E157*VLOOKUP($C157,fish_group_yield_w!$A$7:$I$45,9,FALSE))</f>
        <v>0.13242440472373548</v>
      </c>
      <c r="J157" s="998">
        <f>IF(ISERROR($E157*VLOOKUP($C157,fish_group_yield_w!$A$7:$I$45,9,FALSE)),0,$E157*VLOOKUP($C157,fish_group_yield_w!$A$7:$I$45,9,FALSE))</f>
        <v>0.13242440472373548</v>
      </c>
      <c r="L157" s="1586"/>
      <c r="M157" s="1586"/>
      <c r="N157" s="889"/>
    </row>
    <row r="158" spans="1:14" ht="12.75" customHeight="1">
      <c r="A158" s="995" t="s">
        <v>8693</v>
      </c>
      <c r="B158" s="1599">
        <v>304.58999999999997</v>
      </c>
      <c r="C158" s="996" t="s">
        <v>1806</v>
      </c>
      <c r="D158" s="996"/>
      <c r="E158" s="1006">
        <f t="shared" si="4"/>
        <v>0.47619047619047616</v>
      </c>
      <c r="F158" s="1006">
        <f>IFERROR($E158*(VLOOKUP(C158,fish_group_yield_n!$A$7:$J$49,7,FALSE)),0)</f>
        <v>4.9304893264819613E-2</v>
      </c>
      <c r="G158" s="1006">
        <f>IFERROR($E158*(VLOOKUP(C158,fish_group_yield_n!$A$7:$J$49,10,FALSE)),0)</f>
        <v>6.1441414271531894E-2</v>
      </c>
      <c r="H158" s="1619">
        <f t="shared" si="5"/>
        <v>12499.2</v>
      </c>
      <c r="I158" s="997">
        <f>IF(ISERROR($E158*VLOOKUP($C158,fish_group_yield_w!$A$7:$I$45,9,FALSE)),0,$E158*VLOOKUP($C158,fish_group_yield_w!$A$7:$I$45,9,FALSE))</f>
        <v>0.11981255665480829</v>
      </c>
      <c r="J158" s="998">
        <f>IF(ISERROR($E158*VLOOKUP($C158,fish_group_yield_w!$A$7:$I$45,9,FALSE)),0,$E158*VLOOKUP($C158,fish_group_yield_w!$A$7:$I$45,9,FALSE))</f>
        <v>0.11981255665480829</v>
      </c>
      <c r="L158" s="1586"/>
      <c r="M158" s="1586"/>
      <c r="N158" s="889"/>
    </row>
    <row r="159" spans="1:14" ht="12.75" customHeight="1">
      <c r="A159" s="995" t="s">
        <v>6291</v>
      </c>
      <c r="B159" s="1599">
        <v>305.58999999999997</v>
      </c>
      <c r="C159" s="996" t="s">
        <v>1806</v>
      </c>
      <c r="D159" s="996"/>
      <c r="E159" s="1006">
        <f t="shared" si="4"/>
        <v>0.31185031185031181</v>
      </c>
      <c r="F159" s="1006">
        <f>IFERROR($E159*(VLOOKUP(C159,fish_group_yield_n!$A$7:$J$49,7,FALSE)),0)</f>
        <v>3.2289067314798706E-2</v>
      </c>
      <c r="G159" s="1006">
        <f>IFERROR($E159*(VLOOKUP(C159,fish_group_yield_n!$A$7:$J$49,10,FALSE)),0)</f>
        <v>4.0237100822312986E-2</v>
      </c>
      <c r="H159" s="1619">
        <f t="shared" si="5"/>
        <v>27715.220000000005</v>
      </c>
      <c r="I159" s="997">
        <f>IF(ISERROR($E159*VLOOKUP($C159,fish_group_yield_w!$A$7:$I$45,9,FALSE)),0,$E159*VLOOKUP($C159,fish_group_yield_w!$A$7:$I$45,9,FALSE))</f>
        <v>7.8463524628408748E-2</v>
      </c>
      <c r="J159" s="998">
        <f>IF(ISERROR($E159*VLOOKUP($C159,fish_group_yield_w!$A$7:$I$45,9,FALSE)),0,$E159*VLOOKUP($C159,fish_group_yield_w!$A$7:$I$45,9,FALSE))</f>
        <v>7.8463524628408748E-2</v>
      </c>
      <c r="L159" s="1586"/>
      <c r="M159" s="1586"/>
      <c r="N159" s="889"/>
    </row>
    <row r="160" spans="1:14" ht="12.75" customHeight="1">
      <c r="A160" s="995" t="s">
        <v>6292</v>
      </c>
      <c r="B160" s="1599">
        <v>305.49</v>
      </c>
      <c r="C160" s="996" t="s">
        <v>1806</v>
      </c>
      <c r="D160" s="996"/>
      <c r="E160" s="1006">
        <f t="shared" si="4"/>
        <v>0.5</v>
      </c>
      <c r="F160" s="1006">
        <f>IFERROR($E160*(VLOOKUP(C160,fish_group_yield_n!$A$7:$J$49,7,FALSE)),0)</f>
        <v>5.1770137928060594E-2</v>
      </c>
      <c r="G160" s="1006">
        <f>IFERROR($E160*(VLOOKUP(C160,fish_group_yield_n!$A$7:$J$49,10,FALSE)),0)</f>
        <v>6.4513484985108491E-2</v>
      </c>
      <c r="H160" s="1619">
        <f t="shared" si="5"/>
        <v>4440</v>
      </c>
      <c r="I160" s="997">
        <f>IF(ISERROR($E160*VLOOKUP($C160,fish_group_yield_w!$A$7:$I$45,9,FALSE)),0,$E160*VLOOKUP($C160,fish_group_yield_w!$A$7:$I$45,9,FALSE))</f>
        <v>0.12580318448754871</v>
      </c>
      <c r="J160" s="998">
        <f>IF(ISERROR($E160*VLOOKUP($C160,fish_group_yield_w!$A$7:$I$45,9,FALSE)),0,$E160*VLOOKUP($C160,fish_group_yield_w!$A$7:$I$45,9,FALSE))</f>
        <v>0.12580318448754871</v>
      </c>
      <c r="L160" s="1586"/>
      <c r="M160" s="1586"/>
      <c r="N160" s="889"/>
    </row>
    <row r="161" spans="1:14" ht="12.75" customHeight="1">
      <c r="A161" s="995" t="s">
        <v>6293</v>
      </c>
      <c r="B161" s="1599">
        <v>301.99</v>
      </c>
      <c r="C161" s="996" t="s">
        <v>1806</v>
      </c>
      <c r="D161" s="996"/>
      <c r="E161" s="1006">
        <f t="shared" si="4"/>
        <v>0.89972190413872077</v>
      </c>
      <c r="F161" s="1006">
        <f>IFERROR($E161*(VLOOKUP(C161,fish_group_yield_n!$A$7:$J$49,7,FALSE)),0)</f>
        <v>9.3157454148317775E-2</v>
      </c>
      <c r="G161" s="1006">
        <f>IFERROR($E161*(VLOOKUP(C161,fish_group_yield_n!$A$7:$J$49,10,FALSE)),0)</f>
        <v>0.11608839110685316</v>
      </c>
      <c r="H161" s="1619">
        <f t="shared" si="5"/>
        <v>0</v>
      </c>
      <c r="I161" s="997">
        <f>IF(ISERROR($E161*VLOOKUP($C161,fish_group_yield_w!$A$7:$I$45,9,FALSE)),0,$E161*VLOOKUP($C161,fish_group_yield_w!$A$7:$I$45,9,FALSE))</f>
        <v>0.22637576138770421</v>
      </c>
      <c r="J161" s="998">
        <f>IF(ISERROR($E161*VLOOKUP($C161,fish_group_yield_w!$A$7:$I$45,9,FALSE)),0,$E161*VLOOKUP($C161,fish_group_yield_w!$A$7:$I$45,9,FALSE))</f>
        <v>0.22637576138770421</v>
      </c>
      <c r="L161" s="1586"/>
      <c r="M161" s="1586"/>
      <c r="N161" s="889"/>
    </row>
    <row r="162" spans="1:14" ht="12.75" customHeight="1">
      <c r="A162" s="995" t="s">
        <v>6294</v>
      </c>
      <c r="B162" s="1599">
        <v>1604.19</v>
      </c>
      <c r="C162" s="996" t="s">
        <v>1806</v>
      </c>
      <c r="D162" s="996"/>
      <c r="E162" s="1006">
        <f t="shared" si="4"/>
        <v>0.66666666666666663</v>
      </c>
      <c r="F162" s="1006">
        <f>IFERROR($E162*(VLOOKUP(C162,fish_group_yield_n!$A$7:$J$49,7,FALSE)),0)</f>
        <v>6.902685057074745E-2</v>
      </c>
      <c r="G162" s="1006">
        <f>IFERROR($E162*(VLOOKUP(C162,fish_group_yield_n!$A$7:$J$49,10,FALSE)),0)</f>
        <v>8.6017979980144654E-2</v>
      </c>
      <c r="H162" s="1619">
        <f t="shared" si="5"/>
        <v>15411</v>
      </c>
      <c r="I162" s="997">
        <f>IF(ISERROR($E162*VLOOKUP($C162,fish_group_yield_w!$A$7:$I$45,9,FALSE)),0,$E162*VLOOKUP($C162,fish_group_yield_w!$A$7:$I$45,9,FALSE))</f>
        <v>0.16773757931673161</v>
      </c>
      <c r="J162" s="998">
        <f>IF(ISERROR($E162*VLOOKUP($C162,fish_group_yield_w!$A$7:$I$45,9,FALSE)),0,$E162*VLOOKUP($C162,fish_group_yield_w!$A$7:$I$45,9,FALSE))</f>
        <v>0.16773757931673161</v>
      </c>
      <c r="L162" s="1586"/>
      <c r="M162" s="1586"/>
      <c r="N162" s="889"/>
    </row>
    <row r="163" spans="1:14" ht="12.75" customHeight="1">
      <c r="A163" s="995" t="s">
        <v>6295</v>
      </c>
      <c r="B163" s="1599">
        <v>305.69</v>
      </c>
      <c r="C163" s="996" t="s">
        <v>1806</v>
      </c>
      <c r="D163" s="996"/>
      <c r="E163" s="1006">
        <f t="shared" si="4"/>
        <v>1</v>
      </c>
      <c r="F163" s="1006">
        <f>IFERROR($E163*(VLOOKUP(C163,fish_group_yield_n!$A$7:$J$49,7,FALSE)),0)</f>
        <v>0.10354027585612119</v>
      </c>
      <c r="G163" s="1006">
        <f>IFERROR($E163*(VLOOKUP(C163,fish_group_yield_n!$A$7:$J$49,10,FALSE)),0)</f>
        <v>0.12902696997021698</v>
      </c>
      <c r="H163" s="1619">
        <f t="shared" si="5"/>
        <v>4940</v>
      </c>
      <c r="I163" s="997">
        <f>IF(ISERROR($E163*VLOOKUP($C163,fish_group_yield_w!$A$7:$I$45,9,FALSE)),0,$E163*VLOOKUP($C163,fish_group_yield_w!$A$7:$I$45,9,FALSE))</f>
        <v>0.25160636897509742</v>
      </c>
      <c r="J163" s="998">
        <f>IF(ISERROR($E163*VLOOKUP($C163,fish_group_yield_w!$A$7:$I$45,9,FALSE)),0,$E163*VLOOKUP($C163,fish_group_yield_w!$A$7:$I$45,9,FALSE))</f>
        <v>0.25160636897509742</v>
      </c>
      <c r="L163" s="1586"/>
      <c r="M163" s="1586"/>
      <c r="N163" s="889"/>
    </row>
    <row r="164" spans="1:14" ht="12.75" customHeight="1">
      <c r="A164" s="995" t="s">
        <v>6296</v>
      </c>
      <c r="B164" s="1599">
        <v>302.29000000000002</v>
      </c>
      <c r="C164" s="996" t="s">
        <v>1807</v>
      </c>
      <c r="D164" s="996" t="s">
        <v>4841</v>
      </c>
      <c r="E164" s="1006">
        <f t="shared" si="4"/>
        <v>0.89552238805970152</v>
      </c>
      <c r="F164" s="1006">
        <f>IFERROR($E164*(VLOOKUP(C164,fish_group_yield_n!$A$7:$J$49,7,FALSE)),0)</f>
        <v>4.4600666889700151E-2</v>
      </c>
      <c r="G164" s="1006">
        <f>IFERROR($E164*(VLOOKUP(C164,fish_group_yield_n!$A$7:$J$49,10,FALSE)),0)</f>
        <v>1.4829862268495345E-2</v>
      </c>
      <c r="H164" s="1619">
        <f t="shared" si="5"/>
        <v>977.08333333333326</v>
      </c>
      <c r="I164" s="997">
        <f>IF(ISERROR($E164*VLOOKUP($C164,fish_group_yield_w!$A$7:$I$45,9,FALSE)),0,$E164*VLOOKUP($C164,fish_group_yield_w!$A$7:$I$45,9,FALSE))</f>
        <v>0.21528044611727576</v>
      </c>
      <c r="J164" s="998">
        <f>IF(ISERROR($E164*VLOOKUP($C164,fish_group_yield_w!$A$7:$I$45,9,FALSE)),0,$E164*VLOOKUP($C164,fish_group_yield_w!$A$7:$I$45,9,FALSE))</f>
        <v>0.21528044611727576</v>
      </c>
      <c r="L164" s="1586"/>
      <c r="M164" s="1586"/>
      <c r="N164" s="889"/>
    </row>
    <row r="165" spans="1:14" ht="12.75" customHeight="1">
      <c r="A165" s="995" t="s">
        <v>6297</v>
      </c>
      <c r="B165" s="1599">
        <v>303.39</v>
      </c>
      <c r="C165" s="996" t="s">
        <v>1807</v>
      </c>
      <c r="D165" s="996" t="s">
        <v>4841</v>
      </c>
      <c r="E165" s="1006">
        <f t="shared" si="4"/>
        <v>0.61224489795918358</v>
      </c>
      <c r="F165" s="1006">
        <f>IFERROR($E165*(VLOOKUP(C165,fish_group_yield_n!$A$7:$J$49,7,FALSE)),0)</f>
        <v>3.0492292669488875E-2</v>
      </c>
      <c r="G165" s="1006">
        <f>IFERROR($E165*(VLOOKUP(C165,fish_group_yield_n!$A$7:$J$49,10,FALSE)),0)</f>
        <v>1.0138783387644774E-2</v>
      </c>
      <c r="H165" s="1619">
        <f t="shared" si="5"/>
        <v>6503.9333333333343</v>
      </c>
      <c r="I165" s="997">
        <f>IF(ISERROR($E165*VLOOKUP($C165,fish_group_yield_w!$A$7:$I$45,9,FALSE)),0,$E165*VLOOKUP($C165,fish_group_yield_w!$A$7:$I$45,9,FALSE))</f>
        <v>0.14718152948834157</v>
      </c>
      <c r="J165" s="998">
        <f>IF(ISERROR($E165*VLOOKUP($C165,fish_group_yield_w!$A$7:$I$45,9,FALSE)),0,$E165*VLOOKUP($C165,fish_group_yield_w!$A$7:$I$45,9,FALSE))</f>
        <v>0.14718152948834157</v>
      </c>
      <c r="L165" s="1586"/>
      <c r="M165" s="1586"/>
      <c r="N165" s="889"/>
    </row>
    <row r="166" spans="1:14" ht="12.75" customHeight="1">
      <c r="A166" s="995" t="s">
        <v>6298</v>
      </c>
      <c r="B166" s="1599">
        <v>302.69</v>
      </c>
      <c r="C166" s="996" t="s">
        <v>1806</v>
      </c>
      <c r="D166" s="996"/>
      <c r="E166" s="1006">
        <f t="shared" si="4"/>
        <v>0.89972190413872077</v>
      </c>
      <c r="F166" s="1006">
        <f>IFERROR($E166*(VLOOKUP(C166,fish_group_yield_n!$A$7:$J$49,7,FALSE)),0)</f>
        <v>9.3157454148317775E-2</v>
      </c>
      <c r="G166" s="1006">
        <f>IFERROR($E166*(VLOOKUP(C166,fish_group_yield_n!$A$7:$J$49,10,FALSE)),0)</f>
        <v>0.11608839110685316</v>
      </c>
      <c r="H166" s="1619">
        <f t="shared" si="5"/>
        <v>0</v>
      </c>
      <c r="I166" s="997">
        <f>IF(ISERROR($E166*VLOOKUP($C166,fish_group_yield_w!$A$7:$I$45,9,FALSE)),0,$E166*VLOOKUP($C166,fish_group_yield_w!$A$7:$I$45,9,FALSE))</f>
        <v>0.22637576138770421</v>
      </c>
      <c r="J166" s="998">
        <f>IF(ISERROR($E166*VLOOKUP($C166,fish_group_yield_w!$A$7:$I$45,9,FALSE)),0,$E166*VLOOKUP($C166,fish_group_yield_w!$A$7:$I$45,9,FALSE))</f>
        <v>0.22637576138770421</v>
      </c>
      <c r="L166" s="1586"/>
      <c r="M166" s="1586"/>
      <c r="N166" s="889"/>
    </row>
    <row r="167" spans="1:14" ht="12.75" customHeight="1">
      <c r="A167" s="995" t="s">
        <v>6299</v>
      </c>
      <c r="B167" s="1599">
        <v>303.79000000000002</v>
      </c>
      <c r="C167" s="996" t="s">
        <v>1806</v>
      </c>
      <c r="D167" s="996"/>
      <c r="E167" s="1006">
        <f t="shared" si="4"/>
        <v>0.64922665648271916</v>
      </c>
      <c r="F167" s="1006">
        <f>IFERROR($E167*(VLOOKUP(C167,fish_group_yield_n!$A$7:$J$49,7,FALSE)),0)</f>
        <v>6.7221107105367967E-2</v>
      </c>
      <c r="G167" s="1006">
        <f>IFERROR($E167*(VLOOKUP(C167,fish_group_yield_n!$A$7:$J$49,10,FALSE)),0)</f>
        <v>8.3767748309860182E-2</v>
      </c>
      <c r="H167" s="1619">
        <f t="shared" si="5"/>
        <v>0</v>
      </c>
      <c r="I167" s="997">
        <f>IF(ISERROR($E167*VLOOKUP($C167,fish_group_yield_w!$A$7:$I$45,9,FALSE)),0,$E167*VLOOKUP($C167,fish_group_yield_w!$A$7:$I$45,9,FALSE))</f>
        <v>0.16334956167945985</v>
      </c>
      <c r="J167" s="998">
        <f>IF(ISERROR($E167*VLOOKUP($C167,fish_group_yield_w!$A$7:$I$45,9,FALSE)),0,$E167*VLOOKUP($C167,fish_group_yield_w!$A$7:$I$45,9,FALSE))</f>
        <v>0.16334956167945985</v>
      </c>
      <c r="L167" s="1586"/>
      <c r="M167" s="1586"/>
      <c r="N167" s="889"/>
    </row>
    <row r="168" spans="1:14" ht="12.75" customHeight="1">
      <c r="A168" s="995" t="s">
        <v>6299</v>
      </c>
      <c r="B168" s="1599">
        <v>303.89</v>
      </c>
      <c r="C168" s="996" t="s">
        <v>1806</v>
      </c>
      <c r="D168" s="996"/>
      <c r="E168" s="1006">
        <f t="shared" si="4"/>
        <v>0</v>
      </c>
      <c r="F168" s="1006">
        <f>IFERROR($E168*(VLOOKUP(C168,fish_group_yield_n!$A$7:$J$49,7,FALSE)),0)</f>
        <v>0</v>
      </c>
      <c r="G168" s="1006">
        <f>IFERROR($E168*(VLOOKUP(C168,fish_group_yield_n!$A$7:$J$49,10,FALSE)),0)</f>
        <v>0</v>
      </c>
      <c r="H168" s="1619">
        <f t="shared" si="5"/>
        <v>0</v>
      </c>
      <c r="I168" s="997">
        <f>IF(ISERROR($E168*VLOOKUP($C168,fish_group_yield_w!$A$7:$I$45,9,FALSE)),0,$E168*VLOOKUP($C168,fish_group_yield_w!$A$7:$I$45,9,FALSE))</f>
        <v>0</v>
      </c>
      <c r="J168" s="998">
        <f>IF(ISERROR($E168*VLOOKUP($C168,fish_group_yield_w!$A$7:$I$45,9,FALSE)),0,$E168*VLOOKUP($C168,fish_group_yield_w!$A$7:$I$45,9,FALSE))</f>
        <v>0</v>
      </c>
      <c r="L168" s="1586"/>
      <c r="M168" s="1586"/>
      <c r="N168" s="889"/>
    </row>
    <row r="169" spans="1:14" ht="12.75" customHeight="1">
      <c r="A169" s="995" t="s">
        <v>8694</v>
      </c>
      <c r="B169" s="1599">
        <v>302.89</v>
      </c>
      <c r="C169" s="996" t="s">
        <v>1806</v>
      </c>
      <c r="D169" s="996"/>
      <c r="E169" s="1006">
        <f t="shared" si="4"/>
        <v>0.89972190413872077</v>
      </c>
      <c r="F169" s="1006">
        <f>IFERROR($E169*(VLOOKUP(C169,fish_group_yield_n!$A$7:$J$49,7,FALSE)),0)</f>
        <v>9.3157454148317775E-2</v>
      </c>
      <c r="G169" s="1006">
        <f>IFERROR($E169*(VLOOKUP(C169,fish_group_yield_n!$A$7:$J$49,10,FALSE)),0)</f>
        <v>0.11608839110685316</v>
      </c>
      <c r="H169" s="1619">
        <f t="shared" si="5"/>
        <v>37985.070545454546</v>
      </c>
      <c r="I169" s="997">
        <f>IF(ISERROR($E169*VLOOKUP($C169,fish_group_yield_w!$A$7:$I$45,9,FALSE)),0,$E169*VLOOKUP($C169,fish_group_yield_w!$A$7:$I$45,9,FALSE))</f>
        <v>0.22637576138770421</v>
      </c>
      <c r="J169" s="998">
        <f>IF(ISERROR($E169*VLOOKUP($C169,fish_group_yield_w!$A$7:$I$45,9,FALSE)),0,$E169*VLOOKUP($C169,fish_group_yield_w!$A$7:$I$45,9,FALSE))</f>
        <v>0.22637576138770421</v>
      </c>
      <c r="L169" s="1586"/>
      <c r="M169" s="1586"/>
      <c r="N169" s="889"/>
    </row>
    <row r="170" spans="1:14" ht="12.75" customHeight="1">
      <c r="A170" s="995" t="s">
        <v>8668</v>
      </c>
      <c r="B170" s="1599">
        <v>302.58999999999997</v>
      </c>
      <c r="C170" s="996" t="s">
        <v>5366</v>
      </c>
      <c r="D170" s="996" t="s">
        <v>4841</v>
      </c>
      <c r="E170" s="1006">
        <f t="shared" si="4"/>
        <v>0.64516129032258063</v>
      </c>
      <c r="F170" s="1006">
        <f>IFERROR($E170*(VLOOKUP(C170,fish_group_yield_n!$A$7:$J$49,7,FALSE)),0)</f>
        <v>8.7740320176683297E-3</v>
      </c>
      <c r="G170" s="1006">
        <f>IFERROR($E170*(VLOOKUP(C170,fish_group_yield_n!$A$7:$J$49,10,FALSE)),0)</f>
        <v>1.2359354725343094E-2</v>
      </c>
      <c r="H170" s="1619">
        <f t="shared" si="5"/>
        <v>1396.55</v>
      </c>
      <c r="I170" s="997">
        <f>IF(ISERROR($E170*VLOOKUP($C170,fish_group_yield_w!$A$7:$I$45,9,FALSE)),0,$E170*VLOOKUP($C170,fish_group_yield_w!$A$7:$I$45,9,FALSE))</f>
        <v>1.0557731833110095E-3</v>
      </c>
      <c r="J170" s="998">
        <f>IF(ISERROR($E170*VLOOKUP($C170,fish_group_yield_w!$A$7:$I$45,9,FALSE)),0,$E170*VLOOKUP($C170,fish_group_yield_w!$A$7:$I$45,9,FALSE))</f>
        <v>1.0557731833110095E-3</v>
      </c>
      <c r="L170" s="1586"/>
      <c r="M170" s="1586"/>
      <c r="N170" s="889"/>
    </row>
    <row r="171" spans="1:14" ht="12.75" customHeight="1">
      <c r="A171" s="995" t="s">
        <v>8706</v>
      </c>
      <c r="B171" s="1599">
        <v>303.69</v>
      </c>
      <c r="C171" s="996" t="s">
        <v>5366</v>
      </c>
      <c r="D171" s="996" t="s">
        <v>4841</v>
      </c>
      <c r="E171" s="1006">
        <f t="shared" si="4"/>
        <v>0.5524861878453039</v>
      </c>
      <c r="F171" s="1006">
        <f>IFERROR($E171*(VLOOKUP(C171,fish_group_yield_n!$A$7:$J$49,7,FALSE)),0)</f>
        <v>7.513673827285035E-3</v>
      </c>
      <c r="G171" s="1006">
        <f>IFERROR($E171*(VLOOKUP(C171,fish_group_yield_n!$A$7:$J$49,10,FALSE)),0)</f>
        <v>1.0583977803470606E-2</v>
      </c>
      <c r="H171" s="1619">
        <f t="shared" si="5"/>
        <v>1232.6099999999999</v>
      </c>
      <c r="I171" s="997">
        <f>IF(ISERROR($E171*VLOOKUP($C171,fish_group_yield_w!$A$7:$I$45,9,FALSE)),0,$E171*VLOOKUP($C171,fish_group_yield_w!$A$7:$I$45,9,FALSE))</f>
        <v>9.0411515697904135E-4</v>
      </c>
      <c r="J171" s="998">
        <f>IF(ISERROR($E171*VLOOKUP($C171,fish_group_yield_w!$A$7:$I$45,9,FALSE)),0,$E171*VLOOKUP($C171,fish_group_yield_w!$A$7:$I$45,9,FALSE))</f>
        <v>9.0411515697904135E-4</v>
      </c>
      <c r="L171" s="1586"/>
      <c r="M171" s="1586"/>
      <c r="N171" s="889"/>
    </row>
    <row r="172" spans="1:14" ht="12.75" customHeight="1">
      <c r="A172" s="995" t="s">
        <v>6300</v>
      </c>
      <c r="B172" s="1599">
        <v>307.91000000000003</v>
      </c>
      <c r="C172" s="996" t="s">
        <v>1804</v>
      </c>
      <c r="D172" s="996" t="s">
        <v>4851</v>
      </c>
      <c r="E172" s="1006">
        <f t="shared" si="4"/>
        <v>0.33333333333333331</v>
      </c>
      <c r="F172" s="1006">
        <f>IFERROR($E172*(VLOOKUP(C172,fish_group_yield_n!$A$7:$J$49,7,FALSE)),0)</f>
        <v>0.15626650979559345</v>
      </c>
      <c r="G172" s="1006">
        <f>IFERROR($E172*(VLOOKUP(C172,fish_group_yield_n!$A$7:$J$49,10,FALSE)),0)</f>
        <v>0.42031563749222528</v>
      </c>
      <c r="H172" s="1619">
        <f t="shared" si="5"/>
        <v>2907</v>
      </c>
      <c r="I172" s="997">
        <f>IF(ISERROR($E172*VLOOKUP($C172,fish_group_yield_w!$A$7:$I$45,9,FALSE)),0,$E172*VLOOKUP($C172,fish_group_yield_w!$A$7:$I$45,9,FALSE))</f>
        <v>0.1801798036206485</v>
      </c>
      <c r="J172" s="998">
        <f>IF(ISERROR($E172*VLOOKUP($C172,fish_group_yield_w!$A$7:$I$45,9,FALSE)),0,$E172*VLOOKUP($C172,fish_group_yield_w!$A$7:$I$45,9,FALSE))</f>
        <v>0.1801798036206485</v>
      </c>
      <c r="L172" s="1586"/>
      <c r="M172" s="1586"/>
      <c r="N172" s="889"/>
    </row>
    <row r="173" spans="1:14" ht="12.75" customHeight="1">
      <c r="A173" s="995" t="s">
        <v>6341</v>
      </c>
      <c r="B173" s="1599">
        <v>307.99</v>
      </c>
      <c r="C173" s="996" t="s">
        <v>1804</v>
      </c>
      <c r="D173" s="996" t="s">
        <v>4851</v>
      </c>
      <c r="E173" s="1006">
        <f t="shared" si="4"/>
        <v>0.33333333333333331</v>
      </c>
      <c r="F173" s="1006">
        <f>IFERROR($E173*(VLOOKUP(C173,fish_group_yield_n!$A$7:$J$49,7,FALSE)),0)</f>
        <v>0.15626650979559345</v>
      </c>
      <c r="G173" s="1006">
        <f>IFERROR($E173*(VLOOKUP(C173,fish_group_yield_n!$A$7:$J$49,10,FALSE)),0)</f>
        <v>0.42031563749222528</v>
      </c>
      <c r="H173" s="1619">
        <f t="shared" si="5"/>
        <v>6150</v>
      </c>
      <c r="I173" s="997">
        <f>IF(ISERROR($E173*VLOOKUP($C173,fish_group_yield_w!$A$7:$I$45,9,FALSE)),0,$E173*VLOOKUP($C173,fish_group_yield_w!$A$7:$I$45,9,FALSE))</f>
        <v>0.1801798036206485</v>
      </c>
      <c r="J173" s="998">
        <f>IF(ISERROR($E173*VLOOKUP($C173,fish_group_yield_w!$A$7:$I$45,9,FALSE)),0,$E173*VLOOKUP($C173,fish_group_yield_w!$A$7:$I$45,9,FALSE))</f>
        <v>0.1801798036206485</v>
      </c>
      <c r="L173" s="1586"/>
      <c r="M173" s="1586"/>
      <c r="N173" s="889"/>
    </row>
    <row r="174" spans="1:14" ht="12.75" customHeight="1">
      <c r="A174" s="995" t="s">
        <v>8717</v>
      </c>
      <c r="B174" s="1599">
        <v>1605.59</v>
      </c>
      <c r="C174" s="996" t="s">
        <v>1804</v>
      </c>
      <c r="D174" s="996" t="s">
        <v>4851</v>
      </c>
      <c r="E174" s="1006">
        <f t="shared" si="4"/>
        <v>0.19129603060736489</v>
      </c>
      <c r="F174" s="1006">
        <f>IFERROR($E174*(VLOOKUP(C174,fish_group_yield_n!$A$7:$J$49,7,FALSE)),0)</f>
        <v>8.9679489122291789E-2</v>
      </c>
      <c r="G174" s="1006">
        <f>IFERROR($E174*(VLOOKUP(C174,fish_group_yield_n!$A$7:$J$49,10,FALSE)),0)</f>
        <v>0.24121413916340045</v>
      </c>
      <c r="H174" s="1619">
        <f t="shared" si="5"/>
        <v>7166.9025000000001</v>
      </c>
      <c r="I174" s="997">
        <f>IF(ISERROR($E174*VLOOKUP($C174,fish_group_yield_w!$A$7:$I$45,9,FALSE)),0,$E174*VLOOKUP($C174,fish_group_yield_w!$A$7:$I$45,9,FALSE))</f>
        <v>0.10340304368473373</v>
      </c>
      <c r="J174" s="998">
        <f>IF(ISERROR($E174*VLOOKUP($C174,fish_group_yield_w!$A$7:$I$45,9,FALSE)),0,$E174*VLOOKUP($C174,fish_group_yield_w!$A$7:$I$45,9,FALSE))</f>
        <v>0.10340304368473373</v>
      </c>
      <c r="L174" s="1586"/>
      <c r="M174" s="1586"/>
      <c r="N174" s="889"/>
    </row>
    <row r="175" spans="1:14" ht="12.75" customHeight="1">
      <c r="A175" s="995" t="s">
        <v>6301</v>
      </c>
      <c r="B175" s="1599">
        <v>303.19</v>
      </c>
      <c r="C175" s="996" t="s">
        <v>3933</v>
      </c>
      <c r="D175" s="996" t="s">
        <v>4845</v>
      </c>
      <c r="E175" s="1006">
        <f t="shared" si="4"/>
        <v>1</v>
      </c>
      <c r="F175" s="1006">
        <f>IFERROR($E175*(VLOOKUP(C175,fish_group_yield_n!$A$7:$J$49,7,FALSE)),0)</f>
        <v>6.7361923016878544E-2</v>
      </c>
      <c r="G175" s="1006">
        <f>IFERROR($E175*(VLOOKUP(C175,fish_group_yield_n!$A$7:$J$49,10,FALSE)),0)</f>
        <v>2.9268057752524033E-2</v>
      </c>
      <c r="H175" s="1619">
        <f t="shared" si="5"/>
        <v>2861</v>
      </c>
      <c r="I175" s="997">
        <f>IF(ISERROR($E175*VLOOKUP($C175,fish_group_yield_w!$A$7:$I$45,9,FALSE)),0,$E175*VLOOKUP($C175,fish_group_yield_w!$A$7:$I$45,9,FALSE))</f>
        <v>0.38001557298996358</v>
      </c>
      <c r="J175" s="998">
        <f>IF(ISERROR($E175*VLOOKUP($C175,fish_group_yield_w!$A$7:$I$45,9,FALSE)),0,$E175*VLOOKUP($C175,fish_group_yield_w!$A$7:$I$45,9,FALSE))</f>
        <v>0.38001557298996358</v>
      </c>
      <c r="L175" s="1586"/>
      <c r="M175" s="1586"/>
      <c r="N175" s="889"/>
    </row>
    <row r="176" spans="1:14" ht="12.75" customHeight="1">
      <c r="A176" s="995" t="s">
        <v>6301</v>
      </c>
      <c r="B176" s="1599">
        <v>303.12</v>
      </c>
      <c r="C176" s="996" t="s">
        <v>3933</v>
      </c>
      <c r="D176" s="996" t="s">
        <v>4845</v>
      </c>
      <c r="E176" s="1006">
        <f t="shared" si="4"/>
        <v>0</v>
      </c>
      <c r="F176" s="1006">
        <f>IFERROR($E176*(VLOOKUP(C176,fish_group_yield_n!$A$7:$J$49,7,FALSE)),0)</f>
        <v>0</v>
      </c>
      <c r="G176" s="1006">
        <f>IFERROR($E176*(VLOOKUP(C176,fish_group_yield_n!$A$7:$J$49,10,FALSE)),0)</f>
        <v>0</v>
      </c>
      <c r="H176" s="1619">
        <f t="shared" si="5"/>
        <v>0</v>
      </c>
      <c r="I176" s="997">
        <f>IF(ISERROR($E176*VLOOKUP($C176,fish_group_yield_w!$A$7:$I$45,9,FALSE)),0,$E176*VLOOKUP($C176,fish_group_yield_w!$A$7:$I$45,9,FALSE))</f>
        <v>0</v>
      </c>
      <c r="J176" s="998">
        <f>IF(ISERROR($E176*VLOOKUP($C176,fish_group_yield_w!$A$7:$I$45,9,FALSE)),0,$E176*VLOOKUP($C176,fish_group_yield_w!$A$7:$I$45,9,FALSE))</f>
        <v>0</v>
      </c>
      <c r="L176" s="1586"/>
      <c r="M176" s="1586"/>
      <c r="N176" s="889"/>
    </row>
    <row r="177" spans="1:14" ht="12.75" customHeight="1">
      <c r="A177" s="995" t="s">
        <v>6302</v>
      </c>
      <c r="B177" s="1599">
        <v>302.19</v>
      </c>
      <c r="C177" s="996" t="s">
        <v>3933</v>
      </c>
      <c r="D177" s="996" t="s">
        <v>4845</v>
      </c>
      <c r="E177" s="1006">
        <f t="shared" si="4"/>
        <v>0.93023255813953487</v>
      </c>
      <c r="F177" s="1006">
        <f>IFERROR($E177*(VLOOKUP(C177,fish_group_yield_n!$A$7:$J$49,7,FALSE)),0)</f>
        <v>6.2662253969189341E-2</v>
      </c>
      <c r="G177" s="1006">
        <f>IFERROR($E177*(VLOOKUP(C177,fish_group_yield_n!$A$7:$J$49,10,FALSE)),0)</f>
        <v>2.7226100234906077E-2</v>
      </c>
      <c r="H177" s="1619">
        <f t="shared" si="5"/>
        <v>2276.85</v>
      </c>
      <c r="I177" s="997">
        <f>IF(ISERROR($E177*VLOOKUP($C177,fish_group_yield_w!$A$7:$I$45,9,FALSE)),0,$E177*VLOOKUP($C177,fish_group_yield_w!$A$7:$I$45,9,FALSE))</f>
        <v>0.35350285859531494</v>
      </c>
      <c r="J177" s="998">
        <f>IF(ISERROR($E177*VLOOKUP($C177,fish_group_yield_w!$A$7:$I$45,9,FALSE)),0,$E177*VLOOKUP($C177,fish_group_yield_w!$A$7:$I$45,9,FALSE))</f>
        <v>0.35350285859531494</v>
      </c>
      <c r="L177" s="1586"/>
      <c r="M177" s="1586"/>
      <c r="N177" s="889"/>
    </row>
    <row r="178" spans="1:14" ht="12.75" customHeight="1">
      <c r="A178" s="995" t="s">
        <v>6303</v>
      </c>
      <c r="B178" s="1599">
        <v>303.29000000000002</v>
      </c>
      <c r="C178" s="996" t="s">
        <v>3933</v>
      </c>
      <c r="D178" s="996" t="s">
        <v>4845</v>
      </c>
      <c r="E178" s="1006">
        <f t="shared" si="4"/>
        <v>0.6635071090047393</v>
      </c>
      <c r="F178" s="1006">
        <f>IFERROR($E178*(VLOOKUP(C178,fish_group_yield_n!$A$7:$J$49,7,FALSE)),0)</f>
        <v>4.4695114797928891E-2</v>
      </c>
      <c r="G178" s="1006">
        <f>IFERROR($E178*(VLOOKUP(C178,fish_group_yield_n!$A$7:$J$49,10,FALSE)),0)</f>
        <v>1.9419564385560969E-2</v>
      </c>
      <c r="H178" s="1619">
        <f t="shared" si="5"/>
        <v>351.16428571428571</v>
      </c>
      <c r="I178" s="997">
        <f>IF(ISERROR($E178*VLOOKUP($C178,fish_group_yield_w!$A$7:$I$45,9,FALSE)),0,$E178*VLOOKUP($C178,fish_group_yield_w!$A$7:$I$45,9,FALSE))</f>
        <v>0.2521430342113502</v>
      </c>
      <c r="J178" s="998">
        <f>IF(ISERROR($E178*VLOOKUP($C178,fish_group_yield_w!$A$7:$I$45,9,FALSE)),0,$E178*VLOOKUP($C178,fish_group_yield_w!$A$7:$I$45,9,FALSE))</f>
        <v>0.2521430342113502</v>
      </c>
      <c r="L178" s="1586"/>
      <c r="M178" s="1586"/>
      <c r="N178" s="889"/>
    </row>
    <row r="179" spans="1:14" ht="12.75" customHeight="1">
      <c r="A179" s="995" t="s">
        <v>8719</v>
      </c>
      <c r="B179" s="1599">
        <v>1605.29</v>
      </c>
      <c r="C179" s="996" t="s">
        <v>2441</v>
      </c>
      <c r="D179" s="996" t="s">
        <v>4840</v>
      </c>
      <c r="E179" s="1006">
        <f t="shared" si="4"/>
        <v>0.3127932436659368</v>
      </c>
      <c r="F179" s="1006">
        <f>IFERROR($E179*(VLOOKUP(C179,fish_group_yield_n!$A$7:$J$49,7,FALSE)),0)</f>
        <v>0.14826548173367834</v>
      </c>
      <c r="G179" s="1006">
        <f>IFERROR($E179*(VLOOKUP(C179,fish_group_yield_n!$A$7:$J$49,10,FALSE)),0)</f>
        <v>0.13165552277145284</v>
      </c>
      <c r="H179" s="1619">
        <f t="shared" si="5"/>
        <v>147643.85399999999</v>
      </c>
      <c r="I179" s="997">
        <f>IF(ISERROR($E179*VLOOKUP($C179,fish_group_yield_w!$A$7:$I$45,9,FALSE)),0,$E179*VLOOKUP($C179,fish_group_yield_w!$A$7:$I$45,9,FALSE))</f>
        <v>0.17792408936634285</v>
      </c>
      <c r="J179" s="998">
        <f>IF(ISERROR($E179*VLOOKUP($C179,fish_group_yield_w!$A$7:$I$45,9,FALSE)),0,$E179*VLOOKUP($C179,fish_group_yield_w!$A$7:$I$45,9,FALSE))</f>
        <v>0.17792408936634285</v>
      </c>
      <c r="L179" s="1586"/>
      <c r="M179" s="1586"/>
      <c r="N179" s="889"/>
    </row>
    <row r="180" spans="1:14" ht="12.75" customHeight="1">
      <c r="A180" s="995" t="s">
        <v>8699</v>
      </c>
      <c r="B180" s="1599">
        <v>306.17</v>
      </c>
      <c r="C180" s="996" t="s">
        <v>2441</v>
      </c>
      <c r="D180" s="996" t="s">
        <v>4840</v>
      </c>
      <c r="E180" s="1006">
        <f t="shared" si="4"/>
        <v>0.55605169595767268</v>
      </c>
      <c r="F180" s="1006">
        <f>IFERROR($E180*(VLOOKUP(C180,fish_group_yield_n!$A$7:$J$49,7,FALSE)),0)</f>
        <v>0.26357114240626822</v>
      </c>
      <c r="G180" s="1006">
        <f>IFERROR($E180*(VLOOKUP(C180,fish_group_yield_n!$A$7:$J$49,10,FALSE)),0)</f>
        <v>0.23404366367147533</v>
      </c>
      <c r="H180" s="1619">
        <f t="shared" si="5"/>
        <v>691414.13072727271</v>
      </c>
      <c r="I180" s="997">
        <f>IF(ISERROR($E180*VLOOKUP($C180,fish_group_yield_w!$A$7:$I$45,9,FALSE)),0,$E180*VLOOKUP($C180,fish_group_yield_w!$A$7:$I$45,9,FALSE))</f>
        <v>0.31629516828548265</v>
      </c>
      <c r="J180" s="998">
        <f>IF(ISERROR($E180*VLOOKUP($C180,fish_group_yield_w!$A$7:$I$45,9,FALSE)),0,$E180*VLOOKUP($C180,fish_group_yield_w!$A$7:$I$45,9,FALSE))</f>
        <v>0.31629516828548265</v>
      </c>
      <c r="L180" s="1586"/>
      <c r="M180" s="1586"/>
      <c r="N180" s="889"/>
    </row>
    <row r="181" spans="1:14" ht="12.75" customHeight="1">
      <c r="A181" s="995" t="s">
        <v>8700</v>
      </c>
      <c r="B181" s="1599">
        <v>306.27</v>
      </c>
      <c r="C181" s="996" t="s">
        <v>2441</v>
      </c>
      <c r="D181" s="996" t="s">
        <v>4840</v>
      </c>
      <c r="E181" s="1006">
        <f t="shared" si="4"/>
        <v>0.55605169595767268</v>
      </c>
      <c r="F181" s="1006">
        <f>IFERROR($E181*(VLOOKUP(C181,fish_group_yield_n!$A$7:$J$49,7,FALSE)),0)</f>
        <v>0.26357114240626822</v>
      </c>
      <c r="G181" s="1006">
        <f>IFERROR($E181*(VLOOKUP(C181,fish_group_yield_n!$A$7:$J$49,10,FALSE)),0)</f>
        <v>0.23404366367147533</v>
      </c>
      <c r="H181" s="1619">
        <f t="shared" si="5"/>
        <v>2496.1707878787879</v>
      </c>
      <c r="I181" s="997">
        <f>IF(ISERROR($E181*VLOOKUP($C181,fish_group_yield_w!$A$7:$I$45,9,FALSE)),0,$E181*VLOOKUP($C181,fish_group_yield_w!$A$7:$I$45,9,FALSE))</f>
        <v>0.31629516828548265</v>
      </c>
      <c r="J181" s="998">
        <f>IF(ISERROR($E181*VLOOKUP($C181,fish_group_yield_w!$A$7:$I$45,9,FALSE)),0,$E181*VLOOKUP($C181,fish_group_yield_w!$A$7:$I$45,9,FALSE))</f>
        <v>0.31629516828548265</v>
      </c>
      <c r="L181" s="1586"/>
      <c r="M181" s="1586"/>
      <c r="N181" s="889"/>
    </row>
    <row r="182" spans="1:14" ht="12.75" customHeight="1">
      <c r="A182" s="995" t="s">
        <v>6304</v>
      </c>
      <c r="B182" s="1599">
        <v>302.39</v>
      </c>
      <c r="C182" s="996" t="s">
        <v>2969</v>
      </c>
      <c r="D182" s="996" t="s">
        <v>4859</v>
      </c>
      <c r="E182" s="1006">
        <f t="shared" si="4"/>
        <v>0.93023255813953487</v>
      </c>
      <c r="F182" s="1006">
        <f>IFERROR($E182*(VLOOKUP(C182,fish_group_yield_n!$A$7:$J$49,7,FALSE)),0)</f>
        <v>1.251894214859634E-2</v>
      </c>
      <c r="G182" s="1006">
        <f>IFERROR($E182*(VLOOKUP(C182,fish_group_yield_n!$A$7:$J$49,10,FALSE)),0)</f>
        <v>1.1902063795110144E-2</v>
      </c>
      <c r="H182" s="1619">
        <f t="shared" si="5"/>
        <v>283.8</v>
      </c>
      <c r="I182" s="997">
        <f>IF(ISERROR($E182*VLOOKUP($C182,fish_group_yield_w!$A$7:$I$45,9,FALSE)),0,$E182*VLOOKUP($C182,fish_group_yield_w!$A$7:$I$45,9,FALSE))</f>
        <v>6.8485973888198579E-3</v>
      </c>
      <c r="J182" s="998">
        <f>IF(ISERROR($E182*VLOOKUP($C182,fish_group_yield_w!$A$7:$I$45,9,FALSE)),0,$E182*VLOOKUP($C182,fish_group_yield_w!$A$7:$I$45,9,FALSE))</f>
        <v>6.8485973888198579E-3</v>
      </c>
      <c r="L182" s="1586"/>
      <c r="M182" s="1586"/>
      <c r="N182" s="889"/>
    </row>
    <row r="183" spans="1:14" ht="12.75" customHeight="1">
      <c r="A183" s="995" t="s">
        <v>6305</v>
      </c>
      <c r="B183" s="1599">
        <v>303.49</v>
      </c>
      <c r="C183" s="996" t="s">
        <v>2969</v>
      </c>
      <c r="D183" s="996" t="s">
        <v>4859</v>
      </c>
      <c r="E183" s="1006">
        <f t="shared" si="4"/>
        <v>0.6635071090047393</v>
      </c>
      <c r="F183" s="1006">
        <f>IFERROR($E183*(VLOOKUP(C183,fish_group_yield_n!$A$7:$J$49,7,FALSE)),0)</f>
        <v>8.9293876462736912E-3</v>
      </c>
      <c r="G183" s="1006">
        <f>IFERROR($E183*(VLOOKUP(C183,fish_group_yield_n!$A$7:$J$49,10,FALSE)),0)</f>
        <v>8.4893867353747696E-3</v>
      </c>
      <c r="H183" s="1619">
        <f t="shared" si="5"/>
        <v>194.42142857142858</v>
      </c>
      <c r="I183" s="997">
        <f>IF(ISERROR($E183*VLOOKUP($C183,fish_group_yield_w!$A$7:$I$45,9,FALSE)),0,$E183*VLOOKUP($C183,fish_group_yield_w!$A$7:$I$45,9,FALSE))</f>
        <v>4.8849000332577656E-3</v>
      </c>
      <c r="J183" s="998">
        <f>IF(ISERROR($E183*VLOOKUP($C183,fish_group_yield_w!$A$7:$I$45,9,FALSE)),0,$E183*VLOOKUP($C183,fish_group_yield_w!$A$7:$I$45,9,FALSE))</f>
        <v>4.8849000332577656E-3</v>
      </c>
      <c r="L183" s="1586"/>
      <c r="M183" s="1586"/>
      <c r="N183" s="889"/>
    </row>
    <row r="184" spans="1:14" ht="12.75" customHeight="1">
      <c r="A184" s="995" t="s">
        <v>6285</v>
      </c>
      <c r="B184" s="1599">
        <v>509</v>
      </c>
      <c r="C184" s="996" t="s">
        <v>1513</v>
      </c>
      <c r="D184" s="996"/>
      <c r="E184" s="1006">
        <f t="shared" si="4"/>
        <v>0</v>
      </c>
      <c r="F184" s="1006">
        <f>IFERROR($E184*(VLOOKUP(C184,fish_group_yield_n!$A$7:$J$49,7,FALSE)),0)</f>
        <v>0</v>
      </c>
      <c r="G184" s="1006">
        <f>IFERROR($E184*(VLOOKUP(C184,fish_group_yield_n!$A$7:$J$49,10,FALSE)),0)</f>
        <v>0</v>
      </c>
      <c r="H184" s="1619">
        <f t="shared" si="5"/>
        <v>0</v>
      </c>
      <c r="I184" s="997">
        <f>IF(ISERROR($E184*VLOOKUP($C184,fish_group_yield_w!$A$7:$I$45,9,FALSE)),0,$E184*VLOOKUP($C184,fish_group_yield_w!$A$7:$I$45,9,FALSE))</f>
        <v>0</v>
      </c>
      <c r="J184" s="998">
        <f>IF(ISERROR($E184*VLOOKUP($C184,fish_group_yield_w!$A$7:$I$45,9,FALSE)),0,$E184*VLOOKUP($C184,fish_group_yield_w!$A$7:$I$45,9,FALSE))</f>
        <v>0</v>
      </c>
      <c r="L184" s="1586"/>
      <c r="M184" s="1586"/>
      <c r="N184" s="889"/>
    </row>
    <row r="185" spans="1:14" ht="12.75" customHeight="1">
      <c r="A185" s="995" t="s">
        <v>8701</v>
      </c>
      <c r="B185" s="1599">
        <v>307.11</v>
      </c>
      <c r="C185" s="996" t="s">
        <v>2435</v>
      </c>
      <c r="D185" s="996" t="s">
        <v>4851</v>
      </c>
      <c r="E185" s="1006">
        <f t="shared" si="4"/>
        <v>0.26926529042184894</v>
      </c>
      <c r="F185" s="1006">
        <f>IFERROR($E185*(VLOOKUP(C185,fish_group_yield_n!$A$7:$J$49,7,FALSE)),0)</f>
        <v>0.10490536698487697</v>
      </c>
      <c r="G185" s="1006">
        <f>IFERROR($E185*(VLOOKUP(C185,fish_group_yield_n!$A$7:$J$49,10,FALSE)),0)</f>
        <v>0.5543304241646585</v>
      </c>
      <c r="H185" s="1619">
        <f t="shared" si="5"/>
        <v>13054.040476190477</v>
      </c>
      <c r="I185" s="997">
        <f>IF(ISERROR($E185*VLOOKUP($C185,fish_group_yield_w!$A$7:$I$45,9,FALSE)),0,$E185*VLOOKUP($C185,fish_group_yield_w!$A$7:$I$45,9,FALSE))</f>
        <v>0.18448677579725456</v>
      </c>
      <c r="J185" s="998">
        <f>IF(ISERROR($E185*VLOOKUP($C185,fish_group_yield_w!$A$7:$I$45,9,FALSE)),0,$E185*VLOOKUP($C185,fish_group_yield_w!$A$7:$I$45,9,FALSE))</f>
        <v>0.18448677579725456</v>
      </c>
      <c r="L185" s="1586"/>
      <c r="M185" s="1586"/>
      <c r="N185" s="889"/>
    </row>
    <row r="186" spans="1:14" ht="12.75" customHeight="1">
      <c r="A186" s="995" t="s">
        <v>6306</v>
      </c>
      <c r="B186" s="1599">
        <v>307.10000000000002</v>
      </c>
      <c r="C186" s="996" t="s">
        <v>2435</v>
      </c>
      <c r="D186" s="996" t="s">
        <v>4851</v>
      </c>
      <c r="E186" s="1006">
        <f t="shared" si="4"/>
        <v>0.26926529042184894</v>
      </c>
      <c r="F186" s="1006">
        <f>IFERROR($E186*(VLOOKUP(C186,fish_group_yield_n!$A$7:$J$49,7,FALSE)),0)</f>
        <v>0.10490536698487697</v>
      </c>
      <c r="G186" s="1006">
        <f>IFERROR($E186*(VLOOKUP(C186,fish_group_yield_n!$A$7:$J$49,10,FALSE)),0)</f>
        <v>0.5543304241646585</v>
      </c>
      <c r="H186" s="1619">
        <f t="shared" si="5"/>
        <v>0</v>
      </c>
      <c r="I186" s="997">
        <f>IF(ISERROR($E186*VLOOKUP($C186,fish_group_yield_w!$A$7:$I$45,9,FALSE)),0,$E186*VLOOKUP($C186,fish_group_yield_w!$A$7:$I$45,9,FALSE))</f>
        <v>0.18448677579725456</v>
      </c>
      <c r="J186" s="998">
        <f>IF(ISERROR($E186*VLOOKUP($C186,fish_group_yield_w!$A$7:$I$45,9,FALSE)),0,$E186*VLOOKUP($C186,fish_group_yield_w!$A$7:$I$45,9,FALSE))</f>
        <v>0.18448677579725456</v>
      </c>
      <c r="L186" s="1586"/>
      <c r="M186" s="1586"/>
      <c r="N186" s="889"/>
    </row>
    <row r="187" spans="1:14" ht="12.75" customHeight="1">
      <c r="A187" s="995" t="s">
        <v>8702</v>
      </c>
      <c r="B187" s="1599">
        <v>307.19</v>
      </c>
      <c r="C187" s="996" t="s">
        <v>2435</v>
      </c>
      <c r="D187" s="996" t="s">
        <v>4851</v>
      </c>
      <c r="E187" s="1006">
        <f t="shared" si="4"/>
        <v>0.3127932436659368</v>
      </c>
      <c r="F187" s="1006">
        <f>IFERROR($E187*(VLOOKUP(C187,fish_group_yield_n!$A$7:$J$49,7,FALSE)),0)</f>
        <v>0.12186379449708143</v>
      </c>
      <c r="G187" s="1006">
        <f>IFERROR($E187*(VLOOKUP(C187,fish_group_yield_n!$A$7:$J$49,10,FALSE)),0)</f>
        <v>0.64394044685645346</v>
      </c>
      <c r="H187" s="1619">
        <f t="shared" si="5"/>
        <v>4606.8770000000004</v>
      </c>
      <c r="I187" s="997">
        <f>IF(ISERROR($E187*VLOOKUP($C187,fish_group_yield_w!$A$7:$I$45,9,FALSE)),0,$E187*VLOOKUP($C187,fish_group_yield_w!$A$7:$I$45,9,FALSE))</f>
        <v>0.21430989833367417</v>
      </c>
      <c r="J187" s="998">
        <f>IF(ISERROR($E187*VLOOKUP($C187,fish_group_yield_w!$A$7:$I$45,9,FALSE)),0,$E187*VLOOKUP($C187,fish_group_yield_w!$A$7:$I$45,9,FALSE))</f>
        <v>0.21430989833367417</v>
      </c>
      <c r="L187" s="1586"/>
      <c r="M187" s="1586"/>
      <c r="N187" s="889"/>
    </row>
    <row r="188" spans="1:14" ht="12.75" customHeight="1">
      <c r="A188" s="995" t="s">
        <v>8723</v>
      </c>
      <c r="B188" s="1599">
        <v>1605.51</v>
      </c>
      <c r="C188" s="996" t="s">
        <v>2435</v>
      </c>
      <c r="D188" s="996" t="s">
        <v>4851</v>
      </c>
      <c r="E188" s="1006">
        <f t="shared" si="4"/>
        <v>0.3127932436659368</v>
      </c>
      <c r="F188" s="1006">
        <f>IFERROR($E188*(VLOOKUP(C188,fish_group_yield_n!$A$7:$J$49,7,FALSE)),0)</f>
        <v>0.12186379449708143</v>
      </c>
      <c r="G188" s="1006">
        <f>IFERROR($E188*(VLOOKUP(C188,fish_group_yield_n!$A$7:$J$49,10,FALSE)),0)</f>
        <v>0.64394044685645346</v>
      </c>
      <c r="H188" s="1619">
        <f t="shared" si="5"/>
        <v>15403.146000000001</v>
      </c>
      <c r="I188" s="997">
        <f>IF(ISERROR($E188*VLOOKUP($C188,fish_group_yield_w!$A$7:$I$45,9,FALSE)),0,$E188*VLOOKUP($C188,fish_group_yield_w!$A$7:$I$45,9,FALSE))</f>
        <v>0.21430989833367417</v>
      </c>
      <c r="J188" s="998">
        <f>IF(ISERROR($E188*VLOOKUP($C188,fish_group_yield_w!$A$7:$I$45,9,FALSE)),0,$E188*VLOOKUP($C188,fish_group_yield_w!$A$7:$I$45,9,FALSE))</f>
        <v>0.21430989833367417</v>
      </c>
      <c r="L188" s="1586"/>
      <c r="M188" s="1586"/>
      <c r="N188" s="889"/>
    </row>
    <row r="189" spans="1:14" ht="12.75" customHeight="1">
      <c r="A189" s="995" t="s">
        <v>8704</v>
      </c>
      <c r="B189" s="1599">
        <v>302.13</v>
      </c>
      <c r="C189" s="996" t="s">
        <v>3933</v>
      </c>
      <c r="D189" s="996" t="s">
        <v>4845</v>
      </c>
      <c r="E189" s="1006">
        <f t="shared" si="4"/>
        <v>0.83333333333333337</v>
      </c>
      <c r="F189" s="1006">
        <f>IFERROR($E189*(VLOOKUP(C189,fish_group_yield_n!$A$7:$J$49,7,FALSE)),0)</f>
        <v>5.6134935847398787E-2</v>
      </c>
      <c r="G189" s="1006">
        <f>IFERROR($E189*(VLOOKUP(C189,fish_group_yield_n!$A$7:$J$49,10,FALSE)),0)</f>
        <v>2.439004812710336E-2</v>
      </c>
      <c r="H189" s="1619">
        <f t="shared" si="5"/>
        <v>8960.4</v>
      </c>
      <c r="I189" s="997">
        <f>IF(ISERROR($E189*VLOOKUP($C189,fish_group_yield_w!$A$7:$I$45,9,FALSE)),0,$E189*VLOOKUP($C189,fish_group_yield_w!$A$7:$I$45,9,FALSE))</f>
        <v>0.31667964415830302</v>
      </c>
      <c r="J189" s="998">
        <f>IF(ISERROR($E189*VLOOKUP($C189,fish_group_yield_w!$A$7:$I$45,9,FALSE)),0,$E189*VLOOKUP($C189,fish_group_yield_w!$A$7:$I$45,9,FALSE))</f>
        <v>0.31667964415830302</v>
      </c>
      <c r="L189" s="1586"/>
      <c r="M189" s="1586"/>
      <c r="N189" s="889"/>
    </row>
    <row r="190" spans="1:14" ht="12.75" customHeight="1">
      <c r="A190" s="995" t="s">
        <v>8619</v>
      </c>
      <c r="B190" s="1599">
        <v>304.41000000000003</v>
      </c>
      <c r="C190" s="996" t="s">
        <v>3933</v>
      </c>
      <c r="D190" s="996" t="s">
        <v>4845</v>
      </c>
      <c r="E190" s="1006">
        <f t="shared" si="4"/>
        <v>0.50820469632624188</v>
      </c>
      <c r="F190" s="1006">
        <f>IFERROR($E190*(VLOOKUP(C190,fish_group_yield_n!$A$7:$J$49,7,FALSE)),0)</f>
        <v>3.4233645630744443E-2</v>
      </c>
      <c r="G190" s="1006">
        <f>IFERROR($E190*(VLOOKUP(C190,fish_group_yield_n!$A$7:$J$49,10,FALSE)),0)</f>
        <v>1.4874164402180385E-2</v>
      </c>
      <c r="H190" s="1619">
        <f t="shared" si="5"/>
        <v>206340.08453295211</v>
      </c>
      <c r="I190" s="997">
        <f>IF(ISERROR($E190*VLOOKUP($C190,fish_group_yield_w!$A$7:$I$45,9,FALSE)),0,$E190*VLOOKUP($C190,fish_group_yield_w!$A$7:$I$45,9,FALSE))</f>
        <v>0.19312569887060724</v>
      </c>
      <c r="J190" s="998">
        <f>IF(ISERROR($E190*VLOOKUP($C190,fish_group_yield_w!$A$7:$I$45,9,FALSE)),0,$E190*VLOOKUP($C190,fish_group_yield_w!$A$7:$I$45,9,FALSE))</f>
        <v>0.19312569887060724</v>
      </c>
      <c r="L190" s="1586"/>
      <c r="M190" s="1586"/>
      <c r="N190" s="889"/>
    </row>
    <row r="191" spans="1:14" ht="12.75" customHeight="1">
      <c r="A191" s="995" t="s">
        <v>8640</v>
      </c>
      <c r="B191" s="1599">
        <v>304.81</v>
      </c>
      <c r="C191" s="996" t="s">
        <v>3933</v>
      </c>
      <c r="D191" s="996" t="s">
        <v>4845</v>
      </c>
      <c r="E191" s="1006">
        <f t="shared" si="4"/>
        <v>0.50820469632624188</v>
      </c>
      <c r="F191" s="1006">
        <f>IFERROR($E191*(VLOOKUP(C191,fish_group_yield_n!$A$7:$J$49,7,FALSE)),0)</f>
        <v>3.4233645630744443E-2</v>
      </c>
      <c r="G191" s="1006">
        <f>IFERROR($E191*(VLOOKUP(C191,fish_group_yield_n!$A$7:$J$49,10,FALSE)),0)</f>
        <v>1.4874164402180385E-2</v>
      </c>
      <c r="H191" s="1619">
        <f t="shared" si="5"/>
        <v>143265.10661220044</v>
      </c>
      <c r="I191" s="997">
        <f>IF(ISERROR($E191*VLOOKUP($C191,fish_group_yield_w!$A$7:$I$45,9,FALSE)),0,$E191*VLOOKUP($C191,fish_group_yield_w!$A$7:$I$45,9,FALSE))</f>
        <v>0.19312569887060724</v>
      </c>
      <c r="J191" s="998">
        <f>IF(ISERROR($E191*VLOOKUP($C191,fish_group_yield_w!$A$7:$I$45,9,FALSE)),0,$E191*VLOOKUP($C191,fish_group_yield_w!$A$7:$I$45,9,FALSE))</f>
        <v>0.19312569887060724</v>
      </c>
      <c r="L191" s="1586"/>
      <c r="M191" s="1586"/>
      <c r="N191" s="889"/>
    </row>
    <row r="192" spans="1:14" ht="12.75" customHeight="1">
      <c r="A192" s="995" t="s">
        <v>6307</v>
      </c>
      <c r="B192" s="1599">
        <v>302.22000000000003</v>
      </c>
      <c r="C192" s="996" t="s">
        <v>2436</v>
      </c>
      <c r="D192" s="996" t="s">
        <v>4841</v>
      </c>
      <c r="E192" s="1006">
        <f t="shared" si="4"/>
        <v>0.74329705335810992</v>
      </c>
      <c r="F192" s="1006">
        <f>IFERROR($E192*(VLOOKUP(C192,fish_group_yield_n!$A$7:$J$49,7,FALSE)),0)</f>
        <v>0.12660499393148747</v>
      </c>
      <c r="G192" s="1006">
        <f>IFERROR($E192*(VLOOKUP(C192,fish_group_yield_n!$A$7:$J$49,10,FALSE)),0)</f>
        <v>0.12660499393148747</v>
      </c>
      <c r="H192" s="1619">
        <f t="shared" si="5"/>
        <v>0</v>
      </c>
      <c r="I192" s="997">
        <f>IF(ISERROR($E192*VLOOKUP($C192,fish_group_yield_w!$A$7:$I$45,9,FALSE)),0,$E192*VLOOKUP($C192,fish_group_yield_w!$A$7:$I$45,9,FALSE))</f>
        <v>2.5674577942771636E-2</v>
      </c>
      <c r="J192" s="998">
        <f>IF(ISERROR($E192*VLOOKUP($C192,fish_group_yield_w!$A$7:$I$45,9,FALSE)),0,$E192*VLOOKUP($C192,fish_group_yield_w!$A$7:$I$45,9,FALSE))</f>
        <v>2.5674577942771636E-2</v>
      </c>
      <c r="L192" s="1586"/>
      <c r="M192" s="1586"/>
      <c r="N192" s="889"/>
    </row>
    <row r="193" spans="1:14" ht="12.75" customHeight="1">
      <c r="A193" s="995" t="s">
        <v>6308</v>
      </c>
      <c r="B193" s="1599">
        <v>303.32</v>
      </c>
      <c r="C193" s="996" t="s">
        <v>2436</v>
      </c>
      <c r="D193" s="996" t="s">
        <v>4841</v>
      </c>
      <c r="E193" s="1006">
        <f t="shared" si="4"/>
        <v>0.69337442218798151</v>
      </c>
      <c r="F193" s="1006">
        <f>IFERROR($E193*(VLOOKUP(C193,fish_group_yield_n!$A$7:$J$49,7,FALSE)),0)</f>
        <v>0.11810172543636417</v>
      </c>
      <c r="G193" s="1006">
        <f>IFERROR($E193*(VLOOKUP(C193,fish_group_yield_n!$A$7:$J$49,10,FALSE)),0)</f>
        <v>0.11810172543636417</v>
      </c>
      <c r="H193" s="1619">
        <f t="shared" si="5"/>
        <v>0</v>
      </c>
      <c r="I193" s="997">
        <f>IF(ISERROR($E193*VLOOKUP($C193,fish_group_yield_w!$A$7:$I$45,9,FALSE)),0,$E193*VLOOKUP($C193,fish_group_yield_w!$A$7:$I$45,9,FALSE))</f>
        <v>2.3950176535158123E-2</v>
      </c>
      <c r="J193" s="998">
        <f>IF(ISERROR($E193*VLOOKUP($C193,fish_group_yield_w!$A$7:$I$45,9,FALSE)),0,$E193*VLOOKUP($C193,fish_group_yield_w!$A$7:$I$45,9,FALSE))</f>
        <v>2.3950176535158123E-2</v>
      </c>
      <c r="L193" s="1586"/>
      <c r="M193" s="1586"/>
      <c r="N193" s="889"/>
    </row>
    <row r="194" spans="1:14" ht="12.75" customHeight="1">
      <c r="A194" s="995" t="s">
        <v>1912</v>
      </c>
      <c r="B194" s="1599">
        <v>2309.9</v>
      </c>
      <c r="C194" s="996" t="s">
        <v>1803</v>
      </c>
      <c r="D194" s="996"/>
      <c r="E194" s="1006">
        <f t="shared" si="4"/>
        <v>0.267538644470868</v>
      </c>
      <c r="F194" s="1006">
        <f>IFERROR($E194*(VLOOKUP(C194,fish_group_yield_n!$A$7:$J$49,7,FALSE)),0)</f>
        <v>1.9633936673041946E-2</v>
      </c>
      <c r="G194" s="1006">
        <f>IFERROR($E194*(VLOOKUP(C194,fish_group_yield_n!$A$7:$J$49,10,FALSE)),0)</f>
        <v>1.9633936673041946E-2</v>
      </c>
      <c r="H194" s="1619">
        <f t="shared" si="5"/>
        <v>0</v>
      </c>
      <c r="I194" s="997">
        <f>IF(ISERROR($E194*VLOOKUP($C194,fish_group_yield_w!$A$7:$I$45,9,FALSE)),0,$E194*VLOOKUP($C194,fish_group_yield_w!$A$7:$I$45,9,FALSE))</f>
        <v>0</v>
      </c>
      <c r="J194" s="998">
        <f>IF(ISERROR($E194*VLOOKUP($C194,fish_group_yield_w!$A$7:$I$45,9,FALSE)),0,$E194*VLOOKUP($C194,fish_group_yield_w!$A$7:$I$45,9,FALSE))</f>
        <v>0</v>
      </c>
      <c r="L194" s="1586"/>
      <c r="M194" s="1586"/>
      <c r="N194" s="889"/>
    </row>
    <row r="195" spans="1:14" ht="12.75" customHeight="1">
      <c r="A195" s="995" t="s">
        <v>1314</v>
      </c>
      <c r="B195" s="1599">
        <v>1604.2</v>
      </c>
      <c r="C195" s="996" t="s">
        <v>1803</v>
      </c>
      <c r="D195" s="996"/>
      <c r="E195" s="1006">
        <f t="shared" si="4"/>
        <v>0.66666666666666663</v>
      </c>
      <c r="F195" s="1006">
        <f>IFERROR($E195*(VLOOKUP(C195,fish_group_yield_n!$A$7:$J$49,7,FALSE)),0)</f>
        <v>4.8924861457861554E-2</v>
      </c>
      <c r="G195" s="1006">
        <f>IFERROR($E195*(VLOOKUP(C195,fish_group_yield_n!$A$7:$J$49,10,FALSE)),0)</f>
        <v>4.8924861457861554E-2</v>
      </c>
      <c r="H195" s="1619">
        <f t="shared" si="5"/>
        <v>169572</v>
      </c>
      <c r="I195" s="997">
        <f>IF(ISERROR($E195*VLOOKUP($C195,fish_group_yield_w!$A$7:$I$45,9,FALSE)),0,$E195*VLOOKUP($C195,fish_group_yield_w!$A$7:$I$45,9,FALSE))</f>
        <v>0</v>
      </c>
      <c r="J195" s="998">
        <f>IF(ISERROR($E195*VLOOKUP($C195,fish_group_yield_w!$A$7:$I$45,9,FALSE)),0,$E195*VLOOKUP($C195,fish_group_yield_w!$A$7:$I$45,9,FALSE))</f>
        <v>0</v>
      </c>
      <c r="L195" s="1586"/>
      <c r="M195" s="1586"/>
      <c r="N195" s="889"/>
    </row>
    <row r="196" spans="1:14" ht="12.75" customHeight="1">
      <c r="A196" s="995" t="s">
        <v>6345</v>
      </c>
      <c r="B196" s="1599">
        <v>511.99</v>
      </c>
      <c r="C196" s="996" t="s">
        <v>2429</v>
      </c>
      <c r="D196" s="996"/>
      <c r="E196" s="1006">
        <f t="shared" si="4"/>
        <v>0</v>
      </c>
      <c r="F196" s="1006">
        <f>IFERROR($E196*(VLOOKUP(C196,fish_group_yield_n!$A$7:$J$49,7,FALSE)),0)</f>
        <v>0</v>
      </c>
      <c r="G196" s="1006">
        <f>IFERROR($E196*(VLOOKUP(C196,fish_group_yield_n!$A$7:$J$49,10,FALSE)),0)</f>
        <v>0</v>
      </c>
      <c r="H196" s="1619">
        <f t="shared" si="5"/>
        <v>0</v>
      </c>
      <c r="I196" s="997">
        <f>IF(ISERROR($E196*VLOOKUP($C196,fish_group_yield_w!$A$7:$I$45,9,FALSE)),0,$E196*VLOOKUP($C196,fish_group_yield_w!$A$7:$I$45,9,FALSE))</f>
        <v>0</v>
      </c>
      <c r="J196" s="998">
        <f>IF(ISERROR($E196*VLOOKUP($C196,fish_group_yield_w!$A$7:$I$45,9,FALSE)),0,$E196*VLOOKUP($C196,fish_group_yield_w!$A$7:$I$45,9,FALSE))</f>
        <v>0</v>
      </c>
      <c r="L196" s="1586"/>
      <c r="M196" s="1586"/>
      <c r="N196" s="889"/>
    </row>
    <row r="197" spans="1:14" ht="12.75" customHeight="1">
      <c r="A197" s="995" t="s">
        <v>8673</v>
      </c>
      <c r="B197" s="1599">
        <v>302.82</v>
      </c>
      <c r="C197" s="996" t="s">
        <v>1806</v>
      </c>
      <c r="D197" s="996" t="s">
        <v>4841</v>
      </c>
      <c r="E197" s="1006">
        <f t="shared" si="4"/>
        <v>0.64516129032258063</v>
      </c>
      <c r="F197" s="1006">
        <f>IFERROR($E197*(VLOOKUP(C197,fish_group_yield_n!$A$7:$J$49,7,FALSE)),0)</f>
        <v>6.6800177971691091E-2</v>
      </c>
      <c r="G197" s="1006">
        <f>IFERROR($E197*(VLOOKUP(C197,fish_group_yield_n!$A$7:$J$49,10,FALSE)),0)</f>
        <v>8.3243206432398048E-2</v>
      </c>
      <c r="H197" s="1619">
        <f t="shared" si="5"/>
        <v>46.5</v>
      </c>
      <c r="I197" s="997">
        <f>IF(ISERROR($E197*VLOOKUP($C197,fish_group_yield_w!$A$7:$I$45,9,FALSE)),0,$E197*VLOOKUP($C197,fish_group_yield_w!$A$7:$I$45,9,FALSE))</f>
        <v>0.16232668966135316</v>
      </c>
      <c r="J197" s="998">
        <f>IF(ISERROR($E197*VLOOKUP($C197,fish_group_yield_w!$A$7:$I$45,9,FALSE)),0,$E197*VLOOKUP($C197,fish_group_yield_w!$A$7:$I$45,9,FALSE))</f>
        <v>0.16232668966135316</v>
      </c>
      <c r="L197" s="1586"/>
      <c r="M197" s="1586"/>
      <c r="N197" s="889"/>
    </row>
    <row r="198" spans="1:14" ht="12.75" customHeight="1">
      <c r="A198" s="995" t="s">
        <v>8707</v>
      </c>
      <c r="B198" s="1599">
        <v>303.82</v>
      </c>
      <c r="C198" s="996" t="s">
        <v>1806</v>
      </c>
      <c r="D198" s="996" t="s">
        <v>4841</v>
      </c>
      <c r="E198" s="1006">
        <f t="shared" si="4"/>
        <v>0.5524861878453039</v>
      </c>
      <c r="F198" s="1006">
        <f>IFERROR($E198*(VLOOKUP(C198,fish_group_yield_n!$A$7:$J$49,7,FALSE)),0)</f>
        <v>5.7204572296199553E-2</v>
      </c>
      <c r="G198" s="1006">
        <f>IFERROR($E198*(VLOOKUP(C198,fish_group_yield_n!$A$7:$J$49,10,FALSE)),0)</f>
        <v>7.1285618768075681E-2</v>
      </c>
      <c r="H198" s="1619">
        <f t="shared" si="5"/>
        <v>19.91</v>
      </c>
      <c r="I198" s="997">
        <f>IF(ISERROR($E198*VLOOKUP($C198,fish_group_yield_w!$A$7:$I$45,9,FALSE)),0,$E198*VLOOKUP($C198,fish_group_yield_w!$A$7:$I$45,9,FALSE))</f>
        <v>0.13900904363265051</v>
      </c>
      <c r="J198" s="998">
        <f>IF(ISERROR($E198*VLOOKUP($C198,fish_group_yield_w!$A$7:$I$45,9,FALSE)),0,$E198*VLOOKUP($C198,fish_group_yield_w!$A$7:$I$45,9,FALSE))</f>
        <v>0.13900904363265051</v>
      </c>
      <c r="L198" s="1586"/>
      <c r="M198" s="1586"/>
      <c r="N198" s="889"/>
    </row>
    <row r="199" spans="1:14" ht="12.75" customHeight="1">
      <c r="A199" s="995" t="s">
        <v>6309</v>
      </c>
      <c r="B199" s="1599">
        <v>306.11</v>
      </c>
      <c r="C199" s="996" t="s">
        <v>2431</v>
      </c>
      <c r="D199" s="996" t="s">
        <v>4840</v>
      </c>
      <c r="E199" s="1006">
        <f t="shared" ref="E199:E262" si="6">IFERROR(1/VLOOKUP(B199,constant_fish_extr,2,FALSE),0)</f>
        <v>0.46433094132545383</v>
      </c>
      <c r="F199" s="1006">
        <f>IFERROR($E199*(VLOOKUP(C199,fish_group_yield_n!$A$7:$J$49,7,FALSE)),0)</f>
        <v>0.14129905612473317</v>
      </c>
      <c r="G199" s="1006">
        <f>IFERROR($E199*(VLOOKUP(C199,fish_group_yield_n!$A$7:$J$49,10,FALSE)),0)</f>
        <v>9.5488456364093102E-2</v>
      </c>
      <c r="H199" s="1619">
        <f t="shared" ref="H199:H262" si="7">IF(ISERROR(VLOOKUP(B199,tbl_figis_commodity,2,FALSE)/E199),0,VLOOKUP(B199,tbl_figis_commodity,2,FALSE)/E199)</f>
        <v>19778.996363636361</v>
      </c>
      <c r="I199" s="997">
        <f>IF(ISERROR($E199*VLOOKUP($C199,fish_group_yield_w!$A$7:$I$45,9,FALSE)),0,$E199*VLOOKUP($C199,fish_group_yield_w!$A$7:$I$45,9,FALSE))</f>
        <v>5.9626602277054611E-3</v>
      </c>
      <c r="J199" s="998">
        <f>IF(ISERROR($E199*VLOOKUP($C199,fish_group_yield_w!$A$7:$I$45,9,FALSE)),0,$E199*VLOOKUP($C199,fish_group_yield_w!$A$7:$I$45,9,FALSE))</f>
        <v>5.9626602277054611E-3</v>
      </c>
      <c r="L199" s="1586"/>
      <c r="M199" s="1586"/>
      <c r="N199" s="889"/>
    </row>
    <row r="200" spans="1:14" ht="12.75" customHeight="1">
      <c r="A200" s="995" t="s">
        <v>6342</v>
      </c>
      <c r="B200" s="1599">
        <v>306.20999999999998</v>
      </c>
      <c r="C200" s="996" t="s">
        <v>2431</v>
      </c>
      <c r="D200" s="996" t="s">
        <v>4840</v>
      </c>
      <c r="E200" s="1006">
        <f t="shared" si="6"/>
        <v>0.46433094132545383</v>
      </c>
      <c r="F200" s="1006">
        <f>IFERROR($E200*(VLOOKUP(C200,fish_group_yield_n!$A$7:$J$49,7,FALSE)),0)</f>
        <v>0.14129905612473317</v>
      </c>
      <c r="G200" s="1006">
        <f>IFERROR($E200*(VLOOKUP(C200,fish_group_yield_n!$A$7:$J$49,10,FALSE)),0)</f>
        <v>9.5488456364093102E-2</v>
      </c>
      <c r="H200" s="1619">
        <f t="shared" si="7"/>
        <v>152.90818181818179</v>
      </c>
      <c r="I200" s="997">
        <f>IF(ISERROR($E200*VLOOKUP($C200,fish_group_yield_w!$A$7:$I$45,9,FALSE)),0,$E200*VLOOKUP($C200,fish_group_yield_w!$A$7:$I$45,9,FALSE))</f>
        <v>5.9626602277054611E-3</v>
      </c>
      <c r="J200" s="998">
        <f>IF(ISERROR($E200*VLOOKUP($C200,fish_group_yield_w!$A$7:$I$45,9,FALSE)),0,$E200*VLOOKUP($C200,fish_group_yield_w!$A$7:$I$45,9,FALSE))</f>
        <v>5.9626602277054611E-3</v>
      </c>
      <c r="L200" s="1586"/>
      <c r="M200" s="1586"/>
      <c r="N200" s="889"/>
    </row>
    <row r="201" spans="1:14" ht="12.75" customHeight="1">
      <c r="A201" s="995" t="s">
        <v>4075</v>
      </c>
      <c r="B201" s="1599">
        <v>302.12</v>
      </c>
      <c r="C201" s="996" t="s">
        <v>3933</v>
      </c>
      <c r="D201" s="996" t="s">
        <v>4845</v>
      </c>
      <c r="E201" s="1006">
        <f t="shared" si="6"/>
        <v>0.5852456491606346</v>
      </c>
      <c r="F201" s="1006">
        <f>IFERROR($E201*(VLOOKUP(C201,fish_group_yield_n!$A$7:$J$49,7,FALSE)),0)</f>
        <v>3.9423272364721776E-2</v>
      </c>
      <c r="G201" s="1006">
        <f>IFERROR($E201*(VLOOKUP(C201,fish_group_yield_n!$A$7:$J$49,10,FALSE)),0)</f>
        <v>1.712900345904687E-2</v>
      </c>
      <c r="H201" s="1619">
        <f t="shared" si="7"/>
        <v>0</v>
      </c>
      <c r="I201" s="997">
        <f>IF(ISERROR($E201*VLOOKUP($C201,fish_group_yield_w!$A$7:$I$45,9,FALSE)),0,$E201*VLOOKUP($C201,fish_group_yield_w!$A$7:$I$45,9,FALSE))</f>
        <v>0.22240246070566175</v>
      </c>
      <c r="J201" s="998">
        <f>IF(ISERROR($E201*VLOOKUP($C201,fish_group_yield_w!$A$7:$I$45,9,FALSE)),0,$E201*VLOOKUP($C201,fish_group_yield_w!$A$7:$I$45,9,FALSE))</f>
        <v>0.22240246070566175</v>
      </c>
      <c r="L201" s="1586"/>
      <c r="M201" s="1586"/>
      <c r="N201" s="889"/>
    </row>
    <row r="202" spans="1:14" ht="12.75" customHeight="1">
      <c r="A202" s="995" t="s">
        <v>6310</v>
      </c>
      <c r="B202" s="1599">
        <v>1604.11</v>
      </c>
      <c r="C202" s="996" t="s">
        <v>3933</v>
      </c>
      <c r="D202" s="996" t="s">
        <v>4845</v>
      </c>
      <c r="E202" s="1006">
        <f t="shared" si="6"/>
        <v>0.90006207324643073</v>
      </c>
      <c r="F202" s="1006">
        <f>IFERROR($E202*(VLOOKUP(C202,fish_group_yield_n!$A$7:$J$49,7,FALSE)),0)</f>
        <v>6.0629912088438168E-2</v>
      </c>
      <c r="G202" s="1006">
        <f>IFERROR($E202*(VLOOKUP(C202,fish_group_yield_n!$A$7:$J$49,10,FALSE)),0)</f>
        <v>2.6343068740633052E-2</v>
      </c>
      <c r="H202" s="1619">
        <f t="shared" si="7"/>
        <v>8800.5041379310351</v>
      </c>
      <c r="I202" s="997">
        <f>IF(ISERROR($E202*VLOOKUP($C202,fish_group_yield_w!$A$7:$I$45,9,FALSE)),0,$E202*VLOOKUP($C202,fish_group_yield_w!$A$7:$I$45,9,FALSE))</f>
        <v>0.34203760449127696</v>
      </c>
      <c r="J202" s="998">
        <f>IF(ISERROR($E202*VLOOKUP($C202,fish_group_yield_w!$A$7:$I$45,9,FALSE)),0,$E202*VLOOKUP($C202,fish_group_yield_w!$A$7:$I$45,9,FALSE))</f>
        <v>0.34203760449127696</v>
      </c>
      <c r="L202" s="1586"/>
      <c r="M202" s="1586"/>
      <c r="N202" s="889"/>
    </row>
    <row r="203" spans="1:14" ht="12.75" customHeight="1">
      <c r="A203" s="995" t="s">
        <v>8708</v>
      </c>
      <c r="B203" s="1599">
        <v>304.52</v>
      </c>
      <c r="C203" s="996" t="s">
        <v>3933</v>
      </c>
      <c r="D203" s="996" t="s">
        <v>4845</v>
      </c>
      <c r="E203" s="1006">
        <f t="shared" si="6"/>
        <v>0.43478260869565222</v>
      </c>
      <c r="F203" s="1006">
        <f>IFERROR($E203*(VLOOKUP(C203,fish_group_yield_n!$A$7:$J$49,7,FALSE)),0)</f>
        <v>2.9287792616034154E-2</v>
      </c>
      <c r="G203" s="1006">
        <f>IFERROR($E203*(VLOOKUP(C203,fish_group_yield_n!$A$7:$J$49,10,FALSE)),0)</f>
        <v>1.2725242501097406E-2</v>
      </c>
      <c r="H203" s="1619">
        <f t="shared" si="7"/>
        <v>3291.2999999999997</v>
      </c>
      <c r="I203" s="997">
        <f>IF(ISERROR($E203*VLOOKUP($C203,fish_group_yield_w!$A$7:$I$45,9,FALSE)),0,$E203*VLOOKUP($C203,fish_group_yield_w!$A$7:$I$45,9,FALSE))</f>
        <v>0.16522416216954941</v>
      </c>
      <c r="J203" s="998">
        <f>IF(ISERROR($E203*VLOOKUP($C203,fish_group_yield_w!$A$7:$I$45,9,FALSE)),0,$E203*VLOOKUP($C203,fish_group_yield_w!$A$7:$I$45,9,FALSE))</f>
        <v>0.16522416216954941</v>
      </c>
      <c r="L203" s="1586"/>
      <c r="M203" s="1586"/>
      <c r="N203" s="889"/>
    </row>
    <row r="204" spans="1:14" ht="12.75" customHeight="1">
      <c r="A204" s="995" t="s">
        <v>6311</v>
      </c>
      <c r="B204" s="1599">
        <v>305.41000000000003</v>
      </c>
      <c r="C204" s="996" t="s">
        <v>3933</v>
      </c>
      <c r="D204" s="996" t="s">
        <v>4845</v>
      </c>
      <c r="E204" s="1006">
        <f t="shared" si="6"/>
        <v>0.44798407167745147</v>
      </c>
      <c r="F204" s="1006">
        <f>IFERROR($E204*(VLOOKUP(C204,fish_group_yield_n!$A$7:$J$49,7,FALSE)),0)</f>
        <v>3.0177068549124286E-2</v>
      </c>
      <c r="G204" s="1006">
        <f>IFERROR($E204*(VLOOKUP(C204,fish_group_yield_n!$A$7:$J$49,10,FALSE)),0)</f>
        <v>1.3111623682066515E-2</v>
      </c>
      <c r="H204" s="1619">
        <f t="shared" si="7"/>
        <v>11730.327777777778</v>
      </c>
      <c r="I204" s="997">
        <f>IF(ISERROR($E204*VLOOKUP($C204,fish_group_yield_w!$A$7:$I$45,9,FALSE)),0,$E204*VLOOKUP($C204,fish_group_yield_w!$A$7:$I$45,9,FALSE))</f>
        <v>0.17024092368888363</v>
      </c>
      <c r="J204" s="998">
        <f>IF(ISERROR($E204*VLOOKUP($C204,fish_group_yield_w!$A$7:$I$45,9,FALSE)),0,$E204*VLOOKUP($C204,fish_group_yield_w!$A$7:$I$45,9,FALSE))</f>
        <v>0.17024092368888363</v>
      </c>
      <c r="L204" s="1586"/>
      <c r="M204" s="1586"/>
      <c r="N204" s="889"/>
    </row>
    <row r="205" spans="1:14" ht="12.75" customHeight="1">
      <c r="A205" s="995" t="s">
        <v>6312</v>
      </c>
      <c r="B205" s="1599">
        <v>1604.13</v>
      </c>
      <c r="C205" s="996" t="s">
        <v>2440</v>
      </c>
      <c r="D205" s="996" t="s">
        <v>4859</v>
      </c>
      <c r="E205" s="1006">
        <f t="shared" si="6"/>
        <v>0.64239828693790146</v>
      </c>
      <c r="F205" s="1006">
        <f>IFERROR($E205*(VLOOKUP(C205,fish_group_yield_n!$A$7:$J$49,7,FALSE)),0)</f>
        <v>0.22165511851463643</v>
      </c>
      <c r="G205" s="1006">
        <f>IFERROR($E205*(VLOOKUP(C205,fish_group_yield_n!$A$7:$J$49,10,FALSE)),0)</f>
        <v>0.69202445412454971</v>
      </c>
      <c r="H205" s="1619">
        <f t="shared" si="7"/>
        <v>42683.8</v>
      </c>
      <c r="I205" s="997">
        <f>IF(ISERROR($E205*VLOOKUP($C205,fish_group_yield_w!$A$7:$I$45,9,FALSE)),0,$E205*VLOOKUP($C205,fish_group_yield_w!$A$7:$I$45,9,FALSE))</f>
        <v>0</v>
      </c>
      <c r="J205" s="998">
        <f>IF(ISERROR($E205*VLOOKUP($C205,fish_group_yield_w!$A$7:$I$45,9,FALSE)),0,$E205*VLOOKUP($C205,fish_group_yield_w!$A$7:$I$45,9,FALSE))</f>
        <v>0</v>
      </c>
      <c r="L205" s="1586"/>
      <c r="M205" s="1586"/>
      <c r="N205" s="889"/>
    </row>
    <row r="206" spans="1:14" ht="12.75" customHeight="1">
      <c r="A206" s="995" t="s">
        <v>8709</v>
      </c>
      <c r="B206" s="1599">
        <v>303.52999999999997</v>
      </c>
      <c r="C206" s="996" t="s">
        <v>2440</v>
      </c>
      <c r="D206" s="996" t="s">
        <v>4859</v>
      </c>
      <c r="E206" s="1006">
        <f t="shared" si="6"/>
        <v>0.8112094395280236</v>
      </c>
      <c r="F206" s="1006">
        <f>IFERROR($E206*(VLOOKUP(C206,fish_group_yield_n!$A$7:$J$49,7,FALSE)),0)</f>
        <v>0.27990224774082778</v>
      </c>
      <c r="G206" s="1006">
        <f>IFERROR($E206*(VLOOKUP(C206,fish_group_yield_n!$A$7:$J$49,10,FALSE)),0)</f>
        <v>0.87387650463073063</v>
      </c>
      <c r="H206" s="1619">
        <f t="shared" si="7"/>
        <v>1744.3090909090909</v>
      </c>
      <c r="I206" s="997">
        <f>IF(ISERROR($E206*VLOOKUP($C206,fish_group_yield_w!$A$7:$I$45,9,FALSE)),0,$E206*VLOOKUP($C206,fish_group_yield_w!$A$7:$I$45,9,FALSE))</f>
        <v>0</v>
      </c>
      <c r="J206" s="998">
        <f>IF(ISERROR($E206*VLOOKUP($C206,fish_group_yield_w!$A$7:$I$45,9,FALSE)),0,$E206*VLOOKUP($C206,fish_group_yield_w!$A$7:$I$45,9,FALSE))</f>
        <v>0</v>
      </c>
      <c r="L206" s="1586"/>
      <c r="M206" s="1586"/>
      <c r="N206" s="889"/>
    </row>
    <row r="207" spans="1:14" ht="12.75" customHeight="1">
      <c r="A207" s="995" t="s">
        <v>284</v>
      </c>
      <c r="B207" s="1599">
        <v>302.61</v>
      </c>
      <c r="C207" s="996" t="s">
        <v>2440</v>
      </c>
      <c r="D207" s="996" t="s">
        <v>4859</v>
      </c>
      <c r="E207" s="1006">
        <f t="shared" si="6"/>
        <v>0.87412587412587417</v>
      </c>
      <c r="F207" s="1006">
        <f>IFERROR($E207*(VLOOKUP(C207,fish_group_yield_n!$A$7:$J$49,7,FALSE)),0)</f>
        <v>0.30161113154526581</v>
      </c>
      <c r="G207" s="1006">
        <f>IFERROR($E207*(VLOOKUP(C207,fish_group_yield_n!$A$7:$J$49,10,FALSE)),0)</f>
        <v>0.94165332190024698</v>
      </c>
      <c r="H207" s="1619">
        <f t="shared" si="7"/>
        <v>0</v>
      </c>
      <c r="I207" s="997">
        <f>IF(ISERROR($E207*VLOOKUP($C207,fish_group_yield_w!$A$7:$I$45,9,FALSE)),0,$E207*VLOOKUP($C207,fish_group_yield_w!$A$7:$I$45,9,FALSE))</f>
        <v>0</v>
      </c>
      <c r="J207" s="998">
        <f>IF(ISERROR($E207*VLOOKUP($C207,fish_group_yield_w!$A$7:$I$45,9,FALSE)),0,$E207*VLOOKUP($C207,fish_group_yield_w!$A$7:$I$45,9,FALSE))</f>
        <v>0</v>
      </c>
      <c r="L207" s="1586"/>
      <c r="M207" s="1586"/>
      <c r="N207" s="889"/>
    </row>
    <row r="208" spans="1:14" ht="12.75" customHeight="1">
      <c r="A208" s="995" t="s">
        <v>284</v>
      </c>
      <c r="B208" s="1599">
        <v>302.43</v>
      </c>
      <c r="C208" s="996" t="s">
        <v>2440</v>
      </c>
      <c r="D208" s="996" t="s">
        <v>4859</v>
      </c>
      <c r="E208" s="1006">
        <f t="shared" si="6"/>
        <v>0</v>
      </c>
      <c r="F208" s="1006">
        <f>IFERROR($E208*(VLOOKUP(C208,fish_group_yield_n!$A$7:$J$49,7,FALSE)),0)</f>
        <v>0</v>
      </c>
      <c r="G208" s="1006">
        <f>IFERROR($E208*(VLOOKUP(C208,fish_group_yield_n!$A$7:$J$49,10,FALSE)),0)</f>
        <v>0</v>
      </c>
      <c r="H208" s="1619">
        <f t="shared" si="7"/>
        <v>0</v>
      </c>
      <c r="I208" s="997">
        <f>IF(ISERROR($E208*VLOOKUP($C208,fish_group_yield_w!$A$7:$I$45,9,FALSE)),0,$E208*VLOOKUP($C208,fish_group_yield_w!$A$7:$I$45,9,FALSE))</f>
        <v>0</v>
      </c>
      <c r="J208" s="998">
        <f>IF(ISERROR($E208*VLOOKUP($C208,fish_group_yield_w!$A$7:$I$45,9,FALSE)),0,$E208*VLOOKUP($C208,fish_group_yield_w!$A$7:$I$45,9,FALSE))</f>
        <v>0</v>
      </c>
      <c r="L208" s="1586"/>
      <c r="M208" s="1586"/>
      <c r="N208" s="889"/>
    </row>
    <row r="209" spans="1:14" ht="12.75" customHeight="1">
      <c r="A209" s="995" t="s">
        <v>6313</v>
      </c>
      <c r="B209" s="1599">
        <v>303.70999999999998</v>
      </c>
      <c r="C209" s="996" t="s">
        <v>2440</v>
      </c>
      <c r="D209" s="996" t="s">
        <v>4859</v>
      </c>
      <c r="E209" s="1006">
        <f t="shared" si="6"/>
        <v>0.8112094395280236</v>
      </c>
      <c r="F209" s="1006">
        <f>IFERROR($E209*(VLOOKUP(C209,fish_group_yield_n!$A$7:$J$49,7,FALSE)),0)</f>
        <v>0.27990224774082778</v>
      </c>
      <c r="G209" s="1006">
        <f>IFERROR($E209*(VLOOKUP(C209,fish_group_yield_n!$A$7:$J$49,10,FALSE)),0)</f>
        <v>0.87387650463073063</v>
      </c>
      <c r="H209" s="1619">
        <f t="shared" si="7"/>
        <v>0</v>
      </c>
      <c r="I209" s="997">
        <f>IF(ISERROR($E209*VLOOKUP($C209,fish_group_yield_w!$A$7:$I$45,9,FALSE)),0,$E209*VLOOKUP($C209,fish_group_yield_w!$A$7:$I$45,9,FALSE))</f>
        <v>0</v>
      </c>
      <c r="J209" s="998">
        <f>IF(ISERROR($E209*VLOOKUP($C209,fish_group_yield_w!$A$7:$I$45,9,FALSE)),0,$E209*VLOOKUP($C209,fish_group_yield_w!$A$7:$I$45,9,FALSE))</f>
        <v>0</v>
      </c>
      <c r="L209" s="1586"/>
      <c r="M209" s="1586"/>
      <c r="N209" s="889"/>
    </row>
    <row r="210" spans="1:14" ht="12.75" customHeight="1">
      <c r="A210" s="995" t="s">
        <v>6314</v>
      </c>
      <c r="B210" s="1599">
        <v>2103.9</v>
      </c>
      <c r="C210" s="996" t="s">
        <v>1806</v>
      </c>
      <c r="D210" s="996"/>
      <c r="E210" s="1006">
        <f t="shared" si="6"/>
        <v>0</v>
      </c>
      <c r="F210" s="1006">
        <f>IFERROR($E210*(VLOOKUP(C210,fish_group_yield_n!$A$7:$J$49,7,FALSE)),0)</f>
        <v>0</v>
      </c>
      <c r="G210" s="1006">
        <f>IFERROR($E210*(VLOOKUP(C210,fish_group_yield_n!$A$7:$J$49,10,FALSE)),0)</f>
        <v>0</v>
      </c>
      <c r="H210" s="1619">
        <f t="shared" si="7"/>
        <v>0</v>
      </c>
      <c r="I210" s="997">
        <f>IF(ISERROR($E210*VLOOKUP($C210,fish_group_yield_w!$A$7:$I$45,9,FALSE)),0,$E210*VLOOKUP($C210,fish_group_yield_w!$A$7:$I$45,9,FALSE))</f>
        <v>0</v>
      </c>
      <c r="J210" s="998">
        <f>IF(ISERROR($E210*VLOOKUP($C210,fish_group_yield_w!$A$7:$I$45,9,FALSE)),0,$E210*VLOOKUP($C210,fish_group_yield_w!$A$7:$I$45,9,FALSE))</f>
        <v>0</v>
      </c>
      <c r="L210" s="1586"/>
      <c r="M210" s="1586"/>
      <c r="N210" s="889"/>
    </row>
    <row r="211" spans="1:14" ht="12.75" customHeight="1">
      <c r="A211" s="995" t="s">
        <v>6315</v>
      </c>
      <c r="B211" s="1599">
        <v>307.20999999999998</v>
      </c>
      <c r="C211" s="996" t="s">
        <v>2437</v>
      </c>
      <c r="D211" s="996" t="s">
        <v>4851</v>
      </c>
      <c r="E211" s="1006">
        <f t="shared" si="6"/>
        <v>0.32653061224489793</v>
      </c>
      <c r="F211" s="1006">
        <f>IFERROR($E211*(VLOOKUP(C211,fish_group_yield_n!$A$7:$J$49,7,FALSE)),0)</f>
        <v>0.16194422829867039</v>
      </c>
      <c r="G211" s="1006">
        <f>IFERROR($E211*(VLOOKUP(C211,fish_group_yield_n!$A$7:$J$49,10,FALSE)),0)</f>
        <v>0.78165435194389488</v>
      </c>
      <c r="H211" s="1619">
        <f t="shared" si="7"/>
        <v>8173.8125000000009</v>
      </c>
      <c r="I211" s="997">
        <f>IF(ISERROR($E211*VLOOKUP($C211,fish_group_yield_w!$A$7:$I$45,9,FALSE)),0,$E211*VLOOKUP($C211,fish_group_yield_w!$A$7:$I$45,9,FALSE))</f>
        <v>0.16641952639232474</v>
      </c>
      <c r="J211" s="998">
        <f>IF(ISERROR($E211*VLOOKUP($C211,fish_group_yield_w!$A$7:$I$45,9,FALSE)),0,$E211*VLOOKUP($C211,fish_group_yield_w!$A$7:$I$45,9,FALSE))</f>
        <v>0.16641952639232474</v>
      </c>
      <c r="L211" s="1586"/>
      <c r="M211" s="1586"/>
      <c r="N211" s="889"/>
    </row>
    <row r="212" spans="1:14" ht="12.75" customHeight="1">
      <c r="A212" s="995" t="s">
        <v>6316</v>
      </c>
      <c r="B212" s="1599">
        <v>307.29000000000002</v>
      </c>
      <c r="C212" s="996" t="s">
        <v>2437</v>
      </c>
      <c r="D212" s="996" t="s">
        <v>4851</v>
      </c>
      <c r="E212" s="1006">
        <f t="shared" si="6"/>
        <v>0.13698630136986301</v>
      </c>
      <c r="F212" s="1006">
        <f>IFERROR($E212*(VLOOKUP(C212,fish_group_yield_n!$A$7:$J$49,7,FALSE)),0)</f>
        <v>6.7938931392421659E-2</v>
      </c>
      <c r="G212" s="1006">
        <f>IFERROR($E212*(VLOOKUP(C212,fish_group_yield_n!$A$7:$J$49,10,FALSE)),0)</f>
        <v>0.32792006203125729</v>
      </c>
      <c r="H212" s="1619">
        <f t="shared" si="7"/>
        <v>178711.30000000002</v>
      </c>
      <c r="I212" s="997">
        <f>IF(ISERROR($E212*VLOOKUP($C212,fish_group_yield_w!$A$7:$I$45,9,FALSE)),0,$E212*VLOOKUP($C212,fish_group_yield_w!$A$7:$I$45,9,FALSE))</f>
        <v>6.9816410900889664E-2</v>
      </c>
      <c r="J212" s="998">
        <f>IF(ISERROR($E212*VLOOKUP($C212,fish_group_yield_w!$A$7:$I$45,9,FALSE)),0,$E212*VLOOKUP($C212,fish_group_yield_w!$A$7:$I$45,9,FALSE))</f>
        <v>6.9816410900889664E-2</v>
      </c>
      <c r="L212" s="1586"/>
      <c r="M212" s="1586"/>
      <c r="N212" s="889"/>
    </row>
    <row r="213" spans="1:14" ht="12.75" customHeight="1">
      <c r="A213" s="995" t="s">
        <v>8710</v>
      </c>
      <c r="B213" s="1599">
        <v>1605.52</v>
      </c>
      <c r="C213" s="996" t="s">
        <v>2437</v>
      </c>
      <c r="D213" s="996" t="s">
        <v>4851</v>
      </c>
      <c r="E213" s="1006">
        <f t="shared" si="6"/>
        <v>0.13698630136986301</v>
      </c>
      <c r="F213" s="1006">
        <f>IFERROR($E213*(VLOOKUP(C213,fish_group_yield_n!$A$7:$J$49,7,FALSE)),0)</f>
        <v>6.7938931392421659E-2</v>
      </c>
      <c r="G213" s="1006">
        <f>IFERROR($E213*(VLOOKUP(C213,fish_group_yield_n!$A$7:$J$49,10,FALSE)),0)</f>
        <v>0.32792006203125729</v>
      </c>
      <c r="H213" s="1619">
        <f t="shared" si="7"/>
        <v>3204.7000000000003</v>
      </c>
      <c r="I213" s="997">
        <f>IF(ISERROR($E213*VLOOKUP($C213,fish_group_yield_w!$A$7:$I$45,9,FALSE)),0,$E213*VLOOKUP($C213,fish_group_yield_w!$A$7:$I$45,9,FALSE))</f>
        <v>6.9816410900889664E-2</v>
      </c>
      <c r="J213" s="998">
        <f>IF(ISERROR($E213*VLOOKUP($C213,fish_group_yield_w!$A$7:$I$45,9,FALSE)),0,$E213*VLOOKUP($C213,fish_group_yield_w!$A$7:$I$45,9,FALSE))</f>
        <v>6.9816410900889664E-2</v>
      </c>
      <c r="L213" s="1586"/>
      <c r="M213" s="1586"/>
      <c r="N213" s="889"/>
    </row>
    <row r="214" spans="1:14" ht="12.75" customHeight="1">
      <c r="A214" s="995" t="s">
        <v>6317</v>
      </c>
      <c r="B214" s="1599">
        <v>303.77</v>
      </c>
      <c r="C214" s="996" t="s">
        <v>2438</v>
      </c>
      <c r="D214" s="996" t="s">
        <v>4841</v>
      </c>
      <c r="E214" s="1006">
        <f t="shared" si="6"/>
        <v>0.61871616395978346</v>
      </c>
      <c r="F214" s="1006">
        <f>IFERROR($E214*(VLOOKUP(C214,fish_group_yield_n!$A$7:$J$49,7,FALSE)),0)</f>
        <v>0.11773265685639654</v>
      </c>
      <c r="G214" s="1006">
        <f>IFERROR($E214*(VLOOKUP(C214,fish_group_yield_n!$A$7:$J$49,10,FALSE)),0)</f>
        <v>9.0279050709314773E-2</v>
      </c>
      <c r="H214" s="1619">
        <f t="shared" si="7"/>
        <v>0</v>
      </c>
      <c r="I214" s="997">
        <f>IF(ISERROR($E214*VLOOKUP($C214,fish_group_yield_w!$A$7:$I$45,9,FALSE)),0,$E214*VLOOKUP($C214,fish_group_yield_w!$A$7:$I$45,9,FALSE))</f>
        <v>0.38262373206888772</v>
      </c>
      <c r="J214" s="998">
        <f>IF(ISERROR($E214*VLOOKUP($C214,fish_group_yield_w!$A$7:$I$45,9,FALSE)),0,$E214*VLOOKUP($C214,fish_group_yield_w!$A$7:$I$45,9,FALSE))</f>
        <v>0.38262373206888772</v>
      </c>
      <c r="L214" s="1586"/>
      <c r="M214" s="1586"/>
      <c r="N214" s="889"/>
    </row>
    <row r="215" spans="1:14" ht="12.75" customHeight="1">
      <c r="A215" s="995" t="s">
        <v>8675</v>
      </c>
      <c r="B215" s="1599">
        <v>308.19</v>
      </c>
      <c r="C215" s="996"/>
      <c r="D215" s="996"/>
      <c r="E215" s="1006">
        <f t="shared" si="6"/>
        <v>0.64516129032258063</v>
      </c>
      <c r="F215" s="1006">
        <f>IFERROR($E215*(VLOOKUP(C215,fish_group_yield_n!$A$7:$J$49,7,FALSE)),0)</f>
        <v>0</v>
      </c>
      <c r="G215" s="1006">
        <f>IFERROR($E215*(VLOOKUP(C215,fish_group_yield_n!$A$7:$J$49,10,FALSE)),0)</f>
        <v>0</v>
      </c>
      <c r="H215" s="1619">
        <f t="shared" si="7"/>
        <v>2802.4</v>
      </c>
      <c r="I215" s="997">
        <f>IF(ISERROR($E215*VLOOKUP($C215,fish_group_yield_w!$A$7:$I$45,9,FALSE)),0,$E215*VLOOKUP($C215,fish_group_yield_w!$A$7:$I$45,9,FALSE))</f>
        <v>0</v>
      </c>
      <c r="J215" s="998">
        <f>IF(ISERROR($E215*VLOOKUP($C215,fish_group_yield_w!$A$7:$I$45,9,FALSE)),0,$E215*VLOOKUP($C215,fish_group_yield_w!$A$7:$I$45,9,FALSE))</f>
        <v>0</v>
      </c>
      <c r="L215" s="1586"/>
      <c r="M215" s="1586"/>
      <c r="N215" s="889"/>
    </row>
    <row r="216" spans="1:14" ht="12.75" customHeight="1">
      <c r="A216" s="995" t="s">
        <v>8678</v>
      </c>
      <c r="B216" s="1599">
        <v>308.11</v>
      </c>
      <c r="C216" s="996"/>
      <c r="D216" s="996"/>
      <c r="E216" s="1006">
        <f t="shared" si="6"/>
        <v>0.64516129032258063</v>
      </c>
      <c r="F216" s="1006">
        <f>IFERROR($E216*(VLOOKUP(C216,fish_group_yield_n!$A$7:$J$49,7,FALSE)),0)</f>
        <v>0</v>
      </c>
      <c r="G216" s="1006">
        <f>IFERROR($E216*(VLOOKUP(C216,fish_group_yield_n!$A$7:$J$49,10,FALSE)),0)</f>
        <v>0</v>
      </c>
      <c r="H216" s="1619">
        <f t="shared" si="7"/>
        <v>3186.8</v>
      </c>
      <c r="I216" s="997">
        <f>IF(ISERROR($E216*VLOOKUP($C216,fish_group_yield_w!$A$7:$I$45,9,FALSE)),0,$E216*VLOOKUP($C216,fish_group_yield_w!$A$7:$I$45,9,FALSE))</f>
        <v>0</v>
      </c>
      <c r="J216" s="998">
        <f>IF(ISERROR($E216*VLOOKUP($C216,fish_group_yield_w!$A$7:$I$45,9,FALSE)),0,$E216*VLOOKUP($C216,fish_group_yield_w!$A$7:$I$45,9,FALSE))</f>
        <v>0</v>
      </c>
      <c r="L216" s="1586"/>
      <c r="M216" s="1586"/>
      <c r="N216" s="889"/>
    </row>
    <row r="217" spans="1:14" ht="12.75" customHeight="1">
      <c r="A217" s="995" t="s">
        <v>8727</v>
      </c>
      <c r="B217" s="1599">
        <v>1605.61</v>
      </c>
      <c r="C217" s="996"/>
      <c r="D217" s="996"/>
      <c r="E217" s="1006">
        <f t="shared" si="6"/>
        <v>0.3127932436659368</v>
      </c>
      <c r="F217" s="1006">
        <f>IFERROR($E217*(VLOOKUP(C217,fish_group_yield_n!$A$7:$J$49,7,FALSE)),0)</f>
        <v>0</v>
      </c>
      <c r="G217" s="1006">
        <f>IFERROR($E217*(VLOOKUP(C217,fish_group_yield_n!$A$7:$J$49,10,FALSE)),0)</f>
        <v>0</v>
      </c>
      <c r="H217" s="1619">
        <f t="shared" si="7"/>
        <v>658.58199999999999</v>
      </c>
      <c r="I217" s="997">
        <f>IF(ISERROR($E217*VLOOKUP($C217,fish_group_yield_w!$A$7:$I$45,9,FALSE)),0,$E217*VLOOKUP($C217,fish_group_yield_w!$A$7:$I$45,9,FALSE))</f>
        <v>0</v>
      </c>
      <c r="J217" s="998">
        <f>IF(ISERROR($E217*VLOOKUP($C217,fish_group_yield_w!$A$7:$I$45,9,FALSE)),0,$E217*VLOOKUP($C217,fish_group_yield_w!$A$7:$I$45,9,FALSE))</f>
        <v>0</v>
      </c>
      <c r="L217" s="1586"/>
      <c r="M217" s="1586"/>
      <c r="N217" s="889"/>
    </row>
    <row r="218" spans="1:14" ht="12.75" customHeight="1">
      <c r="A218" s="995" t="s">
        <v>8681</v>
      </c>
      <c r="B218" s="1599">
        <v>308.29000000000002</v>
      </c>
      <c r="C218" s="996" t="s">
        <v>1804</v>
      </c>
      <c r="D218" s="996" t="s">
        <v>4851</v>
      </c>
      <c r="E218" s="1006">
        <f t="shared" si="6"/>
        <v>0.64516129032258063</v>
      </c>
      <c r="F218" s="1006">
        <f>IFERROR($E218*(VLOOKUP(C218,fish_group_yield_n!$A$7:$J$49,7,FALSE)),0)</f>
        <v>0.30245130928179376</v>
      </c>
      <c r="G218" s="1006">
        <f>IFERROR($E218*(VLOOKUP(C218,fish_group_yield_n!$A$7:$J$49,10,FALSE)),0)</f>
        <v>0.81351413708172637</v>
      </c>
      <c r="H218" s="1619">
        <f t="shared" si="7"/>
        <v>18.600000000000001</v>
      </c>
      <c r="I218" s="997">
        <f>IF(ISERROR($E218*VLOOKUP($C218,fish_group_yield_w!$A$7:$I$45,9,FALSE)),0,$E218*VLOOKUP($C218,fish_group_yield_w!$A$7:$I$45,9,FALSE))</f>
        <v>0.34873510378190037</v>
      </c>
      <c r="J218" s="998">
        <f>IF(ISERROR($E218*VLOOKUP($C218,fish_group_yield_w!$A$7:$I$45,9,FALSE)),0,$E218*VLOOKUP($C218,fish_group_yield_w!$A$7:$I$45,9,FALSE))</f>
        <v>0.34873510378190037</v>
      </c>
      <c r="L218" s="1586"/>
      <c r="M218" s="1586"/>
      <c r="N218" s="889"/>
    </row>
    <row r="219" spans="1:14" ht="12.75" customHeight="1">
      <c r="A219" s="995" t="s">
        <v>8682</v>
      </c>
      <c r="B219" s="1599">
        <v>308.20999999999998</v>
      </c>
      <c r="C219" s="996" t="s">
        <v>1804</v>
      </c>
      <c r="D219" s="996" t="s">
        <v>4851</v>
      </c>
      <c r="E219" s="1006">
        <f t="shared" si="6"/>
        <v>0.64516129032258063</v>
      </c>
      <c r="F219" s="1006">
        <f>IFERROR($E219*(VLOOKUP(C219,fish_group_yield_n!$A$7:$J$49,7,FALSE)),0)</f>
        <v>0.30245130928179376</v>
      </c>
      <c r="G219" s="1006">
        <f>IFERROR($E219*(VLOOKUP(C219,fish_group_yield_n!$A$7:$J$49,10,FALSE)),0)</f>
        <v>0.81351413708172637</v>
      </c>
      <c r="H219" s="1619">
        <f t="shared" si="7"/>
        <v>3538.65</v>
      </c>
      <c r="I219" s="997">
        <f>IF(ISERROR($E219*VLOOKUP($C219,fish_group_yield_w!$A$7:$I$45,9,FALSE)),0,$E219*VLOOKUP($C219,fish_group_yield_w!$A$7:$I$45,9,FALSE))</f>
        <v>0.34873510378190037</v>
      </c>
      <c r="J219" s="998">
        <f>IF(ISERROR($E219*VLOOKUP($C219,fish_group_yield_w!$A$7:$I$45,9,FALSE)),0,$E219*VLOOKUP($C219,fish_group_yield_w!$A$7:$I$45,9,FALSE))</f>
        <v>0.34873510378190037</v>
      </c>
      <c r="L219" s="1586"/>
      <c r="M219" s="1586"/>
      <c r="N219" s="889"/>
    </row>
    <row r="220" spans="1:14" ht="12.75" customHeight="1">
      <c r="A220" s="995" t="s">
        <v>8728</v>
      </c>
      <c r="B220" s="1599">
        <v>1605.62</v>
      </c>
      <c r="C220" s="996" t="s">
        <v>1804</v>
      </c>
      <c r="D220" s="996" t="s">
        <v>4851</v>
      </c>
      <c r="E220" s="1006">
        <f t="shared" si="6"/>
        <v>0.3127932436659368</v>
      </c>
      <c r="F220" s="1006">
        <f>IFERROR($E220*(VLOOKUP(C220,fish_group_yield_n!$A$7:$J$49,7,FALSE)),0)</f>
        <v>0.1466373254259557</v>
      </c>
      <c r="G220" s="1006">
        <f>IFERROR($E220*(VLOOKUP(C220,fish_group_yield_n!$A$7:$J$49,10,FALSE)),0)</f>
        <v>0.3944156748441276</v>
      </c>
      <c r="H220" s="1619">
        <f t="shared" si="7"/>
        <v>354.86700000000002</v>
      </c>
      <c r="I220" s="997">
        <f>IF(ISERROR($E220*VLOOKUP($C220,fish_group_yield_w!$A$7:$I$45,9,FALSE)),0,$E220*VLOOKUP($C220,fish_group_yield_w!$A$7:$I$45,9,FALSE))</f>
        <v>0.16907707565278246</v>
      </c>
      <c r="J220" s="998">
        <f>IF(ISERROR($E220*VLOOKUP($C220,fish_group_yield_w!$A$7:$I$45,9,FALSE)),0,$E220*VLOOKUP($C220,fish_group_yield_w!$A$7:$I$45,9,FALSE))</f>
        <v>0.16907707565278246</v>
      </c>
      <c r="L220" s="1586"/>
      <c r="M220" s="1586"/>
      <c r="N220" s="889"/>
    </row>
    <row r="221" spans="1:14" ht="12.75" customHeight="1">
      <c r="A221" s="995" t="s">
        <v>8683</v>
      </c>
      <c r="B221" s="1599">
        <v>302.83999999999997</v>
      </c>
      <c r="C221" s="996" t="s">
        <v>2438</v>
      </c>
      <c r="D221" s="996" t="s">
        <v>4841</v>
      </c>
      <c r="E221" s="1006">
        <f t="shared" si="6"/>
        <v>0.64516129032258063</v>
      </c>
      <c r="F221" s="1006">
        <f>IFERROR($E221*(VLOOKUP(C221,fish_group_yield_n!$A$7:$J$49,7,FALSE)),0)</f>
        <v>0.12276477848009736</v>
      </c>
      <c r="G221" s="1006">
        <f>IFERROR($E221*(VLOOKUP(C221,fish_group_yield_n!$A$7:$J$49,10,FALSE)),0)</f>
        <v>9.4137752070277414E-2</v>
      </c>
      <c r="H221" s="1619">
        <f t="shared" si="7"/>
        <v>6620.05</v>
      </c>
      <c r="I221" s="997">
        <f>IF(ISERROR($E221*VLOOKUP($C221,fish_group_yield_w!$A$7:$I$45,9,FALSE)),0,$E221*VLOOKUP($C221,fish_group_yield_w!$A$7:$I$45,9,FALSE))</f>
        <v>0.39897781093957407</v>
      </c>
      <c r="J221" s="998">
        <f>IF(ISERROR($E221*VLOOKUP($C221,fish_group_yield_w!$A$7:$I$45,9,FALSE)),0,$E221*VLOOKUP($C221,fish_group_yield_w!$A$7:$I$45,9,FALSE))</f>
        <v>0.39897781093957407</v>
      </c>
      <c r="L221" s="1586"/>
      <c r="M221" s="1586"/>
      <c r="N221" s="889"/>
    </row>
    <row r="222" spans="1:14" ht="12.75" customHeight="1">
      <c r="A222" s="995" t="s">
        <v>8718</v>
      </c>
      <c r="B222" s="1599">
        <v>303.83999999999997</v>
      </c>
      <c r="C222" s="996" t="s">
        <v>2438</v>
      </c>
      <c r="D222" s="996" t="s">
        <v>4841</v>
      </c>
      <c r="E222" s="1006">
        <f t="shared" si="6"/>
        <v>0.61871616395978346</v>
      </c>
      <c r="F222" s="1006">
        <f>IFERROR($E222*(VLOOKUP(C222,fish_group_yield_n!$A$7:$J$49,7,FALSE)),0)</f>
        <v>0.11773265685639654</v>
      </c>
      <c r="G222" s="1006">
        <f>IFERROR($E222*(VLOOKUP(C222,fish_group_yield_n!$A$7:$J$49,10,FALSE)),0)</f>
        <v>9.0279050709314773E-2</v>
      </c>
      <c r="H222" s="1619">
        <f t="shared" si="7"/>
        <v>4818.0412500000002</v>
      </c>
      <c r="I222" s="997">
        <f>IF(ISERROR($E222*VLOOKUP($C222,fish_group_yield_w!$A$7:$I$45,9,FALSE)),0,$E222*VLOOKUP($C222,fish_group_yield_w!$A$7:$I$45,9,FALSE))</f>
        <v>0.38262373206888772</v>
      </c>
      <c r="J222" s="998">
        <f>IF(ISERROR($E222*VLOOKUP($C222,fish_group_yield_w!$A$7:$I$45,9,FALSE)),0,$E222*VLOOKUP($C222,fish_group_yield_w!$A$7:$I$45,9,FALSE))</f>
        <v>0.38262373206888772</v>
      </c>
      <c r="L222" s="1586"/>
      <c r="M222" s="1586"/>
      <c r="N222" s="889"/>
    </row>
    <row r="223" spans="1:14" ht="12.75" customHeight="1">
      <c r="A223" s="995" t="s">
        <v>8691</v>
      </c>
      <c r="B223" s="1599">
        <v>302.85000000000002</v>
      </c>
      <c r="C223" s="996" t="s">
        <v>1806</v>
      </c>
      <c r="D223" s="996" t="s">
        <v>4841</v>
      </c>
      <c r="E223" s="1006">
        <f t="shared" si="6"/>
        <v>0.64516129032258063</v>
      </c>
      <c r="F223" s="1006">
        <f>IFERROR($E223*(VLOOKUP(C223,fish_group_yield_n!$A$7:$J$49,7,FALSE)),0)</f>
        <v>6.6800177971691091E-2</v>
      </c>
      <c r="G223" s="1006">
        <f>IFERROR($E223*(VLOOKUP(C223,fish_group_yield_n!$A$7:$J$49,10,FALSE)),0)</f>
        <v>8.3243206432398048E-2</v>
      </c>
      <c r="H223" s="1619">
        <f t="shared" si="7"/>
        <v>671.15</v>
      </c>
      <c r="I223" s="997">
        <f>IF(ISERROR($E223*VLOOKUP($C223,fish_group_yield_w!$A$7:$I$45,9,FALSE)),0,$E223*VLOOKUP($C223,fish_group_yield_w!$A$7:$I$45,9,FALSE))</f>
        <v>0.16232668966135316</v>
      </c>
      <c r="J223" s="998">
        <f>IF(ISERROR($E223*VLOOKUP($C223,fish_group_yield_w!$A$7:$I$45,9,FALSE)),0,$E223*VLOOKUP($C223,fish_group_yield_w!$A$7:$I$45,9,FALSE))</f>
        <v>0.16232668966135316</v>
      </c>
      <c r="L223" s="1586"/>
      <c r="M223" s="1586"/>
      <c r="N223" s="889"/>
    </row>
    <row r="224" spans="1:14" ht="12.75" customHeight="1">
      <c r="A224" s="995" t="s">
        <v>6318</v>
      </c>
      <c r="B224" s="1599">
        <v>1212.2</v>
      </c>
      <c r="C224" s="996" t="s">
        <v>1808</v>
      </c>
      <c r="D224" s="996" t="s">
        <v>4831</v>
      </c>
      <c r="E224" s="1006">
        <f t="shared" si="6"/>
        <v>0.13999999999999999</v>
      </c>
      <c r="F224" s="1006">
        <f>IFERROR($E224*(VLOOKUP(C224,fish_group_yield_n!$A$7:$J$49,7,FALSE)),0)</f>
        <v>7.7214416563598292</v>
      </c>
      <c r="G224" s="1006">
        <f>IFERROR($E224*(VLOOKUP(C224,fish_group_yield_n!$A$7:$J$49,10,FALSE)),0)</f>
        <v>4.2190909090909106</v>
      </c>
      <c r="H224" s="1619">
        <f t="shared" si="7"/>
        <v>0</v>
      </c>
      <c r="I224" s="997">
        <f>IF(ISERROR($E224*VLOOKUP($C224,fish_group_yield_w!$A$7:$I$45,9,FALSE)),0,$E224*VLOOKUP($C224,fish_group_yield_w!$A$7:$I$45,9,FALSE))</f>
        <v>0</v>
      </c>
      <c r="J224" s="998">
        <f>IF(ISERROR($E224*VLOOKUP($C224,fish_group_yield_w!$A$7:$I$45,9,FALSE)),0,$E224*VLOOKUP($C224,fish_group_yield_w!$A$7:$I$45,9,FALSE))</f>
        <v>0</v>
      </c>
      <c r="L224" s="1586"/>
      <c r="M224" s="1586"/>
      <c r="N224" s="889"/>
    </row>
    <row r="225" spans="1:14" ht="12.75" customHeight="1">
      <c r="A225" s="995" t="s">
        <v>8720</v>
      </c>
      <c r="B225" s="1599">
        <v>1212.21</v>
      </c>
      <c r="C225" s="996" t="s">
        <v>1808</v>
      </c>
      <c r="D225" s="996" t="s">
        <v>4831</v>
      </c>
      <c r="E225" s="1006">
        <f t="shared" si="6"/>
        <v>0</v>
      </c>
      <c r="F225" s="1006">
        <f>IFERROR($E225*(VLOOKUP(C225,fish_group_yield_n!$A$7:$J$49,7,FALSE)),0)</f>
        <v>0</v>
      </c>
      <c r="G225" s="1006">
        <f>IFERROR($E225*(VLOOKUP(C225,fish_group_yield_n!$A$7:$J$49,10,FALSE)),0)</f>
        <v>0</v>
      </c>
      <c r="H225" s="1619">
        <f t="shared" si="7"/>
        <v>0</v>
      </c>
      <c r="I225" s="997">
        <f>IF(ISERROR($E225*VLOOKUP($C225,fish_group_yield_w!$A$7:$I$45,9,FALSE)),0,$E225*VLOOKUP($C225,fish_group_yield_w!$A$7:$I$45,9,FALSE))</f>
        <v>0</v>
      </c>
      <c r="J225" s="998">
        <f>IF(ISERROR($E225*VLOOKUP($C225,fish_group_yield_w!$A$7:$I$45,9,FALSE)),0,$E225*VLOOKUP($C225,fish_group_yield_w!$A$7:$I$45,9,FALSE))</f>
        <v>0</v>
      </c>
      <c r="L225" s="1586"/>
      <c r="M225" s="1586"/>
      <c r="N225" s="889"/>
    </row>
    <row r="226" spans="1:14" ht="12.75" customHeight="1">
      <c r="A226" s="995" t="s">
        <v>8721</v>
      </c>
      <c r="B226" s="1599">
        <v>1212.29</v>
      </c>
      <c r="C226" s="996" t="s">
        <v>1808</v>
      </c>
      <c r="D226" s="996" t="s">
        <v>4831</v>
      </c>
      <c r="E226" s="1006">
        <f t="shared" si="6"/>
        <v>0</v>
      </c>
      <c r="F226" s="1006">
        <f>IFERROR($E226*(VLOOKUP(C226,fish_group_yield_n!$A$7:$J$49,7,FALSE)),0)</f>
        <v>0</v>
      </c>
      <c r="G226" s="1006">
        <f>IFERROR($E226*(VLOOKUP(C226,fish_group_yield_n!$A$7:$J$49,10,FALSE)),0)</f>
        <v>0</v>
      </c>
      <c r="H226" s="1619">
        <f t="shared" si="7"/>
        <v>0</v>
      </c>
      <c r="I226" s="997">
        <f>IF(ISERROR($E226*VLOOKUP($C226,fish_group_yield_w!$A$7:$I$45,9,FALSE)),0,$E226*VLOOKUP($C226,fish_group_yield_w!$A$7:$I$45,9,FALSE))</f>
        <v>0</v>
      </c>
      <c r="J226" s="998">
        <f>IF(ISERROR($E226*VLOOKUP($C226,fish_group_yield_w!$A$7:$I$45,9,FALSE)),0,$E226*VLOOKUP($C226,fish_group_yield_w!$A$7:$I$45,9,FALSE))</f>
        <v>0</v>
      </c>
      <c r="L226" s="1586"/>
      <c r="M226" s="1586"/>
      <c r="N226" s="889"/>
    </row>
    <row r="227" spans="1:14" ht="12.75" customHeight="1">
      <c r="A227" s="995" t="s">
        <v>8722</v>
      </c>
      <c r="B227" s="1599">
        <v>305.70999999999998</v>
      </c>
      <c r="C227" s="996" t="s">
        <v>3927</v>
      </c>
      <c r="D227" s="996" t="s">
        <v>4841</v>
      </c>
      <c r="E227" s="1006">
        <f t="shared" si="6"/>
        <v>0</v>
      </c>
      <c r="F227" s="1006">
        <f>IFERROR($E227*(VLOOKUP(C227,fish_group_yield_n!$A$7:$J$49,7,FALSE)),0)</f>
        <v>0</v>
      </c>
      <c r="G227" s="1006">
        <f>IFERROR($E227*(VLOOKUP(C227,fish_group_yield_n!$A$7:$J$49,10,FALSE)),0)</f>
        <v>0</v>
      </c>
      <c r="H227" s="1619">
        <f t="shared" si="7"/>
        <v>0</v>
      </c>
      <c r="I227" s="997">
        <f>IF(ISERROR($E227*VLOOKUP($C227,fish_group_yield_w!$A$7:$I$45,9,FALSE)),0,$E227*VLOOKUP($C227,fish_group_yield_w!$A$7:$I$45,9,FALSE))</f>
        <v>0</v>
      </c>
      <c r="J227" s="998">
        <f>IF(ISERROR($E227*VLOOKUP($C227,fish_group_yield_w!$A$7:$I$45,9,FALSE)),0,$E227*VLOOKUP($C227,fish_group_yield_w!$A$7:$I$45,9,FALSE))</f>
        <v>0</v>
      </c>
      <c r="L227" s="1586"/>
      <c r="M227" s="1586"/>
      <c r="N227" s="889"/>
    </row>
    <row r="228" spans="1:14" ht="12.75" customHeight="1">
      <c r="A228" s="995" t="s">
        <v>6319</v>
      </c>
      <c r="B228" s="1599">
        <v>1605.2</v>
      </c>
      <c r="C228" s="996" t="s">
        <v>2441</v>
      </c>
      <c r="D228" s="996" t="s">
        <v>4840</v>
      </c>
      <c r="E228" s="1006">
        <f t="shared" si="6"/>
        <v>0.34127045683704338</v>
      </c>
      <c r="F228" s="1006">
        <f>IFERROR($E228*(VLOOKUP(C228,fish_group_yield_n!$A$7:$J$49,7,FALSE)),0)</f>
        <v>0.16176381590408026</v>
      </c>
      <c r="G228" s="1006">
        <f>IFERROR($E228*(VLOOKUP(C228,fish_group_yield_n!$A$7:$J$49,10,FALSE)),0)</f>
        <v>0.14364165886306313</v>
      </c>
      <c r="H228" s="1619">
        <f t="shared" si="7"/>
        <v>0</v>
      </c>
      <c r="I228" s="997">
        <f>IF(ISERROR($E228*VLOOKUP($C228,fish_group_yield_w!$A$7:$I$45,9,FALSE)),0,$E228*VLOOKUP($C228,fish_group_yield_w!$A$7:$I$45,9,FALSE))</f>
        <v>0.19412259212739252</v>
      </c>
      <c r="J228" s="998">
        <f>IF(ISERROR($E228*VLOOKUP($C228,fish_group_yield_w!$A$7:$I$45,9,FALSE)),0,$E228*VLOOKUP($C228,fish_group_yield_w!$A$7:$I$45,9,FALSE))</f>
        <v>0.19412259212739252</v>
      </c>
      <c r="L228" s="1586"/>
      <c r="M228" s="1586"/>
      <c r="N228" s="889"/>
    </row>
    <row r="229" spans="1:14" ht="12.75" customHeight="1">
      <c r="A229" s="995" t="s">
        <v>8729</v>
      </c>
      <c r="B229" s="1599">
        <v>1605.21</v>
      </c>
      <c r="C229" s="996" t="s">
        <v>2441</v>
      </c>
      <c r="D229" s="996" t="s">
        <v>4840</v>
      </c>
      <c r="E229" s="1006">
        <f t="shared" si="6"/>
        <v>0.3127932436659368</v>
      </c>
      <c r="F229" s="1006">
        <f>IFERROR($E229*(VLOOKUP(C229,fish_group_yield_n!$A$7:$J$49,7,FALSE)),0)</f>
        <v>0.14826548173367834</v>
      </c>
      <c r="G229" s="1006">
        <f>IFERROR($E229*(VLOOKUP(C229,fish_group_yield_n!$A$7:$J$49,10,FALSE)),0)</f>
        <v>0.13165552277145284</v>
      </c>
      <c r="H229" s="1619">
        <f t="shared" si="7"/>
        <v>209515.39500000002</v>
      </c>
      <c r="I229" s="997">
        <f>IF(ISERROR($E229*VLOOKUP($C229,fish_group_yield_w!$A$7:$I$45,9,FALSE)),0,$E229*VLOOKUP($C229,fish_group_yield_w!$A$7:$I$45,9,FALSE))</f>
        <v>0.17792408936634285</v>
      </c>
      <c r="J229" s="998">
        <f>IF(ISERROR($E229*VLOOKUP($C229,fish_group_yield_w!$A$7:$I$45,9,FALSE)),0,$E229*VLOOKUP($C229,fish_group_yield_w!$A$7:$I$45,9,FALSE))</f>
        <v>0.17792408936634285</v>
      </c>
      <c r="L229" s="1586"/>
      <c r="M229" s="1586"/>
      <c r="N229" s="889"/>
    </row>
    <row r="230" spans="1:14" ht="12.75" customHeight="1">
      <c r="A230" s="995" t="s">
        <v>6320</v>
      </c>
      <c r="B230" s="1599">
        <v>306.13</v>
      </c>
      <c r="C230" s="996" t="s">
        <v>2441</v>
      </c>
      <c r="D230" s="996" t="s">
        <v>4840</v>
      </c>
      <c r="E230" s="1006">
        <f t="shared" si="6"/>
        <v>0.55605169595767268</v>
      </c>
      <c r="F230" s="1006">
        <f>IFERROR($E230*(VLOOKUP(C230,fish_group_yield_n!$A$7:$J$49,7,FALSE)),0)</f>
        <v>0.26357114240626822</v>
      </c>
      <c r="G230" s="1006">
        <f>IFERROR($E230*(VLOOKUP(C230,fish_group_yield_n!$A$7:$J$49,10,FALSE)),0)</f>
        <v>0.23404366367147533</v>
      </c>
      <c r="H230" s="1619">
        <f t="shared" si="7"/>
        <v>0</v>
      </c>
      <c r="I230" s="997">
        <f>IF(ISERROR($E230*VLOOKUP($C230,fish_group_yield_w!$A$7:$I$45,9,FALSE)),0,$E230*VLOOKUP($C230,fish_group_yield_w!$A$7:$I$45,9,FALSE))</f>
        <v>0.31629516828548265</v>
      </c>
      <c r="J230" s="998">
        <f>IF(ISERROR($E230*VLOOKUP($C230,fish_group_yield_w!$A$7:$I$45,9,FALSE)),0,$E230*VLOOKUP($C230,fish_group_yield_w!$A$7:$I$45,9,FALSE))</f>
        <v>0.31629516828548265</v>
      </c>
      <c r="L230" s="1586"/>
      <c r="M230" s="1586"/>
      <c r="N230" s="889"/>
    </row>
    <row r="231" spans="1:14" ht="12.75" customHeight="1">
      <c r="A231" s="995" t="s">
        <v>6343</v>
      </c>
      <c r="B231" s="1599">
        <v>306.23</v>
      </c>
      <c r="C231" s="996" t="s">
        <v>2441</v>
      </c>
      <c r="D231" s="996" t="s">
        <v>4840</v>
      </c>
      <c r="E231" s="1006">
        <f t="shared" si="6"/>
        <v>0.55605169595767268</v>
      </c>
      <c r="F231" s="1006">
        <f>IFERROR($E231*(VLOOKUP(C231,fish_group_yield_n!$A$7:$J$49,7,FALSE)),0)</f>
        <v>0.26357114240626822</v>
      </c>
      <c r="G231" s="1006">
        <f>IFERROR($E231*(VLOOKUP(C231,fish_group_yield_n!$A$7:$J$49,10,FALSE)),0)</f>
        <v>0.23404366367147533</v>
      </c>
      <c r="H231" s="1619">
        <f t="shared" si="7"/>
        <v>0</v>
      </c>
      <c r="I231" s="997">
        <f>IF(ISERROR($E231*VLOOKUP($C231,fish_group_yield_w!$A$7:$I$45,9,FALSE)),0,$E231*VLOOKUP($C231,fish_group_yield_w!$A$7:$I$45,9,FALSE))</f>
        <v>0.31629516828548265</v>
      </c>
      <c r="J231" s="998">
        <f>IF(ISERROR($E231*VLOOKUP($C231,fish_group_yield_w!$A$7:$I$45,9,FALSE)),0,$E231*VLOOKUP($C231,fish_group_yield_w!$A$7:$I$45,9,FALSE))</f>
        <v>0.31629516828548265</v>
      </c>
      <c r="L231" s="1586"/>
      <c r="M231" s="1586"/>
      <c r="N231" s="889"/>
    </row>
    <row r="232" spans="1:14" ht="12.75" customHeight="1">
      <c r="A232" s="995" t="s">
        <v>6321</v>
      </c>
      <c r="B232" s="1599">
        <v>302.33</v>
      </c>
      <c r="C232" s="996" t="s">
        <v>2439</v>
      </c>
      <c r="D232" s="996" t="s">
        <v>4859</v>
      </c>
      <c r="E232" s="1006">
        <f t="shared" si="6"/>
        <v>0.88028169014084512</v>
      </c>
      <c r="F232" s="1006">
        <f>IFERROR($E232*(VLOOKUP(C232,fish_group_yield_n!$A$7:$J$49,7,FALSE)),0)</f>
        <v>1.2307988432487409E-2</v>
      </c>
      <c r="G232" s="1006">
        <f>IFERROR($E232*(VLOOKUP(C232,fish_group_yield_n!$A$7:$J$49,10,FALSE)),0)</f>
        <v>1.1849037487307684E-2</v>
      </c>
      <c r="H232" s="1619">
        <f t="shared" si="7"/>
        <v>43.167999999999999</v>
      </c>
      <c r="I232" s="997">
        <f>IF(ISERROR($E232*VLOOKUP($C232,fish_group_yield_w!$A$7:$I$45,9,FALSE)),0,$E232*VLOOKUP($C232,fish_group_yield_w!$A$7:$I$45,9,FALSE))</f>
        <v>2.8982644068226274E-2</v>
      </c>
      <c r="J232" s="998">
        <f>IF(ISERROR($E232*VLOOKUP($C232,fish_group_yield_w!$A$7:$I$45,9,FALSE)),0,$E232*VLOOKUP($C232,fish_group_yield_w!$A$7:$I$45,9,FALSE))</f>
        <v>2.8982644068226274E-2</v>
      </c>
      <c r="L232" s="1586"/>
      <c r="M232" s="1586"/>
      <c r="N232" s="889"/>
    </row>
    <row r="233" spans="1:14" ht="12.75" customHeight="1">
      <c r="A233" s="995" t="s">
        <v>6322</v>
      </c>
      <c r="B233" s="1599">
        <v>303.43</v>
      </c>
      <c r="C233" s="996" t="s">
        <v>2439</v>
      </c>
      <c r="D233" s="996" t="s">
        <v>4859</v>
      </c>
      <c r="E233" s="1006">
        <f t="shared" si="6"/>
        <v>0.65055762081784374</v>
      </c>
      <c r="F233" s="1006">
        <f>IFERROR($E233*(VLOOKUP(C233,fish_group_yield_n!$A$7:$J$49,7,FALSE)),0)</f>
        <v>9.0960152430427377E-3</v>
      </c>
      <c r="G233" s="1006">
        <f>IFERROR($E233*(VLOOKUP(C233,fish_group_yield_n!$A$7:$J$49,10,FALSE)),0)</f>
        <v>8.756835139318837E-3</v>
      </c>
      <c r="H233" s="1619">
        <f t="shared" si="7"/>
        <v>418.1028571428572</v>
      </c>
      <c r="I233" s="997">
        <f>IF(ISERROR($E233*VLOOKUP($C233,fish_group_yield_w!$A$7:$I$45,9,FALSE)),0,$E233*VLOOKUP($C233,fish_group_yield_w!$A$7:$I$45,9,FALSE))</f>
        <v>2.1419143645960526E-2</v>
      </c>
      <c r="J233" s="998">
        <f>IF(ISERROR($E233*VLOOKUP($C233,fish_group_yield_w!$A$7:$I$45,9,FALSE)),0,$E233*VLOOKUP($C233,fish_group_yield_w!$A$7:$I$45,9,FALSE))</f>
        <v>2.1419143645960526E-2</v>
      </c>
      <c r="L233" s="1586"/>
      <c r="M233" s="1586"/>
      <c r="N233" s="889"/>
    </row>
    <row r="234" spans="1:14" ht="12.75" customHeight="1">
      <c r="A234" s="995" t="s">
        <v>6323</v>
      </c>
      <c r="B234" s="1599">
        <v>303.11</v>
      </c>
      <c r="C234" s="996" t="s">
        <v>3933</v>
      </c>
      <c r="D234" s="996" t="s">
        <v>4845</v>
      </c>
      <c r="E234" s="1006">
        <f t="shared" si="6"/>
        <v>0.44798407167745147</v>
      </c>
      <c r="F234" s="1006">
        <f>IFERROR($E234*(VLOOKUP(C234,fish_group_yield_n!$A$7:$J$49,7,FALSE)),0)</f>
        <v>3.0177068549124286E-2</v>
      </c>
      <c r="G234" s="1006">
        <f>IFERROR($E234*(VLOOKUP(C234,fish_group_yield_n!$A$7:$J$49,10,FALSE)),0)</f>
        <v>1.3111623682066515E-2</v>
      </c>
      <c r="H234" s="1619">
        <f t="shared" si="7"/>
        <v>7542.6788888888887</v>
      </c>
      <c r="I234" s="997">
        <f>IF(ISERROR($E234*VLOOKUP($C234,fish_group_yield_w!$A$7:$I$45,9,FALSE)),0,$E234*VLOOKUP($C234,fish_group_yield_w!$A$7:$I$45,9,FALSE))</f>
        <v>0.17024092368888363</v>
      </c>
      <c r="J234" s="998">
        <f>IF(ISERROR($E234*VLOOKUP($C234,fish_group_yield_w!$A$7:$I$45,9,FALSE)),0,$E234*VLOOKUP($C234,fish_group_yield_w!$A$7:$I$45,9,FALSE))</f>
        <v>0.17024092368888363</v>
      </c>
      <c r="L234" s="1586"/>
      <c r="M234" s="1586"/>
      <c r="N234" s="889"/>
    </row>
    <row r="235" spans="1:14" ht="12.75" customHeight="1">
      <c r="A235" s="995" t="s">
        <v>6324</v>
      </c>
      <c r="B235" s="1599">
        <v>302.23</v>
      </c>
      <c r="C235" s="996" t="s">
        <v>1809</v>
      </c>
      <c r="D235" s="996" t="s">
        <v>4841</v>
      </c>
      <c r="E235" s="1006">
        <f t="shared" si="6"/>
        <v>0.81530260269677024</v>
      </c>
      <c r="F235" s="1006">
        <f>IFERROR($E235*(VLOOKUP(C235,fish_group_yield_n!$A$7:$J$49,7,FALSE)),0)</f>
        <v>0.12727712050516277</v>
      </c>
      <c r="G235" s="1006">
        <f>IFERROR($E235*(VLOOKUP(C235,fish_group_yield_n!$A$7:$J$49,10,FALSE)),0)</f>
        <v>0.12355811353532165</v>
      </c>
      <c r="H235" s="1619">
        <f t="shared" si="7"/>
        <v>582.60576923076917</v>
      </c>
      <c r="I235" s="997">
        <f>IF(ISERROR($E235*VLOOKUP($C235,fish_group_yield_w!$A$7:$I$45,9,FALSE)),0,$E235*VLOOKUP($C235,fish_group_yield_w!$A$7:$I$45,9,FALSE))</f>
        <v>1.1400314722284418E-3</v>
      </c>
      <c r="J235" s="998">
        <f>IF(ISERROR($E235*VLOOKUP($C235,fish_group_yield_w!$A$7:$I$45,9,FALSE)),0,$E235*VLOOKUP($C235,fish_group_yield_w!$A$7:$I$45,9,FALSE))</f>
        <v>1.1400314722284418E-3</v>
      </c>
      <c r="L235" s="1586"/>
      <c r="M235" s="1586"/>
      <c r="N235" s="889"/>
    </row>
    <row r="236" spans="1:14" ht="12.75" customHeight="1">
      <c r="A236" s="995" t="s">
        <v>6325</v>
      </c>
      <c r="B236" s="1599">
        <v>303.33</v>
      </c>
      <c r="C236" s="996" t="s">
        <v>1809</v>
      </c>
      <c r="D236" s="996" t="s">
        <v>4841</v>
      </c>
      <c r="E236" s="1006">
        <f t="shared" si="6"/>
        <v>0.81632653061224481</v>
      </c>
      <c r="F236" s="1006">
        <f>IFERROR($E236*(VLOOKUP(C236,fish_group_yield_n!$A$7:$J$49,7,FALSE)),0)</f>
        <v>0.12743696618240627</v>
      </c>
      <c r="G236" s="1006">
        <f>IFERROR($E236*(VLOOKUP(C236,fish_group_yield_n!$A$7:$J$49,10,FALSE)),0)</f>
        <v>0.12371328856016975</v>
      </c>
      <c r="H236" s="1619">
        <f t="shared" si="7"/>
        <v>749.7</v>
      </c>
      <c r="I236" s="997">
        <f>IF(ISERROR($E236*VLOOKUP($C236,fish_group_yield_w!$A$7:$I$45,9,FALSE)),0,$E236*VLOOKUP($C236,fish_group_yield_w!$A$7:$I$45,9,FALSE))</f>
        <v>1.1414632229E-3</v>
      </c>
      <c r="J236" s="998">
        <f>IF(ISERROR($E236*VLOOKUP($C236,fish_group_yield_w!$A$7:$I$45,9,FALSE)),0,$E236*VLOOKUP($C236,fish_group_yield_w!$A$7:$I$45,9,FALSE))</f>
        <v>1.1414632229E-3</v>
      </c>
    </row>
    <row r="237" spans="1:14" ht="12.75" customHeight="1">
      <c r="A237" s="995" t="s">
        <v>6326</v>
      </c>
      <c r="B237" s="1599">
        <v>301.95</v>
      </c>
      <c r="C237" s="996" t="s">
        <v>2969</v>
      </c>
      <c r="D237" s="996" t="s">
        <v>4859</v>
      </c>
      <c r="E237" s="1006">
        <f t="shared" si="6"/>
        <v>0.85034013605442182</v>
      </c>
      <c r="F237" s="1006">
        <f>IFERROR($E237*(VLOOKUP(C237,fish_group_yield_n!$A$7:$J$49,7,FALSE)),0)</f>
        <v>1.1443760892636962E-2</v>
      </c>
      <c r="G237" s="1006">
        <f>IFERROR($E237*(VLOOKUP(C237,fish_group_yield_n!$A$7:$J$49,10,FALSE)),0)</f>
        <v>1.0879862737877045E-2</v>
      </c>
      <c r="H237" s="1619">
        <f t="shared" si="7"/>
        <v>0</v>
      </c>
      <c r="I237" s="997">
        <f>IF(ISERROR($E237*VLOOKUP($C237,fish_group_yield_w!$A$7:$I$45,9,FALSE)),0,$E237*VLOOKUP($C237,fish_group_yield_w!$A$7:$I$45,9,FALSE))</f>
        <v>6.2604100280453639E-3</v>
      </c>
      <c r="J237" s="998">
        <f>IF(ISERROR($E237*VLOOKUP($C237,fish_group_yield_w!$A$7:$I$45,9,FALSE)),0,$E237*VLOOKUP($C237,fish_group_yield_w!$A$7:$I$45,9,FALSE))</f>
        <v>6.2604100280453639E-3</v>
      </c>
    </row>
    <row r="238" spans="1:14" ht="12.75" customHeight="1">
      <c r="A238" s="995" t="s">
        <v>6327</v>
      </c>
      <c r="B238" s="1599">
        <v>304.20999999999998</v>
      </c>
      <c r="C238" s="996" t="s">
        <v>4228</v>
      </c>
      <c r="D238" s="996" t="s">
        <v>4859</v>
      </c>
      <c r="E238" s="1006">
        <f t="shared" si="6"/>
        <v>0.45248868778280543</v>
      </c>
      <c r="F238" s="1006">
        <f>IFERROR($E238*(VLOOKUP(C238,fish_group_yield_n!$A$7:$J$49,7,FALSE)),0)</f>
        <v>0</v>
      </c>
      <c r="G238" s="1006">
        <f>IFERROR($E238*(VLOOKUP(C238,fish_group_yield_n!$A$7:$J$49,10,FALSE)),0)</f>
        <v>0</v>
      </c>
      <c r="H238" s="1619">
        <f t="shared" si="7"/>
        <v>0</v>
      </c>
      <c r="I238" s="997">
        <f>IF(ISERROR($E238*VLOOKUP($C238,fish_group_yield_w!$A$7:$I$45,9,FALSE)),0,$E238*VLOOKUP($C238,fish_group_yield_w!$A$7:$I$45,9,FALSE))</f>
        <v>0</v>
      </c>
      <c r="J238" s="998">
        <f>IF(ISERROR($E238*VLOOKUP($C238,fish_group_yield_w!$A$7:$I$45,9,FALSE)),0,$E238*VLOOKUP($C238,fish_group_yield_w!$A$7:$I$45,9,FALSE))</f>
        <v>0</v>
      </c>
    </row>
    <row r="239" spans="1:14" ht="12.75" customHeight="1">
      <c r="A239" s="995" t="s">
        <v>6328</v>
      </c>
      <c r="B239" s="1599">
        <v>304.11</v>
      </c>
      <c r="C239" s="996" t="s">
        <v>4228</v>
      </c>
      <c r="D239" s="996" t="s">
        <v>4859</v>
      </c>
      <c r="E239" s="1006">
        <f t="shared" si="6"/>
        <v>0.45248868778280543</v>
      </c>
      <c r="F239" s="1006">
        <f>IFERROR($E239*(VLOOKUP(C239,fish_group_yield_n!$A$7:$J$49,7,FALSE)),0)</f>
        <v>0</v>
      </c>
      <c r="G239" s="1006">
        <f>IFERROR($E239*(VLOOKUP(C239,fish_group_yield_n!$A$7:$J$49,10,FALSE)),0)</f>
        <v>0</v>
      </c>
      <c r="H239" s="1619">
        <f t="shared" si="7"/>
        <v>0</v>
      </c>
      <c r="I239" s="997">
        <f>IF(ISERROR($E239*VLOOKUP($C239,fish_group_yield_w!$A$7:$I$45,9,FALSE)),0,$E239*VLOOKUP($C239,fish_group_yield_w!$A$7:$I$45,9,FALSE))</f>
        <v>0</v>
      </c>
      <c r="J239" s="998">
        <f>IF(ISERROR($E239*VLOOKUP($C239,fish_group_yield_w!$A$7:$I$45,9,FALSE)),0,$E239*VLOOKUP($C239,fish_group_yield_w!$A$7:$I$45,9,FALSE))</f>
        <v>0</v>
      </c>
    </row>
    <row r="240" spans="1:14" ht="12.75" customHeight="1">
      <c r="A240" s="995" t="s">
        <v>6329</v>
      </c>
      <c r="B240" s="1599">
        <v>304.91000000000003</v>
      </c>
      <c r="C240" s="996" t="s">
        <v>4228</v>
      </c>
      <c r="D240" s="996" t="s">
        <v>4859</v>
      </c>
      <c r="E240" s="1006">
        <f t="shared" si="6"/>
        <v>0.68027210884353739</v>
      </c>
      <c r="F240" s="1006">
        <f>IFERROR($E240*(VLOOKUP(C240,fish_group_yield_n!$A$7:$J$49,7,FALSE)),0)</f>
        <v>0</v>
      </c>
      <c r="G240" s="1006">
        <f>IFERROR($E240*(VLOOKUP(C240,fish_group_yield_n!$A$7:$J$49,10,FALSE)),0)</f>
        <v>0</v>
      </c>
      <c r="H240" s="1619">
        <f t="shared" si="7"/>
        <v>273.42</v>
      </c>
      <c r="I240" s="997">
        <f>IF(ISERROR($E240*VLOOKUP($C240,fish_group_yield_w!$A$7:$I$45,9,FALSE)),0,$E240*VLOOKUP($C240,fish_group_yield_w!$A$7:$I$45,9,FALSE))</f>
        <v>0</v>
      </c>
      <c r="J240" s="998">
        <f>IF(ISERROR($E240*VLOOKUP($C240,fish_group_yield_w!$A$7:$I$45,9,FALSE)),0,$E240*VLOOKUP($C240,fish_group_yield_w!$A$7:$I$45,9,FALSE))</f>
        <v>0</v>
      </c>
    </row>
    <row r="241" spans="1:10" ht="12.75" customHeight="1">
      <c r="A241" s="995" t="s">
        <v>8724</v>
      </c>
      <c r="B241" s="1599">
        <v>304.54000000000002</v>
      </c>
      <c r="C241" s="996" t="s">
        <v>4228</v>
      </c>
      <c r="D241" s="996" t="s">
        <v>4859</v>
      </c>
      <c r="E241" s="1006">
        <f t="shared" si="6"/>
        <v>0.45248868778280543</v>
      </c>
      <c r="F241" s="1006">
        <f>IFERROR($E241*(VLOOKUP(C241,fish_group_yield_n!$A$7:$J$49,7,FALSE)),0)</f>
        <v>0</v>
      </c>
      <c r="G241" s="1006">
        <f>IFERROR($E241*(VLOOKUP(C241,fish_group_yield_n!$A$7:$J$49,10,FALSE)),0)</f>
        <v>0</v>
      </c>
      <c r="H241" s="1619">
        <f t="shared" si="7"/>
        <v>139.22999999999999</v>
      </c>
      <c r="I241" s="997">
        <f>IF(ISERROR($E241*VLOOKUP($C241,fish_group_yield_w!$A$7:$I$45,9,FALSE)),0,$E241*VLOOKUP($C241,fish_group_yield_w!$A$7:$I$45,9,FALSE))</f>
        <v>0</v>
      </c>
      <c r="J241" s="998">
        <f>IF(ISERROR($E241*VLOOKUP($C241,fish_group_yield_w!$A$7:$I$45,9,FALSE)),0,$E241*VLOOKUP($C241,fish_group_yield_w!$A$7:$I$45,9,FALSE))</f>
        <v>0</v>
      </c>
    </row>
    <row r="242" spans="1:10" ht="12.75" customHeight="1">
      <c r="A242" s="995" t="s">
        <v>8725</v>
      </c>
      <c r="B242" s="1599">
        <v>304.45</v>
      </c>
      <c r="C242" s="996" t="s">
        <v>4228</v>
      </c>
      <c r="D242" s="996" t="s">
        <v>4859</v>
      </c>
      <c r="E242" s="1006">
        <f t="shared" si="6"/>
        <v>0.45248868778280543</v>
      </c>
      <c r="F242" s="1006">
        <f>IFERROR($E242*(VLOOKUP(C242,fish_group_yield_n!$A$7:$J$49,7,FALSE)),0)</f>
        <v>0</v>
      </c>
      <c r="G242" s="1006">
        <f>IFERROR($E242*(VLOOKUP(C242,fish_group_yield_n!$A$7:$J$49,10,FALSE)),0)</f>
        <v>0</v>
      </c>
      <c r="H242" s="1619">
        <f t="shared" si="7"/>
        <v>68.510000000000005</v>
      </c>
      <c r="I242" s="997">
        <f>IF(ISERROR($E242*VLOOKUP($C242,fish_group_yield_w!$A$7:$I$45,9,FALSE)),0,$E242*VLOOKUP($C242,fish_group_yield_w!$A$7:$I$45,9,FALSE))</f>
        <v>0</v>
      </c>
      <c r="J242" s="998">
        <f>IF(ISERROR($E242*VLOOKUP($C242,fish_group_yield_w!$A$7:$I$45,9,FALSE)),0,$E242*VLOOKUP($C242,fish_group_yield_w!$A$7:$I$45,9,FALSE))</f>
        <v>0</v>
      </c>
    </row>
    <row r="243" spans="1:10" ht="12.75" customHeight="1">
      <c r="A243" s="995" t="s">
        <v>8726</v>
      </c>
      <c r="B243" s="1599">
        <v>304.83999999999997</v>
      </c>
      <c r="C243" s="996" t="s">
        <v>4228</v>
      </c>
      <c r="D243" s="996" t="s">
        <v>4859</v>
      </c>
      <c r="E243" s="1006">
        <f t="shared" si="6"/>
        <v>0.45248868778280543</v>
      </c>
      <c r="F243" s="1006">
        <f>IFERROR($E243*(VLOOKUP(C243,fish_group_yield_n!$A$7:$J$49,7,FALSE)),0)</f>
        <v>0</v>
      </c>
      <c r="G243" s="1006">
        <f>IFERROR($E243*(VLOOKUP(C243,fish_group_yield_n!$A$7:$J$49,10,FALSE)),0)</f>
        <v>0</v>
      </c>
      <c r="H243" s="1619">
        <f t="shared" si="7"/>
        <v>3045.38</v>
      </c>
      <c r="I243" s="997">
        <f>IF(ISERROR($E243*VLOOKUP($C243,fish_group_yield_w!$A$7:$I$45,9,FALSE)),0,$E243*VLOOKUP($C243,fish_group_yield_w!$A$7:$I$45,9,FALSE))</f>
        <v>0</v>
      </c>
      <c r="J243" s="998">
        <f>IF(ISERROR($E243*VLOOKUP($C243,fish_group_yield_w!$A$7:$I$45,9,FALSE)),0,$E243*VLOOKUP($C243,fish_group_yield_w!$A$7:$I$45,9,FALSE))</f>
        <v>0</v>
      </c>
    </row>
    <row r="244" spans="1:10" ht="12.75" customHeight="1">
      <c r="A244" s="995" t="s">
        <v>6330</v>
      </c>
      <c r="B244" s="1599">
        <v>302.67</v>
      </c>
      <c r="C244" s="996" t="s">
        <v>4228</v>
      </c>
      <c r="D244" s="996" t="s">
        <v>4859</v>
      </c>
      <c r="E244" s="1006">
        <f t="shared" si="6"/>
        <v>0.84033613445378152</v>
      </c>
      <c r="F244" s="1006">
        <f>IFERROR($E244*(VLOOKUP(C244,fish_group_yield_n!$A$7:$J$49,7,FALSE)),0)</f>
        <v>0</v>
      </c>
      <c r="G244" s="1006">
        <f>IFERROR($E244*(VLOOKUP(C244,fish_group_yield_n!$A$7:$J$49,10,FALSE)),0)</f>
        <v>0</v>
      </c>
      <c r="H244" s="1619">
        <f t="shared" si="7"/>
        <v>0</v>
      </c>
      <c r="I244" s="997">
        <f>IF(ISERROR($E244*VLOOKUP($C244,fish_group_yield_w!$A$7:$I$45,9,FALSE)),0,$E244*VLOOKUP($C244,fish_group_yield_w!$A$7:$I$45,9,FALSE))</f>
        <v>0</v>
      </c>
      <c r="J244" s="998">
        <f>IF(ISERROR($E244*VLOOKUP($C244,fish_group_yield_w!$A$7:$I$45,9,FALSE)),0,$E244*VLOOKUP($C244,fish_group_yield_w!$A$7:$I$45,9,FALSE))</f>
        <v>0</v>
      </c>
    </row>
    <row r="245" spans="1:10" ht="12.75" customHeight="1">
      <c r="A245" s="995" t="s">
        <v>6330</v>
      </c>
      <c r="B245" s="1599">
        <v>302.47000000000003</v>
      </c>
      <c r="C245" s="996" t="s">
        <v>4228</v>
      </c>
      <c r="D245" s="996" t="s">
        <v>4859</v>
      </c>
      <c r="E245" s="1006">
        <f t="shared" si="6"/>
        <v>0</v>
      </c>
      <c r="F245" s="1006">
        <f>IFERROR($E245*(VLOOKUP(C245,fish_group_yield_n!$A$7:$J$49,7,FALSE)),0)</f>
        <v>0</v>
      </c>
      <c r="G245" s="1006">
        <f>IFERROR($E245*(VLOOKUP(C245,fish_group_yield_n!$A$7:$J$49,10,FALSE)),0)</f>
        <v>0</v>
      </c>
      <c r="H245" s="1619">
        <f t="shared" si="7"/>
        <v>0</v>
      </c>
      <c r="I245" s="997">
        <f>IF(ISERROR($E245*VLOOKUP($C245,fish_group_yield_w!$A$7:$I$45,9,FALSE)),0,$E245*VLOOKUP($C245,fish_group_yield_w!$A$7:$I$45,9,FALSE))</f>
        <v>0</v>
      </c>
      <c r="J245" s="998">
        <f>IF(ISERROR($E245*VLOOKUP($C245,fish_group_yield_w!$A$7:$I$45,9,FALSE)),0,$E245*VLOOKUP($C245,fish_group_yield_w!$A$7:$I$45,9,FALSE))</f>
        <v>0</v>
      </c>
    </row>
    <row r="246" spans="1:10" ht="12.75" customHeight="1">
      <c r="A246" s="995" t="s">
        <v>6331</v>
      </c>
      <c r="B246" s="1599">
        <v>303.61</v>
      </c>
      <c r="C246" s="996" t="s">
        <v>4228</v>
      </c>
      <c r="D246" s="996" t="s">
        <v>4859</v>
      </c>
      <c r="E246" s="1006">
        <f t="shared" si="6"/>
        <v>0.70754716981132071</v>
      </c>
      <c r="F246" s="1006">
        <f>IFERROR($E246*(VLOOKUP(C246,fish_group_yield_n!$A$7:$J$49,7,FALSE)),0)</f>
        <v>0</v>
      </c>
      <c r="G246" s="1006">
        <f>IFERROR($E246*(VLOOKUP(C246,fish_group_yield_n!$A$7:$J$49,10,FALSE)),0)</f>
        <v>0</v>
      </c>
      <c r="H246" s="1619">
        <f t="shared" si="7"/>
        <v>0</v>
      </c>
      <c r="I246" s="997">
        <f>IF(ISERROR($E246*VLOOKUP($C246,fish_group_yield_w!$A$7:$I$45,9,FALSE)),0,$E246*VLOOKUP($C246,fish_group_yield_w!$A$7:$I$45,9,FALSE))</f>
        <v>0</v>
      </c>
      <c r="J246" s="998">
        <f>IF(ISERROR($E246*VLOOKUP($C246,fish_group_yield_w!$A$7:$I$45,9,FALSE)),0,$E246*VLOOKUP($C246,fish_group_yield_w!$A$7:$I$45,9,FALSE))</f>
        <v>0</v>
      </c>
    </row>
    <row r="247" spans="1:10" ht="12.75" customHeight="1">
      <c r="A247" s="995" t="s">
        <v>6331</v>
      </c>
      <c r="B247" s="1599">
        <v>303.57</v>
      </c>
      <c r="C247" s="996" t="s">
        <v>4228</v>
      </c>
      <c r="D247" s="996" t="s">
        <v>4859</v>
      </c>
      <c r="E247" s="1006">
        <f t="shared" si="6"/>
        <v>0</v>
      </c>
      <c r="F247" s="1006">
        <f>IFERROR($E247*(VLOOKUP(C247,fish_group_yield_n!$A$7:$J$49,7,FALSE)),0)</f>
        <v>0</v>
      </c>
      <c r="G247" s="1006">
        <f>IFERROR($E247*(VLOOKUP(C247,fish_group_yield_n!$A$7:$J$49,10,FALSE)),0)</f>
        <v>0</v>
      </c>
      <c r="H247" s="1619">
        <f t="shared" si="7"/>
        <v>0</v>
      </c>
      <c r="I247" s="997">
        <f>IF(ISERROR($E247*VLOOKUP($C247,fish_group_yield_w!$A$7:$I$45,9,FALSE)),0,$E247*VLOOKUP($C247,fish_group_yield_w!$A$7:$I$45,9,FALSE))</f>
        <v>0</v>
      </c>
      <c r="J247" s="998">
        <f>IF(ISERROR($E247*VLOOKUP($C247,fish_group_yield_w!$A$7:$I$45,9,FALSE)),0,$E247*VLOOKUP($C247,fish_group_yield_w!$A$7:$I$45,9,FALSE))</f>
        <v>0</v>
      </c>
    </row>
    <row r="248" spans="1:10" ht="12.75" customHeight="1">
      <c r="A248" s="995" t="s">
        <v>8631</v>
      </c>
      <c r="B248" s="1599">
        <v>304.31</v>
      </c>
      <c r="C248" s="996" t="s">
        <v>1806</v>
      </c>
      <c r="D248" s="996" t="s">
        <v>4845</v>
      </c>
      <c r="E248" s="1006">
        <f t="shared" si="6"/>
        <v>0.50820469632624188</v>
      </c>
      <c r="F248" s="1006">
        <f>IFERROR($E248*(VLOOKUP(C248,fish_group_yield_n!$A$7:$J$49,7,FALSE)),0)</f>
        <v>5.2619654448995384E-2</v>
      </c>
      <c r="G248" s="1006">
        <f>IFERROR($E248*(VLOOKUP(C248,fish_group_yield_n!$A$7:$J$49,10,FALSE)),0)</f>
        <v>6.557211209160925E-2</v>
      </c>
      <c r="H248" s="1619">
        <f t="shared" si="7"/>
        <v>52663.818720043579</v>
      </c>
      <c r="I248" s="997">
        <f>IF(ISERROR($E248*VLOOKUP($C248,fish_group_yield_w!$A$7:$I$45,9,FALSE)),0,$E248*VLOOKUP($C248,fish_group_yield_w!$A$7:$I$45,9,FALSE))</f>
        <v>0.12786753833873774</v>
      </c>
      <c r="J248" s="998">
        <f>IF(ISERROR($E248*VLOOKUP($C248,fish_group_yield_w!$A$7:$I$45,9,FALSE)),0,$E248*VLOOKUP($C248,fish_group_yield_w!$A$7:$I$45,9,FALSE))</f>
        <v>0.12786753833873774</v>
      </c>
    </row>
    <row r="249" spans="1:10" ht="12.75" customHeight="1">
      <c r="A249" s="995" t="s">
        <v>8641</v>
      </c>
      <c r="B249" s="1599">
        <v>304.61</v>
      </c>
      <c r="C249" s="996" t="s">
        <v>1806</v>
      </c>
      <c r="D249" s="996" t="s">
        <v>4845</v>
      </c>
      <c r="E249" s="1006">
        <f t="shared" si="6"/>
        <v>0.50820469632624188</v>
      </c>
      <c r="F249" s="1006">
        <f>IFERROR($E249*(VLOOKUP(C249,fish_group_yield_n!$A$7:$J$49,7,FALSE)),0)</f>
        <v>5.2619654448995384E-2</v>
      </c>
      <c r="G249" s="1006">
        <f>IFERROR($E249*(VLOOKUP(C249,fish_group_yield_n!$A$7:$J$49,10,FALSE)),0)</f>
        <v>6.557211209160925E-2</v>
      </c>
      <c r="H249" s="1619">
        <f t="shared" si="7"/>
        <v>315746.78699346411</v>
      </c>
      <c r="I249" s="997">
        <f>IF(ISERROR($E249*VLOOKUP($C249,fish_group_yield_w!$A$7:$I$45,9,FALSE)),0,$E249*VLOOKUP($C249,fish_group_yield_w!$A$7:$I$45,9,FALSE))</f>
        <v>0.12786753833873774</v>
      </c>
      <c r="J249" s="998">
        <f>IF(ISERROR($E249*VLOOKUP($C249,fish_group_yield_w!$A$7:$I$45,9,FALSE)),0,$E249*VLOOKUP($C249,fish_group_yield_w!$A$7:$I$45,9,FALSE))</f>
        <v>0.12786753833873774</v>
      </c>
    </row>
    <row r="250" spans="1:10" ht="12.75" customHeight="1">
      <c r="A250" s="995" t="s">
        <v>8695</v>
      </c>
      <c r="B250" s="1599">
        <v>302.70999999999998</v>
      </c>
      <c r="C250" s="996" t="s">
        <v>1806</v>
      </c>
      <c r="D250" s="996" t="s">
        <v>4845</v>
      </c>
      <c r="E250" s="1006">
        <f t="shared" si="6"/>
        <v>0.64516129032258063</v>
      </c>
      <c r="F250" s="1006">
        <f>IFERROR($E250*(VLOOKUP(C250,fish_group_yield_n!$A$7:$J$49,7,FALSE)),0)</f>
        <v>6.6800177971691091E-2</v>
      </c>
      <c r="G250" s="1006">
        <f>IFERROR($E250*(VLOOKUP(C250,fish_group_yield_n!$A$7:$J$49,10,FALSE)),0)</f>
        <v>8.3243206432398048E-2</v>
      </c>
      <c r="H250" s="1619">
        <f t="shared" si="7"/>
        <v>708.35</v>
      </c>
      <c r="I250" s="997">
        <f>IF(ISERROR($E250*VLOOKUP($C250,fish_group_yield_w!$A$7:$I$45,9,FALSE)),0,$E250*VLOOKUP($C250,fish_group_yield_w!$A$7:$I$45,9,FALSE))</f>
        <v>0.16232668966135316</v>
      </c>
      <c r="J250" s="998">
        <f>IF(ISERROR($E250*VLOOKUP($C250,fish_group_yield_w!$A$7:$I$45,9,FALSE)),0,$E250*VLOOKUP($C250,fish_group_yield_w!$A$7:$I$45,9,FALSE))</f>
        <v>0.16232668966135316</v>
      </c>
    </row>
    <row r="251" spans="1:10" ht="12.75" customHeight="1">
      <c r="A251" s="995" t="s">
        <v>8711</v>
      </c>
      <c r="B251" s="1599">
        <v>303.23</v>
      </c>
      <c r="C251" s="996" t="s">
        <v>1806</v>
      </c>
      <c r="D251" s="996" t="s">
        <v>4845</v>
      </c>
      <c r="E251" s="1006">
        <f t="shared" si="6"/>
        <v>0.5524861878453039</v>
      </c>
      <c r="F251" s="1006">
        <f>IFERROR($E251*(VLOOKUP(C251,fish_group_yield_n!$A$7:$J$49,7,FALSE)),0)</f>
        <v>5.7204572296199553E-2</v>
      </c>
      <c r="G251" s="1006">
        <f>IFERROR($E251*(VLOOKUP(C251,fish_group_yield_n!$A$7:$J$49,10,FALSE)),0)</f>
        <v>7.1285618768075681E-2</v>
      </c>
      <c r="H251" s="1619">
        <f t="shared" si="7"/>
        <v>75610.94</v>
      </c>
      <c r="I251" s="997">
        <f>IF(ISERROR($E251*VLOOKUP($C251,fish_group_yield_w!$A$7:$I$45,9,FALSE)),0,$E251*VLOOKUP($C251,fish_group_yield_w!$A$7:$I$45,9,FALSE))</f>
        <v>0.13900904363265051</v>
      </c>
      <c r="J251" s="998">
        <f>IF(ISERROR($E251*VLOOKUP($C251,fish_group_yield_w!$A$7:$I$45,9,FALSE)),0,$E251*VLOOKUP($C251,fish_group_yield_w!$A$7:$I$45,9,FALSE))</f>
        <v>0.13900904363265051</v>
      </c>
    </row>
    <row r="252" spans="1:10" ht="12.75" customHeight="1">
      <c r="A252" s="995" t="s">
        <v>8712</v>
      </c>
      <c r="B252" s="1599">
        <v>304.93</v>
      </c>
      <c r="C252" s="996" t="s">
        <v>1806</v>
      </c>
      <c r="D252" s="996" t="s">
        <v>4845</v>
      </c>
      <c r="E252" s="1006">
        <f t="shared" si="6"/>
        <v>0.5524861878453039</v>
      </c>
      <c r="F252" s="1006">
        <f>IFERROR($E252*(VLOOKUP(C252,fish_group_yield_n!$A$7:$J$49,7,FALSE)),0)</f>
        <v>5.7204572296199553E-2</v>
      </c>
      <c r="G252" s="1006">
        <f>IFERROR($E252*(VLOOKUP(C252,fish_group_yield_n!$A$7:$J$49,10,FALSE)),0)</f>
        <v>7.1285618768075681E-2</v>
      </c>
      <c r="H252" s="1619">
        <f t="shared" si="7"/>
        <v>2657.08</v>
      </c>
      <c r="I252" s="997">
        <f>IF(ISERROR($E252*VLOOKUP($C252,fish_group_yield_w!$A$7:$I$45,9,FALSE)),0,$E252*VLOOKUP($C252,fish_group_yield_w!$A$7:$I$45,9,FALSE))</f>
        <v>0.13900904363265051</v>
      </c>
      <c r="J252" s="998">
        <f>IF(ISERROR($E252*VLOOKUP($C252,fish_group_yield_w!$A$7:$I$45,9,FALSE)),0,$E252*VLOOKUP($C252,fish_group_yield_w!$A$7:$I$45,9,FALSE))</f>
        <v>0.13900904363265051</v>
      </c>
    </row>
    <row r="253" spans="1:10" ht="12.75" customHeight="1">
      <c r="A253" s="995" t="s">
        <v>8732</v>
      </c>
      <c r="B253" s="1599">
        <v>305.31</v>
      </c>
      <c r="C253" s="996" t="s">
        <v>1806</v>
      </c>
      <c r="D253" s="996" t="s">
        <v>4845</v>
      </c>
      <c r="E253" s="1006">
        <f t="shared" si="6"/>
        <v>0.5524861878453039</v>
      </c>
      <c r="F253" s="1006">
        <f>IFERROR($E253*(VLOOKUP(C253,fish_group_yield_n!$A$7:$J$49,7,FALSE)),0)</f>
        <v>5.7204572296199553E-2</v>
      </c>
      <c r="G253" s="1006">
        <f>IFERROR($E253*(VLOOKUP(C253,fish_group_yield_n!$A$7:$J$49,10,FALSE)),0)</f>
        <v>7.1285618768075681E-2</v>
      </c>
      <c r="H253" s="1619">
        <f t="shared" si="7"/>
        <v>3677.9199999999996</v>
      </c>
      <c r="I253" s="997">
        <f>IF(ISERROR($E253*VLOOKUP($C253,fish_group_yield_w!$A$7:$I$45,9,FALSE)),0,$E253*VLOOKUP($C253,fish_group_yield_w!$A$7:$I$45,9,FALSE))</f>
        <v>0.13900904363265051</v>
      </c>
      <c r="J253" s="998">
        <f>IF(ISERROR($E253*VLOOKUP($C253,fish_group_yield_w!$A$7:$I$45,9,FALSE)),0,$E253*VLOOKUP($C253,fish_group_yield_w!$A$7:$I$45,9,FALSE))</f>
        <v>0.13900904363265051</v>
      </c>
    </row>
    <row r="254" spans="1:10" ht="12.75" customHeight="1">
      <c r="A254" s="995" t="s">
        <v>8733</v>
      </c>
      <c r="B254" s="1599">
        <v>305.44</v>
      </c>
      <c r="C254" s="996" t="s">
        <v>1806</v>
      </c>
      <c r="D254" s="996" t="s">
        <v>4845</v>
      </c>
      <c r="E254" s="1006">
        <f t="shared" si="6"/>
        <v>0.5524861878453039</v>
      </c>
      <c r="F254" s="1006">
        <f>IFERROR($E254*(VLOOKUP(C254,fish_group_yield_n!$A$7:$J$49,7,FALSE)),0)</f>
        <v>5.7204572296199553E-2</v>
      </c>
      <c r="G254" s="1006">
        <f>IFERROR($E254*(VLOOKUP(C254,fish_group_yield_n!$A$7:$J$49,10,FALSE)),0)</f>
        <v>7.1285618768075681E-2</v>
      </c>
      <c r="H254" s="1619">
        <f t="shared" si="7"/>
        <v>52.489999999999995</v>
      </c>
      <c r="I254" s="997">
        <f>IF(ISERROR($E254*VLOOKUP($C254,fish_group_yield_w!$A$7:$I$45,9,FALSE)),0,$E254*VLOOKUP($C254,fish_group_yield_w!$A$7:$I$45,9,FALSE))</f>
        <v>0.13900904363265051</v>
      </c>
      <c r="J254" s="998">
        <f>IF(ISERROR($E254*VLOOKUP($C254,fish_group_yield_w!$A$7:$I$45,9,FALSE)),0,$E254*VLOOKUP($C254,fish_group_yield_w!$A$7:$I$45,9,FALSE))</f>
        <v>0.13900904363265051</v>
      </c>
    </row>
    <row r="255" spans="1:10" ht="12.75" customHeight="1">
      <c r="A255" s="995" t="s">
        <v>8734</v>
      </c>
      <c r="B255" s="1599">
        <v>305.64</v>
      </c>
      <c r="C255" s="996" t="s">
        <v>1806</v>
      </c>
      <c r="D255" s="996" t="s">
        <v>4845</v>
      </c>
      <c r="E255" s="1006">
        <f t="shared" si="6"/>
        <v>0.5524861878453039</v>
      </c>
      <c r="F255" s="1006">
        <f>IFERROR($E255*(VLOOKUP(C255,fish_group_yield_n!$A$7:$J$49,7,FALSE)),0)</f>
        <v>5.7204572296199553E-2</v>
      </c>
      <c r="G255" s="1006">
        <f>IFERROR($E255*(VLOOKUP(C255,fish_group_yield_n!$A$7:$J$49,10,FALSE)),0)</f>
        <v>7.1285618768075681E-2</v>
      </c>
      <c r="H255" s="1619">
        <f t="shared" si="7"/>
        <v>613.58999999999992</v>
      </c>
      <c r="I255" s="997">
        <f>IF(ISERROR($E255*VLOOKUP($C255,fish_group_yield_w!$A$7:$I$45,9,FALSE)),0,$E255*VLOOKUP($C255,fish_group_yield_w!$A$7:$I$45,9,FALSE))</f>
        <v>0.13900904363265051</v>
      </c>
      <c r="J255" s="998">
        <f>IF(ISERROR($E255*VLOOKUP($C255,fish_group_yield_w!$A$7:$I$45,9,FALSE)),0,$E255*VLOOKUP($C255,fish_group_yield_w!$A$7:$I$45,9,FALSE))</f>
        <v>0.13900904363265051</v>
      </c>
    </row>
    <row r="256" spans="1:10" ht="12.75" customHeight="1">
      <c r="A256" s="995" t="s">
        <v>6332</v>
      </c>
      <c r="B256" s="1599">
        <v>304.22000000000003</v>
      </c>
      <c r="C256" s="996" t="s">
        <v>4208</v>
      </c>
      <c r="D256" s="996" t="s">
        <v>4841</v>
      </c>
      <c r="E256" s="1006">
        <f t="shared" si="6"/>
        <v>0.45454545454545453</v>
      </c>
      <c r="F256" s="1006">
        <f>IFERROR($E256*(VLOOKUP(C256,fish_group_yield_n!$A$7:$J$49,7,FALSE)),0)</f>
        <v>1.1395875958350603E-2</v>
      </c>
      <c r="G256" s="1006">
        <f>IFERROR($E256*(VLOOKUP(C256,fish_group_yield_n!$A$7:$J$49,10,FALSE)),0)</f>
        <v>1.1395875958350603E-2</v>
      </c>
      <c r="H256" s="1619">
        <f t="shared" si="7"/>
        <v>0</v>
      </c>
      <c r="I256" s="997">
        <f>IF(ISERROR($E256*VLOOKUP($C256,fish_group_yield_w!$A$7:$I$45,9,FALSE)),0,$E256*VLOOKUP($C256,fish_group_yield_w!$A$7:$I$45,9,FALSE))</f>
        <v>0</v>
      </c>
      <c r="J256" s="998">
        <f>IF(ISERROR($E256*VLOOKUP($C256,fish_group_yield_w!$A$7:$I$45,9,FALSE)),0,$E256*VLOOKUP($C256,fish_group_yield_w!$A$7:$I$45,9,FALSE))</f>
        <v>0</v>
      </c>
    </row>
    <row r="257" spans="1:10" ht="12.75" customHeight="1">
      <c r="A257" s="995" t="s">
        <v>6333</v>
      </c>
      <c r="B257" s="1599">
        <v>304.12</v>
      </c>
      <c r="C257" s="996" t="s">
        <v>4208</v>
      </c>
      <c r="D257" s="996" t="s">
        <v>4841</v>
      </c>
      <c r="E257" s="1006">
        <f t="shared" si="6"/>
        <v>0.37037037037037035</v>
      </c>
      <c r="F257" s="1006">
        <f>IFERROR($E257*(VLOOKUP(C257,fish_group_yield_n!$A$7:$J$49,7,FALSE)),0)</f>
        <v>9.285528558656048E-3</v>
      </c>
      <c r="G257" s="1006">
        <f>IFERROR($E257*(VLOOKUP(C257,fish_group_yield_n!$A$7:$J$49,10,FALSE)),0)</f>
        <v>9.285528558656048E-3</v>
      </c>
      <c r="H257" s="1619">
        <f t="shared" si="7"/>
        <v>0</v>
      </c>
      <c r="I257" s="997">
        <f>IF(ISERROR($E257*VLOOKUP($C257,fish_group_yield_w!$A$7:$I$45,9,FALSE)),0,$E257*VLOOKUP($C257,fish_group_yield_w!$A$7:$I$45,9,FALSE))</f>
        <v>0</v>
      </c>
      <c r="J257" s="998">
        <f>IF(ISERROR($E257*VLOOKUP($C257,fish_group_yield_w!$A$7:$I$45,9,FALSE)),0,$E257*VLOOKUP($C257,fish_group_yield_w!$A$7:$I$45,9,FALSE))</f>
        <v>0</v>
      </c>
    </row>
    <row r="258" spans="1:10" ht="12.75" customHeight="1">
      <c r="A258" s="995" t="s">
        <v>6334</v>
      </c>
      <c r="B258" s="1599">
        <v>304.92</v>
      </c>
      <c r="C258" s="996" t="s">
        <v>4208</v>
      </c>
      <c r="D258" s="996" t="s">
        <v>4841</v>
      </c>
      <c r="E258" s="1006">
        <f t="shared" si="6"/>
        <v>0.625</v>
      </c>
      <c r="F258" s="1006">
        <f>IFERROR($E258*(VLOOKUP(C258,fish_group_yield_n!$A$7:$J$49,7,FALSE)),0)</f>
        <v>1.5669329442732079E-2</v>
      </c>
      <c r="G258" s="1006">
        <f>IFERROR($E258*(VLOOKUP(C258,fish_group_yield_n!$A$7:$J$49,10,FALSE)),0)</f>
        <v>1.5669329442732079E-2</v>
      </c>
      <c r="H258" s="1619">
        <f t="shared" si="7"/>
        <v>3324.8</v>
      </c>
      <c r="I258" s="997">
        <f>IF(ISERROR($E258*VLOOKUP($C258,fish_group_yield_w!$A$7:$I$45,9,FALSE)),0,$E258*VLOOKUP($C258,fish_group_yield_w!$A$7:$I$45,9,FALSE))</f>
        <v>0</v>
      </c>
      <c r="J258" s="998">
        <f>IF(ISERROR($E258*VLOOKUP($C258,fish_group_yield_w!$A$7:$I$45,9,FALSE)),0,$E258*VLOOKUP($C258,fish_group_yield_w!$A$7:$I$45,9,FALSE))</f>
        <v>0</v>
      </c>
    </row>
    <row r="259" spans="1:10" ht="12.75" customHeight="1">
      <c r="A259" s="995" t="s">
        <v>8735</v>
      </c>
      <c r="B259" s="1599">
        <v>302.83</v>
      </c>
      <c r="C259" s="996" t="s">
        <v>4208</v>
      </c>
      <c r="D259" s="996" t="s">
        <v>4841</v>
      </c>
      <c r="E259" s="1006">
        <f t="shared" si="6"/>
        <v>0.63643595863166269</v>
      </c>
      <c r="F259" s="1006">
        <f>IFERROR($E259*(VLOOKUP(C259,fish_group_yield_n!$A$7:$J$49,7,FALSE)),0)</f>
        <v>1.5956039528000846E-2</v>
      </c>
      <c r="G259" s="1006">
        <f>IFERROR($E259*(VLOOKUP(C259,fish_group_yield_n!$A$7:$J$49,10,FALSE)),0)</f>
        <v>1.5956039528000846E-2</v>
      </c>
      <c r="H259" s="1619">
        <f t="shared" si="7"/>
        <v>366.10124999999999</v>
      </c>
      <c r="I259" s="997">
        <f>IF(ISERROR($E259*VLOOKUP($C259,fish_group_yield_w!$A$7:$I$45,9,FALSE)),0,$E259*VLOOKUP($C259,fish_group_yield_w!$A$7:$I$45,9,FALSE))</f>
        <v>0</v>
      </c>
      <c r="J259" s="998">
        <f>IF(ISERROR($E259*VLOOKUP($C259,fish_group_yield_w!$A$7:$I$45,9,FALSE)),0,$E259*VLOOKUP($C259,fish_group_yield_w!$A$7:$I$45,9,FALSE))</f>
        <v>0</v>
      </c>
    </row>
    <row r="260" spans="1:10" ht="12.75" customHeight="1">
      <c r="A260" s="995" t="s">
        <v>8736</v>
      </c>
      <c r="B260" s="1599">
        <v>304.45999999999998</v>
      </c>
      <c r="C260" s="996" t="s">
        <v>4208</v>
      </c>
      <c r="D260" s="996" t="s">
        <v>4841</v>
      </c>
      <c r="E260" s="1006">
        <f t="shared" si="6"/>
        <v>0.37037037037037035</v>
      </c>
      <c r="F260" s="1006">
        <f>IFERROR($E260*(VLOOKUP(C260,fish_group_yield_n!$A$7:$J$49,7,FALSE)),0)</f>
        <v>9.285528558656048E-3</v>
      </c>
      <c r="G260" s="1006">
        <f>IFERROR($E260*(VLOOKUP(C260,fish_group_yield_n!$A$7:$J$49,10,FALSE)),0)</f>
        <v>9.285528558656048E-3</v>
      </c>
      <c r="H260" s="1619">
        <f t="shared" si="7"/>
        <v>213.3</v>
      </c>
      <c r="I260" s="997">
        <f>IF(ISERROR($E260*VLOOKUP($C260,fish_group_yield_w!$A$7:$I$45,9,FALSE)),0,$E260*VLOOKUP($C260,fish_group_yield_w!$A$7:$I$45,9,FALSE))</f>
        <v>0</v>
      </c>
      <c r="J260" s="998">
        <f>IF(ISERROR($E260*VLOOKUP($C260,fish_group_yield_w!$A$7:$I$45,9,FALSE)),0,$E260*VLOOKUP($C260,fish_group_yield_w!$A$7:$I$45,9,FALSE))</f>
        <v>0</v>
      </c>
    </row>
    <row r="261" spans="1:10" ht="12.75" customHeight="1">
      <c r="A261" s="995" t="s">
        <v>8737</v>
      </c>
      <c r="B261" s="1599">
        <v>304.85000000000002</v>
      </c>
      <c r="C261" s="996" t="s">
        <v>4208</v>
      </c>
      <c r="D261" s="996" t="s">
        <v>4841</v>
      </c>
      <c r="E261" s="1006">
        <f t="shared" si="6"/>
        <v>0.45454545454545453</v>
      </c>
      <c r="F261" s="1006">
        <f>IFERROR($E261*(VLOOKUP(C261,fish_group_yield_n!$A$7:$J$49,7,FALSE)),0)</f>
        <v>1.1395875958350603E-2</v>
      </c>
      <c r="G261" s="1006">
        <f>IFERROR($E261*(VLOOKUP(C261,fish_group_yield_n!$A$7:$J$49,10,FALSE)),0)</f>
        <v>1.1395875958350603E-2</v>
      </c>
      <c r="H261" s="1619">
        <f t="shared" si="7"/>
        <v>3128.4</v>
      </c>
      <c r="I261" s="997">
        <f>IF(ISERROR($E261*VLOOKUP($C261,fish_group_yield_w!$A$7:$I$45,9,FALSE)),0,$E261*VLOOKUP($C261,fish_group_yield_w!$A$7:$I$45,9,FALSE))</f>
        <v>0</v>
      </c>
      <c r="J261" s="998">
        <f>IF(ISERROR($E261*VLOOKUP($C261,fish_group_yield_w!$A$7:$I$45,9,FALSE)),0,$E261*VLOOKUP($C261,fish_group_yield_w!$A$7:$I$45,9,FALSE))</f>
        <v>0</v>
      </c>
    </row>
    <row r="262" spans="1:10" ht="12.75" customHeight="1">
      <c r="A262" s="995" t="s">
        <v>1913</v>
      </c>
      <c r="B262" s="1599">
        <v>302.68</v>
      </c>
      <c r="C262" s="996" t="s">
        <v>4208</v>
      </c>
      <c r="D262" s="996" t="s">
        <v>4841</v>
      </c>
      <c r="E262" s="1006">
        <f t="shared" si="6"/>
        <v>0.83333333333333337</v>
      </c>
      <c r="F262" s="1006">
        <f>IFERROR($E262*(VLOOKUP(C262,fish_group_yield_n!$A$7:$J$49,7,FALSE)),0)</f>
        <v>2.0892439256976109E-2</v>
      </c>
      <c r="G262" s="1006">
        <f>IFERROR($E262*(VLOOKUP(C262,fish_group_yield_n!$A$7:$J$49,10,FALSE)),0)</f>
        <v>2.0892439256976109E-2</v>
      </c>
      <c r="H262" s="1619">
        <f t="shared" si="7"/>
        <v>0</v>
      </c>
      <c r="I262" s="997">
        <f>IF(ISERROR($E262*VLOOKUP($C262,fish_group_yield_w!$A$7:$I$45,9,FALSE)),0,$E262*VLOOKUP($C262,fish_group_yield_w!$A$7:$I$45,9,FALSE))</f>
        <v>0</v>
      </c>
      <c r="J262" s="998">
        <f>IF(ISERROR($E262*VLOOKUP($C262,fish_group_yield_w!$A$7:$I$45,9,FALSE)),0,$E262*VLOOKUP($C262,fish_group_yield_w!$A$7:$I$45,9,FALSE))</f>
        <v>0</v>
      </c>
    </row>
    <row r="263" spans="1:10" ht="12.75" customHeight="1">
      <c r="A263" s="995" t="s">
        <v>1911</v>
      </c>
      <c r="B263" s="1599">
        <v>303.62</v>
      </c>
      <c r="C263" s="996" t="s">
        <v>4208</v>
      </c>
      <c r="D263" s="996" t="s">
        <v>4841</v>
      </c>
      <c r="E263" s="1006">
        <f t="shared" ref="E263:E278" si="8">IFERROR(1/VLOOKUP(B263,constant_fish_extr,2,FALSE),0)</f>
        <v>0.7407407407407407</v>
      </c>
      <c r="F263" s="1006">
        <f>IFERROR($E263*(VLOOKUP(C263,fish_group_yield_n!$A$7:$J$49,7,FALSE)),0)</f>
        <v>1.8571057117312096E-2</v>
      </c>
      <c r="G263" s="1006">
        <f>IFERROR($E263*(VLOOKUP(C263,fish_group_yield_n!$A$7:$J$49,10,FALSE)),0)</f>
        <v>1.8571057117312096E-2</v>
      </c>
      <c r="H263" s="1619">
        <f t="shared" ref="H263:H278" si="9">IF(ISERROR(VLOOKUP(B263,tbl_figis_commodity,2,FALSE)/E263),0,VLOOKUP(B263,tbl_figis_commodity,2,FALSE)/E263)</f>
        <v>0</v>
      </c>
      <c r="I263" s="997">
        <f>IF(ISERROR($E263*VLOOKUP($C263,fish_group_yield_w!$A$7:$I$45,9,FALSE)),0,$E263*VLOOKUP($C263,fish_group_yield_w!$A$7:$I$45,9,FALSE))</f>
        <v>0</v>
      </c>
      <c r="J263" s="998">
        <f>IF(ISERROR($E263*VLOOKUP($C263,fish_group_yield_w!$A$7:$I$45,9,FALSE)),0,$E263*VLOOKUP($C263,fish_group_yield_w!$A$7:$I$45,9,FALSE))</f>
        <v>0</v>
      </c>
    </row>
    <row r="264" spans="1:10" ht="12.75" customHeight="1">
      <c r="A264" s="995" t="s">
        <v>1911</v>
      </c>
      <c r="B264" s="1599">
        <v>303.83</v>
      </c>
      <c r="C264" s="996" t="s">
        <v>4208</v>
      </c>
      <c r="D264" s="996" t="s">
        <v>4841</v>
      </c>
      <c r="E264" s="1006">
        <f t="shared" si="8"/>
        <v>0</v>
      </c>
      <c r="F264" s="1006">
        <f>IFERROR($E264*(VLOOKUP(C264,fish_group_yield_n!$A$7:$J$49,7,FALSE)),0)</f>
        <v>0</v>
      </c>
      <c r="G264" s="1006">
        <f>IFERROR($E264*(VLOOKUP(C264,fish_group_yield_n!$A$7:$J$49,10,FALSE)),0)</f>
        <v>0</v>
      </c>
      <c r="H264" s="1619">
        <f t="shared" si="9"/>
        <v>0</v>
      </c>
      <c r="I264" s="997">
        <f>IF(ISERROR($E264*VLOOKUP($C264,fish_group_yield_w!$A$7:$I$45,9,FALSE)),0,$E264*VLOOKUP($C264,fish_group_yield_w!$A$7:$I$45,9,FALSE))</f>
        <v>0</v>
      </c>
      <c r="J264" s="998">
        <f>IF(ISERROR($E264*VLOOKUP($C264,fish_group_yield_w!$A$7:$I$45,9,FALSE)),0,$E264*VLOOKUP($C264,fish_group_yield_w!$A$7:$I$45,9,FALSE))</f>
        <v>0</v>
      </c>
    </row>
    <row r="265" spans="1:10" ht="12.75" customHeight="1">
      <c r="A265" s="995" t="s">
        <v>8738</v>
      </c>
      <c r="B265" s="1599">
        <v>304.55</v>
      </c>
      <c r="C265" s="996" t="s">
        <v>4208</v>
      </c>
      <c r="D265" s="996" t="s">
        <v>4841</v>
      </c>
      <c r="E265" s="1006">
        <f t="shared" si="8"/>
        <v>0.37037037037037035</v>
      </c>
      <c r="F265" s="1006">
        <f>IFERROR($E265*(VLOOKUP(C265,fish_group_yield_n!$A$7:$J$49,7,FALSE)),0)</f>
        <v>9.285528558656048E-3</v>
      </c>
      <c r="G265" s="1006">
        <f>IFERROR($E265*(VLOOKUP(C265,fish_group_yield_n!$A$7:$J$49,10,FALSE)),0)</f>
        <v>9.285528558656048E-3</v>
      </c>
      <c r="H265" s="1619">
        <f t="shared" si="9"/>
        <v>2.7</v>
      </c>
      <c r="I265" s="997">
        <f>IF(ISERROR($E265*VLOOKUP($C265,fish_group_yield_w!$A$7:$I$45,9,FALSE)),0,$E265*VLOOKUP($C265,fish_group_yield_w!$A$7:$I$45,9,FALSE))</f>
        <v>0</v>
      </c>
      <c r="J265" s="998">
        <f>IF(ISERROR($E265*VLOOKUP($C265,fish_group_yield_w!$A$7:$I$45,9,FALSE)),0,$E265*VLOOKUP($C265,fish_group_yield_w!$A$7:$I$45,9,FALSE))</f>
        <v>0</v>
      </c>
    </row>
    <row r="266" spans="1:10" ht="12.75" customHeight="1">
      <c r="A266" s="995" t="s">
        <v>6335</v>
      </c>
      <c r="B266" s="1599">
        <v>302.11</v>
      </c>
      <c r="C266" s="996" t="s">
        <v>2442</v>
      </c>
      <c r="D266" s="996" t="s">
        <v>4845</v>
      </c>
      <c r="E266" s="1006">
        <f t="shared" si="8"/>
        <v>0.63643595863166269</v>
      </c>
      <c r="F266" s="1006">
        <f>IFERROR($E266*(VLOOKUP(C266,fish_group_yield_n!$A$7:$J$49,7,FALSE)),0)</f>
        <v>0.15188842024854002</v>
      </c>
      <c r="G266" s="1006">
        <f>IFERROR($E266*(VLOOKUP(C266,fish_group_yield_n!$A$7:$J$49,10,FALSE)),0)</f>
        <v>0.21614713489188722</v>
      </c>
      <c r="H266" s="1619">
        <f t="shared" si="9"/>
        <v>3186.4949999999999</v>
      </c>
      <c r="I266" s="997">
        <f>IF(ISERROR($E266*VLOOKUP($C266,fish_group_yield_w!$A$7:$I$45,9,FALSE)),0,$E266*VLOOKUP($C266,fish_group_yield_w!$A$7:$I$45,9,FALSE))</f>
        <v>0.41940763427574629</v>
      </c>
      <c r="J266" s="998">
        <f>IF(ISERROR($E266*VLOOKUP($C266,fish_group_yield_w!$A$7:$I$45,9,FALSE)),0,$E266*VLOOKUP($C266,fish_group_yield_w!$A$7:$I$45,9,FALSE))</f>
        <v>0.41940763427574629</v>
      </c>
    </row>
    <row r="267" spans="1:10" ht="12.75" customHeight="1">
      <c r="A267" s="995" t="s">
        <v>6336</v>
      </c>
      <c r="B267" s="1599">
        <v>301.91000000000003</v>
      </c>
      <c r="C267" s="996" t="s">
        <v>2442</v>
      </c>
      <c r="D267" s="996" t="s">
        <v>4845</v>
      </c>
      <c r="E267" s="1006">
        <f t="shared" si="8"/>
        <v>0.63643595863166269</v>
      </c>
      <c r="F267" s="1006">
        <f>IFERROR($E267*(VLOOKUP(C267,fish_group_yield_n!$A$7:$J$49,7,FALSE)),0)</f>
        <v>0.15188842024854002</v>
      </c>
      <c r="G267" s="1006">
        <f>IFERROR($E267*(VLOOKUP(C267,fish_group_yield_n!$A$7:$J$49,10,FALSE)),0)</f>
        <v>0.21614713489188722</v>
      </c>
      <c r="H267" s="1619">
        <f t="shared" si="9"/>
        <v>0</v>
      </c>
      <c r="I267" s="997">
        <f>IF(ISERROR($E267*VLOOKUP($C267,fish_group_yield_w!$A$7:$I$45,9,FALSE)),0,$E267*VLOOKUP($C267,fish_group_yield_w!$A$7:$I$45,9,FALSE))</f>
        <v>0.41940763427574629</v>
      </c>
      <c r="J267" s="998">
        <f>IF(ISERROR($E267*VLOOKUP($C267,fish_group_yield_w!$A$7:$I$45,9,FALSE)),0,$E267*VLOOKUP($C267,fish_group_yield_w!$A$7:$I$45,9,FALSE))</f>
        <v>0.41940763427574629</v>
      </c>
    </row>
    <row r="268" spans="1:10" ht="12.75" customHeight="1">
      <c r="A268" s="995" t="s">
        <v>8739</v>
      </c>
      <c r="B268" s="1599">
        <v>304.42</v>
      </c>
      <c r="C268" s="996" t="s">
        <v>2442</v>
      </c>
      <c r="D268" s="996" t="s">
        <v>4845</v>
      </c>
      <c r="E268" s="1006">
        <f t="shared" si="8"/>
        <v>0.63643595863166269</v>
      </c>
      <c r="F268" s="1006">
        <f>IFERROR($E268*(VLOOKUP(C268,fish_group_yield_n!$A$7:$J$49,7,FALSE)),0)</f>
        <v>0.15188842024854002</v>
      </c>
      <c r="G268" s="1006">
        <f>IFERROR($E268*(VLOOKUP(C268,fish_group_yield_n!$A$7:$J$49,10,FALSE)),0)</f>
        <v>0.21614713489188722</v>
      </c>
      <c r="H268" s="1619">
        <f t="shared" si="9"/>
        <v>6561.54</v>
      </c>
      <c r="I268" s="997">
        <f>IF(ISERROR($E268*VLOOKUP($C268,fish_group_yield_w!$A$7:$I$45,9,FALSE)),0,$E268*VLOOKUP($C268,fish_group_yield_w!$A$7:$I$45,9,FALSE))</f>
        <v>0.41940763427574629</v>
      </c>
      <c r="J268" s="998">
        <f>IF(ISERROR($E268*VLOOKUP($C268,fish_group_yield_w!$A$7:$I$45,9,FALSE)),0,$E268*VLOOKUP($C268,fish_group_yield_w!$A$7:$I$45,9,FALSE))</f>
        <v>0.41940763427574629</v>
      </c>
    </row>
    <row r="269" spans="1:10" ht="12.75" customHeight="1">
      <c r="A269" s="995" t="s">
        <v>8740</v>
      </c>
      <c r="B269" s="1599">
        <v>304.82</v>
      </c>
      <c r="C269" s="996" t="s">
        <v>2442</v>
      </c>
      <c r="D269" s="996" t="s">
        <v>4845</v>
      </c>
      <c r="E269" s="1006">
        <f t="shared" si="8"/>
        <v>0.5852456491606346</v>
      </c>
      <c r="F269" s="1006">
        <f>IFERROR($E269*(VLOOKUP(C269,fish_group_yield_n!$A$7:$J$49,7,FALSE)),0)</f>
        <v>0.13967161330647934</v>
      </c>
      <c r="G269" s="1006">
        <f>IFERROR($E269*(VLOOKUP(C269,fish_group_yield_n!$A$7:$J$49,10,FALSE)),0)</f>
        <v>0.19876182129304415</v>
      </c>
      <c r="H269" s="1619">
        <f t="shared" si="9"/>
        <v>3186.6960526315784</v>
      </c>
      <c r="I269" s="997">
        <f>IF(ISERROR($E269*VLOOKUP($C269,fish_group_yield_w!$A$7:$I$45,9,FALSE)),0,$E269*VLOOKUP($C269,fish_group_yield_w!$A$7:$I$45,9,FALSE))</f>
        <v>0.38567351491635798</v>
      </c>
      <c r="J269" s="998">
        <f>IF(ISERROR($E269*VLOOKUP($C269,fish_group_yield_w!$A$7:$I$45,9,FALSE)),0,$E269*VLOOKUP($C269,fish_group_yield_w!$A$7:$I$45,9,FALSE))</f>
        <v>0.38567351491635798</v>
      </c>
    </row>
    <row r="270" spans="1:10" ht="12.75" customHeight="1">
      <c r="A270" s="995" t="s">
        <v>6337</v>
      </c>
      <c r="B270" s="1599">
        <v>303.20999999999998</v>
      </c>
      <c r="C270" s="996" t="s">
        <v>2442</v>
      </c>
      <c r="D270" s="996" t="s">
        <v>4845</v>
      </c>
      <c r="E270" s="1006">
        <f t="shared" si="8"/>
        <v>0.5852456491606346</v>
      </c>
      <c r="F270" s="1006">
        <f>IFERROR($E270*(VLOOKUP(C270,fish_group_yield_n!$A$7:$J$49,7,FALSE)),0)</f>
        <v>0.13967161330647934</v>
      </c>
      <c r="G270" s="1006">
        <f>IFERROR($E270*(VLOOKUP(C270,fish_group_yield_n!$A$7:$J$49,10,FALSE)),0)</f>
        <v>0.19876182129304415</v>
      </c>
      <c r="H270" s="1619">
        <f t="shared" si="9"/>
        <v>0</v>
      </c>
      <c r="I270" s="997">
        <f>IF(ISERROR($E270*VLOOKUP($C270,fish_group_yield_w!$A$7:$I$45,9,FALSE)),0,$E270*VLOOKUP($C270,fish_group_yield_w!$A$7:$I$45,9,FALSE))</f>
        <v>0.38567351491635798</v>
      </c>
      <c r="J270" s="998">
        <f>IF(ISERROR($E270*VLOOKUP($C270,fish_group_yield_w!$A$7:$I$45,9,FALSE)),0,$E270*VLOOKUP($C270,fish_group_yield_w!$A$7:$I$45,9,FALSE))</f>
        <v>0.38567351491635798</v>
      </c>
    </row>
    <row r="271" spans="1:10" ht="12.75" customHeight="1">
      <c r="A271" s="995" t="s">
        <v>6337</v>
      </c>
      <c r="B271" s="1599">
        <v>303.14</v>
      </c>
      <c r="C271" s="996" t="s">
        <v>2442</v>
      </c>
      <c r="D271" s="996" t="s">
        <v>4845</v>
      </c>
      <c r="E271" s="1006">
        <f t="shared" si="8"/>
        <v>0</v>
      </c>
      <c r="F271" s="1006">
        <f>IFERROR($E271*(VLOOKUP(C271,fish_group_yield_n!$A$7:$J$49,7,FALSE)),0)</f>
        <v>0</v>
      </c>
      <c r="G271" s="1006">
        <f>IFERROR($E271*(VLOOKUP(C271,fish_group_yield_n!$A$7:$J$49,10,FALSE)),0)</f>
        <v>0</v>
      </c>
      <c r="H271" s="1619">
        <f t="shared" si="9"/>
        <v>0</v>
      </c>
      <c r="I271" s="997">
        <f>IF(ISERROR($E271*VLOOKUP($C271,fish_group_yield_w!$A$7:$I$45,9,FALSE)),0,$E271*VLOOKUP($C271,fish_group_yield_w!$A$7:$I$45,9,FALSE))</f>
        <v>0</v>
      </c>
      <c r="J271" s="998">
        <f>IF(ISERROR($E271*VLOOKUP($C271,fish_group_yield_w!$A$7:$I$45,9,FALSE)),0,$E271*VLOOKUP($C271,fish_group_yield_w!$A$7:$I$45,9,FALSE))</f>
        <v>0</v>
      </c>
    </row>
    <row r="272" spans="1:10" ht="12.75" customHeight="1">
      <c r="A272" s="995" t="s">
        <v>8741</v>
      </c>
      <c r="B272" s="1599">
        <v>305.43</v>
      </c>
      <c r="C272" s="996" t="s">
        <v>2442</v>
      </c>
      <c r="D272" s="996" t="s">
        <v>4845</v>
      </c>
      <c r="E272" s="1006">
        <f t="shared" si="8"/>
        <v>0.5852456491606346</v>
      </c>
      <c r="F272" s="1006">
        <f>IFERROR($E272*(VLOOKUP(C272,fish_group_yield_n!$A$7:$J$49,7,FALSE)),0)</f>
        <v>0.13967161330647934</v>
      </c>
      <c r="G272" s="1006">
        <f>IFERROR($E272*(VLOOKUP(C272,fish_group_yield_n!$A$7:$J$49,10,FALSE)),0)</f>
        <v>0.19876182129304415</v>
      </c>
      <c r="H272" s="1619">
        <f t="shared" si="9"/>
        <v>83.725526315789466</v>
      </c>
      <c r="I272" s="997">
        <f>IF(ISERROR($E272*VLOOKUP($C272,fish_group_yield_w!$A$7:$I$45,9,FALSE)),0,$E272*VLOOKUP($C272,fish_group_yield_w!$A$7:$I$45,9,FALSE))</f>
        <v>0.38567351491635798</v>
      </c>
      <c r="J272" s="998">
        <f>IF(ISERROR($E272*VLOOKUP($C272,fish_group_yield_w!$A$7:$I$45,9,FALSE)),0,$E272*VLOOKUP($C272,fish_group_yield_w!$A$7:$I$45,9,FALSE))</f>
        <v>0.38567351491635798</v>
      </c>
    </row>
    <row r="273" spans="1:10" ht="12.75" customHeight="1">
      <c r="A273" s="995" t="s">
        <v>6338</v>
      </c>
      <c r="B273" s="1599">
        <v>1604.14</v>
      </c>
      <c r="C273" s="996" t="s">
        <v>2439</v>
      </c>
      <c r="D273" s="996" t="s">
        <v>4859</v>
      </c>
      <c r="E273" s="1006">
        <f t="shared" si="8"/>
        <v>0.90006207324643073</v>
      </c>
      <c r="F273" s="1006">
        <f>IFERROR($E273*(VLOOKUP(C273,fish_group_yield_n!$A$7:$J$49,7,FALSE)),0)</f>
        <v>1.2584555273738831E-2</v>
      </c>
      <c r="G273" s="1006">
        <f>IFERROR($E273*(VLOOKUP(C273,fish_group_yield_n!$A$7:$J$49,10,FALSE)),0)</f>
        <v>1.2115291464365744E-2</v>
      </c>
      <c r="H273" s="1619">
        <f t="shared" si="9"/>
        <v>173076.95172413794</v>
      </c>
      <c r="I273" s="997">
        <f>IF(ISERROR($E273*VLOOKUP($C273,fish_group_yield_w!$A$7:$I$45,9,FALSE)),0,$E273*VLOOKUP($C273,fish_group_yield_w!$A$7:$I$45,9,FALSE))</f>
        <v>2.9633899012527814E-2</v>
      </c>
      <c r="J273" s="998">
        <f>IF(ISERROR($E273*VLOOKUP($C273,fish_group_yield_w!$A$7:$I$45,9,FALSE)),0,$E273*VLOOKUP($C273,fish_group_yield_w!$A$7:$I$45,9,FALSE))</f>
        <v>2.9633899012527814E-2</v>
      </c>
    </row>
    <row r="274" spans="1:10" ht="12.75" customHeight="1">
      <c r="A274" s="995" t="s">
        <v>8742</v>
      </c>
      <c r="B274" s="1599">
        <v>304.87</v>
      </c>
      <c r="C274" s="996" t="s">
        <v>2439</v>
      </c>
      <c r="D274" s="996" t="s">
        <v>4859</v>
      </c>
      <c r="E274" s="1006">
        <f t="shared" si="8"/>
        <v>0.47664442326024786</v>
      </c>
      <c r="F274" s="1006">
        <f>IFERROR($E274*(VLOOKUP(C274,fish_group_yield_n!$A$7:$J$49,7,FALSE)),0)</f>
        <v>6.6643826784107225E-3</v>
      </c>
      <c r="G274" s="1006">
        <f>IFERROR($E274*(VLOOKUP(C274,fish_group_yield_n!$A$7:$J$49,10,FALSE)),0)</f>
        <v>6.4158753982752753E-3</v>
      </c>
      <c r="H274" s="1619">
        <f t="shared" si="9"/>
        <v>38578.023999999998</v>
      </c>
      <c r="I274" s="997">
        <f>IF(ISERROR($E274*VLOOKUP($C274,fish_group_yield_w!$A$7:$I$45,9,FALSE)),0,$E274*VLOOKUP($C274,fish_group_yield_w!$A$7:$I$45,9,FALSE))</f>
        <v>1.5693176197094875E-2</v>
      </c>
      <c r="J274" s="998">
        <f>IF(ISERROR($E274*VLOOKUP($C274,fish_group_yield_w!$A$7:$I$45,9,FALSE)),0,$E274*VLOOKUP($C274,fish_group_yield_w!$A$7:$I$45,9,FALSE))</f>
        <v>1.5693176197094875E-2</v>
      </c>
    </row>
    <row r="275" spans="1:10" ht="12.75" customHeight="1">
      <c r="A275" s="995" t="s">
        <v>8743</v>
      </c>
      <c r="B275" s="1599">
        <v>302.24</v>
      </c>
      <c r="C275" s="996" t="s">
        <v>1806</v>
      </c>
      <c r="D275" s="996" t="s">
        <v>4841</v>
      </c>
      <c r="E275" s="1006">
        <f t="shared" si="8"/>
        <v>1</v>
      </c>
      <c r="F275" s="1006">
        <f>IFERROR($E275*(VLOOKUP(C275,fish_group_yield_n!$A$7:$J$49,7,FALSE)),0)</f>
        <v>0.10354027585612119</v>
      </c>
      <c r="G275" s="1006">
        <f>IFERROR($E275*(VLOOKUP(C275,fish_group_yield_n!$A$7:$J$49,10,FALSE)),0)</f>
        <v>0.12902696997021698</v>
      </c>
      <c r="H275" s="1619">
        <f t="shared" si="9"/>
        <v>62</v>
      </c>
      <c r="I275" s="997">
        <f>IF(ISERROR($E275*VLOOKUP($C275,fish_group_yield_w!$A$7:$I$45,9,FALSE)),0,$E275*VLOOKUP($C275,fish_group_yield_w!$A$7:$I$45,9,FALSE))</f>
        <v>0.25160636897509742</v>
      </c>
      <c r="J275" s="998">
        <f>IF(ISERROR($E275*VLOOKUP($C275,fish_group_yield_w!$A$7:$I$45,9,FALSE)),0,$E275*VLOOKUP($C275,fish_group_yield_w!$A$7:$I$45,9,FALSE))</f>
        <v>0.25160636897509742</v>
      </c>
    </row>
    <row r="276" spans="1:10" ht="12.75" customHeight="1">
      <c r="A276" s="995" t="s">
        <v>8744</v>
      </c>
      <c r="B276" s="1599">
        <v>303.33999999999997</v>
      </c>
      <c r="C276" s="996" t="s">
        <v>1806</v>
      </c>
      <c r="D276" s="996" t="s">
        <v>4841</v>
      </c>
      <c r="E276" s="1006">
        <f t="shared" si="8"/>
        <v>0.9009009009009008</v>
      </c>
      <c r="F276" s="1006">
        <f>IFERROR($E276*(VLOOKUP(C276,fish_group_yield_n!$A$7:$J$49,7,FALSE)),0)</f>
        <v>9.3279527798307366E-2</v>
      </c>
      <c r="G276" s="1006">
        <f>IFERROR($E276*(VLOOKUP(C276,fish_group_yield_n!$A$7:$J$49,10,FALSE)),0)</f>
        <v>0.11624051348668195</v>
      </c>
      <c r="H276" s="1619">
        <f t="shared" si="9"/>
        <v>122.10000000000001</v>
      </c>
      <c r="I276" s="997">
        <f>IF(ISERROR($E276*VLOOKUP($C276,fish_group_yield_w!$A$7:$I$45,9,FALSE)),0,$E276*VLOOKUP($C276,fish_group_yield_w!$A$7:$I$45,9,FALSE))</f>
        <v>0.22667240448206971</v>
      </c>
      <c r="J276" s="998">
        <f>IF(ISERROR($E276*VLOOKUP($C276,fish_group_yield_w!$A$7:$I$45,9,FALSE)),0,$E276*VLOOKUP($C276,fish_group_yield_w!$A$7:$I$45,9,FALSE))</f>
        <v>0.22667240448206971</v>
      </c>
    </row>
    <row r="277" spans="1:10" ht="12.75" customHeight="1">
      <c r="A277" s="996" t="s">
        <v>6339</v>
      </c>
      <c r="B277" s="1599">
        <v>302.32</v>
      </c>
      <c r="C277" s="996" t="s">
        <v>2969</v>
      </c>
      <c r="D277" s="996" t="s">
        <v>4859</v>
      </c>
      <c r="E277" s="1006">
        <f t="shared" si="8"/>
        <v>0.50388410665546934</v>
      </c>
      <c r="F277" s="1006">
        <f>IFERROR($E277*(VLOOKUP(C277,fish_group_yield_n!$A$7:$J$49,7,FALSE)),0)</f>
        <v>6.781203179378241E-3</v>
      </c>
      <c r="G277" s="1006">
        <f>IFERROR($E277*(VLOOKUP(C277,fish_group_yield_n!$A$7:$J$49,10,FALSE)),0)</f>
        <v>6.4470553414621408E-3</v>
      </c>
      <c r="H277" s="1622">
        <f t="shared" si="9"/>
        <v>31846.608749999992</v>
      </c>
      <c r="I277" s="997">
        <f>IF(ISERROR($E277*VLOOKUP($C277,fish_group_yield_w!$A$7:$I$45,9,FALSE)),0,$E277*VLOOKUP($C277,fish_group_yield_w!$A$7:$I$45,9,FALSE))</f>
        <v>3.7097168303916097E-3</v>
      </c>
      <c r="J277" s="1623">
        <f>IF(ISERROR($E277*VLOOKUP($C277,fish_group_yield_w!$A$7:$I$45,9,FALSE)),0,$E277*VLOOKUP($C277,fish_group_yield_w!$A$7:$I$45,9,FALSE))</f>
        <v>3.7097168303916097E-3</v>
      </c>
    </row>
    <row r="278" spans="1:10" ht="12.75" customHeight="1">
      <c r="A278" s="1003" t="s">
        <v>6340</v>
      </c>
      <c r="B278" s="1600">
        <v>303.42</v>
      </c>
      <c r="C278" s="1003" t="s">
        <v>2969</v>
      </c>
      <c r="D278" s="1003" t="s">
        <v>4859</v>
      </c>
      <c r="E278" s="1007">
        <f t="shared" si="8"/>
        <v>0.54945054945054939</v>
      </c>
      <c r="F278" s="1007">
        <f>IFERROR($E278*(VLOOKUP(C278,fish_group_yield_n!$A$7:$J$49,7,FALSE)),0)</f>
        <v>7.394430115242343E-3</v>
      </c>
      <c r="G278" s="1007">
        <f>IFERROR($E278*(VLOOKUP(C278,fish_group_yield_n!$A$7:$J$49,10,FALSE)),0)</f>
        <v>7.0300651537051661E-3</v>
      </c>
      <c r="H278" s="1624">
        <f t="shared" si="9"/>
        <v>4830.2800000000007</v>
      </c>
      <c r="I278" s="1004">
        <f>IF(ISERROR($E278*VLOOKUP($C278,fish_group_yield_w!$A$7:$I$45,9,FALSE)),0,$E278*VLOOKUP($C278,fish_group_yield_w!$A$7:$I$45,9,FALSE))</f>
        <v>4.0451880181216187E-3</v>
      </c>
      <c r="J278" s="1005">
        <f>IF(ISERROR($E278*VLOOKUP($C278,fish_group_yield_w!$A$7:$I$45,9,FALSE)),0,$E278*VLOOKUP($C278,fish_group_yield_w!$A$7:$I$45,9,FALSE))</f>
        <v>4.0451880181216187E-3</v>
      </c>
    </row>
  </sheetData>
  <phoneticPr fontId="5" type="noConversion"/>
  <hyperlinks>
    <hyperlink ref="C2" location="fish_group_yield_n!A1" tooltip="Go to fish_group_yield_n" display="fish_group_yield_n"/>
    <hyperlink ref="E2" location="figis_commodity_n!A1" tooltip="Go to figis_commodity_n" display="figis_commodity_n"/>
    <hyperlink ref="C3" location="fish_commodity!A1" tooltip="Go to fish_commodity_efi" display="fish_commodity"/>
    <hyperlink ref="F2" location="fish_group_yield_w!A1" display="fish_group_yield_w"/>
    <hyperlink ref="E3" location="fish_feed_group_yield_n!A1" display="fish_feed_group_yield_n"/>
    <hyperlink ref="D2" location="constant_fish_extr" display="constant_fish_extr"/>
    <hyperlink ref="D3" location="fish_group_yield_n!A1" tooltip="Go to fish_group_yield_n" display="fish_group_yield_n"/>
    <hyperlink ref="G2" location="constant_fish_extr" display="constant_fish_extr"/>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2" enableFormatConditionsCalculation="0">
    <tabColor rgb="FF0000FF"/>
  </sheetPr>
  <dimension ref="A1:K47"/>
  <sheetViews>
    <sheetView workbookViewId="0">
      <selection activeCell="A65536" sqref="A65536"/>
    </sheetView>
  </sheetViews>
  <sheetFormatPr baseColWidth="10" defaultColWidth="9.1640625" defaultRowHeight="12" x14ac:dyDescent="0"/>
  <cols>
    <col min="1" max="1" width="24" style="124" customWidth="1"/>
    <col min="2" max="2" width="21.6640625" style="124" customWidth="1"/>
    <col min="3" max="3" width="22.1640625" style="124" customWidth="1"/>
    <col min="4" max="4" width="21.1640625" style="124" customWidth="1"/>
    <col min="5" max="5" width="22.6640625" style="124" customWidth="1"/>
    <col min="6" max="6" width="21.1640625" style="124" customWidth="1"/>
    <col min="7" max="7" width="22.6640625" style="124" customWidth="1"/>
    <col min="8" max="8" width="24.6640625" style="124" customWidth="1"/>
    <col min="9" max="10" width="22.6640625" style="124" customWidth="1"/>
    <col min="11" max="11" width="15.1640625" style="124" customWidth="1"/>
    <col min="12" max="16384" width="9.1640625" style="124"/>
  </cols>
  <sheetData>
    <row r="1" spans="1:11" s="53" customFormat="1" ht="12.75" customHeight="1">
      <c r="B1" s="123"/>
      <c r="C1" s="123"/>
      <c r="D1" s="123"/>
      <c r="E1" s="123"/>
      <c r="F1" s="123"/>
      <c r="G1" s="123"/>
      <c r="H1" s="123"/>
      <c r="I1" s="123"/>
      <c r="J1" s="123"/>
      <c r="K1" s="123"/>
    </row>
    <row r="2" spans="1:11" s="53" customFormat="1" ht="12.75" customHeight="1">
      <c r="B2" s="736"/>
      <c r="C2" s="54" t="s">
        <v>1005</v>
      </c>
      <c r="D2" s="1064" t="s">
        <v>5415</v>
      </c>
      <c r="E2" s="1064" t="s">
        <v>1840</v>
      </c>
      <c r="F2" s="1064" t="s">
        <v>1841</v>
      </c>
      <c r="G2" s="1064" t="s">
        <v>5417</v>
      </c>
      <c r="H2" s="1064" t="s">
        <v>5418</v>
      </c>
      <c r="I2" s="1064" t="s">
        <v>5419</v>
      </c>
    </row>
    <row r="3" spans="1:11" s="53" customFormat="1" ht="12.75" customHeight="1">
      <c r="B3" s="736"/>
      <c r="C3" s="54" t="s">
        <v>1006</v>
      </c>
      <c r="D3" s="1064" t="s">
        <v>1841</v>
      </c>
      <c r="E3" s="1064" t="s">
        <v>5422</v>
      </c>
      <c r="F3" s="1064"/>
      <c r="G3" s="1064"/>
      <c r="H3" s="1064"/>
      <c r="I3" s="1064"/>
    </row>
    <row r="4" spans="1:11" s="53" customFormat="1" ht="12.75" customHeight="1">
      <c r="H4" s="122"/>
    </row>
    <row r="5" spans="1:11">
      <c r="A5" s="410" t="s">
        <v>103</v>
      </c>
      <c r="B5" s="315" t="s">
        <v>4060</v>
      </c>
      <c r="C5" s="315" t="s">
        <v>4062</v>
      </c>
      <c r="D5" s="315" t="s">
        <v>2362</v>
      </c>
      <c r="E5" s="315" t="s">
        <v>2039</v>
      </c>
      <c r="F5" s="315" t="s">
        <v>5570</v>
      </c>
      <c r="G5" s="315" t="s">
        <v>4061</v>
      </c>
      <c r="H5" s="315" t="s">
        <v>4465</v>
      </c>
      <c r="I5" s="315" t="s">
        <v>4464</v>
      </c>
      <c r="J5" s="315" t="s">
        <v>4463</v>
      </c>
      <c r="K5" s="427" t="s">
        <v>4446</v>
      </c>
    </row>
    <row r="6" spans="1:11">
      <c r="A6" s="310" t="s">
        <v>548</v>
      </c>
      <c r="B6" s="307" t="s">
        <v>4965</v>
      </c>
      <c r="C6" s="424" t="s">
        <v>548</v>
      </c>
      <c r="D6" s="307" t="s">
        <v>3363</v>
      </c>
      <c r="E6" s="308" t="s">
        <v>3364</v>
      </c>
      <c r="F6" s="307" t="s">
        <v>4965</v>
      </c>
      <c r="G6" s="424" t="s">
        <v>3364</v>
      </c>
      <c r="H6" s="308" t="s">
        <v>4458</v>
      </c>
      <c r="I6" s="308" t="s">
        <v>3364</v>
      </c>
      <c r="J6" s="308" t="s">
        <v>3364</v>
      </c>
      <c r="K6" s="428" t="s">
        <v>4454</v>
      </c>
    </row>
    <row r="7" spans="1:11">
      <c r="A7" s="32" t="s">
        <v>1808</v>
      </c>
      <c r="B7" s="40">
        <f>SUMIF(fish_efp!$N$7:$N$1873,A7,fish_efp!$P$7:$P$1873)</f>
        <v>11388</v>
      </c>
      <c r="C7" s="208">
        <f t="array" ref="C7">IF(ISERROR(1+LOG(SUM(IF(fish_efp!$N$7:$N$1873=A7,fish_efp!$P$7:$P$1873*fish_efp!$S$7:$S$1873,0))*9/(SUM(IF(fish_efp!$N$7:$N$1873=A7,fish_efp!$P$7:$P$1873,0))*cnst_fish!$C$7),1/cnst_fish!$C$8)),0,1+LOG(SUM(IF(fish_efp!$N$7:$N$1873=A7,fish_efp!$P$7:$P$1873*fish_efp!$S$7:$S$1873,0))*9/(SUM(IF(fish_efp!$N$7:$N$1873=A7,fish_efp!$P$7:$P$1873,0))*cnst_fish!$C$7),1/cnst_fish!$C$8))</f>
        <v>0.99999999999999989</v>
      </c>
      <c r="D7" s="149">
        <f>IF(C7=0,0,(1/9)*cnst_fish!$C$7*(1/cnst_fish!$C$8)^(C7-1))</f>
        <v>0.14102564102564097</v>
      </c>
      <c r="E7" s="149">
        <f>IF(D7=0,G7,(1/D7)*cnst_fish!$C$6)</f>
        <v>30.136363636363647</v>
      </c>
      <c r="F7" s="37">
        <f>SUMIF(fish_commodity_yield_n!$C$7:$C$137,A7,fish_commodity_yield_n!$H$7:$H$137)</f>
        <v>0</v>
      </c>
      <c r="G7" s="151">
        <f>VLOOKUP(A7,fish_group_yield_w!$A$7:$H$47,8,FALSE)</f>
        <v>55.153154688284502</v>
      </c>
      <c r="H7" s="429">
        <f>SUMIF(aquaculture_production_n!$C$7:$C$576,A7,aquaculture_production_n!$D$7:$D$576)</f>
        <v>0</v>
      </c>
      <c r="I7" s="2">
        <f>VLOOKUP(A7,aquaculture_yields!$A$7:$H$46,7,FALSE)</f>
        <v>0</v>
      </c>
      <c r="J7" s="2">
        <f>IF(ISERROR((H7+F7+B7)/(IF(ISERROR(B7/E7),0,B7/E7)+IF(ISERROR(F7/G7),0,F7/G7)+IF(ISERROR(H7/I7),0,H7/I7))),G7,((H7+F7+B7)/(IF(ISERROR(B7/E7),0,B7/E7)+IF(ISERROR(F7/G7),0,F7/G7)+IF(ISERROR(H7/I7),0,H7/I7))))</f>
        <v>30.136363636363647</v>
      </c>
      <c r="K7" s="489">
        <f>IF(ISERROR((VLOOKUP(A7,fish_group_yield_w!$A$7:$I$47,9,FALSE)*F7+H7*VLOOKUP(A7,aquaculture_yields!$A$7:$I$46,9,FALSE))/(B7+F7+H7)),VLOOKUP(A7,fish_group_yield_w!$A$7:$I$47,9,FALSE),(VLOOKUP(A7,fish_group_yield_w!$A$7:$I$47,9,FALSE)*F7+H7*VLOOKUP(A7,aquaculture_yields!$A$7:$I$46,9,FALSE))/(B7+F7+H7))</f>
        <v>0</v>
      </c>
    </row>
    <row r="8" spans="1:11">
      <c r="A8" s="27" t="s">
        <v>2969</v>
      </c>
      <c r="B8" s="37">
        <f>SUMIF(fish_efp!$N$7:$N$1873,A8,fish_efp!$P$7:$P$1873)</f>
        <v>45792</v>
      </c>
      <c r="C8" s="210">
        <f t="array" ref="C8">IF(ISERROR(1+LOG(SUM(IF(fish_efp!$N$7:$N$1873=A8,fish_efp!$P$7:$P$1873*fish_efp!$S$7:$S$1873,0))*9/(SUM(IF(fish_efp!$N$7:$N$1873=A8,fish_efp!$P$7:$P$1873,0))*cnst_fish!$C$7),1/cnst_fish!$C$8)),0,1+LOG(SUM(IF(fish_efp!$N$7:$N$1873=A8,fish_efp!$P$7:$P$1873*fish_efp!$S$7:$S$1873,0))*9/(SUM(IF(fish_efp!$N$7:$N$1873=A8,fish_efp!$P$7:$P$1873,0))*cnst_fish!$C$7),1/cnst_fish!$C$8))</f>
        <v>4.377249400558088</v>
      </c>
      <c r="D8" s="117">
        <f>IF(C8=0,0,(1/9)*cnst_fish!$C$7*(1/cnst_fish!$C$8)^(C8-1))</f>
        <v>336.16112077955148</v>
      </c>
      <c r="E8" s="117">
        <f>IF(D8=0,G8,(1/D8)*cnst_fish!$C$6)</f>
        <v>1.2642746996274667E-2</v>
      </c>
      <c r="F8" s="37">
        <f>SUMIF(fish_commodity_yield_n!$C$7:$C$137,A8,fish_commodity_yield_n!$H$7:$H$137)</f>
        <v>11170.655416666666</v>
      </c>
      <c r="G8" s="151">
        <f>VLOOKUP(A8,fish_group_yield_w!$A$7:$H$47,8,FALSE)</f>
        <v>1.3457862809741065E-2</v>
      </c>
      <c r="H8" s="429">
        <f>SUMIF(aquaculture_production_n!$C$7:$C$576,A8,aquaculture_production_n!$D$7:$D$576)</f>
        <v>0</v>
      </c>
      <c r="I8" s="2">
        <f>VLOOKUP(A8,aquaculture_yields!$A$7:$H$46,7,FALSE)</f>
        <v>1.9055126488330514</v>
      </c>
      <c r="J8" s="2">
        <f t="shared" ref="J8:J47" si="0">IF(ISERROR((H8+F8+B8)/(IF(ISERROR(B8/E8),0,B8/E8)+IF(ISERROR(F8/G8),0,F8/G8)+IF(ISERROR(H8/I8),0,H8/I8))),G8,((H8+F8+B8)/(IF(ISERROR(B8/E8),0,B8/E8)+IF(ISERROR(F8/G8),0,F8/G8)+IF(ISERROR(H8/I8),0,H8/I8))))</f>
        <v>1.2794718579743404E-2</v>
      </c>
      <c r="K8" s="490">
        <f>IF(ISERROR((VLOOKUP(A8,fish_group_yield_w!$A$7:$I$47,9,FALSE)*F8+H8*VLOOKUP(A8,aquaculture_yields!$A$7:$I$46,9,FALSE))/(B8+F8+H8)),VLOOKUP(A8,fish_group_yield_w!$A$7:$I$47,9,FALSE),(VLOOKUP(A8,fish_group_yield_w!$A$7:$I$47,9,FALSE)*F8+H8*VLOOKUP(A8,aquaculture_yields!$A$7:$I$46,9,FALSE))/(B8+F8+H8))</f>
        <v>1.4437717137704943E-3</v>
      </c>
    </row>
    <row r="9" spans="1:11">
      <c r="A9" s="27" t="s">
        <v>104</v>
      </c>
      <c r="B9" s="37">
        <f>SUMIF(fish_efp!$N$7:$N$1873,A9,fish_efp!$P$7:$P$1873)</f>
        <v>6061</v>
      </c>
      <c r="C9" s="210">
        <f t="array" ref="C9">IF(ISERROR(1+LOG(SUM(IF(fish_efp!$N$7:$N$1873=A9,fish_efp!$P$7:$P$1873*fish_efp!$S$7:$S$1873,0))*9/(SUM(IF(fish_efp!$N$7:$N$1873=A9,fish_efp!$P$7:$P$1873,0))*cnst_fish!$C$7),1/cnst_fish!$C$8)),0,1+LOG(SUM(IF(fish_efp!$N$7:$N$1873=A9,fish_efp!$P$7:$P$1873*fish_efp!$S$7:$S$1873,0))*9/(SUM(IF(fish_efp!$N$7:$N$1873=A9,fish_efp!$P$7:$P$1873,0))*cnst_fish!$C$7),1/cnst_fish!$C$8))</f>
        <v>2.96</v>
      </c>
      <c r="D9" s="117">
        <f>IF(C9=0,0,(1/9)*cnst_fish!$C$7*(1/cnst_fish!$C$8)^(C9-1))</f>
        <v>12.861691324250007</v>
      </c>
      <c r="E9" s="117">
        <f>IF(D9=0,G9,(1/D9)*cnst_fish!$C$6)</f>
        <v>0.33043865638315079</v>
      </c>
      <c r="F9" s="37">
        <f>SUMIF(fish_commodity_yield_n!$C$7:$C$137,A9,fish_commodity_yield_n!$H$7:$H$137)</f>
        <v>7617.1471818181817</v>
      </c>
      <c r="G9" s="151">
        <f>VLOOKUP(A9,fish_group_yield_w!$A$7:$H$47,8,FALSE)</f>
        <v>0.50058285849692874</v>
      </c>
      <c r="H9" s="429">
        <f>SUMIF(aquaculture_production_n!$C$7:$C$576,A9,aquaculture_production_n!$D$7:$D$576)</f>
        <v>0</v>
      </c>
      <c r="I9" s="2">
        <f>VLOOKUP(A9,aquaculture_yields!$A$7:$H$46,7,FALSE)</f>
        <v>0</v>
      </c>
      <c r="J9" s="2">
        <f t="shared" si="0"/>
        <v>0.4075869940554871</v>
      </c>
      <c r="K9" s="490">
        <f>IF(ISERROR((VLOOKUP(A9,fish_group_yield_w!$A$7:$I$47,9,FALSE)*F9+H9*VLOOKUP(A9,aquaculture_yields!$A$7:$I$46,9,FALSE))/(B9+F9+H9)),VLOOKUP(A9,fish_group_yield_w!$A$7:$I$47,9,FALSE),(VLOOKUP(A9,fish_group_yield_w!$A$7:$I$47,9,FALSE)*F9+H9*VLOOKUP(A9,aquaculture_yields!$A$7:$I$46,9,FALSE))/(B9+F9+H9))</f>
        <v>0</v>
      </c>
    </row>
    <row r="10" spans="1:11">
      <c r="A10" s="27" t="s">
        <v>5365</v>
      </c>
      <c r="B10" s="37">
        <f>SUMIF(fish_efp!$N$7:$N$1873,A10,fish_efp!$P$7:$P$1873)</f>
        <v>993</v>
      </c>
      <c r="C10" s="210">
        <f t="array" ref="C10">IF(ISERROR(1+LOG(SUM(IF(fish_efp!$N$7:$N$1873=A10,fish_efp!$P$7:$P$1873*fish_efp!$S$7:$S$1873,0))*9/(SUM(IF(fish_efp!$N$7:$N$1873=A10,fish_efp!$P$7:$P$1873,0))*cnst_fish!$C$7),1/cnst_fish!$C$8)),0,1+LOG(SUM(IF(fish_efp!$N$7:$N$1873=A10,fish_efp!$P$7:$P$1873*fish_efp!$S$7:$S$1873,0))*9/(SUM(IF(fish_efp!$N$7:$N$1873=A10,fish_efp!$P$7:$P$1873,0))*cnst_fish!$C$7),1/cnst_fish!$C$8))</f>
        <v>2.8081489401770199</v>
      </c>
      <c r="D10" s="117">
        <f>IF(C10=0,0,(1/9)*cnst_fish!$C$7*(1/cnst_fish!$C$8)^(C10-1))</f>
        <v>9.0666535838344728</v>
      </c>
      <c r="E10" s="117">
        <f>IF(D10=0,G10,(1/D10)*cnst_fish!$C$6)</f>
        <v>0.46875067638821027</v>
      </c>
      <c r="F10" s="37">
        <f>SUMIF(fish_commodity_yield_n!$C$7:$C$137,A10,fish_commodity_yield_n!$H$7:$H$137)</f>
        <v>3308.1315794695074</v>
      </c>
      <c r="G10" s="151">
        <f>VLOOKUP(A10,fish_group_yield_w!$A$7:$H$47,8,FALSE)</f>
        <v>2.6123639370272977</v>
      </c>
      <c r="H10" s="429">
        <f>SUMIF(aquaculture_production_n!$C$7:$C$576,A10,aquaculture_production_n!$D$7:$D$576)</f>
        <v>0</v>
      </c>
      <c r="I10" s="2">
        <f>VLOOKUP(A10,aquaculture_yields!$A$7:$H$46,7,FALSE)</f>
        <v>13.887464556772592</v>
      </c>
      <c r="J10" s="2">
        <f>IF(ISERROR((H10+F10+B10)/(IF(ISERROR(B10/E10),0,B10/E10)+IF(ISERROR(F10/G10),0,F10/G10)+IF(ISERROR(H10/I10),0,H10/I10))),G10,((H10+F10+B10)/(IF(ISERROR(B10/E10),0,B10/E10)+IF(ISERROR(F10/G10),0,F10/G10)+IF(ISERROR(H10/I10),0,H10/I10))))</f>
        <v>1.2707445833427413</v>
      </c>
      <c r="K10" s="490">
        <f>IF(ISERROR((VLOOKUP(A10,fish_group_yield_w!$A$7:$I$47,9,FALSE)*F10+H10*VLOOKUP(A10,aquaculture_yields!$A$7:$I$46,9,FALSE))/(B10+F10+H10)),VLOOKUP(A10,fish_group_yield_w!$A$7:$I$47,9,FALSE),(VLOOKUP(A10,fish_group_yield_w!$A$7:$I$47,9,FALSE)*F10+H10*VLOOKUP(A10,aquaculture_yields!$A$7:$I$46,9,FALSE))/(B10+F10+H10))</f>
        <v>0.4483702694078977</v>
      </c>
    </row>
    <row r="11" spans="1:11">
      <c r="A11" s="27" t="s">
        <v>4154</v>
      </c>
      <c r="B11" s="37">
        <f>SUMIF(fish_efp!$N$7:$N$1873,A11,fish_efp!$P$7:$P$1873)</f>
        <v>5058</v>
      </c>
      <c r="C11" s="210">
        <f t="array" ref="C11">IF(ISERROR(1+LOG(SUM(IF(fish_efp!$N$7:$N$1873=A11,fish_efp!$P$7:$P$1873*fish_efp!$S$7:$S$1873,0))*9/(SUM(IF(fish_efp!$N$7:$N$1873=A11,fish_efp!$P$7:$P$1873,0))*cnst_fish!$C$7),1/cnst_fish!$C$8)),0,1+LOG(SUM(IF(fish_efp!$N$7:$N$1873=A11,fish_efp!$P$7:$P$1873*fish_efp!$S$7:$S$1873,0))*9/(SUM(IF(fish_efp!$N$7:$N$1873=A11,fish_efp!$P$7:$P$1873,0))*cnst_fish!$C$7),1/cnst_fish!$C$8))</f>
        <v>4.38</v>
      </c>
      <c r="D11" s="117">
        <f>IF(C11=0,0,(1/9)*cnst_fish!$C$7*(1/cnst_fish!$C$8)^(C11-1))</f>
        <v>338.2969501181334</v>
      </c>
      <c r="E11" s="117">
        <f>IF(D11=0,G11,(1/D11)*cnst_fish!$C$6)</f>
        <v>1.256292732912874E-2</v>
      </c>
      <c r="F11" s="37">
        <f>SUMIF(fish_commodity_yield_n!$C$7:$C$137,A11,fish_commodity_yield_n!$H$7:$H$137)</f>
        <v>3227.649642706132</v>
      </c>
      <c r="G11" s="151">
        <f>VLOOKUP(A11,fish_group_yield_w!$A$7:$H$47,8,FALSE)</f>
        <v>1.256292732912874E-2</v>
      </c>
      <c r="H11" s="429">
        <f>SUMIF(aquaculture_production_n!$C$7:$C$576,A11,aquaculture_production_n!$D$7:$D$576)</f>
        <v>0</v>
      </c>
      <c r="I11" s="2">
        <f>VLOOKUP(A11,aquaculture_yields!$A$7:$H$46,7,FALSE)</f>
        <v>0</v>
      </c>
      <c r="J11" s="2">
        <f t="shared" si="0"/>
        <v>1.2562927329128738E-2</v>
      </c>
      <c r="K11" s="490">
        <f>IF(ISERROR((VLOOKUP(A11,fish_group_yield_w!$A$7:$I$47,9,FALSE)*F11+H11*VLOOKUP(A11,aquaculture_yields!$A$7:$I$46,9,FALSE))/(B11+F11+H11)),VLOOKUP(A11,fish_group_yield_w!$A$7:$I$47,9,FALSE),(VLOOKUP(A11,fish_group_yield_w!$A$7:$I$47,9,FALSE)*F11+H11*VLOOKUP(A11,aquaculture_yields!$A$7:$I$46,9,FALSE))/(B11+F11+H11))</f>
        <v>0</v>
      </c>
    </row>
    <row r="12" spans="1:11">
      <c r="A12" s="27" t="s">
        <v>5366</v>
      </c>
      <c r="B12" s="37">
        <f>SUMIF(fish_efp!$N$7:$N$1873,A12,fish_efp!$P$7:$P$1873)</f>
        <v>311692</v>
      </c>
      <c r="C12" s="210">
        <f t="array" ref="C12">IF(ISERROR(1+LOG(SUM(IF(fish_efp!$N$7:$N$1873=A12,fish_efp!$P$7:$P$1873*fish_efp!$S$7:$S$1873,0))*9/(SUM(IF(fish_efp!$N$7:$N$1873=A12,fish_efp!$P$7:$P$1873,0))*cnst_fish!$C$7),1/cnst_fish!$C$8)),0,1+LOG(SUM(IF(fish_efp!$N$7:$N$1873=A12,fish_efp!$P$7:$P$1873*fish_efp!$S$7:$S$1873,0))*9/(SUM(IF(fish_efp!$N$7:$N$1873=A12,fish_efp!$P$7:$P$1873,0))*cnst_fish!$C$7),1/cnst_fish!$C$8))</f>
        <v>4.0149236613379387</v>
      </c>
      <c r="D12" s="117">
        <f>IF(C12=0,0,(1/9)*cnst_fish!$C$7*(1/cnst_fish!$C$8)^(C12-1))</f>
        <v>145.95592976544182</v>
      </c>
      <c r="E12" s="117">
        <f>IF(D12=0,G12,(1/D12)*cnst_fish!$C$6)</f>
        <v>2.9118378450467573E-2</v>
      </c>
      <c r="F12" s="37">
        <f>SUMIF(fish_commodity_yield_n!$C$7:$C$137,A12,fish_commodity_yield_n!$H$7:$H$137)</f>
        <v>260944.94024319993</v>
      </c>
      <c r="G12" s="151">
        <f>VLOOKUP(A12,fish_group_yield_w!$A$7:$H$47,8,FALSE)</f>
        <v>1.3599749627385912E-2</v>
      </c>
      <c r="H12" s="429">
        <f>SUMIF(aquaculture_production_n!$C$7:$C$576,A12,aquaculture_production_n!$D$7:$D$576)</f>
        <v>0</v>
      </c>
      <c r="I12" s="2">
        <f>VLOOKUP(A12,aquaculture_yields!$A$7:$H$46,7,FALSE)</f>
        <v>1.9055126488330514</v>
      </c>
      <c r="J12" s="2">
        <f t="shared" si="0"/>
        <v>1.9156999824281797E-2</v>
      </c>
      <c r="K12" s="490">
        <f>IF(ISERROR((VLOOKUP(A12,fish_group_yield_w!$A$7:$I$47,9,FALSE)*F12+H12*VLOOKUP(A12,aquaculture_yields!$A$7:$I$46,9,FALSE))/(B12+F12+H12)),VLOOKUP(A12,fish_group_yield_w!$A$7:$I$47,9,FALSE),(VLOOKUP(A12,fish_group_yield_w!$A$7:$I$47,9,FALSE)*F12+H12*VLOOKUP(A12,aquaculture_yields!$A$7:$I$46,9,FALSE))/(B12+F12+H12))</f>
        <v>7.4571322393960878E-4</v>
      </c>
    </row>
    <row r="13" spans="1:11">
      <c r="A13" s="27" t="s">
        <v>5367</v>
      </c>
      <c r="B13" s="37">
        <f>SUMIF(fish_efp!$N$7:$N$1873,A13,fish_efp!$P$7:$P$1873)</f>
        <v>1.44</v>
      </c>
      <c r="C13" s="210">
        <f t="array" ref="C13">IF(ISERROR(1+LOG(SUM(IF(fish_efp!$N$7:$N$1873=A13,fish_efp!$P$7:$P$1873*fish_efp!$S$7:$S$1873,0))*9/(SUM(IF(fish_efp!$N$7:$N$1873=A13,fish_efp!$P$7:$P$1873,0))*cnst_fish!$C$7),1/cnst_fish!$C$8)),0,1+LOG(SUM(IF(fish_efp!$N$7:$N$1873=A13,fish_efp!$P$7:$P$1873*fish_efp!$S$7:$S$1873,0))*9/(SUM(IF(fish_efp!$N$7:$N$1873=A13,fish_efp!$P$7:$P$1873,0))*cnst_fish!$C$7),1/cnst_fish!$C$8))</f>
        <v>2.2999999999999998</v>
      </c>
      <c r="D13" s="117">
        <f>IF(C13=0,0,(1/9)*cnst_fish!$C$7*(1/cnst_fish!$C$8)^(C13-1))</f>
        <v>2.8138314698279068</v>
      </c>
      <c r="E13" s="117">
        <f>IF(D13=0,G13,(1/D13)*cnst_fish!$C$6)</f>
        <v>1.5103960722494616</v>
      </c>
      <c r="F13" s="37">
        <f>SUMIF(fish_commodity_yield_n!$C$7:$C$137,A13,fish_commodity_yield_n!$H$7:$H$137)</f>
        <v>5960</v>
      </c>
      <c r="G13" s="151">
        <f>VLOOKUP(A13,fish_group_yield_w!$A$7:$H$47,8,FALSE)</f>
        <v>1.5105623667394623</v>
      </c>
      <c r="H13" s="429">
        <f>SUMIF(aquaculture_production_n!$C$7:$C$576,A13,aquaculture_production_n!$D$7:$D$576)</f>
        <v>0</v>
      </c>
      <c r="I13" s="2">
        <f>VLOOKUP(A13,aquaculture_yields!$A$7:$H$46,7,FALSE)</f>
        <v>0</v>
      </c>
      <c r="J13" s="2">
        <f t="shared" si="0"/>
        <v>1.5105623265662114</v>
      </c>
      <c r="K13" s="490">
        <f>IF(ISERROR((VLOOKUP(A13,fish_group_yield_w!$A$7:$I$47,9,FALSE)*F13+H13*VLOOKUP(A13,aquaculture_yields!$A$7:$I$46,9,FALSE))/(B13+F13+H13)),VLOOKUP(A13,fish_group_yield_w!$A$7:$I$47,9,FALSE),(VLOOKUP(A13,fish_group_yield_w!$A$7:$I$47,9,FALSE)*F13+H13*VLOOKUP(A13,aquaculture_yields!$A$7:$I$46,9,FALSE))/(B13+F13+H13))</f>
        <v>0</v>
      </c>
    </row>
    <row r="14" spans="1:11">
      <c r="A14" s="27" t="s">
        <v>2430</v>
      </c>
      <c r="B14" s="37">
        <f>SUMIF(fish_efp!$N$7:$N$1873,A14,fish_efp!$P$7:$P$1873)</f>
        <v>151953</v>
      </c>
      <c r="C14" s="210">
        <f t="array" ref="C14">IF(ISERROR(1+LOG(SUM(IF(fish_efp!$N$7:$N$1873=A14,fish_efp!$P$7:$P$1873*fish_efp!$S$7:$S$1873,0))*9/(SUM(IF(fish_efp!$N$7:$N$1873=A14,fish_efp!$P$7:$P$1873,0))*cnst_fish!$C$7),1/cnst_fish!$C$8)),0,1+LOG(SUM(IF(fish_efp!$N$7:$N$1873=A14,fish_efp!$P$7:$P$1873*fish_efp!$S$7:$S$1873,0))*9/(SUM(IF(fish_efp!$N$7:$N$1873=A14,fish_efp!$P$7:$P$1873,0))*cnst_fish!$C$7),1/cnst_fish!$C$8))</f>
        <v>3.8269699145573899</v>
      </c>
      <c r="D14" s="117">
        <f>IF(C14=0,0,(1/9)*cnst_fish!$C$7*(1/cnst_fish!$C$8)^(C14-1))</f>
        <v>94.682125122650007</v>
      </c>
      <c r="E14" s="117">
        <f>IF(D14=0,G14,(1/D14)*cnst_fish!$C$6)</f>
        <v>4.488703643369437E-2</v>
      </c>
      <c r="F14" s="37">
        <f>SUMIF(fish_commodity_yield_n!$C$7:$C$137,A14,fish_commodity_yield_n!$H$7:$H$137)</f>
        <v>273798.12891304347</v>
      </c>
      <c r="G14" s="151">
        <f>VLOOKUP(A14,fish_group_yield_w!$A$7:$H$47,8,FALSE)</f>
        <v>0.14501976019687007</v>
      </c>
      <c r="H14" s="429">
        <f>SUMIF(aquaculture_production_n!$C$7:$C$576,A14,aquaculture_production_n!$D$7:$D$576)</f>
        <v>0</v>
      </c>
      <c r="I14" s="2">
        <f>VLOOKUP(A14,aquaculture_yields!$A$7:$H$46,7,FALSE)</f>
        <v>1.9055126488330514</v>
      </c>
      <c r="J14" s="2">
        <f t="shared" si="0"/>
        <v>8.0738099373866237E-2</v>
      </c>
      <c r="K14" s="490">
        <f>IF(ISERROR((VLOOKUP(A14,fish_group_yield_w!$A$7:$I$47,9,FALSE)*F14+H14*VLOOKUP(A14,aquaculture_yields!$A$7:$I$46,9,FALSE))/(B14+F14+H14)),VLOOKUP(A14,fish_group_yield_w!$A$7:$I$47,9,FALSE),(VLOOKUP(A14,fish_group_yield_w!$A$7:$I$47,9,FALSE)*F14+H14*VLOOKUP(A14,aquaculture_yields!$A$7:$I$46,9,FALSE))/(B14+F14+H14))</f>
        <v>0.17473226552480664</v>
      </c>
    </row>
    <row r="15" spans="1:11">
      <c r="A15" s="27" t="s">
        <v>5368</v>
      </c>
      <c r="B15" s="37">
        <f>SUMIF(fish_efp!$N$7:$N$1873,A15,fish_efp!$P$7:$P$1873)</f>
        <v>120001</v>
      </c>
      <c r="C15" s="210">
        <f t="array" ref="C15">IF(ISERROR(1+LOG(SUM(IF(fish_efp!$N$7:$N$1873=A15,fish_efp!$P$7:$P$1873*fish_efp!$S$7:$S$1873,0))*9/(SUM(IF(fish_efp!$N$7:$N$1873=A15,fish_efp!$P$7:$P$1873,0))*cnst_fish!$C$7),1/cnst_fish!$C$8)),0,1+LOG(SUM(IF(fish_efp!$N$7:$N$1873=A15,fish_efp!$P$7:$P$1873*fish_efp!$S$7:$S$1873,0))*9/(SUM(IF(fish_efp!$N$7:$N$1873=A15,fish_efp!$P$7:$P$1873,0))*cnst_fish!$C$7),1/cnst_fish!$C$8))</f>
        <v>3.8579844923472089</v>
      </c>
      <c r="D15" s="117">
        <f>IF(C15=0,0,(1/9)*cnst_fish!$C$7*(1/cnst_fish!$C$8)^(C15-1))</f>
        <v>101.69101328412896</v>
      </c>
      <c r="E15" s="117">
        <f>IF(D15=0,G15,(1/D15)*cnst_fish!$C$6)</f>
        <v>4.1793270248230513E-2</v>
      </c>
      <c r="F15" s="37">
        <f>SUMIF(fish_commodity_yield_n!$C$7:$C$137,A15,fish_commodity_yield_n!$H$7:$H$137)</f>
        <v>97506.688818181821</v>
      </c>
      <c r="G15" s="151">
        <f>VLOOKUP(A15,fish_group_yield_w!$A$7:$H$47,8,FALSE)</f>
        <v>3.7138552920026387E-2</v>
      </c>
      <c r="H15" s="429">
        <f>SUMIF(aquaculture_production_n!$C$7:$C$576,A15,aquaculture_production_n!$D$7:$D$576)</f>
        <v>0</v>
      </c>
      <c r="I15" s="2">
        <f>VLOOKUP(A15,aquaculture_yields!$A$7:$H$46,7,FALSE)</f>
        <v>1.9055126488330514</v>
      </c>
      <c r="J15" s="2">
        <f t="shared" si="0"/>
        <v>3.956999067694926E-2</v>
      </c>
      <c r="K15" s="490">
        <f>IF(ISERROR((VLOOKUP(A15,fish_group_yield_w!$A$7:$I$47,9,FALSE)*F15+H15*VLOOKUP(A15,aquaculture_yields!$A$7:$I$46,9,FALSE))/(B15+F15+H15)),VLOOKUP(A15,fish_group_yield_w!$A$7:$I$47,9,FALSE),(VLOOKUP(A15,fish_group_yield_w!$A$7:$I$47,9,FALSE)*F15+H15*VLOOKUP(A15,aquaculture_yields!$A$7:$I$46,9,FALSE))/(B15+F15+H15))</f>
        <v>0</v>
      </c>
    </row>
    <row r="16" spans="1:11">
      <c r="A16" s="27" t="s">
        <v>3927</v>
      </c>
      <c r="B16" s="37">
        <f>SUMIF(fish_efp!$N$7:$N$1873,A16,fish_efp!$P$7:$P$1873)</f>
        <v>8598</v>
      </c>
      <c r="C16" s="210">
        <f t="array" ref="C16">IF(ISERROR(1+LOG(SUM(IF(fish_efp!$N$7:$N$1873=A16,fish_efp!$P$7:$P$1873*fish_efp!$S$7:$S$1873,0))*9/(SUM(IF(fish_efp!$N$7:$N$1873=A16,fish_efp!$P$7:$P$1873,0))*cnst_fish!$C$7),1/cnst_fish!$C$8)),0,1+LOG(SUM(IF(fish_efp!$N$7:$N$1873=A16,fish_efp!$P$7:$P$1873*fish_efp!$S$7:$S$1873,0))*9/(SUM(IF(fish_efp!$N$7:$N$1873=A16,fish_efp!$P$7:$P$1873,0))*cnst_fish!$C$7),1/cnst_fish!$C$8))</f>
        <v>4.2961380373597864</v>
      </c>
      <c r="D16" s="117">
        <f>IF(C16=0,0,(1/9)*cnst_fish!$C$7*(1/cnst_fish!$C$8)^(C16-1))</f>
        <v>278.89204051693042</v>
      </c>
      <c r="E16" s="117">
        <f>IF(D16=0,G16,(1/D16)*cnst_fish!$C$6)</f>
        <v>1.5238871615419945E-2</v>
      </c>
      <c r="F16" s="37">
        <f>SUMIF(fish_commodity_yield_n!$C$7:$C$137,A16,fish_commodity_yield_n!$H$7:$H$137)</f>
        <v>619.09240506329127</v>
      </c>
      <c r="G16" s="151">
        <f>VLOOKUP(A16,fish_group_yield_w!$A$7:$H$47,8,FALSE)</f>
        <v>2.8006484628271378E-2</v>
      </c>
      <c r="H16" s="429">
        <f>SUMIF(aquaculture_production_n!$C$7:$C$576,A16,aquaculture_production_n!$D$7:$D$576)</f>
        <v>0</v>
      </c>
      <c r="I16" s="2">
        <f>VLOOKUP(A16,aquaculture_yields!$A$7:$H$46,7,FALSE)</f>
        <v>0</v>
      </c>
      <c r="J16" s="2">
        <f t="shared" si="0"/>
        <v>1.5720233430836051E-2</v>
      </c>
      <c r="K16" s="490">
        <f>IF(ISERROR((VLOOKUP(A16,fish_group_yield_w!$A$7:$I$47,9,FALSE)*F16+H16*VLOOKUP(A16,aquaculture_yields!$A$7:$I$46,9,FALSE))/(B16+F16+H16)),VLOOKUP(A16,fish_group_yield_w!$A$7:$I$47,9,FALSE),(VLOOKUP(A16,fish_group_yield_w!$A$7:$I$47,9,FALSE)*F16+H16*VLOOKUP(A16,aquaculture_yields!$A$7:$I$46,9,FALSE))/(B16+F16+H16))</f>
        <v>0</v>
      </c>
    </row>
    <row r="17" spans="1:11">
      <c r="A17" s="17" t="s">
        <v>3928</v>
      </c>
      <c r="B17" s="37">
        <f>SUMIF(fish_efp!$N$7:$N$1873,A17,fish_efp!$P$7:$P$1873)</f>
        <v>473</v>
      </c>
      <c r="C17" s="210">
        <f t="array" ref="C17">IF(ISERROR(1+LOG(SUM(IF(fish_efp!$N$7:$N$1873=A17,fish_efp!$P$7:$P$1873*fish_efp!$S$7:$S$1873,0))*9/(SUM(IF(fish_efp!$N$7:$N$1873=A17,fish_efp!$P$7:$P$1873,0))*cnst_fish!$C$7),1/cnst_fish!$C$8)),0,1+LOG(SUM(IF(fish_efp!$N$7:$N$1873=A17,fish_efp!$P$7:$P$1873*fish_efp!$S$7:$S$1873,0))*9/(SUM(IF(fish_efp!$N$7:$N$1873=A17,fish_efp!$P$7:$P$1873,0))*cnst_fish!$C$7),1/cnst_fish!$C$8))</f>
        <v>3.8765471919674654</v>
      </c>
      <c r="D17" s="117">
        <f>IF(C17=0,0,(1/9)*cnst_fish!$C$7*(1/cnst_fish!$C$8)^(C17-1))</f>
        <v>106.13173755900527</v>
      </c>
      <c r="E17" s="117">
        <f>IF(D17=0,G17,(1/D17)*cnst_fish!$C$6)</f>
        <v>4.0044571941895889E-2</v>
      </c>
      <c r="F17" s="37">
        <f>SUMIF(fish_commodity_yield_n!$C$7:$C$137,A17,fish_commodity_yield_n!$H$7:$H$137)</f>
        <v>2268.7717167019564</v>
      </c>
      <c r="G17" s="151">
        <f>VLOOKUP(A17,fish_group_yield_w!$A$7:$H$47,8,FALSE)</f>
        <v>4.821061216116658E-2</v>
      </c>
      <c r="H17" s="429">
        <f>SUMIF(aquaculture_production_n!$C$7:$C$576,A17,aquaculture_production_n!$D$7:$D$576)</f>
        <v>0</v>
      </c>
      <c r="I17" s="2">
        <f>VLOOKUP(A17,aquaculture_yields!$A$7:$H$46,7,FALSE)</f>
        <v>0.71680988239273191</v>
      </c>
      <c r="J17" s="2">
        <f t="shared" si="0"/>
        <v>4.6572195267449434E-2</v>
      </c>
      <c r="K17" s="490">
        <f>IF(ISERROR((VLOOKUP(A17,fish_group_yield_w!$A$7:$I$47,9,FALSE)*F17+H17*VLOOKUP(A17,aquaculture_yields!$A$7:$I$46,9,FALSE))/(B17+F17+H17)),VLOOKUP(A17,fish_group_yield_w!$A$7:$I$47,9,FALSE),(VLOOKUP(A17,fish_group_yield_w!$A$7:$I$47,9,FALSE)*F17+H17*VLOOKUP(A17,aquaculture_yields!$A$7:$I$46,9,FALSE))/(B17+F17+H17))</f>
        <v>0.23227628595340399</v>
      </c>
    </row>
    <row r="18" spans="1:11">
      <c r="A18" s="17" t="s">
        <v>3929</v>
      </c>
      <c r="B18" s="37">
        <f>SUMIF(fish_efp!$N$7:$N$1873,A18,fish_efp!$P$7:$P$1873)</f>
        <v>15021</v>
      </c>
      <c r="C18" s="210">
        <f t="array" ref="C18">IF(ISERROR(1+LOG(SUM(IF(fish_efp!$N$7:$N$1873=A18,fish_efp!$P$7:$P$1873*fish_efp!$S$7:$S$1873,0))*9/(SUM(IF(fish_efp!$N$7:$N$1873=A18,fish_efp!$P$7:$P$1873,0))*cnst_fish!$C$7),1/cnst_fish!$C$8)),0,1+LOG(SUM(IF(fish_efp!$N$7:$N$1873=A18,fish_efp!$P$7:$P$1873*fish_efp!$S$7:$S$1873,0))*9/(SUM(IF(fish_efp!$N$7:$N$1873=A18,fish_efp!$P$7:$P$1873,0))*cnst_fish!$C$7),1/cnst_fish!$C$8))</f>
        <v>4.1786283574402354</v>
      </c>
      <c r="D18" s="117">
        <f>IF(C18=0,0,(1/9)*cnst_fish!$C$7*(1/cnst_fish!$C$8)^(C18-1))</f>
        <v>212.7778615782554</v>
      </c>
      <c r="E18" s="117">
        <f>IF(D18=0,G18,(1/D18)*cnst_fish!$C$6)</f>
        <v>1.9973882472904426E-2</v>
      </c>
      <c r="F18" s="37">
        <f>SUMIF(fish_commodity_yield_n!$C$7:$C$137,A18,fish_commodity_yield_n!$H$7:$H$137)</f>
        <v>7518.8691071428575</v>
      </c>
      <c r="G18" s="151">
        <f>VLOOKUP(A18,fish_group_yield_w!$A$7:$H$47,8,FALSE)</f>
        <v>1.0888874648167205E-2</v>
      </c>
      <c r="H18" s="429">
        <f>SUMIF(aquaculture_production_n!$C$7:$C$576,A18,aquaculture_production_n!$D$7:$D$576)</f>
        <v>0</v>
      </c>
      <c r="I18" s="2">
        <f>VLOOKUP(A18,aquaculture_yields!$A$7:$H$46,7,FALSE)</f>
        <v>1.9055126488330514</v>
      </c>
      <c r="J18" s="2">
        <f t="shared" si="0"/>
        <v>1.5625111256746895E-2</v>
      </c>
      <c r="K18" s="490">
        <f>IF(ISERROR((VLOOKUP(A18,fish_group_yield_w!$A$7:$I$47,9,FALSE)*F18+H18*VLOOKUP(A18,aquaculture_yields!$A$7:$I$46,9,FALSE))/(B18+F18+H18)),VLOOKUP(A18,fish_group_yield_w!$A$7:$I$47,9,FALSE),(VLOOKUP(A18,fish_group_yield_w!$A$7:$I$47,9,FALSE)*F18+H18*VLOOKUP(A18,aquaculture_yields!$A$7:$I$46,9,FALSE))/(B18+F18+H18))</f>
        <v>2.2600610616748443E-3</v>
      </c>
    </row>
    <row r="19" spans="1:11">
      <c r="A19" s="27" t="s">
        <v>612</v>
      </c>
      <c r="B19" s="37">
        <f>SUMIF(fish_efp!$N$7:$N$1873,A19,fish_efp!$P$7:$P$1873)</f>
        <v>1870</v>
      </c>
      <c r="C19" s="210">
        <f t="array" ref="C19">IF(ISERROR(1+LOG(SUM(IF(fish_efp!$N$7:$N$1873=A19,fish_efp!$P$7:$P$1873*fish_efp!$S$7:$S$1873,0))*9/(SUM(IF(fish_efp!$N$7:$N$1873=A19,fish_efp!$P$7:$P$1873,0))*cnst_fish!$C$7),1/cnst_fish!$C$8)),0,1+LOG(SUM(IF(fish_efp!$N$7:$N$1873=A19,fish_efp!$P$7:$P$1873*fish_efp!$S$7:$S$1873,0))*9/(SUM(IF(fish_efp!$N$7:$N$1873=A19,fish_efp!$P$7:$P$1873,0))*cnst_fish!$C$7),1/cnst_fish!$C$8))</f>
        <v>4.09</v>
      </c>
      <c r="D19" s="117">
        <f>IF(C19=0,0,(1/9)*cnst_fish!$C$7*(1/cnst_fish!$C$8)^(C19-1))</f>
        <v>173.49944203764363</v>
      </c>
      <c r="E19" s="117">
        <f>IF(D19=0,G19,(1/D19)*cnst_fish!$C$6)</f>
        <v>2.4495756009854434E-2</v>
      </c>
      <c r="F19" s="37">
        <f>SUMIF(fish_commodity_yield_n!$C$7:$C$137,A19,fish_commodity_yield_n!$H$7:$H$137)</f>
        <v>54480.36997782706</v>
      </c>
      <c r="G19" s="151">
        <f>VLOOKUP(A19,fish_group_yield_w!$A$7:$H$47,8,FALSE)</f>
        <v>2.4495756009854434E-2</v>
      </c>
      <c r="H19" s="429">
        <f>SUMIF(aquaculture_production_n!$C$7:$C$576,A19,aquaculture_production_n!$D$7:$D$576)</f>
        <v>0</v>
      </c>
      <c r="I19" s="2">
        <f>VLOOKUP(A19,aquaculture_yields!$A$7:$H$46,7,FALSE)</f>
        <v>1.9055126488330514</v>
      </c>
      <c r="J19" s="2">
        <f t="shared" si="0"/>
        <v>2.4495756009854434E-2</v>
      </c>
      <c r="K19" s="490">
        <f>IF(ISERROR((VLOOKUP(A19,fish_group_yield_w!$A$7:$I$47,9,FALSE)*F19+H19*VLOOKUP(A19,aquaculture_yields!$A$7:$I$46,9,FALSE))/(B19+F19+H19)),VLOOKUP(A19,fish_group_yield_w!$A$7:$I$47,9,FALSE),(VLOOKUP(A19,fish_group_yield_w!$A$7:$I$47,9,FALSE)*F19+H19*VLOOKUP(A19,aquaculture_yields!$A$7:$I$46,9,FALSE))/(B19+F19+H19))</f>
        <v>0</v>
      </c>
    </row>
    <row r="20" spans="1:11">
      <c r="A20" s="17" t="s">
        <v>3930</v>
      </c>
      <c r="B20" s="37">
        <f>SUMIF(fish_efp!$N$7:$N$1873,A20,fish_efp!$P$7:$P$1873)</f>
        <v>235570</v>
      </c>
      <c r="C20" s="210">
        <f t="array" ref="C20">IF(ISERROR(1+LOG(SUM(IF(fish_efp!$N$7:$N$1873=A20,fish_efp!$P$7:$P$1873*fish_efp!$S$7:$S$1873,0))*9/(SUM(IF(fish_efp!$N$7:$N$1873=A20,fish_efp!$P$7:$P$1873,0))*cnst_fish!$C$7),1/cnst_fish!$C$8)),0,1+LOG(SUM(IF(fish_efp!$N$7:$N$1873=A20,fish_efp!$P$7:$P$1873*fish_efp!$S$7:$S$1873,0))*9/(SUM(IF(fish_efp!$N$7:$N$1873=A20,fish_efp!$P$7:$P$1873,0))*cnst_fish!$C$7),1/cnst_fish!$C$8))</f>
        <v>4.3478156069526372</v>
      </c>
      <c r="D20" s="117">
        <f>IF(C20=0,0,(1/9)*cnst_fish!$C$7*(1/cnst_fish!$C$8)^(C20-1))</f>
        <v>314.13309224913598</v>
      </c>
      <c r="E20" s="117">
        <f>IF(D20=0,G20,(1/D20)*cnst_fish!$C$6)</f>
        <v>1.3529297310164843E-2</v>
      </c>
      <c r="F20" s="37">
        <f>SUMIF(fish_commodity_yield_n!$C$7:$C$137,A20,fish_commodity_yield_n!$H$7:$H$137)</f>
        <v>17165.76424019608</v>
      </c>
      <c r="G20" s="151">
        <f>VLOOKUP(A20,fish_group_yield_w!$A$7:$H$47,8,FALSE)</f>
        <v>1.4767563829505588E-2</v>
      </c>
      <c r="H20" s="429">
        <f>SUMIF(aquaculture_production_n!$C$7:$C$576,A20,aquaculture_production_n!$D$7:$D$576)</f>
        <v>0</v>
      </c>
      <c r="I20" s="2">
        <f>VLOOKUP(A20,aquaculture_yields!$A$7:$H$46,7,FALSE)</f>
        <v>0</v>
      </c>
      <c r="J20" s="2">
        <f t="shared" si="0"/>
        <v>1.3606789400801067E-2</v>
      </c>
      <c r="K20" s="490">
        <f>IF(ISERROR((VLOOKUP(A20,fish_group_yield_w!$A$7:$I$47,9,FALSE)*F20+H20*VLOOKUP(A20,aquaculture_yields!$A$7:$I$46,9,FALSE))/(B20+F20+H20)),VLOOKUP(A20,fish_group_yield_w!$A$7:$I$47,9,FALSE),(VLOOKUP(A20,fish_group_yield_w!$A$7:$I$47,9,FALSE)*F20+H20*VLOOKUP(A20,aquaculture_yields!$A$7:$I$46,9,FALSE))/(B20+F20+H20))</f>
        <v>0</v>
      </c>
    </row>
    <row r="21" spans="1:11">
      <c r="A21" s="17" t="s">
        <v>3931</v>
      </c>
      <c r="B21" s="37">
        <f>SUMIF(fish_efp!$N$7:$N$1873,A21,fish_efp!$P$7:$P$1873)</f>
        <v>134865</v>
      </c>
      <c r="C21" s="210">
        <f t="array" ref="C21">IF(ISERROR(1+LOG(SUM(IF(fish_efp!$N$7:$N$1873=A21,fish_efp!$P$7:$P$1873*fish_efp!$S$7:$S$1873,0))*9/(SUM(IF(fish_efp!$N$7:$N$1873=A21,fish_efp!$P$7:$P$1873,0))*cnst_fish!$C$7),1/cnst_fish!$C$8)),0,1+LOG(SUM(IF(fish_efp!$N$7:$N$1873=A21,fish_efp!$P$7:$P$1873*fish_efp!$S$7:$S$1873,0))*9/(SUM(IF(fish_efp!$N$7:$N$1873=A21,fish_efp!$P$7:$P$1873,0))*cnst_fish!$C$7),1/cnst_fish!$C$8))</f>
        <v>3.2072580335794236</v>
      </c>
      <c r="D21" s="117">
        <f>IF(C21=0,0,(1/9)*cnst_fish!$C$7*(1/cnst_fish!$C$8)^(C21-1))</f>
        <v>22.727732858208583</v>
      </c>
      <c r="E21" s="117">
        <f>IF(D21=0,G21,(1/D21)*cnst_fish!$C$6)</f>
        <v>0.18699621411930781</v>
      </c>
      <c r="F21" s="37">
        <f>SUMIF(fish_commodity_yield_n!$C$7:$C$137,A21,fish_commodity_yield_n!$H$7:$H$137)</f>
        <v>26526.113916666665</v>
      </c>
      <c r="G21" s="151">
        <f>VLOOKUP(A21,fish_group_yield_w!$A$7:$H$47,8,FALSE)</f>
        <v>0.18425087179642619</v>
      </c>
      <c r="H21" s="429">
        <f>SUMIF(aquaculture_production_n!$C$7:$C$576,A21,aquaculture_production_n!$D$7:$D$576)</f>
        <v>0</v>
      </c>
      <c r="I21" s="2">
        <f>VLOOKUP(A21,aquaculture_yields!$A$7:$H$46,7,FALSE)</f>
        <v>0</v>
      </c>
      <c r="J21" s="2">
        <f t="shared" si="0"/>
        <v>0.18653938738535039</v>
      </c>
      <c r="K21" s="490">
        <f>IF(ISERROR((VLOOKUP(A21,fish_group_yield_w!$A$7:$I$47,9,FALSE)*F21+H21*VLOOKUP(A21,aquaculture_yields!$A$7:$I$46,9,FALSE))/(B21+F21+H21)),VLOOKUP(A21,fish_group_yield_w!$A$7:$I$47,9,FALSE),(VLOOKUP(A21,fish_group_yield_w!$A$7:$I$47,9,FALSE)*F21+H21*VLOOKUP(A21,aquaculture_yields!$A$7:$I$46,9,FALSE))/(B21+F21+H21))</f>
        <v>0</v>
      </c>
    </row>
    <row r="22" spans="1:11">
      <c r="A22" s="17" t="s">
        <v>3932</v>
      </c>
      <c r="B22" s="37">
        <f>SUMIF(fish_efp!$N$7:$N$1873,A22,fish_efp!$P$7:$P$1873)</f>
        <v>67732</v>
      </c>
      <c r="C22" s="210">
        <f t="array" ref="C22">IF(ISERROR(1+LOG(SUM(IF(fish_efp!$N$7:$N$1873=A22,fish_efp!$P$7:$P$1873*fish_efp!$S$7:$S$1873,0))*9/(SUM(IF(fish_efp!$N$7:$N$1873=A22,fish_efp!$P$7:$P$1873,0))*cnst_fish!$C$7),1/cnst_fish!$C$8)),0,1+LOG(SUM(IF(fish_efp!$N$7:$N$1873=A22,fish_efp!$P$7:$P$1873*fish_efp!$S$7:$S$1873,0))*9/(SUM(IF(fish_efp!$N$7:$N$1873=A22,fish_efp!$P$7:$P$1873,0))*cnst_fish!$C$7),1/cnst_fish!$C$8))</f>
        <v>3.4</v>
      </c>
      <c r="D22" s="117">
        <f>IF(C22=0,0,(1/9)*cnst_fish!$C$7*(1/cnst_fish!$C$8)^(C22-1))</f>
        <v>35.424039418724846</v>
      </c>
      <c r="E22" s="117">
        <f>IF(D22=0,G22,(1/D22)*cnst_fish!$C$6)</f>
        <v>0.11997502458044032</v>
      </c>
      <c r="F22" s="37">
        <f>SUMIF(fish_commodity_yield_n!$C$7:$C$137,A22,fish_commodity_yield_n!$H$7:$H$137)</f>
        <v>51954.323636363632</v>
      </c>
      <c r="G22" s="151">
        <f>VLOOKUP(A22,fish_group_yield_w!$A$7:$H$47,8,FALSE)</f>
        <v>0.16827247887876012</v>
      </c>
      <c r="H22" s="429">
        <f>SUMIF(aquaculture_production_n!$C$7:$C$576,A22,aquaculture_production_n!$D$7:$D$576)</f>
        <v>0</v>
      </c>
      <c r="I22" s="2">
        <f>VLOOKUP(A22,aquaculture_yields!$A$7:$H$46,7,FALSE)</f>
        <v>1.9055126488330514</v>
      </c>
      <c r="J22" s="2">
        <f t="shared" si="0"/>
        <v>0.1370503264547088</v>
      </c>
      <c r="K22" s="490">
        <f>IF(ISERROR((VLOOKUP(A22,fish_group_yield_w!$A$7:$I$47,9,FALSE)*F22+H22*VLOOKUP(A22,aquaculture_yields!$A$7:$I$46,9,FALSE))/(B22+F22+H22)),VLOOKUP(A22,fish_group_yield_w!$A$7:$I$47,9,FALSE),(VLOOKUP(A22,fish_group_yield_w!$A$7:$I$47,9,FALSE)*F22+H22*VLOOKUP(A22,aquaculture_yields!$A$7:$I$46,9,FALSE))/(B22+F22+H22))</f>
        <v>7.3418117653970395E-5</v>
      </c>
    </row>
    <row r="23" spans="1:11">
      <c r="A23" s="17" t="s">
        <v>2431</v>
      </c>
      <c r="B23" s="37">
        <f>SUMIF(fish_efp!$N$7:$N$1873,A23,fish_efp!$P$7:$P$1873)</f>
        <v>2803</v>
      </c>
      <c r="C23" s="210">
        <f t="array" ref="C23">IF(ISERROR(1+LOG(SUM(IF(fish_efp!$N$7:$N$1873=A23,fish_efp!$P$7:$P$1873*fish_efp!$S$7:$S$1873,0))*9/(SUM(IF(fish_efp!$N$7:$N$1873=A23,fish_efp!$P$7:$P$1873,0))*cnst_fish!$C$7),1/cnst_fish!$C$8)),0,1+LOG(SUM(IF(fish_efp!$N$7:$N$1873=A23,fish_efp!$P$7:$P$1873*fish_efp!$S$7:$S$1873,0))*9/(SUM(IF(fish_efp!$N$7:$N$1873=A23,fish_efp!$P$7:$P$1873,0))*cnst_fish!$C$7),1/cnst_fish!$C$8))</f>
        <v>3.1659675992865881</v>
      </c>
      <c r="D23" s="117">
        <f>IF(C23=0,0,(1/9)*cnst_fish!$C$7*(1/cnst_fish!$C$8)^(C23-1))</f>
        <v>20.666440486886398</v>
      </c>
      <c r="E23" s="117">
        <f>IF(D23=0,G23,(1/D23)*cnst_fish!$C$6)</f>
        <v>0.20564741193321504</v>
      </c>
      <c r="F23" s="37">
        <f>SUMIF(fish_commodity_yield_n!$C$7:$C$137,A23,fish_commodity_yield_n!$H$7:$H$137)</f>
        <v>0</v>
      </c>
      <c r="G23" s="151">
        <f>VLOOKUP(A23,fish_group_yield_w!$A$7:$H$47,8,FALSE)</f>
        <v>0.30430678541772077</v>
      </c>
      <c r="H23" s="429">
        <f>SUMIF(aquaculture_production_n!$C$7:$C$576,A23,aquaculture_production_n!$D$7:$D$576)</f>
        <v>0</v>
      </c>
      <c r="I23" s="2">
        <f>VLOOKUP(A23,aquaculture_yields!$A$7:$H$46,7,FALSE)</f>
        <v>1.9055126488330514</v>
      </c>
      <c r="J23" s="2">
        <f t="shared" si="0"/>
        <v>0.20564741193321504</v>
      </c>
      <c r="K23" s="490">
        <f>IF(ISERROR((VLOOKUP(A23,fish_group_yield_w!$A$7:$I$47,9,FALSE)*F23+H23*VLOOKUP(A23,aquaculture_yields!$A$7:$I$46,9,FALSE))/(B23+F23+H23)),VLOOKUP(A23,fish_group_yield_w!$A$7:$I$47,9,FALSE),(VLOOKUP(A23,fish_group_yield_w!$A$7:$I$47,9,FALSE)*F23+H23*VLOOKUP(A23,aquaculture_yields!$A$7:$I$46,9,FALSE))/(B23+F23+H23))</f>
        <v>0</v>
      </c>
    </row>
    <row r="24" spans="1:11">
      <c r="A24" s="17" t="s">
        <v>2432</v>
      </c>
      <c r="B24" s="37">
        <f>SUMIF(fish_efp!$N$7:$N$1873,A24,fish_efp!$P$7:$P$1873)</f>
        <v>42307</v>
      </c>
      <c r="C24" s="210">
        <f t="array" ref="C24">IF(ISERROR(1+LOG(SUM(IF(fish_efp!$N$7:$N$1873=A24,fish_efp!$P$7:$P$1873*fish_efp!$S$7:$S$1873,0))*9/(SUM(IF(fish_efp!$N$7:$N$1873=A24,fish_efp!$P$7:$P$1873,0))*cnst_fish!$C$7),1/cnst_fish!$C$8)),0,1+LOG(SUM(IF(fish_efp!$N$7:$N$1873=A24,fish_efp!$P$7:$P$1873*fish_efp!$S$7:$S$1873,0))*9/(SUM(IF(fish_efp!$N$7:$N$1873=A24,fish_efp!$P$7:$P$1873,0))*cnst_fish!$C$7),1/cnst_fish!$C$8))</f>
        <v>3.6974893116105791</v>
      </c>
      <c r="D24" s="117">
        <f>IF(C24=0,0,(1/9)*cnst_fish!$C$7*(1/cnst_fish!$C$8)^(C24-1))</f>
        <v>70.272821982509157</v>
      </c>
      <c r="E24" s="117">
        <f>IF(D24=0,G24,(1/D24)*cnst_fish!$C$6)</f>
        <v>6.0478573082746283E-2</v>
      </c>
      <c r="F24" s="37">
        <f>SUMIF(fish_commodity_yield_n!$C$7:$C$137,A24,fish_commodity_yield_n!$H$7:$H$137)</f>
        <v>27300.877844827603</v>
      </c>
      <c r="G24" s="151">
        <f>VLOOKUP(A24,fish_group_yield_w!$A$7:$H$47,8,FALSE)</f>
        <v>6.4008986215849425E-2</v>
      </c>
      <c r="H24" s="429">
        <f>SUMIF(aquaculture_production_n!$C$7:$C$576,A24,aquaculture_production_n!$D$7:$D$576)</f>
        <v>0</v>
      </c>
      <c r="I24" s="2">
        <f>VLOOKUP(A24,aquaculture_yields!$A$7:$H$46,7,FALSE)</f>
        <v>1.9055126488330514</v>
      </c>
      <c r="J24" s="2">
        <f t="shared" si="0"/>
        <v>6.1815791136286116E-2</v>
      </c>
      <c r="K24" s="490">
        <f>IF(ISERROR((VLOOKUP(A24,fish_group_yield_w!$A$7:$I$47,9,FALSE)*F24+H24*VLOOKUP(A24,aquaculture_yields!$A$7:$I$46,9,FALSE))/(B24+F24+H24)),VLOOKUP(A24,fish_group_yield_w!$A$7:$I$47,9,FALSE),(VLOOKUP(A24,fish_group_yield_w!$A$7:$I$47,9,FALSE)*F24+H24*VLOOKUP(A24,aquaculture_yields!$A$7:$I$46,9,FALSE))/(B24+F24+H24))</f>
        <v>6.6612132429560514E-5</v>
      </c>
    </row>
    <row r="25" spans="1:11">
      <c r="A25" s="17" t="s">
        <v>2433</v>
      </c>
      <c r="B25" s="37">
        <f>SUMIF(fish_efp!$N$7:$N$1873,A25,fish_efp!$P$7:$P$1873)</f>
        <v>10188</v>
      </c>
      <c r="C25" s="210">
        <f t="array" ref="C25">IF(ISERROR(1+LOG(SUM(IF(fish_efp!$N$7:$N$1873=A25,fish_efp!$P$7:$P$1873*fish_efp!$S$7:$S$1873,0))*9/(SUM(IF(fish_efp!$N$7:$N$1873=A25,fish_efp!$P$7:$P$1873,0))*cnst_fish!$C$7),1/cnst_fish!$C$8)),0,1+LOG(SUM(IF(fish_efp!$N$7:$N$1873=A25,fish_efp!$P$7:$P$1873*fish_efp!$S$7:$S$1873,0))*9/(SUM(IF(fish_efp!$N$7:$N$1873=A25,fish_efp!$P$7:$P$1873,0))*cnst_fish!$C$7),1/cnst_fish!$C$8))</f>
        <v>2.1</v>
      </c>
      <c r="D25" s="117">
        <f>IF(C25=0,0,(1/9)*cnst_fish!$C$7*(1/cnst_fish!$C$8)^(C25-1))</f>
        <v>1.7754076320174161</v>
      </c>
      <c r="E25" s="117">
        <f>IF(D25=0,G25,(1/D25)*cnst_fish!$C$6)</f>
        <v>2.3938164528281742</v>
      </c>
      <c r="F25" s="37">
        <f>SUMIF(fish_commodity_yield_n!$C$7:$C$137,A25,fish_commodity_yield_n!$H$7:$H$137)</f>
        <v>184293.98928571428</v>
      </c>
      <c r="G25" s="151">
        <f>VLOOKUP(A25,fish_group_yield_w!$A$7:$H$47,8,FALSE)</f>
        <v>0.39701784365562598</v>
      </c>
      <c r="H25" s="429">
        <f>SUMIF(aquaculture_production_n!$C$7:$C$576,A25,aquaculture_production_n!$D$7:$D$576)</f>
        <v>2228</v>
      </c>
      <c r="I25" s="2">
        <f>VLOOKUP(A25,aquaculture_yields!$A$7:$H$46,7,FALSE)</f>
        <v>1.9055126488330514</v>
      </c>
      <c r="J25" s="2">
        <f t="shared" si="0"/>
        <v>0.41886971640323045</v>
      </c>
      <c r="K25" s="490">
        <f>IF(ISERROR((VLOOKUP(A25,fish_group_yield_w!$A$7:$I$47,9,FALSE)*F25+H25*VLOOKUP(A25,aquaculture_yields!$A$7:$I$46,9,FALSE))/(B25+F25+H25)),VLOOKUP(A25,fish_group_yield_w!$A$7:$I$47,9,FALSE),(VLOOKUP(A25,fish_group_yield_w!$A$7:$I$47,9,FALSE)*F25+H25*VLOOKUP(A25,aquaculture_yields!$A$7:$I$46,9,FALSE))/(B25+F25+H25))</f>
        <v>0.63443909412671795</v>
      </c>
    </row>
    <row r="26" spans="1:11">
      <c r="A26" s="17" t="s">
        <v>1513</v>
      </c>
      <c r="B26" s="37">
        <f>SUMIF(fish_efp!$N$7:$N$1873,A26,fish_efp!$P$7:$P$1873)</f>
        <v>115.11000000000001</v>
      </c>
      <c r="C26" s="210">
        <f t="array" ref="C26">IF(ISERROR(1+LOG(SUM(IF(fish_efp!$N$7:$N$1873=A26,fish_efp!$P$7:$P$1873*fish_efp!$S$7:$S$1873,0))*9/(SUM(IF(fish_efp!$N$7:$N$1873=A26,fish_efp!$P$7:$P$1873,0))*cnst_fish!$C$7),1/cnst_fish!$C$8)),0,1+LOG(SUM(IF(fish_efp!$N$7:$N$1873=A26,fish_efp!$P$7:$P$1873*fish_efp!$S$7:$S$1873,0))*9/(SUM(IF(fish_efp!$N$7:$N$1873=A26,fish_efp!$P$7:$P$1873,0))*cnst_fish!$C$7),1/cnst_fish!$C$8))</f>
        <v>2.0099485512207012</v>
      </c>
      <c r="D26" s="117">
        <f>IF(C26=0,0,(1/9)*cnst_fish!$C$7*(1/cnst_fish!$C$8)^(C26-1))</f>
        <v>1.4429345542895224</v>
      </c>
      <c r="E26" s="117">
        <f>IF(D26=0,G26,(1/D26)*cnst_fish!$C$6)</f>
        <v>2.945386530085996</v>
      </c>
      <c r="F26" s="37">
        <f>SUMIF(fish_commodity_yield_n!$C$7:$C$137,A26,fish_commodity_yield_n!$H$7:$H$137)</f>
        <v>0</v>
      </c>
      <c r="G26" s="151">
        <f>VLOOKUP(A26,fish_group_yield_w!$A$7:$H$47,8,FALSE)</f>
        <v>1.976886814393509</v>
      </c>
      <c r="H26" s="429">
        <f>SUMIF(aquaculture_production_n!$C$7:$C$576,A26,aquaculture_production_n!$D$7:$D$576)</f>
        <v>0</v>
      </c>
      <c r="I26" s="2">
        <f>VLOOKUP(A26,aquaculture_yields!$A$7:$H$46,7,FALSE)</f>
        <v>0</v>
      </c>
      <c r="J26" s="2">
        <f t="shared" si="0"/>
        <v>2.9453865300859965</v>
      </c>
      <c r="K26" s="490">
        <f>IF(ISERROR((VLOOKUP(A26,fish_group_yield_w!$A$7:$I$47,9,FALSE)*F26+H26*VLOOKUP(A26,aquaculture_yields!$A$7:$I$46,9,FALSE))/(B26+F26+H26)),VLOOKUP(A26,fish_group_yield_w!$A$7:$I$47,9,FALSE),(VLOOKUP(A26,fish_group_yield_w!$A$7:$I$47,9,FALSE)*F26+H26*VLOOKUP(A26,aquaculture_yields!$A$7:$I$46,9,FALSE))/(B26+F26+H26))</f>
        <v>0</v>
      </c>
    </row>
    <row r="27" spans="1:11">
      <c r="A27" s="17" t="s">
        <v>2434</v>
      </c>
      <c r="B27" s="37">
        <f>SUMIF(fish_efp!$N$7:$N$1873,A27,fish_efp!$P$7:$P$1873)</f>
        <v>313</v>
      </c>
      <c r="C27" s="210">
        <f t="array" ref="C27">IF(ISERROR(1+LOG(SUM(IF(fish_efp!$N$7:$N$1873=A27,fish_efp!$P$7:$P$1873*fish_efp!$S$7:$S$1873,0))*9/(SUM(IF(fish_efp!$N$7:$N$1873=A27,fish_efp!$P$7:$P$1873,0))*cnst_fish!$C$7),1/cnst_fish!$C$8)),0,1+LOG(SUM(IF(fish_efp!$N$7:$N$1873=A27,fish_efp!$P$7:$P$1873*fish_efp!$S$7:$S$1873,0))*9/(SUM(IF(fish_efp!$N$7:$N$1873=A27,fish_efp!$P$7:$P$1873,0))*cnst_fish!$C$7),1/cnst_fish!$C$8))</f>
        <v>3.2</v>
      </c>
      <c r="D27" s="117">
        <f>IF(C27=0,0,(1/9)*cnst_fish!$C$7*(1/cnst_fish!$C$8)^(C27-1))</f>
        <v>22.351057842400341</v>
      </c>
      <c r="E27" s="117">
        <f>IF(D27=0,G27,(1/D27)*cnst_fish!$C$6)</f>
        <v>0.19014759972289441</v>
      </c>
      <c r="F27" s="37">
        <f>SUMIF(fish_commodity_yield_n!$C$7:$C$137,A27,fish_commodity_yield_n!$H$7:$H$137)</f>
        <v>0</v>
      </c>
      <c r="G27" s="151">
        <f>VLOOKUP(A27,fish_group_yield_w!$A$7:$H$47,8,FALSE)</f>
        <v>0.16261047857667146</v>
      </c>
      <c r="H27" s="429">
        <f>SUMIF(aquaculture_production_n!$C$7:$C$576,A27,aquaculture_production_n!$D$7:$D$576)</f>
        <v>0</v>
      </c>
      <c r="I27" s="2">
        <f>VLOOKUP(A27,aquaculture_yields!$A$7:$H$46,7,FALSE)</f>
        <v>1.9055126488330514</v>
      </c>
      <c r="J27" s="2">
        <f t="shared" si="0"/>
        <v>0.19014759972289441</v>
      </c>
      <c r="K27" s="490">
        <f>IF(ISERROR((VLOOKUP(A27,fish_group_yield_w!$A$7:$I$47,9,FALSE)*F27+H27*VLOOKUP(A27,aquaculture_yields!$A$7:$I$46,9,FALSE))/(B27+F27+H27)),VLOOKUP(A27,fish_group_yield_w!$A$7:$I$47,9,FALSE),(VLOOKUP(A27,fish_group_yield_w!$A$7:$I$47,9,FALSE)*F27+H27*VLOOKUP(A27,aquaculture_yields!$A$7:$I$46,9,FALSE))/(B27+F27+H27))</f>
        <v>0</v>
      </c>
    </row>
    <row r="28" spans="1:11">
      <c r="A28" s="17" t="s">
        <v>2435</v>
      </c>
      <c r="B28" s="37">
        <f>SUMIF(fish_efp!$N$7:$N$1873,A28,fish_efp!$P$7:$P$1873)</f>
        <v>73867</v>
      </c>
      <c r="C28" s="210">
        <f t="array" ref="C28">IF(ISERROR(1+LOG(SUM(IF(fish_efp!$N$7:$N$1873=A28,fish_efp!$P$7:$P$1873*fish_efp!$S$7:$S$1873,0))*9/(SUM(IF(fish_efp!$N$7:$N$1873=A28,fish_efp!$P$7:$P$1873,0))*cnst_fish!$C$7),1/cnst_fish!$C$8)),0,1+LOG(SUM(IF(fish_efp!$N$7:$N$1873=A28,fish_efp!$P$7:$P$1873*fish_efp!$S$7:$S$1873,0))*9/(SUM(IF(fish_efp!$N$7:$N$1873=A28,fish_efp!$P$7:$P$1873,0))*cnst_fish!$C$7),1/cnst_fish!$C$8))</f>
        <v>2.1</v>
      </c>
      <c r="D28" s="117">
        <f>IF(C28=0,0,(1/9)*cnst_fish!$C$7*(1/cnst_fish!$C$8)^(C28-1))</f>
        <v>1.7754076320174161</v>
      </c>
      <c r="E28" s="117">
        <f>IF(D28=0,G28,(1/D28)*cnst_fish!$C$6)</f>
        <v>2.3938164528281742</v>
      </c>
      <c r="F28" s="37">
        <f>SUMIF(fish_commodity_yield_n!$C$7:$C$137,A28,fish_commodity_yield_n!$H$7:$H$137)</f>
        <v>0</v>
      </c>
      <c r="G28" s="151">
        <f>VLOOKUP(A28,fish_group_yield_w!$A$7:$H$47,8,FALSE)</f>
        <v>0.38959855100716934</v>
      </c>
      <c r="H28" s="429">
        <f>SUMIF(aquaculture_production_n!$C$7:$C$576,A28,aquaculture_production_n!$D$7:$D$576)</f>
        <v>128658</v>
      </c>
      <c r="I28" s="2">
        <f>VLOOKUP(A28,aquaculture_yields!$A$7:$H$46,7,FALSE)</f>
        <v>1.9055126488330514</v>
      </c>
      <c r="J28" s="2">
        <f t="shared" si="0"/>
        <v>2.0586776086000818</v>
      </c>
      <c r="K28" s="490">
        <f>IF(ISERROR((VLOOKUP(A28,fish_group_yield_w!$A$7:$I$47,9,FALSE)*F28+H28*VLOOKUP(A28,aquaculture_yields!$A$7:$I$46,9,FALSE))/(B28+F28+H28)),VLOOKUP(A28,fish_group_yield_w!$A$7:$I$47,9,FALSE),(VLOOKUP(A28,fish_group_yield_w!$A$7:$I$47,9,FALSE)*F28+H28*VLOOKUP(A28,aquaculture_yields!$A$7:$I$46,9,FALSE))/(B28+F28+H28))</f>
        <v>0.44702925283010209</v>
      </c>
    </row>
    <row r="29" spans="1:11">
      <c r="A29" s="17" t="s">
        <v>2436</v>
      </c>
      <c r="B29" s="37">
        <f>SUMIF(fish_efp!$N$7:$N$1873,A29,fish_efp!$P$7:$P$1873)</f>
        <v>0</v>
      </c>
      <c r="C29" s="210">
        <f t="array" ref="C29">IF(ISERROR(1+LOG(SUM(IF(fish_efp!$N$7:$N$1873=A29,fish_efp!$P$7:$P$1873*fish_efp!$S$7:$S$1873,0))*9/(SUM(IF(fish_efp!$N$7:$N$1873=A29,fish_efp!$P$7:$P$1873,0))*cnst_fish!$C$7),1/cnst_fish!$C$8)),0,1+LOG(SUM(IF(fish_efp!$N$7:$N$1873=A29,fish_efp!$P$7:$P$1873*fish_efp!$S$7:$S$1873,0))*9/(SUM(IF(fish_efp!$N$7:$N$1873=A29,fish_efp!$P$7:$P$1873,0))*cnst_fish!$C$7),1/cnst_fish!$C$8))</f>
        <v>0</v>
      </c>
      <c r="D29" s="117">
        <f>IF(C29=0,0,(1/9)*cnst_fish!$C$7*(1/cnst_fish!$C$8)^(C29-1))</f>
        <v>0</v>
      </c>
      <c r="E29" s="117">
        <f>IF(D29=0,G29,(1/D29)*cnst_fish!$C$6)</f>
        <v>0.17032893290711187</v>
      </c>
      <c r="F29" s="37">
        <f>SUMIF(fish_commodity_yield_n!$C$7:$C$137,A29,fish_commodity_yield_n!$H$7:$H$137)</f>
        <v>0</v>
      </c>
      <c r="G29" s="151">
        <f>VLOOKUP(A29,fish_group_yield_w!$A$7:$H$47,8,FALSE)</f>
        <v>0.17032893290711187</v>
      </c>
      <c r="H29" s="429">
        <f>SUMIF(aquaculture_production_n!$C$7:$C$576,A29,aquaculture_production_n!$D$7:$D$576)</f>
        <v>0</v>
      </c>
      <c r="I29" s="2">
        <f>VLOOKUP(A29,aquaculture_yields!$A$7:$H$46,7,FALSE)</f>
        <v>1.9055126488330514</v>
      </c>
      <c r="J29" s="2">
        <f t="shared" si="0"/>
        <v>0.17032893290711187</v>
      </c>
      <c r="K29" s="490">
        <f>IF(ISERROR((VLOOKUP(A29,fish_group_yield_w!$A$7:$I$47,9,FALSE)*F29+H29*VLOOKUP(A29,aquaculture_yields!$A$7:$I$46,9,FALSE))/(B29+F29+H29)),VLOOKUP(A29,fish_group_yield_w!$A$7:$I$47,9,FALSE),(VLOOKUP(A29,fish_group_yield_w!$A$7:$I$47,9,FALSE)*F29+H29*VLOOKUP(A29,aquaculture_yields!$A$7:$I$46,9,FALSE))/(B29+F29+H29))</f>
        <v>3.4541476825150269E-2</v>
      </c>
    </row>
    <row r="30" spans="1:11">
      <c r="A30" s="27" t="s">
        <v>3933</v>
      </c>
      <c r="B30" s="37">
        <f>SUMIF(fish_efp!$N$7:$N$1873,A30,fish_efp!$P$7:$P$1873)</f>
        <v>484927</v>
      </c>
      <c r="C30" s="210">
        <f t="array" ref="C30">IF(ISERROR(1+LOG(SUM(IF(fish_efp!$N$7:$N$1873=A30,fish_efp!$P$7:$P$1873*fish_efp!$S$7:$S$1873,0))*9/(SUM(IF(fish_efp!$N$7:$N$1873=A30,fish_efp!$P$7:$P$1873,0))*cnst_fish!$C$7),1/cnst_fish!$C$8)),0,1+LOG(SUM(IF(fish_efp!$N$7:$N$1873=A30,fish_efp!$P$7:$P$1873*fish_efp!$S$7:$S$1873,0))*9/(SUM(IF(fish_efp!$N$7:$N$1873=A30,fish_efp!$P$7:$P$1873,0))*cnst_fish!$C$7),1/cnst_fish!$C$8))</f>
        <v>4.0863528097910073</v>
      </c>
      <c r="D30" s="117">
        <f>IF(C30=0,0,(1/9)*cnst_fish!$C$7*(1/cnst_fish!$C$8)^(C30-1))</f>
        <v>172.04850066138394</v>
      </c>
      <c r="E30" s="117">
        <f>IF(D30=0,G30,(1/D30)*cnst_fish!$C$6)</f>
        <v>2.4702336746105145E-2</v>
      </c>
      <c r="F30" s="37">
        <f>SUMIF(fish_commodity_yield_n!$C$7:$C$137,A30,fish_commodity_yield_n!$H$7:$H$137)</f>
        <v>126346.80296052631</v>
      </c>
      <c r="G30" s="151">
        <f>VLOOKUP(A30,fish_group_yield_w!$A$7:$H$47,8,FALSE)</f>
        <v>6.7361923016878544E-2</v>
      </c>
      <c r="H30" s="429">
        <f>SUMIF(aquaculture_production_n!$C$7:$C$576,A30,aquaculture_production_n!$D$7:$D$576)</f>
        <v>18685</v>
      </c>
      <c r="I30" s="2">
        <f>VLOOKUP(A30,aquaculture_yields!$A$7:$H$46,7,FALSE)</f>
        <v>1.0794937272121212</v>
      </c>
      <c r="J30" s="2">
        <f t="shared" si="0"/>
        <v>2.9268057752524033E-2</v>
      </c>
      <c r="K30" s="490">
        <f>IF(ISERROR((VLOOKUP(A30,fish_group_yield_w!$A$7:$I$47,9,FALSE)*F30+H30*VLOOKUP(A30,aquaculture_yields!$A$7:$I$46,9,FALSE))/(B30+F30+H30)),VLOOKUP(A30,fish_group_yield_w!$A$7:$I$47,9,FALSE),(VLOOKUP(A30,fish_group_yield_w!$A$7:$I$47,9,FALSE)*F30+H30*VLOOKUP(A30,aquaculture_yields!$A$7:$I$46,9,FALSE))/(B30+F30+H30))</f>
        <v>9.3587957535989474E-2</v>
      </c>
    </row>
    <row r="31" spans="1:11">
      <c r="A31" s="25" t="s">
        <v>2437</v>
      </c>
      <c r="B31" s="37">
        <f>SUMIF(fish_efp!$N$7:$N$1873,A31,fish_efp!$P$7:$P$1873)</f>
        <v>156484</v>
      </c>
      <c r="C31" s="210">
        <f t="array" ref="C31">IF(ISERROR(1+LOG(SUM(IF(fish_efp!$N$7:$N$1873=A31,fish_efp!$P$7:$P$1873*fish_efp!$S$7:$S$1873,0))*9/(SUM(IF(fish_efp!$N$7:$N$1873=A31,fish_efp!$P$7:$P$1873,0))*cnst_fish!$C$7),1/cnst_fish!$C$8)),0,1+LOG(SUM(IF(fish_efp!$N$7:$N$1873=A31,fish_efp!$P$7:$P$1873*fish_efp!$S$7:$S$1873,0))*9/(SUM(IF(fish_efp!$N$7:$N$1873=A31,fish_efp!$P$7:$P$1873,0))*cnst_fish!$C$7),1/cnst_fish!$C$8))</f>
        <v>2.0999999999999996</v>
      </c>
      <c r="D31" s="117">
        <f>IF(C31=0,0,(1/9)*cnst_fish!$C$7*(1/cnst_fish!$C$8)^(C31-1))</f>
        <v>1.7754076320174135</v>
      </c>
      <c r="E31" s="117">
        <f>IF(D31=0,G31,(1/D31)*cnst_fish!$C$6)</f>
        <v>2.3938164528281782</v>
      </c>
      <c r="F31" s="37">
        <f>SUMIF(fish_commodity_yield_n!$C$7:$C$137,A31,fish_commodity_yield_n!$H$7:$H$137)</f>
        <v>0</v>
      </c>
      <c r="G31" s="151">
        <f>VLOOKUP(A31,fish_group_yield_w!$A$7:$H$47,8,FALSE)</f>
        <v>0.49595419916467814</v>
      </c>
      <c r="H31" s="429">
        <f>SUMIF(aquaculture_production_n!$C$7:$C$576,A31,aquaculture_production_n!$D$7:$D$576)</f>
        <v>0</v>
      </c>
      <c r="I31" s="2">
        <f>VLOOKUP(A31,aquaculture_yields!$A$7:$H$46,7,FALSE)</f>
        <v>1.9055126488330514</v>
      </c>
      <c r="J31" s="2">
        <f t="shared" si="0"/>
        <v>2.3938164528281782</v>
      </c>
      <c r="K31" s="490">
        <f>IF(ISERROR((VLOOKUP(A31,fish_group_yield_w!$A$7:$I$47,9,FALSE)*F31+H31*VLOOKUP(A31,aquaculture_yields!$A$7:$I$46,9,FALSE))/(B31+F31+H31)),VLOOKUP(A31,fish_group_yield_w!$A$7:$I$47,9,FALSE),(VLOOKUP(A31,fish_group_yield_w!$A$7:$I$47,9,FALSE)*F31+H31*VLOOKUP(A31,aquaculture_yields!$A$7:$I$46,9,FALSE))/(B31+F31+H31))</f>
        <v>0</v>
      </c>
    </row>
    <row r="32" spans="1:11">
      <c r="A32" s="17" t="s">
        <v>2438</v>
      </c>
      <c r="B32" s="37">
        <f>SUMIF(fish_efp!$N$7:$N$1873,A32,fish_efp!$P$7:$P$1873)</f>
        <v>1444</v>
      </c>
      <c r="C32" s="210">
        <f t="array" ref="C32">IF(ISERROR(1+LOG(SUM(IF(fish_efp!$N$7:$N$1873=A32,fish_efp!$P$7:$P$1873*fish_efp!$S$7:$S$1873,0))*9/(SUM(IF(fish_efp!$N$7:$N$1873=A32,fish_efp!$P$7:$P$1873,0))*cnst_fish!$C$7),1/cnst_fish!$C$8)),0,1+LOG(SUM(IF(fish_efp!$N$7:$N$1873=A32,fish_efp!$P$7:$P$1873*fish_efp!$S$7:$S$1873,0))*9/(SUM(IF(fish_efp!$N$7:$N$1873=A32,fish_efp!$P$7:$P$1873,0))*cnst_fish!$C$7),1/cnst_fish!$C$8))</f>
        <v>3.9773016972171442</v>
      </c>
      <c r="D32" s="117">
        <f>IF(C32=0,0,(1/9)*cnst_fish!$C$7*(1/cnst_fish!$C$8)^(C32-1))</f>
        <v>133.84426886654018</v>
      </c>
      <c r="E32" s="117">
        <f>IF(D32=0,G32,(1/D32)*cnst_fish!$C$6)</f>
        <v>3.1753320750982562E-2</v>
      </c>
      <c r="F32" s="37">
        <f>SUMIF(fish_commodity_yield_n!$C$7:$C$137,A32,fish_commodity_yield_n!$H$7:$H$137)</f>
        <v>0</v>
      </c>
      <c r="G32" s="151">
        <f>VLOOKUP(A32,fish_group_yield_w!$A$7:$H$47,8,FALSE)</f>
        <v>0.19028540664415092</v>
      </c>
      <c r="H32" s="429">
        <f>SUMIF(aquaculture_production_n!$C$7:$C$576,A32,aquaculture_production_n!$D$7:$D$576)</f>
        <v>5622</v>
      </c>
      <c r="I32" s="2">
        <f>VLOOKUP(A32,aquaculture_yields!$A$7:$H$46,7,FALSE)</f>
        <v>1.9055126488330514</v>
      </c>
      <c r="J32" s="2">
        <f t="shared" si="0"/>
        <v>0.14591351570892999</v>
      </c>
      <c r="K32" s="490">
        <f>IF(ISERROR((VLOOKUP(A32,fish_group_yield_w!$A$7:$I$47,9,FALSE)*F32+H32*VLOOKUP(A32,aquaculture_yields!$A$7:$I$46,9,FALSE))/(B32+F32+H32)),VLOOKUP(A32,fish_group_yield_w!$A$7:$I$47,9,FALSE),(VLOOKUP(A32,fish_group_yield_w!$A$7:$I$47,9,FALSE)*F32+H32*VLOOKUP(A32,aquaculture_yields!$A$7:$I$46,9,FALSE))/(B32+F32+H32))</f>
        <v>0.55988005500349869</v>
      </c>
    </row>
    <row r="33" spans="1:11">
      <c r="A33" s="17" t="s">
        <v>2439</v>
      </c>
      <c r="B33" s="37">
        <f>SUMIF(fish_efp!$N$7:$N$1873,A33,fish_efp!$P$7:$P$1873)</f>
        <v>231227</v>
      </c>
      <c r="C33" s="210">
        <f t="array" ref="C33">IF(ISERROR(1+LOG(SUM(IF(fish_efp!$N$7:$N$1873=A33,fish_efp!$P$7:$P$1873*fish_efp!$S$7:$S$1873,0))*9/(SUM(IF(fish_efp!$N$7:$N$1873=A33,fish_efp!$P$7:$P$1873,0))*cnst_fish!$C$7),1/cnst_fish!$C$8)),0,1+LOG(SUM(IF(fish_efp!$N$7:$N$1873=A33,fish_efp!$P$7:$P$1873*fish_efp!$S$7:$S$1873,0))*9/(SUM(IF(fish_efp!$N$7:$N$1873=A33,fish_efp!$P$7:$P$1873,0))*cnst_fish!$C$7),1/cnst_fish!$C$8))</f>
        <v>4.3500294427330459</v>
      </c>
      <c r="D33" s="117">
        <f>IF(C33=0,0,(1/9)*cnst_fish!$C$7*(1/cnst_fish!$C$8)^(C33-1))</f>
        <v>315.73848821948991</v>
      </c>
      <c r="E33" s="117">
        <f>IF(D33=0,G33,(1/D33)*cnst_fish!$C$6)</f>
        <v>1.3460506585581528E-2</v>
      </c>
      <c r="F33" s="37">
        <f>SUMIF(fish_commodity_yield_n!$C$7:$C$137,A33,fish_commodity_yield_n!$H$7:$H$137)</f>
        <v>0</v>
      </c>
      <c r="G33" s="151">
        <f>VLOOKUP(A33,fish_group_yield_w!$A$7:$H$47,8,FALSE)</f>
        <v>1.3981874859305696E-2</v>
      </c>
      <c r="H33" s="429">
        <f>SUMIF(aquaculture_production_n!$C$7:$C$576,A33,aquaculture_production_n!$D$7:$D$576)</f>
        <v>0</v>
      </c>
      <c r="I33" s="2">
        <f>VLOOKUP(A33,aquaculture_yields!$A$7:$H$46,7,FALSE)</f>
        <v>1.9055126488330514</v>
      </c>
      <c r="J33" s="2">
        <f t="shared" si="0"/>
        <v>1.3460506585581528E-2</v>
      </c>
      <c r="K33" s="490">
        <f>IF(ISERROR((VLOOKUP(A33,fish_group_yield_w!$A$7:$I$47,9,FALSE)*F33+H33*VLOOKUP(A33,aquaculture_yields!$A$7:$I$46,9,FALSE))/(B33+F33+H33)),VLOOKUP(A33,fish_group_yield_w!$A$7:$I$47,9,FALSE),(VLOOKUP(A33,fish_group_yield_w!$A$7:$I$47,9,FALSE)*F33+H33*VLOOKUP(A33,aquaculture_yields!$A$7:$I$46,9,FALSE))/(B33+F33+H33))</f>
        <v>0</v>
      </c>
    </row>
    <row r="34" spans="1:11">
      <c r="A34" s="17" t="s">
        <v>2440</v>
      </c>
      <c r="B34" s="37">
        <f>SUMIF(fish_efp!$N$7:$N$1873,A34,fish_efp!$P$7:$P$1873)</f>
        <v>63057</v>
      </c>
      <c r="C34" s="210">
        <f t="array" ref="C34">IF(ISERROR(1+LOG(SUM(IF(fish_efp!$N$7:$N$1873=A34,fish_efp!$P$7:$P$1873*fish_efp!$S$7:$S$1873,0))*9/(SUM(IF(fish_efp!$N$7:$N$1873=A34,fish_efp!$P$7:$P$1873,0))*cnst_fish!$C$7),1/cnst_fish!$C$8)),0,1+LOG(SUM(IF(fish_efp!$N$7:$N$1873=A34,fish_efp!$P$7:$P$1873*fish_efp!$S$7:$S$1873,0))*9/(SUM(IF(fish_efp!$N$7:$N$1873=A34,fish_efp!$P$7:$P$1873,0))*cnst_fish!$C$7),1/cnst_fish!$C$8))</f>
        <v>2.4467737803086882</v>
      </c>
      <c r="D34" s="117">
        <f>IF(C34=0,0,(1/9)*cnst_fish!$C$7*(1/cnst_fish!$C$8)^(C34-1))</f>
        <v>3.9452257838777247</v>
      </c>
      <c r="E34" s="117">
        <f>IF(D34=0,G34,(1/D34)*cnst_fish!$C$6)</f>
        <v>1.0772514002538824</v>
      </c>
      <c r="F34" s="37">
        <f>SUMIF(fish_commodity_yield_n!$C$7:$C$137,A34,fish_commodity_yield_n!$H$7:$H$137)</f>
        <v>0</v>
      </c>
      <c r="G34" s="151">
        <f>VLOOKUP(A34,fish_group_yield_w!$A$7:$H$47,8,FALSE)</f>
        <v>0.34504313448778406</v>
      </c>
      <c r="H34" s="429">
        <f>SUMIF(aquaculture_production_n!$C$7:$C$576,A34,aquaculture_production_n!$D$7:$D$576)</f>
        <v>0</v>
      </c>
      <c r="I34" s="2">
        <f>VLOOKUP(A34,aquaculture_yields!$A$7:$H$46,7,FALSE)</f>
        <v>0</v>
      </c>
      <c r="J34" s="2">
        <f t="shared" si="0"/>
        <v>1.0772514002538824</v>
      </c>
      <c r="K34" s="490">
        <f>IF(ISERROR((VLOOKUP(A34,fish_group_yield_w!$A$7:$I$47,9,FALSE)*F34+H34*VLOOKUP(A34,aquaculture_yields!$A$7:$I$46,9,FALSE))/(B34+F34+H34)),VLOOKUP(A34,fish_group_yield_w!$A$7:$I$47,9,FALSE),(VLOOKUP(A34,fish_group_yield_w!$A$7:$I$47,9,FALSE)*F34+H34*VLOOKUP(A34,aquaculture_yields!$A$7:$I$46,9,FALSE))/(B34+F34+H34))</f>
        <v>0</v>
      </c>
    </row>
    <row r="35" spans="1:11">
      <c r="A35" s="17" t="s">
        <v>2441</v>
      </c>
      <c r="B35" s="37">
        <f>SUMIF(fish_efp!$N$7:$N$1873,A35,fish_efp!$P$7:$P$1873)</f>
        <v>127710</v>
      </c>
      <c r="C35" s="210">
        <f t="array" ref="C35">IF(ISERROR(1+LOG(SUM(IF(fish_efp!$N$7:$N$1873=A35,fish_efp!$P$7:$P$1873*fish_efp!$S$7:$S$1873,0))*9/(SUM(IF(fish_efp!$N$7:$N$1873=A35,fish_efp!$P$7:$P$1873,0))*cnst_fish!$C$7),1/cnst_fish!$C$8)),0,1+LOG(SUM(IF(fish_efp!$N$7:$N$1873=A35,fish_efp!$P$7:$P$1873*fish_efp!$S$7:$S$1873,0))*9/(SUM(IF(fish_efp!$N$7:$N$1873=A35,fish_efp!$P$7:$P$1873,0))*cnst_fish!$C$7),1/cnst_fish!$C$8))</f>
        <v>2.974592418380043</v>
      </c>
      <c r="D35" s="117">
        <f>IF(C35=0,0,(1/9)*cnst_fish!$C$7*(1/cnst_fish!$C$8)^(C35-1))</f>
        <v>13.301190113064642</v>
      </c>
      <c r="E35" s="117">
        <f>IF(D35=0,G35,(1/D35)*cnst_fish!$C$6)</f>
        <v>0.31952028080747313</v>
      </c>
      <c r="F35" s="37">
        <f>SUMIF(fish_commodity_yield_n!$C$7:$C$137,A35,fish_commodity_yield_n!$H$7:$H$137)</f>
        <v>20386.593696969696</v>
      </c>
      <c r="G35" s="151">
        <f>VLOOKUP(A35,fish_group_yield_w!$A$7:$H$47,8,FALSE)</f>
        <v>0.47400474510256968</v>
      </c>
      <c r="H35" s="429">
        <f>SUMIF(aquaculture_production_n!$C$7:$C$576,A35,aquaculture_production_n!$D$7:$D$576)</f>
        <v>50089</v>
      </c>
      <c r="I35" s="2">
        <f>VLOOKUP(A35,aquaculture_yields!$A$7:$H$46,7,FALSE)</f>
        <v>1.7789658885387223</v>
      </c>
      <c r="J35" s="2">
        <f t="shared" si="0"/>
        <v>0.42090270630033472</v>
      </c>
      <c r="K35" s="490">
        <f>IF(ISERROR((VLOOKUP(A35,fish_group_yield_w!$A$7:$I$47,9,FALSE)*F35+H35*VLOOKUP(A35,aquaculture_yields!$A$7:$I$46,9,FALSE))/(B35+F35+H35)),VLOOKUP(A35,fish_group_yield_w!$A$7:$I$47,9,FALSE),(VLOOKUP(A35,fish_group_yield_w!$A$7:$I$47,9,FALSE)*F35+H35*VLOOKUP(A35,aquaculture_yields!$A$7:$I$46,9,FALSE))/(B35+F35+H35))</f>
        <v>0.30680103069544667</v>
      </c>
    </row>
    <row r="36" spans="1:11">
      <c r="A36" s="27" t="s">
        <v>1809</v>
      </c>
      <c r="B36" s="37">
        <f>SUMIF(fish_efp!$N$7:$N$1873,A36,fish_efp!$P$7:$P$1873)</f>
        <v>253017</v>
      </c>
      <c r="C36" s="210">
        <f t="array" ref="C36">IF(ISERROR(1+LOG(SUM(IF(fish_efp!$N$7:$N$1873=A36,fish_efp!$P$7:$P$1873*fish_efp!$S$7:$S$1873,0))*9/(SUM(IF(fish_efp!$N$7:$N$1873=A36,fish_efp!$P$7:$P$1873,0))*cnst_fish!$C$7),1/cnst_fish!$C$8)),0,1+LOG(SUM(IF(fish_efp!$N$7:$N$1873=A36,fish_efp!$P$7:$P$1873*fish_efp!$S$7:$S$1873,0))*9/(SUM(IF(fish_efp!$N$7:$N$1873=A36,fish_efp!$P$7:$P$1873,0))*cnst_fish!$C$7),1/cnst_fish!$C$8))</f>
        <v>3.2985384073661406</v>
      </c>
      <c r="D36" s="117">
        <f>IF(C36=0,0,(1/9)*cnst_fish!$C$7*(1/cnst_fish!$C$8)^(C36-1))</f>
        <v>28.043776020186005</v>
      </c>
      <c r="E36" s="117">
        <f>IF(D36=0,G36,(1/D36)*cnst_fish!$C$6)</f>
        <v>0.15154877848620796</v>
      </c>
      <c r="F36" s="37">
        <f>SUMIF(fish_commodity_yield_n!$C$7:$C$137,A36,fish_commodity_yield_n!$H$7:$H$137)</f>
        <v>0</v>
      </c>
      <c r="G36" s="151">
        <f>VLOOKUP(A36,fish_group_yield_w!$A$7:$H$47,8,FALSE)</f>
        <v>0.15611028357344769</v>
      </c>
      <c r="H36" s="429">
        <f>SUMIF(aquaculture_production_n!$C$7:$C$576,A36,aquaculture_production_n!$D$7:$D$576)</f>
        <v>0</v>
      </c>
      <c r="I36" s="2">
        <f>VLOOKUP(A36,aquaculture_yields!$A$7:$H$46,7,FALSE)</f>
        <v>1.9055126488330514</v>
      </c>
      <c r="J36" s="2">
        <f t="shared" si="0"/>
        <v>0.15154877848620796</v>
      </c>
      <c r="K36" s="490">
        <f>IF(ISERROR((VLOOKUP(A36,fish_group_yield_w!$A$7:$I$47,9,FALSE)*F36+H36*VLOOKUP(A36,aquaculture_yields!$A$7:$I$46,9,FALSE))/(B36+F36+H36)),VLOOKUP(A36,fish_group_yield_w!$A$7:$I$47,9,FALSE),(VLOOKUP(A36,fish_group_yield_w!$A$7:$I$47,9,FALSE)*F36+H36*VLOOKUP(A36,aquaculture_yields!$A$7:$I$46,9,FALSE))/(B36+F36+H36))</f>
        <v>0</v>
      </c>
    </row>
    <row r="37" spans="1:11">
      <c r="A37" s="27" t="s">
        <v>1807</v>
      </c>
      <c r="B37" s="37">
        <f>SUMIF(fish_efp!$N$7:$N$1873,A37,fish_efp!$P$7:$P$1873)</f>
        <v>46106</v>
      </c>
      <c r="C37" s="210">
        <f t="array" ref="C37">IF(ISERROR(1+LOG(SUM(IF(fish_efp!$N$7:$N$1873=A37,fish_efp!$P$7:$P$1873*fish_efp!$S$7:$S$1873,0))*9/(SUM(IF(fish_efp!$N$7:$N$1873=A37,fish_efp!$P$7:$P$1873,0))*cnst_fish!$C$7),1/cnst_fish!$C$8)),0,1+LOG(SUM(IF(fish_efp!$N$7:$N$1873=A37,fish_efp!$P$7:$P$1873*fish_efp!$S$7:$S$1873,0))*9/(SUM(IF(fish_efp!$N$7:$N$1873=A37,fish_efp!$P$7:$P$1873,0))*cnst_fish!$C$7),1/cnst_fish!$C$8))</f>
        <v>4.2600301777036389</v>
      </c>
      <c r="D37" s="117">
        <f>IF(C37=0,0,(1/9)*cnst_fish!$C$7*(1/cnst_fish!$C$8)^(C37-1))</f>
        <v>256.64231267603606</v>
      </c>
      <c r="E37" s="117">
        <f>IF(D37=0,G37,(1/D37)*cnst_fish!$C$6)</f>
        <v>1.6560012866486468E-2</v>
      </c>
      <c r="F37" s="37">
        <f>SUMIF(fish_commodity_yield_n!$C$7:$C$137,A37,fish_commodity_yield_n!$H$7:$H$137)</f>
        <v>0</v>
      </c>
      <c r="G37" s="151">
        <f>VLOOKUP(A37,fish_group_yield_w!$A$7:$H$47,8,FALSE)</f>
        <v>4.9804078026831837E-2</v>
      </c>
      <c r="H37" s="429">
        <f>SUMIF(aquaculture_production_n!$C$7:$C$576,A37,aquaculture_production_n!$D$7:$D$576)</f>
        <v>0</v>
      </c>
      <c r="I37" s="2">
        <f>VLOOKUP(A37,aquaculture_yields!$A$7:$H$46,7,FALSE)</f>
        <v>1.9055126488330514</v>
      </c>
      <c r="J37" s="2">
        <f t="shared" si="0"/>
        <v>1.6560012866486468E-2</v>
      </c>
      <c r="K37" s="490">
        <f>IF(ISERROR((VLOOKUP(A37,fish_group_yield_w!$A$7:$I$47,9,FALSE)*F37+H37*VLOOKUP(A37,aquaculture_yields!$A$7:$I$46,9,FALSE))/(B37+F37+H37)),VLOOKUP(A37,fish_group_yield_w!$A$7:$I$47,9,FALSE),(VLOOKUP(A37,fish_group_yield_w!$A$7:$I$47,9,FALSE)*F37+H37*VLOOKUP(A37,aquaculture_yields!$A$7:$I$46,9,FALSE))/(B37+F37+H37))</f>
        <v>0</v>
      </c>
    </row>
    <row r="38" spans="1:11">
      <c r="A38" s="17" t="s">
        <v>2442</v>
      </c>
      <c r="B38" s="37">
        <f>SUMIF(fish_efp!$N$7:$N$1873,A38,fish_efp!$P$7:$P$1873)</f>
        <v>657</v>
      </c>
      <c r="C38" s="210">
        <f t="array" ref="C38">IF(ISERROR(1+LOG(SUM(IF(fish_efp!$N$7:$N$1873=A38,fish_efp!$P$7:$P$1873*fish_efp!$S$7:$S$1873,0))*9/(SUM(IF(fish_efp!$N$7:$N$1873=A38,fish_efp!$P$7:$P$1873,0))*cnst_fish!$C$7),1/cnst_fish!$C$8)),0,1+LOG(SUM(IF(fish_efp!$N$7:$N$1873=A38,fish_efp!$P$7:$P$1873*fish_efp!$S$7:$S$1873,0))*9/(SUM(IF(fish_efp!$N$7:$N$1873=A38,fish_efp!$P$7:$P$1873,0))*cnst_fish!$C$7),1/cnst_fish!$C$8))</f>
        <v>4.3241455618781028</v>
      </c>
      <c r="D38" s="117">
        <f>IF(C38=0,0,(1/9)*cnst_fish!$C$7*(1/cnst_fish!$C$8)^(C38-1))</f>
        <v>297.47032253701798</v>
      </c>
      <c r="E38" s="117">
        <f>IF(D38=0,G38,(1/D38)*cnst_fish!$C$6)</f>
        <v>1.4287139516148267E-2</v>
      </c>
      <c r="F38" s="37">
        <f>SUMIF(fish_commodity_yield_n!$C$7:$C$137,A38,fish_commodity_yield_n!$H$7:$H$137)</f>
        <v>0</v>
      </c>
      <c r="G38" s="151">
        <f>VLOOKUP(A38,fish_group_yield_w!$A$7:$H$47,8,FALSE)</f>
        <v>0.23865468031551851</v>
      </c>
      <c r="H38" s="429">
        <f>SUMIF(aquaculture_production_n!$C$7:$C$576,A38,aquaculture_production_n!$D$7:$D$576)</f>
        <v>20208</v>
      </c>
      <c r="I38" s="2">
        <f>VLOOKUP(A38,aquaculture_yields!$A$7:$H$46,7,FALSE)</f>
        <v>1.3079032220519031</v>
      </c>
      <c r="J38" s="2">
        <f t="shared" si="0"/>
        <v>0.33962118569887778</v>
      </c>
      <c r="K38" s="490">
        <f>IF(ISERROR((VLOOKUP(A38,fish_group_yield_w!$A$7:$I$47,9,FALSE)*F38+H38*VLOOKUP(A38,aquaculture_yields!$A$7:$I$46,9,FALSE))/(B38+F38+H38)),VLOOKUP(A38,fish_group_yield_w!$A$7:$I$47,9,FALSE),(VLOOKUP(A38,fish_group_yield_w!$A$7:$I$47,9,FALSE)*F38+H38*VLOOKUP(A38,aquaculture_yields!$A$7:$I$46,9,FALSE))/(B38+F38+H38))</f>
        <v>0.64544084231021603</v>
      </c>
    </row>
    <row r="39" spans="1:11">
      <c r="A39" s="27" t="s">
        <v>1804</v>
      </c>
      <c r="B39" s="37">
        <f>SUMIF(fish_efp!$N$7:$N$1873,A39,fish_efp!$P$7:$P$1873)</f>
        <v>273105</v>
      </c>
      <c r="C39" s="210">
        <f t="array" ref="C39">IF(ISERROR(1+LOG(SUM(IF(fish_efp!$N$7:$N$1873=A39,fish_efp!$P$7:$P$1873*fish_efp!$S$7:$S$1873,0))*9/(SUM(IF(fish_efp!$N$7:$N$1873=A39,fish_efp!$P$7:$P$1873,0))*cnst_fish!$C$7),1/cnst_fish!$C$8)),0,1+LOG(SUM(IF(fish_efp!$N$7:$N$1873=A39,fish_efp!$P$7:$P$1873*fish_efp!$S$7:$S$1873,0))*9/(SUM(IF(fish_efp!$N$7:$N$1873=A39,fish_efp!$P$7:$P$1873,0))*cnst_fish!$C$7),1/cnst_fish!$C$8))</f>
        <v>2.1071612216441222</v>
      </c>
      <c r="D39" s="117">
        <f>IF(C39=0,0,(1/9)*cnst_fish!$C$7*(1/cnst_fish!$C$8)^(C39-1))</f>
        <v>1.8049255973085885</v>
      </c>
      <c r="E39" s="117">
        <f>IF(D39=0,G39,(1/D39)*cnst_fish!$C$6)</f>
        <v>2.3546676972931073</v>
      </c>
      <c r="F39" s="37">
        <f>SUMIF(fish_commodity_yield_n!$C$7:$C$137,A39,fish_commodity_yield_n!$H$7:$H$137)</f>
        <v>80719.155750000005</v>
      </c>
      <c r="G39" s="151">
        <f>VLOOKUP(A39,fish_group_yield_w!$A$7:$H$47,8,FALSE)</f>
        <v>0.46879952938678038</v>
      </c>
      <c r="H39" s="429">
        <f>SUMIF(aquaculture_production_n!$C$7:$C$576,A39,aquaculture_production_n!$D$7:$D$576)</f>
        <v>28201</v>
      </c>
      <c r="I39" s="2">
        <f>VLOOKUP(A39,aquaculture_yields!$A$7:$H$46,7,FALSE)</f>
        <v>1.9055126488330514</v>
      </c>
      <c r="J39" s="2">
        <f t="shared" si="0"/>
        <v>1.2609469124766759</v>
      </c>
      <c r="K39" s="490">
        <f>IF(ISERROR((VLOOKUP(A39,fish_group_yield_w!$A$7:$I$47,9,FALSE)*F39+H39*VLOOKUP(A39,aquaculture_yields!$A$7:$I$46,9,FALSE))/(B39+F39+H39)),VLOOKUP(A39,fish_group_yield_w!$A$7:$I$47,9,FALSE),(VLOOKUP(A39,fish_group_yield_w!$A$7:$I$47,9,FALSE)*F39+H39*VLOOKUP(A39,aquaculture_yields!$A$7:$I$46,9,FALSE))/(B39+F39+H39))</f>
        <v>0.16615786039941421</v>
      </c>
    </row>
    <row r="40" spans="1:11" s="198" customFormat="1">
      <c r="A40" s="27" t="s">
        <v>4208</v>
      </c>
      <c r="B40" s="37">
        <f>SUMIF(fish_efp!$N$7:$N$1873,A40,fish_efp!$P$7:$P$1873)</f>
        <v>0</v>
      </c>
      <c r="C40" s="210">
        <f t="array" ref="C40">IF(ISERROR(1+LOG(SUM(IF(fish_efp!$N$7:$N$1873=A40,fish_efp!$P$7:$P$1873*fish_efp!$S$7:$S$1873,0))*9/(SUM(IF(fish_efp!$N$7:$N$1873=A40,fish_efp!$P$7:$P$1873,0))*cnst_fish!$C$7),1/cnst_fish!$C$8)),0,1+LOG(SUM(IF(fish_efp!$N$7:$N$1873=A40,fish_efp!$P$7:$P$1873*fish_efp!$S$7:$S$1873,0))*9/(SUM(IF(fish_efp!$N$7:$N$1873=A40,fish_efp!$P$7:$P$1873,0))*cnst_fish!$C$7),1/cnst_fish!$C$8))</f>
        <v>0</v>
      </c>
      <c r="D40" s="117">
        <f>IF(C40=0,0,(1/9)*cnst_fish!$C$7*(1/cnst_fish!$C$8)^(C40-1))</f>
        <v>0</v>
      </c>
      <c r="E40" s="117">
        <f>IF(D40=0,G40,(1/D40)*cnst_fish!$C$6)</f>
        <v>2.5070927108371329E-2</v>
      </c>
      <c r="F40" s="37">
        <f>SUMIF(fish_commodity_yield_n!$C$7:$C$137,A40,fish_commodity_yield_n!$H$7:$H$137)</f>
        <v>0</v>
      </c>
      <c r="G40" s="151">
        <f>VLOOKUP(A40,fish_group_yield_w!$A$7:$H$47,8,FALSE)</f>
        <v>2.5070927108371329E-2</v>
      </c>
      <c r="H40" s="429">
        <f>SUMIF(aquaculture_production_n!$C$7:$C$576,A40,aquaculture_production_n!$D$7:$D$576)</f>
        <v>0</v>
      </c>
      <c r="I40" s="2">
        <f>VLOOKUP(A40,aquaculture_yields!$A$7:$H$46,7,FALSE)</f>
        <v>0</v>
      </c>
      <c r="J40" s="2">
        <f t="shared" si="0"/>
        <v>2.5070927108371329E-2</v>
      </c>
      <c r="K40" s="490">
        <f>IF(ISERROR((VLOOKUP(A40,fish_group_yield_w!$A$7:$I$47,9,FALSE)*F40+H40*VLOOKUP(A40,aquaculture_yields!$A$7:$I$46,9,FALSE))/(B40+F40+H40)),VLOOKUP(A40,fish_group_yield_w!$A$7:$I$47,9,FALSE),(VLOOKUP(A40,fish_group_yield_w!$A$7:$I$47,9,FALSE)*F40+H40*VLOOKUP(A40,aquaculture_yields!$A$7:$I$46,9,FALSE))/(B40+F40+H40))</f>
        <v>0</v>
      </c>
    </row>
    <row r="41" spans="1:11" s="198" customFormat="1">
      <c r="A41" s="27" t="s">
        <v>4228</v>
      </c>
      <c r="B41" s="37">
        <f>SUMIF(fish_efp!$N$7:$N$1873,A41,fish_efp!$P$7:$P$1873)</f>
        <v>0</v>
      </c>
      <c r="C41" s="210">
        <f t="array" ref="C41">IF(ISERROR(1+LOG(SUM(IF(fish_efp!$N$7:$N$1873=A41,fish_efp!$P$7:$P$1873*fish_efp!$S$7:$S$1873,0))*9/(SUM(IF(fish_efp!$N$7:$N$1873=A41,fish_efp!$P$7:$P$1873,0))*cnst_fish!$C$7),1/cnst_fish!$C$8)),0,1+LOG(SUM(IF(fish_efp!$N$7:$N$1873=A41,fish_efp!$P$7:$P$1873*fish_efp!$S$7:$S$1873,0))*9/(SUM(IF(fish_efp!$N$7:$N$1873=A41,fish_efp!$P$7:$P$1873,0))*cnst_fish!$C$7),1/cnst_fish!$C$8))</f>
        <v>0</v>
      </c>
      <c r="D41" s="117">
        <f>IF(C41=0,0,(1/9)*cnst_fish!$C$7*(1/cnst_fish!$C$8)^(C41-1))</f>
        <v>0</v>
      </c>
      <c r="E41" s="117">
        <f>IF(D41=0,G41,(1/D41)*cnst_fish!$C$6)</f>
        <v>0</v>
      </c>
      <c r="F41" s="37">
        <f>SUMIF(fish_commodity_yield_n!$C$7:$C$137,A41,fish_commodity_yield_n!$H$7:$H$137)</f>
        <v>0</v>
      </c>
      <c r="G41" s="151">
        <f>VLOOKUP(A41,fish_group_yield_w!$A$7:$H$47,8,FALSE)</f>
        <v>0</v>
      </c>
      <c r="H41" s="429">
        <f>SUMIF(aquaculture_production_n!$C$7:$C$576,A41,aquaculture_production_n!$D$7:$D$576)</f>
        <v>0</v>
      </c>
      <c r="I41" s="2">
        <f>VLOOKUP(A41,aquaculture_yields!$A$7:$H$46,7,FALSE)</f>
        <v>0</v>
      </c>
      <c r="J41" s="2">
        <f t="shared" si="0"/>
        <v>0</v>
      </c>
      <c r="K41" s="490">
        <f>IF(ISERROR((VLOOKUP(A41,fish_group_yield_w!$A$7:$I$47,9,FALSE)*F41+H41*VLOOKUP(A41,aquaculture_yields!$A$7:$I$46,9,FALSE))/(B41+F41+H41)),VLOOKUP(A41,fish_group_yield_w!$A$7:$I$47,9,FALSE),(VLOOKUP(A41,fish_group_yield_w!$A$7:$I$47,9,FALSE)*F41+H41*VLOOKUP(A41,aquaculture_yields!$A$7:$I$46,9,FALSE))/(B41+F41+H41))</f>
        <v>0</v>
      </c>
    </row>
    <row r="42" spans="1:11">
      <c r="A42" s="27" t="s">
        <v>1805</v>
      </c>
      <c r="B42" s="37">
        <f>SUMIF(fish_efp!$N$7:$N$1873,A42,fish_efp!$P$7:$P$1873)</f>
        <v>9068</v>
      </c>
      <c r="C42" s="210">
        <f t="array" ref="C42">IF(ISERROR(1+LOG(SUM(IF(fish_efp!$N$7:$N$1873=A42,fish_efp!$P$7:$P$1873*fish_efp!$S$7:$S$1873,0))*9/(SUM(IF(fish_efp!$N$7:$N$1873=A42,fish_efp!$P$7:$P$1873,0))*cnst_fish!$C$7),1/cnst_fish!$C$8)),0,1+LOG(SUM(IF(fish_efp!$N$7:$N$1873=A42,fish_efp!$P$7:$P$1873*fish_efp!$S$7:$S$1873,0))*9/(SUM(IF(fish_efp!$N$7:$N$1873=A42,fish_efp!$P$7:$P$1873,0))*cnst_fish!$C$7),1/cnst_fish!$C$8))</f>
        <v>2.2000000000000002</v>
      </c>
      <c r="D42" s="117">
        <f>IF(C42=0,0,(1/9)*cnst_fish!$C$7*(1/cnst_fish!$C$8)^(C42-1))</f>
        <v>2.2351057842400328</v>
      </c>
      <c r="E42" s="117">
        <f>IF(D42=0,G42,(1/D42)*cnst_fish!$C$6)</f>
        <v>1.9014759972289452</v>
      </c>
      <c r="F42" s="37">
        <f>SUMIF(fish_commodity_yield_n!$C$7:$C$137,A42,fish_commodity_yield_n!$H$7:$H$137)</f>
        <v>0</v>
      </c>
      <c r="G42" s="151">
        <f>VLOOKUP(A42,fish_group_yield_w!$A$7:$H$47,8,FALSE)</f>
        <v>1.8991659572275399</v>
      </c>
      <c r="H42" s="429">
        <f>SUMIF(aquaculture_production_n!$C$7:$C$576,A42,aquaculture_production_n!$D$7:$D$576)</f>
        <v>0</v>
      </c>
      <c r="I42" s="2">
        <f>VLOOKUP(A42,aquaculture_yields!$A$7:$H$46,7,FALSE)</f>
        <v>3.6752435407975743</v>
      </c>
      <c r="J42" s="2">
        <f t="shared" si="0"/>
        <v>1.9014759972289452</v>
      </c>
      <c r="K42" s="490">
        <f>IF(ISERROR((VLOOKUP(A42,fish_group_yield_w!$A$7:$I$47,9,FALSE)*F42+H42*VLOOKUP(A42,aquaculture_yields!$A$7:$I$46,9,FALSE))/(B42+F42+H42)),VLOOKUP(A42,fish_group_yield_w!$A$7:$I$47,9,FALSE),(VLOOKUP(A42,fish_group_yield_w!$A$7:$I$47,9,FALSE)*F42+H42*VLOOKUP(A42,aquaculture_yields!$A$7:$I$46,9,FALSE))/(B42+F42+H42))</f>
        <v>0</v>
      </c>
    </row>
    <row r="43" spans="1:11">
      <c r="A43" s="27" t="s">
        <v>2429</v>
      </c>
      <c r="B43" s="37">
        <f>SUMIF(fish_efp!$N$7:$N$1873,A43,fish_efp!$P$7:$P$1873)</f>
        <v>41</v>
      </c>
      <c r="C43" s="210">
        <f t="array" ref="C43">IF(ISERROR(1+LOG(SUM(IF(fish_efp!$N$7:$N$1873=A43,fish_efp!$P$7:$P$1873*fish_efp!$S$7:$S$1873,0))*9/(SUM(IF(fish_efp!$N$7:$N$1873=A43,fish_efp!$P$7:$P$1873,0))*cnst_fish!$C$7),1/cnst_fish!$C$8)),0,1+LOG(SUM(IF(fish_efp!$N$7:$N$1873=A43,fish_efp!$P$7:$P$1873*fish_efp!$S$7:$S$1873,0))*9/(SUM(IF(fish_efp!$N$7:$N$1873=A43,fish_efp!$P$7:$P$1873,0))*cnst_fish!$C$7),1/cnst_fish!$C$8))</f>
        <v>2.4061517336497644</v>
      </c>
      <c r="D43" s="117">
        <f>IF(C43=0,0,(1/9)*cnst_fish!$C$7*(1/cnst_fish!$C$8)^(C43-1))</f>
        <v>3.5929387699346442</v>
      </c>
      <c r="E43" s="117">
        <f>IF(D43=0,G43,(1/D43)*cnst_fish!$C$6)</f>
        <v>1.1828757104250089</v>
      </c>
      <c r="F43" s="37">
        <f>SUMIF(fish_commodity_yield_n!$C$7:$C$137,A43,fish_commodity_yield_n!$H$7:$H$137)</f>
        <v>0</v>
      </c>
      <c r="G43" s="151">
        <f>VLOOKUP(A43,fish_group_yield_w!$A$7:$H$47,8,FALSE)</f>
        <v>0.21624795517030795</v>
      </c>
      <c r="H43" s="429">
        <f>SUMIF(aquaculture_production_n!$C$7:$C$576,A43,aquaculture_production_n!$D$7:$D$576)</f>
        <v>0</v>
      </c>
      <c r="I43" s="2">
        <f>VLOOKUP(A43,aquaculture_yields!$A$7:$H$46,7,FALSE)</f>
        <v>1.9055126488330514</v>
      </c>
      <c r="J43" s="2">
        <f t="shared" si="0"/>
        <v>1.1828757104250089</v>
      </c>
      <c r="K43" s="490">
        <f>IF(ISERROR((VLOOKUP(A43,fish_group_yield_w!$A$7:$I$47,9,FALSE)*F43+H43*VLOOKUP(A43,aquaculture_yields!$A$7:$I$46,9,FALSE))/(B43+F43+H43)),VLOOKUP(A43,fish_group_yield_w!$A$7:$I$47,9,FALSE),(VLOOKUP(A43,fish_group_yield_w!$A$7:$I$47,9,FALSE)*F43+H43*VLOOKUP(A43,aquaculture_yields!$A$7:$I$46,9,FALSE))/(B43+F43+H43))</f>
        <v>0</v>
      </c>
    </row>
    <row r="44" spans="1:11">
      <c r="A44" s="27" t="s">
        <v>1806</v>
      </c>
      <c r="B44" s="37">
        <f>SUMIF(fish_efp!$N$7:$N$1873,A44,fish_efp!$P$7:$P$1873)</f>
        <v>2251651</v>
      </c>
      <c r="C44" s="210">
        <f t="array" ref="C44">IF(ISERROR(1+LOG(SUM(IF(fish_efp!$N$7:$N$1873=A44,fish_efp!$P$7:$P$1873*fish_efp!$S$7:$S$1873,0))*9/(SUM(IF(fish_efp!$N$7:$N$1873=A44,fish_efp!$P$7:$P$1873,0))*cnst_fish!$C$7),1/cnst_fish!$C$8)),0,1+LOG(SUM(IF(fish_efp!$N$7:$N$1873=A44,fish_efp!$P$7:$P$1873*fish_efp!$S$7:$S$1873,0))*9/(SUM(IF(fish_efp!$N$7:$N$1873=A44,fish_efp!$P$7:$P$1873,0))*cnst_fish!$C$7),1/cnst_fish!$C$8))</f>
        <v>3.3862419861578776</v>
      </c>
      <c r="D44" s="117">
        <f>IF(C44=0,0,(1/9)*cnst_fish!$C$7*(1/cnst_fish!$C$8)^(C44-1))</f>
        <v>34.319430192950023</v>
      </c>
      <c r="E44" s="117">
        <f>IF(D44=0,G44,(1/D44)*cnst_fish!$C$6)</f>
        <v>0.12383655486427758</v>
      </c>
      <c r="F44" s="37">
        <f>SUMIF(fish_commodity_yield_n!$C$7:$C$137,A44,fish_commodity_yield_n!$H$7:$H$137)</f>
        <v>250501.69155936819</v>
      </c>
      <c r="G44" s="151">
        <f>VLOOKUP(A44,fish_group_yield_w!$A$7:$H$47,8,FALSE)</f>
        <v>0.10354027585612119</v>
      </c>
      <c r="H44" s="429">
        <f>SUMIF(aquaculture_production_n!$C$7:$C$576,A44,aquaculture_production_n!$D$7:$D$576)</f>
        <v>167369</v>
      </c>
      <c r="I44" s="2">
        <f>VLOOKUP(A44,aquaculture_yields!$A$7:$H$46,7,FALSE)</f>
        <v>1.9055126488330514</v>
      </c>
      <c r="J44" s="2">
        <f t="shared" si="0"/>
        <v>0.12902696997021698</v>
      </c>
      <c r="K44" s="490">
        <f>IF(ISERROR((VLOOKUP(A44,fish_group_yield_w!$A$7:$I$47,9,FALSE)*F44+H44*VLOOKUP(A44,aquaculture_yields!$A$7:$I$46,9,FALSE))/(B44+F44+H44)),VLOOKUP(A44,fish_group_yield_w!$A$7:$I$47,9,FALSE),(VLOOKUP(A44,fish_group_yield_w!$A$7:$I$47,9,FALSE)*F44+H44*VLOOKUP(A44,aquaculture_yields!$A$7:$I$46,9,FALSE))/(B44+F44+H44))</f>
        <v>6.7728514583083904E-2</v>
      </c>
    </row>
    <row r="45" spans="1:11">
      <c r="A45" s="316" t="s">
        <v>3615</v>
      </c>
      <c r="B45" s="430">
        <f>SUM(fishmeal_fishes!$E$7:$E$30)</f>
        <v>728471</v>
      </c>
      <c r="C45" s="317">
        <f t="array" ref="C45">IF(ISERROR(1+LOG(SUM(IF(fish_efp!$N$7:$N$1873=A45,fish_efp!$P$7:$P$1873*fish_efp!$S$7:$S$1873,0))*9/(SUM(IF(fish_efp!$N$7:$N$1873=A45,fish_efp!$P$7:$P$1873,0))*cnst_fish!$C$7),1/cnst_fish!$C$8)),0,1+LOG(SUM(IF(fish_efp!$N$7:$N$1873=A45,fish_efp!$P$7:$P$1873*fish_efp!$S$7:$S$1873,0))*9/(SUM(IF(fish_efp!$N$7:$N$1873=A45,fish_efp!$P$7:$P$1873,0))*cnst_fish!$C$7),1/cnst_fish!$C$8))</f>
        <v>0</v>
      </c>
      <c r="D45" s="317"/>
      <c r="E45" s="317">
        <f>fishmeal_fishes!G37</f>
        <v>1.7626746170419332</v>
      </c>
      <c r="F45" s="430">
        <f>SUM(fishmeal_fishes!$D$35:$D$36)</f>
        <v>0</v>
      </c>
      <c r="G45" s="421">
        <f>VLOOKUP(A45,fish_group_yield_w!$A$7:$H$47,8,FALSE)</f>
        <v>0.35241187973136101</v>
      </c>
      <c r="H45" s="431"/>
      <c r="I45" s="423"/>
      <c r="J45" s="423">
        <f>IF(ISERROR((H45+F45+B45)/(IF(ISERROR(B45/E45),0,B45/E45)+IF(ISERROR(F45/G45),0,F45/G45)+IF(ISERROR(H45/I45),0,H45/I45))),G45,((H45+F45+B45)/(IF(ISERROR(B45/E45),0,B45/E45)+IF(ISERROR(F45/G45),0,F45/G45)+IF(ISERROR(H45/I45),0,H45/I45))))</f>
        <v>1.7626746170419332</v>
      </c>
      <c r="K45" s="491"/>
    </row>
    <row r="46" spans="1:11">
      <c r="A46" s="27" t="s">
        <v>1803</v>
      </c>
      <c r="B46" s="37">
        <f>SUMIF(fish_efp!$O$7:$O$1873,"*"&amp;"Fish"&amp;"*",fish_efp!$P$7:$P$1873)</f>
        <v>4135939</v>
      </c>
      <c r="C46" s="210">
        <f>IF(ISERROR(1+LOG(SUM(IF(RIGHT(fish_efp!$O$7:$O$1873,4)="Fish",fish_efp!$P$7:$P$1873*fish_efp!$S$7:$S$1873,0))*9/(SUM(IF(RIGHT(fish_efp!$O$7:$O$1873,4)="Fish",fish_efp!$P$7:$P$1873,0))*cnst_fish!$C$7),1/cnst_fish!$C$8)),0,1+LOG(SUM(IF(RIGHT(fish_efp!$O$7:$O$1873,4)="Fish",fish_efp!$P$7:$P$1873*fish_efp!$S$7:$S$1873,0))*9/(SUM(IF(RIGHT(fish_efp!$O$7:$O$1873,4)="Fish",fish_efp!$P$7:$P$1873,0))*cnst_fish!$C$7),1/cnst_fish!$C$8))</f>
        <v>0</v>
      </c>
      <c r="D46" s="117">
        <f>IF(C46=0,0,(1/9)*cnst_fish!$C$7*(1/cnst_fish!$C$8)^(C46-1))</f>
        <v>0</v>
      </c>
      <c r="E46" s="117">
        <f>IF(D46=0,G46,(1/D46)*cnst_fish!$C$6)</f>
        <v>7.3387292186792338E-2</v>
      </c>
      <c r="F46" s="37">
        <f>SUMIF(fish_commodity_yield_n!$C$7:$C$137,A46,fish_commodity_yield_n!$H$7:$H$137)</f>
        <v>15846.419354838708</v>
      </c>
      <c r="G46" s="151">
        <f>VLOOKUP(A46,fish_group_yield_w!$A$7:$H$47,8,FALSE)</f>
        <v>7.3387292186792338E-2</v>
      </c>
      <c r="H46" s="429">
        <f>SUMIF(aquaculture_production_n!$C$7:$C$576,A46,aquaculture_production_n!$D$7:$D$576)</f>
        <v>0</v>
      </c>
      <c r="I46" s="2">
        <f>VLOOKUP(A46,aquaculture_yields!$A$7:$H$46,7,FALSE)</f>
        <v>0</v>
      </c>
      <c r="J46" s="62">
        <f t="shared" si="0"/>
        <v>7.3387292186792338E-2</v>
      </c>
      <c r="K46" s="490">
        <f>IF(ISERROR((VLOOKUP(A46,fish_group_yield_w!$A$7:$I$47,9,FALSE)*F46+H46*VLOOKUP(A46,aquaculture_yields!$A$7:$I$46,9,FALSE))/(B46+F46+H46)),VLOOKUP(A46,fish_group_yield_w!$A$7:$I$47,9,FALSE),(VLOOKUP(A46,fish_group_yield_w!$A$7:$I$47,9,FALSE)*F46+H46*VLOOKUP(A46,aquaculture_yields!$A$7:$I$46,9,FALSE))/(B46+F46+H46))</f>
        <v>0</v>
      </c>
    </row>
    <row r="47" spans="1:11">
      <c r="A47" s="119" t="s">
        <v>2443</v>
      </c>
      <c r="B47" s="38">
        <f>SUM(fish_efp!P$7:P$1873)</f>
        <v>5145155.55</v>
      </c>
      <c r="C47" s="847">
        <f t="array" ref="C47">IF(ISERROR(1+LOG(SUM(fish_efp!$P$7:$P$1873*fish_efp!$S$7:$S$1873)*9/(SUM(fish_efp!$P$7:$P$1873)*cnst_fish!$C$7),1/cnst_fish!$C$8)),0,1+LOG(SUM(fish_efp!$P$7:$P$1873*fish_efp!$S$7:$S$1873)*9/(SUM(fish_efp!$P$7:$P$1873)*cnst_fish!$C$7),1/cnst_fish!$C$8))</f>
        <v>3.77645965670495</v>
      </c>
      <c r="D47" s="120">
        <f>IF(C47=0,0,(1/9)*cnst_fish!$C$7*(1/cnst_fish!$C$8)^(C47-1))</f>
        <v>84.286445475254638</v>
      </c>
      <c r="E47" s="120">
        <f>IF(D47=0,G47,(1/D47)*cnst_fish!$C$6)</f>
        <v>5.0423291384944481E-2</v>
      </c>
      <c r="F47" s="38">
        <f>SUMIF(fish_commodity_yield_n!$C$7:$C$137,A47,fish_commodity_yield_n!$H$7:$H$137)</f>
        <v>0</v>
      </c>
      <c r="G47" s="152">
        <f>VLOOKUP(A47,fish_group_yield_w!$A$7:$H$47,8,FALSE)</f>
        <v>5.6120981949562131E-2</v>
      </c>
      <c r="H47" s="74">
        <f>SUMIF(aquaculture_production_n!$C$7:$C$576,A47,aquaculture_production_n!$D$7:$D$576)</f>
        <v>0</v>
      </c>
      <c r="I47" s="729">
        <f>VLOOKUP(A47,aquaculture_yields!$A$7:$H$46,7,FALSE)</f>
        <v>0</v>
      </c>
      <c r="J47" s="729">
        <f t="shared" si="0"/>
        <v>5.0423291384944481E-2</v>
      </c>
      <c r="K47" s="492">
        <f>IF(ISERROR((VLOOKUP(A47,fish_group_yield_w!$A$7:$I$47,9,FALSE)*F47+H47*VLOOKUP(A47,aquaculture_yields!$A$7:$I$46,9,FALSE))/(B47+F47+H47)),VLOOKUP(A47,fish_group_yield_w!$A$7:$I$47,9,FALSE),(VLOOKUP(A47,fish_group_yield_w!$A$7:$I$47,9,FALSE)*F47+H47*VLOOKUP(A47,aquaculture_yields!$A$7:$I$46,9,FALSE))/(B47+F47+H47))</f>
        <v>0</v>
      </c>
    </row>
  </sheetData>
  <phoneticPr fontId="0" type="noConversion"/>
  <hyperlinks>
    <hyperlink ref="D2" location="fish_capture_yield!A1" tooltip="Go to fish_capture_yield_w" display="fish_capture_yield"/>
    <hyperlink ref="E2" location="cnst_fish!A1" tooltip="Go to cnst_fish" display="cnst_fish"/>
    <hyperlink ref="F2" location="fish_commodity_yield_n!A1" tooltip="Go to fish_commodity_yield_n" display="fish_commodity_yield_n"/>
    <hyperlink ref="D3" location="fish_commodity_yield_n!A1" tooltip="Go to fish_commodity_yield_n" display="fish_commodity_yield_n"/>
    <hyperlink ref="G2" location="fish_group_yield_w!A1" display="fish_group_yield_w"/>
    <hyperlink ref="H2" location="aquaculture_production_n!A1" display="aquaculture_production_n"/>
    <hyperlink ref="I2" location="aquaculture_yields!A1" display="aquaculture_yields"/>
    <hyperlink ref="E3" location="fishmeal_fishes!A1" display="fishmeal_fishes"/>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enableFormatConditionsCalculation="0">
    <tabColor rgb="FF0000FF"/>
  </sheetPr>
  <dimension ref="A1:I47"/>
  <sheetViews>
    <sheetView workbookViewId="0">
      <selection activeCell="A65536" sqref="A65536"/>
    </sheetView>
  </sheetViews>
  <sheetFormatPr baseColWidth="10" defaultColWidth="9.1640625" defaultRowHeight="12" x14ac:dyDescent="0"/>
  <cols>
    <col min="1" max="1" width="24" style="124" customWidth="1"/>
    <col min="2" max="9" width="21.6640625" style="124" customWidth="1"/>
    <col min="10" max="16384" width="9.1640625" style="124"/>
  </cols>
  <sheetData>
    <row r="1" spans="1:9" s="53" customFormat="1" ht="12.75" customHeight="1">
      <c r="B1" s="123"/>
      <c r="C1" s="123"/>
      <c r="D1" s="123"/>
      <c r="E1" s="123"/>
      <c r="F1" s="123"/>
      <c r="G1" s="123"/>
      <c r="H1" s="123"/>
      <c r="I1" s="123"/>
    </row>
    <row r="2" spans="1:9" s="53" customFormat="1" ht="12.75" customHeight="1">
      <c r="B2" s="736"/>
      <c r="C2" s="54" t="s">
        <v>1005</v>
      </c>
      <c r="D2" s="1064" t="s">
        <v>5415</v>
      </c>
      <c r="E2" s="1064" t="s">
        <v>5420</v>
      </c>
      <c r="F2" s="1064" t="s">
        <v>5419</v>
      </c>
      <c r="G2" s="1064" t="s">
        <v>1840</v>
      </c>
    </row>
    <row r="3" spans="1:9" s="53" customFormat="1" ht="12.75" customHeight="1">
      <c r="B3" s="736"/>
      <c r="C3" s="54" t="s">
        <v>1006</v>
      </c>
      <c r="D3" s="1064" t="s">
        <v>1841</v>
      </c>
      <c r="E3" s="1064" t="s">
        <v>1842</v>
      </c>
      <c r="F3" s="1064"/>
      <c r="G3" s="1064"/>
    </row>
    <row r="4" spans="1:9" s="53" customFormat="1" ht="12.75" customHeight="1"/>
    <row r="5" spans="1:9">
      <c r="A5" s="410" t="s">
        <v>103</v>
      </c>
      <c r="B5" s="315" t="s">
        <v>4060</v>
      </c>
      <c r="C5" s="315" t="s">
        <v>4062</v>
      </c>
      <c r="D5" s="315" t="s">
        <v>2362</v>
      </c>
      <c r="E5" s="315" t="s">
        <v>4462</v>
      </c>
      <c r="F5" s="315" t="s">
        <v>4461</v>
      </c>
      <c r="G5" s="315" t="s">
        <v>4460</v>
      </c>
      <c r="H5" s="315" t="s">
        <v>4459</v>
      </c>
      <c r="I5" s="427" t="s">
        <v>4446</v>
      </c>
    </row>
    <row r="6" spans="1:9">
      <c r="A6" s="310" t="s">
        <v>548</v>
      </c>
      <c r="B6" s="307" t="s">
        <v>4965</v>
      </c>
      <c r="C6" s="308" t="s">
        <v>548</v>
      </c>
      <c r="D6" s="307" t="s">
        <v>3363</v>
      </c>
      <c r="E6" s="424" t="s">
        <v>3364</v>
      </c>
      <c r="F6" s="308" t="s">
        <v>4458</v>
      </c>
      <c r="G6" s="308" t="s">
        <v>3364</v>
      </c>
      <c r="H6" s="308" t="s">
        <v>3364</v>
      </c>
      <c r="I6" s="428" t="s">
        <v>4454</v>
      </c>
    </row>
    <row r="7" spans="1:9">
      <c r="A7" s="32" t="s">
        <v>1808</v>
      </c>
      <c r="B7" s="37">
        <f>SUMIF(fish_efp!$N$7:$N$1873,A7,fish_efp!$Q$7:$Q$1873)</f>
        <v>1270394</v>
      </c>
      <c r="C7" s="210">
        <f t="array" ref="C7">IF(ISERROR(1+LOG(SUM(IF(fish_efp!$N$7:$N$1873=A7,fish_efp!$Q$7:$Q$1873*fish_efp!$S$7:$S$1873,0))*9/(SUM(IF(fish_efp!$N$7:$N$1873=A7,fish_efp!$Q$7:$Q$1873,0))*cnst_fish!$C$7),1/cnst_fish!$C$8)),0,1+LOG(SUM(IF(fish_efp!$N$7:$N$1873=A7,fish_efp!$Q$7:$Q$1873*fish_efp!$S$7:$S$1873,0))*9/(SUM(IF(fish_efp!$N$7:$N$1873=A7,fish_efp!$Q$7:$Q$1873,0))*cnst_fish!$C$7),1/cnst_fish!$C$8))</f>
        <v>1.1091062556049087</v>
      </c>
      <c r="D7" s="149">
        <f>IF(C7=0,0,(1/9)*cnst_fish!$C$7*(1/cnst_fish!$C$8)^(C7-1))</f>
        <v>0.18130272768597572</v>
      </c>
      <c r="E7" s="149">
        <f>IF(ISERROR((1/D7)*cnst_fish!$C$6),0,(1/D7)*cnst_fish!$C$6)</f>
        <v>23.441456475829678</v>
      </c>
      <c r="F7" s="1357">
        <f>SUMIF(aquaculture_production_w!$C$7:$C$576,A7,aquaculture_production_w!$D$7:$D$576)</f>
        <v>1718594.2</v>
      </c>
      <c r="G7" s="1344">
        <f>VLOOKUP(A7,aquaculture_yields!$A$7:$H$46,8,FALSE)</f>
        <v>0</v>
      </c>
      <c r="H7" s="159">
        <f>IF(ISERROR((B7+F7)/(IF(ISERROR(F7/G7),0,F7/G7)+IF(ISERROR(B7/E7),0,B7/E7))),0,(B7+F7)/(IF(ISERROR(F7/G7),0,F7/G7)+IF(ISERROR(B7/E7),0,B7/E7)))</f>
        <v>55.153154688284502</v>
      </c>
      <c r="I7" s="493">
        <f>IFERROR(VLOOKUP(A7,aquaculture_yields!$A$7:$I$46,9,FALSE)*F7/(F7+B7),0)</f>
        <v>0</v>
      </c>
    </row>
    <row r="8" spans="1:9">
      <c r="A8" s="27" t="s">
        <v>2969</v>
      </c>
      <c r="B8" s="37">
        <f>SUMIF(fish_efp!$N$7:$N$1873,A8,fish_efp!$Q$7:$Q$1873)</f>
        <v>2747662</v>
      </c>
      <c r="C8" s="210">
        <f t="array" ref="C8">IF(ISERROR(1+LOG(SUM(IF(fish_efp!$N$7:$N$1873=A8,fish_efp!$Q$7:$Q$1873*fish_efp!$S$7:$S$1873,0))*9/(SUM(IF(fish_efp!$N$7:$N$1873=A8,fish_efp!$Q$7:$Q$1873,0))*cnst_fish!$C$7),1/cnst_fish!$C$8)),0,1+LOG(SUM(IF(fish_efp!$N$7:$N$1873=A8,fish_efp!$Q$7:$Q$1873*fish_efp!$S$7:$S$1873,0))*9/(SUM(IF(fish_efp!$N$7:$N$1873=A8,fish_efp!$Q$7:$Q$1873,0))*cnst_fish!$C$7),1/cnst_fish!$C$8))</f>
        <v>4.3545219205062473</v>
      </c>
      <c r="D8" s="117">
        <f>IF(C8=0,0,(1/9)*cnst_fish!$C$7*(1/cnst_fish!$C$8)^(C8-1))</f>
        <v>319.02153692846548</v>
      </c>
      <c r="E8" s="117">
        <f>IF(ISERROR((1/D8)*cnst_fish!$C$6),0,(1/D8)*cnst_fish!$C$6)</f>
        <v>1.3321984593638836E-2</v>
      </c>
      <c r="F8" s="1357">
        <f>SUMIF(aquaculture_production_w!$C$7:$C$576,A8,aquaculture_production_w!$D$7:$D$576)</f>
        <v>29051.149999999998</v>
      </c>
      <c r="G8" s="1344">
        <f>VLOOKUP(A8,aquaculture_yields!$A$7:$H$46,8,FALSE)</f>
        <v>0.38096951526656342</v>
      </c>
      <c r="H8" s="708">
        <f t="shared" ref="H8:H47" si="0">IF(ISERROR((B8+F8)/(IF(ISERROR(F8/G8),0,F8/G8)+IF(ISERROR(B8/E8),0,B8/E8))),0,(B8+F8)/(IF(ISERROR(F8/G8),0,F8/G8)+IF(ISERROR(B8/E8),0,B8/E8)))</f>
        <v>1.3457862809741065E-2</v>
      </c>
      <c r="I8" s="493">
        <f>IFERROR(VLOOKUP(A8,aquaculture_yields!$A$7:$I$46,9,FALSE)*F8/(F8+B8),0)</f>
        <v>7.3622421929813477E-3</v>
      </c>
    </row>
    <row r="9" spans="1:9">
      <c r="A9" s="27" t="s">
        <v>104</v>
      </c>
      <c r="B9" s="37">
        <f>SUMIF(fish_efp!$N$7:$N$1873,A9,fish_efp!$Q$7:$Q$1873)</f>
        <v>8460217</v>
      </c>
      <c r="C9" s="210">
        <f t="array" ref="C9">IF(ISERROR(1+LOG(SUM(IF(fish_efp!$N$7:$N$1873=A9,fish_efp!$Q$7:$Q$1873*fish_efp!$S$7:$S$1873,0))*9/(SUM(IF(fish_efp!$N$7:$N$1873=A9,fish_efp!$Q$7:$Q$1873,0))*cnst_fish!$C$7),1/cnst_fish!$C$8)),0,1+LOG(SUM(IF(fish_efp!$N$7:$N$1873=A9,fish_efp!$Q$7:$Q$1873*fish_efp!$S$7:$S$1873,0))*9/(SUM(IF(fish_efp!$N$7:$N$1873=A9,fish_efp!$Q$7:$Q$1873,0))*cnst_fish!$C$7),1/cnst_fish!$C$8))</f>
        <v>2.7796148736400759</v>
      </c>
      <c r="D9" s="117">
        <f>IF(C9=0,0,(1/9)*cnst_fish!$C$7*(1/cnst_fish!$C$8)^(C9-1))</f>
        <v>8.4901029427200712</v>
      </c>
      <c r="E9" s="117">
        <f>IF(ISERROR((1/D9)*cnst_fish!$C$6),0,(1/D9)*cnst_fish!$C$6)</f>
        <v>0.50058285849692874</v>
      </c>
      <c r="F9" s="1357">
        <f>SUMIF(aquaculture_production_w!$C$7:$C$576,A9,aquaculture_production_w!$D$7:$D$576)</f>
        <v>0</v>
      </c>
      <c r="G9" s="1344">
        <f>VLOOKUP(A9,aquaculture_yields!$A$7:$H$46,8,FALSE)</f>
        <v>0</v>
      </c>
      <c r="H9" s="708">
        <f t="shared" si="0"/>
        <v>0.50058285849692874</v>
      </c>
      <c r="I9" s="493">
        <f>IFERROR(VLOOKUP(A9,aquaculture_yields!$A$7:$I$46,9,FALSE)*F9/(F9+B9),0)</f>
        <v>0</v>
      </c>
    </row>
    <row r="10" spans="1:9">
      <c r="A10" s="27" t="s">
        <v>5365</v>
      </c>
      <c r="B10" s="37">
        <f>SUMIF(fish_efp!$N$7:$N$1873,A10,fish_efp!$Q$7:$Q$1873)</f>
        <v>202404</v>
      </c>
      <c r="C10" s="210">
        <f t="array" ref="C10">IF(ISERROR(1+LOG(SUM(IF(fish_efp!$N$7:$N$1873=A10,fish_efp!$Q$7:$Q$1873*fish_efp!$S$7:$S$1873,0))*9/(SUM(IF(fish_efp!$N$7:$N$1873=A10,fish_efp!$Q$7:$Q$1873,0))*cnst_fish!$C$7),1/cnst_fish!$C$8)),0,1+LOG(SUM(IF(fish_efp!$N$7:$N$1873=A10,fish_efp!$Q$7:$Q$1873*fish_efp!$S$7:$S$1873,0))*9/(SUM(IF(fish_efp!$N$7:$N$1873=A10,fish_efp!$Q$7:$Q$1873,0))*cnst_fish!$C$7),1/cnst_fish!$C$8))</f>
        <v>2.8553636085085903</v>
      </c>
      <c r="D10" s="117">
        <f>IF(C10=0,0,(1/9)*cnst_fish!$C$7*(1/cnst_fish!$C$8)^(C10-1))</f>
        <v>10.10791755563052</v>
      </c>
      <c r="E10" s="117">
        <f>IF(ISERROR((1/D10)*cnst_fish!$C$6),0,(1/D10)*cnst_fish!$C$6)</f>
        <v>0.42046247178110174</v>
      </c>
      <c r="F10" s="1357">
        <f>SUMIF(aquaculture_production_w!$C$7:$C$576,A10,aquaculture_production_w!$D$7:$D$576)</f>
        <v>17846294.540000003</v>
      </c>
      <c r="G10" s="1344">
        <f>VLOOKUP(A10,aquaculture_yields!$A$7:$H$46,8,FALSE)</f>
        <v>2.7765234955093545</v>
      </c>
      <c r="H10" s="708">
        <f t="shared" si="0"/>
        <v>2.6123639370272977</v>
      </c>
      <c r="I10" s="493">
        <f>IFERROR(VLOOKUP(A10,aquaculture_yields!$A$7:$I$46,9,FALSE)*F10/(F10+B10),0)</f>
        <v>0.58295732159324032</v>
      </c>
    </row>
    <row r="11" spans="1:9">
      <c r="A11" s="27" t="s">
        <v>4154</v>
      </c>
      <c r="B11" s="37">
        <f>SUMIF(fish_efp!$N$7:$N$1873,A11,fish_efp!$Q$7:$Q$1873)</f>
        <v>308615</v>
      </c>
      <c r="C11" s="210">
        <f t="array" ref="C11">IF(ISERROR(1+LOG(SUM(IF(fish_efp!$N$7:$N$1873=A11,fish_efp!$Q$7:$Q$1873*fish_efp!$S$7:$S$1873,0))*9/(SUM(IF(fish_efp!$N$7:$N$1873=A11,fish_efp!$Q$7:$Q$1873,0))*cnst_fish!$C$7),1/cnst_fish!$C$8)),0,1+LOG(SUM(IF(fish_efp!$N$7:$N$1873=A11,fish_efp!$Q$7:$Q$1873*fish_efp!$S$7:$S$1873,0))*9/(SUM(IF(fish_efp!$N$7:$N$1873=A11,fish_efp!$Q$7:$Q$1873,0))*cnst_fish!$C$7),1/cnst_fish!$C$8))</f>
        <v>4.38</v>
      </c>
      <c r="D11" s="117">
        <f>IF(C11=0,0,(1/9)*cnst_fish!$C$7*(1/cnst_fish!$C$8)^(C11-1))</f>
        <v>338.2969501181334</v>
      </c>
      <c r="E11" s="117">
        <f>IF(ISERROR((1/D11)*cnst_fish!$C$6),0,(1/D11)*cnst_fish!$C$6)</f>
        <v>1.256292732912874E-2</v>
      </c>
      <c r="F11" s="1357">
        <f>SUMIF(aquaculture_production_w!$C$7:$C$576,A11,aquaculture_production_w!$D$7:$D$576)</f>
        <v>0</v>
      </c>
      <c r="G11" s="1344">
        <f>VLOOKUP(A11,aquaculture_yields!$A$7:$H$46,8,FALSE)</f>
        <v>0</v>
      </c>
      <c r="H11" s="708">
        <f t="shared" si="0"/>
        <v>1.256292732912874E-2</v>
      </c>
      <c r="I11" s="493">
        <f>IFERROR(VLOOKUP(A11,aquaculture_yields!$A$7:$I$46,9,FALSE)*F11/(F11+B11),0)</f>
        <v>0</v>
      </c>
    </row>
    <row r="12" spans="1:9">
      <c r="A12" s="27" t="s">
        <v>5366</v>
      </c>
      <c r="B12" s="37">
        <f>SUMIF(fish_efp!$N$7:$N$1873,A12,fish_efp!$Q$7:$Q$1873)</f>
        <v>1823923</v>
      </c>
      <c r="C12" s="210">
        <f t="array" ref="C12">IF(ISERROR(1+LOG(SUM(IF(fish_efp!$N$7:$N$1873=A12,fish_efp!$Q$7:$Q$1873*fish_efp!$S$7:$S$1873,0))*9/(SUM(IF(fish_efp!$N$7:$N$1873=A12,fish_efp!$Q$7:$Q$1873,0))*cnst_fish!$C$7),1/cnst_fish!$C$8)),0,1+LOG(SUM(IF(fish_efp!$N$7:$N$1873=A12,fish_efp!$Q$7:$Q$1873*fish_efp!$S$7:$S$1873,0))*9/(SUM(IF(fish_efp!$N$7:$N$1873=A12,fish_efp!$Q$7:$Q$1873,0))*cnst_fish!$C$7),1/cnst_fish!$C$8))</f>
        <v>4.3465350264273628</v>
      </c>
      <c r="D12" s="117">
        <f>IF(C12=0,0,(1/9)*cnst_fish!$C$7*(1/cnst_fish!$C$8)^(C12-1))</f>
        <v>313.2081893556728</v>
      </c>
      <c r="E12" s="117">
        <f>IF(ISERROR((1/D12)*cnst_fish!$C$6),0,(1/D12)*cnst_fish!$C$6)</f>
        <v>1.3569249286690226E-2</v>
      </c>
      <c r="F12" s="1357">
        <f>SUMIF(aquaculture_production_w!$C$7:$C$576,A12,aquaculture_production_w!$D$7:$D$576)</f>
        <v>4251.5</v>
      </c>
      <c r="G12" s="1344">
        <f>VLOOKUP(A12,aquaculture_yields!$A$7:$H$46,8,FALSE)</f>
        <v>0.38096951526656342</v>
      </c>
      <c r="H12" s="708">
        <f t="shared" si="0"/>
        <v>1.3599749627385912E-2</v>
      </c>
      <c r="I12" s="493">
        <f>IFERROR(VLOOKUP(A12,aquaculture_yields!$A$7:$I$46,9,FALSE)*F12/(F12+B12),0)</f>
        <v>1.6364484341320647E-3</v>
      </c>
    </row>
    <row r="13" spans="1:9">
      <c r="A13" s="27" t="s">
        <v>5367</v>
      </c>
      <c r="B13" s="37">
        <f>SUMIF(fish_efp!$N$7:$N$1873,A13,fish_efp!$Q$7:$Q$1873)</f>
        <v>4208.2599999999993</v>
      </c>
      <c r="C13" s="210">
        <f t="array" ref="C13">IF(ISERROR(1+LOG(SUM(IF(fish_efp!$N$7:$N$1873=A13,fish_efp!$Q$7:$Q$1873*fish_efp!$S$7:$S$1873,0))*9/(SUM(IF(fish_efp!$N$7:$N$1873=A13,fish_efp!$Q$7:$Q$1873,0))*cnst_fish!$C$7),1/cnst_fish!$C$8)),0,1+LOG(SUM(IF(fish_efp!$N$7:$N$1873=A13,fish_efp!$Q$7:$Q$1873*fish_efp!$S$7:$S$1873,0))*9/(SUM(IF(fish_efp!$N$7:$N$1873=A13,fish_efp!$Q$7:$Q$1873,0))*cnst_fish!$C$7),1/cnst_fish!$C$8))</f>
        <v>2.2999521868434076</v>
      </c>
      <c r="D13" s="117">
        <f>IF(C13=0,0,(1/9)*cnst_fish!$C$7*(1/cnst_fish!$C$8)^(C13-1))</f>
        <v>2.8135217013075691</v>
      </c>
      <c r="E13" s="117">
        <f>IF(ISERROR((1/D13)*cnst_fish!$C$6),0,(1/D13)*cnst_fish!$C$6)</f>
        <v>1.5105623667394623</v>
      </c>
      <c r="F13" s="1357">
        <f>SUMIF(aquaculture_production_w!$C$7:$C$576,A13,aquaculture_production_w!$D$7:$D$576)</f>
        <v>0</v>
      </c>
      <c r="G13" s="1344">
        <f>VLOOKUP(A13,aquaculture_yields!$A$7:$H$46,8,FALSE)</f>
        <v>0</v>
      </c>
      <c r="H13" s="708">
        <f t="shared" si="0"/>
        <v>1.5105623667394623</v>
      </c>
      <c r="I13" s="493">
        <f>IFERROR(VLOOKUP(A13,aquaculture_yields!$A$7:$I$46,9,FALSE)*F13/(F13+B13),0)</f>
        <v>0</v>
      </c>
    </row>
    <row r="14" spans="1:9">
      <c r="A14" s="27" t="s">
        <v>2430</v>
      </c>
      <c r="B14" s="37">
        <f>SUMIF(fish_efp!$N$7:$N$1873,A14,fish_efp!$Q$7:$Q$1873)</f>
        <v>1638323</v>
      </c>
      <c r="C14" s="210">
        <f t="array" ref="C14">IF(ISERROR(1+LOG(SUM(IF(fish_efp!$N$7:$N$1873=A14,fish_efp!$Q$7:$Q$1873*fish_efp!$S$7:$S$1873,0))*9/(SUM(IF(fish_efp!$N$7:$N$1873=A14,fish_efp!$Q$7:$Q$1873,0))*cnst_fish!$C$7),1/cnst_fish!$C$8)),0,1+LOG(SUM(IF(fish_efp!$N$7:$N$1873=A14,fish_efp!$Q$7:$Q$1873*fish_efp!$S$7:$S$1873,0))*9/(SUM(IF(fish_efp!$N$7:$N$1873=A14,fish_efp!$Q$7:$Q$1873,0))*cnst_fish!$C$7),1/cnst_fish!$C$8))</f>
        <v>3.4605384683679987</v>
      </c>
      <c r="D14" s="117">
        <f>IF(C14=0,0,(1/9)*cnst_fish!$C$7*(1/cnst_fish!$C$8)^(C14-1))</f>
        <v>40.722698679930716</v>
      </c>
      <c r="E14" s="117">
        <f>IF(ISERROR((1/D14)*cnst_fish!$C$6),0,(1/D14)*cnst_fish!$C$6)</f>
        <v>0.10436439965346694</v>
      </c>
      <c r="F14" s="1357">
        <f>SUMIF(aquaculture_production_w!$C$7:$C$576,A14,aquaculture_production_w!$D$7:$D$576)</f>
        <v>1030470.73</v>
      </c>
      <c r="G14" s="1344">
        <f>VLOOKUP(A14,aquaculture_yields!$A$7:$H$46,8,FALSE)</f>
        <v>0.38096951526656342</v>
      </c>
      <c r="H14" s="708">
        <f t="shared" si="0"/>
        <v>0.14501976019687007</v>
      </c>
      <c r="I14" s="493">
        <f>IFERROR(VLOOKUP(A14,aquaculture_yields!$A$7:$I$46,9,FALSE)*F14/(F14+B14),0)</f>
        <v>0.27170550653524245</v>
      </c>
    </row>
    <row r="15" spans="1:9">
      <c r="A15" s="27" t="s">
        <v>5368</v>
      </c>
      <c r="B15" s="37">
        <f>SUMIF(fish_efp!$N$7:$N$1873,A15,fish_efp!$Q$7:$Q$1873)</f>
        <v>3241848</v>
      </c>
      <c r="C15" s="210">
        <f t="array" ref="C15">IF(ISERROR(1+LOG(SUM(IF(fish_efp!$N$7:$N$1873=A15,fish_efp!$Q$7:$Q$1873*fish_efp!$S$7:$S$1873,0))*9/(SUM(IF(fish_efp!$N$7:$N$1873=A15,fish_efp!$Q$7:$Q$1873,0))*cnst_fish!$C$7),1/cnst_fish!$C$8)),0,1+LOG(SUM(IF(fish_efp!$N$7:$N$1873=A15,fish_efp!$Q$7:$Q$1873*fish_efp!$S$7:$S$1873,0))*9/(SUM(IF(fish_efp!$N$7:$N$1873=A15,fish_efp!$Q$7:$Q$1873,0))*cnst_fish!$C$7),1/cnst_fish!$C$8))</f>
        <v>3.9092658698559997</v>
      </c>
      <c r="D15" s="117">
        <f>IF(C15=0,0,(1/9)*cnst_fish!$C$7*(1/cnst_fish!$C$8)^(C15-1))</f>
        <v>114.43633814036555</v>
      </c>
      <c r="E15" s="117">
        <f>IF(ISERROR((1/D15)*cnst_fish!$C$6),0,(1/D15)*cnst_fish!$C$6)</f>
        <v>3.7138552920026387E-2</v>
      </c>
      <c r="F15" s="1357">
        <f>SUMIF(aquaculture_production_w!$C$7:$C$576,A15,aquaculture_production_w!$D$7:$D$576)</f>
        <v>0</v>
      </c>
      <c r="G15" s="1344">
        <f>VLOOKUP(A15,aquaculture_yields!$A$7:$H$46,8,FALSE)</f>
        <v>0.38096951526656342</v>
      </c>
      <c r="H15" s="708">
        <f t="shared" si="0"/>
        <v>3.7138552920026387E-2</v>
      </c>
      <c r="I15" s="493">
        <f>IFERROR(VLOOKUP(A15,aquaculture_yields!$A$7:$I$46,9,FALSE)*F15/(F15+B15),0)</f>
        <v>0</v>
      </c>
    </row>
    <row r="16" spans="1:9">
      <c r="A16" s="27" t="s">
        <v>3927</v>
      </c>
      <c r="B16" s="37">
        <f>SUMIF(fish_efp!$N$7:$N$1873,A16,fish_efp!$Q$7:$Q$1873)</f>
        <v>512978</v>
      </c>
      <c r="C16" s="210">
        <f t="array" ref="C16">IF(ISERROR(1+LOG(SUM(IF(fish_efp!$N$7:$N$1873=A16,fish_efp!$Q$7:$Q$1873*fish_efp!$S$7:$S$1873,0))*9/(SUM(IF(fish_efp!$N$7:$N$1873=A16,fish_efp!$Q$7:$Q$1873,0))*cnst_fish!$C$7),1/cnst_fish!$C$8)),0,1+LOG(SUM(IF(fish_efp!$N$7:$N$1873=A16,fish_efp!$Q$7:$Q$1873*fish_efp!$S$7:$S$1873,0))*9/(SUM(IF(fish_efp!$N$7:$N$1873=A16,fish_efp!$Q$7:$Q$1873,0))*cnst_fish!$C$7),1/cnst_fish!$C$8))</f>
        <v>4.0318322479469888</v>
      </c>
      <c r="D16" s="117">
        <f>IF(C16=0,0,(1/9)*cnst_fish!$C$7*(1/cnst_fish!$C$8)^(C16-1))</f>
        <v>151.75056978446349</v>
      </c>
      <c r="E16" s="117">
        <f>IF(ISERROR((1/D16)*cnst_fish!$C$6),0,(1/D16)*cnst_fish!$C$6)</f>
        <v>2.8006484628271378E-2</v>
      </c>
      <c r="F16" s="1357">
        <f>SUMIF(aquaculture_production_w!$C$7:$C$576,A16,aquaculture_production_w!$D$7:$D$576)</f>
        <v>0</v>
      </c>
      <c r="G16" s="1344">
        <f>VLOOKUP(A16,aquaculture_yields!$A$7:$H$46,8,FALSE)</f>
        <v>0</v>
      </c>
      <c r="H16" s="708">
        <f t="shared" si="0"/>
        <v>2.8006484628271378E-2</v>
      </c>
      <c r="I16" s="493">
        <f>IFERROR(VLOOKUP(A16,aquaculture_yields!$A$7:$I$46,9,FALSE)*F16/(F16+B16),0)</f>
        <v>0</v>
      </c>
    </row>
    <row r="17" spans="1:9">
      <c r="A17" s="17" t="s">
        <v>3928</v>
      </c>
      <c r="B17" s="37">
        <f>SUMIF(fish_efp!$N$7:$N$1873,A17,fish_efp!$Q$7:$Q$1873)</f>
        <v>447544</v>
      </c>
      <c r="C17" s="210">
        <f t="array" ref="C17">IF(ISERROR(1+LOG(SUM(IF(fish_efp!$N$7:$N$1873=A17,fish_efp!$Q$7:$Q$1873*fish_efp!$S$7:$S$1873,0))*9/(SUM(IF(fish_efp!$N$7:$N$1873=A17,fish_efp!$Q$7:$Q$1873,0))*cnst_fish!$C$7),1/cnst_fish!$C$8)),0,1+LOG(SUM(IF(fish_efp!$N$7:$N$1873=A17,fish_efp!$Q$7:$Q$1873*fish_efp!$S$7:$S$1873,0))*9/(SUM(IF(fish_efp!$N$7:$N$1873=A17,fish_efp!$Q$7:$Q$1873,0))*cnst_fish!$C$7),1/cnst_fish!$C$8))</f>
        <v>4.0647463504339481</v>
      </c>
      <c r="D17" s="117">
        <f>IF(C17=0,0,(1/9)*cnst_fish!$C$7*(1/cnst_fish!$C$8)^(C17-1))</f>
        <v>163.6983993572149</v>
      </c>
      <c r="E17" s="117">
        <f>IF(ISERROR((1/D17)*cnst_fish!$C$6),0,(1/D17)*cnst_fish!$C$6)</f>
        <v>2.5962379697591614E-2</v>
      </c>
      <c r="F17" s="1357">
        <f>SUMIF(aquaculture_production_w!$C$7:$C$576,A17,aquaculture_production_w!$D$7:$D$576)</f>
        <v>577939.73</v>
      </c>
      <c r="G17" s="1344">
        <f>VLOOKUP(A17,aquaculture_yields!$A$7:$H$46,8,FALSE)</f>
        <v>0.14331193949338461</v>
      </c>
      <c r="H17" s="708">
        <f t="shared" si="0"/>
        <v>4.821061216116658E-2</v>
      </c>
      <c r="I17" s="493">
        <f>IFERROR(VLOOKUP(A17,aquaculture_yields!$A$7:$I$46,9,FALSE)*F17/(F17+B17),0)</f>
        <v>0.28070190870211753</v>
      </c>
    </row>
    <row r="18" spans="1:9">
      <c r="A18" s="17" t="s">
        <v>3929</v>
      </c>
      <c r="B18" s="37">
        <f>SUMIF(fish_efp!$N$7:$N$1873,A18,fish_efp!$Q$7:$Q$1873)</f>
        <v>148266</v>
      </c>
      <c r="C18" s="210">
        <f t="array" ref="C18">IF(ISERROR(1+LOG(SUM(IF(fish_efp!$N$7:$N$1873=A18,fish_efp!$Q$7:$Q$1873*fish_efp!$S$7:$S$1873,0))*9/(SUM(IF(fish_efp!$N$7:$N$1873=A18,fish_efp!$Q$7:$Q$1873,0))*cnst_fish!$C$7),1/cnst_fish!$C$8)),0,1+LOG(SUM(IF(fish_efp!$N$7:$N$1873=A18,fish_efp!$Q$7:$Q$1873*fish_efp!$S$7:$S$1873,0))*9/(SUM(IF(fish_efp!$N$7:$N$1873=A18,fish_efp!$Q$7:$Q$1873,0))*cnst_fish!$C$7),1/cnst_fish!$C$8))</f>
        <v>4.4461900158412453</v>
      </c>
      <c r="D18" s="117">
        <f>IF(C18=0,0,(1/9)*cnst_fish!$C$7*(1/cnst_fish!$C$8)^(C18-1))</f>
        <v>393.99263026417952</v>
      </c>
      <c r="E18" s="117">
        <f>IF(ISERROR((1/D18)*cnst_fish!$C$6),0,(1/D18)*cnst_fish!$C$6)</f>
        <v>1.0787003800427167E-2</v>
      </c>
      <c r="F18" s="1357">
        <f>SUMIF(aquaculture_production_w!$C$7:$C$576,A18,aquaculture_production_w!$D$7:$D$576)</f>
        <v>1441.4</v>
      </c>
      <c r="G18" s="1344">
        <f>VLOOKUP(A18,aquaculture_yields!$A$7:$H$46,8,FALSE)</f>
        <v>0.38096951526656342</v>
      </c>
      <c r="H18" s="708">
        <f t="shared" si="0"/>
        <v>1.0888874648167205E-2</v>
      </c>
      <c r="I18" s="493">
        <f>IFERROR(VLOOKUP(A18,aquaculture_yields!$A$7:$I$46,9,FALSE)*F18/(F18+B18),0)</f>
        <v>6.7751519248961754E-3</v>
      </c>
    </row>
    <row r="19" spans="1:9">
      <c r="A19" s="27" t="s">
        <v>612</v>
      </c>
      <c r="B19" s="37">
        <f>SUMIF(fish_efp!$N$7:$N$1873,A19,fish_efp!$Q$7:$Q$1873)</f>
        <v>308700</v>
      </c>
      <c r="C19" s="210">
        <f t="array" ref="C19">IF(ISERROR(1+LOG(SUM(IF(fish_efp!$N$7:$N$1873=A19,fish_efp!$Q$7:$Q$1873*fish_efp!$S$7:$S$1873,0))*9/(SUM(IF(fish_efp!$N$7:$N$1873=A19,fish_efp!$Q$7:$Q$1873,0))*cnst_fish!$C$7),1/cnst_fish!$C$8)),0,1+LOG(SUM(IF(fish_efp!$N$7:$N$1873=A19,fish_efp!$Q$7:$Q$1873*fish_efp!$S$7:$S$1873,0))*9/(SUM(IF(fish_efp!$N$7:$N$1873=A19,fish_efp!$Q$7:$Q$1873,0))*cnst_fish!$C$7),1/cnst_fish!$C$8))</f>
        <v>4.09</v>
      </c>
      <c r="D19" s="117">
        <f>IF(C19=0,0,(1/9)*cnst_fish!$C$7*(1/cnst_fish!$C$8)^(C19-1))</f>
        <v>173.49944203764363</v>
      </c>
      <c r="E19" s="117">
        <f>IF(ISERROR((1/D19)*cnst_fish!$C$6),0,(1/D19)*cnst_fish!$C$6)</f>
        <v>2.4495756009854434E-2</v>
      </c>
      <c r="F19" s="1357">
        <f>SUMIF(aquaculture_production_w!$C$7:$C$576,A19,aquaculture_production_w!$D$7:$D$576)</f>
        <v>0</v>
      </c>
      <c r="G19" s="1344">
        <f>VLOOKUP(A19,aquaculture_yields!$A$7:$H$46,8,FALSE)</f>
        <v>0.38096951526656342</v>
      </c>
      <c r="H19" s="708">
        <f t="shared" si="0"/>
        <v>2.4495756009854434E-2</v>
      </c>
      <c r="I19" s="493">
        <f>IFERROR(VLOOKUP(A19,aquaculture_yields!$A$7:$I$46,9,FALSE)*F19/(F19+B19),0)</f>
        <v>0</v>
      </c>
    </row>
    <row r="20" spans="1:9">
      <c r="A20" s="17" t="s">
        <v>3930</v>
      </c>
      <c r="B20" s="37">
        <f>SUMIF(fish_efp!$N$7:$N$1873,A20,fish_efp!$Q$7:$Q$1873)</f>
        <v>1194297</v>
      </c>
      <c r="C20" s="210">
        <f t="array" ref="C20">IF(ISERROR(1+LOG(SUM(IF(fish_efp!$N$7:$N$1873=A20,fish_efp!$Q$7:$Q$1873*fish_efp!$S$7:$S$1873,0))*9/(SUM(IF(fish_efp!$N$7:$N$1873=A20,fish_efp!$Q$7:$Q$1873,0))*cnst_fish!$C$7),1/cnst_fish!$C$8)),0,1+LOG(SUM(IF(fish_efp!$N$7:$N$1873=A20,fish_efp!$Q$7:$Q$1873*fish_efp!$S$7:$S$1873,0))*9/(SUM(IF(fish_efp!$N$7:$N$1873=A20,fish_efp!$Q$7:$Q$1873,0))*cnst_fish!$C$7),1/cnst_fish!$C$8))</f>
        <v>4.3097819909075206</v>
      </c>
      <c r="D20" s="117">
        <f>IF(C20=0,0,(1/9)*cnst_fish!$C$7*(1/cnst_fish!$C$8)^(C20-1))</f>
        <v>287.79289861666291</v>
      </c>
      <c r="E20" s="117">
        <f>IF(ISERROR((1/D20)*cnst_fish!$C$6),0,(1/D20)*cnst_fish!$C$6)</f>
        <v>1.4767563829505588E-2</v>
      </c>
      <c r="F20" s="1357">
        <f>SUMIF(aquaculture_production_w!$C$7:$C$576,A20,aquaculture_production_w!$D$7:$D$576)</f>
        <v>0</v>
      </c>
      <c r="G20" s="1344">
        <f>VLOOKUP(A20,aquaculture_yields!$A$7:$H$46,8,FALSE)</f>
        <v>0</v>
      </c>
      <c r="H20" s="708">
        <f t="shared" si="0"/>
        <v>1.4767563829505588E-2</v>
      </c>
      <c r="I20" s="493">
        <f>IFERROR(VLOOKUP(A20,aquaculture_yields!$A$7:$I$46,9,FALSE)*F20/(F20+B20),0)</f>
        <v>0</v>
      </c>
    </row>
    <row r="21" spans="1:9">
      <c r="A21" s="17" t="s">
        <v>3931</v>
      </c>
      <c r="B21" s="37">
        <f>SUMIF(fish_efp!$N$7:$N$1873,A21,fish_efp!$Q$7:$Q$1873)</f>
        <v>2327395</v>
      </c>
      <c r="C21" s="210">
        <f t="array" ref="C21">IF(ISERROR(1+LOG(SUM(IF(fish_efp!$N$7:$N$1873=A21,fish_efp!$Q$7:$Q$1873*fish_efp!$S$7:$S$1873,0))*9/(SUM(IF(fish_efp!$N$7:$N$1873=A21,fish_efp!$Q$7:$Q$1873,0))*cnst_fish!$C$7),1/cnst_fish!$C$8)),0,1+LOG(SUM(IF(fish_efp!$N$7:$N$1873=A21,fish_efp!$Q$7:$Q$1873*fish_efp!$S$7:$S$1873,0))*9/(SUM(IF(fish_efp!$N$7:$N$1873=A21,fish_efp!$Q$7:$Q$1873,0))*cnst_fish!$C$7),1/cnst_fish!$C$8))</f>
        <v>3.2136812961506283</v>
      </c>
      <c r="D21" s="117">
        <f>IF(C21=0,0,(1/9)*cnst_fish!$C$7*(1/cnst_fish!$C$8)^(C21-1))</f>
        <v>23.066376612294732</v>
      </c>
      <c r="E21" s="117">
        <f>IF(ISERROR((1/D21)*cnst_fish!$C$6),0,(1/D21)*cnst_fish!$C$6)</f>
        <v>0.18425087179642619</v>
      </c>
      <c r="F21" s="1357">
        <f>SUMIF(aquaculture_production_w!$C$7:$C$576,A21,aquaculture_production_w!$D$7:$D$576)</f>
        <v>0</v>
      </c>
      <c r="G21" s="1344">
        <f>VLOOKUP(A21,aquaculture_yields!$A$7:$H$46,8,FALSE)</f>
        <v>0</v>
      </c>
      <c r="H21" s="708">
        <f t="shared" si="0"/>
        <v>0.18425087179642619</v>
      </c>
      <c r="I21" s="493">
        <f>IFERROR(VLOOKUP(A21,aquaculture_yields!$A$7:$I$46,9,FALSE)*F21/(F21+B21),0)</f>
        <v>0</v>
      </c>
    </row>
    <row r="22" spans="1:9">
      <c r="A22" s="17" t="s">
        <v>3932</v>
      </c>
      <c r="B22" s="37">
        <f>SUMIF(fish_efp!$N$7:$N$1873,A22,fish_efp!$Q$7:$Q$1873)</f>
        <v>215174</v>
      </c>
      <c r="C22" s="210">
        <f t="array" ref="C22">IF(ISERROR(1+LOG(SUM(IF(fish_efp!$N$7:$N$1873=A22,fish_efp!$Q$7:$Q$1873*fish_efp!$S$7:$S$1873,0))*9/(SUM(IF(fish_efp!$N$7:$N$1873=A22,fish_efp!$Q$7:$Q$1873,0))*cnst_fish!$C$7),1/cnst_fish!$C$8)),0,1+LOG(SUM(IF(fish_efp!$N$7:$N$1873=A22,fish_efp!$Q$7:$Q$1873*fish_efp!$S$7:$S$1873,0))*9/(SUM(IF(fish_efp!$N$7:$N$1873=A22,fish_efp!$Q$7:$Q$1873,0))*cnst_fish!$C$7),1/cnst_fish!$C$8))</f>
        <v>3.253136043055596</v>
      </c>
      <c r="D22" s="117">
        <f>IF(C22=0,0,(1/9)*cnst_fish!$C$7*(1/cnst_fish!$C$8)^(C22-1))</f>
        <v>25.260045326934261</v>
      </c>
      <c r="E22" s="117">
        <f>IF(ISERROR((1/D22)*cnst_fish!$C$6),0,(1/D22)*cnst_fish!$C$6)</f>
        <v>0.16824989603119647</v>
      </c>
      <c r="F22" s="1357">
        <f>SUMIF(aquaculture_production_w!$C$7:$C$576,A22,aquaculture_production_w!$D$7:$D$576)</f>
        <v>51.73</v>
      </c>
      <c r="G22" s="1344">
        <f>VLOOKUP(A22,aquaculture_yields!$A$7:$H$46,8,FALSE)</f>
        <v>0.38096951526656342</v>
      </c>
      <c r="H22" s="708">
        <f t="shared" si="0"/>
        <v>0.16827247887876012</v>
      </c>
      <c r="I22" s="493">
        <f>IFERROR(VLOOKUP(A22,aquaculture_yields!$A$7:$I$46,9,FALSE)*F22/(F22+B22),0)</f>
        <v>1.6913211404325675E-4</v>
      </c>
    </row>
    <row r="23" spans="1:9">
      <c r="A23" s="17" t="s">
        <v>2431</v>
      </c>
      <c r="B23" s="37">
        <f>SUMIF(fish_efp!$N$7:$N$1873,A23,fish_efp!$Q$7:$Q$1873)</f>
        <v>87806</v>
      </c>
      <c r="C23" s="210">
        <f t="array" ref="C23">IF(ISERROR(1+LOG(SUM(IF(fish_efp!$N$7:$N$1873=A23,fish_efp!$Q$7:$Q$1873*fish_efp!$S$7:$S$1873,0))*9/(SUM(IF(fish_efp!$N$7:$N$1873=A23,fish_efp!$Q$7:$Q$1873,0))*cnst_fish!$C$7),1/cnst_fish!$C$8)),0,1+LOG(SUM(IF(fish_efp!$N$7:$N$1873=A23,fish_efp!$Q$7:$Q$1873*fish_efp!$S$7:$S$1873,0))*9/(SUM(IF(fish_efp!$N$7:$N$1873=A23,fish_efp!$Q$7:$Q$1873,0))*cnst_fish!$C$7),1/cnst_fish!$C$8))</f>
        <v>2.9974006502185997</v>
      </c>
      <c r="D23" s="117">
        <f>IF(C23=0,0,(1/9)*cnst_fish!$C$7*(1/cnst_fish!$C$8)^(C23-1))</f>
        <v>14.018409190839908</v>
      </c>
      <c r="E23" s="117">
        <f>IF(ISERROR((1/D23)*cnst_fish!$C$6),0,(1/D23)*cnst_fish!$C$6)</f>
        <v>0.30317277389627711</v>
      </c>
      <c r="F23" s="1357">
        <f>SUMIF(aquaculture_production_w!$C$7:$C$576,A23,aquaculture_production_w!$D$7:$D$576)</f>
        <v>1632.14</v>
      </c>
      <c r="G23" s="1344">
        <f>VLOOKUP(A23,aquaculture_yields!$A$7:$H$46,8,FALSE)</f>
        <v>0.38096951526656342</v>
      </c>
      <c r="H23" s="708">
        <f t="shared" si="0"/>
        <v>0.30430678541772077</v>
      </c>
      <c r="I23" s="493">
        <f>IFERROR(VLOOKUP(A23,aquaculture_yields!$A$7:$I$46,9,FALSE)*F23/(F23+B23),0)</f>
        <v>1.284140189039476E-2</v>
      </c>
    </row>
    <row r="24" spans="1:9">
      <c r="A24" s="17" t="s">
        <v>2432</v>
      </c>
      <c r="B24" s="37">
        <f>SUMIF(fish_efp!$N$7:$N$1873,A24,fish_efp!$Q$7:$Q$1873)</f>
        <v>4821596</v>
      </c>
      <c r="C24" s="210">
        <f t="array" ref="C24">IF(ISERROR(1+LOG(SUM(IF(fish_efp!$N$7:$N$1873=A24,fish_efp!$Q$7:$Q$1873*fish_efp!$S$7:$S$1873,0))*9/(SUM(IF(fish_efp!$N$7:$N$1873=A24,fish_efp!$Q$7:$Q$1873,0))*cnst_fish!$C$7),1/cnst_fish!$C$8)),0,1+LOG(SUM(IF(fish_efp!$N$7:$N$1873=A24,fish_efp!$Q$7:$Q$1873*fish_efp!$S$7:$S$1873,0))*9/(SUM(IF(fish_efp!$N$7:$N$1873=A24,fish_efp!$Q$7:$Q$1873,0))*cnst_fish!$C$7),1/cnst_fish!$C$8))</f>
        <v>3.6729371191040237</v>
      </c>
      <c r="D24" s="117">
        <f>IF(C24=0,0,(1/9)*cnst_fish!$C$7*(1/cnst_fish!$C$8)^(C24-1))</f>
        <v>66.410263217588096</v>
      </c>
      <c r="E24" s="117">
        <f>IF(ISERROR((1/D24)*cnst_fish!$C$6),0,(1/D24)*cnst_fish!$C$6)</f>
        <v>6.3996132436265216E-2</v>
      </c>
      <c r="F24" s="1357">
        <f>SUMIF(aquaculture_production_w!$C$7:$C$576,A24,aquaculture_production_w!$D$7:$D$576)</f>
        <v>1164</v>
      </c>
      <c r="G24" s="1344">
        <f>VLOOKUP(A24,aquaculture_yields!$A$7:$H$46,8,FALSE)</f>
        <v>0.38096951526656342</v>
      </c>
      <c r="H24" s="708">
        <f t="shared" si="0"/>
        <v>6.4008986215849425E-2</v>
      </c>
      <c r="I24" s="493">
        <f>IFERROR(VLOOKUP(A24,aquaculture_yields!$A$7:$I$46,9,FALSE)*F24/(F24+B24),0)</f>
        <v>1.6983809837524318E-4</v>
      </c>
    </row>
    <row r="25" spans="1:9">
      <c r="A25" s="17" t="s">
        <v>2433</v>
      </c>
      <c r="B25" s="37">
        <f>SUMIF(fish_efp!$N$7:$N$1873,A25,fish_efp!$Q$7:$Q$1873)</f>
        <v>98054</v>
      </c>
      <c r="C25" s="210">
        <f t="array" ref="C25">IF(ISERROR(1+LOG(SUM(IF(fish_efp!$N$7:$N$1873=A25,fish_efp!$Q$7:$Q$1873*fish_efp!$S$7:$S$1873,0))*9/(SUM(IF(fish_efp!$N$7:$N$1873=A25,fish_efp!$Q$7:$Q$1873,0))*cnst_fish!$C$7),1/cnst_fish!$C$8)),0,1+LOG(SUM(IF(fish_efp!$N$7:$N$1873=A25,fish_efp!$Q$7:$Q$1873*fish_efp!$S$7:$S$1873,0))*9/(SUM(IF(fish_efp!$N$7:$N$1873=A25,fish_efp!$Q$7:$Q$1873,0))*cnst_fish!$C$7),1/cnst_fish!$C$8))</f>
        <v>2.1712600977743532</v>
      </c>
      <c r="D25" s="117">
        <f>IF(C25=0,0,(1/9)*cnst_fish!$C$7*(1/cnst_fish!$C$8)^(C25-1))</f>
        <v>2.0919831407656138</v>
      </c>
      <c r="E25" s="117">
        <f>IF(ISERROR((1/D25)*cnst_fish!$C$6),0,(1/D25)*cnst_fish!$C$6)</f>
        <v>2.031565129365529</v>
      </c>
      <c r="F25" s="1357">
        <f>SUMIF(aquaculture_production_w!$C$7:$C$576,A25,aquaculture_production_w!$D$7:$D$576)</f>
        <v>1872804.64</v>
      </c>
      <c r="G25" s="1344">
        <f>VLOOKUP(A25,aquaculture_yields!$A$7:$H$46,8,FALSE)</f>
        <v>0.38096951526656342</v>
      </c>
      <c r="H25" s="708">
        <f t="shared" si="0"/>
        <v>0.39701784365562598</v>
      </c>
      <c r="I25" s="493">
        <f>IFERROR(VLOOKUP(A25,aquaculture_yields!$A$7:$I$46,9,FALSE)*F25/(F25+B25),0)</f>
        <v>0.66867454293677142</v>
      </c>
    </row>
    <row r="26" spans="1:9">
      <c r="A26" s="17" t="s">
        <v>1513</v>
      </c>
      <c r="B26" s="37">
        <f>SUMIF(fish_efp!$N$7:$N$1873,A26,fish_efp!$Q$7:$Q$1873)</f>
        <v>379.29</v>
      </c>
      <c r="C26" s="210">
        <f t="array" ref="C26">IF(ISERROR(1+LOG(SUM(IF(fish_efp!$N$7:$N$1873=A26,fish_efp!$Q$7:$Q$1873*fish_efp!$S$7:$S$1873,0))*9/(SUM(IF(fish_efp!$N$7:$N$1873=A26,fish_efp!$Q$7:$Q$1873,0))*cnst_fish!$C$7),1/cnst_fish!$C$8)),0,1+LOG(SUM(IF(fish_efp!$N$7:$N$1873=A26,fish_efp!$Q$7:$Q$1873*fish_efp!$S$7:$S$1873,0))*9/(SUM(IF(fish_efp!$N$7:$N$1873=A26,fish_efp!$Q$7:$Q$1873,0))*cnst_fish!$C$7),1/cnst_fish!$C$8))</f>
        <v>2.1831090428574127</v>
      </c>
      <c r="D26" s="117">
        <f>IF(C26=0,0,(1/9)*cnst_fish!$C$7*(1/cnst_fish!$C$8)^(C26-1))</f>
        <v>2.1498448818901457</v>
      </c>
      <c r="E26" s="117">
        <f>IF(ISERROR((1/D26)*cnst_fish!$C$6),0,(1/D26)*cnst_fish!$C$6)</f>
        <v>1.976886814393509</v>
      </c>
      <c r="F26" s="1357">
        <f>SUMIF(aquaculture_production_w!$C$7:$C$576,A26,aquaculture_production_w!$D$7:$D$576)</f>
        <v>0</v>
      </c>
      <c r="G26" s="1344">
        <f>VLOOKUP(A26,aquaculture_yields!$A$7:$H$46,8,FALSE)</f>
        <v>0</v>
      </c>
      <c r="H26" s="708">
        <f t="shared" si="0"/>
        <v>1.976886814393509</v>
      </c>
      <c r="I26" s="493">
        <f>IFERROR(VLOOKUP(A26,aquaculture_yields!$A$7:$I$46,9,FALSE)*F26/(F26+B26),0)</f>
        <v>0</v>
      </c>
    </row>
    <row r="27" spans="1:9">
      <c r="A27" s="17" t="s">
        <v>2434</v>
      </c>
      <c r="B27" s="37">
        <f>SUMIF(fish_efp!$N$7:$N$1873,A27,fish_efp!$Q$7:$Q$1873)</f>
        <v>360316</v>
      </c>
      <c r="C27" s="210">
        <f t="array" ref="C27">IF(ISERROR(1+LOG(SUM(IF(fish_efp!$N$7:$N$1873=A27,fish_efp!$Q$7:$Q$1873*fish_efp!$S$7:$S$1873,0))*9/(SUM(IF(fish_efp!$N$7:$N$1873=A27,fish_efp!$Q$7:$Q$1873,0))*cnst_fish!$C$7),1/cnst_fish!$C$8)),0,1+LOG(SUM(IF(fish_efp!$N$7:$N$1873=A27,fish_efp!$Q$7:$Q$1873*fish_efp!$S$7:$S$1873,0))*9/(SUM(IF(fish_efp!$N$7:$N$1873=A27,fish_efp!$Q$7:$Q$1873,0))*cnst_fish!$C$7),1/cnst_fish!$C$8))</f>
        <v>3.2679434664041169</v>
      </c>
      <c r="D27" s="117">
        <f>IF(C27=0,0,(1/9)*cnst_fish!$C$7*(1/cnst_fish!$C$8)^(C27-1))</f>
        <v>26.136146082493447</v>
      </c>
      <c r="E27" s="117">
        <f>IF(ISERROR((1/D27)*cnst_fish!$C$6),0,(1/D27)*cnst_fish!$C$6)</f>
        <v>0.16261004918574209</v>
      </c>
      <c r="F27" s="1357">
        <f>SUMIF(aquaculture_production_w!$C$7:$C$576,A27,aquaculture_production_w!$D$7:$D$576)</f>
        <v>1.66</v>
      </c>
      <c r="G27" s="1344">
        <f>VLOOKUP(A27,aquaculture_yields!$A$7:$H$46,8,FALSE)</f>
        <v>0.38096951526656342</v>
      </c>
      <c r="H27" s="708">
        <f t="shared" si="0"/>
        <v>0.16261047857667146</v>
      </c>
      <c r="I27" s="493">
        <f>IFERROR(VLOOKUP(A27,aquaculture_yields!$A$7:$I$46,9,FALSE)*F27/(F27+B27),0)</f>
        <v>3.2419053270030618E-6</v>
      </c>
    </row>
    <row r="28" spans="1:9">
      <c r="A28" s="17" t="s">
        <v>2435</v>
      </c>
      <c r="B28" s="37">
        <f>SUMIF(fish_efp!$N$7:$N$1873,A28,fish_efp!$Q$7:$Q$1873)</f>
        <v>134751</v>
      </c>
      <c r="C28" s="210">
        <f t="array" ref="C28">IF(ISERROR(1+LOG(SUM(IF(fish_efp!$N$7:$N$1873=A28,fish_efp!$Q$7:$Q$1873*fish_efp!$S$7:$S$1873,0))*9/(SUM(IF(fish_efp!$N$7:$N$1873=A28,fish_efp!$Q$7:$Q$1873,0))*cnst_fish!$C$7),1/cnst_fish!$C$8)),0,1+LOG(SUM(IF(fish_efp!$N$7:$N$1873=A28,fish_efp!$Q$7:$Q$1873*fish_efp!$S$7:$S$1873,0))*9/(SUM(IF(fish_efp!$N$7:$N$1873=A28,fish_efp!$Q$7:$Q$1873,0))*cnst_fish!$C$7),1/cnst_fish!$C$8))</f>
        <v>2.1</v>
      </c>
      <c r="D28" s="117">
        <f>IF(C28=0,0,(1/9)*cnst_fish!$C$7*(1/cnst_fish!$C$8)^(C28-1))</f>
        <v>1.7754076320174161</v>
      </c>
      <c r="E28" s="117">
        <f>IF(ISERROR((1/D28)*cnst_fish!$C$6),0,(1/D28)*cnst_fish!$C$6)</f>
        <v>2.3938164528281742</v>
      </c>
      <c r="F28" s="1357">
        <f>SUMIF(aquaculture_production_w!$C$7:$C$576,A28,aquaculture_production_w!$D$7:$D$576)</f>
        <v>4980971.3500000006</v>
      </c>
      <c r="G28" s="1344">
        <f>VLOOKUP(A28,aquaculture_yields!$A$7:$H$46,8,FALSE)</f>
        <v>0.38096951526656342</v>
      </c>
      <c r="H28" s="708">
        <f t="shared" si="0"/>
        <v>0.38959855100716934</v>
      </c>
      <c r="I28" s="493">
        <f>IFERROR(VLOOKUP(A28,aquaculture_yields!$A$7:$I$46,9,FALSE)*F28/(F28+B28),0)</f>
        <v>0.68514874497275635</v>
      </c>
    </row>
    <row r="29" spans="1:9">
      <c r="A29" s="17" t="s">
        <v>2436</v>
      </c>
      <c r="B29" s="37">
        <f>SUMIF(fish_efp!$N$7:$N$1873,A29,fish_efp!$Q$7:$Q$1873)</f>
        <v>108794</v>
      </c>
      <c r="C29" s="210">
        <f t="array" ref="C29">IF(ISERROR(1+LOG(SUM(IF(fish_efp!$N$7:$N$1873=A29,fish_efp!$Q$7:$Q$1873*fish_efp!$S$7:$S$1873,0))*9/(SUM(IF(fish_efp!$N$7:$N$1873=A29,fish_efp!$Q$7:$Q$1873,0))*cnst_fish!$C$7),1/cnst_fish!$C$8)),0,1+LOG(SUM(IF(fish_efp!$N$7:$N$1873=A29,fish_efp!$Q$7:$Q$1873*fish_efp!$S$7:$S$1873,0))*9/(SUM(IF(fish_efp!$N$7:$N$1873=A29,fish_efp!$Q$7:$Q$1873,0))*cnst_fish!$C$7),1/cnst_fish!$C$8))</f>
        <v>3.2600241632429325</v>
      </c>
      <c r="D29" s="117">
        <f>IF(C29=0,0,(1/9)*cnst_fish!$C$7*(1/cnst_fish!$C$8)^(C29-1))</f>
        <v>25.663875851064535</v>
      </c>
      <c r="E29" s="117">
        <f>IF(ISERROR((1/D29)*cnst_fish!$C$6),0,(1/D29)*cnst_fish!$C$6)</f>
        <v>0.16560242204505948</v>
      </c>
      <c r="F29" s="1357">
        <f>SUMIF(aquaculture_production_w!$C$7:$C$576,A29,aquaculture_production_w!$D$7:$D$576)</f>
        <v>5616</v>
      </c>
      <c r="G29" s="1344">
        <f>VLOOKUP(A29,aquaculture_yields!$A$7:$H$46,8,FALSE)</f>
        <v>0.38096951526656342</v>
      </c>
      <c r="H29" s="708">
        <f t="shared" si="0"/>
        <v>0.17032893290711187</v>
      </c>
      <c r="I29" s="493">
        <f>IFERROR(VLOOKUP(A29,aquaculture_yields!$A$7:$I$46,9,FALSE)*F29/(F29+B29),0)</f>
        <v>3.4541476825150269E-2</v>
      </c>
    </row>
    <row r="30" spans="1:9">
      <c r="A30" s="27" t="s">
        <v>3933</v>
      </c>
      <c r="B30" s="37">
        <f>SUMIF(fish_efp!$N$7:$N$1873,A30,fish_efp!$Q$7:$Q$1873)</f>
        <v>1136346</v>
      </c>
      <c r="C30" s="210">
        <f t="array" ref="C30">IF(ISERROR(1+LOG(SUM(IF(fish_efp!$N$7:$N$1873=A30,fish_efp!$Q$7:$Q$1873*fish_efp!$S$7:$S$1873,0))*9/(SUM(IF(fish_efp!$N$7:$N$1873=A30,fish_efp!$Q$7:$Q$1873,0))*cnst_fish!$C$7),1/cnst_fish!$C$8)),0,1+LOG(SUM(IF(fish_efp!$N$7:$N$1873=A30,fish_efp!$Q$7:$Q$1873*fish_efp!$S$7:$S$1873,0))*9/(SUM(IF(fish_efp!$N$7:$N$1873=A30,fish_efp!$Q$7:$Q$1873,0))*cnst_fish!$C$7),1/cnst_fish!$C$8))</f>
        <v>4.0069397550241597</v>
      </c>
      <c r="D30" s="117">
        <f>IF(C30=0,0,(1/9)*cnst_fish!$C$7*(1/cnst_fish!$C$8)^(C30-1))</f>
        <v>143.29724389811827</v>
      </c>
      <c r="E30" s="117">
        <f>IF(ISERROR((1/D30)*cnst_fish!$C$6),0,(1/D30)*cnst_fish!$C$6)</f>
        <v>2.9658630441082821E-2</v>
      </c>
      <c r="F30" s="1357">
        <f>SUMIF(aquaculture_production_w!$C$7:$C$576,A30,aquaculture_production_w!$D$7:$D$576)</f>
        <v>2100020.5</v>
      </c>
      <c r="G30" s="1344">
        <f>VLOOKUP(A30,aquaculture_yields!$A$7:$H$46,8,FALSE)</f>
        <v>0.21582339127538847</v>
      </c>
      <c r="H30" s="708">
        <f t="shared" si="0"/>
        <v>6.7361923016878544E-2</v>
      </c>
      <c r="I30" s="493">
        <f>IFERROR(VLOOKUP(A30,aquaculture_yields!$A$7:$I$46,9,FALSE)*F30/(F30+B30),0)</f>
        <v>0.38001557298996358</v>
      </c>
    </row>
    <row r="31" spans="1:9">
      <c r="A31" s="25" t="s">
        <v>2437</v>
      </c>
      <c r="B31" s="37">
        <f>SUMIF(fish_efp!$N$7:$N$1873,A31,fish_efp!$Q$7:$Q$1873)</f>
        <v>704638</v>
      </c>
      <c r="C31" s="210">
        <f t="array" ref="C31">IF(ISERROR(1+LOG(SUM(IF(fish_efp!$N$7:$N$1873=A31,fish_efp!$Q$7:$Q$1873*fish_efp!$S$7:$S$1873,0))*9/(SUM(IF(fish_efp!$N$7:$N$1873=A31,fish_efp!$Q$7:$Q$1873,0))*cnst_fish!$C$7),1/cnst_fish!$C$8)),0,1+LOG(SUM(IF(fish_efp!$N$7:$N$1873=A31,fish_efp!$Q$7:$Q$1873*fish_efp!$S$7:$S$1873,0))*9/(SUM(IF(fish_efp!$N$7:$N$1873=A31,fish_efp!$Q$7:$Q$1873,0))*cnst_fish!$C$7),1/cnst_fish!$C$8))</f>
        <v>2.1</v>
      </c>
      <c r="D31" s="117">
        <f>IF(C31=0,0,(1/9)*cnst_fish!$C$7*(1/cnst_fish!$C$8)^(C31-1))</f>
        <v>1.7754076320174161</v>
      </c>
      <c r="E31" s="117">
        <f>IF(ISERROR((1/D31)*cnst_fish!$C$6),0,(1/D31)*cnst_fish!$C$6)</f>
        <v>2.3938164528281742</v>
      </c>
      <c r="F31" s="1357">
        <f>SUMIF(aquaculture_production_w!$C$7:$C$576,A31,aquaculture_production_w!$D$7:$D$576)</f>
        <v>1850930.58</v>
      </c>
      <c r="G31" s="1344">
        <f>VLOOKUP(A31,aquaculture_yields!$A$7:$H$46,8,FALSE)</f>
        <v>0.38096951526656342</v>
      </c>
      <c r="H31" s="708">
        <f t="shared" si="0"/>
        <v>0.49595419916467814</v>
      </c>
      <c r="I31" s="493">
        <f>IFERROR(VLOOKUP(A31,aquaculture_yields!$A$7:$I$46,9,FALSE)*F31/(F31+B31),0)</f>
        <v>0.50965979957649454</v>
      </c>
    </row>
    <row r="32" spans="1:9">
      <c r="A32" s="17" t="s">
        <v>2438</v>
      </c>
      <c r="B32" s="37">
        <f>SUMIF(fish_efp!$N$7:$N$1873,A32,fish_efp!$Q$7:$Q$1873)</f>
        <v>85920</v>
      </c>
      <c r="C32" s="210">
        <f t="array" ref="C32">IF(ISERROR(1+LOG(SUM(IF(fish_efp!$N$7:$N$1873=A32,fish_efp!$Q$7:$Q$1873*fish_efp!$S$7:$S$1873,0))*9/(SUM(IF(fish_efp!$N$7:$N$1873=A32,fish_efp!$Q$7:$Q$1873,0))*cnst_fish!$C$7),1/cnst_fish!$C$8)),0,1+LOG(SUM(IF(fish_efp!$N$7:$N$1873=A32,fish_efp!$Q$7:$Q$1873*fish_efp!$S$7:$S$1873,0))*9/(SUM(IF(fish_efp!$N$7:$N$1873=A32,fish_efp!$Q$7:$Q$1873,0))*cnst_fish!$C$7),1/cnst_fish!$C$8))</f>
        <v>3.8652734817841319</v>
      </c>
      <c r="D32" s="117">
        <f>IF(C32=0,0,(1/9)*cnst_fish!$C$7*(1/cnst_fish!$C$8)^(C32-1))</f>
        <v>103.41214923571194</v>
      </c>
      <c r="E32" s="117">
        <f>IF(ISERROR((1/D32)*cnst_fish!$C$6),0,(1/D32)*cnst_fish!$C$6)</f>
        <v>4.1097685633752615E-2</v>
      </c>
      <c r="F32" s="1357">
        <f>SUMIF(aquaculture_production_w!$C$7:$C$576,A32,aquaculture_production_w!$D$7:$D$576)</f>
        <v>623140.11</v>
      </c>
      <c r="G32" s="1344">
        <f>VLOOKUP(A32,aquaculture_yields!$A$7:$H$46,8,FALSE)</f>
        <v>0.38096951526656342</v>
      </c>
      <c r="H32" s="708">
        <f t="shared" si="0"/>
        <v>0.19028540664415092</v>
      </c>
      <c r="I32" s="493">
        <f>IFERROR(VLOOKUP(A32,aquaculture_yields!$A$7:$I$46,9,FALSE)*F32/(F32+B32),0)</f>
        <v>0.61841560695633979</v>
      </c>
    </row>
    <row r="33" spans="1:9">
      <c r="A33" s="17" t="s">
        <v>2439</v>
      </c>
      <c r="B33" s="37">
        <f>SUMIF(fish_efp!$N$7:$N$1873,A33,fish_efp!$Q$7:$Q$1873)</f>
        <v>3051153</v>
      </c>
      <c r="C33" s="210">
        <f t="array" ref="C33">IF(ISERROR(1+LOG(SUM(IF(fish_efp!$N$7:$N$1873=A33,fish_efp!$Q$7:$Q$1873*fish_efp!$S$7:$S$1873,0))*9/(SUM(IF(fish_efp!$N$7:$N$1873=A33,fish_efp!$Q$7:$Q$1873,0))*cnst_fish!$C$7),1/cnst_fish!$C$8)),0,1+LOG(SUM(IF(fish_efp!$N$7:$N$1873=A33,fish_efp!$Q$7:$Q$1873*fish_efp!$S$7:$S$1873,0))*9/(SUM(IF(fish_efp!$N$7:$N$1873=A33,fish_efp!$Q$7:$Q$1873,0))*cnst_fish!$C$7),1/cnst_fish!$C$8))</f>
        <v>4.3535897360417177</v>
      </c>
      <c r="D33" s="117">
        <f>IF(C33=0,0,(1/9)*cnst_fish!$C$7*(1/cnst_fish!$C$8)^(C33-1))</f>
        <v>318.33751260746374</v>
      </c>
      <c r="E33" s="117">
        <f>IF(ISERROR((1/D33)*cnst_fish!$C$6),0,(1/D33)*cnst_fish!$C$6)</f>
        <v>1.3350610065363547E-2</v>
      </c>
      <c r="F33" s="1357">
        <f>SUMIF(aquaculture_production_w!$C$7:$C$576,A33,aquaculture_production_w!$D$7:$D$576)</f>
        <v>149766</v>
      </c>
      <c r="G33" s="1344">
        <f>VLOOKUP(A33,aquaculture_yields!$A$7:$H$46,8,FALSE)</f>
        <v>0.38096951526656342</v>
      </c>
      <c r="H33" s="708">
        <f t="shared" si="0"/>
        <v>1.3981874859305696E-2</v>
      </c>
      <c r="I33" s="493">
        <f>IFERROR(VLOOKUP(A33,aquaculture_yields!$A$7:$I$46,9,FALSE)*F33/(F33+B33),0)</f>
        <v>3.2924283661505044E-2</v>
      </c>
    </row>
    <row r="34" spans="1:9">
      <c r="A34" s="17" t="s">
        <v>2440</v>
      </c>
      <c r="B34" s="37">
        <f>SUMIF(fish_efp!$N$7:$N$1873,A34,fish_efp!$Q$7:$Q$1873)</f>
        <v>4201954</v>
      </c>
      <c r="C34" s="210">
        <f t="array" ref="C34">IF(ISERROR(1+LOG(SUM(IF(fish_efp!$N$7:$N$1873=A34,fish_efp!$Q$7:$Q$1873*fish_efp!$S$7:$S$1873,0))*9/(SUM(IF(fish_efp!$N$7:$N$1873=A34,fish_efp!$Q$7:$Q$1873,0))*cnst_fish!$C$7),1/cnst_fish!$C$8)),0,1+LOG(SUM(IF(fish_efp!$N$7:$N$1873=A34,fish_efp!$Q$7:$Q$1873*fish_efp!$S$7:$S$1873,0))*9/(SUM(IF(fish_efp!$N$7:$N$1873=A34,fish_efp!$Q$7:$Q$1873,0))*cnst_fish!$C$7),1/cnst_fish!$C$8))</f>
        <v>2.9412174571497349</v>
      </c>
      <c r="D34" s="117">
        <f>IF(C34=0,0,(1/9)*cnst_fish!$C$7*(1/cnst_fish!$C$8)^(C34-1))</f>
        <v>12.317300578401937</v>
      </c>
      <c r="E34" s="117">
        <f>IF(ISERROR((1/D34)*cnst_fish!$C$6),0,(1/D34)*cnst_fish!$C$6)</f>
        <v>0.34504313448778406</v>
      </c>
      <c r="F34" s="1357">
        <f>SUMIF(aquaculture_production_w!$C$7:$C$576,A34,aquaculture_production_w!$D$7:$D$576)</f>
        <v>0</v>
      </c>
      <c r="G34" s="1344">
        <f>VLOOKUP(A34,aquaculture_yields!$A$7:$H$46,8,FALSE)</f>
        <v>0</v>
      </c>
      <c r="H34" s="708">
        <f t="shared" si="0"/>
        <v>0.34504313448778406</v>
      </c>
      <c r="I34" s="493">
        <f>IFERROR(VLOOKUP(A34,aquaculture_yields!$A$7:$I$46,9,FALSE)*F34/(F34+B34),0)</f>
        <v>0</v>
      </c>
    </row>
    <row r="35" spans="1:9">
      <c r="A35" s="17" t="s">
        <v>2441</v>
      </c>
      <c r="B35" s="37">
        <f>SUMIF(fish_efp!$N$7:$N$1873,A35,fish_efp!$Q$7:$Q$1873)</f>
        <v>4024597</v>
      </c>
      <c r="C35" s="210">
        <f t="array" ref="C35">IF(ISERROR(1+LOG(SUM(IF(fish_efp!$N$7:$N$1873=A35,fish_efp!$Q$7:$Q$1873*fish_efp!$S$7:$S$1873,0))*9/(SUM(IF(fish_efp!$N$7:$N$1873=A35,fish_efp!$Q$7:$Q$1873,0))*cnst_fish!$C$7),1/cnst_fish!$C$8)),0,1+LOG(SUM(IF(fish_efp!$N$7:$N$1873=A35,fish_efp!$Q$7:$Q$1873*fish_efp!$S$7:$S$1873,0))*9/(SUM(IF(fish_efp!$N$7:$N$1873=A35,fish_efp!$Q$7:$Q$1873,0))*cnst_fish!$C$7),1/cnst_fish!$C$8))</f>
        <v>2.5376188088163802</v>
      </c>
      <c r="D35" s="117">
        <f>IF(C35=0,0,(1/9)*cnst_fish!$C$7*(1/cnst_fish!$C$8)^(C35-1))</f>
        <v>4.8631413333559159</v>
      </c>
      <c r="E35" s="117">
        <f>IF(ISERROR((1/D35)*cnst_fish!$C$6),0,(1/D35)*cnst_fish!$C$6)</f>
        <v>0.87392072503621754</v>
      </c>
      <c r="F35" s="1357">
        <f>SUMIF(aquaculture_production_w!$C$7:$C$576,A35,aquaculture_production_w!$D$7:$D$576)</f>
        <v>5535402.0099999998</v>
      </c>
      <c r="G35" s="1344">
        <f>VLOOKUP(A35,aquaculture_yields!$A$7:$H$46,8,FALSE)</f>
        <v>0.35566899681689107</v>
      </c>
      <c r="H35" s="708">
        <f t="shared" si="0"/>
        <v>0.47400474510256968</v>
      </c>
      <c r="I35" s="493">
        <f>IFERROR(VLOOKUP(A35,aquaculture_yields!$A$7:$I$46,9,FALSE)*F35/(F35+B35),0)</f>
        <v>0.56882331370419814</v>
      </c>
    </row>
    <row r="36" spans="1:9">
      <c r="A36" s="27" t="s">
        <v>1809</v>
      </c>
      <c r="B36" s="37">
        <f>SUMIF(fish_efp!$N$7:$N$1873,A36,fish_efp!$Q$7:$Q$1873)</f>
        <v>310694</v>
      </c>
      <c r="C36" s="210">
        <f t="array" ref="C36">IF(ISERROR(1+LOG(SUM(IF(fish_efp!$N$7:$N$1873=A36,fish_efp!$Q$7:$Q$1873*fish_efp!$S$7:$S$1873,0))*9/(SUM(IF(fish_efp!$N$7:$N$1873=A36,fish_efp!$Q$7:$Q$1873,0))*cnst_fish!$C$7),1/cnst_fish!$C$8)),0,1+LOG(SUM(IF(fish_efp!$N$7:$N$1873=A36,fish_efp!$Q$7:$Q$1873*fish_efp!$S$7:$S$1873,0))*9/(SUM(IF(fish_efp!$N$7:$N$1873=A36,fish_efp!$Q$7:$Q$1873,0))*cnst_fish!$C$7),1/cnst_fish!$C$8))</f>
        <v>3.2861694097003493</v>
      </c>
      <c r="D36" s="117">
        <f>IF(C36=0,0,(1/9)*cnst_fish!$C$7*(1/cnst_fish!$C$8)^(C36-1))</f>
        <v>27.256337120241284</v>
      </c>
      <c r="E36" s="117">
        <f>IF(ISERROR((1/D36)*cnst_fish!$C$6),0,(1/D36)*cnst_fish!$C$6)</f>
        <v>0.15592704115931399</v>
      </c>
      <c r="F36" s="1357">
        <f>SUMIF(aquaculture_production_w!$C$7:$C$576,A36,aquaculture_production_w!$D$7:$D$576)</f>
        <v>618.61</v>
      </c>
      <c r="G36" s="1344">
        <f>VLOOKUP(A36,aquaculture_yields!$A$7:$H$46,8,FALSE)</f>
        <v>0.38096951526656342</v>
      </c>
      <c r="H36" s="708">
        <f t="shared" si="0"/>
        <v>0.15611028357344769</v>
      </c>
      <c r="I36" s="493">
        <f>IFERROR(VLOOKUP(A36,aquaculture_yields!$A$7:$I$46,9,FALSE)*F36/(F36+B36),0)</f>
        <v>1.3982924480525002E-3</v>
      </c>
    </row>
    <row r="37" spans="1:9">
      <c r="A37" s="27" t="s">
        <v>1807</v>
      </c>
      <c r="B37" s="37">
        <f>SUMIF(fish_efp!$N$7:$N$1873,A37,fish_efp!$Q$7:$Q$1873)</f>
        <v>107159</v>
      </c>
      <c r="C37" s="210">
        <f t="array" ref="C37">IF(ISERROR(1+LOG(SUM(IF(fish_efp!$N$7:$N$1873=A37,fish_efp!$Q$7:$Q$1873*fish_efp!$S$7:$S$1873,0))*9/(SUM(IF(fish_efp!$N$7:$N$1873=A37,fish_efp!$Q$7:$Q$1873,0))*cnst_fish!$C$7),1/cnst_fish!$C$8)),0,1+LOG(SUM(IF(fish_efp!$N$7:$N$1873=A37,fish_efp!$Q$7:$Q$1873*fish_efp!$S$7:$S$1873,0))*9/(SUM(IF(fish_efp!$N$7:$N$1873=A37,fish_efp!$Q$7:$Q$1873,0))*cnst_fish!$C$7),1/cnst_fish!$C$8))</f>
        <v>3.9435106436717096</v>
      </c>
      <c r="D37" s="117">
        <f>IF(C37=0,0,(1/9)*cnst_fish!$C$7*(1/cnst_fish!$C$8)^(C37-1))</f>
        <v>123.82511104906669</v>
      </c>
      <c r="E37" s="117">
        <f>IF(ISERROR((1/D37)*cnst_fish!$C$6),0,(1/D37)*cnst_fish!$C$6)</f>
        <v>3.4322601966542174E-2</v>
      </c>
      <c r="F37" s="1357">
        <f>SUMIF(aquaculture_production_w!$C$7:$C$576,A37,aquaculture_production_w!$D$7:$D$576)</f>
        <v>55604</v>
      </c>
      <c r="G37" s="1344">
        <f>VLOOKUP(A37,aquaculture_yields!$A$7:$H$46,8,FALSE)</f>
        <v>0.38096951526656342</v>
      </c>
      <c r="H37" s="708">
        <f t="shared" si="0"/>
        <v>4.9804078026831837E-2</v>
      </c>
      <c r="I37" s="493">
        <f>IFERROR(VLOOKUP(A37,aquaculture_yields!$A$7:$I$46,9,FALSE)*F37/(F37+B37),0)</f>
        <v>0.24039649816429126</v>
      </c>
    </row>
    <row r="38" spans="1:9">
      <c r="A38" s="17" t="s">
        <v>2442</v>
      </c>
      <c r="B38" s="37">
        <f>SUMIF(fish_efp!$N$7:$N$1873,A38,fish_efp!$Q$7:$Q$1873)</f>
        <v>9487</v>
      </c>
      <c r="C38" s="210">
        <f t="array" ref="C38">IF(ISERROR(1+LOG(SUM(IF(fish_efp!$N$7:$N$1873=A38,fish_efp!$Q$7:$Q$1873*fish_efp!$S$7:$S$1873,0))*9/(SUM(IF(fish_efp!$N$7:$N$1873=A38,fish_efp!$Q$7:$Q$1873,0))*cnst_fish!$C$7),1/cnst_fish!$C$8)),0,1+LOG(SUM(IF(fish_efp!$N$7:$N$1873=A38,fish_efp!$Q$7:$Q$1873*fish_efp!$S$7:$S$1873,0))*9/(SUM(IF(fish_efp!$N$7:$N$1873=A38,fish_efp!$Q$7:$Q$1873,0))*cnst_fish!$C$7),1/cnst_fish!$C$8))</f>
        <v>4.043034957881174</v>
      </c>
      <c r="D38" s="117">
        <f>IF(C38=0,0,(1/9)*cnst_fish!$C$7*(1/cnst_fish!$C$8)^(C38-1))</f>
        <v>155.71592872944882</v>
      </c>
      <c r="E38" s="117">
        <f>IF(ISERROR((1/D38)*cnst_fish!$C$6),0,(1/D38)*cnst_fish!$C$6)</f>
        <v>2.7293289997224576E-2</v>
      </c>
      <c r="F38" s="1357">
        <f>SUMIF(aquaculture_production_w!$C$7:$C$576,A38,aquaculture_production_w!$D$7:$D$576)</f>
        <v>841313.79</v>
      </c>
      <c r="G38" s="1344">
        <f>VLOOKUP(A38,aquaculture_yields!$A$7:$H$46,8,FALSE)</f>
        <v>0.26148934609583119</v>
      </c>
      <c r="H38" s="708">
        <f t="shared" si="0"/>
        <v>0.23865468031551851</v>
      </c>
      <c r="I38" s="493">
        <f>IFERROR(VLOOKUP(A38,aquaculture_yields!$A$7:$I$46,9,FALSE)*F38/(F38+B38),0)</f>
        <v>0.65899424535576634</v>
      </c>
    </row>
    <row r="39" spans="1:9">
      <c r="A39" s="27" t="s">
        <v>1804</v>
      </c>
      <c r="B39" s="37">
        <f>SUMIF(fish_efp!$N$7:$N$1873,A39,fish_efp!$Q$7:$Q$1873)</f>
        <v>1808759</v>
      </c>
      <c r="C39" s="210">
        <f t="array" ref="C39">IF(ISERROR(1+LOG(SUM(IF(fish_efp!$N$7:$N$1873=A39,fish_efp!$Q$7:$Q$1873*fish_efp!$S$7:$S$1873,0))*9/(SUM(IF(fish_efp!$N$7:$N$1873=A39,fish_efp!$Q$7:$Q$1873,0))*cnst_fish!$C$7),1/cnst_fish!$C$8)),0,1+LOG(SUM(IF(fish_efp!$N$7:$N$1873=A39,fish_efp!$Q$7:$Q$1873*fish_efp!$S$7:$S$1873,0))*9/(SUM(IF(fish_efp!$N$7:$N$1873=A39,fish_efp!$Q$7:$Q$1873,0))*cnst_fish!$C$7),1/cnst_fish!$C$8))</f>
        <v>2.1812953488338076</v>
      </c>
      <c r="D39" s="117">
        <f>IF(C39=0,0,(1/9)*cnst_fish!$C$7*(1/cnst_fish!$C$8)^(C39-1))</f>
        <v>2.1408854534606609</v>
      </c>
      <c r="E39" s="117">
        <f>IF(ISERROR((1/D39)*cnst_fish!$C$6),0,(1/D39)*cnst_fish!$C$6)</f>
        <v>1.9851599220920644</v>
      </c>
      <c r="F39" s="1357">
        <f>SUMIF(aquaculture_production_w!$C$7:$C$576,A39,aquaculture_production_w!$D$7:$D$576)</f>
        <v>5992870.7499999991</v>
      </c>
      <c r="G39" s="1344">
        <f>VLOOKUP(A39,aquaculture_yields!$A$7:$H$46,8,FALSE)</f>
        <v>0.38096951526656342</v>
      </c>
      <c r="H39" s="708">
        <f t="shared" si="0"/>
        <v>0.46879952938678038</v>
      </c>
      <c r="I39" s="493">
        <f>IFERROR(VLOOKUP(A39,aquaculture_yields!$A$7:$I$46,9,FALSE)*F39/(F39+B39),0)</f>
        <v>0.54053941086194557</v>
      </c>
    </row>
    <row r="40" spans="1:9">
      <c r="A40" s="27" t="s">
        <v>4208</v>
      </c>
      <c r="B40" s="37">
        <f>SUMIF(fish_efp!$N$7:$N$1873,A40,fish_efp!$Q$7:$Q$1873)</f>
        <v>26719</v>
      </c>
      <c r="C40" s="210">
        <f t="array" ref="C40">IF(ISERROR(1+LOG(SUM(IF(fish_efp!$N$7:$N$1873=A40,fish_efp!$Q$7:$Q$1873*fish_efp!$S$7:$S$1873,0))*9/(SUM(IF(fish_efp!$N$7:$N$1873=A40,fish_efp!$Q$7:$Q$1873,0))*cnst_fish!$C$7),1/cnst_fish!$C$8)),0,1+LOG(SUM(IF(fish_efp!$N$7:$N$1873=A40,fish_efp!$Q$7:$Q$1873*fish_efp!$S$7:$S$1873,0))*9/(SUM(IF(fish_efp!$N$7:$N$1873=A40,fish_efp!$Q$7:$Q$1873,0))*cnst_fish!$C$7),1/cnst_fish!$C$8))</f>
        <v>4.0799204533688638</v>
      </c>
      <c r="D40" s="117">
        <f>IF(C40=0,0,(1/9)*cnst_fish!$C$7*(1/cnst_fish!$C$8)^(C40-1))</f>
        <v>169.51906013004603</v>
      </c>
      <c r="E40" s="117">
        <f>IF(ISERROR((1/D40)*cnst_fish!$C$6),0,(1/D40)*cnst_fish!$C$6)</f>
        <v>2.5070927108371329E-2</v>
      </c>
      <c r="F40" s="1357">
        <f>SUMIF(aquaculture_production_w!$C$7:$C$576,A40,aquaculture_production_w!$D$7:$D$576)</f>
        <v>0</v>
      </c>
      <c r="G40" s="1344">
        <f>VLOOKUP(A40,aquaculture_yields!$A$7:$H$46,8,FALSE)</f>
        <v>0</v>
      </c>
      <c r="H40" s="708">
        <f t="shared" si="0"/>
        <v>2.5070927108371329E-2</v>
      </c>
      <c r="I40" s="493">
        <f>IFERROR(VLOOKUP(A40,aquaculture_yields!$A$7:$I$46,9,FALSE)*F40/(F40+B40),0)</f>
        <v>0</v>
      </c>
    </row>
    <row r="41" spans="1:9">
      <c r="A41" s="27" t="s">
        <v>4228</v>
      </c>
      <c r="B41" s="37">
        <f>SUMIF(fish_efp!$N$7:$N$1873,A41,fish_efp!$Q$7:$Q$1873)</f>
        <v>0</v>
      </c>
      <c r="C41" s="210">
        <f t="array" ref="C41">IF(ISERROR(1+LOG(SUM(IF(fish_efp!$N$7:$N$1873=A41,fish_efp!$Q$7:$Q$1873*fish_efp!$S$7:$S$1873,0))*9/(SUM(IF(fish_efp!$N$7:$N$1873=A41,fish_efp!$Q$7:$Q$1873,0))*cnst_fish!$C$7),1/cnst_fish!$C$8)),0,1+LOG(SUM(IF(fish_efp!$N$7:$N$1873=A41,fish_efp!$Q$7:$Q$1873*fish_efp!$S$7:$S$1873,0))*9/(SUM(IF(fish_efp!$N$7:$N$1873=A41,fish_efp!$Q$7:$Q$1873,0))*cnst_fish!$C$7),1/cnst_fish!$C$8))</f>
        <v>0</v>
      </c>
      <c r="D41" s="117">
        <f>IF(C41=0,0,(1/9)*cnst_fish!$C$7*(1/cnst_fish!$C$8)^(C41-1))</f>
        <v>0</v>
      </c>
      <c r="E41" s="117">
        <f>IF(ISERROR((1/D41)*cnst_fish!$C$6),0,(1/D41)*cnst_fish!$C$6)</f>
        <v>0</v>
      </c>
      <c r="F41" s="1357">
        <f>SUMIF(aquaculture_production_w!$C$7:$C$576,A41,aquaculture_production_w!$D$7:$D$576)</f>
        <v>0</v>
      </c>
      <c r="G41" s="1344">
        <f>VLOOKUP(A41,aquaculture_yields!$A$7:$H$46,8,FALSE)</f>
        <v>0</v>
      </c>
      <c r="H41" s="708">
        <f t="shared" si="0"/>
        <v>0</v>
      </c>
      <c r="I41" s="493">
        <f>IFERROR(VLOOKUP(A41,aquaculture_yields!$A$7:$I$46,9,FALSE)*F41/(F41+B41),0)</f>
        <v>0</v>
      </c>
    </row>
    <row r="42" spans="1:9">
      <c r="A42" s="27" t="s">
        <v>1805</v>
      </c>
      <c r="B42" s="37">
        <f>SUMIF(fish_efp!$N$7:$N$1873,A42,fish_efp!$Q$7:$Q$1873)</f>
        <v>242262</v>
      </c>
      <c r="C42" s="210">
        <f t="array" ref="C42">IF(ISERROR(1+LOG(SUM(IF(fish_efp!$N$7:$N$1873=A42,fish_efp!$Q$7:$Q$1873*fish_efp!$S$7:$S$1873,0))*9/(SUM(IF(fish_efp!$N$7:$N$1873=A42,fish_efp!$Q$7:$Q$1873,0))*cnst_fish!$C$7),1/cnst_fish!$C$8)),0,1+LOG(SUM(IF(fish_efp!$N$7:$N$1873=A42,fish_efp!$Q$7:$Q$1873*fish_efp!$S$7:$S$1873,0))*9/(SUM(IF(fish_efp!$N$7:$N$1873=A42,fish_efp!$Q$7:$Q$1873,0))*cnst_fish!$C$7),1/cnst_fish!$C$8))</f>
        <v>2.1989683963398763</v>
      </c>
      <c r="D42" s="117">
        <f>IF(C42=0,0,(1/9)*cnst_fish!$C$7*(1/cnst_fish!$C$8)^(C42-1))</f>
        <v>2.2298029146640608</v>
      </c>
      <c r="E42" s="117">
        <f>IF(ISERROR((1/D42)*cnst_fish!$C$6),0,(1/D42)*cnst_fish!$C$6)</f>
        <v>1.9059980467557598</v>
      </c>
      <c r="F42" s="1357">
        <f>SUMIF(aquaculture_production_w!$C$7:$C$576,A42,aquaculture_production_w!$D$7:$D$576)</f>
        <v>548.01</v>
      </c>
      <c r="G42" s="1344">
        <f>VLOOKUP(A42,aquaculture_yields!$A$7:$H$46,8,FALSE)</f>
        <v>0.73479215741846926</v>
      </c>
      <c r="H42" s="708">
        <f t="shared" si="0"/>
        <v>1.8991659572275399</v>
      </c>
      <c r="I42" s="493">
        <f>IFERROR(VLOOKUP(A42,aquaculture_yields!$A$7:$I$46,9,FALSE)*F42/(F42+B42),0)</f>
        <v>1.4620424066587108E-3</v>
      </c>
    </row>
    <row r="43" spans="1:9">
      <c r="A43" s="27" t="s">
        <v>2429</v>
      </c>
      <c r="B43" s="37">
        <f>SUMIF(fish_efp!$N$7:$N$1873,A43,fish_efp!$Q$7:$Q$1873)</f>
        <v>443655</v>
      </c>
      <c r="C43" s="210">
        <f t="array" ref="C43">IF(ISERROR(1+LOG(SUM(IF(fish_efp!$N$7:$N$1873=A43,fish_efp!$Q$7:$Q$1873*fish_efp!$S$7:$S$1873,0))*9/(SUM(IF(fish_efp!$N$7:$N$1873=A43,fish_efp!$Q$7:$Q$1873,0))*cnst_fish!$C$7),1/cnst_fish!$C$8)),0,1+LOG(SUM(IF(fish_efp!$N$7:$N$1873=A43,fish_efp!$Q$7:$Q$1873*fish_efp!$S$7:$S$1873,0))*9/(SUM(IF(fish_efp!$N$7:$N$1873=A43,fish_efp!$Q$7:$Q$1873,0))*cnst_fish!$C$7),1/cnst_fish!$C$8))</f>
        <v>3.1978578789300598</v>
      </c>
      <c r="D43" s="117">
        <f>IF(C43=0,0,(1/9)*cnst_fish!$C$7*(1/cnst_fish!$C$8)^(C43-1))</f>
        <v>22.241084566055072</v>
      </c>
      <c r="E43" s="117">
        <f>IF(ISERROR((1/D43)*cnst_fish!$C$6),0,(1/D43)*cnst_fish!$C$6)</f>
        <v>0.19108780362655794</v>
      </c>
      <c r="F43" s="1357">
        <f>SUMIF(aquaculture_production_w!$C$7:$C$576,A43,aquaculture_production_w!$D$7:$D$576)</f>
        <v>135103.14000000001</v>
      </c>
      <c r="G43" s="1344">
        <f>VLOOKUP(A43,aquaculture_yields!$A$7:$H$46,8,FALSE)</f>
        <v>0.38096951526656342</v>
      </c>
      <c r="H43" s="708">
        <f t="shared" si="0"/>
        <v>0.21624795517030795</v>
      </c>
      <c r="I43" s="493">
        <f>IFERROR(VLOOKUP(A43,aquaculture_yields!$A$7:$I$46,9,FALSE)*F43/(F43+B43),0)</f>
        <v>0.16426540885501739</v>
      </c>
    </row>
    <row r="44" spans="1:9">
      <c r="A44" s="27" t="s">
        <v>1806</v>
      </c>
      <c r="B44" s="37">
        <f>SUMIF(fish_efp!$N$7:$N$1873,A44,fish_efp!$Q$7:$Q$1873)</f>
        <v>43853938.289999999</v>
      </c>
      <c r="C44" s="210">
        <f t="array" ref="C44">IF(ISERROR(1+LOG(SUM(IF(fish_efp!$N$7:$N$1873=A44,fish_efp!$Q$7:$Q$1873*fish_efp!$S$7:$S$1873,0))*9/(SUM(IF(fish_efp!$N$7:$N$1873=A44,fish_efp!$Q$7:$Q$1873,0))*cnst_fish!$C$7),1/cnst_fish!$C$8)),0,1+LOG(SUM(IF(fish_efp!$N$7:$N$1873=A44,fish_efp!$Q$7:$Q$1873*fish_efp!$S$7:$S$1873,0))*9/(SUM(IF(fish_efp!$N$7:$N$1873=A44,fish_efp!$Q$7:$Q$1873,0))*cnst_fish!$C$7),1/cnst_fish!$C$8))</f>
        <v>3.6117487994200586</v>
      </c>
      <c r="D44" s="117">
        <f>IF(C44=0,0,(1/9)*cnst_fish!$C$7*(1/cnst_fish!$C$8)^(C44-1))</f>
        <v>57.682872842502704</v>
      </c>
      <c r="E44" s="117">
        <f>IF(ISERROR((1/D44)*cnst_fish!$C$6),0,(1/D44)*cnst_fish!$C$6)</f>
        <v>7.367871589204994E-2</v>
      </c>
      <c r="F44" s="1357">
        <f>SUMIF(aquaculture_production_w!$C$7:$C$576,A44,aquaculture_production_w!$D$7:$D$576)</f>
        <v>24407148.219999991</v>
      </c>
      <c r="G44" s="1344">
        <f>VLOOKUP(A44,aquaculture_yields!$A$7:$H$46,8,FALSE)</f>
        <v>0.38096951526656342</v>
      </c>
      <c r="H44" s="708">
        <f t="shared" si="0"/>
        <v>0.10354027585612119</v>
      </c>
      <c r="I44" s="493">
        <f>IFERROR(VLOOKUP(A44,aquaculture_yields!$A$7:$I$46,9,FALSE)*F44/(F44+B44),0)</f>
        <v>0.25160636897509742</v>
      </c>
    </row>
    <row r="45" spans="1:9" s="422" customFormat="1">
      <c r="A45" s="316" t="s">
        <v>3615</v>
      </c>
      <c r="B45" s="430">
        <f>fishmeal_fishes!C37</f>
        <v>5551060</v>
      </c>
      <c r="C45" s="317"/>
      <c r="D45" s="317">
        <f>fishmeal_fishes!F37</f>
        <v>12.059752364874079</v>
      </c>
      <c r="E45" s="317">
        <f>IF(ISERROR((1/D45)*cnst_fish!$C$6),0,(1/D45)*cnst_fish!$C$6)</f>
        <v>0.35241187973136101</v>
      </c>
      <c r="F45" s="496"/>
      <c r="G45" s="1364"/>
      <c r="H45" s="1364">
        <f t="shared" si="0"/>
        <v>0.35241187973136101</v>
      </c>
      <c r="I45" s="494"/>
    </row>
    <row r="46" spans="1:9">
      <c r="A46" s="27" t="s">
        <v>1803</v>
      </c>
      <c r="B46" s="37">
        <f>SUMIF(fish_efp!$O$7:$O$1873,"*"&amp;"Fish"&amp;"*",fish_efp!$Q$7:$Q$1873)</f>
        <v>75693952</v>
      </c>
      <c r="C46" s="117">
        <f t="array" ref="C46">IF(ISERROR(1+LOG(SUM(IF(RIGHT(fish_efp!$O$7:$O$1873,4)="Fish",fish_efp!$Q$7:$Q$1873*fish_efp!$S$7:$S$1873,0))*9/(SUM(IF(RIGHT(fish_efp!$O$7:$O$1873,4)="Fish",fish_efp!$Q$7:$Q$1873,0))*cnst_fish!$C$7),1/cnst_fish!$C$8)),0,1+LOG(SUM(IF(RIGHT(fish_efp!$N$7:$N$1873,4)="Fish",fish_efp!$Q$7:$Q$1873*fish_efp!$S$7:$S$1873,0))*9/(SUM(IF(RIGHT(fish_efp!$N$7:$N$1873,4)="Fish",fish_efp!$Q$7:$Q$1873,0))*cnst_fish!$C$7),1/cnst_fish!$C$8))</f>
        <v>3.6134699840010658</v>
      </c>
      <c r="D46" s="117">
        <f>IF(C46=0,0,(1/9)*cnst_fish!$C$7*(1/cnst_fish!$C$8)^(C46-1))</f>
        <v>57.911933706212984</v>
      </c>
      <c r="E46" s="117">
        <f>IF(ISERROR((1/D46)*cnst_fish!$C$6),0,(1/D46)*cnst_fish!$C$6)</f>
        <v>7.3387292186792338E-2</v>
      </c>
      <c r="F46" s="705">
        <f>SUMIF(aquaculture_production_w!$C$7:$C$576,A46,aquaculture_production_w!$D$7:$D$576)</f>
        <v>0</v>
      </c>
      <c r="G46" s="1344">
        <f>VLOOKUP(A46,aquaculture_yields!$A$7:$H$46,8,FALSE)</f>
        <v>0</v>
      </c>
      <c r="H46" s="708">
        <f t="shared" si="0"/>
        <v>7.3387292186792338E-2</v>
      </c>
      <c r="I46" s="493">
        <f>IF(ISERROR(VLOOKUP(A46,aquaculture_yields!$A$7:$I$46,10,FALSE)*F46/(F46+B46)),0,VLOOKUP(A46,aquaculture_yields!$A$7:$I$46,10,FALSE)*F46/(F46+B46))</f>
        <v>0</v>
      </c>
    </row>
    <row r="47" spans="1:9">
      <c r="A47" s="119" t="s">
        <v>2443</v>
      </c>
      <c r="B47" s="38">
        <f>SUM(fish_efp!$Q$7:$Q$1873)</f>
        <v>90470925.839999989</v>
      </c>
      <c r="C47" s="120">
        <f t="array" ref="C47">IF(ISERROR(1+LOG(SUM(fish_efp!$Q$7:$Q$1873*fish_efp!$S$7:$S$1873)*9/(SUM(fish_efp!$Q$7:$Q$1873)*cnst_fish!$C$7),1/cnst_fish!$C$8)),0,1+LOG(SUM(fish_efp!$Q$7:$Q$1873*fish_efp!$S$7:$S$1873)*9/(SUM(fish_efp!$Q$7:$Q$1873)*cnst_fish!$C$7),1/cnst_fish!$C$8))</f>
        <v>3.7299655863034813</v>
      </c>
      <c r="D47" s="120">
        <f>IF(C47=0,0,(1/9)*cnst_fish!$C$7*(1/cnst_fish!$C$8)^(C47-1))</f>
        <v>75.729252275372204</v>
      </c>
      <c r="E47" s="120">
        <f>IF(ISERROR((1/D47)*cnst_fish!$C$6),0,(1/D47)*cnst_fish!$C$6)</f>
        <v>5.6120981949562131E-2</v>
      </c>
      <c r="F47" s="29">
        <f>SUMIF(aquaculture_production_w!$C$7:$C$576,A47,aquaculture_production_w!$D$7:$D$576)</f>
        <v>0</v>
      </c>
      <c r="G47" s="729">
        <f>VLOOKUP(A47,aquaculture_yields!$A$7:$H$46,8,FALSE)</f>
        <v>0</v>
      </c>
      <c r="H47" s="709">
        <f t="shared" si="0"/>
        <v>5.6120981949562131E-2</v>
      </c>
      <c r="I47" s="495">
        <f>IF(ISERROR(VLOOKUP(A47,aquaculture_yields!$A$7:$I$46,10,FALSE)*F47/(F47+B47)),0,VLOOKUP(A47,aquaculture_yields!$A$7:$I$46,10,FALSE)*F47/(F47+B47))</f>
        <v>0</v>
      </c>
    </row>
  </sheetData>
  <phoneticPr fontId="0" type="noConversion"/>
  <hyperlinks>
    <hyperlink ref="G2" location="cnst_fish!A1" tooltip="Go to cnst_fish" display="cnst_fish"/>
    <hyperlink ref="D3" location="fish_commodity_yield_n!A1" tooltip="Go to fish_commodity_yield_n" display="fish_commodity_yield_n"/>
    <hyperlink ref="E3" location="fish_group_yield_n!A1" display="fish_group_yield_n"/>
    <hyperlink ref="D2" location="fish_capture_yield!A1" tooltip="Go to fish_capture_yield_w" display="fish_capture_yield"/>
    <hyperlink ref="E2" location="aquaculture_production_w!A1" display="aquaculture_production_w"/>
    <hyperlink ref="F2" location="aquaculture_yields!A1" display="aquaculture_yields"/>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7" enableFormatConditionsCalculation="0">
    <tabColor rgb="FF0000FF"/>
  </sheetPr>
  <dimension ref="A1:I46"/>
  <sheetViews>
    <sheetView workbookViewId="0">
      <selection activeCell="A65536" sqref="A65536"/>
    </sheetView>
  </sheetViews>
  <sheetFormatPr baseColWidth="10" defaultColWidth="9.1640625" defaultRowHeight="12" x14ac:dyDescent="0"/>
  <cols>
    <col min="1" max="1" width="24" style="124" customWidth="1"/>
    <col min="2" max="9" width="21.6640625" style="124" customWidth="1"/>
    <col min="10" max="16384" width="9.1640625" style="124"/>
  </cols>
  <sheetData>
    <row r="1" spans="1:9" s="53" customFormat="1" ht="12.75" customHeight="1">
      <c r="B1" s="123"/>
      <c r="C1" s="123"/>
      <c r="D1" s="1064"/>
      <c r="E1" s="1064"/>
      <c r="F1" s="1064"/>
      <c r="G1" s="1064"/>
      <c r="H1" s="123"/>
      <c r="I1" s="123"/>
    </row>
    <row r="2" spans="1:9" s="53" customFormat="1" ht="12.75" customHeight="1">
      <c r="B2" s="736"/>
      <c r="C2" s="54" t="s">
        <v>1005</v>
      </c>
      <c r="D2" s="1064" t="s">
        <v>5262</v>
      </c>
      <c r="E2" s="1064" t="s">
        <v>2117</v>
      </c>
      <c r="F2" s="1064" t="s">
        <v>5421</v>
      </c>
      <c r="G2" s="1064" t="s">
        <v>6365</v>
      </c>
      <c r="H2" s="125"/>
    </row>
    <row r="3" spans="1:9" s="53" customFormat="1" ht="12.75" customHeight="1">
      <c r="B3" s="736"/>
      <c r="C3" s="54" t="s">
        <v>1006</v>
      </c>
      <c r="D3" s="1064" t="s">
        <v>5417</v>
      </c>
      <c r="E3" s="1064" t="s">
        <v>1842</v>
      </c>
      <c r="F3" s="1064"/>
      <c r="G3" s="1064"/>
    </row>
    <row r="4" spans="1:9" s="53" customFormat="1" ht="12.75" customHeight="1"/>
    <row r="5" spans="1:9">
      <c r="A5" s="410" t="s">
        <v>103</v>
      </c>
      <c r="B5" s="315" t="s">
        <v>4444</v>
      </c>
      <c r="C5" s="315" t="s">
        <v>4445</v>
      </c>
      <c r="D5" s="315" t="s">
        <v>4446</v>
      </c>
      <c r="E5" s="315" t="s">
        <v>4447</v>
      </c>
      <c r="F5" s="315" t="s">
        <v>4448</v>
      </c>
      <c r="G5" s="315" t="s">
        <v>5525</v>
      </c>
      <c r="H5" s="315" t="s">
        <v>5526</v>
      </c>
      <c r="I5" s="497" t="s">
        <v>4449</v>
      </c>
    </row>
    <row r="6" spans="1:9">
      <c r="A6" s="310" t="s">
        <v>548</v>
      </c>
      <c r="B6" s="308" t="s">
        <v>4450</v>
      </c>
      <c r="C6" s="308" t="s">
        <v>4451</v>
      </c>
      <c r="D6" s="308" t="s">
        <v>4452</v>
      </c>
      <c r="E6" s="308" t="s">
        <v>4453</v>
      </c>
      <c r="F6" s="308" t="s">
        <v>4453</v>
      </c>
      <c r="G6" s="308" t="s">
        <v>3364</v>
      </c>
      <c r="H6" s="308" t="s">
        <v>3364</v>
      </c>
      <c r="I6" s="498" t="s">
        <v>4454</v>
      </c>
    </row>
    <row r="7" spans="1:9">
      <c r="A7" s="23" t="s">
        <v>1808</v>
      </c>
      <c r="B7" s="158">
        <v>0</v>
      </c>
      <c r="C7" s="158">
        <v>0</v>
      </c>
      <c r="D7" s="158">
        <v>0</v>
      </c>
      <c r="E7" s="158">
        <v>0</v>
      </c>
      <c r="F7" s="158">
        <v>0</v>
      </c>
      <c r="G7" s="158">
        <v>0</v>
      </c>
      <c r="H7" s="158">
        <v>0</v>
      </c>
      <c r="I7" s="499">
        <v>0</v>
      </c>
    </row>
    <row r="8" spans="1:9">
      <c r="A8" s="25" t="s">
        <v>2969</v>
      </c>
      <c r="B8" s="62">
        <f t="shared" ref="B8:B46" si="0">IF(ISERROR(VLOOKUP(A8,constant_aquafeed_factors,2,FALSE)),0,VLOOKUP(A8,constant_aquafeed_factors,2,FALSE))</f>
        <v>0.23903099999999999</v>
      </c>
      <c r="C8" s="62">
        <f t="shared" ref="C8:C46" si="1">IF(ISERROR(VLOOKUP(A8,constant_aquafeed_factors,3,FALSE)),0,VLOOKUP(A8,constant_aquafeed_factors,3,FALSE))</f>
        <v>6.0399499999999995E-2</v>
      </c>
      <c r="D8" s="62">
        <f t="shared" ref="D8:D46" si="2">IF(ISERROR(VLOOKUP(A8,constant_aquafeed_factors,4,FALSE)),0,VLOOKUP(A8,constant_aquafeed_factors,4,FALSE))</f>
        <v>0.90596949999999998</v>
      </c>
      <c r="E8" s="62">
        <f>B8*fish_feed_group_yield_n!$C$21+fish_feed_group_yield_n!$C$24*C8</f>
        <v>0.19269988425508949</v>
      </c>
      <c r="F8" s="62">
        <f>B8*fish_feed_group_yield_w!$C$21+C8*fish_feed_group_yield_w!$C$24</f>
        <v>0.96383582455361194</v>
      </c>
      <c r="G8" s="62">
        <f>IF(ISERROR(eqf!$B$10/aquaculture_yields!E8),0,eqf!$B$10/aquaculture_yields!E8)</f>
        <v>1.9055126488330514</v>
      </c>
      <c r="H8" s="62">
        <f>IF(ISERROR(eqf!$B$10/aquaculture_yields!F8),0,eqf!$B$10/aquaculture_yields!F8)</f>
        <v>0.38096951526656342</v>
      </c>
      <c r="I8" s="493">
        <f>D8*fish_feed_group_yield_w!$B$36</f>
        <v>0.7036841815465531</v>
      </c>
    </row>
    <row r="9" spans="1:9">
      <c r="A9" s="25" t="s">
        <v>104</v>
      </c>
      <c r="B9" s="62">
        <f t="shared" si="0"/>
        <v>0</v>
      </c>
      <c r="C9" s="62">
        <f t="shared" si="1"/>
        <v>0</v>
      </c>
      <c r="D9" s="62">
        <f t="shared" si="2"/>
        <v>0</v>
      </c>
      <c r="E9" s="62">
        <f>B9*fish_feed_group_yield_n!$C$21+fish_feed_group_yield_n!$C$24*C9</f>
        <v>0</v>
      </c>
      <c r="F9" s="62">
        <f>B9*fish_feed_group_yield_w!$C$21+C9*fish_feed_group_yield_w!$C$24</f>
        <v>0</v>
      </c>
      <c r="G9" s="62">
        <f>IF(ISERROR(eqf!$B$10/aquaculture_yields!E9),0,eqf!$B$10/aquaculture_yields!E9)</f>
        <v>0</v>
      </c>
      <c r="H9" s="62">
        <f>IF(ISERROR(eqf!$B$10/aquaculture_yields!F9),0,eqf!$B$10/aquaculture_yields!F9)</f>
        <v>0</v>
      </c>
      <c r="I9" s="493">
        <f>D9*fish_feed_group_yield_w!$B$36</f>
        <v>0</v>
      </c>
    </row>
    <row r="10" spans="1:9">
      <c r="A10" s="25" t="s">
        <v>5365</v>
      </c>
      <c r="B10" s="62">
        <f t="shared" si="0"/>
        <v>3.9949999999999999E-2</v>
      </c>
      <c r="C10" s="62">
        <f t="shared" si="1"/>
        <v>0</v>
      </c>
      <c r="D10" s="62">
        <f t="shared" si="2"/>
        <v>0.75905</v>
      </c>
      <c r="E10" s="62">
        <f>B10*fish_feed_group_yield_n!$C$21+fish_feed_group_yield_n!$C$24*C10</f>
        <v>2.6440540343101507E-2</v>
      </c>
      <c r="F10" s="62">
        <f>B10*fish_feed_group_yield_w!$C$21+C10*fish_feed_group_yield_w!$C$24</f>
        <v>0.13224885993964061</v>
      </c>
      <c r="G10" s="62">
        <f>IF(ISERROR(eqf!$B$10/aquaculture_yields!E10),0,eqf!$B$10/aquaculture_yields!E10)</f>
        <v>13.887464556772592</v>
      </c>
      <c r="H10" s="62">
        <f>IF(ISERROR(eqf!$B$10/aquaculture_yields!F10),0,eqf!$B$10/aquaculture_yields!F10)</f>
        <v>2.7765234955093545</v>
      </c>
      <c r="I10" s="493">
        <f>D10*fish_feed_group_yield_w!$B$36</f>
        <v>0.58956894023795636</v>
      </c>
    </row>
    <row r="11" spans="1:9">
      <c r="A11" s="25" t="s">
        <v>4154</v>
      </c>
      <c r="B11" s="62">
        <f t="shared" si="0"/>
        <v>0</v>
      </c>
      <c r="C11" s="62">
        <f t="shared" si="1"/>
        <v>0</v>
      </c>
      <c r="D11" s="62">
        <f t="shared" si="2"/>
        <v>0</v>
      </c>
      <c r="E11" s="62">
        <f>B11*fish_feed_group_yield_n!$C$21+fish_feed_group_yield_n!$C$24*C11</f>
        <v>0</v>
      </c>
      <c r="F11" s="62">
        <f>B11*fish_feed_group_yield_w!$C$21+C11*fish_feed_group_yield_w!$C$24</f>
        <v>0</v>
      </c>
      <c r="G11" s="62">
        <f>IF(ISERROR(eqf!$B$10/aquaculture_yields!E11),0,eqf!$B$10/aquaculture_yields!E11)</f>
        <v>0</v>
      </c>
      <c r="H11" s="62">
        <f>IF(ISERROR(eqf!$B$10/aquaculture_yields!F11),0,eqf!$B$10/aquaculture_yields!F11)</f>
        <v>0</v>
      </c>
      <c r="I11" s="493">
        <f>D11*fish_feed_group_yield_w!$B$36</f>
        <v>0</v>
      </c>
    </row>
    <row r="12" spans="1:9">
      <c r="A12" s="25" t="s">
        <v>5366</v>
      </c>
      <c r="B12" s="62">
        <f t="shared" si="0"/>
        <v>0.23903099999999999</v>
      </c>
      <c r="C12" s="62">
        <f t="shared" si="1"/>
        <v>6.0399499999999995E-2</v>
      </c>
      <c r="D12" s="62">
        <f t="shared" si="2"/>
        <v>0.90596949999999998</v>
      </c>
      <c r="E12" s="62">
        <f>B12*fish_feed_group_yield_n!$C$21+fish_feed_group_yield_n!$C$24*C12</f>
        <v>0.19269988425508949</v>
      </c>
      <c r="F12" s="62">
        <f>B12*fish_feed_group_yield_w!$C$21+C12*fish_feed_group_yield_w!$C$24</f>
        <v>0.96383582455361194</v>
      </c>
      <c r="G12" s="62">
        <f>IF(ISERROR(eqf!$B$10/aquaculture_yields!E12),0,eqf!$B$10/aquaculture_yields!E12)</f>
        <v>1.9055126488330514</v>
      </c>
      <c r="H12" s="62">
        <f>IF(ISERROR(eqf!$B$10/aquaculture_yields!F12),0,eqf!$B$10/aquaculture_yields!F12)</f>
        <v>0.38096951526656342</v>
      </c>
      <c r="I12" s="493">
        <f>D12*fish_feed_group_yield_w!$B$36</f>
        <v>0.7036841815465531</v>
      </c>
    </row>
    <row r="13" spans="1:9">
      <c r="A13" s="25" t="s">
        <v>5367</v>
      </c>
      <c r="B13" s="62">
        <f t="shared" si="0"/>
        <v>0</v>
      </c>
      <c r="C13" s="62">
        <f t="shared" si="1"/>
        <v>0</v>
      </c>
      <c r="D13" s="62">
        <f t="shared" si="2"/>
        <v>0</v>
      </c>
      <c r="E13" s="62">
        <f>B13*fish_feed_group_yield_n!$C$21+fish_feed_group_yield_n!$C$24*C13</f>
        <v>0</v>
      </c>
      <c r="F13" s="62">
        <f>B13*fish_feed_group_yield_w!$C$21+C13*fish_feed_group_yield_w!$C$24</f>
        <v>0</v>
      </c>
      <c r="G13" s="62">
        <f>IF(ISERROR(eqf!$B$10/aquaculture_yields!E13),0,eqf!$B$10/aquaculture_yields!E13)</f>
        <v>0</v>
      </c>
      <c r="H13" s="62">
        <f>IF(ISERROR(eqf!$B$10/aquaculture_yields!F13),0,eqf!$B$10/aquaculture_yields!F13)</f>
        <v>0</v>
      </c>
      <c r="I13" s="493">
        <f>D13*fish_feed_group_yield_w!$B$36</f>
        <v>0</v>
      </c>
    </row>
    <row r="14" spans="1:9">
      <c r="A14" s="25" t="s">
        <v>2430</v>
      </c>
      <c r="B14" s="62">
        <f t="shared" si="0"/>
        <v>0.23903099999999999</v>
      </c>
      <c r="C14" s="62">
        <f t="shared" si="1"/>
        <v>6.0399499999999995E-2</v>
      </c>
      <c r="D14" s="62">
        <f t="shared" si="2"/>
        <v>0.90596949999999998</v>
      </c>
      <c r="E14" s="62">
        <f>B14*fish_feed_group_yield_n!$C$21+fish_feed_group_yield_n!$C$24*C14</f>
        <v>0.19269988425508949</v>
      </c>
      <c r="F14" s="62">
        <f>B14*fish_feed_group_yield_w!$C$21+C14*fish_feed_group_yield_w!$C$24</f>
        <v>0.96383582455361194</v>
      </c>
      <c r="G14" s="62">
        <f>IF(ISERROR(eqf!$B$10/aquaculture_yields!E14),0,eqf!$B$10/aquaculture_yields!E14)</f>
        <v>1.9055126488330514</v>
      </c>
      <c r="H14" s="62">
        <f>IF(ISERROR(eqf!$B$10/aquaculture_yields!F14),0,eqf!$B$10/aquaculture_yields!F14)</f>
        <v>0.38096951526656342</v>
      </c>
      <c r="I14" s="493">
        <f>D14*fish_feed_group_yield_w!$B$36</f>
        <v>0.7036841815465531</v>
      </c>
    </row>
    <row r="15" spans="1:9">
      <c r="A15" s="25" t="s">
        <v>5368</v>
      </c>
      <c r="B15" s="62">
        <f t="shared" si="0"/>
        <v>0.23903099999999999</v>
      </c>
      <c r="C15" s="62">
        <f t="shared" si="1"/>
        <v>6.0399499999999995E-2</v>
      </c>
      <c r="D15" s="62">
        <f t="shared" si="2"/>
        <v>0.90596949999999998</v>
      </c>
      <c r="E15" s="62">
        <f>B15*fish_feed_group_yield_n!$C$21+fish_feed_group_yield_n!$C$24*C15</f>
        <v>0.19269988425508949</v>
      </c>
      <c r="F15" s="62">
        <f>B15*fish_feed_group_yield_w!$C$21+C15*fish_feed_group_yield_w!$C$24</f>
        <v>0.96383582455361194</v>
      </c>
      <c r="G15" s="62">
        <f>IF(ISERROR(eqf!$B$10/aquaculture_yields!E15),0,eqf!$B$10/aquaculture_yields!E15)</f>
        <v>1.9055126488330514</v>
      </c>
      <c r="H15" s="62">
        <f>IF(ISERROR(eqf!$B$10/aquaculture_yields!F15),0,eqf!$B$10/aquaculture_yields!F15)</f>
        <v>0.38096951526656342</v>
      </c>
      <c r="I15" s="493">
        <f>D15*fish_feed_group_yield_w!$B$36</f>
        <v>0.7036841815465531</v>
      </c>
    </row>
    <row r="16" spans="1:9">
      <c r="A16" s="25" t="s">
        <v>3927</v>
      </c>
      <c r="B16" s="62">
        <f t="shared" si="0"/>
        <v>0</v>
      </c>
      <c r="C16" s="62">
        <f t="shared" si="1"/>
        <v>0</v>
      </c>
      <c r="D16" s="62">
        <f t="shared" si="2"/>
        <v>0</v>
      </c>
      <c r="E16" s="62">
        <f>B16*fish_feed_group_yield_n!$C$21+fish_feed_group_yield_n!$C$24*C16</f>
        <v>0</v>
      </c>
      <c r="F16" s="62">
        <f>B16*fish_feed_group_yield_w!$C$21+C16*fish_feed_group_yield_w!$C$24</f>
        <v>0</v>
      </c>
      <c r="G16" s="62">
        <f>IF(ISERROR(eqf!$B$10/aquaculture_yields!E16),0,eqf!$B$10/aquaculture_yields!E16)</f>
        <v>0</v>
      </c>
      <c r="H16" s="62">
        <f>IF(ISERROR(eqf!$B$10/aquaculture_yields!F16),0,eqf!$B$10/aquaculture_yields!F16)</f>
        <v>0</v>
      </c>
      <c r="I16" s="493">
        <f>D16*fish_feed_group_yield_w!$B$36</f>
        <v>0</v>
      </c>
    </row>
    <row r="17" spans="1:9">
      <c r="A17" s="18" t="s">
        <v>3928</v>
      </c>
      <c r="B17" s="62">
        <f t="shared" si="0"/>
        <v>0.71249999999999991</v>
      </c>
      <c r="C17" s="62">
        <f t="shared" si="1"/>
        <v>7.1250000000000008E-2</v>
      </c>
      <c r="D17" s="62">
        <f t="shared" si="2"/>
        <v>0.64124999999999988</v>
      </c>
      <c r="E17" s="62">
        <f>B17*fish_feed_group_yield_n!$C$21+fish_feed_group_yield_n!$C$24*C17</f>
        <v>0.51225865588102715</v>
      </c>
      <c r="F17" s="62">
        <f>B17*fish_feed_group_yield_w!$C$21+C17*fish_feed_group_yield_w!$C$24</f>
        <v>2.5621875481888083</v>
      </c>
      <c r="G17" s="62">
        <f>IF(ISERROR(eqf!$B$10/aquaculture_yields!E17),0,eqf!$B$10/aquaculture_yields!E17)</f>
        <v>0.71680988239273191</v>
      </c>
      <c r="H17" s="62">
        <f>IF(ISERROR(eqf!$B$10/aquaculture_yields!F17),0,eqf!$B$10/aquaculture_yields!F17)</f>
        <v>0.14331193949338461</v>
      </c>
      <c r="I17" s="493">
        <f>D17*fish_feed_group_yield_w!$B$36</f>
        <v>0.49807138255396799</v>
      </c>
    </row>
    <row r="18" spans="1:9">
      <c r="A18" s="18" t="s">
        <v>3929</v>
      </c>
      <c r="B18" s="62">
        <f t="shared" si="0"/>
        <v>0.23903099999999999</v>
      </c>
      <c r="C18" s="62">
        <f t="shared" si="1"/>
        <v>6.0399499999999995E-2</v>
      </c>
      <c r="D18" s="62">
        <f t="shared" si="2"/>
        <v>0.90596949999999998</v>
      </c>
      <c r="E18" s="62">
        <f>B18*fish_feed_group_yield_n!$C$21+fish_feed_group_yield_n!$C$24*C18</f>
        <v>0.19269988425508949</v>
      </c>
      <c r="F18" s="62">
        <f>B18*fish_feed_group_yield_w!$C$21+C18*fish_feed_group_yield_w!$C$24</f>
        <v>0.96383582455361194</v>
      </c>
      <c r="G18" s="62">
        <f>IF(ISERROR(eqf!$B$10/aquaculture_yields!E18),0,eqf!$B$10/aquaculture_yields!E18)</f>
        <v>1.9055126488330514</v>
      </c>
      <c r="H18" s="62">
        <f>IF(ISERROR(eqf!$B$10/aquaculture_yields!F18),0,eqf!$B$10/aquaculture_yields!F18)</f>
        <v>0.38096951526656342</v>
      </c>
      <c r="I18" s="493">
        <f>D18*fish_feed_group_yield_w!$B$36</f>
        <v>0.7036841815465531</v>
      </c>
    </row>
    <row r="19" spans="1:9">
      <c r="A19" s="25" t="s">
        <v>612</v>
      </c>
      <c r="B19" s="62">
        <f t="shared" si="0"/>
        <v>0.23903099999999999</v>
      </c>
      <c r="C19" s="62">
        <f t="shared" si="1"/>
        <v>6.0399499999999995E-2</v>
      </c>
      <c r="D19" s="62">
        <f t="shared" si="2"/>
        <v>0.90596949999999998</v>
      </c>
      <c r="E19" s="62">
        <f>B19*fish_feed_group_yield_n!$C$21+fish_feed_group_yield_n!$C$24*C19</f>
        <v>0.19269988425508949</v>
      </c>
      <c r="F19" s="62">
        <f>B19*fish_feed_group_yield_w!$C$21+C19*fish_feed_group_yield_w!$C$24</f>
        <v>0.96383582455361194</v>
      </c>
      <c r="G19" s="62">
        <f>IF(ISERROR(eqf!$B$10/aquaculture_yields!E19),0,eqf!$B$10/aquaculture_yields!E19)</f>
        <v>1.9055126488330514</v>
      </c>
      <c r="H19" s="62">
        <f>IF(ISERROR(eqf!$B$10/aquaculture_yields!F19),0,eqf!$B$10/aquaculture_yields!F19)</f>
        <v>0.38096951526656342</v>
      </c>
      <c r="I19" s="493">
        <f>D19*fish_feed_group_yield_w!$B$36</f>
        <v>0.7036841815465531</v>
      </c>
    </row>
    <row r="20" spans="1:9">
      <c r="A20" s="18" t="s">
        <v>3930</v>
      </c>
      <c r="B20" s="62">
        <f t="shared" si="0"/>
        <v>0</v>
      </c>
      <c r="C20" s="62">
        <f t="shared" si="1"/>
        <v>0</v>
      </c>
      <c r="D20" s="62">
        <f t="shared" si="2"/>
        <v>0</v>
      </c>
      <c r="E20" s="62">
        <f>B20*fish_feed_group_yield_n!$C$21+fish_feed_group_yield_n!$C$24*C20</f>
        <v>0</v>
      </c>
      <c r="F20" s="62">
        <f>B20*fish_feed_group_yield_w!$C$21+C20*fish_feed_group_yield_w!$C$24</f>
        <v>0</v>
      </c>
      <c r="G20" s="62">
        <f>IF(ISERROR(eqf!$B$10/aquaculture_yields!E20),0,eqf!$B$10/aquaculture_yields!E20)</f>
        <v>0</v>
      </c>
      <c r="H20" s="62">
        <f>IF(ISERROR(eqf!$B$10/aquaculture_yields!F20),0,eqf!$B$10/aquaculture_yields!F20)</f>
        <v>0</v>
      </c>
      <c r="I20" s="493">
        <f>D20*fish_feed_group_yield_w!$B$36</f>
        <v>0</v>
      </c>
    </row>
    <row r="21" spans="1:9">
      <c r="A21" s="18" t="s">
        <v>3931</v>
      </c>
      <c r="B21" s="62">
        <f t="shared" si="0"/>
        <v>0</v>
      </c>
      <c r="C21" s="62">
        <f t="shared" si="1"/>
        <v>0</v>
      </c>
      <c r="D21" s="62">
        <f t="shared" si="2"/>
        <v>0</v>
      </c>
      <c r="E21" s="62">
        <f>B21*fish_feed_group_yield_n!$C$21+fish_feed_group_yield_n!$C$24*C21</f>
        <v>0</v>
      </c>
      <c r="F21" s="62">
        <f>B21*fish_feed_group_yield_w!$C$21+C21*fish_feed_group_yield_w!$C$24</f>
        <v>0</v>
      </c>
      <c r="G21" s="62">
        <f>IF(ISERROR(eqf!$B$10/aquaculture_yields!E21),0,eqf!$B$10/aquaculture_yields!E21)</f>
        <v>0</v>
      </c>
      <c r="H21" s="62">
        <f>IF(ISERROR(eqf!$B$10/aquaculture_yields!F21),0,eqf!$B$10/aquaculture_yields!F21)</f>
        <v>0</v>
      </c>
      <c r="I21" s="493">
        <f>D21*fish_feed_group_yield_w!$B$36</f>
        <v>0</v>
      </c>
    </row>
    <row r="22" spans="1:9">
      <c r="A22" s="18" t="s">
        <v>3932</v>
      </c>
      <c r="B22" s="62">
        <f t="shared" si="0"/>
        <v>0.23903099999999999</v>
      </c>
      <c r="C22" s="62">
        <f t="shared" si="1"/>
        <v>6.0399499999999995E-2</v>
      </c>
      <c r="D22" s="62">
        <f t="shared" si="2"/>
        <v>0.90596949999999998</v>
      </c>
      <c r="E22" s="62">
        <f>B22*fish_feed_group_yield_n!$C$21+fish_feed_group_yield_n!$C$24*C22</f>
        <v>0.19269988425508949</v>
      </c>
      <c r="F22" s="62">
        <f>B22*fish_feed_group_yield_w!$C$21+C22*fish_feed_group_yield_w!$C$24</f>
        <v>0.96383582455361194</v>
      </c>
      <c r="G22" s="62">
        <f>IF(ISERROR(eqf!$B$10/aquaculture_yields!E22),0,eqf!$B$10/aquaculture_yields!E22)</f>
        <v>1.9055126488330514</v>
      </c>
      <c r="H22" s="62">
        <f>IF(ISERROR(eqf!$B$10/aquaculture_yields!F22),0,eqf!$B$10/aquaculture_yields!F22)</f>
        <v>0.38096951526656342</v>
      </c>
      <c r="I22" s="493">
        <f>D22*fish_feed_group_yield_w!$B$36</f>
        <v>0.7036841815465531</v>
      </c>
    </row>
    <row r="23" spans="1:9">
      <c r="A23" s="18" t="s">
        <v>2431</v>
      </c>
      <c r="B23" s="62">
        <f t="shared" si="0"/>
        <v>0.23903099999999999</v>
      </c>
      <c r="C23" s="62">
        <f t="shared" si="1"/>
        <v>6.0399499999999995E-2</v>
      </c>
      <c r="D23" s="62">
        <f t="shared" si="2"/>
        <v>0.90596949999999998</v>
      </c>
      <c r="E23" s="62">
        <f>B23*fish_feed_group_yield_n!$C$21+fish_feed_group_yield_n!$C$24*C23</f>
        <v>0.19269988425508949</v>
      </c>
      <c r="F23" s="62">
        <f>B23*fish_feed_group_yield_w!$C$21+C23*fish_feed_group_yield_w!$C$24</f>
        <v>0.96383582455361194</v>
      </c>
      <c r="G23" s="62">
        <f>IF(ISERROR(eqf!$B$10/aquaculture_yields!E23),0,eqf!$B$10/aquaculture_yields!E23)</f>
        <v>1.9055126488330514</v>
      </c>
      <c r="H23" s="62">
        <f>IF(ISERROR(eqf!$B$10/aquaculture_yields!F23),0,eqf!$B$10/aquaculture_yields!F23)</f>
        <v>0.38096951526656342</v>
      </c>
      <c r="I23" s="493">
        <f>D23*fish_feed_group_yield_w!$B$36</f>
        <v>0.7036841815465531</v>
      </c>
    </row>
    <row r="24" spans="1:9">
      <c r="A24" s="18" t="s">
        <v>2432</v>
      </c>
      <c r="B24" s="62">
        <f t="shared" si="0"/>
        <v>0.23903099999999999</v>
      </c>
      <c r="C24" s="62">
        <f t="shared" si="1"/>
        <v>6.0399499999999995E-2</v>
      </c>
      <c r="D24" s="62">
        <f t="shared" si="2"/>
        <v>0.90596949999999998</v>
      </c>
      <c r="E24" s="62">
        <f>B24*fish_feed_group_yield_n!$C$21+fish_feed_group_yield_n!$C$24*C24</f>
        <v>0.19269988425508949</v>
      </c>
      <c r="F24" s="62">
        <f>B24*fish_feed_group_yield_w!$C$21+C24*fish_feed_group_yield_w!$C$24</f>
        <v>0.96383582455361194</v>
      </c>
      <c r="G24" s="62">
        <f>IF(ISERROR(eqf!$B$10/aquaculture_yields!E24),0,eqf!$B$10/aquaculture_yields!E24)</f>
        <v>1.9055126488330514</v>
      </c>
      <c r="H24" s="62">
        <f>IF(ISERROR(eqf!$B$10/aquaculture_yields!F24),0,eqf!$B$10/aquaculture_yields!F24)</f>
        <v>0.38096951526656342</v>
      </c>
      <c r="I24" s="493">
        <f>D24*fish_feed_group_yield_w!$B$36</f>
        <v>0.7036841815465531</v>
      </c>
    </row>
    <row r="25" spans="1:9">
      <c r="A25" s="18" t="s">
        <v>2433</v>
      </c>
      <c r="B25" s="62">
        <f t="shared" si="0"/>
        <v>0.23903099999999999</v>
      </c>
      <c r="C25" s="62">
        <f t="shared" si="1"/>
        <v>6.0399499999999995E-2</v>
      </c>
      <c r="D25" s="62">
        <f t="shared" si="2"/>
        <v>0.90596949999999998</v>
      </c>
      <c r="E25" s="62">
        <f>B25*fish_feed_group_yield_n!$C$21+fish_feed_group_yield_n!$C$24*C25</f>
        <v>0.19269988425508949</v>
      </c>
      <c r="F25" s="62">
        <f>B25*fish_feed_group_yield_w!$C$21+C25*fish_feed_group_yield_w!$C$24</f>
        <v>0.96383582455361194</v>
      </c>
      <c r="G25" s="62">
        <f>IF(ISERROR(eqf!$B$10/aquaculture_yields!E25),0,eqf!$B$10/aquaculture_yields!E25)</f>
        <v>1.9055126488330514</v>
      </c>
      <c r="H25" s="62">
        <f>IF(ISERROR(eqf!$B$10/aquaculture_yields!F25),0,eqf!$B$10/aquaculture_yields!F25)</f>
        <v>0.38096951526656342</v>
      </c>
      <c r="I25" s="493">
        <f>D25*fish_feed_group_yield_w!$B$36</f>
        <v>0.7036841815465531</v>
      </c>
    </row>
    <row r="26" spans="1:9">
      <c r="A26" s="18" t="s">
        <v>1513</v>
      </c>
      <c r="B26" s="62">
        <f t="shared" si="0"/>
        <v>0</v>
      </c>
      <c r="C26" s="62">
        <f t="shared" si="1"/>
        <v>0</v>
      </c>
      <c r="D26" s="62">
        <f t="shared" si="2"/>
        <v>0</v>
      </c>
      <c r="E26" s="62">
        <f>B26*fish_feed_group_yield_n!$C$21+fish_feed_group_yield_n!$C$24*C26</f>
        <v>0</v>
      </c>
      <c r="F26" s="62">
        <f>B26*fish_feed_group_yield_w!$C$21+C26*fish_feed_group_yield_w!$C$24</f>
        <v>0</v>
      </c>
      <c r="G26" s="62">
        <f>IF(ISERROR(eqf!$B$10/aquaculture_yields!E26),0,eqf!$B$10/aquaculture_yields!E26)</f>
        <v>0</v>
      </c>
      <c r="H26" s="62">
        <f>IF(ISERROR(eqf!$B$10/aquaculture_yields!F26),0,eqf!$B$10/aquaculture_yields!F26)</f>
        <v>0</v>
      </c>
      <c r="I26" s="493">
        <f>D26*fish_feed_group_yield_w!$B$36</f>
        <v>0</v>
      </c>
    </row>
    <row r="27" spans="1:9">
      <c r="A27" s="18" t="s">
        <v>2434</v>
      </c>
      <c r="B27" s="62">
        <f t="shared" si="0"/>
        <v>0.23903099999999999</v>
      </c>
      <c r="C27" s="62">
        <f t="shared" si="1"/>
        <v>6.0399499999999995E-2</v>
      </c>
      <c r="D27" s="62">
        <f t="shared" si="2"/>
        <v>0.90596949999999998</v>
      </c>
      <c r="E27" s="62">
        <f>B27*fish_feed_group_yield_n!$C$21+fish_feed_group_yield_n!$C$24*C27</f>
        <v>0.19269988425508949</v>
      </c>
      <c r="F27" s="62">
        <f>B27*fish_feed_group_yield_w!$C$21+C27*fish_feed_group_yield_w!$C$24</f>
        <v>0.96383582455361194</v>
      </c>
      <c r="G27" s="62">
        <f>IF(ISERROR(eqf!$B$10/aquaculture_yields!E27),0,eqf!$B$10/aquaculture_yields!E27)</f>
        <v>1.9055126488330514</v>
      </c>
      <c r="H27" s="62">
        <f>IF(ISERROR(eqf!$B$10/aquaculture_yields!F27),0,eqf!$B$10/aquaculture_yields!F27)</f>
        <v>0.38096951526656342</v>
      </c>
      <c r="I27" s="493">
        <f>D27*fish_feed_group_yield_w!$B$36</f>
        <v>0.7036841815465531</v>
      </c>
    </row>
    <row r="28" spans="1:9">
      <c r="A28" s="18" t="s">
        <v>2435</v>
      </c>
      <c r="B28" s="62">
        <f t="shared" si="0"/>
        <v>0.23903099999999999</v>
      </c>
      <c r="C28" s="62">
        <f t="shared" si="1"/>
        <v>6.0399499999999995E-2</v>
      </c>
      <c r="D28" s="62">
        <f t="shared" si="2"/>
        <v>0.90596949999999998</v>
      </c>
      <c r="E28" s="62">
        <f>B28*fish_feed_group_yield_n!$C$21+fish_feed_group_yield_n!$C$24*C28</f>
        <v>0.19269988425508949</v>
      </c>
      <c r="F28" s="62">
        <f>B28*fish_feed_group_yield_w!$C$21+C28*fish_feed_group_yield_w!$C$24</f>
        <v>0.96383582455361194</v>
      </c>
      <c r="G28" s="62">
        <f>IF(ISERROR(eqf!$B$10/aquaculture_yields!E28),0,eqf!$B$10/aquaculture_yields!E28)</f>
        <v>1.9055126488330514</v>
      </c>
      <c r="H28" s="62">
        <f>IF(ISERROR(eqf!$B$10/aquaculture_yields!F28),0,eqf!$B$10/aquaculture_yields!F28)</f>
        <v>0.38096951526656342</v>
      </c>
      <c r="I28" s="493">
        <f>D28*fish_feed_group_yield_w!$B$36</f>
        <v>0.7036841815465531</v>
      </c>
    </row>
    <row r="29" spans="1:9">
      <c r="A29" s="18" t="s">
        <v>2436</v>
      </c>
      <c r="B29" s="62">
        <f t="shared" si="0"/>
        <v>0.23903099999999999</v>
      </c>
      <c r="C29" s="62">
        <f t="shared" si="1"/>
        <v>6.0399499999999995E-2</v>
      </c>
      <c r="D29" s="62">
        <f t="shared" si="2"/>
        <v>0.90596949999999998</v>
      </c>
      <c r="E29" s="62">
        <f>B29*fish_feed_group_yield_n!$C$21+fish_feed_group_yield_n!$C$24*C29</f>
        <v>0.19269988425508949</v>
      </c>
      <c r="F29" s="62">
        <f>B29*fish_feed_group_yield_w!$C$21+C29*fish_feed_group_yield_w!$C$24</f>
        <v>0.96383582455361194</v>
      </c>
      <c r="G29" s="62">
        <f>IF(ISERROR(eqf!$B$10/aquaculture_yields!E29),0,eqf!$B$10/aquaculture_yields!E29)</f>
        <v>1.9055126488330514</v>
      </c>
      <c r="H29" s="62">
        <f>IF(ISERROR(eqf!$B$10/aquaculture_yields!F29),0,eqf!$B$10/aquaculture_yields!F29)</f>
        <v>0.38096951526656342</v>
      </c>
      <c r="I29" s="493">
        <f>D29*fish_feed_group_yield_w!$B$36</f>
        <v>0.7036841815465531</v>
      </c>
    </row>
    <row r="30" spans="1:9">
      <c r="A30" s="25" t="s">
        <v>3933</v>
      </c>
      <c r="B30" s="62">
        <f t="shared" si="0"/>
        <v>0.312</v>
      </c>
      <c r="C30" s="62">
        <f t="shared" si="1"/>
        <v>0.23399999999999999</v>
      </c>
      <c r="D30" s="62">
        <f t="shared" si="2"/>
        <v>0.75400000000000011</v>
      </c>
      <c r="E30" s="62">
        <f>B30*fish_feed_group_yield_n!$C$21+fish_feed_group_yield_n!$C$24*C30</f>
        <v>0.34015210799329132</v>
      </c>
      <c r="F30" s="62">
        <f>B30*fish_feed_group_yield_w!$C$21+C30*fish_feed_group_yield_w!$C$24</f>
        <v>1.7013543560169742</v>
      </c>
      <c r="G30" s="62">
        <f>IF(ISERROR(eqf!$B$10/aquaculture_yields!E30),0,eqf!$B$10/aquaculture_yields!E30)</f>
        <v>1.0794937272121212</v>
      </c>
      <c r="H30" s="62">
        <f>IF(ISERROR(eqf!$B$10/aquaculture_yields!F30),0,eqf!$B$10/aquaculture_yields!F30)</f>
        <v>0.21582339127538847</v>
      </c>
      <c r="I30" s="493">
        <f>D30*fish_feed_group_yield_w!$B$36</f>
        <v>0.58564650673792129</v>
      </c>
    </row>
    <row r="31" spans="1:9">
      <c r="A31" s="25" t="s">
        <v>2437</v>
      </c>
      <c r="B31" s="62">
        <f t="shared" si="0"/>
        <v>0.23903099999999999</v>
      </c>
      <c r="C31" s="62">
        <f t="shared" si="1"/>
        <v>6.0399499999999995E-2</v>
      </c>
      <c r="D31" s="62">
        <f t="shared" si="2"/>
        <v>0.90596949999999998</v>
      </c>
      <c r="E31" s="62">
        <f>B31*fish_feed_group_yield_n!$C$21+fish_feed_group_yield_n!$C$24*C31</f>
        <v>0.19269988425508949</v>
      </c>
      <c r="F31" s="62">
        <f>B31*fish_feed_group_yield_w!$C$21+C31*fish_feed_group_yield_w!$C$24</f>
        <v>0.96383582455361194</v>
      </c>
      <c r="G31" s="62">
        <f>IF(ISERROR(eqf!$B$10/aquaculture_yields!E31),0,eqf!$B$10/aquaculture_yields!E31)</f>
        <v>1.9055126488330514</v>
      </c>
      <c r="H31" s="62">
        <f>IF(ISERROR(eqf!$B$10/aquaculture_yields!F31),0,eqf!$B$10/aquaculture_yields!F31)</f>
        <v>0.38096951526656342</v>
      </c>
      <c r="I31" s="493">
        <f>D31*fish_feed_group_yield_w!$B$36</f>
        <v>0.7036841815465531</v>
      </c>
    </row>
    <row r="32" spans="1:9">
      <c r="A32" s="18" t="s">
        <v>2438</v>
      </c>
      <c r="B32" s="62">
        <f t="shared" si="0"/>
        <v>0.23903099999999999</v>
      </c>
      <c r="C32" s="62">
        <f t="shared" si="1"/>
        <v>6.0399499999999995E-2</v>
      </c>
      <c r="D32" s="62">
        <f t="shared" si="2"/>
        <v>0.90596949999999998</v>
      </c>
      <c r="E32" s="62">
        <f>B32*fish_feed_group_yield_n!$C$21+fish_feed_group_yield_n!$C$24*C32</f>
        <v>0.19269988425508949</v>
      </c>
      <c r="F32" s="62">
        <f>B32*fish_feed_group_yield_w!$C$21+C32*fish_feed_group_yield_w!$C$24</f>
        <v>0.96383582455361194</v>
      </c>
      <c r="G32" s="62">
        <f>IF(ISERROR(eqf!$B$10/aquaculture_yields!E32),0,eqf!$B$10/aquaculture_yields!E32)</f>
        <v>1.9055126488330514</v>
      </c>
      <c r="H32" s="62">
        <f>IF(ISERROR(eqf!$B$10/aquaculture_yields!F32),0,eqf!$B$10/aquaculture_yields!F32)</f>
        <v>0.38096951526656342</v>
      </c>
      <c r="I32" s="493">
        <f>D32*fish_feed_group_yield_w!$B$36</f>
        <v>0.7036841815465531</v>
      </c>
    </row>
    <row r="33" spans="1:9">
      <c r="A33" s="18" t="s">
        <v>2439</v>
      </c>
      <c r="B33" s="62">
        <f t="shared" si="0"/>
        <v>0.23903099999999999</v>
      </c>
      <c r="C33" s="62">
        <f t="shared" si="1"/>
        <v>6.0399499999999995E-2</v>
      </c>
      <c r="D33" s="62">
        <f t="shared" si="2"/>
        <v>0.90596949999999998</v>
      </c>
      <c r="E33" s="62">
        <f>B33*fish_feed_group_yield_n!$C$21+fish_feed_group_yield_n!$C$24*C33</f>
        <v>0.19269988425508949</v>
      </c>
      <c r="F33" s="62">
        <f>B33*fish_feed_group_yield_w!$C$21+C33*fish_feed_group_yield_w!$C$24</f>
        <v>0.96383582455361194</v>
      </c>
      <c r="G33" s="62">
        <f>IF(ISERROR(eqf!$B$10/aquaculture_yields!E33),0,eqf!$B$10/aquaculture_yields!E33)</f>
        <v>1.9055126488330514</v>
      </c>
      <c r="H33" s="62">
        <f>IF(ISERROR(eqf!$B$10/aquaculture_yields!F33),0,eqf!$B$10/aquaculture_yields!F33)</f>
        <v>0.38096951526656342</v>
      </c>
      <c r="I33" s="493">
        <f>D33*fish_feed_group_yield_w!$B$36</f>
        <v>0.7036841815465531</v>
      </c>
    </row>
    <row r="34" spans="1:9">
      <c r="A34" s="18" t="s">
        <v>2440</v>
      </c>
      <c r="B34" s="62">
        <f t="shared" si="0"/>
        <v>0</v>
      </c>
      <c r="C34" s="62">
        <f t="shared" si="1"/>
        <v>0</v>
      </c>
      <c r="D34" s="62">
        <f t="shared" si="2"/>
        <v>0</v>
      </c>
      <c r="E34" s="62">
        <f>B34*fish_feed_group_yield_n!$C$21+fish_feed_group_yield_n!$C$24*C34</f>
        <v>0</v>
      </c>
      <c r="F34" s="62">
        <f>B34*fish_feed_group_yield_w!$C$21+C34*fish_feed_group_yield_w!$C$24</f>
        <v>0</v>
      </c>
      <c r="G34" s="62">
        <f>IF(ISERROR(eqf!$B$10/aquaculture_yields!E34),0,eqf!$B$10/aquaculture_yields!E34)</f>
        <v>0</v>
      </c>
      <c r="H34" s="62">
        <f>IF(ISERROR(eqf!$B$10/aquaculture_yields!F34),0,eqf!$B$10/aquaculture_yields!F34)</f>
        <v>0</v>
      </c>
      <c r="I34" s="493">
        <f>D34*fish_feed_group_yield_w!$B$36</f>
        <v>0</v>
      </c>
    </row>
    <row r="35" spans="1:9">
      <c r="A35" s="18" t="s">
        <v>2441</v>
      </c>
      <c r="B35" s="62">
        <f t="shared" si="0"/>
        <v>0.28458</v>
      </c>
      <c r="C35" s="62">
        <f t="shared" si="1"/>
        <v>3.1620000000000002E-2</v>
      </c>
      <c r="D35" s="62">
        <f t="shared" si="2"/>
        <v>1.2648000000000001</v>
      </c>
      <c r="E35" s="62">
        <f>B35*fish_feed_group_yield_n!$C$21+fish_feed_group_yield_n!$C$24*C35</f>
        <v>0.20640759288440141</v>
      </c>
      <c r="F35" s="62">
        <f>B35*fish_feed_group_yield_w!$C$21+C35*fish_feed_group_yield_w!$C$24</f>
        <v>1.0323982977514887</v>
      </c>
      <c r="G35" s="62">
        <f>IF(ISERROR(eqf!$B$10/aquaculture_yields!E35),0,eqf!$B$10/aquaculture_yields!E35)</f>
        <v>1.7789658885387223</v>
      </c>
      <c r="H35" s="62">
        <f>IF(ISERROR(eqf!$B$10/aquaculture_yields!F35),0,eqf!$B$10/aquaculture_yields!F35)</f>
        <v>0.35566899681689107</v>
      </c>
      <c r="I35" s="493">
        <f>D35*fish_feed_group_yield_w!$B$36</f>
        <v>0.98239482987018933</v>
      </c>
    </row>
    <row r="36" spans="1:9">
      <c r="A36" s="25" t="s">
        <v>1809</v>
      </c>
      <c r="B36" s="62">
        <f t="shared" si="0"/>
        <v>0.23903099999999999</v>
      </c>
      <c r="C36" s="62">
        <f t="shared" si="1"/>
        <v>6.0399499999999995E-2</v>
      </c>
      <c r="D36" s="62">
        <f t="shared" si="2"/>
        <v>0.90596949999999998</v>
      </c>
      <c r="E36" s="62">
        <f>B36*fish_feed_group_yield_n!$C$21+fish_feed_group_yield_n!$C$24*C36</f>
        <v>0.19269988425508949</v>
      </c>
      <c r="F36" s="62">
        <f>B36*fish_feed_group_yield_w!$C$21+C36*fish_feed_group_yield_w!$C$24</f>
        <v>0.96383582455361194</v>
      </c>
      <c r="G36" s="62">
        <f>IF(ISERROR(eqf!$B$10/aquaculture_yields!E36),0,eqf!$B$10/aquaculture_yields!E36)</f>
        <v>1.9055126488330514</v>
      </c>
      <c r="H36" s="62">
        <f>IF(ISERROR(eqf!$B$10/aquaculture_yields!F36),0,eqf!$B$10/aquaculture_yields!F36)</f>
        <v>0.38096951526656342</v>
      </c>
      <c r="I36" s="493">
        <f>D36*fish_feed_group_yield_w!$B$36</f>
        <v>0.7036841815465531</v>
      </c>
    </row>
    <row r="37" spans="1:9">
      <c r="A37" s="25" t="s">
        <v>1807</v>
      </c>
      <c r="B37" s="62">
        <f t="shared" si="0"/>
        <v>0.23903099999999999</v>
      </c>
      <c r="C37" s="62">
        <f t="shared" si="1"/>
        <v>6.0399499999999995E-2</v>
      </c>
      <c r="D37" s="62">
        <f t="shared" si="2"/>
        <v>0.90596949999999998</v>
      </c>
      <c r="E37" s="62">
        <f>B37*fish_feed_group_yield_n!$C$21+fish_feed_group_yield_n!$C$24*C37</f>
        <v>0.19269988425508949</v>
      </c>
      <c r="F37" s="62">
        <f>B37*fish_feed_group_yield_w!$C$21+C37*fish_feed_group_yield_w!$C$24</f>
        <v>0.96383582455361194</v>
      </c>
      <c r="G37" s="62">
        <f>IF(ISERROR(eqf!$B$10/aquaculture_yields!E37),0,eqf!$B$10/aquaculture_yields!E37)</f>
        <v>1.9055126488330514</v>
      </c>
      <c r="H37" s="62">
        <f>IF(ISERROR(eqf!$B$10/aquaculture_yields!F37),0,eqf!$B$10/aquaculture_yields!F37)</f>
        <v>0.38096951526656342</v>
      </c>
      <c r="I37" s="493">
        <f>D37*fish_feed_group_yield_w!$B$36</f>
        <v>0.7036841815465531</v>
      </c>
    </row>
    <row r="38" spans="1:9">
      <c r="A38" s="18" t="s">
        <v>2442</v>
      </c>
      <c r="B38" s="62">
        <f t="shared" si="0"/>
        <v>0.312</v>
      </c>
      <c r="C38" s="62">
        <f t="shared" si="1"/>
        <v>0.13</v>
      </c>
      <c r="D38" s="62">
        <f t="shared" si="2"/>
        <v>0.8580000000000001</v>
      </c>
      <c r="E38" s="62">
        <f>B38*fish_feed_group_yield_n!$C$21+fish_feed_group_yield_n!$C$24*C38</f>
        <v>0.28074865225935369</v>
      </c>
      <c r="F38" s="62">
        <f>B38*fish_feed_group_yield_w!$C$21+C38*fish_feed_group_yield_w!$C$24</f>
        <v>1.4042333745489142</v>
      </c>
      <c r="G38" s="62">
        <f>IF(ISERROR(eqf!$B$10/aquaculture_yields!E38),0,eqf!$B$10/aquaculture_yields!E38)</f>
        <v>1.3079032220519031</v>
      </c>
      <c r="H38" s="62">
        <f>IF(ISERROR(eqf!$B$10/aquaculture_yields!F38),0,eqf!$B$10/aquaculture_yields!F38)</f>
        <v>0.26148934609583119</v>
      </c>
      <c r="I38" s="493">
        <f>D38*fish_feed_group_yield_w!$B$36</f>
        <v>0.66642533525349656</v>
      </c>
    </row>
    <row r="39" spans="1:9">
      <c r="A39" s="25" t="s">
        <v>1804</v>
      </c>
      <c r="B39" s="62">
        <f t="shared" si="0"/>
        <v>0.23903099999999999</v>
      </c>
      <c r="C39" s="62">
        <f t="shared" si="1"/>
        <v>6.0399499999999995E-2</v>
      </c>
      <c r="D39" s="62">
        <f t="shared" si="2"/>
        <v>0.90596949999999998</v>
      </c>
      <c r="E39" s="62">
        <f>B39*fish_feed_group_yield_n!$C$21+fish_feed_group_yield_n!$C$24*C39</f>
        <v>0.19269988425508949</v>
      </c>
      <c r="F39" s="62">
        <f>B39*fish_feed_group_yield_w!$C$21+C39*fish_feed_group_yield_w!$C$24</f>
        <v>0.96383582455361194</v>
      </c>
      <c r="G39" s="62">
        <f>IF(ISERROR(eqf!$B$10/aquaculture_yields!E39),0,eqf!$B$10/aquaculture_yields!E39)</f>
        <v>1.9055126488330514</v>
      </c>
      <c r="H39" s="62">
        <f>IF(ISERROR(eqf!$B$10/aquaculture_yields!F39),0,eqf!$B$10/aquaculture_yields!F39)</f>
        <v>0.38096951526656342</v>
      </c>
      <c r="I39" s="493">
        <f>D39*fish_feed_group_yield_w!$B$36</f>
        <v>0.7036841815465531</v>
      </c>
    </row>
    <row r="40" spans="1:9">
      <c r="A40" s="25" t="s">
        <v>4208</v>
      </c>
      <c r="B40" s="62">
        <f t="shared" si="0"/>
        <v>0</v>
      </c>
      <c r="C40" s="62">
        <f t="shared" si="1"/>
        <v>0</v>
      </c>
      <c r="D40" s="62">
        <f t="shared" si="2"/>
        <v>0</v>
      </c>
      <c r="E40" s="62">
        <v>0</v>
      </c>
      <c r="F40" s="62">
        <v>0</v>
      </c>
      <c r="G40" s="62">
        <v>0</v>
      </c>
      <c r="H40" s="62">
        <v>0</v>
      </c>
      <c r="I40" s="493">
        <v>0</v>
      </c>
    </row>
    <row r="41" spans="1:9">
      <c r="A41" s="25" t="s">
        <v>4228</v>
      </c>
      <c r="B41" s="62">
        <f t="shared" si="0"/>
        <v>0</v>
      </c>
      <c r="C41" s="62">
        <f t="shared" si="1"/>
        <v>0</v>
      </c>
      <c r="D41" s="62">
        <f t="shared" si="2"/>
        <v>0</v>
      </c>
      <c r="E41" s="62">
        <v>0</v>
      </c>
      <c r="F41" s="62">
        <v>0</v>
      </c>
      <c r="G41" s="62">
        <v>0</v>
      </c>
      <c r="H41" s="62">
        <v>0</v>
      </c>
      <c r="I41" s="493">
        <v>0</v>
      </c>
    </row>
    <row r="42" spans="1:9">
      <c r="A42" s="25" t="s">
        <v>1805</v>
      </c>
      <c r="B42" s="62">
        <f t="shared" si="0"/>
        <v>0.13818</v>
      </c>
      <c r="C42" s="62">
        <f t="shared" si="1"/>
        <v>1.4804999999999999E-2</v>
      </c>
      <c r="D42" s="62">
        <f t="shared" si="2"/>
        <v>0.83401499999999995</v>
      </c>
      <c r="E42" s="62">
        <f>B42*fish_feed_group_yield_n!$C$21+fish_feed_group_yield_n!$C$24*C42</f>
        <v>9.990958770505115E-2</v>
      </c>
      <c r="F42" s="62">
        <f>B42*fish_feed_group_yield_w!$C$21+C42*fish_feed_group_yield_w!$C$24</f>
        <v>0.49972235436859669</v>
      </c>
      <c r="G42" s="62">
        <f>IF(ISERROR(eqf!$B$10/aquaculture_yields!E42),0,eqf!$B$10/aquaculture_yields!E42)</f>
        <v>3.6752435407975743</v>
      </c>
      <c r="H42" s="62">
        <f>IF(ISERROR(eqf!$B$10/aquaculture_yields!F42),0,eqf!$B$10/aquaculture_yields!F42)</f>
        <v>0.73479215741846926</v>
      </c>
      <c r="I42" s="493">
        <f>D42*fish_feed_group_yield_w!$B$36</f>
        <v>0.6477957179270919</v>
      </c>
    </row>
    <row r="43" spans="1:9">
      <c r="A43" s="25" t="s">
        <v>2429</v>
      </c>
      <c r="B43" s="62">
        <f t="shared" si="0"/>
        <v>0.23903099999999999</v>
      </c>
      <c r="C43" s="62">
        <f t="shared" si="1"/>
        <v>6.0399499999999995E-2</v>
      </c>
      <c r="D43" s="62">
        <f t="shared" si="2"/>
        <v>0.90596949999999998</v>
      </c>
      <c r="E43" s="62">
        <f>B43*fish_feed_group_yield_n!$C$21+fish_feed_group_yield_n!$C$24*C43</f>
        <v>0.19269988425508949</v>
      </c>
      <c r="F43" s="62">
        <f>B43*fish_feed_group_yield_w!$C$21+C43*fish_feed_group_yield_w!$C$24</f>
        <v>0.96383582455361194</v>
      </c>
      <c r="G43" s="62">
        <f>IF(ISERROR(eqf!$B$10/aquaculture_yields!E43),0,eqf!$B$10/aquaculture_yields!E43)</f>
        <v>1.9055126488330514</v>
      </c>
      <c r="H43" s="62">
        <f>IF(ISERROR(eqf!$B$10/aquaculture_yields!F43),0,eqf!$B$10/aquaculture_yields!F43)</f>
        <v>0.38096951526656342</v>
      </c>
      <c r="I43" s="493">
        <f>D43*fish_feed_group_yield_w!$B$36</f>
        <v>0.7036841815465531</v>
      </c>
    </row>
    <row r="44" spans="1:9">
      <c r="A44" s="25" t="s">
        <v>1806</v>
      </c>
      <c r="B44" s="62">
        <f t="shared" si="0"/>
        <v>0.23903099999999999</v>
      </c>
      <c r="C44" s="62">
        <f t="shared" si="1"/>
        <v>6.0399499999999995E-2</v>
      </c>
      <c r="D44" s="62">
        <f t="shared" si="2"/>
        <v>0.90596949999999998</v>
      </c>
      <c r="E44" s="62">
        <f>B44*fish_feed_group_yield_n!$C$21+fish_feed_group_yield_n!$C$24*C44</f>
        <v>0.19269988425508949</v>
      </c>
      <c r="F44" s="62">
        <f>B44*fish_feed_group_yield_w!$C$21+C44*fish_feed_group_yield_w!$C$24</f>
        <v>0.96383582455361194</v>
      </c>
      <c r="G44" s="62">
        <f>IF(ISERROR(eqf!$B$10/aquaculture_yields!E44),0,eqf!$B$10/aquaculture_yields!E44)</f>
        <v>1.9055126488330514</v>
      </c>
      <c r="H44" s="62">
        <f>IF(ISERROR(eqf!$B$10/aquaculture_yields!F44),0,eqf!$B$10/aquaculture_yields!F44)</f>
        <v>0.38096951526656342</v>
      </c>
      <c r="I44" s="493">
        <f>D44*fish_feed_group_yield_w!$B$36</f>
        <v>0.7036841815465531</v>
      </c>
    </row>
    <row r="45" spans="1:9">
      <c r="A45" s="25" t="s">
        <v>1803</v>
      </c>
      <c r="B45" s="62">
        <f t="shared" si="0"/>
        <v>0</v>
      </c>
      <c r="C45" s="62">
        <f t="shared" si="1"/>
        <v>0</v>
      </c>
      <c r="D45" s="62">
        <f t="shared" si="2"/>
        <v>0</v>
      </c>
      <c r="E45" s="62">
        <f>B45*fish_feed_group_yield_n!$C$21+fish_feed_group_yield_n!$C$24*C45</f>
        <v>0</v>
      </c>
      <c r="F45" s="62">
        <f>B45*fish_feed_group_yield_w!$C$21+C45*fish_feed_group_yield_w!$C$24</f>
        <v>0</v>
      </c>
      <c r="G45" s="62">
        <f>IF(ISERROR(eqf!$B$10/aquaculture_yields!E45),0,eqf!$B$10/aquaculture_yields!E45)</f>
        <v>0</v>
      </c>
      <c r="H45" s="62">
        <f>IF(ISERROR(eqf!$B$10/aquaculture_yields!F45),0,eqf!$B$10/aquaculture_yields!F45)</f>
        <v>0</v>
      </c>
      <c r="I45" s="493">
        <f>D45*fish_feed_group_yield_w!$B$36</f>
        <v>0</v>
      </c>
    </row>
    <row r="46" spans="1:9">
      <c r="A46" s="28" t="s">
        <v>2443</v>
      </c>
      <c r="B46" s="160">
        <f t="shared" si="0"/>
        <v>0</v>
      </c>
      <c r="C46" s="160">
        <f t="shared" si="1"/>
        <v>0</v>
      </c>
      <c r="D46" s="160">
        <f t="shared" si="2"/>
        <v>0</v>
      </c>
      <c r="E46" s="160">
        <f>B46*fish_feed_group_yield_n!$C$21+fish_feed_group_yield_n!$C$24*C46</f>
        <v>0</v>
      </c>
      <c r="F46" s="160">
        <f>B46*fish_feed_group_yield_w!$C$21+C46*fish_feed_group_yield_w!$C$24</f>
        <v>0</v>
      </c>
      <c r="G46" s="160">
        <f>IF(ISERROR(eqf!$B$10/aquaculture_yields!E46),0,eqf!$B$10/aquaculture_yields!E46)</f>
        <v>0</v>
      </c>
      <c r="H46" s="160">
        <f>IF(ISERROR(eqf!$B$10/aquaculture_yields!F46),0,eqf!$B$10/aquaculture_yields!F46)</f>
        <v>0</v>
      </c>
      <c r="I46" s="495">
        <f>D46*fish_feed_group_yield_w!$B$36</f>
        <v>0</v>
      </c>
    </row>
  </sheetData>
  <phoneticPr fontId="0" type="noConversion"/>
  <hyperlinks>
    <hyperlink ref="D2" location="fish_feed_group_yield_n!A1" display="fish_feed_group_yield_n"/>
    <hyperlink ref="F2" location="fish_feed_group_yield_w!A1" display="fish_feed_group_yield_w"/>
    <hyperlink ref="D3" location="fish_group_yield_w!A1" display="fish_group_yield_w"/>
    <hyperlink ref="E3" location="fish_group_yield_n!A1" display="fish_group_yield_n"/>
    <hyperlink ref="E2" location="eqf!A1" tooltip="Go to eqf" display="eqf"/>
    <hyperlink ref="G2" location="constant_aquafeed_factors" display="constant_aquafeed_factors"/>
  </hyperlinks>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8" enableFormatConditionsCalculation="0">
    <tabColor rgb="FF0000FF"/>
  </sheetPr>
  <dimension ref="A1:I24"/>
  <sheetViews>
    <sheetView workbookViewId="0">
      <selection activeCell="A65536" sqref="A65536"/>
    </sheetView>
  </sheetViews>
  <sheetFormatPr baseColWidth="10" defaultColWidth="9.1640625" defaultRowHeight="12" x14ac:dyDescent="0"/>
  <cols>
    <col min="1" max="1" width="50.6640625" style="124" customWidth="1"/>
    <col min="2" max="2" width="39.1640625" style="124" customWidth="1"/>
    <col min="3" max="3" width="21.6640625" style="124" customWidth="1"/>
    <col min="4" max="4" width="23.33203125" style="124" customWidth="1"/>
    <col min="5" max="9" width="21.6640625" style="124" customWidth="1"/>
    <col min="10" max="16384" width="9.1640625" style="124"/>
  </cols>
  <sheetData>
    <row r="1" spans="1:9" s="53" customFormat="1" ht="12.75" customHeight="1">
      <c r="B1" s="123"/>
      <c r="C1" s="123"/>
      <c r="D1" s="123"/>
      <c r="E1" s="123"/>
      <c r="F1" s="123"/>
      <c r="G1" s="123"/>
      <c r="H1" s="123"/>
      <c r="I1" s="123"/>
    </row>
    <row r="2" spans="1:9" s="53" customFormat="1" ht="12.75" customHeight="1">
      <c r="B2" s="54" t="s">
        <v>1005</v>
      </c>
      <c r="C2" s="1064" t="s">
        <v>5415</v>
      </c>
      <c r="D2" s="1064" t="s">
        <v>1841</v>
      </c>
      <c r="E2" s="1064" t="s">
        <v>5421</v>
      </c>
      <c r="F2" s="1064" t="s">
        <v>5422</v>
      </c>
      <c r="G2" s="1064" t="s">
        <v>1840</v>
      </c>
      <c r="H2" s="1064" t="s">
        <v>2117</v>
      </c>
      <c r="I2" s="1064" t="s">
        <v>6373</v>
      </c>
    </row>
    <row r="3" spans="1:9" s="53" customFormat="1" ht="12.75" customHeight="1">
      <c r="B3" s="54" t="s">
        <v>1006</v>
      </c>
      <c r="C3" s="1064" t="s">
        <v>5419</v>
      </c>
      <c r="D3" s="1064" t="s">
        <v>1818</v>
      </c>
      <c r="E3" s="1064"/>
      <c r="F3" s="1064"/>
      <c r="G3" s="1064"/>
      <c r="H3" s="1064"/>
      <c r="I3" s="1064"/>
    </row>
    <row r="4" spans="1:9" s="53" customFormat="1" ht="12.75" customHeight="1"/>
    <row r="5" spans="1:9">
      <c r="A5" s="410" t="s">
        <v>116</v>
      </c>
      <c r="B5" s="315" t="s">
        <v>117</v>
      </c>
      <c r="C5" s="500" t="s">
        <v>4060</v>
      </c>
      <c r="D5" s="500" t="s">
        <v>4062</v>
      </c>
      <c r="E5" s="500" t="s">
        <v>2362</v>
      </c>
      <c r="F5" s="500" t="s">
        <v>2039</v>
      </c>
      <c r="G5" s="500" t="s">
        <v>5570</v>
      </c>
      <c r="H5" s="500" t="s">
        <v>4061</v>
      </c>
      <c r="I5" s="501" t="s">
        <v>4063</v>
      </c>
    </row>
    <row r="6" spans="1:9">
      <c r="A6" s="503"/>
      <c r="B6" s="504"/>
      <c r="C6" s="505"/>
      <c r="D6" s="505"/>
      <c r="E6" s="505"/>
      <c r="F6" s="505"/>
      <c r="G6" s="505"/>
      <c r="H6" s="505"/>
      <c r="I6" s="506"/>
    </row>
    <row r="7" spans="1:9">
      <c r="A7" s="25" t="s">
        <v>4501</v>
      </c>
      <c r="B7" s="26" t="s">
        <v>4845</v>
      </c>
      <c r="C7" s="42">
        <f>SUMIF(fish_efp!$O$7:$O$1873,B7,fish_efp!$P$7:$P$1873)</f>
        <v>507138</v>
      </c>
      <c r="D7" s="1365">
        <f t="array" ref="D7">IF(ISERROR(1+LOG(SUM(IF(fish_efp!$O$7:$O$1873=B7,fish_efp!$P$7:$P$1873*fish_efp!$S$7:$S$1873,0))*9/(SUM(IF(fish_efp!$O$7:$O$1873=B7,fish_efp!$P$7:$P$1873,0))*cnst_fish!$C$7),1/cnst_fish!$C$8)),0,1+LOG(SUM(IF(fish_efp!$O$7:$O$1873=B7,fish_efp!$P$7:$P$1873*fish_efp!$S$7:$S$1873,0))*9/(SUM(IF(fish_efp!$O$7:$O$1873=B7,fish_efp!$P$7:$P$1873,0))*cnst_fish!$C$7),1/cnst_fish!$C$8))</f>
        <v>4.0775016102466086</v>
      </c>
      <c r="E7" s="734">
        <f>IF(D7=0,0,(1/9)*cnst_fish!$C$7*(1/cnst_fish!$C$8)^(D7-1))</f>
        <v>168.57753250559492</v>
      </c>
      <c r="F7" s="933">
        <f>IF(E7=0,H7,(1/E7)*cnst_fish!$C$6)</f>
        <v>2.5210951523797792E-2</v>
      </c>
      <c r="G7" s="42">
        <f>SUMIF(fish_commodity_yield_n!$D$7:$D$128,B7,fish_commodity_yield_n!$H$7:$H$128)</f>
        <v>130433.23453999581</v>
      </c>
      <c r="H7" s="933">
        <f>VLOOKUP(B7,fish_feed_group_yield_w!$B$7:$F$11,5,FALSE)</f>
        <v>9.1435871535387056E-2</v>
      </c>
      <c r="I7" s="1101">
        <f t="shared" ref="I7:I11" si="0">IF(ISERROR((C7+G7)/((C7/F7)+(G7/H7))),F7,(C7+G7)/((C7/F7)+(G7/H7)))</f>
        <v>2.9596272668355419E-2</v>
      </c>
    </row>
    <row r="8" spans="1:9">
      <c r="A8" s="25" t="s">
        <v>4502</v>
      </c>
      <c r="B8" s="26" t="s">
        <v>4851</v>
      </c>
      <c r="C8" s="838">
        <f>SUMIF(fish_efp!$O$7:$O$1873,B8,fish_efp!$P$7:$P$1873)</f>
        <v>513644</v>
      </c>
      <c r="D8" s="1365">
        <f t="array" ref="D8">IF(ISERROR(1+LOG(SUM(IF(fish_efp!$O$7:$O$1873=B8,fish_efp!$P$7:$P$1873*fish_efp!$S$7:$S$1873,0))*9/(SUM(IF(fish_efp!$O$7:$O$1873=B8,fish_efp!$P$7:$P$1873,0))*cnst_fish!$C$7),1/cnst_fish!$C$8)),0,1+LOG(SUM(IF(fish_efp!$O$7:$O$1873=B8,fish_efp!$P$7:$P$1873*fish_efp!$S$7:$S$1873,0))*9/(SUM(IF(fish_efp!$O$7:$O$1873=B8,fish_efp!$P$7:$P$1873,0))*cnst_fish!$C$7),1/cnst_fish!$C$8))</f>
        <v>2.1038223241526048</v>
      </c>
      <c r="E8" s="734">
        <f>IF(D8=0,0,(1/9)*cnst_fish!$C$7*(1/cnst_fish!$C$8)^(D8-1))</f>
        <v>1.791102362046084</v>
      </c>
      <c r="F8" s="933">
        <f>IF(E8=0,H8,(1/E8)*cnst_fish!$C$6)</f>
        <v>2.3728403747650519</v>
      </c>
      <c r="G8" s="42">
        <f>SUMIF(fish_commodity_yield_n!$D$7:$D$128,B8,fish_commodity_yield_n!$H$7:$H$128)</f>
        <v>80719.155750000005</v>
      </c>
      <c r="H8" s="933">
        <f>VLOOKUP(B8,fish_feed_group_yield_w!$B$7:$F$11,5,FALSE)</f>
        <v>2.0962368011690997</v>
      </c>
      <c r="I8" s="1367">
        <f t="shared" si="0"/>
        <v>2.3310672484554278</v>
      </c>
    </row>
    <row r="9" spans="1:9">
      <c r="A9" s="25" t="s">
        <v>113</v>
      </c>
      <c r="B9" s="26" t="s">
        <v>4840</v>
      </c>
      <c r="C9" s="838">
        <f>SUMIF(fish_efp!$O$7:$O$1873,B9,fish_efp!$P$7:$P$1873)</f>
        <v>359266</v>
      </c>
      <c r="D9" s="1365">
        <f t="array" ref="D9">IF(ISERROR(1+LOG(SUM(IF(fish_efp!$O$7:$O$1873=B9,fish_efp!$P$7:$P$1873*fish_efp!$S$7:$S$1873,0))*9/(SUM(IF(fish_efp!$O$7:$O$1873=B9,fish_efp!$P$7:$P$1873,0))*cnst_fish!$C$7),1/cnst_fish!$C$8)),0,1+LOG(SUM(IF(fish_efp!$O$7:$O$1873=B9,fish_efp!$P$7:$P$1873*fish_efp!$S$7:$S$1873,0))*9/(SUM(IF(fish_efp!$O$7:$O$1873=B9,fish_efp!$P$7:$P$1873,0))*cnst_fish!$C$7),1/cnst_fish!$C$8))</f>
        <v>3.5639448414379107</v>
      </c>
      <c r="E9" s="734">
        <f>IF(D9=0,0,(1/9)*cnst_fish!$C$7*(1/cnst_fish!$C$8)^(D9-1))</f>
        <v>51.670530910096808</v>
      </c>
      <c r="F9" s="933">
        <f>IF(E9=0,H9,(1/E9)*cnst_fish!$C$6)</f>
        <v>8.2251912746836478E-2</v>
      </c>
      <c r="G9" s="42">
        <f>SUMIF(fish_commodity_yield_n!$D$7:$D$128,B9,fish_commodity_yield_n!$H$7:$H$128)</f>
        <v>346139.04624637682</v>
      </c>
      <c r="H9" s="933">
        <f>VLOOKUP(B9,fish_feed_group_yield_w!$B$7:$F$11,5,FALSE)</f>
        <v>0.28220270390179325</v>
      </c>
      <c r="I9" s="1367">
        <f t="shared" si="0"/>
        <v>0.12609046960992315</v>
      </c>
    </row>
    <row r="10" spans="1:9">
      <c r="A10" s="25" t="s">
        <v>114</v>
      </c>
      <c r="B10" s="26" t="s">
        <v>4841</v>
      </c>
      <c r="C10" s="838">
        <f>SUMIF(fish_efp!$O$7:$O$1873,B10,fish_efp!$P$7:$P$1873)</f>
        <v>2449360</v>
      </c>
      <c r="D10" s="1365">
        <f t="array" ref="D10">IF(ISERROR(1+LOG(SUM(IF(fish_efp!$O$7:$O$1873=B10,fish_efp!$P$7:$P$1873*fish_efp!$S$7:$S$1873,0))*9/(SUM(IF(fish_efp!$O$7:$O$1873=B10,fish_efp!$P$7:$P$1873,0))*cnst_fish!$C$7),1/cnst_fish!$C$8)),0,1+LOG(SUM(IF(fish_efp!$O$7:$O$1873=B10,fish_efp!$P$7:$P$1873*fish_efp!$S$7:$S$1873,0))*9/(SUM(IF(fish_efp!$O$7:$O$1873=B10,fish_efp!$P$7:$P$1873,0))*cnst_fish!$C$7),1/cnst_fish!$C$8))</f>
        <v>3.7989413886288381</v>
      </c>
      <c r="E10" s="734">
        <f>IF(D10=0,0,(1/9)*cnst_fish!$C$7*(1/cnst_fish!$C$8)^(D10-1))</f>
        <v>88.764532704175153</v>
      </c>
      <c r="F10" s="933">
        <f>IF(E10=0,H10,(1/E10)*cnst_fish!$C$6)</f>
        <v>4.7879483736639965E-2</v>
      </c>
      <c r="G10" s="42">
        <f>SUMIF(fish_commodity_yield_n!$D$7:$D$128,B10,fish_commodity_yield_n!$H$7:$H$128)</f>
        <v>603772.38078735804</v>
      </c>
      <c r="H10" s="933">
        <f>VLOOKUP(B10,fish_feed_group_yield_w!$B$7:$F$11,5,FALSE)</f>
        <v>3.3403683582603913E-2</v>
      </c>
      <c r="I10" s="1367">
        <f t="shared" si="0"/>
        <v>4.4100144811352979E-2</v>
      </c>
    </row>
    <row r="11" spans="1:9">
      <c r="A11" s="25" t="s">
        <v>115</v>
      </c>
      <c r="B11" s="26" t="s">
        <v>4859</v>
      </c>
      <c r="C11" s="838">
        <f>SUMIF(fish_efp!$O$7:$O$1873,B11,fish_efp!$P$7:$P$1873)</f>
        <v>1176728</v>
      </c>
      <c r="D11" s="1365">
        <f t="array" ref="D11">IF(ISERROR(1+LOG(SUM(IF(fish_efp!$O$7:$O$1873=B11,fish_efp!$P$7:$P$1873*fish_efp!$S$7:$S$1873,0))*9/(SUM(IF(fish_efp!$O$7:$O$1873=B11,fish_efp!$P$7:$P$1873,0))*cnst_fish!$C$7),1/cnst_fish!$C$8)),0,1+LOG(SUM(IF(fish_efp!$O$7:$O$1873=B11,fish_efp!$P$7:$P$1873*fish_efp!$S$7:$S$1873,0))*9/(SUM(IF(fish_efp!$O$7:$O$1873=B11,fish_efp!$P$7:$P$1873,0))*cnst_fish!$C$7),1/cnst_fish!$C$8))</f>
        <v>3.7756716745190224</v>
      </c>
      <c r="E11" s="734">
        <f>IF(D11=0,0,(1/9)*cnst_fish!$C$7*(1/cnst_fish!$C$8)^(D11-1))</f>
        <v>84.133655135800637</v>
      </c>
      <c r="F11" s="933">
        <f>IF(E11=0,H11,(1/E11)*cnst_fish!$C$6)</f>
        <v>5.0514862252686504E-2</v>
      </c>
      <c r="G11" s="42">
        <f>SUMIF(fish_commodity_yield_n!$D$7:$D$128,B11,fish_commodity_yield_n!$H$7:$H$128)</f>
        <v>48695.15651515151</v>
      </c>
      <c r="H11" s="933">
        <f>VLOOKUP(B11,fish_feed_group_yield_w!$B$7:$F$11,5,FALSE)</f>
        <v>4.4399981426947031E-2</v>
      </c>
      <c r="I11" s="1367">
        <f t="shared" si="0"/>
        <v>5.0239912227258689E-2</v>
      </c>
    </row>
    <row r="12" spans="1:9">
      <c r="A12" s="28"/>
      <c r="B12" s="29" t="s">
        <v>4849</v>
      </c>
      <c r="C12" s="74">
        <f>C10+C11</f>
        <v>3626088</v>
      </c>
      <c r="D12" s="1366">
        <f t="array" ref="D12">IF(ISERROR(1+LOG(SUM(IF(fish_efp!$O$7:$O$1873=B12,fish_efp!$P$7:$P$1873*fish_efp!$S$7:$S$1873,0))*9/(SUM(IF(fish_efp!$O$7:$O$1873=B12,fish_efp!$P$7:$P$1873,0))*cnst_fish!$C$7),1/cnst_fish!$C$8)),0,1+LOG(SUM(IF(fish_efp!$O$7:$O$1873=B12,fish_efp!$P$7:$P$1873*fish_efp!$S$7:$S$1873,0))*9/(SUM(IF(fish_efp!$O$7:$O$1873=B12,fish_efp!$P$7:$P$1873,0))*cnst_fish!$C$7),1/cnst_fish!$C$8))</f>
        <v>3.1</v>
      </c>
      <c r="E12" s="733">
        <f>IF(C12=0,0,SUMPRODUCT(C10:C11,E10:E11)/C12)</f>
        <v>87.261733185995169</v>
      </c>
      <c r="F12" s="1110">
        <f>IF(E12=0,H12,(1/E12)*cnst_fish!$C$6)</f>
        <v>4.8704052106566365E-2</v>
      </c>
      <c r="G12" s="93">
        <f>G10+G11</f>
        <v>652467.53730250953</v>
      </c>
      <c r="H12" s="729">
        <f>IF(ISERROR((G10+G11)/((G10/H10)+(G11/H11))),0,(G10+G11)/((G10/H10)+(G11/H11)))</f>
        <v>3.4032736874513296E-2</v>
      </c>
      <c r="I12" s="1111">
        <f>IF(ISERROR((C12+G12)/((C12/F12)+(G12/H12))),F12,(C12+G12)/((C12/F12)+(G12/H12)))</f>
        <v>4.5699723194465663E-2</v>
      </c>
    </row>
    <row r="14" spans="1:9">
      <c r="A14" s="410" t="s">
        <v>4058</v>
      </c>
      <c r="B14" s="315" t="s">
        <v>5513</v>
      </c>
      <c r="C14" s="315" t="s">
        <v>5514</v>
      </c>
      <c r="D14" s="315" t="s">
        <v>5515</v>
      </c>
      <c r="E14" s="315" t="s">
        <v>4499</v>
      </c>
      <c r="F14" s="315" t="s">
        <v>4130</v>
      </c>
      <c r="G14" s="730" t="s">
        <v>7148</v>
      </c>
    </row>
    <row r="15" spans="1:9">
      <c r="A15" s="508" t="s">
        <v>5516</v>
      </c>
      <c r="B15" s="509" t="s">
        <v>5516</v>
      </c>
      <c r="C15" s="509" t="s">
        <v>3105</v>
      </c>
      <c r="D15" s="509" t="s">
        <v>5516</v>
      </c>
      <c r="E15" s="509" t="s">
        <v>3105</v>
      </c>
      <c r="F15" s="509" t="s">
        <v>5516</v>
      </c>
      <c r="G15" s="510" t="s">
        <v>3105</v>
      </c>
    </row>
    <row r="16" spans="1:9">
      <c r="A16" s="25" t="s">
        <v>2440</v>
      </c>
      <c r="B16" s="62">
        <f>VLOOKUP($A16,fish_feed_group_yield_w!$A$16:$C$17,2,FALSE)</f>
        <v>1.0547900739553244</v>
      </c>
      <c r="C16" s="42">
        <f>VLOOKUP($A16,fishmeal_fishes!$A$35:$H$36,4,FALSE)</f>
        <v>0</v>
      </c>
      <c r="D16" s="62">
        <f>eqf!$B$10/VLOOKUP($A16,fishmeal_fishes!$A$35:$H$36,7,FALSE)</f>
        <v>0.34086014350057919</v>
      </c>
      <c r="E16" s="62">
        <f>VLOOKUP($A16,fishmeal_fishes!$A$35:$H$36,2,FALSE)</f>
        <v>63057</v>
      </c>
      <c r="F16" s="904">
        <f t="shared" ref="F16" si="1">IF(G16=0,0,(B16*C16+D16*E16)/G16)</f>
        <v>0.34086014350057919</v>
      </c>
      <c r="G16" s="44">
        <f>C16+E16</f>
        <v>63057</v>
      </c>
    </row>
    <row r="17" spans="1:7">
      <c r="A17" s="28" t="s">
        <v>1806</v>
      </c>
      <c r="B17" s="160">
        <f>VLOOKUP($A17,fish_feed_group_yield_w!$A$16:$C$17,2,FALSE)</f>
        <v>1.0053340525444183</v>
      </c>
      <c r="C17" s="678"/>
      <c r="D17" s="160">
        <f>eqf!$B$10/VLOOKUP($A17,fishmeal_fishes!$A$35:$H$36,7,FALSE)</f>
        <v>0.19575486328628675</v>
      </c>
      <c r="E17" s="160">
        <f>VLOOKUP($A17,fishmeal_fishes!$A$35:$H$36,2,FALSE)</f>
        <v>665414</v>
      </c>
      <c r="F17" s="160">
        <f>D17</f>
        <v>0.19575486328628675</v>
      </c>
      <c r="G17" s="64">
        <f>C17+E17</f>
        <v>665414</v>
      </c>
    </row>
    <row r="19" spans="1:7">
      <c r="A19" s="410" t="s">
        <v>5517</v>
      </c>
      <c r="B19" s="315" t="s">
        <v>5518</v>
      </c>
      <c r="C19" s="482" t="s">
        <v>5519</v>
      </c>
    </row>
    <row r="20" spans="1:7">
      <c r="A20" s="508" t="s">
        <v>5516</v>
      </c>
      <c r="B20" s="509" t="s">
        <v>548</v>
      </c>
      <c r="C20" s="510" t="s">
        <v>5516</v>
      </c>
    </row>
    <row r="21" spans="1:7">
      <c r="A21" s="449">
        <f>IF(SUM(G16:G17)=0,0,SUMPRODUCT(F16:F17,G16:G17)/SUM(G16:G17))</f>
        <v>0.20831528594480386</v>
      </c>
      <c r="B21" s="62">
        <f>VLOOKUP(305.1, constant_fish_extr,2,FALSE)</f>
        <v>3.7377777777777781</v>
      </c>
      <c r="C21" s="114">
        <f>A21*B21*0.85</f>
        <v>0.66184080958952463</v>
      </c>
    </row>
    <row r="22" spans="1:7">
      <c r="A22" s="512" t="s">
        <v>1875</v>
      </c>
      <c r="B22" s="513" t="s">
        <v>5423</v>
      </c>
      <c r="C22" s="514" t="s">
        <v>1876</v>
      </c>
    </row>
    <row r="23" spans="1:7">
      <c r="A23" s="515" t="s">
        <v>5516</v>
      </c>
      <c r="B23" s="516" t="s">
        <v>548</v>
      </c>
      <c r="C23" s="517" t="s">
        <v>5516</v>
      </c>
    </row>
    <row r="24" spans="1:7">
      <c r="A24" s="511">
        <f>A21</f>
        <v>0.20831528594480386</v>
      </c>
      <c r="B24" s="160">
        <f>VLOOKUP(1504.2, constant_fish_extr,2,FALSE)</f>
        <v>3.2258064516129035</v>
      </c>
      <c r="C24" s="133">
        <f>A24*B24*0.85</f>
        <v>0.57118707436478489</v>
      </c>
    </row>
  </sheetData>
  <phoneticPr fontId="45" type="noConversion"/>
  <hyperlinks>
    <hyperlink ref="C2" location="fish_capture_yield!A1" display="fish_capture_yield"/>
    <hyperlink ref="D2" location="fish_commodity_yield_n!A1" display="fish_commodity_yield_n"/>
    <hyperlink ref="E2" location="fish_feed_group_yield_w!A1" display="fish_feed_group_yield_w"/>
    <hyperlink ref="F2" location="fishmeal_fishes!A1" display="fishmeal_fishes"/>
    <hyperlink ref="H2" location="eqf!A1" display="eqf"/>
    <hyperlink ref="C3" location="aquaculture_yields!A1" display="aquaculture_yields"/>
    <hyperlink ref="D3" location="feed_intensity_w!A1" display="feed_intensity_w"/>
    <hyperlink ref="G2" location="cnst_fish!A1" display="cnst_fish"/>
    <hyperlink ref="I2" location="constant_fish_extr" display="constant_fish_extr"/>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9" enableFormatConditionsCalculation="0">
    <tabColor rgb="FF0000FF"/>
  </sheetPr>
  <dimension ref="A1:H36"/>
  <sheetViews>
    <sheetView workbookViewId="0">
      <selection activeCell="A65536" sqref="A65536"/>
    </sheetView>
  </sheetViews>
  <sheetFormatPr baseColWidth="10" defaultColWidth="9.1640625" defaultRowHeight="12" x14ac:dyDescent="0"/>
  <cols>
    <col min="1" max="1" width="50.6640625" style="124" customWidth="1"/>
    <col min="2" max="2" width="26.5" style="124" customWidth="1"/>
    <col min="3" max="8" width="21.6640625" style="124" customWidth="1"/>
    <col min="9" max="16384" width="9.1640625" style="124"/>
  </cols>
  <sheetData>
    <row r="1" spans="1:8" s="53" customFormat="1" ht="12.75" customHeight="1">
      <c r="B1" s="123"/>
      <c r="C1" s="123"/>
      <c r="D1" s="123"/>
      <c r="E1" s="123"/>
      <c r="F1" s="123"/>
      <c r="G1" s="123"/>
      <c r="H1" s="123"/>
    </row>
    <row r="2" spans="1:8" s="53" customFormat="1" ht="12.75" customHeight="1">
      <c r="B2" s="54" t="s">
        <v>1005</v>
      </c>
      <c r="C2" s="1064" t="s">
        <v>5415</v>
      </c>
      <c r="D2" s="1064" t="s">
        <v>2117</v>
      </c>
      <c r="E2" s="1064" t="s">
        <v>5422</v>
      </c>
      <c r="F2" s="1064" t="s">
        <v>2120</v>
      </c>
      <c r="G2" s="1064" t="s">
        <v>1840</v>
      </c>
      <c r="H2" s="1064" t="s">
        <v>6373</v>
      </c>
    </row>
    <row r="3" spans="1:8" s="53" customFormat="1" ht="12.75" customHeight="1">
      <c r="B3" s="54" t="s">
        <v>1006</v>
      </c>
      <c r="C3" s="1064" t="s">
        <v>5419</v>
      </c>
      <c r="D3" s="1064" t="s">
        <v>5262</v>
      </c>
      <c r="E3" s="1064"/>
      <c r="F3" s="1064"/>
      <c r="G3" s="1064"/>
      <c r="H3" s="1064"/>
    </row>
    <row r="4" spans="1:8" s="53" customFormat="1" ht="12.75" customHeight="1"/>
    <row r="5" spans="1:8">
      <c r="A5" s="410" t="s">
        <v>116</v>
      </c>
      <c r="B5" s="315" t="s">
        <v>117</v>
      </c>
      <c r="C5" s="315" t="s">
        <v>4060</v>
      </c>
      <c r="D5" s="315" t="s">
        <v>4062</v>
      </c>
      <c r="E5" s="315" t="s">
        <v>2362</v>
      </c>
      <c r="F5" s="482" t="s">
        <v>2039</v>
      </c>
    </row>
    <row r="6" spans="1:8">
      <c r="A6" s="503"/>
      <c r="B6" s="504"/>
      <c r="C6" s="522"/>
      <c r="D6" s="522"/>
      <c r="E6" s="522"/>
      <c r="F6" s="523"/>
    </row>
    <row r="7" spans="1:8">
      <c r="A7" s="25" t="s">
        <v>4501</v>
      </c>
      <c r="B7" s="26" t="s">
        <v>4845</v>
      </c>
      <c r="C7" s="848">
        <f>SUMIF(fish_efp!$O$7:$O$1873,B7,fish_efp!$Q$7:$Q$1873)</f>
        <v>12597732</v>
      </c>
      <c r="D7" s="63">
        <f t="array" ref="D7">IF(ISERROR(1+LOG(SUM(IF(fish_efp!$O$7:$O$1873=B7,fish_efp!$Q$7:$Q$1873*fish_efp!$S$7:$S$1873,0))*9/(SUM(IF(fish_efp!$O$7:$O$1873=B7,fish_efp!$Q$7:$Q$1873,0))*cnst_fish!$C$7),1/cnst_fish!$C$8)),0,1+LOG(SUM(IF(fish_efp!$O$7:$O$1873=B7,fish_efp!$Q$7:$Q$1873*fish_efp!$S$7:$S$1873,0))*9/(SUM(IF(fish_efp!$O$7:$O$1873=B7,fish_efp!$Q$7:$Q$1873,0))*cnst_fish!$C$7),1/cnst_fish!$C$8))</f>
        <v>3.5179742387897983</v>
      </c>
      <c r="E7" s="62">
        <f>IF(D7=0,0,(1/9)*cnst_fish!$C$7*(1/cnst_fish!$C$8)^(D7-1))</f>
        <v>46.480663755200126</v>
      </c>
      <c r="F7" s="159">
        <f>IFERROR((1/E7)*cnst_fish!$C$6,0)</f>
        <v>9.1435871535387056E-2</v>
      </c>
    </row>
    <row r="8" spans="1:8">
      <c r="A8" s="25" t="s">
        <v>4502</v>
      </c>
      <c r="B8" s="26" t="s">
        <v>4851</v>
      </c>
      <c r="C8" s="848">
        <f>SUMIF(fish_efp!$O$7:$O$1873,B8,fish_efp!$Q$7:$Q$1873)</f>
        <v>2746143</v>
      </c>
      <c r="D8" s="63">
        <f t="array" ref="D8">IF(ISERROR(1+LOG(SUM(IF(fish_efp!$O$7:$O$1873=B8,fish_efp!$Q$7:$Q$1873*fish_efp!$S$7:$S$1873,0))*9/(SUM(IF(fish_efp!$O$7:$O$1873=B8,fish_efp!$Q$7:$Q$1873,0))*cnst_fish!$C$7),1/cnst_fish!$C$8)),0,1+LOG(SUM(IF(fish_efp!$O$7:$O$1873=B8,fish_efp!$Q$7:$Q$1873*fish_efp!$S$7:$S$1873,0))*9/(SUM(IF(fish_efp!$O$7:$O$1873=B8,fish_efp!$Q$7:$Q$1873,0))*cnst_fish!$C$7),1/cnst_fish!$C$8))</f>
        <v>2.1576505064693068</v>
      </c>
      <c r="E8" s="728">
        <f>IF(D8=0,0,(1/9)*cnst_fish!$C$7*(1/cnst_fish!$C$8)^(D8-1))</f>
        <v>2.0274426999992166</v>
      </c>
      <c r="F8" s="114">
        <f>IFERROR((1/E8)*cnst_fish!$C$6,0)</f>
        <v>2.0962368011690997</v>
      </c>
    </row>
    <row r="9" spans="1:8">
      <c r="A9" s="25" t="s">
        <v>113</v>
      </c>
      <c r="B9" s="26" t="s">
        <v>4840</v>
      </c>
      <c r="C9" s="848">
        <f>SUMIF(fish_efp!$O$7:$O$1873,B9,fish_efp!$Q$7:$Q$1873)</f>
        <v>6208162</v>
      </c>
      <c r="D9" s="63">
        <f t="array" ref="D9">IF(ISERROR(1+LOG(SUM(IF(fish_efp!$O$7:$O$1873=B9,fish_efp!$Q$7:$Q$1873*fish_efp!$S$7:$S$1873,0))*9/(SUM(IF(fish_efp!$O$7:$O$1873=B9,fish_efp!$Q$7:$Q$1873,0))*cnst_fish!$C$7),1/cnst_fish!$C$8)),0,1+LOG(SUM(IF(fish_efp!$O$7:$O$1873=B9,fish_efp!$Q$7:$Q$1873*fish_efp!$S$7:$S$1873,0))*9/(SUM(IF(fish_efp!$O$7:$O$1873=B9,fish_efp!$Q$7:$Q$1873,0))*cnst_fish!$C$7),1/cnst_fish!$C$8))</f>
        <v>3.0285296769877577</v>
      </c>
      <c r="E9" s="728">
        <f>IF(D9=0,0,(1/9)*cnst_fish!$C$7*(1/cnst_fish!$C$8)^(D9-1))</f>
        <v>15.060096665406167</v>
      </c>
      <c r="F9" s="114">
        <f>IFERROR((1/E9)*cnst_fish!$C$6,0)</f>
        <v>0.28220270390179325</v>
      </c>
    </row>
    <row r="10" spans="1:8">
      <c r="A10" s="25" t="s">
        <v>114</v>
      </c>
      <c r="B10" s="26" t="s">
        <v>4841</v>
      </c>
      <c r="C10" s="848">
        <f>SUMIF(fish_efp!$O$7:$O$1873,B10,fish_efp!$Q$7:$Q$1873)</f>
        <v>18491658</v>
      </c>
      <c r="D10" s="63">
        <f t="array" ref="D10">IF(ISERROR(1+LOG(SUM(IF(fish_efp!$O$7:$O$1873=B10,fish_efp!$Q$7:$Q$1873*fish_efp!$S$7:$S$1873,0))*9/(SUM(IF(fish_efp!$O$7:$O$1873=B10,fish_efp!$Q$7:$Q$1873,0))*cnst_fish!$C$7),1/cnst_fish!$C$8)),0,1+LOG(SUM(IF(fish_efp!$O$7:$O$1873=B10,fish_efp!$Q$7:$Q$1873*fish_efp!$S$7:$S$1873,0))*9/(SUM(IF(fish_efp!$O$7:$O$1873=B10,fish_efp!$Q$7:$Q$1873,0))*cnst_fish!$C$7),1/cnst_fish!$C$8))</f>
        <v>3.955296486418046</v>
      </c>
      <c r="E10" s="728">
        <f>IF(D10=0,0,(1/9)*cnst_fish!$C$7*(1/cnst_fish!$C$8)^(D10-1))</f>
        <v>127.23147701630516</v>
      </c>
      <c r="F10" s="114">
        <f>IFERROR((1/E10)*cnst_fish!$C$6,0)</f>
        <v>3.3403683582603913E-2</v>
      </c>
    </row>
    <row r="11" spans="1:8">
      <c r="A11" s="25" t="s">
        <v>115</v>
      </c>
      <c r="B11" s="26" t="s">
        <v>4859</v>
      </c>
      <c r="C11" s="848">
        <f>SUMIF(fish_efp!$O$7:$O$1873,B11,fish_efp!$Q$7:$Q$1873)</f>
        <v>33732092</v>
      </c>
      <c r="D11" s="63">
        <f t="array" ref="D11">IF(ISERROR(1+LOG(SUM(IF(fish_efp!$O$7:$O$1873=B11,fish_efp!$Q$7:$Q$1873*fish_efp!$S$7:$S$1873,0))*9/(SUM(IF(fish_efp!$O$7:$O$1873=B11,fish_efp!$Q$7:$Q$1873,0))*cnst_fish!$C$7),1/cnst_fish!$C$8)),0,1+LOG(SUM(IF(fish_efp!$O$7:$O$1873=B11,fish_efp!$Q$7:$Q$1873*fish_efp!$S$7:$S$1873,0))*9/(SUM(IF(fish_efp!$O$7:$O$1873=B11,fish_efp!$Q$7:$Q$1873,0))*cnst_fish!$C$7),1/cnst_fish!$C$8))</f>
        <v>3.8317080591385797</v>
      </c>
      <c r="E11" s="728">
        <f>IF(D11=0,0,(1/9)*cnst_fish!$C$7*(1/cnst_fish!$C$8)^(D11-1))</f>
        <v>95.720760761863957</v>
      </c>
      <c r="F11" s="114">
        <f>IFERROR((1/E11)*cnst_fish!$C$6,0)</f>
        <v>4.4399981426947031E-2</v>
      </c>
    </row>
    <row r="12" spans="1:8">
      <c r="A12" s="28"/>
      <c r="B12" s="29" t="s">
        <v>4849</v>
      </c>
      <c r="C12" s="74">
        <f>SUMIF(fish_efp!$O$7:$O$1873,B12,fish_efp!$Q$7:$Q$1873)</f>
        <v>10872470</v>
      </c>
      <c r="D12" s="846">
        <f t="array" ref="D12">IF(ISERROR(1+LOG(SUM(IF(fish_efp!$O$7:$O$1873=B12,fish_efp!$Q$7:$Q$1873*fish_efp!$S$7:$S$1873,0))*9/(SUM(IF(fish_efp!$O$7:$O$1873=B12,fish_efp!$Q$7:$Q$1873,0))*cnst_fish!$C$7),1/cnst_fish!$C$8)),0,1+LOG(SUM(IF(fish_efp!$O$7:$O$1873=B12,fish_efp!$Q$7:$Q$1873*fish_efp!$S$7:$S$1873,0))*9/(SUM(IF(fish_efp!$O$7:$O$1873=B12,fish_efp!$Q$7:$Q$1873,0))*cnst_fish!$C$7),1/cnst_fish!$C$8))</f>
        <v>3.1</v>
      </c>
      <c r="E12" s="729">
        <f>(SUMPRODUCT(C10:C11,E10:E11)/SUM(C10:C11))</f>
        <v>106.87823965436341</v>
      </c>
      <c r="F12" s="133">
        <f>IFERROR((1/E12)*cnst_fish!$C$6,0)</f>
        <v>3.9764876496321384E-2</v>
      </c>
    </row>
    <row r="14" spans="1:8">
      <c r="A14" s="410" t="s">
        <v>4058</v>
      </c>
      <c r="B14" s="315" t="s">
        <v>5520</v>
      </c>
      <c r="C14" s="482" t="s">
        <v>4500</v>
      </c>
    </row>
    <row r="15" spans="1:8">
      <c r="A15" s="519" t="s">
        <v>548</v>
      </c>
      <c r="B15" s="518" t="s">
        <v>5516</v>
      </c>
      <c r="C15" s="524" t="s">
        <v>3105</v>
      </c>
      <c r="E15" s="1344"/>
    </row>
    <row r="16" spans="1:8">
      <c r="A16" s="25" t="s">
        <v>2440</v>
      </c>
      <c r="B16" s="815">
        <f>eqf!$B$10/VLOOKUP(A16,fishmeal_fishes!$A$35:$H$36,8,FALSE)</f>
        <v>1.0547900739553244</v>
      </c>
      <c r="C16" s="849">
        <f>VLOOKUP($A16,fishmeal_fishes!$A$35:$H$36,3,FALSE)</f>
        <v>4108748</v>
      </c>
      <c r="E16" s="198"/>
    </row>
    <row r="17" spans="1:5">
      <c r="A17" s="28" t="s">
        <v>1806</v>
      </c>
      <c r="B17" s="729">
        <f>eqf!$B$10/VLOOKUP(A17,fishmeal_fishes!$A$35:$H$36,8,FALSE)</f>
        <v>1.0053340525444183</v>
      </c>
      <c r="C17" s="64">
        <f>VLOOKUP($A17,fishmeal_fishes!$A$35:$H$36,3,FALSE)</f>
        <v>1442312</v>
      </c>
      <c r="E17" s="198"/>
    </row>
    <row r="19" spans="1:5">
      <c r="A19" s="410" t="s">
        <v>5517</v>
      </c>
      <c r="B19" s="315" t="s">
        <v>5518</v>
      </c>
      <c r="C19" s="482" t="s">
        <v>5519</v>
      </c>
    </row>
    <row r="20" spans="1:5">
      <c r="A20" s="508" t="s">
        <v>5516</v>
      </c>
      <c r="B20" s="509" t="s">
        <v>548</v>
      </c>
      <c r="C20" s="510" t="s">
        <v>5516</v>
      </c>
    </row>
    <row r="21" spans="1:5">
      <c r="A21" s="449">
        <f>SUMPRODUCT(B16:B17,C16:C17)/SUM(C16:C17)</f>
        <v>1.0419400933834684</v>
      </c>
      <c r="B21" s="1344">
        <f>VLOOKUP(305.1, constant_fish_extr,2,FALSE)</f>
        <v>3.7377777777777781</v>
      </c>
      <c r="C21" s="708">
        <f>A21*B21*0.85</f>
        <v>3.3103594478007663</v>
      </c>
    </row>
    <row r="22" spans="1:5">
      <c r="A22" s="512" t="s">
        <v>1875</v>
      </c>
      <c r="B22" s="513" t="s">
        <v>1877</v>
      </c>
      <c r="C22" s="514" t="s">
        <v>1876</v>
      </c>
    </row>
    <row r="23" spans="1:5">
      <c r="A23" s="515" t="s">
        <v>5516</v>
      </c>
      <c r="B23" s="516" t="s">
        <v>548</v>
      </c>
      <c r="C23" s="517" t="s">
        <v>5516</v>
      </c>
    </row>
    <row r="24" spans="1:5">
      <c r="A24" s="511">
        <f>A21</f>
        <v>1.0419400933834684</v>
      </c>
      <c r="B24" s="729">
        <f>VLOOKUP(1504.2, constant_fish_extr,2,FALSE)</f>
        <v>3.2258064516129035</v>
      </c>
      <c r="C24" s="709">
        <f>A24*B24*0.85</f>
        <v>2.8569325141159618</v>
      </c>
    </row>
    <row r="26" spans="1:5">
      <c r="A26" s="525" t="s">
        <v>4455</v>
      </c>
      <c r="B26" s="802" t="s">
        <v>2019</v>
      </c>
      <c r="C26" s="497" t="s">
        <v>5526</v>
      </c>
    </row>
    <row r="27" spans="1:5">
      <c r="A27" s="526" t="s">
        <v>548</v>
      </c>
      <c r="B27" s="803" t="s">
        <v>548</v>
      </c>
      <c r="C27" s="527" t="s">
        <v>4456</v>
      </c>
    </row>
    <row r="28" spans="1:5">
      <c r="A28" s="25" t="s">
        <v>2286</v>
      </c>
      <c r="B28" s="836">
        <v>27</v>
      </c>
      <c r="C28" s="1368">
        <f>VLOOKUP(B28,crop_efp,4,FALSE)</f>
        <v>4.4622034838722522</v>
      </c>
    </row>
    <row r="29" spans="1:5">
      <c r="A29" s="25" t="s">
        <v>1214</v>
      </c>
      <c r="B29" s="836">
        <v>15</v>
      </c>
      <c r="C29" s="1368">
        <f>VLOOKUP(B29,crop_efp,4,FALSE)</f>
        <v>2.7231473712508003</v>
      </c>
    </row>
    <row r="30" spans="1:5">
      <c r="A30" s="25" t="s">
        <v>2175</v>
      </c>
      <c r="B30" s="836">
        <v>56</v>
      </c>
      <c r="C30" s="1368">
        <f>VLOOKUP(B30,crop_efp,4,FALSE)</f>
        <v>5.4186077583299692</v>
      </c>
    </row>
    <row r="31" spans="1:5">
      <c r="A31" s="25" t="s">
        <v>4047</v>
      </c>
      <c r="B31" s="836">
        <v>236</v>
      </c>
      <c r="C31" s="1368">
        <f>VLOOKUP(B31,crop_efp,4,FALSE)</f>
        <v>2.4713814220901331</v>
      </c>
    </row>
    <row r="32" spans="1:5">
      <c r="A32" s="28" t="s">
        <v>3258</v>
      </c>
      <c r="B32" s="837">
        <v>210</v>
      </c>
      <c r="C32" s="954">
        <f>VLOOKUP(B32,crop_efp,4,FALSE)</f>
        <v>1.1806996411366035</v>
      </c>
    </row>
    <row r="34" spans="1:2">
      <c r="A34" s="525" t="s">
        <v>4457</v>
      </c>
      <c r="B34" s="497" t="s">
        <v>4449</v>
      </c>
    </row>
    <row r="35" spans="1:2">
      <c r="A35" s="526" t="s">
        <v>4456</v>
      </c>
      <c r="B35" s="527" t="s">
        <v>5516</v>
      </c>
    </row>
    <row r="36" spans="1:2">
      <c r="A36" s="851">
        <f>SUM(C28:C32)/5</f>
        <v>3.2512079353359518</v>
      </c>
      <c r="B36" s="954">
        <f>IFERROR(iyf!$B$7*eqf!$B$7/A36,0)</f>
        <v>0.77671950495745512</v>
      </c>
    </row>
  </sheetData>
  <phoneticPr fontId="45" type="noConversion"/>
  <hyperlinks>
    <hyperlink ref="C2" location="fish_capture_yield!A1" display="fish_capture_yield"/>
    <hyperlink ref="D2" location="eqf!A1" display="eqf"/>
    <hyperlink ref="E2" location="fishmeal_fishes!A1" display="fishmeal_fishes"/>
    <hyperlink ref="F2" location="crop_yield_w!A1" display="crop_yield_w"/>
    <hyperlink ref="C3" location="aquaculture_yields!A1" display="aquaculture_yields"/>
    <hyperlink ref="D3" location="fish_feed_group_yield_n!A1" display="fish_feed_group_yield_n"/>
    <hyperlink ref="G2" location="cnst_fish!A1" display="cnst_fish"/>
    <hyperlink ref="H2" location="constant_fish_extr" display="constant_fish_extr"/>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0" enableFormatConditionsCalculation="0">
    <tabColor rgb="FF0000FF"/>
  </sheetPr>
  <dimension ref="A1:K37"/>
  <sheetViews>
    <sheetView workbookViewId="0">
      <selection activeCell="A65536" sqref="A65536"/>
    </sheetView>
  </sheetViews>
  <sheetFormatPr baseColWidth="10" defaultColWidth="9.1640625" defaultRowHeight="12" x14ac:dyDescent="0"/>
  <cols>
    <col min="1" max="1" width="28.5" style="124" customWidth="1"/>
    <col min="2" max="3" width="21.6640625" style="124" customWidth="1"/>
    <col min="4" max="4" width="24" style="124" customWidth="1"/>
    <col min="5" max="11" width="21.6640625" style="124" customWidth="1"/>
    <col min="12" max="16384" width="9.1640625" style="124"/>
  </cols>
  <sheetData>
    <row r="1" spans="1:11" s="53" customFormat="1" ht="12.75" customHeight="1">
      <c r="B1" s="123"/>
      <c r="C1" s="123"/>
      <c r="D1" s="123"/>
      <c r="E1" s="123"/>
      <c r="F1" s="123"/>
      <c r="G1" s="123"/>
      <c r="H1" s="123"/>
      <c r="I1" s="123"/>
      <c r="J1" s="123"/>
      <c r="K1" s="123"/>
    </row>
    <row r="2" spans="1:11" s="53" customFormat="1" ht="12.75" customHeight="1">
      <c r="C2" s="54" t="s">
        <v>1005</v>
      </c>
      <c r="D2" s="1064" t="s">
        <v>5415</v>
      </c>
      <c r="E2" s="1064" t="s">
        <v>1842</v>
      </c>
      <c r="F2" s="1064" t="s">
        <v>1840</v>
      </c>
      <c r="G2" s="125"/>
    </row>
    <row r="3" spans="1:11" s="53" customFormat="1" ht="12.75" customHeight="1">
      <c r="C3" s="54" t="s">
        <v>1006</v>
      </c>
      <c r="D3" s="1064" t="s">
        <v>5262</v>
      </c>
      <c r="E3" s="1064" t="s">
        <v>5421</v>
      </c>
      <c r="F3" s="1064"/>
    </row>
    <row r="4" spans="1:11" s="53" customFormat="1" ht="12.75" customHeight="1"/>
    <row r="5" spans="1:11">
      <c r="A5" s="713" t="s">
        <v>6398</v>
      </c>
      <c r="B5" s="713" t="s">
        <v>5504</v>
      </c>
      <c r="C5" s="713" t="s">
        <v>6951</v>
      </c>
      <c r="D5" s="713" t="s">
        <v>103</v>
      </c>
      <c r="E5" s="315" t="s">
        <v>4499</v>
      </c>
      <c r="F5" s="315" t="s">
        <v>4500</v>
      </c>
      <c r="G5" s="315" t="s">
        <v>2361</v>
      </c>
      <c r="H5" s="315" t="s">
        <v>2362</v>
      </c>
      <c r="I5" s="315" t="s">
        <v>2039</v>
      </c>
      <c r="J5" s="315" t="s">
        <v>5521</v>
      </c>
      <c r="K5" s="482" t="s">
        <v>5522</v>
      </c>
    </row>
    <row r="6" spans="1:11">
      <c r="A6" s="714" t="s">
        <v>548</v>
      </c>
      <c r="B6" s="714" t="s">
        <v>548</v>
      </c>
      <c r="C6" s="714" t="s">
        <v>548</v>
      </c>
      <c r="D6" s="714" t="s">
        <v>548</v>
      </c>
      <c r="E6" s="307" t="s">
        <v>3105</v>
      </c>
      <c r="F6" s="307" t="s">
        <v>3105</v>
      </c>
      <c r="G6" s="307" t="s">
        <v>548</v>
      </c>
      <c r="H6" s="307" t="s">
        <v>3363</v>
      </c>
      <c r="I6" s="308" t="s">
        <v>3364</v>
      </c>
      <c r="J6" s="502"/>
      <c r="K6" s="530"/>
    </row>
    <row r="7" spans="1:11">
      <c r="A7" s="716" t="s">
        <v>4055</v>
      </c>
      <c r="B7" s="716" t="s">
        <v>1669</v>
      </c>
      <c r="C7" s="843">
        <v>2898</v>
      </c>
      <c r="D7" s="716" t="s">
        <v>1806</v>
      </c>
      <c r="E7" s="735">
        <f t="shared" ref="E7:E30" si="0">VLOOKUP(C7,fish_efp,14,FALSE)</f>
        <v>0</v>
      </c>
      <c r="F7" s="1357">
        <f t="shared" ref="F7:F30" si="1">VLOOKUP(C7,fish_efp,15,FALSE)</f>
        <v>857</v>
      </c>
      <c r="G7" s="735">
        <f t="shared" ref="G7:G30" si="2">VLOOKUP($C7,fish_efp,14,FALSE)</f>
        <v>0</v>
      </c>
      <c r="H7" s="815">
        <f t="shared" ref="H7:H30" si="3">VLOOKUP(C7,fish_efp,17,FALSE)</f>
        <v>35.424039418724846</v>
      </c>
      <c r="I7" s="815">
        <f t="shared" ref="I7:I9" si="4">VLOOKUP(C7,fish_efp,10,FALSE)</f>
        <v>857</v>
      </c>
      <c r="J7" s="543">
        <f t="shared" ref="J7:J30" si="5">E7*$H7</f>
        <v>0</v>
      </c>
      <c r="K7" s="1359">
        <f t="shared" ref="K7:K30" si="6">F7*$H7</f>
        <v>30358.401781847191</v>
      </c>
    </row>
    <row r="8" spans="1:11">
      <c r="A8" s="716" t="s">
        <v>5626</v>
      </c>
      <c r="B8" s="716" t="s">
        <v>1670</v>
      </c>
      <c r="C8" s="843">
        <v>2094</v>
      </c>
      <c r="D8" s="716" t="s">
        <v>1806</v>
      </c>
      <c r="E8" s="735">
        <f t="shared" si="0"/>
        <v>167590</v>
      </c>
      <c r="F8" s="1357">
        <f t="shared" si="1"/>
        <v>167590</v>
      </c>
      <c r="G8" s="735">
        <f t="shared" si="2"/>
        <v>167590</v>
      </c>
      <c r="H8" s="815">
        <f t="shared" si="3"/>
        <v>2.5078299372343786</v>
      </c>
      <c r="I8" s="815">
        <f t="shared" si="4"/>
        <v>167590</v>
      </c>
      <c r="J8" s="543">
        <f t="shared" si="5"/>
        <v>420287.21918110951</v>
      </c>
      <c r="K8" s="1359">
        <f t="shared" si="6"/>
        <v>420287.21918110951</v>
      </c>
    </row>
    <row r="9" spans="1:11">
      <c r="A9" s="716" t="s">
        <v>5428</v>
      </c>
      <c r="B9" s="716" t="s">
        <v>3925</v>
      </c>
      <c r="C9" s="843">
        <v>2093</v>
      </c>
      <c r="D9" s="716" t="s">
        <v>1806</v>
      </c>
      <c r="E9" s="735">
        <f t="shared" si="0"/>
        <v>0</v>
      </c>
      <c r="F9" s="1357">
        <f t="shared" si="1"/>
        <v>1058</v>
      </c>
      <c r="G9" s="735">
        <f t="shared" si="2"/>
        <v>0</v>
      </c>
      <c r="H9" s="815">
        <f t="shared" si="3"/>
        <v>7.9304545860177429</v>
      </c>
      <c r="I9" s="815">
        <f t="shared" si="4"/>
        <v>1058</v>
      </c>
      <c r="J9" s="543">
        <f t="shared" si="5"/>
        <v>0</v>
      </c>
      <c r="K9" s="1359">
        <f t="shared" si="6"/>
        <v>8390.4209520067725</v>
      </c>
    </row>
    <row r="10" spans="1:11">
      <c r="A10" s="716" t="s">
        <v>3454</v>
      </c>
      <c r="B10" s="716" t="s">
        <v>3124</v>
      </c>
      <c r="C10" s="843">
        <v>2126</v>
      </c>
      <c r="D10" s="716" t="s">
        <v>1806</v>
      </c>
      <c r="E10" s="735">
        <f t="shared" si="0"/>
        <v>0</v>
      </c>
      <c r="F10" s="1357">
        <f t="shared" si="1"/>
        <v>763948</v>
      </c>
      <c r="G10" s="735">
        <f t="shared" si="2"/>
        <v>0</v>
      </c>
      <c r="H10" s="815">
        <f t="shared" si="3"/>
        <v>19.920401270320887</v>
      </c>
      <c r="I10" s="815">
        <f t="shared" ref="I10:I30" si="7">VLOOKUP(C10,fish_efp,10,FALSE)</f>
        <v>763948</v>
      </c>
      <c r="J10" s="543">
        <f t="shared" si="5"/>
        <v>0</v>
      </c>
      <c r="K10" s="1359">
        <f t="shared" si="6"/>
        <v>15218150.709659101</v>
      </c>
    </row>
    <row r="11" spans="1:11">
      <c r="A11" s="716" t="s">
        <v>940</v>
      </c>
      <c r="B11" s="716" t="s">
        <v>1668</v>
      </c>
      <c r="C11" s="843">
        <v>2899</v>
      </c>
      <c r="D11" s="716" t="s">
        <v>1806</v>
      </c>
      <c r="E11" s="735">
        <f t="shared" si="0"/>
        <v>497824</v>
      </c>
      <c r="F11" s="1357">
        <f t="shared" si="1"/>
        <v>497824</v>
      </c>
      <c r="G11" s="735">
        <f t="shared" si="2"/>
        <v>497824</v>
      </c>
      <c r="H11" s="815">
        <f t="shared" si="3"/>
        <v>2.1842285651329867</v>
      </c>
      <c r="I11" s="815">
        <f t="shared" si="7"/>
        <v>497824</v>
      </c>
      <c r="J11" s="543">
        <f t="shared" si="5"/>
        <v>1087361.4012087639</v>
      </c>
      <c r="K11" s="1359">
        <f t="shared" si="6"/>
        <v>1087361.4012087639</v>
      </c>
    </row>
    <row r="12" spans="1:11">
      <c r="A12" s="716" t="s">
        <v>1451</v>
      </c>
      <c r="B12" s="716" t="s">
        <v>2869</v>
      </c>
      <c r="C12" s="843">
        <v>2103</v>
      </c>
      <c r="D12" s="716" t="s">
        <v>1806</v>
      </c>
      <c r="E12" s="735">
        <f t="shared" si="0"/>
        <v>0</v>
      </c>
      <c r="F12" s="1357">
        <f t="shared" si="1"/>
        <v>11035</v>
      </c>
      <c r="G12" s="735">
        <f t="shared" si="2"/>
        <v>0</v>
      </c>
      <c r="H12" s="815">
        <f t="shared" si="3"/>
        <v>1.656906808248054</v>
      </c>
      <c r="I12" s="815">
        <f t="shared" si="7"/>
        <v>11035</v>
      </c>
      <c r="J12" s="543">
        <f t="shared" si="5"/>
        <v>0</v>
      </c>
      <c r="K12" s="1359">
        <f t="shared" si="6"/>
        <v>18283.966629017275</v>
      </c>
    </row>
    <row r="13" spans="1:11">
      <c r="A13" s="716" t="s">
        <v>3238</v>
      </c>
      <c r="B13" s="716" t="s">
        <v>4250</v>
      </c>
      <c r="C13" s="843">
        <v>3651</v>
      </c>
      <c r="D13" s="715" t="s">
        <v>2440</v>
      </c>
      <c r="E13" s="735">
        <f t="shared" si="0"/>
        <v>0</v>
      </c>
      <c r="F13" s="1357">
        <f t="shared" si="1"/>
        <v>368</v>
      </c>
      <c r="G13" s="735">
        <f t="shared" si="2"/>
        <v>0</v>
      </c>
      <c r="H13" s="815">
        <f t="shared" si="3"/>
        <v>3.7957542106661646</v>
      </c>
      <c r="I13" s="815">
        <f t="shared" si="7"/>
        <v>368</v>
      </c>
      <c r="J13" s="543">
        <f t="shared" si="5"/>
        <v>0</v>
      </c>
      <c r="K13" s="1359">
        <f t="shared" si="6"/>
        <v>1396.8375495251485</v>
      </c>
    </row>
    <row r="14" spans="1:11">
      <c r="A14" s="716" t="s">
        <v>5119</v>
      </c>
      <c r="B14" s="716" t="s">
        <v>2619</v>
      </c>
      <c r="C14" s="843">
        <v>2892</v>
      </c>
      <c r="D14" s="715" t="s">
        <v>2440</v>
      </c>
      <c r="E14" s="735">
        <f t="shared" si="0"/>
        <v>0</v>
      </c>
      <c r="F14" s="1357">
        <f t="shared" si="1"/>
        <v>45740</v>
      </c>
      <c r="G14" s="735">
        <f t="shared" si="2"/>
        <v>0</v>
      </c>
      <c r="H14" s="815">
        <f t="shared" si="3"/>
        <v>4.2589062723618172</v>
      </c>
      <c r="I14" s="815">
        <f t="shared" si="7"/>
        <v>45740</v>
      </c>
      <c r="J14" s="543">
        <f t="shared" si="5"/>
        <v>0</v>
      </c>
      <c r="K14" s="1359">
        <f t="shared" si="6"/>
        <v>194802.37289782951</v>
      </c>
    </row>
    <row r="15" spans="1:11">
      <c r="A15" s="716" t="s">
        <v>3953</v>
      </c>
      <c r="B15" s="716" t="s">
        <v>5115</v>
      </c>
      <c r="C15" s="843">
        <v>2090</v>
      </c>
      <c r="D15" s="715" t="s">
        <v>2440</v>
      </c>
      <c r="E15" s="735">
        <f t="shared" si="0"/>
        <v>0</v>
      </c>
      <c r="F15" s="1357">
        <f t="shared" si="1"/>
        <v>98315</v>
      </c>
      <c r="G15" s="735">
        <f t="shared" si="2"/>
        <v>0</v>
      </c>
      <c r="H15" s="815">
        <f t="shared" si="3"/>
        <v>17.754076320174157</v>
      </c>
      <c r="I15" s="815">
        <f t="shared" si="7"/>
        <v>98315</v>
      </c>
      <c r="J15" s="543">
        <f t="shared" si="5"/>
        <v>0</v>
      </c>
      <c r="K15" s="1359">
        <f t="shared" si="6"/>
        <v>1745492.0134179222</v>
      </c>
    </row>
    <row r="16" spans="1:11">
      <c r="A16" s="716" t="s">
        <v>2212</v>
      </c>
      <c r="B16" s="716" t="s">
        <v>3632</v>
      </c>
      <c r="C16" s="843">
        <v>2894</v>
      </c>
      <c r="D16" s="715" t="s">
        <v>2440</v>
      </c>
      <c r="E16" s="735">
        <f t="shared" si="0"/>
        <v>62759</v>
      </c>
      <c r="F16" s="1357">
        <f t="shared" si="1"/>
        <v>255291</v>
      </c>
      <c r="G16" s="735">
        <f t="shared" si="2"/>
        <v>62759</v>
      </c>
      <c r="H16" s="815">
        <f t="shared" si="3"/>
        <v>3.7957542106661646</v>
      </c>
      <c r="I16" s="815">
        <f t="shared" si="7"/>
        <v>255291</v>
      </c>
      <c r="J16" s="543">
        <f t="shared" si="5"/>
        <v>238217.73850719782</v>
      </c>
      <c r="K16" s="1359">
        <f t="shared" si="6"/>
        <v>969021.88819517579</v>
      </c>
    </row>
    <row r="17" spans="1:11">
      <c r="A17" s="716" t="s">
        <v>4103</v>
      </c>
      <c r="B17" s="716" t="s">
        <v>987</v>
      </c>
      <c r="C17" s="843">
        <v>2910</v>
      </c>
      <c r="D17" s="715" t="s">
        <v>2440</v>
      </c>
      <c r="E17" s="735">
        <f t="shared" si="0"/>
        <v>0</v>
      </c>
      <c r="F17" s="1357">
        <f t="shared" si="1"/>
        <v>1001020</v>
      </c>
      <c r="G17" s="735">
        <f t="shared" si="2"/>
        <v>0</v>
      </c>
      <c r="H17" s="815">
        <f t="shared" si="3"/>
        <v>15.823337176053327</v>
      </c>
      <c r="I17" s="815">
        <f t="shared" si="7"/>
        <v>1001020</v>
      </c>
      <c r="J17" s="543">
        <f t="shared" si="5"/>
        <v>0</v>
      </c>
      <c r="K17" s="1359">
        <f t="shared" si="6"/>
        <v>15839476.979972901</v>
      </c>
    </row>
    <row r="18" spans="1:11">
      <c r="A18" s="716" t="s">
        <v>3243</v>
      </c>
      <c r="B18" s="716" t="s">
        <v>4160</v>
      </c>
      <c r="C18" s="843">
        <v>2085</v>
      </c>
      <c r="D18" s="715" t="s">
        <v>2440</v>
      </c>
      <c r="E18" s="735">
        <f t="shared" si="0"/>
        <v>0</v>
      </c>
      <c r="F18" s="1357">
        <f t="shared" si="1"/>
        <v>175883</v>
      </c>
      <c r="G18" s="735">
        <f t="shared" si="2"/>
        <v>0</v>
      </c>
      <c r="H18" s="815">
        <f t="shared" si="3"/>
        <v>9.9838508054173385</v>
      </c>
      <c r="I18" s="815">
        <f t="shared" si="7"/>
        <v>175883</v>
      </c>
      <c r="J18" s="543">
        <f t="shared" si="5"/>
        <v>0</v>
      </c>
      <c r="K18" s="1359">
        <f t="shared" si="6"/>
        <v>1755989.6312092177</v>
      </c>
    </row>
    <row r="19" spans="1:11">
      <c r="A19" s="716" t="s">
        <v>1479</v>
      </c>
      <c r="B19" s="716" t="s">
        <v>2620</v>
      </c>
      <c r="C19" s="843">
        <v>2086</v>
      </c>
      <c r="D19" s="715" t="s">
        <v>2440</v>
      </c>
      <c r="E19" s="735">
        <f t="shared" si="0"/>
        <v>0</v>
      </c>
      <c r="F19" s="1357">
        <f t="shared" si="1"/>
        <v>548205</v>
      </c>
      <c r="G19" s="735">
        <f t="shared" si="2"/>
        <v>0</v>
      </c>
      <c r="H19" s="815">
        <f t="shared" si="3"/>
        <v>3.6249171295458358</v>
      </c>
      <c r="I19" s="815">
        <f t="shared" si="7"/>
        <v>548205</v>
      </c>
      <c r="J19" s="543">
        <f t="shared" si="5"/>
        <v>0</v>
      </c>
      <c r="K19" s="1359">
        <f t="shared" si="6"/>
        <v>1987197.6950026748</v>
      </c>
    </row>
    <row r="20" spans="1:11">
      <c r="A20" s="716" t="s">
        <v>2994</v>
      </c>
      <c r="B20" s="716" t="s">
        <v>3631</v>
      </c>
      <c r="C20" s="843">
        <v>2891</v>
      </c>
      <c r="D20" s="715" t="s">
        <v>2440</v>
      </c>
      <c r="E20" s="735">
        <f t="shared" si="0"/>
        <v>0</v>
      </c>
      <c r="F20" s="1357">
        <f t="shared" si="1"/>
        <v>891</v>
      </c>
      <c r="G20" s="735">
        <f t="shared" si="2"/>
        <v>0</v>
      </c>
      <c r="H20" s="815">
        <f t="shared" si="3"/>
        <v>18.590800159128833</v>
      </c>
      <c r="I20" s="815">
        <f t="shared" si="7"/>
        <v>891</v>
      </c>
      <c r="J20" s="543">
        <f t="shared" si="5"/>
        <v>0</v>
      </c>
      <c r="K20" s="1359">
        <f t="shared" si="6"/>
        <v>16564.402941783788</v>
      </c>
    </row>
    <row r="21" spans="1:11">
      <c r="A21" s="716" t="s">
        <v>188</v>
      </c>
      <c r="B21" s="716" t="s">
        <v>2621</v>
      </c>
      <c r="C21" s="843">
        <v>2089</v>
      </c>
      <c r="D21" s="715" t="s">
        <v>2440</v>
      </c>
      <c r="E21" s="735">
        <f t="shared" si="0"/>
        <v>0</v>
      </c>
      <c r="F21" s="1357">
        <f t="shared" si="1"/>
        <v>230229</v>
      </c>
      <c r="G21" s="735">
        <f t="shared" si="2"/>
        <v>0</v>
      </c>
      <c r="H21" s="815">
        <f t="shared" si="3"/>
        <v>22.351057842400341</v>
      </c>
      <c r="I21" s="815">
        <f t="shared" si="7"/>
        <v>230229</v>
      </c>
      <c r="J21" s="543">
        <f t="shared" si="5"/>
        <v>0</v>
      </c>
      <c r="K21" s="1359">
        <f t="shared" si="6"/>
        <v>5145861.6959979879</v>
      </c>
    </row>
    <row r="22" spans="1:11">
      <c r="A22" s="716" t="s">
        <v>1417</v>
      </c>
      <c r="B22" s="716" t="s">
        <v>3630</v>
      </c>
      <c r="C22" s="843">
        <v>2084</v>
      </c>
      <c r="D22" s="715" t="s">
        <v>2440</v>
      </c>
      <c r="E22" s="735">
        <f t="shared" si="0"/>
        <v>0</v>
      </c>
      <c r="F22" s="1357">
        <f t="shared" si="1"/>
        <v>907032</v>
      </c>
      <c r="G22" s="735">
        <f t="shared" si="2"/>
        <v>0</v>
      </c>
      <c r="H22" s="815">
        <f t="shared" si="3"/>
        <v>9.3174717026712273</v>
      </c>
      <c r="I22" s="815">
        <f t="shared" si="7"/>
        <v>907032</v>
      </c>
      <c r="J22" s="543">
        <f t="shared" si="5"/>
        <v>0</v>
      </c>
      <c r="K22" s="1359">
        <f t="shared" si="6"/>
        <v>8451244.9934172891</v>
      </c>
    </row>
    <row r="23" spans="1:11">
      <c r="A23" s="716" t="s">
        <v>2098</v>
      </c>
      <c r="B23" s="716" t="s">
        <v>2872</v>
      </c>
      <c r="C23" s="843">
        <v>2903</v>
      </c>
      <c r="D23" s="715" t="s">
        <v>2440</v>
      </c>
      <c r="E23" s="735">
        <f t="shared" si="0"/>
        <v>0</v>
      </c>
      <c r="F23" s="1357">
        <f t="shared" si="1"/>
        <v>1071</v>
      </c>
      <c r="G23" s="735">
        <f t="shared" si="2"/>
        <v>0</v>
      </c>
      <c r="H23" s="815">
        <f t="shared" si="3"/>
        <v>28.138314698279075</v>
      </c>
      <c r="I23" s="815">
        <f t="shared" si="7"/>
        <v>1071</v>
      </c>
      <c r="J23" s="543">
        <f t="shared" si="5"/>
        <v>0</v>
      </c>
      <c r="K23" s="1359">
        <f t="shared" si="6"/>
        <v>30136.135041856891</v>
      </c>
    </row>
    <row r="24" spans="1:11">
      <c r="A24" s="716" t="s">
        <v>5585</v>
      </c>
      <c r="B24" s="716" t="s">
        <v>4112</v>
      </c>
      <c r="C24" s="843">
        <v>2901</v>
      </c>
      <c r="D24" s="715" t="s">
        <v>2440</v>
      </c>
      <c r="E24" s="735">
        <f t="shared" si="0"/>
        <v>0</v>
      </c>
      <c r="F24" s="1357">
        <f t="shared" si="1"/>
        <v>16</v>
      </c>
      <c r="G24" s="735">
        <f t="shared" si="2"/>
        <v>0</v>
      </c>
      <c r="H24" s="815">
        <f t="shared" si="3"/>
        <v>35.424039418724846</v>
      </c>
      <c r="I24" s="815">
        <f t="shared" si="7"/>
        <v>16</v>
      </c>
      <c r="J24" s="543">
        <f t="shared" si="5"/>
        <v>0</v>
      </c>
      <c r="K24" s="1359">
        <f t="shared" si="6"/>
        <v>566.78463069959753</v>
      </c>
    </row>
    <row r="25" spans="1:11">
      <c r="A25" s="716" t="s">
        <v>5393</v>
      </c>
      <c r="B25" s="716" t="s">
        <v>4111</v>
      </c>
      <c r="C25" s="843">
        <v>2900</v>
      </c>
      <c r="D25" s="715" t="s">
        <v>2440</v>
      </c>
      <c r="E25" s="735">
        <f t="shared" si="0"/>
        <v>0</v>
      </c>
      <c r="F25" s="1357">
        <f t="shared" si="1"/>
        <v>38858</v>
      </c>
      <c r="G25" s="735">
        <f t="shared" si="2"/>
        <v>0</v>
      </c>
      <c r="H25" s="815">
        <f t="shared" si="3"/>
        <v>35.424039418724846</v>
      </c>
      <c r="I25" s="815">
        <f t="shared" si="7"/>
        <v>38858</v>
      </c>
      <c r="J25" s="543">
        <f t="shared" si="5"/>
        <v>0</v>
      </c>
      <c r="K25" s="1359">
        <f t="shared" si="6"/>
        <v>1376507.3237328101</v>
      </c>
    </row>
    <row r="26" spans="1:11">
      <c r="A26" s="716" t="s">
        <v>3640</v>
      </c>
      <c r="B26" s="716" t="s">
        <v>5114</v>
      </c>
      <c r="C26" s="843">
        <v>2088</v>
      </c>
      <c r="D26" s="715" t="s">
        <v>2440</v>
      </c>
      <c r="E26" s="735">
        <f t="shared" si="0"/>
        <v>298</v>
      </c>
      <c r="F26" s="1357">
        <f t="shared" si="1"/>
        <v>267876</v>
      </c>
      <c r="G26" s="735">
        <f t="shared" si="2"/>
        <v>298</v>
      </c>
      <c r="H26" s="815">
        <f t="shared" si="3"/>
        <v>35.424039418724846</v>
      </c>
      <c r="I26" s="815">
        <f t="shared" si="7"/>
        <v>267876</v>
      </c>
      <c r="J26" s="543">
        <f t="shared" si="5"/>
        <v>10556.363746780004</v>
      </c>
      <c r="K26" s="1359">
        <f t="shared" si="6"/>
        <v>9489249.9833303373</v>
      </c>
    </row>
    <row r="27" spans="1:11">
      <c r="A27" s="716" t="s">
        <v>5396</v>
      </c>
      <c r="B27" s="716" t="s">
        <v>856</v>
      </c>
      <c r="C27" s="843">
        <v>10324</v>
      </c>
      <c r="D27" s="715" t="s">
        <v>2440</v>
      </c>
      <c r="E27" s="735">
        <f t="shared" si="0"/>
        <v>0</v>
      </c>
      <c r="F27" s="1357">
        <f t="shared" si="1"/>
        <v>45851</v>
      </c>
      <c r="G27" s="735">
        <f t="shared" si="2"/>
        <v>0</v>
      </c>
      <c r="H27" s="815">
        <f t="shared" si="3"/>
        <v>28.138314698279075</v>
      </c>
      <c r="I27" s="815">
        <f t="shared" si="7"/>
        <v>45851</v>
      </c>
      <c r="J27" s="543">
        <f t="shared" si="5"/>
        <v>0</v>
      </c>
      <c r="K27" s="1359">
        <f t="shared" si="6"/>
        <v>1290169.8672307939</v>
      </c>
    </row>
    <row r="28" spans="1:11">
      <c r="A28" s="716" t="s">
        <v>508</v>
      </c>
      <c r="B28" s="716" t="s">
        <v>3633</v>
      </c>
      <c r="C28" s="843">
        <v>2893</v>
      </c>
      <c r="D28" s="715" t="s">
        <v>2440</v>
      </c>
      <c r="E28" s="735">
        <f t="shared" si="0"/>
        <v>0</v>
      </c>
      <c r="F28" s="1357">
        <f t="shared" si="1"/>
        <v>363730</v>
      </c>
      <c r="G28" s="735">
        <f t="shared" si="2"/>
        <v>0</v>
      </c>
      <c r="H28" s="815">
        <f t="shared" si="3"/>
        <v>3.7957542106661646</v>
      </c>
      <c r="I28" s="815">
        <f t="shared" si="7"/>
        <v>363730</v>
      </c>
      <c r="J28" s="543">
        <f t="shared" si="5"/>
        <v>0</v>
      </c>
      <c r="K28" s="1359">
        <f t="shared" si="6"/>
        <v>1380629.6790456041</v>
      </c>
    </row>
    <row r="29" spans="1:11">
      <c r="A29" s="716" t="s">
        <v>1709</v>
      </c>
      <c r="B29" s="716" t="s">
        <v>4252</v>
      </c>
      <c r="C29" s="843">
        <v>2091</v>
      </c>
      <c r="D29" s="715" t="s">
        <v>2440</v>
      </c>
      <c r="E29" s="735">
        <f t="shared" si="0"/>
        <v>0</v>
      </c>
      <c r="F29" s="1357">
        <f t="shared" si="1"/>
        <v>96</v>
      </c>
      <c r="G29" s="735">
        <f t="shared" si="2"/>
        <v>0</v>
      </c>
      <c r="H29" s="815">
        <f t="shared" si="3"/>
        <v>3.7957542106661646</v>
      </c>
      <c r="I29" s="815">
        <f t="shared" si="7"/>
        <v>96</v>
      </c>
      <c r="J29" s="543">
        <f t="shared" si="5"/>
        <v>0</v>
      </c>
      <c r="K29" s="1359">
        <f t="shared" si="6"/>
        <v>364.39240422395181</v>
      </c>
    </row>
    <row r="30" spans="1:11">
      <c r="A30" s="717" t="s">
        <v>2242</v>
      </c>
      <c r="B30" s="717" t="s">
        <v>4251</v>
      </c>
      <c r="C30" s="844">
        <v>2895</v>
      </c>
      <c r="D30" s="718" t="s">
        <v>2440</v>
      </c>
      <c r="E30" s="29">
        <f t="shared" si="0"/>
        <v>0</v>
      </c>
      <c r="F30" s="1369">
        <f t="shared" si="1"/>
        <v>128276</v>
      </c>
      <c r="G30" s="29">
        <f t="shared" si="2"/>
        <v>0</v>
      </c>
      <c r="H30" s="817">
        <f t="shared" si="3"/>
        <v>3.7957542106661646</v>
      </c>
      <c r="I30" s="729">
        <f t="shared" si="7"/>
        <v>128276</v>
      </c>
      <c r="J30" s="547">
        <f t="shared" si="5"/>
        <v>0</v>
      </c>
      <c r="K30" s="1363">
        <f t="shared" si="6"/>
        <v>486904.16712741292</v>
      </c>
    </row>
    <row r="33" spans="1:8">
      <c r="A33" s="410" t="s">
        <v>103</v>
      </c>
      <c r="B33" s="315" t="s">
        <v>4499</v>
      </c>
      <c r="C33" s="315" t="s">
        <v>4500</v>
      </c>
      <c r="D33" s="315" t="s">
        <v>5514</v>
      </c>
      <c r="E33" s="315" t="s">
        <v>5523</v>
      </c>
      <c r="F33" s="315" t="s">
        <v>5524</v>
      </c>
      <c r="G33" s="315" t="s">
        <v>5525</v>
      </c>
      <c r="H33" s="482" t="s">
        <v>5526</v>
      </c>
    </row>
    <row r="34" spans="1:8">
      <c r="A34" s="306" t="s">
        <v>548</v>
      </c>
      <c r="B34" s="307" t="s">
        <v>3105</v>
      </c>
      <c r="C34" s="307" t="s">
        <v>3105</v>
      </c>
      <c r="D34" s="307" t="s">
        <v>3105</v>
      </c>
      <c r="E34" s="307" t="s">
        <v>3363</v>
      </c>
      <c r="F34" s="307" t="s">
        <v>3363</v>
      </c>
      <c r="G34" s="308" t="s">
        <v>3364</v>
      </c>
      <c r="H34" s="311" t="s">
        <v>3364</v>
      </c>
    </row>
    <row r="35" spans="1:8">
      <c r="A35" s="528" t="s">
        <v>1806</v>
      </c>
      <c r="B35" s="848">
        <f>SUMIF($D$7:$D$30,$A35,$E$7:$E$30)</f>
        <v>665414</v>
      </c>
      <c r="C35" s="848">
        <f>SUMIF($D$7:$D$30,$A35,$F$7:$F$30)</f>
        <v>1442312</v>
      </c>
      <c r="D35" s="850"/>
      <c r="E35" s="707">
        <f>IF(ISERROR(SUMIF($D$7:$D$30,A35,$J$7:$J$30)/SUMIF($D$7:$D$30,A35,$E$7:$E$30)),0,(SUMIF($D$7:$D$30,A35,$J$7:$J$30)/SUMIF($D$7:$D$30,A35,$E$7:$E$30)))</f>
        <v>2.265730237701451</v>
      </c>
      <c r="F35" s="707">
        <f>SUMIF($D$7:$D$30,A35,$K$7:$K$30)/SUMIF($D$7:$D$30,A35,$F$7:$F$30)</f>
        <v>11.636062183086494</v>
      </c>
      <c r="G35" s="707">
        <f>IF(ISERROR(cnst_fish!$C$6/E35),H35,cnst_fish!$C$6/E35)</f>
        <v>1.8757749396996002</v>
      </c>
      <c r="H35" s="708">
        <f>cnst_fish!$C$6/F35</f>
        <v>0.36524383705834385</v>
      </c>
    </row>
    <row r="36" spans="1:8">
      <c r="A36" s="529" t="s">
        <v>2440</v>
      </c>
      <c r="B36" s="848">
        <f>SUMIF($D$7:$D$30,$A36,$E$7:$E$30)</f>
        <v>63057</v>
      </c>
      <c r="C36" s="848">
        <f>SUMIF($D$7:$D$30,$A36,$F$7:$F$30)</f>
        <v>4108748</v>
      </c>
      <c r="D36" s="74">
        <f>VLOOKUP($A36,fish_group_yield_n!$A$7:$J$48,6,FALSE)</f>
        <v>0</v>
      </c>
      <c r="E36" s="707">
        <f>IF(ISERROR(SUMIF($D$7:$D$30,A36,$J$7:$J$30)/SUMIF($D$7:$D$30,A36,$E$7:$E$30)),0,(SUMIF($D$7:$D$30,A36,$J$7:$J$30)/SUMIF($D$7:$D$30,A36,$E$7:$E$30)))</f>
        <v>3.9452257838777269</v>
      </c>
      <c r="F36" s="707">
        <f>SUMIF($D$7:$D$30,A36,$K$7:$K$30)/SUMIF($D$7:$D$30,A36,$F$7:$F$30)</f>
        <v>12.208482205077079</v>
      </c>
      <c r="G36" s="707">
        <f>IF(ISERROR(cnst_fish!$C$6/E36),H36,cnst_fish!$C$6/E36)</f>
        <v>1.0772514002538818</v>
      </c>
      <c r="H36" s="709">
        <f>cnst_fish!$C$6/F36</f>
        <v>0.34811862184085213</v>
      </c>
    </row>
    <row r="37" spans="1:8">
      <c r="A37" s="420" t="s">
        <v>4211</v>
      </c>
      <c r="B37" s="540">
        <f>SUM(B35:B36)</f>
        <v>728471</v>
      </c>
      <c r="C37" s="540">
        <f>SUM(F7:F30)</f>
        <v>5551060</v>
      </c>
      <c r="D37" s="540">
        <f>SUM(D35:D36)</f>
        <v>0</v>
      </c>
      <c r="E37" s="710">
        <f>IF(ISERROR(SUM(J7:J30)/B37),F37,(SUM(J7:J30)/B37))</f>
        <v>2.4111086407610616</v>
      </c>
      <c r="F37" s="710">
        <f>SUM(K7:K30)/C37</f>
        <v>12.059752364874079</v>
      </c>
      <c r="G37" s="710">
        <f>IF(ISERROR(cnst_fish!$C$6/E37),H37,cnst_fish!$C$6/E37)</f>
        <v>1.7626746170419332</v>
      </c>
      <c r="H37" s="704">
        <f>cnst_fish!$C$6/F37</f>
        <v>0.35241187973136096</v>
      </c>
    </row>
  </sheetData>
  <phoneticPr fontId="45" type="noConversion"/>
  <hyperlinks>
    <hyperlink ref="D2" location="fish_capture_yield!A1" display="fish_capture_yield"/>
    <hyperlink ref="D3" location="fish_feed_group_yield_n!A1" display="fish_feed_group_yield_n"/>
    <hyperlink ref="E3" location="fish_feed_group_yield_w!A1" display="fish_feed_group_yield_w"/>
    <hyperlink ref="E2" location="fish_group_yield_n!A1" display="fish_group_yield_n"/>
    <hyperlink ref="F2" location="cnst_fish!A1" display="cnst_fish"/>
  </hyperlinks>
  <pageMargins left="0.75" right="0.75" top="1" bottom="1" header="0.5" footer="0.5"/>
  <pageSetup orientation="portrait" verticalDpi="0"/>
  <headerFooter alignWithMargins="0"/>
  <drawing r:id="rId1"/>
  <legacyDrawing r:id="rId2"/>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enableFormatConditionsCalculation="0">
    <tabColor rgb="FF0000FF"/>
  </sheetPr>
  <dimension ref="A1:D576"/>
  <sheetViews>
    <sheetView workbookViewId="0">
      <selection activeCell="A65536" sqref="A65536"/>
    </sheetView>
  </sheetViews>
  <sheetFormatPr baseColWidth="10" defaultColWidth="9.1640625" defaultRowHeight="12" x14ac:dyDescent="0"/>
  <cols>
    <col min="1" max="1" width="15" style="124" customWidth="1"/>
    <col min="2" max="2" width="27.83203125" style="124" customWidth="1"/>
    <col min="3" max="3" width="24" style="124" customWidth="1"/>
    <col min="4" max="4" width="16.5" style="124" customWidth="1"/>
    <col min="5" max="16384" width="9.1640625" style="124"/>
  </cols>
  <sheetData>
    <row r="1" spans="1:4" s="53" customFormat="1" ht="12.75" customHeight="1">
      <c r="B1" s="123"/>
      <c r="C1" s="123"/>
      <c r="D1" s="123"/>
    </row>
    <row r="2" spans="1:4" s="53" customFormat="1" ht="12.75" customHeight="1">
      <c r="C2" s="54" t="s">
        <v>1005</v>
      </c>
      <c r="D2" s="184" t="s">
        <v>1813</v>
      </c>
    </row>
    <row r="3" spans="1:4" s="53" customFormat="1" ht="12.75" customHeight="1">
      <c r="C3" s="54" t="s">
        <v>1006</v>
      </c>
      <c r="D3" s="1064" t="s">
        <v>1842</v>
      </c>
    </row>
    <row r="4" spans="1:4" s="53" customFormat="1" ht="12.75" customHeight="1"/>
    <row r="5" spans="1:4">
      <c r="A5" s="689" t="s">
        <v>6951</v>
      </c>
      <c r="B5" s="688" t="s">
        <v>6398</v>
      </c>
      <c r="C5" s="689" t="s">
        <v>103</v>
      </c>
      <c r="D5" s="697" t="s">
        <v>2038</v>
      </c>
    </row>
    <row r="6" spans="1:4">
      <c r="A6" s="690" t="s">
        <v>548</v>
      </c>
      <c r="B6" s="690" t="s">
        <v>548</v>
      </c>
      <c r="C6" s="690" t="s">
        <v>548</v>
      </c>
      <c r="D6" s="692"/>
    </row>
    <row r="7" spans="1:4">
      <c r="A7" s="698">
        <v>12441</v>
      </c>
      <c r="B7" s="693" t="s">
        <v>2942</v>
      </c>
      <c r="C7" s="699" t="s">
        <v>1806</v>
      </c>
      <c r="D7" s="1160"/>
    </row>
    <row r="8" spans="1:4">
      <c r="A8" s="700">
        <v>2651</v>
      </c>
      <c r="B8" s="695" t="s">
        <v>3021</v>
      </c>
      <c r="C8" s="701" t="s">
        <v>1804</v>
      </c>
      <c r="D8" s="1161">
        <v>201</v>
      </c>
    </row>
    <row r="9" spans="1:4">
      <c r="A9" s="700">
        <v>10183</v>
      </c>
      <c r="B9" s="695" t="s">
        <v>4141</v>
      </c>
      <c r="C9" s="701" t="s">
        <v>1806</v>
      </c>
      <c r="D9" s="1161"/>
    </row>
    <row r="10" spans="1:4">
      <c r="A10" s="700">
        <v>2981</v>
      </c>
      <c r="B10" s="695" t="s">
        <v>6953</v>
      </c>
      <c r="C10" s="701"/>
      <c r="D10" s="1161"/>
    </row>
    <row r="11" spans="1:4">
      <c r="A11" s="700">
        <v>2141</v>
      </c>
      <c r="B11" s="695" t="s">
        <v>4142</v>
      </c>
      <c r="C11" s="701" t="s">
        <v>1806</v>
      </c>
      <c r="D11" s="1161"/>
    </row>
    <row r="12" spans="1:4">
      <c r="A12" s="700">
        <v>2198</v>
      </c>
      <c r="B12" s="695" t="s">
        <v>4143</v>
      </c>
      <c r="C12" s="701" t="s">
        <v>1806</v>
      </c>
      <c r="D12" s="1161"/>
    </row>
    <row r="13" spans="1:4">
      <c r="A13" s="700">
        <v>3428</v>
      </c>
      <c r="B13" s="695" t="s">
        <v>1553</v>
      </c>
      <c r="C13" s="701" t="s">
        <v>2441</v>
      </c>
      <c r="D13" s="1161"/>
    </row>
    <row r="14" spans="1:4">
      <c r="A14" s="700">
        <v>10727</v>
      </c>
      <c r="B14" s="695" t="s">
        <v>4144</v>
      </c>
      <c r="C14" s="701" t="s">
        <v>1806</v>
      </c>
      <c r="D14" s="1161"/>
    </row>
    <row r="15" spans="1:4">
      <c r="A15" s="700">
        <v>19882</v>
      </c>
      <c r="B15" s="695" t="s">
        <v>6954</v>
      </c>
      <c r="C15" s="701"/>
      <c r="D15" s="1161"/>
    </row>
    <row r="16" spans="1:4">
      <c r="A16" s="700">
        <v>2320</v>
      </c>
      <c r="B16" s="695" t="s">
        <v>5017</v>
      </c>
      <c r="C16" s="701" t="s">
        <v>1806</v>
      </c>
      <c r="D16" s="1161"/>
    </row>
    <row r="17" spans="1:4">
      <c r="A17" s="700">
        <v>10048</v>
      </c>
      <c r="B17" s="695" t="s">
        <v>4145</v>
      </c>
      <c r="C17" s="701" t="s">
        <v>2429</v>
      </c>
      <c r="D17" s="1161"/>
    </row>
    <row r="18" spans="1:4">
      <c r="A18" s="700">
        <v>2669</v>
      </c>
      <c r="B18" s="695" t="s">
        <v>1390</v>
      </c>
      <c r="C18" s="701" t="s">
        <v>2435</v>
      </c>
      <c r="D18" s="1161">
        <v>104000</v>
      </c>
    </row>
    <row r="19" spans="1:4">
      <c r="A19" s="700">
        <v>2989</v>
      </c>
      <c r="B19" s="695" t="s">
        <v>3838</v>
      </c>
      <c r="C19" s="701" t="s">
        <v>3928</v>
      </c>
      <c r="D19" s="1161"/>
    </row>
    <row r="20" spans="1:4">
      <c r="A20" s="700">
        <v>3096</v>
      </c>
      <c r="B20" s="695" t="s">
        <v>4802</v>
      </c>
      <c r="C20" s="701" t="s">
        <v>1806</v>
      </c>
      <c r="D20" s="1161">
        <v>100</v>
      </c>
    </row>
    <row r="21" spans="1:4">
      <c r="A21" s="700">
        <v>15319</v>
      </c>
      <c r="B21" s="695" t="s">
        <v>5126</v>
      </c>
      <c r="C21" s="701" t="s">
        <v>5127</v>
      </c>
      <c r="D21" s="1161"/>
    </row>
    <row r="22" spans="1:4">
      <c r="A22" s="700">
        <v>2663</v>
      </c>
      <c r="B22" s="695" t="s">
        <v>3288</v>
      </c>
      <c r="C22" s="701" t="s">
        <v>1804</v>
      </c>
      <c r="D22" s="1161"/>
    </row>
    <row r="23" spans="1:4">
      <c r="A23" s="700">
        <v>10428</v>
      </c>
      <c r="B23" s="695" t="s">
        <v>6955</v>
      </c>
      <c r="C23" s="701"/>
      <c r="D23" s="1161"/>
    </row>
    <row r="24" spans="1:4">
      <c r="A24" s="700">
        <v>3625</v>
      </c>
      <c r="B24" s="695" t="s">
        <v>3061</v>
      </c>
      <c r="C24" s="701" t="s">
        <v>1806</v>
      </c>
      <c r="D24" s="1161"/>
    </row>
    <row r="25" spans="1:4">
      <c r="A25" s="700">
        <v>3642</v>
      </c>
      <c r="B25" s="695" t="s">
        <v>3429</v>
      </c>
      <c r="C25" s="701"/>
      <c r="D25" s="1161"/>
    </row>
    <row r="26" spans="1:4">
      <c r="A26" s="700">
        <v>2945</v>
      </c>
      <c r="B26" s="695" t="s">
        <v>495</v>
      </c>
      <c r="C26" s="701" t="s">
        <v>1806</v>
      </c>
      <c r="D26" s="1161"/>
    </row>
    <row r="27" spans="1:4">
      <c r="A27" s="700">
        <v>2120</v>
      </c>
      <c r="B27" s="695" t="s">
        <v>1307</v>
      </c>
      <c r="C27" s="701" t="s">
        <v>1806</v>
      </c>
      <c r="D27" s="1161"/>
    </row>
    <row r="28" spans="1:4">
      <c r="A28" s="700">
        <v>3076</v>
      </c>
      <c r="B28" s="695" t="s">
        <v>2769</v>
      </c>
      <c r="C28" s="701" t="s">
        <v>1806</v>
      </c>
      <c r="D28" s="1161"/>
    </row>
    <row r="29" spans="1:4">
      <c r="A29" s="700">
        <v>3059</v>
      </c>
      <c r="B29" s="695" t="s">
        <v>5128</v>
      </c>
      <c r="C29" s="701" t="s">
        <v>1806</v>
      </c>
      <c r="D29" s="1161"/>
    </row>
    <row r="30" spans="1:4">
      <c r="A30" s="700">
        <v>2174</v>
      </c>
      <c r="B30" s="695" t="s">
        <v>6956</v>
      </c>
      <c r="C30" s="701"/>
      <c r="D30" s="1161"/>
    </row>
    <row r="31" spans="1:4">
      <c r="A31" s="700">
        <v>2708</v>
      </c>
      <c r="B31" s="695" t="s">
        <v>5129</v>
      </c>
      <c r="C31" s="701" t="s">
        <v>1804</v>
      </c>
      <c r="D31" s="1161"/>
    </row>
    <row r="32" spans="1:4">
      <c r="A32" s="700">
        <v>2974</v>
      </c>
      <c r="B32" s="695" t="s">
        <v>3908</v>
      </c>
      <c r="C32" s="701" t="s">
        <v>1806</v>
      </c>
      <c r="D32" s="1161"/>
    </row>
    <row r="33" spans="1:4">
      <c r="A33" s="700">
        <v>2272</v>
      </c>
      <c r="B33" s="695" t="s">
        <v>5130</v>
      </c>
      <c r="C33" s="701" t="s">
        <v>3928</v>
      </c>
      <c r="D33" s="1161"/>
    </row>
    <row r="34" spans="1:4">
      <c r="A34" s="700">
        <v>2171</v>
      </c>
      <c r="B34" s="695" t="s">
        <v>3063</v>
      </c>
      <c r="C34" s="701" t="s">
        <v>1806</v>
      </c>
      <c r="D34" s="1161"/>
    </row>
    <row r="35" spans="1:4">
      <c r="A35" s="700">
        <v>2986</v>
      </c>
      <c r="B35" s="695" t="s">
        <v>5131</v>
      </c>
      <c r="C35" s="701" t="s">
        <v>1806</v>
      </c>
      <c r="D35" s="1161"/>
    </row>
    <row r="36" spans="1:4">
      <c r="A36" s="700">
        <v>3296</v>
      </c>
      <c r="B36" s="695" t="s">
        <v>1391</v>
      </c>
      <c r="C36" s="701" t="s">
        <v>2969</v>
      </c>
      <c r="D36" s="1161"/>
    </row>
    <row r="37" spans="1:4">
      <c r="A37" s="700">
        <v>2218</v>
      </c>
      <c r="B37" s="695" t="s">
        <v>1392</v>
      </c>
      <c r="C37" s="701" t="s">
        <v>5366</v>
      </c>
      <c r="D37" s="1161"/>
    </row>
    <row r="38" spans="1:4">
      <c r="A38" s="700">
        <v>16496</v>
      </c>
      <c r="B38" s="695" t="s">
        <v>5132</v>
      </c>
      <c r="C38" s="701" t="s">
        <v>2441</v>
      </c>
      <c r="D38" s="1161"/>
    </row>
    <row r="39" spans="1:4">
      <c r="A39" s="700">
        <v>3353</v>
      </c>
      <c r="B39" s="695" t="s">
        <v>1548</v>
      </c>
      <c r="C39" s="701" t="s">
        <v>3929</v>
      </c>
      <c r="D39" s="1161"/>
    </row>
    <row r="40" spans="1:4">
      <c r="A40" s="700">
        <v>2929</v>
      </c>
      <c r="B40" s="695" t="s">
        <v>5632</v>
      </c>
      <c r="C40" s="701" t="s">
        <v>3933</v>
      </c>
      <c r="D40" s="1161">
        <v>18685</v>
      </c>
    </row>
    <row r="41" spans="1:4">
      <c r="A41" s="700">
        <v>11251</v>
      </c>
      <c r="B41" s="695" t="s">
        <v>6957</v>
      </c>
      <c r="C41" s="701"/>
      <c r="D41" s="1161"/>
    </row>
    <row r="42" spans="1:4">
      <c r="A42" s="700">
        <v>2456</v>
      </c>
      <c r="B42" s="695" t="s">
        <v>1549</v>
      </c>
      <c r="C42" s="701" t="s">
        <v>1806</v>
      </c>
      <c r="D42" s="1161"/>
    </row>
    <row r="43" spans="1:4">
      <c r="A43" s="700">
        <v>2689</v>
      </c>
      <c r="B43" s="695" t="s">
        <v>2342</v>
      </c>
      <c r="C43" s="701" t="s">
        <v>2433</v>
      </c>
      <c r="D43" s="1161"/>
    </row>
    <row r="44" spans="1:4">
      <c r="A44" s="700">
        <v>2124</v>
      </c>
      <c r="B44" s="695" t="s">
        <v>3062</v>
      </c>
      <c r="C44" s="701" t="s">
        <v>1806</v>
      </c>
      <c r="D44" s="1161"/>
    </row>
    <row r="45" spans="1:4">
      <c r="A45" s="700">
        <v>18543</v>
      </c>
      <c r="B45" s="695" t="s">
        <v>6958</v>
      </c>
      <c r="C45" s="701"/>
      <c r="D45" s="1161"/>
    </row>
    <row r="46" spans="1:4">
      <c r="A46" s="700">
        <v>2187</v>
      </c>
      <c r="B46" s="695" t="s">
        <v>2643</v>
      </c>
      <c r="C46" s="701" t="s">
        <v>1806</v>
      </c>
      <c r="D46" s="1161"/>
    </row>
    <row r="47" spans="1:4">
      <c r="A47" s="700">
        <v>13004</v>
      </c>
      <c r="B47" s="695" t="s">
        <v>2752</v>
      </c>
      <c r="C47" s="701"/>
      <c r="D47" s="1161"/>
    </row>
    <row r="48" spans="1:4">
      <c r="A48" s="700">
        <v>16484</v>
      </c>
      <c r="B48" s="695" t="s">
        <v>5133</v>
      </c>
      <c r="C48" s="701" t="s">
        <v>2441</v>
      </c>
      <c r="D48" s="1161"/>
    </row>
    <row r="49" spans="1:4">
      <c r="A49" s="700">
        <v>2583</v>
      </c>
      <c r="B49" s="695" t="s">
        <v>1547</v>
      </c>
      <c r="C49" s="701" t="s">
        <v>2441</v>
      </c>
      <c r="D49" s="1161"/>
    </row>
    <row r="50" spans="1:4">
      <c r="A50" s="700">
        <v>10625</v>
      </c>
      <c r="B50" s="695" t="s">
        <v>6440</v>
      </c>
      <c r="C50" s="701"/>
      <c r="D50" s="1161"/>
    </row>
    <row r="51" spans="1:4">
      <c r="A51" s="700">
        <v>17577</v>
      </c>
      <c r="B51" s="695" t="s">
        <v>342</v>
      </c>
      <c r="C51" s="701" t="s">
        <v>1804</v>
      </c>
      <c r="D51" s="1161"/>
    </row>
    <row r="52" spans="1:4">
      <c r="A52" s="700">
        <v>12591</v>
      </c>
      <c r="B52" s="695" t="s">
        <v>6442</v>
      </c>
      <c r="C52" s="701"/>
      <c r="D52" s="1161"/>
    </row>
    <row r="53" spans="1:4">
      <c r="A53" s="700">
        <v>2958</v>
      </c>
      <c r="B53" s="695" t="s">
        <v>2730</v>
      </c>
      <c r="C53" s="701" t="s">
        <v>1806</v>
      </c>
      <c r="D53" s="1161"/>
    </row>
    <row r="54" spans="1:4">
      <c r="A54" s="700">
        <v>3068</v>
      </c>
      <c r="B54" s="695" t="s">
        <v>5633</v>
      </c>
      <c r="C54" s="701" t="s">
        <v>1806</v>
      </c>
      <c r="D54" s="1161">
        <v>400</v>
      </c>
    </row>
    <row r="55" spans="1:4">
      <c r="A55" s="700">
        <v>2202</v>
      </c>
      <c r="B55" s="695" t="s">
        <v>5134</v>
      </c>
      <c r="C55" s="701" t="s">
        <v>1806</v>
      </c>
      <c r="D55" s="1161"/>
    </row>
    <row r="56" spans="1:4">
      <c r="A56" s="700">
        <v>3350</v>
      </c>
      <c r="B56" s="695" t="s">
        <v>2867</v>
      </c>
      <c r="C56" s="701" t="s">
        <v>1806</v>
      </c>
      <c r="D56" s="1161"/>
    </row>
    <row r="57" spans="1:4">
      <c r="A57" s="700">
        <v>2540</v>
      </c>
      <c r="B57" s="695" t="s">
        <v>1929</v>
      </c>
      <c r="C57" s="701"/>
      <c r="D57" s="1161"/>
    </row>
    <row r="58" spans="1:4">
      <c r="A58" s="700">
        <v>10693</v>
      </c>
      <c r="B58" s="695" t="s">
        <v>5135</v>
      </c>
      <c r="C58" s="701" t="s">
        <v>1806</v>
      </c>
      <c r="D58" s="1161"/>
    </row>
    <row r="59" spans="1:4">
      <c r="A59" s="700">
        <v>3559</v>
      </c>
      <c r="B59" s="695" t="s">
        <v>5136</v>
      </c>
      <c r="C59" s="701" t="s">
        <v>1804</v>
      </c>
      <c r="D59" s="1161"/>
    </row>
    <row r="60" spans="1:4">
      <c r="A60" s="700">
        <v>2072</v>
      </c>
      <c r="B60" s="695" t="s">
        <v>4586</v>
      </c>
      <c r="C60" s="701" t="s">
        <v>1806</v>
      </c>
      <c r="D60" s="1161"/>
    </row>
    <row r="61" spans="1:4">
      <c r="A61" s="700">
        <v>2263</v>
      </c>
      <c r="B61" s="695" t="s">
        <v>895</v>
      </c>
      <c r="C61" s="701"/>
      <c r="D61" s="1161"/>
    </row>
    <row r="62" spans="1:4">
      <c r="A62" s="700">
        <v>2965</v>
      </c>
      <c r="B62" s="695" t="s">
        <v>1308</v>
      </c>
      <c r="C62" s="701" t="s">
        <v>5365</v>
      </c>
      <c r="D62" s="1161"/>
    </row>
    <row r="63" spans="1:4">
      <c r="A63" s="700">
        <v>17120</v>
      </c>
      <c r="B63" s="695" t="s">
        <v>6959</v>
      </c>
      <c r="C63" s="701"/>
      <c r="D63" s="1161"/>
    </row>
    <row r="64" spans="1:4">
      <c r="A64" s="700">
        <v>2190</v>
      </c>
      <c r="B64" s="695" t="s">
        <v>5137</v>
      </c>
      <c r="C64" s="701" t="s">
        <v>1806</v>
      </c>
      <c r="D64" s="1161"/>
    </row>
    <row r="65" spans="1:4">
      <c r="A65" s="700">
        <v>2970</v>
      </c>
      <c r="B65" s="695" t="s">
        <v>3430</v>
      </c>
      <c r="C65" s="701" t="s">
        <v>5365</v>
      </c>
      <c r="D65" s="1161"/>
    </row>
    <row r="66" spans="1:4">
      <c r="A66" s="700">
        <v>2186</v>
      </c>
      <c r="B66" s="695" t="s">
        <v>1784</v>
      </c>
      <c r="C66" s="701" t="s">
        <v>1806</v>
      </c>
      <c r="D66" s="1161"/>
    </row>
    <row r="67" spans="1:4">
      <c r="A67" s="700">
        <v>6816</v>
      </c>
      <c r="B67" s="695" t="s">
        <v>6960</v>
      </c>
      <c r="C67" s="701"/>
      <c r="D67" s="1161"/>
    </row>
    <row r="68" spans="1:4">
      <c r="A68" s="700">
        <v>3079</v>
      </c>
      <c r="B68" s="695" t="s">
        <v>4931</v>
      </c>
      <c r="C68" s="701" t="s">
        <v>2438</v>
      </c>
      <c r="D68" s="1161"/>
    </row>
    <row r="69" spans="1:4">
      <c r="A69" s="700">
        <v>2416</v>
      </c>
      <c r="B69" s="695" t="s">
        <v>5138</v>
      </c>
      <c r="C69" s="701" t="s">
        <v>1806</v>
      </c>
      <c r="D69" s="1161"/>
    </row>
    <row r="70" spans="1:4">
      <c r="A70" s="700">
        <v>2414</v>
      </c>
      <c r="B70" s="695" t="s">
        <v>5139</v>
      </c>
      <c r="C70" s="701" t="s">
        <v>5140</v>
      </c>
      <c r="D70" s="1161"/>
    </row>
    <row r="71" spans="1:4">
      <c r="A71" s="700">
        <v>3202</v>
      </c>
      <c r="B71" s="695" t="s">
        <v>4470</v>
      </c>
      <c r="C71" s="701" t="s">
        <v>1806</v>
      </c>
      <c r="D71" s="1161"/>
    </row>
    <row r="72" spans="1:4">
      <c r="A72" s="700">
        <v>3492</v>
      </c>
      <c r="B72" s="695" t="s">
        <v>5055</v>
      </c>
      <c r="C72" s="701" t="s">
        <v>1806</v>
      </c>
      <c r="D72" s="1161"/>
    </row>
    <row r="73" spans="1:4">
      <c r="A73" s="700">
        <v>2664</v>
      </c>
      <c r="B73" s="695" t="s">
        <v>6961</v>
      </c>
      <c r="C73" s="701"/>
      <c r="D73" s="1161"/>
    </row>
    <row r="74" spans="1:4">
      <c r="A74" s="700">
        <v>3173</v>
      </c>
      <c r="B74" s="695" t="s">
        <v>1336</v>
      </c>
      <c r="C74" s="701" t="s">
        <v>1806</v>
      </c>
      <c r="D74" s="1161"/>
    </row>
    <row r="75" spans="1:4">
      <c r="A75" s="700">
        <v>2155</v>
      </c>
      <c r="B75" s="695" t="s">
        <v>4305</v>
      </c>
      <c r="C75" s="701" t="s">
        <v>1806</v>
      </c>
      <c r="D75" s="1161"/>
    </row>
    <row r="76" spans="1:4">
      <c r="A76" s="700">
        <v>3503</v>
      </c>
      <c r="B76" s="695" t="s">
        <v>5018</v>
      </c>
      <c r="C76" s="701" t="s">
        <v>1804</v>
      </c>
      <c r="D76" s="1161"/>
    </row>
    <row r="77" spans="1:4">
      <c r="A77" s="700">
        <v>2632</v>
      </c>
      <c r="B77" s="695" t="s">
        <v>4803</v>
      </c>
      <c r="C77" s="701" t="s">
        <v>2430</v>
      </c>
      <c r="D77" s="1161"/>
    </row>
    <row r="78" spans="1:4">
      <c r="A78" s="700">
        <v>2688</v>
      </c>
      <c r="B78" s="695" t="s">
        <v>3543</v>
      </c>
      <c r="C78" s="701" t="s">
        <v>2433</v>
      </c>
      <c r="D78" s="1161">
        <v>2228</v>
      </c>
    </row>
    <row r="79" spans="1:4">
      <c r="A79" s="700">
        <v>2585</v>
      </c>
      <c r="B79" s="695" t="s">
        <v>1644</v>
      </c>
      <c r="C79" s="701" t="s">
        <v>2441</v>
      </c>
      <c r="D79" s="1161"/>
    </row>
    <row r="80" spans="1:4">
      <c r="A80" s="700">
        <v>2629</v>
      </c>
      <c r="B80" s="695" t="s">
        <v>24</v>
      </c>
      <c r="C80" s="701" t="s">
        <v>2430</v>
      </c>
      <c r="D80" s="1161"/>
    </row>
    <row r="81" spans="1:4">
      <c r="A81" s="700">
        <v>2409</v>
      </c>
      <c r="B81" s="695" t="s">
        <v>682</v>
      </c>
      <c r="C81" s="701" t="s">
        <v>1806</v>
      </c>
      <c r="D81" s="1161"/>
    </row>
    <row r="82" spans="1:4">
      <c r="A82" s="700">
        <v>6824</v>
      </c>
      <c r="B82" s="695" t="s">
        <v>6962</v>
      </c>
      <c r="C82" s="701"/>
      <c r="D82" s="1161"/>
    </row>
    <row r="83" spans="1:4">
      <c r="A83" s="700">
        <v>3102</v>
      </c>
      <c r="B83" s="695" t="s">
        <v>3987</v>
      </c>
      <c r="C83" s="701" t="s">
        <v>1806</v>
      </c>
      <c r="D83" s="1161"/>
    </row>
    <row r="84" spans="1:4">
      <c r="A84" s="700">
        <v>13119</v>
      </c>
      <c r="B84" s="695" t="s">
        <v>5141</v>
      </c>
      <c r="C84" s="701" t="s">
        <v>1806</v>
      </c>
      <c r="D84" s="1161"/>
    </row>
    <row r="85" spans="1:4">
      <c r="A85" s="700">
        <v>15945</v>
      </c>
      <c r="B85" s="695" t="s">
        <v>3608</v>
      </c>
      <c r="C85" s="701" t="s">
        <v>1806</v>
      </c>
      <c r="D85" s="1161"/>
    </row>
    <row r="86" spans="1:4">
      <c r="A86" s="700">
        <v>18538</v>
      </c>
      <c r="B86" s="695" t="s">
        <v>5142</v>
      </c>
      <c r="C86" s="701" t="s">
        <v>1808</v>
      </c>
      <c r="D86" s="1161"/>
    </row>
    <row r="87" spans="1:4">
      <c r="A87" s="700">
        <v>2562</v>
      </c>
      <c r="B87" s="695" t="s">
        <v>743</v>
      </c>
      <c r="C87" s="701" t="s">
        <v>1806</v>
      </c>
      <c r="D87" s="1161"/>
    </row>
    <row r="88" spans="1:4">
      <c r="A88" s="700">
        <v>2576</v>
      </c>
      <c r="B88" s="695" t="s">
        <v>5056</v>
      </c>
      <c r="C88" s="701" t="s">
        <v>2441</v>
      </c>
      <c r="D88" s="1161"/>
    </row>
    <row r="89" spans="1:4">
      <c r="A89" s="700">
        <v>13817</v>
      </c>
      <c r="B89" s="695" t="s">
        <v>6963</v>
      </c>
      <c r="C89" s="701"/>
      <c r="D89" s="1161"/>
    </row>
    <row r="90" spans="1:4">
      <c r="A90" s="700">
        <v>2935</v>
      </c>
      <c r="B90" s="695" t="s">
        <v>4158</v>
      </c>
      <c r="C90" s="701" t="s">
        <v>2442</v>
      </c>
      <c r="D90" s="1161"/>
    </row>
    <row r="91" spans="1:4">
      <c r="A91" s="700">
        <v>3149</v>
      </c>
      <c r="B91" s="695" t="s">
        <v>4274</v>
      </c>
      <c r="C91" s="701"/>
      <c r="D91" s="1161"/>
    </row>
    <row r="92" spans="1:4">
      <c r="A92" s="700">
        <v>3628</v>
      </c>
      <c r="B92" s="695" t="s">
        <v>1514</v>
      </c>
      <c r="C92" s="701"/>
      <c r="D92" s="1161"/>
    </row>
    <row r="93" spans="1:4">
      <c r="A93" s="700">
        <v>2588</v>
      </c>
      <c r="B93" s="695" t="s">
        <v>5144</v>
      </c>
      <c r="C93" s="701" t="s">
        <v>2441</v>
      </c>
      <c r="D93" s="1161"/>
    </row>
    <row r="94" spans="1:4">
      <c r="A94" s="700">
        <v>18918</v>
      </c>
      <c r="B94" s="695" t="s">
        <v>749</v>
      </c>
      <c r="C94" s="701" t="s">
        <v>1806</v>
      </c>
      <c r="D94" s="1161"/>
    </row>
    <row r="95" spans="1:4">
      <c r="A95" s="700">
        <v>6819</v>
      </c>
      <c r="B95" s="695" t="s">
        <v>6964</v>
      </c>
      <c r="C95" s="701"/>
      <c r="D95" s="1161"/>
    </row>
    <row r="96" spans="1:4">
      <c r="A96" s="700">
        <v>10970</v>
      </c>
      <c r="B96" s="695" t="s">
        <v>6965</v>
      </c>
      <c r="C96" s="701"/>
      <c r="D96" s="1161"/>
    </row>
    <row r="97" spans="1:4">
      <c r="A97" s="700">
        <v>6818</v>
      </c>
      <c r="B97" s="695" t="s">
        <v>6966</v>
      </c>
      <c r="C97" s="701"/>
      <c r="D97" s="1161"/>
    </row>
    <row r="98" spans="1:4">
      <c r="A98" s="700">
        <v>10977</v>
      </c>
      <c r="B98" s="695" t="s">
        <v>6499</v>
      </c>
      <c r="C98" s="701"/>
      <c r="D98" s="1161"/>
    </row>
    <row r="99" spans="1:4">
      <c r="A99" s="700">
        <v>6810</v>
      </c>
      <c r="B99" s="695" t="s">
        <v>6967</v>
      </c>
      <c r="C99" s="701"/>
      <c r="D99" s="1161"/>
    </row>
    <row r="100" spans="1:4">
      <c r="A100" s="700">
        <v>2954</v>
      </c>
      <c r="B100" s="695" t="s">
        <v>2640</v>
      </c>
      <c r="C100" s="701" t="s">
        <v>1806</v>
      </c>
      <c r="D100" s="1161"/>
    </row>
    <row r="101" spans="1:4">
      <c r="A101" s="700">
        <v>3012</v>
      </c>
      <c r="B101" s="695" t="s">
        <v>2669</v>
      </c>
      <c r="C101" s="701"/>
      <c r="D101" s="1161"/>
    </row>
    <row r="102" spans="1:4">
      <c r="A102" s="700">
        <v>2701</v>
      </c>
      <c r="B102" s="695" t="s">
        <v>1665</v>
      </c>
      <c r="C102" s="701" t="s">
        <v>1804</v>
      </c>
      <c r="D102" s="1161">
        <v>14</v>
      </c>
    </row>
    <row r="103" spans="1:4">
      <c r="A103" s="700">
        <v>2149</v>
      </c>
      <c r="B103" s="695" t="s">
        <v>2381</v>
      </c>
      <c r="C103" s="701" t="s">
        <v>1806</v>
      </c>
      <c r="D103" s="1161"/>
    </row>
    <row r="104" spans="1:4">
      <c r="A104" s="700">
        <v>2631</v>
      </c>
      <c r="B104" s="695" t="s">
        <v>6968</v>
      </c>
      <c r="C104" s="701"/>
      <c r="D104" s="1161"/>
    </row>
    <row r="105" spans="1:4">
      <c r="A105" s="700">
        <v>2587</v>
      </c>
      <c r="B105" s="695" t="s">
        <v>4495</v>
      </c>
      <c r="C105" s="701" t="s">
        <v>2441</v>
      </c>
      <c r="D105" s="1161"/>
    </row>
    <row r="106" spans="1:4">
      <c r="A106" s="700">
        <v>2700</v>
      </c>
      <c r="B106" s="695" t="s">
        <v>4169</v>
      </c>
      <c r="C106" s="701" t="s">
        <v>1806</v>
      </c>
      <c r="D106" s="1161"/>
    </row>
    <row r="107" spans="1:4">
      <c r="A107" s="700">
        <v>2976</v>
      </c>
      <c r="B107" s="695" t="s">
        <v>1309</v>
      </c>
      <c r="C107" s="701" t="s">
        <v>5127</v>
      </c>
      <c r="D107" s="1161"/>
    </row>
    <row r="108" spans="1:4">
      <c r="A108" s="700">
        <v>2164</v>
      </c>
      <c r="B108" s="695" t="s">
        <v>4171</v>
      </c>
      <c r="C108" s="701" t="s">
        <v>1806</v>
      </c>
      <c r="D108" s="1161"/>
    </row>
    <row r="109" spans="1:4">
      <c r="A109" s="700">
        <v>2774</v>
      </c>
      <c r="B109" s="695" t="s">
        <v>6186</v>
      </c>
      <c r="C109" s="701"/>
      <c r="D109" s="1161"/>
    </row>
    <row r="110" spans="1:4">
      <c r="A110" s="700">
        <v>11275</v>
      </c>
      <c r="B110" s="695" t="s">
        <v>6969</v>
      </c>
      <c r="C110" s="701"/>
      <c r="D110" s="1161"/>
    </row>
    <row r="111" spans="1:4">
      <c r="A111" s="700">
        <v>2188</v>
      </c>
      <c r="B111" s="695" t="s">
        <v>2383</v>
      </c>
      <c r="C111" s="701" t="s">
        <v>1806</v>
      </c>
      <c r="D111" s="1161">
        <v>152920</v>
      </c>
    </row>
    <row r="112" spans="1:4">
      <c r="A112" s="700">
        <v>2950</v>
      </c>
      <c r="B112" s="695" t="s">
        <v>1810</v>
      </c>
      <c r="C112" s="701" t="s">
        <v>1806</v>
      </c>
      <c r="D112" s="1161"/>
    </row>
    <row r="113" spans="1:4">
      <c r="A113" s="700">
        <v>2119</v>
      </c>
      <c r="B113" s="695" t="s">
        <v>3424</v>
      </c>
      <c r="C113" s="701" t="s">
        <v>1806</v>
      </c>
      <c r="D113" s="1161"/>
    </row>
    <row r="114" spans="1:4">
      <c r="A114" s="700">
        <v>3509</v>
      </c>
      <c r="B114" s="695" t="s">
        <v>3022</v>
      </c>
      <c r="C114" s="701" t="s">
        <v>2435</v>
      </c>
      <c r="D114" s="1161"/>
    </row>
    <row r="115" spans="1:4">
      <c r="A115" s="700">
        <v>3527</v>
      </c>
      <c r="B115" s="695" t="s">
        <v>3023</v>
      </c>
      <c r="C115" s="701" t="s">
        <v>2433</v>
      </c>
      <c r="D115" s="1161"/>
    </row>
    <row r="116" spans="1:4">
      <c r="A116" s="700">
        <v>18993</v>
      </c>
      <c r="B116" s="695" t="s">
        <v>429</v>
      </c>
      <c r="C116" s="701" t="s">
        <v>5127</v>
      </c>
      <c r="D116" s="1161"/>
    </row>
    <row r="117" spans="1:4">
      <c r="A117" s="700">
        <v>3466</v>
      </c>
      <c r="B117" s="695" t="s">
        <v>1247</v>
      </c>
      <c r="C117" s="701" t="s">
        <v>2430</v>
      </c>
      <c r="D117" s="1161"/>
    </row>
    <row r="118" spans="1:4">
      <c r="A118" s="700">
        <v>18997</v>
      </c>
      <c r="B118" s="695" t="s">
        <v>430</v>
      </c>
      <c r="C118" s="701" t="s">
        <v>1806</v>
      </c>
      <c r="D118" s="1161"/>
    </row>
    <row r="119" spans="1:4">
      <c r="A119" s="700">
        <v>2749</v>
      </c>
      <c r="B119" s="695" t="s">
        <v>6922</v>
      </c>
      <c r="C119" s="701"/>
      <c r="D119" s="1161"/>
    </row>
    <row r="120" spans="1:4">
      <c r="A120" s="700">
        <v>2933</v>
      </c>
      <c r="B120" s="695" t="s">
        <v>6755</v>
      </c>
      <c r="C120" s="701"/>
      <c r="D120" s="1161"/>
    </row>
    <row r="121" spans="1:4">
      <c r="A121" s="700">
        <v>3533</v>
      </c>
      <c r="B121" s="695" t="s">
        <v>4775</v>
      </c>
      <c r="C121" s="701" t="s">
        <v>2433</v>
      </c>
      <c r="D121" s="1161"/>
    </row>
    <row r="122" spans="1:4">
      <c r="A122" s="700">
        <v>18446</v>
      </c>
      <c r="B122" s="695" t="s">
        <v>6534</v>
      </c>
      <c r="C122" s="701"/>
      <c r="D122" s="1161"/>
    </row>
    <row r="123" spans="1:4">
      <c r="A123" s="700">
        <v>2690</v>
      </c>
      <c r="B123" s="695" t="s">
        <v>4776</v>
      </c>
      <c r="C123" s="701" t="s">
        <v>2433</v>
      </c>
      <c r="D123" s="1161"/>
    </row>
    <row r="124" spans="1:4">
      <c r="A124" s="700">
        <v>13179</v>
      </c>
      <c r="B124" s="695" t="s">
        <v>3610</v>
      </c>
      <c r="C124" s="701" t="s">
        <v>1806</v>
      </c>
      <c r="D124" s="1161"/>
    </row>
    <row r="125" spans="1:4">
      <c r="A125" s="700">
        <v>2961</v>
      </c>
      <c r="B125" s="695" t="s">
        <v>952</v>
      </c>
      <c r="C125" s="701" t="s">
        <v>1806</v>
      </c>
      <c r="D125" s="1161"/>
    </row>
    <row r="126" spans="1:4">
      <c r="A126" s="700">
        <v>2931</v>
      </c>
      <c r="B126" s="695" t="s">
        <v>6752</v>
      </c>
      <c r="C126" s="701"/>
      <c r="D126" s="1161"/>
    </row>
    <row r="127" spans="1:4">
      <c r="A127" s="700">
        <v>6809</v>
      </c>
      <c r="B127" s="695" t="s">
        <v>6970</v>
      </c>
      <c r="C127" s="701"/>
      <c r="D127" s="1161"/>
    </row>
    <row r="128" spans="1:4">
      <c r="A128" s="700">
        <v>2415</v>
      </c>
      <c r="B128" s="695" t="s">
        <v>431</v>
      </c>
      <c r="C128" s="701" t="s">
        <v>1806</v>
      </c>
      <c r="D128" s="1161"/>
    </row>
    <row r="129" spans="1:4">
      <c r="A129" s="700">
        <v>18710</v>
      </c>
      <c r="B129" s="695" t="s">
        <v>2943</v>
      </c>
      <c r="C129" s="701" t="s">
        <v>1806</v>
      </c>
      <c r="D129" s="1161"/>
    </row>
    <row r="130" spans="1:4">
      <c r="A130" s="700">
        <v>2725</v>
      </c>
      <c r="B130" s="695" t="s">
        <v>3837</v>
      </c>
      <c r="C130" s="701" t="s">
        <v>1804</v>
      </c>
      <c r="D130" s="1161"/>
    </row>
    <row r="131" spans="1:4">
      <c r="A131" s="700">
        <v>14613</v>
      </c>
      <c r="B131" s="695" t="s">
        <v>432</v>
      </c>
      <c r="C131" s="701" t="s">
        <v>1806</v>
      </c>
      <c r="D131" s="1161"/>
    </row>
    <row r="132" spans="1:4">
      <c r="A132" s="700">
        <v>3315</v>
      </c>
      <c r="B132" s="695" t="s">
        <v>3905</v>
      </c>
      <c r="C132" s="701" t="s">
        <v>1806</v>
      </c>
      <c r="D132" s="1161"/>
    </row>
    <row r="133" spans="1:4">
      <c r="A133" s="700">
        <v>11364</v>
      </c>
      <c r="B133" s="695" t="s">
        <v>6971</v>
      </c>
      <c r="C133" s="701"/>
      <c r="D133" s="1161"/>
    </row>
    <row r="134" spans="1:4">
      <c r="A134" s="700">
        <v>2304</v>
      </c>
      <c r="B134" s="695" t="s">
        <v>5019</v>
      </c>
      <c r="C134" s="701" t="s">
        <v>1806</v>
      </c>
      <c r="D134" s="1161"/>
    </row>
    <row r="135" spans="1:4">
      <c r="A135" s="700">
        <v>2693</v>
      </c>
      <c r="B135" s="695" t="s">
        <v>4932</v>
      </c>
      <c r="C135" s="701" t="s">
        <v>1804</v>
      </c>
      <c r="D135" s="1161">
        <v>0</v>
      </c>
    </row>
    <row r="136" spans="1:4">
      <c r="A136" s="700">
        <v>2118</v>
      </c>
      <c r="B136" s="695" t="s">
        <v>6753</v>
      </c>
      <c r="C136" s="701"/>
      <c r="D136" s="1161"/>
    </row>
    <row r="137" spans="1:4">
      <c r="A137" s="700">
        <v>2957</v>
      </c>
      <c r="B137" s="695" t="s">
        <v>2893</v>
      </c>
      <c r="C137" s="701" t="s">
        <v>5365</v>
      </c>
      <c r="D137" s="1161"/>
    </row>
    <row r="138" spans="1:4">
      <c r="A138" s="700">
        <v>2711</v>
      </c>
      <c r="B138" s="695" t="s">
        <v>744</v>
      </c>
      <c r="C138" s="701" t="s">
        <v>5368</v>
      </c>
      <c r="D138" s="1161"/>
    </row>
    <row r="139" spans="1:4">
      <c r="A139" s="700">
        <v>3182</v>
      </c>
      <c r="B139" s="695" t="s">
        <v>2823</v>
      </c>
      <c r="C139" s="701" t="s">
        <v>1806</v>
      </c>
      <c r="D139" s="1161"/>
    </row>
    <row r="140" spans="1:4">
      <c r="A140" s="700">
        <v>3535</v>
      </c>
      <c r="B140" s="695" t="s">
        <v>3289</v>
      </c>
      <c r="C140" s="701" t="s">
        <v>1804</v>
      </c>
      <c r="D140" s="1161"/>
    </row>
    <row r="141" spans="1:4">
      <c r="A141" s="700">
        <v>11379</v>
      </c>
      <c r="B141" s="695" t="s">
        <v>3455</v>
      </c>
      <c r="C141" s="701"/>
      <c r="D141" s="1161"/>
    </row>
    <row r="142" spans="1:4">
      <c r="A142" s="700">
        <v>2368</v>
      </c>
      <c r="B142" s="695" t="s">
        <v>1545</v>
      </c>
      <c r="C142" s="701" t="s">
        <v>1806</v>
      </c>
      <c r="D142" s="1161"/>
    </row>
    <row r="143" spans="1:4">
      <c r="A143" s="700">
        <v>2607</v>
      </c>
      <c r="B143" s="695" t="s">
        <v>1337</v>
      </c>
      <c r="C143" s="701" t="s">
        <v>2441</v>
      </c>
      <c r="D143" s="1161"/>
    </row>
    <row r="144" spans="1:4">
      <c r="A144" s="700">
        <v>2274</v>
      </c>
      <c r="B144" s="695" t="s">
        <v>3287</v>
      </c>
      <c r="C144" s="701" t="s">
        <v>1806</v>
      </c>
      <c r="D144" s="1161"/>
    </row>
    <row r="145" spans="1:4">
      <c r="A145" s="700">
        <v>3367</v>
      </c>
      <c r="B145" s="695" t="s">
        <v>4496</v>
      </c>
      <c r="C145" s="701" t="s">
        <v>1809</v>
      </c>
      <c r="D145" s="1161"/>
    </row>
    <row r="146" spans="1:4">
      <c r="A146" s="700">
        <v>3177</v>
      </c>
      <c r="B146" s="695" t="s">
        <v>387</v>
      </c>
      <c r="C146" s="701" t="s">
        <v>1806</v>
      </c>
      <c r="D146" s="1161"/>
    </row>
    <row r="147" spans="1:4">
      <c r="A147" s="700">
        <v>17223</v>
      </c>
      <c r="B147" s="695" t="s">
        <v>433</v>
      </c>
      <c r="C147" s="701" t="s">
        <v>1806</v>
      </c>
      <c r="D147" s="1161"/>
    </row>
    <row r="148" spans="1:4">
      <c r="A148" s="700">
        <v>2675</v>
      </c>
      <c r="B148" s="695" t="s">
        <v>434</v>
      </c>
      <c r="C148" s="701" t="s">
        <v>2435</v>
      </c>
      <c r="D148" s="1161"/>
    </row>
    <row r="149" spans="1:4">
      <c r="A149" s="700">
        <v>3112</v>
      </c>
      <c r="B149" s="695" t="s">
        <v>628</v>
      </c>
      <c r="C149" s="701" t="s">
        <v>1806</v>
      </c>
      <c r="D149" s="1161"/>
    </row>
    <row r="150" spans="1:4">
      <c r="A150" s="700">
        <v>3201</v>
      </c>
      <c r="B150" s="695" t="s">
        <v>435</v>
      </c>
      <c r="C150" s="701" t="s">
        <v>436</v>
      </c>
      <c r="D150" s="1161"/>
    </row>
    <row r="151" spans="1:4">
      <c r="A151" s="700">
        <v>3148</v>
      </c>
      <c r="B151" s="695" t="s">
        <v>25</v>
      </c>
      <c r="C151" s="701" t="s">
        <v>1806</v>
      </c>
      <c r="D151" s="1161"/>
    </row>
    <row r="152" spans="1:4">
      <c r="A152" s="700">
        <v>17470</v>
      </c>
      <c r="B152" s="695" t="s">
        <v>437</v>
      </c>
      <c r="C152" s="701" t="s">
        <v>1804</v>
      </c>
      <c r="D152" s="1161"/>
    </row>
    <row r="153" spans="1:4">
      <c r="A153" s="700">
        <v>2156</v>
      </c>
      <c r="B153" s="695" t="s">
        <v>2894</v>
      </c>
      <c r="C153" s="701" t="s">
        <v>5365</v>
      </c>
      <c r="D153" s="1161"/>
    </row>
    <row r="154" spans="1:4">
      <c r="A154" s="700">
        <v>3513</v>
      </c>
      <c r="B154" s="695" t="s">
        <v>723</v>
      </c>
      <c r="C154" s="701" t="s">
        <v>2435</v>
      </c>
      <c r="D154" s="1161">
        <v>1273</v>
      </c>
    </row>
    <row r="155" spans="1:4">
      <c r="A155" s="700">
        <v>2955</v>
      </c>
      <c r="B155" s="695" t="s">
        <v>2674</v>
      </c>
      <c r="C155" s="701" t="s">
        <v>1806</v>
      </c>
      <c r="D155" s="1161">
        <v>461</v>
      </c>
    </row>
    <row r="156" spans="1:4">
      <c r="A156" s="700">
        <v>2205</v>
      </c>
      <c r="B156" s="695" t="s">
        <v>26</v>
      </c>
      <c r="C156" s="701" t="s">
        <v>3928</v>
      </c>
      <c r="D156" s="1161"/>
    </row>
    <row r="157" spans="1:4">
      <c r="A157" s="700">
        <v>11264</v>
      </c>
      <c r="B157" s="695" t="s">
        <v>3456</v>
      </c>
      <c r="C157" s="701"/>
      <c r="D157" s="1161"/>
    </row>
    <row r="158" spans="1:4">
      <c r="A158" s="700">
        <v>3455</v>
      </c>
      <c r="B158" s="695" t="s">
        <v>438</v>
      </c>
      <c r="C158" s="701" t="s">
        <v>1805</v>
      </c>
      <c r="D158" s="1161"/>
    </row>
    <row r="159" spans="1:4">
      <c r="A159" s="700">
        <v>2877</v>
      </c>
      <c r="B159" s="695" t="s">
        <v>4587</v>
      </c>
      <c r="C159" s="701" t="s">
        <v>1806</v>
      </c>
      <c r="D159" s="1161"/>
    </row>
    <row r="160" spans="1:4">
      <c r="A160" s="700">
        <v>17293</v>
      </c>
      <c r="B160" s="695" t="s">
        <v>6972</v>
      </c>
      <c r="C160" s="701"/>
      <c r="D160" s="1161"/>
    </row>
    <row r="161" spans="1:4">
      <c r="A161" s="700">
        <v>3548</v>
      </c>
      <c r="B161" s="695" t="s">
        <v>3616</v>
      </c>
      <c r="C161" s="701" t="s">
        <v>1804</v>
      </c>
      <c r="D161" s="1161"/>
    </row>
    <row r="162" spans="1:4">
      <c r="A162" s="700">
        <v>2148</v>
      </c>
      <c r="B162" s="695" t="s">
        <v>439</v>
      </c>
      <c r="C162" s="701" t="s">
        <v>1806</v>
      </c>
      <c r="D162" s="1161"/>
    </row>
    <row r="163" spans="1:4">
      <c r="A163" s="700">
        <v>15055</v>
      </c>
      <c r="B163" s="695" t="s">
        <v>6566</v>
      </c>
      <c r="C163" s="701"/>
      <c r="D163" s="1161"/>
    </row>
    <row r="164" spans="1:4">
      <c r="A164" s="700">
        <v>2908</v>
      </c>
      <c r="B164" s="695" t="s">
        <v>1078</v>
      </c>
      <c r="C164" s="701" t="s">
        <v>1806</v>
      </c>
      <c r="D164" s="1161"/>
    </row>
    <row r="165" spans="1:4">
      <c r="A165" s="700">
        <v>2355</v>
      </c>
      <c r="B165" s="695" t="s">
        <v>440</v>
      </c>
      <c r="C165" s="701" t="s">
        <v>1806</v>
      </c>
      <c r="D165" s="1161"/>
    </row>
    <row r="166" spans="1:4">
      <c r="A166" s="700">
        <v>2201</v>
      </c>
      <c r="B166" s="695" t="s">
        <v>441</v>
      </c>
      <c r="C166" s="701" t="s">
        <v>1806</v>
      </c>
      <c r="D166" s="1161"/>
    </row>
    <row r="167" spans="1:4">
      <c r="A167" s="700">
        <v>2787</v>
      </c>
      <c r="B167" s="695" t="s">
        <v>6973</v>
      </c>
      <c r="C167" s="701"/>
      <c r="D167" s="1161"/>
    </row>
    <row r="168" spans="1:4">
      <c r="A168" s="700">
        <v>3406</v>
      </c>
      <c r="B168" s="695" t="s">
        <v>442</v>
      </c>
      <c r="C168" s="701" t="s">
        <v>2441</v>
      </c>
      <c r="D168" s="1161"/>
    </row>
    <row r="169" spans="1:4">
      <c r="A169" s="700">
        <v>19045</v>
      </c>
      <c r="B169" s="695" t="s">
        <v>443</v>
      </c>
      <c r="C169" s="701" t="s">
        <v>1806</v>
      </c>
      <c r="D169" s="1161"/>
    </row>
    <row r="170" spans="1:4">
      <c r="A170" s="700">
        <v>2593</v>
      </c>
      <c r="B170" s="695" t="s">
        <v>444</v>
      </c>
      <c r="C170" s="701" t="s">
        <v>2441</v>
      </c>
      <c r="D170" s="1161"/>
    </row>
    <row r="171" spans="1:4">
      <c r="A171" s="700">
        <v>2783</v>
      </c>
      <c r="B171" s="695" t="s">
        <v>445</v>
      </c>
      <c r="C171" s="701" t="s">
        <v>1808</v>
      </c>
      <c r="D171" s="1161"/>
    </row>
    <row r="172" spans="1:4">
      <c r="A172" s="700">
        <v>17471</v>
      </c>
      <c r="B172" s="695" t="s">
        <v>446</v>
      </c>
      <c r="C172" s="701" t="s">
        <v>1804</v>
      </c>
      <c r="D172" s="1161"/>
    </row>
    <row r="173" spans="1:4">
      <c r="A173" s="700">
        <v>2784</v>
      </c>
      <c r="B173" s="695" t="s">
        <v>6188</v>
      </c>
      <c r="C173" s="701"/>
      <c r="D173" s="1161"/>
    </row>
    <row r="174" spans="1:4">
      <c r="A174" s="700">
        <v>3441</v>
      </c>
      <c r="B174" s="695" t="s">
        <v>5406</v>
      </c>
      <c r="C174" s="701" t="s">
        <v>1805</v>
      </c>
      <c r="D174" s="1161"/>
    </row>
    <row r="175" spans="1:4">
      <c r="A175" s="700">
        <v>2203</v>
      </c>
      <c r="B175" s="695" t="s">
        <v>2675</v>
      </c>
      <c r="C175" s="701" t="s">
        <v>3928</v>
      </c>
      <c r="D175" s="1161"/>
    </row>
    <row r="176" spans="1:4">
      <c r="A176" s="700">
        <v>3510</v>
      </c>
      <c r="B176" s="695" t="s">
        <v>2824</v>
      </c>
      <c r="C176" s="701" t="s">
        <v>2435</v>
      </c>
      <c r="D176" s="1161">
        <v>4</v>
      </c>
    </row>
    <row r="177" spans="1:4">
      <c r="A177" s="700">
        <v>2550</v>
      </c>
      <c r="B177" s="695" t="s">
        <v>3285</v>
      </c>
      <c r="C177" s="701" t="s">
        <v>1807</v>
      </c>
      <c r="D177" s="1161"/>
    </row>
    <row r="178" spans="1:4">
      <c r="A178" s="700">
        <v>10093</v>
      </c>
      <c r="B178" s="695" t="s">
        <v>6974</v>
      </c>
      <c r="C178" s="701"/>
      <c r="D178" s="1161"/>
    </row>
    <row r="179" spans="1:4">
      <c r="A179" s="700">
        <v>2298</v>
      </c>
      <c r="B179" s="695" t="s">
        <v>4159</v>
      </c>
      <c r="C179" s="701" t="s">
        <v>1806</v>
      </c>
      <c r="D179" s="1161"/>
    </row>
    <row r="180" spans="1:4">
      <c r="A180" s="700">
        <v>2291</v>
      </c>
      <c r="B180" s="695" t="s">
        <v>3840</v>
      </c>
      <c r="C180" s="701" t="s">
        <v>2438</v>
      </c>
      <c r="D180" s="1161"/>
    </row>
    <row r="181" spans="1:4">
      <c r="A181" s="700">
        <v>2940</v>
      </c>
      <c r="B181" s="695" t="s">
        <v>2642</v>
      </c>
      <c r="C181" s="701" t="s">
        <v>1806</v>
      </c>
      <c r="D181" s="1161"/>
    </row>
    <row r="182" spans="1:4">
      <c r="A182" s="700">
        <v>3497</v>
      </c>
      <c r="B182" s="695" t="s">
        <v>5240</v>
      </c>
      <c r="C182" s="701" t="s">
        <v>1804</v>
      </c>
      <c r="D182" s="1161"/>
    </row>
    <row r="183" spans="1:4">
      <c r="A183" s="700">
        <v>2566</v>
      </c>
      <c r="B183" s="695" t="s">
        <v>1070</v>
      </c>
      <c r="C183" s="701" t="s">
        <v>1806</v>
      </c>
      <c r="D183" s="1161"/>
    </row>
    <row r="184" spans="1:4">
      <c r="A184" s="700">
        <v>18785</v>
      </c>
      <c r="B184" s="695" t="s">
        <v>2607</v>
      </c>
      <c r="C184" s="701" t="s">
        <v>1806</v>
      </c>
      <c r="D184" s="1161"/>
    </row>
    <row r="185" spans="1:4">
      <c r="A185" s="700">
        <v>3384</v>
      </c>
      <c r="B185" s="695" t="s">
        <v>5238</v>
      </c>
      <c r="C185" s="701" t="s">
        <v>1806</v>
      </c>
      <c r="D185" s="1161"/>
    </row>
    <row r="186" spans="1:4">
      <c r="A186" s="700">
        <v>3508</v>
      </c>
      <c r="B186" s="695" t="s">
        <v>447</v>
      </c>
      <c r="C186" s="701" t="s">
        <v>2435</v>
      </c>
      <c r="D186" s="1161"/>
    </row>
    <row r="187" spans="1:4">
      <c r="A187" s="700">
        <v>2666</v>
      </c>
      <c r="B187" s="695" t="s">
        <v>448</v>
      </c>
      <c r="C187" s="701" t="s">
        <v>2435</v>
      </c>
      <c r="D187" s="1161">
        <v>0</v>
      </c>
    </row>
    <row r="188" spans="1:4">
      <c r="A188" s="700">
        <v>3345</v>
      </c>
      <c r="B188" s="695" t="s">
        <v>4885</v>
      </c>
      <c r="C188" s="701" t="s">
        <v>1806</v>
      </c>
      <c r="D188" s="1161"/>
    </row>
    <row r="189" spans="1:4">
      <c r="A189" s="700">
        <v>3050</v>
      </c>
      <c r="B189" s="695" t="s">
        <v>2667</v>
      </c>
      <c r="C189" s="701" t="s">
        <v>1806</v>
      </c>
      <c r="D189" s="1161"/>
    </row>
    <row r="190" spans="1:4">
      <c r="A190" s="700">
        <v>16342</v>
      </c>
      <c r="B190" s="695" t="s">
        <v>5241</v>
      </c>
      <c r="C190" s="701" t="s">
        <v>3932</v>
      </c>
      <c r="D190" s="1161"/>
    </row>
    <row r="191" spans="1:4">
      <c r="A191" s="700">
        <v>2586</v>
      </c>
      <c r="B191" s="695" t="s">
        <v>3741</v>
      </c>
      <c r="C191" s="701" t="s">
        <v>2441</v>
      </c>
      <c r="D191" s="1161"/>
    </row>
    <row r="192" spans="1:4">
      <c r="A192" s="700">
        <v>2319</v>
      </c>
      <c r="B192" s="695" t="s">
        <v>532</v>
      </c>
      <c r="C192" s="701" t="s">
        <v>1806</v>
      </c>
      <c r="D192" s="1161"/>
    </row>
    <row r="193" spans="1:4">
      <c r="A193" s="700">
        <v>2710</v>
      </c>
      <c r="B193" s="695" t="s">
        <v>449</v>
      </c>
      <c r="C193" s="701" t="s">
        <v>1804</v>
      </c>
      <c r="D193" s="1161"/>
    </row>
    <row r="194" spans="1:4">
      <c r="A194" s="700">
        <v>2267</v>
      </c>
      <c r="B194" s="695" t="s">
        <v>5090</v>
      </c>
      <c r="C194" s="701" t="s">
        <v>1806</v>
      </c>
      <c r="D194" s="1161"/>
    </row>
    <row r="195" spans="1:4">
      <c r="A195" s="700">
        <v>18489</v>
      </c>
      <c r="B195" s="695" t="s">
        <v>450</v>
      </c>
      <c r="C195" s="701" t="s">
        <v>1806</v>
      </c>
      <c r="D195" s="1161"/>
    </row>
    <row r="196" spans="1:4">
      <c r="A196" s="700">
        <v>2153</v>
      </c>
      <c r="B196" s="695" t="s">
        <v>3064</v>
      </c>
      <c r="C196" s="701" t="s">
        <v>1806</v>
      </c>
      <c r="D196" s="1161"/>
    </row>
    <row r="197" spans="1:4">
      <c r="A197" s="700">
        <v>2956</v>
      </c>
      <c r="B197" s="695" t="s">
        <v>4960</v>
      </c>
      <c r="C197" s="701" t="s">
        <v>1806</v>
      </c>
      <c r="D197" s="1161"/>
    </row>
    <row r="198" spans="1:4">
      <c r="A198" s="700">
        <v>3486</v>
      </c>
      <c r="B198" s="695" t="s">
        <v>5655</v>
      </c>
      <c r="C198" s="701" t="s">
        <v>1805</v>
      </c>
      <c r="D198" s="1161"/>
    </row>
    <row r="199" spans="1:4">
      <c r="A199" s="700">
        <v>2344</v>
      </c>
      <c r="B199" s="695" t="s">
        <v>2507</v>
      </c>
      <c r="C199" s="701" t="s">
        <v>1806</v>
      </c>
      <c r="D199" s="1161"/>
    </row>
    <row r="200" spans="1:4">
      <c r="A200" s="700">
        <v>3382</v>
      </c>
      <c r="B200" s="695" t="s">
        <v>5656</v>
      </c>
      <c r="C200" s="701" t="s">
        <v>1806</v>
      </c>
      <c r="D200" s="1161">
        <v>709</v>
      </c>
    </row>
    <row r="201" spans="1:4">
      <c r="A201" s="700">
        <v>2516</v>
      </c>
      <c r="B201" s="695" t="s">
        <v>5657</v>
      </c>
      <c r="C201" s="701" t="s">
        <v>1806</v>
      </c>
      <c r="D201" s="1161"/>
    </row>
    <row r="202" spans="1:4">
      <c r="A202" s="700">
        <v>3573</v>
      </c>
      <c r="B202" s="695" t="s">
        <v>5658</v>
      </c>
      <c r="C202" s="701" t="s">
        <v>1804</v>
      </c>
      <c r="D202" s="1161"/>
    </row>
    <row r="203" spans="1:4">
      <c r="A203" s="700">
        <v>3504</v>
      </c>
      <c r="B203" s="695" t="s">
        <v>2363</v>
      </c>
      <c r="C203" s="701"/>
      <c r="D203" s="1161"/>
    </row>
    <row r="204" spans="1:4">
      <c r="A204" s="700">
        <v>3429</v>
      </c>
      <c r="B204" s="695" t="s">
        <v>5659</v>
      </c>
      <c r="C204" s="701" t="s">
        <v>2441</v>
      </c>
      <c r="D204" s="1161"/>
    </row>
    <row r="205" spans="1:4">
      <c r="A205" s="700">
        <v>2180</v>
      </c>
      <c r="B205" s="695" t="s">
        <v>3296</v>
      </c>
      <c r="C205" s="701" t="s">
        <v>1806</v>
      </c>
      <c r="D205" s="1161"/>
    </row>
    <row r="206" spans="1:4">
      <c r="A206" s="700">
        <v>2746</v>
      </c>
      <c r="B206" s="695" t="s">
        <v>3297</v>
      </c>
      <c r="C206" s="701" t="s">
        <v>2429</v>
      </c>
      <c r="D206" s="1161"/>
    </row>
    <row r="207" spans="1:4">
      <c r="A207" s="700">
        <v>18996</v>
      </c>
      <c r="B207" s="695" t="s">
        <v>6189</v>
      </c>
      <c r="C207" s="701"/>
      <c r="D207" s="1161"/>
    </row>
    <row r="208" spans="1:4">
      <c r="A208" s="700">
        <v>18782</v>
      </c>
      <c r="B208" s="695" t="s">
        <v>451</v>
      </c>
      <c r="C208" s="701" t="s">
        <v>2435</v>
      </c>
      <c r="D208" s="1161"/>
    </row>
    <row r="209" spans="1:4">
      <c r="A209" s="700">
        <v>3488</v>
      </c>
      <c r="B209" s="695" t="s">
        <v>2404</v>
      </c>
      <c r="C209" s="701"/>
      <c r="D209" s="1161"/>
    </row>
    <row r="210" spans="1:4">
      <c r="A210" s="700">
        <v>2630</v>
      </c>
      <c r="B210" s="695" t="s">
        <v>1071</v>
      </c>
      <c r="C210" s="701" t="s">
        <v>2430</v>
      </c>
      <c r="D210" s="1161"/>
    </row>
    <row r="211" spans="1:4">
      <c r="A211" s="700">
        <v>2792</v>
      </c>
      <c r="B211" s="695" t="s">
        <v>1077</v>
      </c>
      <c r="C211" s="701"/>
      <c r="D211" s="1161"/>
    </row>
    <row r="212" spans="1:4">
      <c r="A212" s="700">
        <v>2709</v>
      </c>
      <c r="B212" s="695" t="s">
        <v>452</v>
      </c>
      <c r="C212" s="701" t="s">
        <v>1804</v>
      </c>
      <c r="D212" s="1161"/>
    </row>
    <row r="213" spans="1:4">
      <c r="A213" s="700">
        <v>2512</v>
      </c>
      <c r="B213" s="695" t="s">
        <v>95</v>
      </c>
      <c r="C213" s="701" t="s">
        <v>1806</v>
      </c>
      <c r="D213" s="1161"/>
    </row>
    <row r="214" spans="1:4">
      <c r="A214" s="700">
        <v>18545</v>
      </c>
      <c r="B214" s="695" t="s">
        <v>6975</v>
      </c>
      <c r="C214" s="701"/>
      <c r="D214" s="1161"/>
    </row>
    <row r="215" spans="1:4">
      <c r="A215" s="700">
        <v>2608</v>
      </c>
      <c r="B215" s="695" t="s">
        <v>2732</v>
      </c>
      <c r="C215" s="701" t="s">
        <v>2441</v>
      </c>
      <c r="D215" s="1161">
        <v>67</v>
      </c>
    </row>
    <row r="216" spans="1:4">
      <c r="A216" s="700">
        <v>3405</v>
      </c>
      <c r="B216" s="695" t="s">
        <v>3906</v>
      </c>
      <c r="C216" s="701" t="s">
        <v>2441</v>
      </c>
      <c r="D216" s="1161"/>
    </row>
    <row r="217" spans="1:4">
      <c r="A217" s="700">
        <v>2384</v>
      </c>
      <c r="B217" s="695" t="s">
        <v>3841</v>
      </c>
      <c r="C217" s="701" t="s">
        <v>1806</v>
      </c>
      <c r="D217" s="1161"/>
    </row>
    <row r="218" spans="1:4">
      <c r="A218" s="700">
        <v>3537</v>
      </c>
      <c r="B218" s="695" t="s">
        <v>453</v>
      </c>
      <c r="C218" s="701" t="s">
        <v>1804</v>
      </c>
      <c r="D218" s="1161"/>
    </row>
    <row r="219" spans="1:4">
      <c r="A219" s="700">
        <v>2517</v>
      </c>
      <c r="B219" s="695" t="s">
        <v>3803</v>
      </c>
      <c r="C219" s="701" t="s">
        <v>1806</v>
      </c>
      <c r="D219" s="1161"/>
    </row>
    <row r="220" spans="1:4">
      <c r="A220" s="700">
        <v>17576</v>
      </c>
      <c r="B220" s="695" t="s">
        <v>4348</v>
      </c>
      <c r="C220" s="701" t="s">
        <v>1806</v>
      </c>
      <c r="D220" s="1161"/>
    </row>
    <row r="221" spans="1:4">
      <c r="A221" s="700">
        <v>2294</v>
      </c>
      <c r="B221" s="695" t="s">
        <v>4349</v>
      </c>
      <c r="C221" s="701" t="s">
        <v>1806</v>
      </c>
      <c r="D221" s="1161"/>
    </row>
    <row r="222" spans="1:4">
      <c r="A222" s="700">
        <v>2323</v>
      </c>
      <c r="B222" s="695" t="s">
        <v>4100</v>
      </c>
      <c r="C222" s="701" t="s">
        <v>1806</v>
      </c>
      <c r="D222" s="1161"/>
    </row>
    <row r="223" spans="1:4">
      <c r="A223" s="700">
        <v>16074</v>
      </c>
      <c r="B223" s="695" t="s">
        <v>4350</v>
      </c>
      <c r="C223" s="701" t="s">
        <v>2442</v>
      </c>
      <c r="D223" s="1161"/>
    </row>
    <row r="224" spans="1:4">
      <c r="A224" s="700">
        <v>2959</v>
      </c>
      <c r="B224" s="695" t="s">
        <v>1065</v>
      </c>
      <c r="C224" s="701" t="s">
        <v>1806</v>
      </c>
      <c r="D224" s="1161"/>
    </row>
    <row r="225" spans="1:4">
      <c r="A225" s="700">
        <v>3193</v>
      </c>
      <c r="B225" s="695" t="s">
        <v>4351</v>
      </c>
      <c r="C225" s="701" t="s">
        <v>1806</v>
      </c>
      <c r="D225" s="1161"/>
    </row>
    <row r="226" spans="1:4">
      <c r="A226" s="700">
        <v>2398</v>
      </c>
      <c r="B226" s="695" t="s">
        <v>5429</v>
      </c>
      <c r="C226" s="701" t="s">
        <v>1806</v>
      </c>
      <c r="D226" s="1161"/>
    </row>
    <row r="227" spans="1:4">
      <c r="A227" s="700">
        <v>2513</v>
      </c>
      <c r="B227" s="695" t="s">
        <v>4352</v>
      </c>
      <c r="C227" s="701" t="s">
        <v>1806</v>
      </c>
      <c r="D227" s="1161"/>
    </row>
    <row r="228" spans="1:4">
      <c r="A228" s="700">
        <v>3636</v>
      </c>
      <c r="B228" s="695" t="s">
        <v>4886</v>
      </c>
      <c r="C228" s="701"/>
      <c r="D228" s="1161"/>
    </row>
    <row r="229" spans="1:4">
      <c r="A229" s="700">
        <v>17115</v>
      </c>
      <c r="B229" s="695" t="s">
        <v>6976</v>
      </c>
      <c r="C229" s="701"/>
      <c r="D229" s="1161"/>
    </row>
    <row r="230" spans="1:4">
      <c r="A230" s="700">
        <v>2966</v>
      </c>
      <c r="B230" s="695" t="s">
        <v>1963</v>
      </c>
      <c r="C230" s="701" t="s">
        <v>5365</v>
      </c>
      <c r="D230" s="1161"/>
    </row>
    <row r="231" spans="1:4">
      <c r="A231" s="700">
        <v>18709</v>
      </c>
      <c r="B231" s="695" t="s">
        <v>928</v>
      </c>
      <c r="C231" s="701" t="s">
        <v>1806</v>
      </c>
      <c r="D231" s="1161"/>
    </row>
    <row r="232" spans="1:4">
      <c r="A232" s="700">
        <v>2122</v>
      </c>
      <c r="B232" s="695" t="s">
        <v>4306</v>
      </c>
      <c r="C232" s="701" t="s">
        <v>1806</v>
      </c>
      <c r="D232" s="1161"/>
    </row>
    <row r="233" spans="1:4">
      <c r="A233" s="700">
        <v>3073</v>
      </c>
      <c r="B233" s="695" t="s">
        <v>2770</v>
      </c>
      <c r="C233" s="701" t="s">
        <v>1806</v>
      </c>
      <c r="D233" s="1161"/>
    </row>
    <row r="234" spans="1:4">
      <c r="A234" s="700">
        <v>2597</v>
      </c>
      <c r="B234" s="695" t="s">
        <v>4353</v>
      </c>
      <c r="C234" s="701" t="s">
        <v>2441</v>
      </c>
      <c r="D234" s="1161"/>
    </row>
    <row r="235" spans="1:4">
      <c r="A235" s="700">
        <v>3516</v>
      </c>
      <c r="B235" s="695" t="s">
        <v>1339</v>
      </c>
      <c r="C235" s="701" t="s">
        <v>2437</v>
      </c>
      <c r="D235" s="1161"/>
    </row>
    <row r="236" spans="1:4">
      <c r="A236" s="700">
        <v>6817</v>
      </c>
      <c r="B236" s="695" t="s">
        <v>6977</v>
      </c>
      <c r="C236" s="701"/>
      <c r="D236" s="1161"/>
    </row>
    <row r="237" spans="1:4">
      <c r="A237" s="700">
        <v>3119</v>
      </c>
      <c r="B237" s="695" t="s">
        <v>3617</v>
      </c>
      <c r="C237" s="701" t="s">
        <v>1806</v>
      </c>
      <c r="D237" s="1161"/>
    </row>
    <row r="238" spans="1:4">
      <c r="A238" s="700">
        <v>3627</v>
      </c>
      <c r="B238" s="695" t="s">
        <v>4354</v>
      </c>
      <c r="C238" s="701" t="s">
        <v>1806</v>
      </c>
      <c r="D238" s="1161"/>
    </row>
    <row r="239" spans="1:4">
      <c r="A239" s="700">
        <v>2691</v>
      </c>
      <c r="B239" s="695" t="s">
        <v>1552</v>
      </c>
      <c r="C239" s="701" t="s">
        <v>2433</v>
      </c>
      <c r="D239" s="1161"/>
    </row>
    <row r="240" spans="1:4">
      <c r="A240" s="700">
        <v>3626</v>
      </c>
      <c r="B240" s="695" t="s">
        <v>1516</v>
      </c>
      <c r="C240" s="701"/>
      <c r="D240" s="1161"/>
    </row>
    <row r="241" spans="1:4">
      <c r="A241" s="700">
        <v>2422</v>
      </c>
      <c r="B241" s="695" t="s">
        <v>4355</v>
      </c>
      <c r="C241" s="701" t="s">
        <v>1806</v>
      </c>
      <c r="D241" s="1161"/>
    </row>
    <row r="242" spans="1:4">
      <c r="A242" s="700">
        <v>3408</v>
      </c>
      <c r="B242" s="695" t="s">
        <v>727</v>
      </c>
      <c r="C242" s="701" t="s">
        <v>2441</v>
      </c>
      <c r="D242" s="1161"/>
    </row>
    <row r="243" spans="1:4">
      <c r="A243" s="700">
        <v>3605</v>
      </c>
      <c r="B243" s="695" t="s">
        <v>748</v>
      </c>
      <c r="C243" s="701" t="s">
        <v>2429</v>
      </c>
      <c r="D243" s="1161"/>
    </row>
    <row r="244" spans="1:4">
      <c r="A244" s="700">
        <v>3542</v>
      </c>
      <c r="B244" s="695" t="s">
        <v>3609</v>
      </c>
      <c r="C244" s="701" t="s">
        <v>1806</v>
      </c>
      <c r="D244" s="1161"/>
    </row>
    <row r="245" spans="1:4">
      <c r="A245" s="700">
        <v>3383</v>
      </c>
      <c r="B245" s="695" t="s">
        <v>5662</v>
      </c>
      <c r="C245" s="701" t="s">
        <v>1806</v>
      </c>
      <c r="D245" s="1161"/>
    </row>
    <row r="246" spans="1:4">
      <c r="A246" s="700">
        <v>2278</v>
      </c>
      <c r="B246" s="695" t="s">
        <v>3795</v>
      </c>
      <c r="C246" s="701" t="s">
        <v>1806</v>
      </c>
      <c r="D246" s="1161"/>
    </row>
    <row r="247" spans="1:4">
      <c r="A247" s="700">
        <v>3069</v>
      </c>
      <c r="B247" s="695" t="s">
        <v>3109</v>
      </c>
      <c r="C247" s="701" t="s">
        <v>2438</v>
      </c>
      <c r="D247" s="1161"/>
    </row>
    <row r="248" spans="1:4">
      <c r="A248" s="700">
        <v>2514</v>
      </c>
      <c r="B248" s="695" t="s">
        <v>3839</v>
      </c>
      <c r="C248" s="701" t="s">
        <v>1806</v>
      </c>
      <c r="D248" s="1161"/>
    </row>
    <row r="249" spans="1:4">
      <c r="A249" s="700">
        <v>2228</v>
      </c>
      <c r="B249" s="695" t="s">
        <v>1550</v>
      </c>
      <c r="C249" s="701" t="s">
        <v>612</v>
      </c>
      <c r="D249" s="1161"/>
    </row>
    <row r="250" spans="1:4">
      <c r="A250" s="700">
        <v>19262</v>
      </c>
      <c r="B250" s="695" t="s">
        <v>6978</v>
      </c>
      <c r="C250" s="701"/>
      <c r="D250" s="1161"/>
    </row>
    <row r="251" spans="1:4">
      <c r="A251" s="700">
        <v>3640</v>
      </c>
      <c r="B251" s="695" t="s">
        <v>6190</v>
      </c>
      <c r="C251" s="701"/>
      <c r="D251" s="1161"/>
    </row>
    <row r="252" spans="1:4">
      <c r="A252" s="700">
        <v>2195</v>
      </c>
      <c r="B252" s="695" t="s">
        <v>4356</v>
      </c>
      <c r="C252" s="701" t="s">
        <v>1806</v>
      </c>
      <c r="D252" s="1161"/>
    </row>
    <row r="253" spans="1:4">
      <c r="A253" s="700">
        <v>2279</v>
      </c>
      <c r="B253" s="695" t="s">
        <v>4357</v>
      </c>
      <c r="C253" s="701" t="s">
        <v>1806</v>
      </c>
      <c r="D253" s="1161"/>
    </row>
    <row r="254" spans="1:4">
      <c r="A254" s="700">
        <v>2670</v>
      </c>
      <c r="B254" s="695" t="s">
        <v>4358</v>
      </c>
      <c r="C254" s="701" t="s">
        <v>2435</v>
      </c>
      <c r="D254" s="1161"/>
    </row>
    <row r="255" spans="1:4">
      <c r="A255" s="700">
        <v>6803</v>
      </c>
      <c r="B255" s="695" t="s">
        <v>6979</v>
      </c>
      <c r="C255" s="701"/>
      <c r="D255" s="1161"/>
    </row>
    <row r="256" spans="1:4">
      <c r="A256" s="700">
        <v>2656</v>
      </c>
      <c r="B256" s="695" t="s">
        <v>1111</v>
      </c>
      <c r="C256" s="701" t="s">
        <v>2435</v>
      </c>
      <c r="D256" s="1161"/>
    </row>
    <row r="257" spans="1:4">
      <c r="A257" s="700">
        <v>3530</v>
      </c>
      <c r="B257" s="695" t="s">
        <v>3986</v>
      </c>
      <c r="C257" s="701" t="s">
        <v>2433</v>
      </c>
      <c r="D257" s="1161"/>
    </row>
    <row r="258" spans="1:4">
      <c r="A258" s="700">
        <v>2969</v>
      </c>
      <c r="B258" s="695" t="s">
        <v>1069</v>
      </c>
      <c r="C258" s="701" t="s">
        <v>5365</v>
      </c>
      <c r="D258" s="1161"/>
    </row>
    <row r="259" spans="1:4">
      <c r="A259" s="700">
        <v>12757</v>
      </c>
      <c r="B259" s="695" t="s">
        <v>5407</v>
      </c>
      <c r="C259" s="701" t="s">
        <v>3933</v>
      </c>
      <c r="D259" s="1161"/>
    </row>
    <row r="260" spans="1:4">
      <c r="A260" s="700">
        <v>11617</v>
      </c>
      <c r="B260" s="695" t="s">
        <v>858</v>
      </c>
      <c r="C260" s="701" t="s">
        <v>1806</v>
      </c>
      <c r="D260" s="1161"/>
    </row>
    <row r="261" spans="1:4">
      <c r="A261" s="700">
        <v>2147</v>
      </c>
      <c r="B261" s="695" t="s">
        <v>6980</v>
      </c>
      <c r="C261" s="701"/>
      <c r="D261" s="1161"/>
    </row>
    <row r="262" spans="1:4">
      <c r="A262" s="700">
        <v>2671</v>
      </c>
      <c r="B262" s="695" t="s">
        <v>4360</v>
      </c>
      <c r="C262" s="701" t="s">
        <v>2435</v>
      </c>
      <c r="D262" s="1161"/>
    </row>
    <row r="263" spans="1:4">
      <c r="A263" s="700">
        <v>2589</v>
      </c>
      <c r="B263" s="695" t="s">
        <v>3282</v>
      </c>
      <c r="C263" s="701" t="s">
        <v>2441</v>
      </c>
      <c r="D263" s="1161"/>
    </row>
    <row r="264" spans="1:4">
      <c r="A264" s="700">
        <v>2637</v>
      </c>
      <c r="B264" s="695" t="s">
        <v>3796</v>
      </c>
      <c r="C264" s="701" t="s">
        <v>2430</v>
      </c>
      <c r="D264" s="1161"/>
    </row>
    <row r="265" spans="1:4">
      <c r="A265" s="700">
        <v>2271</v>
      </c>
      <c r="B265" s="695" t="s">
        <v>3797</v>
      </c>
      <c r="C265" s="701" t="s">
        <v>1806</v>
      </c>
      <c r="D265" s="1161"/>
    </row>
    <row r="266" spans="1:4">
      <c r="A266" s="700">
        <v>2662</v>
      </c>
      <c r="B266" s="695" t="s">
        <v>4361</v>
      </c>
      <c r="C266" s="701" t="s">
        <v>1806</v>
      </c>
      <c r="D266" s="1161"/>
    </row>
    <row r="267" spans="1:4">
      <c r="A267" s="700">
        <v>2168</v>
      </c>
      <c r="B267" s="695" t="s">
        <v>4362</v>
      </c>
      <c r="C267" s="701" t="s">
        <v>1806</v>
      </c>
      <c r="D267" s="1161"/>
    </row>
    <row r="268" spans="1:4">
      <c r="A268" s="700">
        <v>3110</v>
      </c>
      <c r="B268" s="695" t="s">
        <v>3842</v>
      </c>
      <c r="C268" s="701" t="s">
        <v>1806</v>
      </c>
      <c r="D268" s="1161"/>
    </row>
    <row r="269" spans="1:4">
      <c r="A269" s="700">
        <v>3219</v>
      </c>
      <c r="B269" s="695" t="s">
        <v>4304</v>
      </c>
      <c r="C269" s="701" t="s">
        <v>1806</v>
      </c>
      <c r="D269" s="1161"/>
    </row>
    <row r="270" spans="1:4">
      <c r="A270" s="700">
        <v>3490</v>
      </c>
      <c r="B270" s="695" t="s">
        <v>4363</v>
      </c>
      <c r="C270" s="701" t="s">
        <v>1804</v>
      </c>
      <c r="D270" s="1161"/>
    </row>
    <row r="271" spans="1:4">
      <c r="A271" s="700">
        <v>2321</v>
      </c>
      <c r="B271" s="695" t="s">
        <v>4364</v>
      </c>
      <c r="C271" s="701" t="s">
        <v>2439</v>
      </c>
      <c r="D271" s="1161"/>
    </row>
    <row r="272" spans="1:4">
      <c r="A272" s="700">
        <v>3543</v>
      </c>
      <c r="B272" s="695" t="s">
        <v>5324</v>
      </c>
      <c r="C272" s="701" t="s">
        <v>1804</v>
      </c>
      <c r="D272" s="1161">
        <v>3797</v>
      </c>
    </row>
    <row r="273" spans="1:4">
      <c r="A273" s="700">
        <v>2988</v>
      </c>
      <c r="B273" s="695" t="s">
        <v>919</v>
      </c>
      <c r="C273" s="701" t="s">
        <v>3928</v>
      </c>
      <c r="D273" s="1161"/>
    </row>
    <row r="274" spans="1:4">
      <c r="A274" s="700">
        <v>3541</v>
      </c>
      <c r="B274" s="695" t="s">
        <v>5579</v>
      </c>
      <c r="C274" s="701" t="s">
        <v>1804</v>
      </c>
      <c r="D274" s="1161"/>
    </row>
    <row r="275" spans="1:4">
      <c r="A275" s="700">
        <v>18469</v>
      </c>
      <c r="B275" s="695" t="s">
        <v>4365</v>
      </c>
      <c r="C275" s="701" t="s">
        <v>1806</v>
      </c>
      <c r="D275" s="1161"/>
    </row>
    <row r="276" spans="1:4">
      <c r="A276" s="700">
        <v>2308</v>
      </c>
      <c r="B276" s="695" t="s">
        <v>1073</v>
      </c>
      <c r="C276" s="701" t="s">
        <v>2432</v>
      </c>
      <c r="D276" s="1161"/>
    </row>
    <row r="277" spans="1:4">
      <c r="A277" s="700">
        <v>2776</v>
      </c>
      <c r="B277" s="695" t="s">
        <v>5325</v>
      </c>
      <c r="C277" s="701"/>
      <c r="D277" s="1161"/>
    </row>
    <row r="278" spans="1:4">
      <c r="A278" s="700">
        <v>10543</v>
      </c>
      <c r="B278" s="695" t="s">
        <v>6981</v>
      </c>
      <c r="C278" s="701"/>
      <c r="D278" s="1161"/>
    </row>
    <row r="279" spans="1:4">
      <c r="A279" s="700">
        <v>3622</v>
      </c>
      <c r="B279" s="695" t="s">
        <v>5326</v>
      </c>
      <c r="C279" s="701" t="s">
        <v>1806</v>
      </c>
      <c r="D279" s="1161"/>
    </row>
    <row r="280" spans="1:4">
      <c r="A280" s="700">
        <v>2286</v>
      </c>
      <c r="B280" s="695" t="s">
        <v>4594</v>
      </c>
      <c r="C280" s="701" t="s">
        <v>2438</v>
      </c>
      <c r="D280" s="1161"/>
    </row>
    <row r="281" spans="1:4">
      <c r="A281" s="700">
        <v>6350</v>
      </c>
      <c r="B281" s="695" t="s">
        <v>6982</v>
      </c>
      <c r="C281" s="701"/>
      <c r="D281" s="1161"/>
    </row>
    <row r="282" spans="1:4">
      <c r="A282" s="700">
        <v>16237</v>
      </c>
      <c r="B282" s="695" t="s">
        <v>4366</v>
      </c>
      <c r="C282" s="701" t="s">
        <v>3932</v>
      </c>
      <c r="D282" s="1161"/>
    </row>
    <row r="283" spans="1:4">
      <c r="A283" s="700">
        <v>2758</v>
      </c>
      <c r="B283" s="695" t="s">
        <v>6814</v>
      </c>
      <c r="C283" s="701"/>
      <c r="D283" s="1161"/>
    </row>
    <row r="284" spans="1:4">
      <c r="A284" s="700">
        <v>13292</v>
      </c>
      <c r="B284" s="695" t="s">
        <v>5091</v>
      </c>
      <c r="C284" s="701" t="s">
        <v>1806</v>
      </c>
      <c r="D284" s="1161"/>
    </row>
    <row r="285" spans="1:4">
      <c r="A285" s="700">
        <v>12635</v>
      </c>
      <c r="B285" s="695" t="s">
        <v>929</v>
      </c>
      <c r="C285" s="701" t="s">
        <v>1806</v>
      </c>
      <c r="D285" s="1161"/>
    </row>
    <row r="286" spans="1:4">
      <c r="A286" s="700">
        <v>2097</v>
      </c>
      <c r="B286" s="695" t="s">
        <v>3907</v>
      </c>
      <c r="C286" s="701" t="s">
        <v>1806</v>
      </c>
      <c r="D286" s="1161"/>
    </row>
    <row r="287" spans="1:4">
      <c r="A287" s="700">
        <v>3631</v>
      </c>
      <c r="B287" s="695" t="s">
        <v>3552</v>
      </c>
      <c r="C287" s="701"/>
      <c r="D287" s="1161"/>
    </row>
    <row r="288" spans="1:4">
      <c r="A288" s="700">
        <v>3322</v>
      </c>
      <c r="B288" s="695" t="s">
        <v>3798</v>
      </c>
      <c r="C288" s="701" t="s">
        <v>1806</v>
      </c>
      <c r="D288" s="1161"/>
    </row>
    <row r="289" spans="1:4">
      <c r="A289" s="700">
        <v>2139</v>
      </c>
      <c r="B289" s="695" t="s">
        <v>2158</v>
      </c>
      <c r="C289" s="701" t="s">
        <v>1806</v>
      </c>
      <c r="D289" s="1161"/>
    </row>
    <row r="290" spans="1:4">
      <c r="A290" s="700">
        <v>2687</v>
      </c>
      <c r="B290" s="695" t="s">
        <v>3045</v>
      </c>
      <c r="C290" s="701" t="s">
        <v>2433</v>
      </c>
      <c r="D290" s="1161"/>
    </row>
    <row r="291" spans="1:4">
      <c r="A291" s="700">
        <v>15217</v>
      </c>
      <c r="B291" s="695" t="s">
        <v>4367</v>
      </c>
      <c r="C291" s="701" t="s">
        <v>1806</v>
      </c>
      <c r="D291" s="1161"/>
    </row>
    <row r="292" spans="1:4">
      <c r="A292" s="700">
        <v>2584</v>
      </c>
      <c r="B292" s="695" t="s">
        <v>5195</v>
      </c>
      <c r="C292" s="701" t="s">
        <v>2441</v>
      </c>
      <c r="D292" s="1161"/>
    </row>
    <row r="293" spans="1:4">
      <c r="A293" s="700">
        <v>2158</v>
      </c>
      <c r="B293" s="695" t="s">
        <v>224</v>
      </c>
      <c r="C293" s="701"/>
      <c r="D293" s="1161"/>
    </row>
    <row r="294" spans="1:4">
      <c r="A294" s="700">
        <v>12975</v>
      </c>
      <c r="B294" s="695" t="s">
        <v>6983</v>
      </c>
      <c r="C294" s="701"/>
      <c r="D294" s="1161"/>
    </row>
    <row r="295" spans="1:4">
      <c r="A295" s="700">
        <v>3163</v>
      </c>
      <c r="B295" s="695" t="s">
        <v>5328</v>
      </c>
      <c r="C295" s="701" t="s">
        <v>1806</v>
      </c>
      <c r="D295" s="1161"/>
    </row>
    <row r="296" spans="1:4">
      <c r="A296" s="700">
        <v>3089</v>
      </c>
      <c r="B296" s="695" t="s">
        <v>2641</v>
      </c>
      <c r="C296" s="701" t="s">
        <v>2438</v>
      </c>
      <c r="D296" s="1161"/>
    </row>
    <row r="297" spans="1:4">
      <c r="A297" s="700">
        <v>2790</v>
      </c>
      <c r="B297" s="695" t="s">
        <v>5329</v>
      </c>
      <c r="C297" s="701" t="s">
        <v>1806</v>
      </c>
      <c r="D297" s="1161"/>
    </row>
    <row r="298" spans="1:4">
      <c r="A298" s="700">
        <v>2257</v>
      </c>
      <c r="B298" s="695" t="s">
        <v>2779</v>
      </c>
      <c r="C298" s="701"/>
      <c r="D298" s="1161"/>
    </row>
    <row r="299" spans="1:4">
      <c r="A299" s="700">
        <v>3348</v>
      </c>
      <c r="B299" s="695" t="s">
        <v>5330</v>
      </c>
      <c r="C299" s="701" t="s">
        <v>1807</v>
      </c>
      <c r="D299" s="1161"/>
    </row>
    <row r="300" spans="1:4">
      <c r="A300" s="700">
        <v>13125</v>
      </c>
      <c r="B300" s="695" t="s">
        <v>6669</v>
      </c>
      <c r="C300" s="701"/>
      <c r="D300" s="1161"/>
    </row>
    <row r="301" spans="1:4">
      <c r="A301" s="700">
        <v>6799</v>
      </c>
      <c r="B301" s="695" t="s">
        <v>6984</v>
      </c>
      <c r="C301" s="701"/>
      <c r="D301" s="1161"/>
    </row>
    <row r="302" spans="1:4">
      <c r="A302" s="700">
        <v>2411</v>
      </c>
      <c r="B302" s="695" t="s">
        <v>4368</v>
      </c>
      <c r="C302" s="701" t="s">
        <v>1806</v>
      </c>
      <c r="D302" s="1161"/>
    </row>
    <row r="303" spans="1:4">
      <c r="A303" s="700">
        <v>15250</v>
      </c>
      <c r="B303" s="695" t="s">
        <v>6684</v>
      </c>
      <c r="C303" s="701"/>
      <c r="D303" s="1161">
        <v>400</v>
      </c>
    </row>
    <row r="304" spans="1:4">
      <c r="A304" s="700">
        <v>3273</v>
      </c>
      <c r="B304" s="695" t="s">
        <v>3046</v>
      </c>
      <c r="C304" s="701" t="s">
        <v>2432</v>
      </c>
      <c r="D304" s="1161"/>
    </row>
    <row r="305" spans="1:4">
      <c r="A305" s="700">
        <v>2282</v>
      </c>
      <c r="B305" s="695" t="s">
        <v>4369</v>
      </c>
      <c r="C305" s="701" t="s">
        <v>1806</v>
      </c>
      <c r="D305" s="1161"/>
    </row>
    <row r="306" spans="1:4">
      <c r="A306" s="700">
        <v>3082</v>
      </c>
      <c r="B306" s="695" t="s">
        <v>4370</v>
      </c>
      <c r="C306" s="701" t="s">
        <v>1806</v>
      </c>
      <c r="D306" s="1161"/>
    </row>
    <row r="307" spans="1:4">
      <c r="A307" s="700">
        <v>2413</v>
      </c>
      <c r="B307" s="695" t="s">
        <v>4715</v>
      </c>
      <c r="C307" s="701" t="s">
        <v>1806</v>
      </c>
      <c r="D307" s="1161"/>
    </row>
    <row r="308" spans="1:4">
      <c r="A308" s="700">
        <v>3515</v>
      </c>
      <c r="B308" s="695" t="s">
        <v>2174</v>
      </c>
      <c r="C308" s="701" t="s">
        <v>2435</v>
      </c>
      <c r="D308" s="1161"/>
    </row>
    <row r="309" spans="1:4">
      <c r="A309" s="700">
        <v>3134</v>
      </c>
      <c r="B309" s="695" t="s">
        <v>533</v>
      </c>
      <c r="C309" s="701" t="s">
        <v>1806</v>
      </c>
      <c r="D309" s="1161"/>
    </row>
    <row r="310" spans="1:4">
      <c r="A310" s="700">
        <v>2515</v>
      </c>
      <c r="B310" s="695" t="s">
        <v>4371</v>
      </c>
      <c r="C310" s="701" t="s">
        <v>1806</v>
      </c>
      <c r="D310" s="1161"/>
    </row>
    <row r="311" spans="1:4">
      <c r="A311" s="700">
        <v>2463</v>
      </c>
      <c r="B311" s="695" t="s">
        <v>4372</v>
      </c>
      <c r="C311" s="701" t="s">
        <v>1806</v>
      </c>
      <c r="D311" s="1161"/>
    </row>
    <row r="312" spans="1:4">
      <c r="A312" s="700">
        <v>2650</v>
      </c>
      <c r="B312" s="695" t="s">
        <v>3804</v>
      </c>
      <c r="C312" s="701" t="s">
        <v>2430</v>
      </c>
      <c r="D312" s="1161"/>
    </row>
    <row r="313" spans="1:4">
      <c r="A313" s="700">
        <v>3487</v>
      </c>
      <c r="B313" s="695" t="s">
        <v>5667</v>
      </c>
      <c r="C313" s="701" t="s">
        <v>1805</v>
      </c>
      <c r="D313" s="1161"/>
    </row>
    <row r="314" spans="1:4">
      <c r="A314" s="700">
        <v>3385</v>
      </c>
      <c r="B314" s="695" t="s">
        <v>5668</v>
      </c>
      <c r="C314" s="701" t="s">
        <v>1806</v>
      </c>
      <c r="D314" s="1161">
        <v>600</v>
      </c>
    </row>
    <row r="315" spans="1:4">
      <c r="A315" s="700">
        <v>3574</v>
      </c>
      <c r="B315" s="695" t="s">
        <v>5669</v>
      </c>
      <c r="C315" s="701" t="s">
        <v>1804</v>
      </c>
      <c r="D315" s="1161"/>
    </row>
    <row r="316" spans="1:4">
      <c r="A316" s="700">
        <v>2623</v>
      </c>
      <c r="B316" s="695" t="s">
        <v>4373</v>
      </c>
      <c r="C316" s="701" t="s">
        <v>1805</v>
      </c>
      <c r="D316" s="1161"/>
    </row>
    <row r="317" spans="1:4">
      <c r="A317" s="700">
        <v>2932</v>
      </c>
      <c r="B317" s="695" t="s">
        <v>2628</v>
      </c>
      <c r="C317" s="701" t="s">
        <v>3933</v>
      </c>
      <c r="D317" s="1161"/>
    </row>
    <row r="318" spans="1:4">
      <c r="A318" s="700">
        <v>2357</v>
      </c>
      <c r="B318" s="695" t="s">
        <v>3290</v>
      </c>
      <c r="C318" s="701" t="s">
        <v>1806</v>
      </c>
      <c r="D318" s="1161"/>
    </row>
    <row r="319" spans="1:4">
      <c r="A319" s="700">
        <v>3529</v>
      </c>
      <c r="B319" s="695" t="s">
        <v>4494</v>
      </c>
      <c r="C319" s="701" t="s">
        <v>2433</v>
      </c>
      <c r="D319" s="1161"/>
    </row>
    <row r="320" spans="1:4">
      <c r="A320" s="700">
        <v>3415</v>
      </c>
      <c r="B320" s="695" t="s">
        <v>828</v>
      </c>
      <c r="C320" s="701" t="s">
        <v>2441</v>
      </c>
      <c r="D320" s="1161"/>
    </row>
    <row r="321" spans="1:4">
      <c r="A321" s="700">
        <v>13477</v>
      </c>
      <c r="B321" s="695" t="s">
        <v>509</v>
      </c>
      <c r="C321" s="701"/>
      <c r="D321" s="1161"/>
    </row>
    <row r="322" spans="1:4">
      <c r="A322" s="700">
        <v>2114</v>
      </c>
      <c r="B322" s="695" t="s">
        <v>4310</v>
      </c>
      <c r="C322" s="701" t="s">
        <v>1806</v>
      </c>
      <c r="D322" s="1161"/>
    </row>
    <row r="323" spans="1:4">
      <c r="A323" s="700">
        <v>2880</v>
      </c>
      <c r="B323" s="695" t="s">
        <v>2365</v>
      </c>
      <c r="C323" s="701"/>
      <c r="D323" s="1161"/>
    </row>
    <row r="324" spans="1:4">
      <c r="A324" s="700">
        <v>3250</v>
      </c>
      <c r="B324" s="695" t="s">
        <v>629</v>
      </c>
      <c r="C324" s="701" t="s">
        <v>1806</v>
      </c>
      <c r="D324" s="1161"/>
    </row>
    <row r="325" spans="1:4">
      <c r="A325" s="700">
        <v>16448</v>
      </c>
      <c r="B325" s="695" t="s">
        <v>4375</v>
      </c>
      <c r="C325" s="701" t="s">
        <v>2441</v>
      </c>
      <c r="D325" s="1161"/>
    </row>
    <row r="326" spans="1:4">
      <c r="A326" s="700">
        <v>3433</v>
      </c>
      <c r="B326" s="695" t="s">
        <v>4376</v>
      </c>
      <c r="C326" s="701" t="s">
        <v>2441</v>
      </c>
      <c r="D326" s="1161"/>
    </row>
    <row r="327" spans="1:4">
      <c r="A327" s="700">
        <v>2408</v>
      </c>
      <c r="B327" s="695" t="s">
        <v>3612</v>
      </c>
      <c r="C327" s="701" t="s">
        <v>1806</v>
      </c>
      <c r="D327" s="1161"/>
    </row>
    <row r="328" spans="1:4">
      <c r="A328" s="700">
        <v>20261</v>
      </c>
      <c r="B328" s="695" t="s">
        <v>6985</v>
      </c>
      <c r="C328" s="701"/>
      <c r="D328" s="1161"/>
    </row>
    <row r="329" spans="1:4">
      <c r="A329" s="700">
        <v>2163</v>
      </c>
      <c r="B329" s="695" t="s">
        <v>4377</v>
      </c>
      <c r="C329" s="701" t="s">
        <v>5365</v>
      </c>
      <c r="D329" s="1161"/>
    </row>
    <row r="330" spans="1:4">
      <c r="A330" s="700">
        <v>2162</v>
      </c>
      <c r="B330" s="695" t="s">
        <v>1535</v>
      </c>
      <c r="C330" s="701" t="s">
        <v>5365</v>
      </c>
      <c r="D330" s="1161"/>
    </row>
    <row r="331" spans="1:4">
      <c r="A331" s="700">
        <v>3444</v>
      </c>
      <c r="B331" s="695" t="s">
        <v>4378</v>
      </c>
      <c r="C331" s="701" t="s">
        <v>3932</v>
      </c>
      <c r="D331" s="1161"/>
    </row>
    <row r="332" spans="1:4">
      <c r="A332" s="700">
        <v>2197</v>
      </c>
      <c r="B332" s="695" t="s">
        <v>1068</v>
      </c>
      <c r="C332" s="701" t="s">
        <v>1806</v>
      </c>
      <c r="D332" s="1161"/>
    </row>
    <row r="333" spans="1:4">
      <c r="A333" s="700">
        <v>2256</v>
      </c>
      <c r="B333" s="695" t="s">
        <v>1964</v>
      </c>
      <c r="C333" s="701" t="s">
        <v>1806</v>
      </c>
      <c r="D333" s="1161"/>
    </row>
    <row r="334" spans="1:4">
      <c r="A334" s="700">
        <v>2292</v>
      </c>
      <c r="B334" s="695" t="s">
        <v>4379</v>
      </c>
      <c r="C334" s="701" t="s">
        <v>5366</v>
      </c>
      <c r="D334" s="1161"/>
    </row>
    <row r="335" spans="1:4">
      <c r="A335" s="700">
        <v>2975</v>
      </c>
      <c r="B335" s="695" t="s">
        <v>930</v>
      </c>
      <c r="C335" s="701" t="s">
        <v>1806</v>
      </c>
      <c r="D335" s="1161"/>
    </row>
    <row r="336" spans="1:4">
      <c r="A336" s="700">
        <v>3397</v>
      </c>
      <c r="B336" s="695" t="s">
        <v>3805</v>
      </c>
      <c r="C336" s="701" t="s">
        <v>2429</v>
      </c>
      <c r="D336" s="1161"/>
    </row>
    <row r="337" spans="1:4">
      <c r="A337" s="700">
        <v>2952</v>
      </c>
      <c r="B337" s="695" t="s">
        <v>5604</v>
      </c>
      <c r="C337" s="701" t="s">
        <v>1806</v>
      </c>
      <c r="D337" s="1161"/>
    </row>
    <row r="338" spans="1:4">
      <c r="A338" s="700">
        <v>3532</v>
      </c>
      <c r="B338" s="695" t="s">
        <v>4380</v>
      </c>
      <c r="C338" s="701" t="s">
        <v>2433</v>
      </c>
      <c r="D338" s="1161"/>
    </row>
    <row r="339" spans="1:4">
      <c r="A339" s="700">
        <v>2275</v>
      </c>
      <c r="B339" s="695" t="s">
        <v>931</v>
      </c>
      <c r="C339" s="701" t="s">
        <v>1806</v>
      </c>
      <c r="D339" s="1161"/>
    </row>
    <row r="340" spans="1:4">
      <c r="A340" s="700">
        <v>3217</v>
      </c>
      <c r="B340" s="695" t="s">
        <v>1785</v>
      </c>
      <c r="C340" s="701" t="s">
        <v>1806</v>
      </c>
      <c r="D340" s="1161"/>
    </row>
    <row r="341" spans="1:4">
      <c r="A341" s="700">
        <v>2167</v>
      </c>
      <c r="B341" s="695" t="s">
        <v>4509</v>
      </c>
      <c r="C341" s="701" t="s">
        <v>5365</v>
      </c>
      <c r="D341" s="1161"/>
    </row>
    <row r="342" spans="1:4">
      <c r="A342" s="700">
        <v>12991</v>
      </c>
      <c r="B342" s="695" t="s">
        <v>4381</v>
      </c>
      <c r="C342" s="701" t="s">
        <v>1806</v>
      </c>
      <c r="D342" s="1161"/>
    </row>
    <row r="343" spans="1:4">
      <c r="A343" s="700">
        <v>2621</v>
      </c>
      <c r="B343" s="695" t="s">
        <v>1066</v>
      </c>
      <c r="C343" s="701" t="s">
        <v>1805</v>
      </c>
      <c r="D343" s="1161"/>
    </row>
    <row r="344" spans="1:4">
      <c r="A344" s="700">
        <v>3638</v>
      </c>
      <c r="B344" s="695" t="s">
        <v>1450</v>
      </c>
      <c r="C344" s="701" t="s">
        <v>1806</v>
      </c>
      <c r="D344" s="1161"/>
    </row>
    <row r="345" spans="1:4">
      <c r="A345" s="700">
        <v>2982</v>
      </c>
      <c r="B345" s="695" t="s">
        <v>1783</v>
      </c>
      <c r="C345" s="701" t="s">
        <v>1806</v>
      </c>
      <c r="D345" s="1161"/>
    </row>
    <row r="346" spans="1:4">
      <c r="A346" s="700">
        <v>2942</v>
      </c>
      <c r="B346" s="695" t="s">
        <v>5408</v>
      </c>
      <c r="C346" s="701" t="s">
        <v>1806</v>
      </c>
      <c r="D346" s="1161"/>
    </row>
    <row r="347" spans="1:4">
      <c r="A347" s="700">
        <v>3547</v>
      </c>
      <c r="B347" s="695" t="s">
        <v>3291</v>
      </c>
      <c r="C347" s="701" t="s">
        <v>1804</v>
      </c>
      <c r="D347" s="1161">
        <v>24149</v>
      </c>
    </row>
    <row r="348" spans="1:4">
      <c r="A348" s="700">
        <v>3409</v>
      </c>
      <c r="B348" s="695" t="s">
        <v>4654</v>
      </c>
      <c r="C348" s="701" t="s">
        <v>2441</v>
      </c>
      <c r="D348" s="1161">
        <v>0</v>
      </c>
    </row>
    <row r="349" spans="1:4">
      <c r="A349" s="700">
        <v>6821</v>
      </c>
      <c r="B349" s="695" t="s">
        <v>6986</v>
      </c>
      <c r="C349" s="701"/>
      <c r="D349" s="1161"/>
    </row>
    <row r="350" spans="1:4">
      <c r="A350" s="700">
        <v>3570</v>
      </c>
      <c r="B350" s="695" t="s">
        <v>4382</v>
      </c>
      <c r="C350" s="701" t="s">
        <v>2434</v>
      </c>
      <c r="D350" s="1161"/>
    </row>
    <row r="351" spans="1:4">
      <c r="A351" s="700">
        <v>3569</v>
      </c>
      <c r="B351" s="695" t="s">
        <v>1074</v>
      </c>
      <c r="C351" s="701" t="s">
        <v>2434</v>
      </c>
      <c r="D351" s="1161"/>
    </row>
    <row r="352" spans="1:4">
      <c r="A352" s="700">
        <v>2534</v>
      </c>
      <c r="B352" s="695" t="s">
        <v>3047</v>
      </c>
      <c r="C352" s="701" t="s">
        <v>2432</v>
      </c>
      <c r="D352" s="1161"/>
    </row>
    <row r="353" spans="1:4">
      <c r="A353" s="700">
        <v>2668</v>
      </c>
      <c r="B353" s="695" t="s">
        <v>6750</v>
      </c>
      <c r="C353" s="701"/>
      <c r="D353" s="1161">
        <v>0</v>
      </c>
    </row>
    <row r="354" spans="1:4">
      <c r="A354" s="700">
        <v>16110</v>
      </c>
      <c r="B354" s="695" t="s">
        <v>6987</v>
      </c>
      <c r="C354" s="701"/>
      <c r="D354" s="1161"/>
    </row>
    <row r="355" spans="1:4">
      <c r="A355" s="700">
        <v>12061</v>
      </c>
      <c r="B355" s="695" t="s">
        <v>1645</v>
      </c>
      <c r="C355" s="701" t="s">
        <v>1806</v>
      </c>
      <c r="D355" s="1161"/>
    </row>
    <row r="356" spans="1:4">
      <c r="A356" s="700">
        <v>2161</v>
      </c>
      <c r="B356" s="695" t="s">
        <v>6988</v>
      </c>
      <c r="C356" s="701"/>
      <c r="D356" s="1161"/>
    </row>
    <row r="357" spans="1:4">
      <c r="A357" s="700">
        <v>14398</v>
      </c>
      <c r="B357" s="695" t="s">
        <v>6989</v>
      </c>
      <c r="C357" s="701"/>
      <c r="D357" s="1161"/>
    </row>
    <row r="358" spans="1:4">
      <c r="A358" s="700">
        <v>13969</v>
      </c>
      <c r="B358" s="695" t="s">
        <v>6757</v>
      </c>
      <c r="C358" s="701"/>
      <c r="D358" s="1161"/>
    </row>
    <row r="359" spans="1:4">
      <c r="A359" s="700">
        <v>2160</v>
      </c>
      <c r="B359" s="695" t="s">
        <v>1220</v>
      </c>
      <c r="C359" s="701" t="s">
        <v>1806</v>
      </c>
      <c r="D359" s="1161"/>
    </row>
    <row r="360" spans="1:4">
      <c r="A360" s="700">
        <v>17633</v>
      </c>
      <c r="B360" s="695" t="s">
        <v>4383</v>
      </c>
      <c r="C360" s="701" t="s">
        <v>1806</v>
      </c>
      <c r="D360" s="1161"/>
    </row>
    <row r="361" spans="1:4">
      <c r="A361" s="700">
        <v>16456</v>
      </c>
      <c r="B361" s="695" t="s">
        <v>3845</v>
      </c>
      <c r="C361" s="701" t="s">
        <v>2441</v>
      </c>
      <c r="D361" s="1161"/>
    </row>
    <row r="362" spans="1:4">
      <c r="A362" s="700">
        <v>13988</v>
      </c>
      <c r="B362" s="695" t="s">
        <v>6990</v>
      </c>
      <c r="C362" s="701"/>
      <c r="D362" s="1161"/>
    </row>
    <row r="363" spans="1:4">
      <c r="A363" s="700">
        <v>18734</v>
      </c>
      <c r="B363" s="695" t="s">
        <v>4767</v>
      </c>
      <c r="C363" s="701" t="s">
        <v>2969</v>
      </c>
      <c r="D363" s="1161"/>
    </row>
    <row r="364" spans="1:4">
      <c r="A364" s="700">
        <v>2683</v>
      </c>
      <c r="B364" s="695" t="s">
        <v>4768</v>
      </c>
      <c r="C364" s="701" t="s">
        <v>2437</v>
      </c>
      <c r="D364" s="1161"/>
    </row>
    <row r="365" spans="1:4">
      <c r="A365" s="700">
        <v>3514</v>
      </c>
      <c r="B365" s="695" t="s">
        <v>2123</v>
      </c>
      <c r="C365" s="701" t="s">
        <v>2435</v>
      </c>
      <c r="D365" s="1161">
        <v>23381</v>
      </c>
    </row>
    <row r="366" spans="1:4">
      <c r="A366" s="700">
        <v>3323</v>
      </c>
      <c r="B366" s="695" t="s">
        <v>4385</v>
      </c>
      <c r="C366" s="701" t="s">
        <v>1806</v>
      </c>
      <c r="D366" s="1161"/>
    </row>
    <row r="367" spans="1:4">
      <c r="A367" s="700">
        <v>3554</v>
      </c>
      <c r="B367" s="695" t="s">
        <v>2814</v>
      </c>
      <c r="C367" s="701" t="s">
        <v>1806</v>
      </c>
      <c r="D367" s="1161">
        <v>727</v>
      </c>
    </row>
    <row r="368" spans="1:4">
      <c r="A368" s="700">
        <v>17372</v>
      </c>
      <c r="B368" s="695" t="s">
        <v>4386</v>
      </c>
      <c r="C368" s="701" t="s">
        <v>1804</v>
      </c>
      <c r="D368" s="1161">
        <v>1</v>
      </c>
    </row>
    <row r="369" spans="1:4">
      <c r="A369" s="700">
        <v>17518</v>
      </c>
      <c r="B369" s="695" t="s">
        <v>6991</v>
      </c>
      <c r="C369" s="701"/>
      <c r="D369" s="1161"/>
    </row>
    <row r="370" spans="1:4">
      <c r="A370" s="700">
        <v>3546</v>
      </c>
      <c r="B370" s="695" t="s">
        <v>2815</v>
      </c>
      <c r="C370" s="701" t="s">
        <v>1804</v>
      </c>
      <c r="D370" s="1161">
        <v>39</v>
      </c>
    </row>
    <row r="371" spans="1:4">
      <c r="A371" s="700">
        <v>2930</v>
      </c>
      <c r="B371" s="695" t="s">
        <v>3450</v>
      </c>
      <c r="C371" s="701" t="s">
        <v>3933</v>
      </c>
      <c r="D371" s="1161"/>
    </row>
    <row r="372" spans="1:4">
      <c r="A372" s="700">
        <v>2151</v>
      </c>
      <c r="B372" s="695" t="s">
        <v>4387</v>
      </c>
      <c r="C372" s="701" t="s">
        <v>1806</v>
      </c>
      <c r="D372" s="1161"/>
    </row>
    <row r="373" spans="1:4">
      <c r="A373" s="700">
        <v>3430</v>
      </c>
      <c r="B373" s="695" t="s">
        <v>5677</v>
      </c>
      <c r="C373" s="701" t="s">
        <v>2441</v>
      </c>
      <c r="D373" s="1161"/>
    </row>
    <row r="374" spans="1:4">
      <c r="A374" s="700">
        <v>3451</v>
      </c>
      <c r="B374" s="695" t="s">
        <v>2323</v>
      </c>
      <c r="C374" s="701" t="s">
        <v>2431</v>
      </c>
      <c r="D374" s="1161"/>
    </row>
    <row r="375" spans="1:4">
      <c r="A375" s="700">
        <v>2979</v>
      </c>
      <c r="B375" s="695" t="s">
        <v>4388</v>
      </c>
      <c r="C375" s="701" t="s">
        <v>1806</v>
      </c>
      <c r="D375" s="1161"/>
    </row>
    <row r="376" spans="1:4">
      <c r="A376" s="700">
        <v>2192</v>
      </c>
      <c r="B376" s="695" t="s">
        <v>3299</v>
      </c>
      <c r="C376" s="701" t="s">
        <v>1806</v>
      </c>
      <c r="D376" s="1161"/>
    </row>
    <row r="377" spans="1:4">
      <c r="A377" s="700">
        <v>19044</v>
      </c>
      <c r="B377" s="695" t="s">
        <v>4389</v>
      </c>
      <c r="C377" s="701" t="s">
        <v>1806</v>
      </c>
      <c r="D377" s="1161"/>
    </row>
    <row r="378" spans="1:4">
      <c r="A378" s="700">
        <v>2380</v>
      </c>
      <c r="B378" s="695" t="s">
        <v>75</v>
      </c>
      <c r="C378" s="701"/>
      <c r="D378" s="1161"/>
    </row>
    <row r="379" spans="1:4">
      <c r="A379" s="700">
        <v>3505</v>
      </c>
      <c r="B379" s="695" t="s">
        <v>4213</v>
      </c>
      <c r="C379" s="701" t="s">
        <v>1806</v>
      </c>
      <c r="D379" s="1161"/>
    </row>
    <row r="380" spans="1:4">
      <c r="A380" s="700">
        <v>11545</v>
      </c>
      <c r="B380" s="695" t="s">
        <v>4390</v>
      </c>
      <c r="C380" s="701" t="s">
        <v>436</v>
      </c>
      <c r="D380" s="1161"/>
    </row>
    <row r="381" spans="1:4">
      <c r="A381" s="700">
        <v>18995</v>
      </c>
      <c r="B381" s="695" t="s">
        <v>4391</v>
      </c>
      <c r="C381" s="701" t="s">
        <v>1806</v>
      </c>
      <c r="D381" s="1161"/>
    </row>
    <row r="382" spans="1:4">
      <c r="A382" s="700">
        <v>3399</v>
      </c>
      <c r="B382" s="695" t="s">
        <v>4082</v>
      </c>
      <c r="C382" s="701" t="s">
        <v>2441</v>
      </c>
      <c r="D382" s="1161"/>
    </row>
    <row r="383" spans="1:4">
      <c r="A383" s="700">
        <v>3507</v>
      </c>
      <c r="B383" s="695" t="s">
        <v>4392</v>
      </c>
      <c r="C383" s="701" t="s">
        <v>2435</v>
      </c>
      <c r="D383" s="1161"/>
    </row>
    <row r="384" spans="1:4">
      <c r="A384" s="700">
        <v>17310</v>
      </c>
      <c r="B384" s="695" t="s">
        <v>6992</v>
      </c>
      <c r="C384" s="701"/>
      <c r="D384" s="1161"/>
    </row>
    <row r="385" spans="1:4">
      <c r="A385" s="700">
        <v>2273</v>
      </c>
      <c r="B385" s="695" t="s">
        <v>3310</v>
      </c>
      <c r="C385" s="701" t="s">
        <v>1806</v>
      </c>
      <c r="D385" s="1161"/>
    </row>
    <row r="386" spans="1:4">
      <c r="A386" s="700">
        <v>2660</v>
      </c>
      <c r="B386" s="695" t="s">
        <v>3292</v>
      </c>
      <c r="C386" s="701" t="s">
        <v>1804</v>
      </c>
      <c r="D386" s="1161"/>
    </row>
    <row r="387" spans="1:4">
      <c r="A387" s="700">
        <v>2653</v>
      </c>
      <c r="B387" s="695" t="s">
        <v>5475</v>
      </c>
      <c r="C387" s="701" t="s">
        <v>1804</v>
      </c>
      <c r="D387" s="1161"/>
    </row>
    <row r="388" spans="1:4">
      <c r="A388" s="700">
        <v>3521</v>
      </c>
      <c r="B388" s="695" t="s">
        <v>334</v>
      </c>
      <c r="C388" s="701" t="s">
        <v>2437</v>
      </c>
      <c r="D388" s="1161"/>
    </row>
    <row r="389" spans="1:4">
      <c r="A389" s="700">
        <v>2194</v>
      </c>
      <c r="B389" s="695" t="s">
        <v>3613</v>
      </c>
      <c r="C389" s="701" t="s">
        <v>1806</v>
      </c>
      <c r="D389" s="1161"/>
    </row>
    <row r="390" spans="1:4">
      <c r="A390" s="700">
        <v>3098</v>
      </c>
      <c r="B390" s="695" t="s">
        <v>2676</v>
      </c>
      <c r="C390" s="701" t="s">
        <v>1806</v>
      </c>
      <c r="D390" s="1161"/>
    </row>
    <row r="391" spans="1:4">
      <c r="A391" s="700">
        <v>6792</v>
      </c>
      <c r="B391" s="695" t="s">
        <v>6993</v>
      </c>
      <c r="C391" s="701"/>
      <c r="D391" s="1161"/>
    </row>
    <row r="392" spans="1:4">
      <c r="A392" s="700">
        <v>2150</v>
      </c>
      <c r="B392" s="695" t="s">
        <v>2382</v>
      </c>
      <c r="C392" s="701" t="s">
        <v>1806</v>
      </c>
      <c r="D392" s="1161"/>
    </row>
    <row r="393" spans="1:4">
      <c r="A393" s="700">
        <v>17530</v>
      </c>
      <c r="B393" s="695" t="s">
        <v>3993</v>
      </c>
      <c r="C393" s="701"/>
      <c r="D393" s="1161"/>
    </row>
    <row r="394" spans="1:4">
      <c r="A394" s="700">
        <v>2232</v>
      </c>
      <c r="B394" s="695" t="s">
        <v>198</v>
      </c>
      <c r="C394" s="701" t="s">
        <v>1806</v>
      </c>
      <c r="D394" s="1161"/>
    </row>
    <row r="395" spans="1:4">
      <c r="A395" s="700">
        <v>3115</v>
      </c>
      <c r="B395" s="695" t="s">
        <v>5357</v>
      </c>
      <c r="C395" s="701"/>
      <c r="D395" s="1161"/>
    </row>
    <row r="396" spans="1:4">
      <c r="A396" s="700">
        <v>2179</v>
      </c>
      <c r="B396" s="695" t="s">
        <v>4393</v>
      </c>
      <c r="C396" s="701" t="s">
        <v>1806</v>
      </c>
      <c r="D396" s="1161"/>
    </row>
    <row r="397" spans="1:4">
      <c r="A397" s="700">
        <v>2129</v>
      </c>
      <c r="B397" s="695" t="s">
        <v>3846</v>
      </c>
      <c r="C397" s="701" t="s">
        <v>1806</v>
      </c>
      <c r="D397" s="1161"/>
    </row>
    <row r="398" spans="1:4">
      <c r="A398" s="700">
        <v>2367</v>
      </c>
      <c r="B398" s="695" t="s">
        <v>3060</v>
      </c>
      <c r="C398" s="701" t="s">
        <v>1806</v>
      </c>
      <c r="D398" s="1161"/>
    </row>
    <row r="399" spans="1:4">
      <c r="A399" s="700">
        <v>18390</v>
      </c>
      <c r="B399" s="695" t="s">
        <v>6994</v>
      </c>
      <c r="C399" s="701"/>
      <c r="D399" s="1161"/>
    </row>
    <row r="400" spans="1:4">
      <c r="A400" s="700">
        <v>12623</v>
      </c>
      <c r="B400" s="695" t="s">
        <v>6792</v>
      </c>
      <c r="C400" s="701"/>
      <c r="D400" s="1161"/>
    </row>
    <row r="401" spans="1:4">
      <c r="A401" s="700">
        <v>3465</v>
      </c>
      <c r="B401" s="695" t="s">
        <v>3057</v>
      </c>
      <c r="C401" s="701" t="s">
        <v>2430</v>
      </c>
      <c r="D401" s="1161"/>
    </row>
    <row r="402" spans="1:4">
      <c r="A402" s="700">
        <v>2146</v>
      </c>
      <c r="B402" s="695" t="s">
        <v>3298</v>
      </c>
      <c r="C402" s="701" t="s">
        <v>1806</v>
      </c>
      <c r="D402" s="1161"/>
    </row>
    <row r="403" spans="1:4">
      <c r="A403" s="700">
        <v>19887</v>
      </c>
      <c r="B403" s="695" t="s">
        <v>6995</v>
      </c>
      <c r="C403" s="701"/>
      <c r="D403" s="1161"/>
    </row>
    <row r="404" spans="1:4">
      <c r="A404" s="700">
        <v>3544</v>
      </c>
      <c r="B404" s="695" t="s">
        <v>745</v>
      </c>
      <c r="C404" s="701" t="s">
        <v>1806</v>
      </c>
      <c r="D404" s="1161"/>
    </row>
    <row r="405" spans="1:4">
      <c r="A405" s="700">
        <v>14768</v>
      </c>
      <c r="B405" s="695" t="s">
        <v>6996</v>
      </c>
      <c r="C405" s="701"/>
      <c r="D405" s="1161"/>
    </row>
    <row r="406" spans="1:4">
      <c r="A406" s="700">
        <v>2661</v>
      </c>
      <c r="B406" s="695" t="s">
        <v>6997</v>
      </c>
      <c r="C406" s="701"/>
      <c r="D406" s="1161"/>
    </row>
    <row r="407" spans="1:4">
      <c r="A407" s="700">
        <v>3523</v>
      </c>
      <c r="B407" s="695" t="s">
        <v>4930</v>
      </c>
      <c r="C407" s="701" t="s">
        <v>2437</v>
      </c>
      <c r="D407" s="1161"/>
    </row>
    <row r="408" spans="1:4">
      <c r="A408" s="700">
        <v>2934</v>
      </c>
      <c r="B408" s="695" t="s">
        <v>1965</v>
      </c>
      <c r="C408" s="701" t="s">
        <v>2442</v>
      </c>
      <c r="D408" s="1161">
        <v>20208</v>
      </c>
    </row>
    <row r="409" spans="1:4">
      <c r="A409" s="700">
        <v>2652</v>
      </c>
      <c r="B409" s="695" t="s">
        <v>4394</v>
      </c>
      <c r="C409" s="701" t="s">
        <v>1804</v>
      </c>
      <c r="D409" s="1161"/>
    </row>
    <row r="410" spans="1:4">
      <c r="A410" s="700">
        <v>2771</v>
      </c>
      <c r="B410" s="695" t="s">
        <v>2161</v>
      </c>
      <c r="C410" s="701" t="s">
        <v>1806</v>
      </c>
      <c r="D410" s="1161"/>
    </row>
    <row r="411" spans="1:4">
      <c r="A411" s="700">
        <v>2625</v>
      </c>
      <c r="B411" s="695" t="s">
        <v>4395</v>
      </c>
      <c r="C411" s="701" t="s">
        <v>1805</v>
      </c>
      <c r="D411" s="1161"/>
    </row>
    <row r="412" spans="1:4">
      <c r="A412" s="700">
        <v>3165</v>
      </c>
      <c r="B412" s="695" t="s">
        <v>3059</v>
      </c>
      <c r="C412" s="701" t="s">
        <v>1806</v>
      </c>
      <c r="D412" s="1161">
        <v>1502</v>
      </c>
    </row>
    <row r="413" spans="1:4">
      <c r="A413" s="700">
        <v>2381</v>
      </c>
      <c r="B413" s="695" t="s">
        <v>3283</v>
      </c>
      <c r="C413" s="701" t="s">
        <v>1806</v>
      </c>
      <c r="D413" s="1161"/>
    </row>
    <row r="414" spans="1:4">
      <c r="A414" s="700">
        <v>3634</v>
      </c>
      <c r="B414" s="695" t="s">
        <v>1515</v>
      </c>
      <c r="C414" s="701" t="s">
        <v>1806</v>
      </c>
      <c r="D414" s="1161"/>
    </row>
    <row r="415" spans="1:4">
      <c r="A415" s="700">
        <v>3454</v>
      </c>
      <c r="B415" s="695" t="s">
        <v>3848</v>
      </c>
      <c r="C415" s="701" t="s">
        <v>2441</v>
      </c>
      <c r="D415" s="1161">
        <v>48500</v>
      </c>
    </row>
    <row r="416" spans="1:4">
      <c r="A416" s="700">
        <v>2418</v>
      </c>
      <c r="B416" s="695" t="s">
        <v>4396</v>
      </c>
      <c r="C416" s="701" t="s">
        <v>1806</v>
      </c>
      <c r="D416" s="1161"/>
    </row>
    <row r="417" spans="1:4">
      <c r="A417" s="700">
        <v>2419</v>
      </c>
      <c r="B417" s="695" t="s">
        <v>4397</v>
      </c>
      <c r="C417" s="701" t="s">
        <v>1806</v>
      </c>
      <c r="D417" s="1161"/>
    </row>
    <row r="418" spans="1:4">
      <c r="A418" s="700">
        <v>14333</v>
      </c>
      <c r="B418" s="695" t="s">
        <v>6811</v>
      </c>
      <c r="C418" s="701"/>
      <c r="D418" s="1161"/>
    </row>
    <row r="419" spans="1:4">
      <c r="A419" s="700">
        <v>2590</v>
      </c>
      <c r="B419" s="695" t="s">
        <v>3659</v>
      </c>
      <c r="C419" s="701" t="s">
        <v>2441</v>
      </c>
      <c r="D419" s="1161"/>
    </row>
    <row r="420" spans="1:4">
      <c r="A420" s="700">
        <v>14054</v>
      </c>
      <c r="B420" s="695" t="s">
        <v>4398</v>
      </c>
      <c r="C420" s="701" t="s">
        <v>1806</v>
      </c>
      <c r="D420" s="1161"/>
    </row>
    <row r="421" spans="1:4">
      <c r="A421" s="700">
        <v>2963</v>
      </c>
      <c r="B421" s="695" t="s">
        <v>3449</v>
      </c>
      <c r="C421" s="701" t="s">
        <v>1806</v>
      </c>
      <c r="D421" s="1161"/>
    </row>
    <row r="422" spans="1:4">
      <c r="A422" s="700">
        <v>14384</v>
      </c>
      <c r="B422" s="695" t="s">
        <v>4399</v>
      </c>
      <c r="C422" s="701" t="s">
        <v>3928</v>
      </c>
      <c r="D422" s="1161"/>
    </row>
    <row r="423" spans="1:4">
      <c r="A423" s="700">
        <v>3352</v>
      </c>
      <c r="B423" s="695" t="s">
        <v>4005</v>
      </c>
      <c r="C423" s="701" t="s">
        <v>2436</v>
      </c>
      <c r="D423" s="1161"/>
    </row>
    <row r="424" spans="1:4">
      <c r="A424" s="700">
        <v>10724</v>
      </c>
      <c r="B424" s="695" t="s">
        <v>4400</v>
      </c>
      <c r="C424" s="701" t="s">
        <v>1806</v>
      </c>
      <c r="D424" s="1161"/>
    </row>
    <row r="425" spans="1:4">
      <c r="A425" s="700">
        <v>3604</v>
      </c>
      <c r="B425" s="695" t="s">
        <v>5685</v>
      </c>
      <c r="C425" s="701" t="s">
        <v>2429</v>
      </c>
      <c r="D425" s="1161"/>
    </row>
    <row r="426" spans="1:4">
      <c r="A426" s="700">
        <v>2987</v>
      </c>
      <c r="B426" s="695" t="s">
        <v>4303</v>
      </c>
      <c r="C426" s="701" t="s">
        <v>3928</v>
      </c>
      <c r="D426" s="1161"/>
    </row>
    <row r="427" spans="1:4">
      <c r="A427" s="700">
        <v>3528</v>
      </c>
      <c r="B427" s="695" t="s">
        <v>3544</v>
      </c>
      <c r="C427" s="701" t="s">
        <v>2433</v>
      </c>
      <c r="D427" s="1161"/>
    </row>
    <row r="428" spans="1:4">
      <c r="A428" s="700">
        <v>3431</v>
      </c>
      <c r="B428" s="695" t="s">
        <v>2726</v>
      </c>
      <c r="C428" s="701" t="s">
        <v>2441</v>
      </c>
      <c r="D428" s="1161"/>
    </row>
    <row r="429" spans="1:4">
      <c r="A429" s="700">
        <v>2157</v>
      </c>
      <c r="B429" s="695" t="s">
        <v>4307</v>
      </c>
      <c r="C429" s="701" t="s">
        <v>1806</v>
      </c>
      <c r="D429" s="1161"/>
    </row>
    <row r="430" spans="1:4">
      <c r="A430" s="700">
        <v>2960</v>
      </c>
      <c r="B430" s="695" t="s">
        <v>3885</v>
      </c>
      <c r="C430" s="701" t="s">
        <v>1806</v>
      </c>
      <c r="D430" s="1161"/>
    </row>
    <row r="431" spans="1:4">
      <c r="A431" s="700">
        <v>2964</v>
      </c>
      <c r="B431" s="695" t="s">
        <v>4401</v>
      </c>
      <c r="C431" s="701" t="s">
        <v>1806</v>
      </c>
      <c r="D431" s="1161"/>
    </row>
    <row r="432" spans="1:4">
      <c r="A432" s="700">
        <v>15026</v>
      </c>
      <c r="B432" s="695" t="s">
        <v>6998</v>
      </c>
      <c r="C432" s="701"/>
      <c r="D432" s="1161"/>
    </row>
    <row r="433" spans="1:4">
      <c r="A433" s="700">
        <v>17253</v>
      </c>
      <c r="B433" s="695" t="s">
        <v>4402</v>
      </c>
      <c r="C433" s="701" t="s">
        <v>1806</v>
      </c>
      <c r="D433" s="1161"/>
    </row>
    <row r="434" spans="1:4">
      <c r="A434" s="700">
        <v>2159</v>
      </c>
      <c r="B434" s="695" t="s">
        <v>4308</v>
      </c>
      <c r="C434" s="701" t="s">
        <v>1806</v>
      </c>
      <c r="D434" s="1161"/>
    </row>
    <row r="435" spans="1:4">
      <c r="A435" s="700">
        <v>3137</v>
      </c>
      <c r="B435" s="695" t="s">
        <v>4403</v>
      </c>
      <c r="C435" s="701" t="s">
        <v>1806</v>
      </c>
      <c r="D435" s="1161"/>
    </row>
    <row r="436" spans="1:4">
      <c r="A436" s="700">
        <v>2410</v>
      </c>
      <c r="B436" s="695" t="s">
        <v>4404</v>
      </c>
      <c r="C436" s="701" t="s">
        <v>1806</v>
      </c>
      <c r="D436" s="1161"/>
    </row>
    <row r="437" spans="1:4">
      <c r="A437" s="700">
        <v>16077</v>
      </c>
      <c r="B437" s="695" t="s">
        <v>6999</v>
      </c>
      <c r="C437" s="701"/>
      <c r="D437" s="1161"/>
    </row>
    <row r="438" spans="1:4">
      <c r="A438" s="700">
        <v>2927</v>
      </c>
      <c r="B438" s="695" t="s">
        <v>5409</v>
      </c>
      <c r="C438" s="701" t="s">
        <v>3933</v>
      </c>
      <c r="D438" s="1161"/>
    </row>
    <row r="439" spans="1:4">
      <c r="A439" s="700">
        <v>2983</v>
      </c>
      <c r="B439" s="695" t="s">
        <v>4405</v>
      </c>
      <c r="C439" s="701" t="s">
        <v>1806</v>
      </c>
      <c r="D439" s="1161"/>
    </row>
    <row r="440" spans="1:4">
      <c r="A440" s="700">
        <v>18366</v>
      </c>
      <c r="B440" s="695" t="s">
        <v>4011</v>
      </c>
      <c r="C440" s="701"/>
      <c r="D440" s="1161"/>
    </row>
    <row r="441" spans="1:4">
      <c r="A441" s="700">
        <v>3553</v>
      </c>
      <c r="B441" s="695" t="s">
        <v>2816</v>
      </c>
      <c r="C441" s="701" t="s">
        <v>1806</v>
      </c>
      <c r="D441" s="1161">
        <v>644</v>
      </c>
    </row>
    <row r="442" spans="1:4">
      <c r="A442" s="700">
        <v>3175</v>
      </c>
      <c r="B442" s="695" t="s">
        <v>747</v>
      </c>
      <c r="C442" s="701" t="s">
        <v>1806</v>
      </c>
      <c r="D442" s="1161"/>
    </row>
    <row r="443" spans="1:4">
      <c r="A443" s="700">
        <v>2606</v>
      </c>
      <c r="B443" s="695" t="s">
        <v>4406</v>
      </c>
      <c r="C443" s="701" t="s">
        <v>1806</v>
      </c>
      <c r="D443" s="1161"/>
    </row>
    <row r="444" spans="1:4">
      <c r="A444" s="700">
        <v>2678</v>
      </c>
      <c r="B444" s="695" t="s">
        <v>1642</v>
      </c>
      <c r="C444" s="701" t="s">
        <v>2437</v>
      </c>
      <c r="D444" s="1161">
        <v>0</v>
      </c>
    </row>
    <row r="445" spans="1:4">
      <c r="A445" s="700">
        <v>3213</v>
      </c>
      <c r="B445" s="695" t="s">
        <v>5242</v>
      </c>
      <c r="C445" s="701" t="s">
        <v>1806</v>
      </c>
      <c r="D445" s="1161"/>
    </row>
    <row r="446" spans="1:4">
      <c r="A446" s="700">
        <v>2343</v>
      </c>
      <c r="B446" s="695" t="s">
        <v>7000</v>
      </c>
      <c r="C446" s="701"/>
      <c r="D446" s="1161"/>
    </row>
    <row r="447" spans="1:4">
      <c r="A447" s="700">
        <v>2521</v>
      </c>
      <c r="B447" s="695" t="s">
        <v>3048</v>
      </c>
      <c r="C447" s="701" t="s">
        <v>1806</v>
      </c>
      <c r="D447" s="1161"/>
    </row>
    <row r="448" spans="1:4">
      <c r="A448" s="700">
        <v>18540</v>
      </c>
      <c r="B448" s="695" t="s">
        <v>4407</v>
      </c>
      <c r="C448" s="701" t="s">
        <v>1806</v>
      </c>
      <c r="D448" s="1161"/>
    </row>
    <row r="449" spans="1:4">
      <c r="A449" s="700">
        <v>2770</v>
      </c>
      <c r="B449" s="695" t="s">
        <v>725</v>
      </c>
      <c r="C449" s="701" t="s">
        <v>1804</v>
      </c>
      <c r="D449" s="1161"/>
    </row>
    <row r="450" spans="1:4">
      <c r="A450" s="700">
        <v>2686</v>
      </c>
      <c r="B450" s="695" t="s">
        <v>4214</v>
      </c>
      <c r="C450" s="701" t="s">
        <v>2433</v>
      </c>
      <c r="D450" s="1161"/>
    </row>
    <row r="451" spans="1:4">
      <c r="A451" s="700">
        <v>2658</v>
      </c>
      <c r="B451" s="695" t="s">
        <v>4215</v>
      </c>
      <c r="C451" s="701" t="s">
        <v>1804</v>
      </c>
      <c r="D451" s="1161"/>
    </row>
    <row r="452" spans="1:4">
      <c r="A452" s="700">
        <v>3623</v>
      </c>
      <c r="B452" s="695" t="s">
        <v>1075</v>
      </c>
      <c r="C452" s="701" t="s">
        <v>1806</v>
      </c>
      <c r="D452" s="1161"/>
    </row>
    <row r="453" spans="1:4">
      <c r="A453" s="700">
        <v>2115</v>
      </c>
      <c r="B453" s="695" t="s">
        <v>1306</v>
      </c>
      <c r="C453" s="701" t="s">
        <v>2442</v>
      </c>
      <c r="D453" s="1161"/>
    </row>
    <row r="454" spans="1:4">
      <c r="A454" s="700">
        <v>3619</v>
      </c>
      <c r="B454" s="695" t="s">
        <v>4216</v>
      </c>
      <c r="C454" s="701" t="s">
        <v>1804</v>
      </c>
      <c r="D454" s="1161"/>
    </row>
    <row r="455" spans="1:4">
      <c r="A455" s="700">
        <v>2290</v>
      </c>
      <c r="B455" s="695" t="s">
        <v>4166</v>
      </c>
      <c r="C455" s="701" t="s">
        <v>2438</v>
      </c>
      <c r="D455" s="1161"/>
    </row>
    <row r="456" spans="1:4">
      <c r="A456" s="700">
        <v>3643</v>
      </c>
      <c r="B456" s="695" t="s">
        <v>4015</v>
      </c>
      <c r="C456" s="701"/>
      <c r="D456" s="1161"/>
    </row>
    <row r="457" spans="1:4">
      <c r="A457" s="700">
        <v>15344</v>
      </c>
      <c r="B457" s="695" t="s">
        <v>4408</v>
      </c>
      <c r="C457" s="701" t="s">
        <v>1809</v>
      </c>
      <c r="D457" s="1161"/>
    </row>
    <row r="458" spans="1:4">
      <c r="A458" s="700">
        <v>15059</v>
      </c>
      <c r="B458" s="695" t="s">
        <v>7001</v>
      </c>
      <c r="C458" s="701"/>
      <c r="D458" s="1161"/>
    </row>
    <row r="459" spans="1:4">
      <c r="A459" s="700">
        <v>3178</v>
      </c>
      <c r="B459" s="695" t="s">
        <v>4409</v>
      </c>
      <c r="C459" s="701" t="s">
        <v>1806</v>
      </c>
      <c r="D459" s="1161"/>
    </row>
    <row r="460" spans="1:4">
      <c r="A460" s="700">
        <v>3154</v>
      </c>
      <c r="B460" s="695" t="s">
        <v>3284</v>
      </c>
      <c r="C460" s="701" t="s">
        <v>1806</v>
      </c>
      <c r="D460" s="1161"/>
    </row>
    <row r="461" spans="1:4">
      <c r="A461" s="700">
        <v>2204</v>
      </c>
      <c r="B461" s="695" t="s">
        <v>724</v>
      </c>
      <c r="C461" s="701" t="s">
        <v>3928</v>
      </c>
      <c r="D461" s="1161"/>
    </row>
    <row r="462" spans="1:4">
      <c r="A462" s="700">
        <v>2879</v>
      </c>
      <c r="B462" s="695" t="s">
        <v>4410</v>
      </c>
      <c r="C462" s="701" t="s">
        <v>1806</v>
      </c>
      <c r="D462" s="1161"/>
    </row>
    <row r="463" spans="1:4">
      <c r="A463" s="700">
        <v>2170</v>
      </c>
      <c r="B463" s="695" t="s">
        <v>950</v>
      </c>
      <c r="C463" s="701" t="s">
        <v>1806</v>
      </c>
      <c r="D463" s="1161"/>
    </row>
    <row r="464" spans="1:4">
      <c r="A464" s="700">
        <v>2622</v>
      </c>
      <c r="B464" s="695" t="s">
        <v>4309</v>
      </c>
      <c r="C464" s="701" t="s">
        <v>1805</v>
      </c>
      <c r="D464" s="1161"/>
    </row>
    <row r="465" spans="1:4">
      <c r="A465" s="700">
        <v>2175</v>
      </c>
      <c r="B465" s="695" t="s">
        <v>3614</v>
      </c>
      <c r="C465" s="701" t="s">
        <v>1806</v>
      </c>
      <c r="D465" s="1161"/>
    </row>
    <row r="466" spans="1:4">
      <c r="A466" s="700">
        <v>2967</v>
      </c>
      <c r="B466" s="695" t="s">
        <v>2672</v>
      </c>
      <c r="C466" s="701" t="s">
        <v>5365</v>
      </c>
      <c r="D466" s="1161"/>
    </row>
    <row r="467" spans="1:4">
      <c r="A467" s="700">
        <v>3084</v>
      </c>
      <c r="B467" s="695" t="s">
        <v>4411</v>
      </c>
      <c r="C467" s="701" t="s">
        <v>1806</v>
      </c>
      <c r="D467" s="1161"/>
    </row>
    <row r="468" spans="1:4">
      <c r="A468" s="700">
        <v>2382</v>
      </c>
      <c r="B468" s="695" t="s">
        <v>1161</v>
      </c>
      <c r="C468" s="701" t="s">
        <v>1806</v>
      </c>
      <c r="D468" s="1161"/>
    </row>
    <row r="469" spans="1:4">
      <c r="A469" s="700">
        <v>2165</v>
      </c>
      <c r="B469" s="695" t="s">
        <v>7002</v>
      </c>
      <c r="C469" s="701"/>
      <c r="D469" s="1161"/>
    </row>
    <row r="470" spans="1:4">
      <c r="A470" s="700">
        <v>3058</v>
      </c>
      <c r="B470" s="695" t="s">
        <v>1465</v>
      </c>
      <c r="C470" s="701" t="s">
        <v>1806</v>
      </c>
      <c r="D470" s="1161"/>
    </row>
    <row r="471" spans="1:4">
      <c r="A471" s="700">
        <v>14485</v>
      </c>
      <c r="B471" s="695" t="s">
        <v>4412</v>
      </c>
      <c r="C471" s="701" t="s">
        <v>1806</v>
      </c>
      <c r="D471" s="1161"/>
    </row>
    <row r="472" spans="1:4">
      <c r="A472" s="700">
        <v>2673</v>
      </c>
      <c r="B472" s="695" t="s">
        <v>742</v>
      </c>
      <c r="C472" s="701" t="s">
        <v>2435</v>
      </c>
      <c r="D472" s="1161"/>
    </row>
    <row r="473" spans="1:4">
      <c r="A473" s="700">
        <v>11426</v>
      </c>
      <c r="B473" s="695" t="s">
        <v>4413</v>
      </c>
      <c r="C473" s="701" t="s">
        <v>5365</v>
      </c>
      <c r="D473" s="1161"/>
    </row>
    <row r="474" spans="1:4">
      <c r="A474" s="700">
        <v>3558</v>
      </c>
      <c r="B474" s="695" t="s">
        <v>4414</v>
      </c>
      <c r="C474" s="701" t="s">
        <v>1804</v>
      </c>
      <c r="D474" s="1161"/>
    </row>
    <row r="475" spans="1:4">
      <c r="A475" s="700">
        <v>2695</v>
      </c>
      <c r="B475" s="695" t="s">
        <v>4415</v>
      </c>
      <c r="C475" s="701" t="s">
        <v>1806</v>
      </c>
      <c r="D475" s="1161"/>
    </row>
    <row r="476" spans="1:4">
      <c r="A476" s="700">
        <v>2270</v>
      </c>
      <c r="B476" s="695" t="s">
        <v>3849</v>
      </c>
      <c r="C476" s="701" t="s">
        <v>1806</v>
      </c>
      <c r="D476" s="1161"/>
    </row>
    <row r="477" spans="1:4">
      <c r="A477" s="700">
        <v>3060</v>
      </c>
      <c r="B477" s="695" t="s">
        <v>5603</v>
      </c>
      <c r="C477" s="701" t="s">
        <v>1806</v>
      </c>
      <c r="D477" s="1161"/>
    </row>
    <row r="478" spans="1:4">
      <c r="A478" s="700">
        <v>3321</v>
      </c>
      <c r="B478" s="695" t="s">
        <v>3058</v>
      </c>
      <c r="C478" s="701" t="s">
        <v>1806</v>
      </c>
      <c r="D478" s="1161"/>
    </row>
    <row r="479" spans="1:4">
      <c r="A479" s="700">
        <v>2332</v>
      </c>
      <c r="B479" s="695" t="s">
        <v>3844</v>
      </c>
      <c r="C479" s="701" t="s">
        <v>1806</v>
      </c>
      <c r="D479" s="1161"/>
    </row>
    <row r="480" spans="1:4">
      <c r="A480" s="700">
        <v>3133</v>
      </c>
      <c r="B480" s="695" t="s">
        <v>3660</v>
      </c>
      <c r="C480" s="701" t="s">
        <v>1806</v>
      </c>
      <c r="D480" s="1161"/>
    </row>
    <row r="481" spans="1:4">
      <c r="A481" s="700">
        <v>3066</v>
      </c>
      <c r="B481" s="695" t="s">
        <v>1643</v>
      </c>
      <c r="C481" s="701" t="s">
        <v>1806</v>
      </c>
      <c r="D481" s="1161"/>
    </row>
    <row r="482" spans="1:4">
      <c r="A482" s="700">
        <v>3116</v>
      </c>
      <c r="B482" s="695" t="s">
        <v>2173</v>
      </c>
      <c r="C482" s="701" t="s">
        <v>1806</v>
      </c>
      <c r="D482" s="1161"/>
    </row>
    <row r="483" spans="1:4">
      <c r="A483" s="700">
        <v>2258</v>
      </c>
      <c r="B483" s="695" t="s">
        <v>3988</v>
      </c>
      <c r="C483" s="701" t="s">
        <v>1806</v>
      </c>
      <c r="D483" s="1161"/>
    </row>
    <row r="484" spans="1:4">
      <c r="A484" s="700">
        <v>18581</v>
      </c>
      <c r="B484" s="695" t="s">
        <v>534</v>
      </c>
      <c r="C484" s="701" t="s">
        <v>1806</v>
      </c>
      <c r="D484" s="1161"/>
    </row>
    <row r="485" spans="1:4">
      <c r="A485" s="700">
        <v>2117</v>
      </c>
      <c r="B485" s="695" t="s">
        <v>6754</v>
      </c>
      <c r="C485" s="701"/>
      <c r="D485" s="1161"/>
    </row>
    <row r="486" spans="1:4">
      <c r="A486" s="700">
        <v>18628</v>
      </c>
      <c r="B486" s="695" t="s">
        <v>7003</v>
      </c>
      <c r="C486" s="701"/>
      <c r="D486" s="1161"/>
    </row>
    <row r="487" spans="1:4">
      <c r="A487" s="700">
        <v>2705</v>
      </c>
      <c r="B487" s="695" t="s">
        <v>6868</v>
      </c>
      <c r="C487" s="701"/>
      <c r="D487" s="1161"/>
    </row>
    <row r="488" spans="1:4">
      <c r="A488" s="700">
        <v>2552</v>
      </c>
      <c r="B488" s="695" t="s">
        <v>3451</v>
      </c>
      <c r="C488" s="701" t="s">
        <v>1809</v>
      </c>
      <c r="D488" s="1161"/>
    </row>
    <row r="489" spans="1:4">
      <c r="A489" s="700">
        <v>6614</v>
      </c>
      <c r="B489" s="695" t="s">
        <v>6870</v>
      </c>
      <c r="C489" s="701"/>
      <c r="D489" s="1161"/>
    </row>
    <row r="490" spans="1:4">
      <c r="A490" s="700">
        <v>14918</v>
      </c>
      <c r="B490" s="695" t="s">
        <v>4416</v>
      </c>
      <c r="C490" s="701" t="s">
        <v>1806</v>
      </c>
      <c r="D490" s="1161"/>
    </row>
    <row r="491" spans="1:4">
      <c r="A491" s="700">
        <v>3531</v>
      </c>
      <c r="B491" s="695" t="s">
        <v>5194</v>
      </c>
      <c r="C491" s="701" t="s">
        <v>2433</v>
      </c>
      <c r="D491" s="1161"/>
    </row>
    <row r="492" spans="1:4">
      <c r="A492" s="700">
        <v>3518</v>
      </c>
      <c r="B492" s="695" t="s">
        <v>4417</v>
      </c>
      <c r="C492" s="701" t="s">
        <v>2437</v>
      </c>
      <c r="D492" s="1161"/>
    </row>
    <row r="493" spans="1:4">
      <c r="A493" s="700">
        <v>3298</v>
      </c>
      <c r="B493" s="695" t="s">
        <v>2988</v>
      </c>
      <c r="C493" s="701" t="s">
        <v>2969</v>
      </c>
      <c r="D493" s="1161"/>
    </row>
    <row r="494" spans="1:4">
      <c r="A494" s="700">
        <v>3403</v>
      </c>
      <c r="B494" s="695" t="s">
        <v>4418</v>
      </c>
      <c r="C494" s="701" t="s">
        <v>2441</v>
      </c>
      <c r="D494" s="1161"/>
    </row>
    <row r="495" spans="1:4">
      <c r="A495" s="700">
        <v>3416</v>
      </c>
      <c r="B495" s="695" t="s">
        <v>3192</v>
      </c>
      <c r="C495" s="701"/>
      <c r="D495" s="1161"/>
    </row>
    <row r="496" spans="1:4">
      <c r="A496" s="700">
        <v>3262</v>
      </c>
      <c r="B496" s="695" t="s">
        <v>3311</v>
      </c>
      <c r="C496" s="701" t="s">
        <v>1806</v>
      </c>
      <c r="D496" s="1161"/>
    </row>
    <row r="497" spans="1:4">
      <c r="A497" s="700">
        <v>3476</v>
      </c>
      <c r="B497" s="695" t="s">
        <v>3502</v>
      </c>
      <c r="C497" s="701" t="s">
        <v>2430</v>
      </c>
      <c r="D497" s="1161"/>
    </row>
    <row r="498" spans="1:4">
      <c r="A498" s="700">
        <v>3635</v>
      </c>
      <c r="B498" s="695" t="s">
        <v>4419</v>
      </c>
      <c r="C498" s="701" t="s">
        <v>1806</v>
      </c>
      <c r="D498" s="1161"/>
    </row>
    <row r="499" spans="1:4">
      <c r="A499" s="700">
        <v>3442</v>
      </c>
      <c r="B499" s="695" t="s">
        <v>1076</v>
      </c>
      <c r="C499" s="701" t="s">
        <v>2431</v>
      </c>
      <c r="D499" s="1161"/>
    </row>
    <row r="500" spans="1:4">
      <c r="A500" s="700">
        <v>18519</v>
      </c>
      <c r="B500" s="695" t="s">
        <v>7004</v>
      </c>
      <c r="C500" s="701"/>
      <c r="D500" s="1161"/>
    </row>
    <row r="501" spans="1:4">
      <c r="A501" s="700">
        <v>2773</v>
      </c>
      <c r="B501" s="695" t="s">
        <v>2808</v>
      </c>
      <c r="C501" s="701"/>
      <c r="D501" s="1161"/>
    </row>
    <row r="502" spans="1:4">
      <c r="A502" s="700">
        <v>18518</v>
      </c>
      <c r="B502" s="695" t="s">
        <v>7005</v>
      </c>
      <c r="C502" s="701"/>
      <c r="D502" s="1161"/>
    </row>
    <row r="503" spans="1:4">
      <c r="A503" s="700">
        <v>2285</v>
      </c>
      <c r="B503" s="695" t="s">
        <v>4420</v>
      </c>
      <c r="C503" s="701" t="s">
        <v>1806</v>
      </c>
      <c r="D503" s="1161"/>
    </row>
    <row r="504" spans="1:4">
      <c r="A504" s="700">
        <v>13290</v>
      </c>
      <c r="B504" s="695" t="s">
        <v>4899</v>
      </c>
      <c r="C504" s="701" t="s">
        <v>1806</v>
      </c>
      <c r="D504" s="1161"/>
    </row>
    <row r="505" spans="1:4">
      <c r="A505" s="700">
        <v>3087</v>
      </c>
      <c r="B505" s="695" t="s">
        <v>5343</v>
      </c>
      <c r="C505" s="701"/>
      <c r="D505" s="1161"/>
    </row>
    <row r="506" spans="1:4">
      <c r="A506" s="700">
        <v>3061</v>
      </c>
      <c r="B506" s="695" t="s">
        <v>7006</v>
      </c>
      <c r="C506" s="701"/>
      <c r="D506" s="1161"/>
    </row>
    <row r="507" spans="1:4">
      <c r="A507" s="700">
        <v>14682</v>
      </c>
      <c r="B507" s="695" t="s">
        <v>6897</v>
      </c>
      <c r="C507" s="701"/>
      <c r="D507" s="1161"/>
    </row>
    <row r="508" spans="1:4">
      <c r="A508" s="700">
        <v>2457</v>
      </c>
      <c r="B508" s="695" t="s">
        <v>1551</v>
      </c>
      <c r="C508" s="701" t="s">
        <v>1806</v>
      </c>
      <c r="D508" s="1161"/>
    </row>
    <row r="509" spans="1:4">
      <c r="A509" s="700">
        <v>18731</v>
      </c>
      <c r="B509" s="695" t="s">
        <v>4421</v>
      </c>
      <c r="C509" s="701" t="s">
        <v>1806</v>
      </c>
      <c r="D509" s="1161"/>
    </row>
    <row r="510" spans="1:4">
      <c r="A510" s="700">
        <v>2071</v>
      </c>
      <c r="B510" s="695" t="s">
        <v>1067</v>
      </c>
      <c r="C510" s="701" t="s">
        <v>1806</v>
      </c>
      <c r="D510" s="1161"/>
    </row>
    <row r="511" spans="1:4">
      <c r="A511" s="700">
        <v>2070</v>
      </c>
      <c r="B511" s="695" t="s">
        <v>3448</v>
      </c>
      <c r="C511" s="701" t="s">
        <v>1806</v>
      </c>
      <c r="D511" s="1161"/>
    </row>
    <row r="512" spans="1:4">
      <c r="A512" s="700">
        <v>12670</v>
      </c>
      <c r="B512" s="695" t="s">
        <v>7007</v>
      </c>
      <c r="C512" s="701"/>
      <c r="D512" s="1161"/>
    </row>
    <row r="513" spans="1:4">
      <c r="A513" s="700">
        <v>2768</v>
      </c>
      <c r="B513" s="695" t="s">
        <v>726</v>
      </c>
      <c r="C513" s="701" t="s">
        <v>1804</v>
      </c>
      <c r="D513" s="1161"/>
    </row>
    <row r="514" spans="1:4">
      <c r="A514" s="700">
        <v>2951</v>
      </c>
      <c r="B514" s="695" t="s">
        <v>6902</v>
      </c>
      <c r="C514" s="701"/>
      <c r="D514" s="1161"/>
    </row>
    <row r="515" spans="1:4">
      <c r="A515" s="700">
        <v>15287</v>
      </c>
      <c r="B515" s="695" t="s">
        <v>4422</v>
      </c>
      <c r="C515" s="701" t="s">
        <v>436</v>
      </c>
      <c r="D515" s="1161"/>
    </row>
    <row r="516" spans="1:4">
      <c r="A516" s="700">
        <v>2289</v>
      </c>
      <c r="B516" s="695" t="s">
        <v>2366</v>
      </c>
      <c r="C516" s="701" t="s">
        <v>1806</v>
      </c>
      <c r="D516" s="1161"/>
    </row>
    <row r="517" spans="1:4">
      <c r="A517" s="700">
        <v>3085</v>
      </c>
      <c r="B517" s="695" t="s">
        <v>4423</v>
      </c>
      <c r="C517" s="701" t="s">
        <v>2438</v>
      </c>
      <c r="D517" s="1161">
        <v>5622</v>
      </c>
    </row>
    <row r="518" spans="1:4">
      <c r="A518" s="700">
        <v>2193</v>
      </c>
      <c r="B518" s="695" t="s">
        <v>4424</v>
      </c>
      <c r="C518" s="701" t="s">
        <v>1806</v>
      </c>
      <c r="D518" s="1161"/>
    </row>
    <row r="519" spans="1:4">
      <c r="A519" s="700">
        <v>3062</v>
      </c>
      <c r="B519" s="695" t="s">
        <v>3312</v>
      </c>
      <c r="C519" s="701" t="s">
        <v>1806</v>
      </c>
      <c r="D519" s="1161"/>
    </row>
    <row r="520" spans="1:4">
      <c r="A520" s="700">
        <v>2697</v>
      </c>
      <c r="B520" s="695" t="s">
        <v>3503</v>
      </c>
      <c r="C520" s="701" t="s">
        <v>1806</v>
      </c>
      <c r="D520" s="1161"/>
    </row>
    <row r="521" spans="1:4">
      <c r="A521" s="700">
        <v>3500</v>
      </c>
      <c r="B521" s="695" t="s">
        <v>5237</v>
      </c>
      <c r="C521" s="701" t="s">
        <v>1804</v>
      </c>
      <c r="D521" s="1161"/>
    </row>
    <row r="522" spans="1:4">
      <c r="A522" s="700">
        <v>2069</v>
      </c>
      <c r="B522" s="695" t="s">
        <v>3355</v>
      </c>
      <c r="C522" s="701" t="s">
        <v>1806</v>
      </c>
      <c r="D522" s="1161">
        <v>947</v>
      </c>
    </row>
    <row r="523" spans="1:4">
      <c r="A523" s="700">
        <v>12812</v>
      </c>
      <c r="B523" s="695" t="s">
        <v>7008</v>
      </c>
      <c r="C523" s="701"/>
      <c r="D523" s="1161"/>
    </row>
    <row r="524" spans="1:4">
      <c r="A524" s="700">
        <v>18994</v>
      </c>
      <c r="B524" s="695" t="s">
        <v>4426</v>
      </c>
      <c r="C524" s="701" t="s">
        <v>2433</v>
      </c>
      <c r="D524" s="1161"/>
    </row>
    <row r="525" spans="1:4">
      <c r="A525" s="700">
        <v>3464</v>
      </c>
      <c r="B525" s="695" t="s">
        <v>4428</v>
      </c>
      <c r="C525" s="701" t="s">
        <v>2430</v>
      </c>
      <c r="D525" s="1161"/>
    </row>
    <row r="526" spans="1:4">
      <c r="A526" s="700">
        <v>2672</v>
      </c>
      <c r="B526" s="695" t="s">
        <v>4429</v>
      </c>
      <c r="C526" s="701" t="s">
        <v>2435</v>
      </c>
      <c r="D526" s="1161"/>
    </row>
    <row r="527" spans="1:4">
      <c r="A527" s="700">
        <v>19261</v>
      </c>
      <c r="B527" s="695" t="s">
        <v>7009</v>
      </c>
      <c r="C527" s="701"/>
      <c r="D527" s="1161"/>
    </row>
    <row r="528" spans="1:4">
      <c r="A528" s="700">
        <v>6823</v>
      </c>
      <c r="B528" s="695" t="s">
        <v>7010</v>
      </c>
      <c r="C528" s="701"/>
      <c r="D528" s="1161"/>
    </row>
    <row r="529" spans="1:4">
      <c r="A529" s="700">
        <v>18539</v>
      </c>
      <c r="B529" s="695" t="s">
        <v>1226</v>
      </c>
      <c r="C529" s="701"/>
      <c r="D529" s="1161"/>
    </row>
    <row r="530" spans="1:4">
      <c r="A530" s="700">
        <v>2075</v>
      </c>
      <c r="B530" s="695" t="s">
        <v>2589</v>
      </c>
      <c r="C530" s="701"/>
      <c r="D530" s="1161"/>
    </row>
    <row r="531" spans="1:4">
      <c r="A531" s="700">
        <v>2154</v>
      </c>
      <c r="B531" s="695" t="s">
        <v>3356</v>
      </c>
      <c r="C531" s="701" t="s">
        <v>1806</v>
      </c>
      <c r="D531" s="1161"/>
    </row>
    <row r="532" spans="1:4">
      <c r="A532" s="700">
        <v>3054</v>
      </c>
      <c r="B532" s="695" t="s">
        <v>4430</v>
      </c>
      <c r="C532" s="701" t="s">
        <v>1806</v>
      </c>
      <c r="D532" s="1161"/>
    </row>
    <row r="533" spans="1:4">
      <c r="A533" s="700">
        <v>3218</v>
      </c>
      <c r="B533" s="695" t="s">
        <v>4431</v>
      </c>
      <c r="C533" s="701" t="s">
        <v>1806</v>
      </c>
      <c r="D533" s="1161"/>
    </row>
    <row r="534" spans="1:4">
      <c r="A534" s="700">
        <v>12291</v>
      </c>
      <c r="B534" s="695" t="s">
        <v>1219</v>
      </c>
      <c r="C534" s="701" t="s">
        <v>1806</v>
      </c>
      <c r="D534" s="1161"/>
    </row>
    <row r="535" spans="1:4">
      <c r="A535" s="700">
        <v>13123</v>
      </c>
      <c r="B535" s="695" t="s">
        <v>7011</v>
      </c>
      <c r="C535" s="701"/>
      <c r="D535" s="1161"/>
    </row>
    <row r="536" spans="1:4">
      <c r="A536" s="700">
        <v>6822</v>
      </c>
      <c r="B536" s="695" t="s">
        <v>7012</v>
      </c>
      <c r="C536" s="701"/>
      <c r="D536" s="1161"/>
    </row>
    <row r="537" spans="1:4">
      <c r="A537" s="700">
        <v>3216</v>
      </c>
      <c r="B537" s="695" t="s">
        <v>5630</v>
      </c>
      <c r="C537" s="701" t="s">
        <v>1806</v>
      </c>
      <c r="D537" s="1161">
        <v>8359</v>
      </c>
    </row>
    <row r="538" spans="1:4">
      <c r="A538" s="700">
        <v>2980</v>
      </c>
      <c r="B538" s="695" t="s">
        <v>4585</v>
      </c>
      <c r="C538" s="701" t="s">
        <v>1806</v>
      </c>
      <c r="D538" s="1161"/>
    </row>
    <row r="539" spans="1:4">
      <c r="A539" s="700">
        <v>6820</v>
      </c>
      <c r="B539" s="695" t="s">
        <v>6919</v>
      </c>
      <c r="C539" s="701"/>
      <c r="D539" s="1161"/>
    </row>
    <row r="540" spans="1:4">
      <c r="A540" s="700">
        <v>3443</v>
      </c>
      <c r="B540" s="695" t="s">
        <v>3281</v>
      </c>
      <c r="C540" s="701" t="s">
        <v>2431</v>
      </c>
      <c r="D540" s="1161"/>
    </row>
    <row r="541" spans="1:4">
      <c r="A541" s="700">
        <v>2928</v>
      </c>
      <c r="B541" s="695" t="s">
        <v>5631</v>
      </c>
      <c r="C541" s="701" t="s">
        <v>2442</v>
      </c>
      <c r="D541" s="1161"/>
    </row>
    <row r="542" spans="1:4">
      <c r="A542" s="700">
        <v>13169</v>
      </c>
      <c r="B542" s="695" t="s">
        <v>4432</v>
      </c>
      <c r="C542" s="701" t="s">
        <v>1806</v>
      </c>
      <c r="D542" s="1161"/>
    </row>
    <row r="543" spans="1:4">
      <c r="A543" s="700">
        <v>3493</v>
      </c>
      <c r="B543" s="695" t="s">
        <v>1340</v>
      </c>
      <c r="C543" s="701" t="s">
        <v>1806</v>
      </c>
      <c r="D543" s="1161"/>
    </row>
    <row r="544" spans="1:4">
      <c r="A544" s="700">
        <v>2563</v>
      </c>
      <c r="B544" s="695" t="s">
        <v>3286</v>
      </c>
      <c r="C544" s="701" t="s">
        <v>1806</v>
      </c>
      <c r="D544" s="1161"/>
    </row>
    <row r="545" spans="1:4">
      <c r="A545" s="700">
        <v>13278</v>
      </c>
      <c r="B545" s="695" t="s">
        <v>3661</v>
      </c>
      <c r="C545" s="701" t="s">
        <v>1806</v>
      </c>
      <c r="D545" s="1161"/>
    </row>
    <row r="546" spans="1:4">
      <c r="A546" s="700">
        <v>18520</v>
      </c>
      <c r="B546" s="695" t="s">
        <v>6193</v>
      </c>
      <c r="C546" s="701"/>
      <c r="D546" s="1161"/>
    </row>
    <row r="547" spans="1:4">
      <c r="A547" s="700">
        <v>2946</v>
      </c>
      <c r="B547" s="695" t="s">
        <v>932</v>
      </c>
      <c r="C547" s="701" t="s">
        <v>1806</v>
      </c>
      <c r="D547" s="1161"/>
    </row>
    <row r="548" spans="1:4">
      <c r="A548" s="700">
        <v>3522</v>
      </c>
      <c r="B548" s="695" t="s">
        <v>7013</v>
      </c>
      <c r="C548" s="701"/>
      <c r="D548" s="1161"/>
    </row>
    <row r="549" spans="1:4">
      <c r="A549" s="700">
        <v>2421</v>
      </c>
      <c r="B549" s="695" t="s">
        <v>496</v>
      </c>
      <c r="C549" s="701" t="s">
        <v>1806</v>
      </c>
      <c r="D549" s="1161"/>
    </row>
    <row r="550" spans="1:4">
      <c r="A550" s="700">
        <v>3540</v>
      </c>
      <c r="B550" s="695" t="s">
        <v>1546</v>
      </c>
      <c r="C550" s="701" t="s">
        <v>1804</v>
      </c>
      <c r="D550" s="1161"/>
    </row>
    <row r="551" spans="1:4">
      <c r="A551" s="700">
        <v>15973</v>
      </c>
      <c r="B551" s="695" t="s">
        <v>3459</v>
      </c>
      <c r="C551" s="701"/>
      <c r="D551" s="1161"/>
    </row>
    <row r="552" spans="1:4">
      <c r="A552" s="700">
        <v>14618</v>
      </c>
      <c r="B552" s="695" t="s">
        <v>4433</v>
      </c>
      <c r="C552" s="701" t="s">
        <v>1804</v>
      </c>
      <c r="D552" s="1161"/>
    </row>
    <row r="553" spans="1:4">
      <c r="A553" s="700">
        <v>2777</v>
      </c>
      <c r="B553" s="695" t="s">
        <v>4217</v>
      </c>
      <c r="C553" s="701"/>
      <c r="D553" s="1161"/>
    </row>
    <row r="554" spans="1:4">
      <c r="A554" s="700">
        <v>3630</v>
      </c>
      <c r="B554" s="695" t="s">
        <v>6194</v>
      </c>
      <c r="C554" s="701"/>
      <c r="D554" s="1161"/>
    </row>
    <row r="555" spans="1:4">
      <c r="A555" s="700">
        <v>15981</v>
      </c>
      <c r="B555" s="695" t="s">
        <v>7014</v>
      </c>
      <c r="C555" s="701"/>
      <c r="D555" s="1161"/>
    </row>
    <row r="556" spans="1:4">
      <c r="A556" s="700">
        <v>18535</v>
      </c>
      <c r="B556" s="695" t="s">
        <v>4434</v>
      </c>
      <c r="C556" s="701" t="s">
        <v>1806</v>
      </c>
      <c r="D556" s="1161"/>
    </row>
    <row r="557" spans="1:4">
      <c r="A557" s="700">
        <v>17580</v>
      </c>
      <c r="B557" s="695" t="s">
        <v>4435</v>
      </c>
      <c r="C557" s="701" t="s">
        <v>1806</v>
      </c>
      <c r="D557" s="1161"/>
    </row>
    <row r="558" spans="1:4">
      <c r="A558" s="700">
        <v>16672</v>
      </c>
      <c r="B558" s="695" t="s">
        <v>4436</v>
      </c>
      <c r="C558" s="701" t="s">
        <v>4437</v>
      </c>
      <c r="D558" s="1161"/>
    </row>
    <row r="559" spans="1:4">
      <c r="A559" s="700">
        <v>2973</v>
      </c>
      <c r="B559" s="695" t="s">
        <v>6847</v>
      </c>
      <c r="C559" s="701"/>
      <c r="D559" s="1161"/>
    </row>
    <row r="560" spans="1:4">
      <c r="A560" s="700">
        <v>10120</v>
      </c>
      <c r="B560" s="695" t="s">
        <v>951</v>
      </c>
      <c r="C560" s="701" t="s">
        <v>1806</v>
      </c>
      <c r="D560" s="1161"/>
    </row>
    <row r="561" spans="1:4">
      <c r="A561" s="700">
        <v>14516</v>
      </c>
      <c r="B561" s="695" t="s">
        <v>4438</v>
      </c>
      <c r="C561" s="701" t="s">
        <v>1806</v>
      </c>
      <c r="D561" s="1161"/>
    </row>
    <row r="562" spans="1:4">
      <c r="A562" s="700">
        <v>2370</v>
      </c>
      <c r="B562" s="695" t="s">
        <v>1104</v>
      </c>
      <c r="C562" s="701" t="s">
        <v>1806</v>
      </c>
      <c r="D562" s="1161"/>
    </row>
    <row r="563" spans="1:4">
      <c r="A563" s="700">
        <v>2878</v>
      </c>
      <c r="B563" s="695" t="s">
        <v>2757</v>
      </c>
      <c r="C563" s="701"/>
      <c r="D563" s="1161"/>
    </row>
    <row r="564" spans="1:4">
      <c r="A564" s="700">
        <v>2316</v>
      </c>
      <c r="B564" s="695" t="s">
        <v>4881</v>
      </c>
      <c r="C564" s="701" t="s">
        <v>1806</v>
      </c>
      <c r="D564" s="1161"/>
    </row>
    <row r="565" spans="1:4">
      <c r="A565" s="700">
        <v>3263</v>
      </c>
      <c r="B565" s="695" t="s">
        <v>4439</v>
      </c>
      <c r="C565" s="701" t="s">
        <v>1806</v>
      </c>
      <c r="D565" s="1161"/>
    </row>
    <row r="566" spans="1:4">
      <c r="A566" s="700">
        <v>2132</v>
      </c>
      <c r="B566" s="695" t="s">
        <v>3358</v>
      </c>
      <c r="C566" s="701" t="s">
        <v>1806</v>
      </c>
      <c r="D566" s="1161"/>
    </row>
    <row r="567" spans="1:4">
      <c r="A567" s="700">
        <v>3404</v>
      </c>
      <c r="B567" s="695" t="s">
        <v>2666</v>
      </c>
      <c r="C567" s="701" t="s">
        <v>2441</v>
      </c>
      <c r="D567" s="1161">
        <v>1522</v>
      </c>
    </row>
    <row r="568" spans="1:4">
      <c r="A568" s="700">
        <v>2351</v>
      </c>
      <c r="B568" s="695" t="s">
        <v>3083</v>
      </c>
      <c r="C568" s="701"/>
      <c r="D568" s="1161"/>
    </row>
    <row r="569" spans="1:4">
      <c r="A569" s="700">
        <v>2173</v>
      </c>
      <c r="B569" s="695" t="s">
        <v>2673</v>
      </c>
      <c r="C569" s="701" t="s">
        <v>1806</v>
      </c>
      <c r="D569" s="1161"/>
    </row>
    <row r="570" spans="1:4">
      <c r="A570" s="700">
        <v>2624</v>
      </c>
      <c r="B570" s="695" t="s">
        <v>4440</v>
      </c>
      <c r="C570" s="701" t="s">
        <v>1805</v>
      </c>
      <c r="D570" s="1161"/>
    </row>
    <row r="571" spans="1:4">
      <c r="A571" s="700">
        <v>14241</v>
      </c>
      <c r="B571" s="695" t="s">
        <v>4441</v>
      </c>
      <c r="C571" s="701" t="s">
        <v>1806</v>
      </c>
      <c r="D571" s="1161"/>
    </row>
    <row r="572" spans="1:4">
      <c r="A572" s="700">
        <v>2423</v>
      </c>
      <c r="B572" s="695" t="s">
        <v>4442</v>
      </c>
      <c r="C572" s="701" t="s">
        <v>1806</v>
      </c>
      <c r="D572" s="1161"/>
    </row>
    <row r="573" spans="1:4">
      <c r="A573" s="700">
        <v>18712</v>
      </c>
      <c r="B573" s="695" t="s">
        <v>4443</v>
      </c>
      <c r="C573" s="701" t="s">
        <v>1806</v>
      </c>
      <c r="D573" s="1161"/>
    </row>
    <row r="574" spans="1:4">
      <c r="A574" s="700">
        <v>3203</v>
      </c>
      <c r="B574" s="695" t="s">
        <v>5239</v>
      </c>
      <c r="C574" s="701" t="s">
        <v>1806</v>
      </c>
      <c r="D574" s="1161"/>
    </row>
    <row r="575" spans="1:4">
      <c r="A575" s="700">
        <v>2497</v>
      </c>
      <c r="B575" s="695" t="s">
        <v>4769</v>
      </c>
      <c r="C575" s="701" t="s">
        <v>2969</v>
      </c>
      <c r="D575" s="1161"/>
    </row>
    <row r="576" spans="1:4">
      <c r="A576" s="702">
        <v>2679</v>
      </c>
      <c r="B576" s="696" t="s">
        <v>2768</v>
      </c>
      <c r="C576" s="703" t="s">
        <v>2437</v>
      </c>
      <c r="D576" s="1162"/>
    </row>
  </sheetData>
  <phoneticPr fontId="0" type="noConversion"/>
  <hyperlinks>
    <hyperlink ref="D3" location="fish_group_yield_n!A1" display="fish_group_yield_n"/>
  </hyperlinks>
  <pageMargins left="0.7" right="0.7" top="0.75" bottom="0.75" header="0.3" footer="0.3"/>
  <drawing r:id="rId1"/>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enableFormatConditionsCalculation="0">
    <tabColor rgb="FF0000FF"/>
  </sheetPr>
  <dimension ref="A1:D576"/>
  <sheetViews>
    <sheetView workbookViewId="0">
      <selection activeCell="A65536" sqref="A65536"/>
    </sheetView>
  </sheetViews>
  <sheetFormatPr baseColWidth="10" defaultColWidth="9.1640625" defaultRowHeight="12" x14ac:dyDescent="0"/>
  <cols>
    <col min="1" max="1" width="15" style="124" customWidth="1"/>
    <col min="2" max="2" width="27.83203125" style="124" customWidth="1"/>
    <col min="3" max="3" width="24" style="124" customWidth="1"/>
    <col min="4" max="4" width="16.6640625" style="124" customWidth="1"/>
    <col min="5" max="16384" width="9.1640625" style="124"/>
  </cols>
  <sheetData>
    <row r="1" spans="1:4" s="53" customFormat="1" ht="12.75" customHeight="1">
      <c r="B1" s="123"/>
      <c r="C1" s="123"/>
      <c r="D1" s="123"/>
    </row>
    <row r="2" spans="1:4" s="53" customFormat="1" ht="12.75" customHeight="1">
      <c r="C2" s="54" t="s">
        <v>1005</v>
      </c>
      <c r="D2" s="184" t="s">
        <v>1813</v>
      </c>
    </row>
    <row r="3" spans="1:4" s="53" customFormat="1" ht="12.75" customHeight="1">
      <c r="C3" s="54" t="s">
        <v>1006</v>
      </c>
      <c r="D3" s="1064" t="s">
        <v>5417</v>
      </c>
    </row>
    <row r="4" spans="1:4" s="53" customFormat="1" ht="12.75" customHeight="1"/>
    <row r="5" spans="1:4">
      <c r="A5" s="689" t="s">
        <v>6951</v>
      </c>
      <c r="B5" s="688" t="s">
        <v>6398</v>
      </c>
      <c r="C5" s="689" t="s">
        <v>103</v>
      </c>
      <c r="D5" s="697" t="s">
        <v>2038</v>
      </c>
    </row>
    <row r="6" spans="1:4">
      <c r="A6" s="690" t="s">
        <v>548</v>
      </c>
      <c r="B6" s="690" t="s">
        <v>548</v>
      </c>
      <c r="C6" s="690" t="s">
        <v>548</v>
      </c>
      <c r="D6" s="692"/>
    </row>
    <row r="7" spans="1:4">
      <c r="A7" s="698">
        <v>12441</v>
      </c>
      <c r="B7" s="693" t="s">
        <v>2942</v>
      </c>
      <c r="C7" s="699" t="s">
        <v>1806</v>
      </c>
      <c r="D7" s="1160">
        <v>6123</v>
      </c>
    </row>
    <row r="8" spans="1:4">
      <c r="A8" s="700">
        <v>2651</v>
      </c>
      <c r="B8" s="695" t="s">
        <v>3021</v>
      </c>
      <c r="C8" s="701" t="s">
        <v>1804</v>
      </c>
      <c r="D8" s="1161">
        <v>119017.8</v>
      </c>
    </row>
    <row r="9" spans="1:4">
      <c r="A9" s="700">
        <v>10183</v>
      </c>
      <c r="B9" s="695" t="s">
        <v>4141</v>
      </c>
      <c r="C9" s="701" t="s">
        <v>1806</v>
      </c>
      <c r="D9" s="1161">
        <v>0</v>
      </c>
    </row>
    <row r="10" spans="1:4">
      <c r="A10" s="700">
        <v>2981</v>
      </c>
      <c r="B10" s="695" t="s">
        <v>6953</v>
      </c>
      <c r="C10" s="701"/>
      <c r="D10" s="1161">
        <v>120328</v>
      </c>
    </row>
    <row r="11" spans="1:4">
      <c r="A11" s="700">
        <v>2141</v>
      </c>
      <c r="B11" s="695" t="s">
        <v>4142</v>
      </c>
      <c r="C11" s="701" t="s">
        <v>1806</v>
      </c>
      <c r="D11" s="1161">
        <v>5036</v>
      </c>
    </row>
    <row r="12" spans="1:4">
      <c r="A12" s="700">
        <v>2198</v>
      </c>
      <c r="B12" s="695" t="s">
        <v>4143</v>
      </c>
      <c r="C12" s="701" t="s">
        <v>1806</v>
      </c>
      <c r="D12" s="1161">
        <v>3</v>
      </c>
    </row>
    <row r="13" spans="1:4">
      <c r="A13" s="700">
        <v>3428</v>
      </c>
      <c r="B13" s="695" t="s">
        <v>1553</v>
      </c>
      <c r="C13" s="701" t="s">
        <v>2441</v>
      </c>
      <c r="D13" s="1161"/>
    </row>
    <row r="14" spans="1:4">
      <c r="A14" s="700">
        <v>10727</v>
      </c>
      <c r="B14" s="695" t="s">
        <v>4144</v>
      </c>
      <c r="C14" s="701" t="s">
        <v>1806</v>
      </c>
      <c r="D14" s="1161">
        <v>44</v>
      </c>
    </row>
    <row r="15" spans="1:4">
      <c r="A15" s="700">
        <v>19882</v>
      </c>
      <c r="B15" s="695" t="s">
        <v>6954</v>
      </c>
      <c r="C15" s="701"/>
      <c r="D15" s="1161">
        <v>9.5399999999999991</v>
      </c>
    </row>
    <row r="16" spans="1:4">
      <c r="A16" s="700">
        <v>2320</v>
      </c>
      <c r="B16" s="695" t="s">
        <v>5017</v>
      </c>
      <c r="C16" s="701" t="s">
        <v>1806</v>
      </c>
      <c r="D16" s="1161">
        <v>36783.589999999997</v>
      </c>
    </row>
    <row r="17" spans="1:4">
      <c r="A17" s="700">
        <v>10048</v>
      </c>
      <c r="B17" s="695" t="s">
        <v>4145</v>
      </c>
      <c r="C17" s="701" t="s">
        <v>2429</v>
      </c>
      <c r="D17" s="1161">
        <v>4006.2</v>
      </c>
    </row>
    <row r="18" spans="1:4">
      <c r="A18" s="700">
        <v>2669</v>
      </c>
      <c r="B18" s="695" t="s">
        <v>1390</v>
      </c>
      <c r="C18" s="701" t="s">
        <v>2435</v>
      </c>
      <c r="D18" s="1161">
        <v>108383</v>
      </c>
    </row>
    <row r="19" spans="1:4">
      <c r="A19" s="700">
        <v>2989</v>
      </c>
      <c r="B19" s="695" t="s">
        <v>3838</v>
      </c>
      <c r="C19" s="701" t="s">
        <v>3928</v>
      </c>
      <c r="D19" s="1161">
        <v>0</v>
      </c>
    </row>
    <row r="20" spans="1:4">
      <c r="A20" s="700">
        <v>3096</v>
      </c>
      <c r="B20" s="695" t="s">
        <v>4802</v>
      </c>
      <c r="C20" s="701" t="s">
        <v>1806</v>
      </c>
      <c r="D20" s="1161">
        <v>100</v>
      </c>
    </row>
    <row r="21" spans="1:4">
      <c r="A21" s="700">
        <v>15319</v>
      </c>
      <c r="B21" s="695" t="s">
        <v>5126</v>
      </c>
      <c r="C21" s="701" t="s">
        <v>5127</v>
      </c>
      <c r="D21" s="1161">
        <v>438736.4</v>
      </c>
    </row>
    <row r="22" spans="1:4">
      <c r="A22" s="700">
        <v>2663</v>
      </c>
      <c r="B22" s="695" t="s">
        <v>3288</v>
      </c>
      <c r="C22" s="701" t="s">
        <v>1804</v>
      </c>
      <c r="D22" s="1161"/>
    </row>
    <row r="23" spans="1:4">
      <c r="A23" s="700">
        <v>10428</v>
      </c>
      <c r="B23" s="695" t="s">
        <v>6955</v>
      </c>
      <c r="C23" s="701"/>
      <c r="D23" s="1161"/>
    </row>
    <row r="24" spans="1:4">
      <c r="A24" s="700">
        <v>3625</v>
      </c>
      <c r="B24" s="695" t="s">
        <v>3061</v>
      </c>
      <c r="C24" s="701" t="s">
        <v>1806</v>
      </c>
      <c r="D24" s="1161">
        <v>132153.60000000001</v>
      </c>
    </row>
    <row r="25" spans="1:4">
      <c r="A25" s="700">
        <v>3642</v>
      </c>
      <c r="B25" s="695" t="s">
        <v>3429</v>
      </c>
      <c r="C25" s="701"/>
      <c r="D25" s="1161">
        <v>4729</v>
      </c>
    </row>
    <row r="26" spans="1:4">
      <c r="A26" s="700">
        <v>2945</v>
      </c>
      <c r="B26" s="695" t="s">
        <v>495</v>
      </c>
      <c r="C26" s="701" t="s">
        <v>1806</v>
      </c>
      <c r="D26" s="1161">
        <v>2395.44</v>
      </c>
    </row>
    <row r="27" spans="1:4">
      <c r="A27" s="700">
        <v>2120</v>
      </c>
      <c r="B27" s="695" t="s">
        <v>1307</v>
      </c>
      <c r="C27" s="701" t="s">
        <v>1806</v>
      </c>
      <c r="D27" s="1161">
        <v>3988.5</v>
      </c>
    </row>
    <row r="28" spans="1:4">
      <c r="A28" s="700">
        <v>3076</v>
      </c>
      <c r="B28" s="695" t="s">
        <v>2769</v>
      </c>
      <c r="C28" s="701" t="s">
        <v>1806</v>
      </c>
      <c r="D28" s="1161">
        <v>47</v>
      </c>
    </row>
    <row r="29" spans="1:4">
      <c r="A29" s="700">
        <v>3059</v>
      </c>
      <c r="B29" s="695" t="s">
        <v>5128</v>
      </c>
      <c r="C29" s="701" t="s">
        <v>1806</v>
      </c>
      <c r="D29" s="1161">
        <v>0</v>
      </c>
    </row>
    <row r="30" spans="1:4">
      <c r="A30" s="700">
        <v>2174</v>
      </c>
      <c r="B30" s="695" t="s">
        <v>6956</v>
      </c>
      <c r="C30" s="701"/>
      <c r="D30" s="1161">
        <v>3881</v>
      </c>
    </row>
    <row r="31" spans="1:4">
      <c r="A31" s="700">
        <v>2708</v>
      </c>
      <c r="B31" s="695" t="s">
        <v>5129</v>
      </c>
      <c r="C31" s="701" t="s">
        <v>1804</v>
      </c>
      <c r="D31" s="1161">
        <v>37637.53</v>
      </c>
    </row>
    <row r="32" spans="1:4">
      <c r="A32" s="700">
        <v>2974</v>
      </c>
      <c r="B32" s="695" t="s">
        <v>3908</v>
      </c>
      <c r="C32" s="701" t="s">
        <v>1806</v>
      </c>
      <c r="D32" s="1161">
        <v>5695.27</v>
      </c>
    </row>
    <row r="33" spans="1:4">
      <c r="A33" s="700">
        <v>2272</v>
      </c>
      <c r="B33" s="695" t="s">
        <v>5130</v>
      </c>
      <c r="C33" s="701" t="s">
        <v>3928</v>
      </c>
      <c r="D33" s="1161">
        <v>346142.75</v>
      </c>
    </row>
    <row r="34" spans="1:4">
      <c r="A34" s="700">
        <v>2171</v>
      </c>
      <c r="B34" s="695" t="s">
        <v>3063</v>
      </c>
      <c r="C34" s="701" t="s">
        <v>1806</v>
      </c>
      <c r="D34" s="1161">
        <v>1.2</v>
      </c>
    </row>
    <row r="35" spans="1:4">
      <c r="A35" s="700">
        <v>2986</v>
      </c>
      <c r="B35" s="695" t="s">
        <v>5131</v>
      </c>
      <c r="C35" s="701" t="s">
        <v>1806</v>
      </c>
      <c r="D35" s="1161">
        <v>2.65</v>
      </c>
    </row>
    <row r="36" spans="1:4">
      <c r="A36" s="700">
        <v>3296</v>
      </c>
      <c r="B36" s="695" t="s">
        <v>1391</v>
      </c>
      <c r="C36" s="701" t="s">
        <v>2969</v>
      </c>
      <c r="D36" s="1161">
        <v>4772</v>
      </c>
    </row>
    <row r="37" spans="1:4">
      <c r="A37" s="700">
        <v>2218</v>
      </c>
      <c r="B37" s="695" t="s">
        <v>1392</v>
      </c>
      <c r="C37" s="701" t="s">
        <v>5366</v>
      </c>
      <c r="D37" s="1161">
        <v>4251.5</v>
      </c>
    </row>
    <row r="38" spans="1:4">
      <c r="A38" s="700">
        <v>16496</v>
      </c>
      <c r="B38" s="695" t="s">
        <v>5132</v>
      </c>
      <c r="C38" s="701" t="s">
        <v>2441</v>
      </c>
      <c r="D38" s="1161">
        <v>5.24</v>
      </c>
    </row>
    <row r="39" spans="1:4">
      <c r="A39" s="700">
        <v>3353</v>
      </c>
      <c r="B39" s="695" t="s">
        <v>1548</v>
      </c>
      <c r="C39" s="701" t="s">
        <v>3929</v>
      </c>
      <c r="D39" s="1161">
        <v>1441.4</v>
      </c>
    </row>
    <row r="40" spans="1:4">
      <c r="A40" s="700">
        <v>2929</v>
      </c>
      <c r="B40" s="695" t="s">
        <v>5632</v>
      </c>
      <c r="C40" s="701" t="s">
        <v>3933</v>
      </c>
      <c r="D40" s="1161">
        <v>2096237.9</v>
      </c>
    </row>
    <row r="41" spans="1:4">
      <c r="A41" s="700">
        <v>11251</v>
      </c>
      <c r="B41" s="695" t="s">
        <v>6957</v>
      </c>
      <c r="C41" s="701"/>
      <c r="D41" s="1161"/>
    </row>
    <row r="42" spans="1:4">
      <c r="A42" s="700">
        <v>2456</v>
      </c>
      <c r="B42" s="695" t="s">
        <v>1549</v>
      </c>
      <c r="C42" s="701" t="s">
        <v>1806</v>
      </c>
      <c r="D42" s="1161">
        <v>0</v>
      </c>
    </row>
    <row r="43" spans="1:4">
      <c r="A43" s="700">
        <v>2689</v>
      </c>
      <c r="B43" s="695" t="s">
        <v>2342</v>
      </c>
      <c r="C43" s="701" t="s">
        <v>2433</v>
      </c>
      <c r="D43" s="1161">
        <v>3584.3</v>
      </c>
    </row>
    <row r="44" spans="1:4">
      <c r="A44" s="700">
        <v>2124</v>
      </c>
      <c r="B44" s="695" t="s">
        <v>3062</v>
      </c>
      <c r="C44" s="701" t="s">
        <v>1806</v>
      </c>
      <c r="D44" s="1161">
        <v>6501.31</v>
      </c>
    </row>
    <row r="45" spans="1:4">
      <c r="A45" s="700">
        <v>18543</v>
      </c>
      <c r="B45" s="695" t="s">
        <v>6958</v>
      </c>
      <c r="C45" s="701"/>
      <c r="D45" s="1161"/>
    </row>
    <row r="46" spans="1:4">
      <c r="A46" s="700">
        <v>2187</v>
      </c>
      <c r="B46" s="695" t="s">
        <v>2643</v>
      </c>
      <c r="C46" s="701" t="s">
        <v>1806</v>
      </c>
      <c r="D46" s="1161">
        <v>70</v>
      </c>
    </row>
    <row r="47" spans="1:4">
      <c r="A47" s="700">
        <v>13004</v>
      </c>
      <c r="B47" s="695" t="s">
        <v>2752</v>
      </c>
      <c r="C47" s="701"/>
      <c r="D47" s="1161"/>
    </row>
    <row r="48" spans="1:4">
      <c r="A48" s="700">
        <v>16484</v>
      </c>
      <c r="B48" s="695" t="s">
        <v>5133</v>
      </c>
      <c r="C48" s="701" t="s">
        <v>2441</v>
      </c>
      <c r="D48" s="1161"/>
    </row>
    <row r="49" spans="1:4">
      <c r="A49" s="700">
        <v>2583</v>
      </c>
      <c r="B49" s="695" t="s">
        <v>1547</v>
      </c>
      <c r="C49" s="701" t="s">
        <v>2441</v>
      </c>
      <c r="D49" s="1161">
        <v>29568.03</v>
      </c>
    </row>
    <row r="50" spans="1:4">
      <c r="A50" s="700">
        <v>10625</v>
      </c>
      <c r="B50" s="695" t="s">
        <v>6440</v>
      </c>
      <c r="C50" s="701"/>
      <c r="D50" s="1161">
        <v>256</v>
      </c>
    </row>
    <row r="51" spans="1:4">
      <c r="A51" s="700">
        <v>17577</v>
      </c>
      <c r="B51" s="695" t="s">
        <v>342</v>
      </c>
      <c r="C51" s="701" t="s">
        <v>1804</v>
      </c>
      <c r="D51" s="1161">
        <v>0</v>
      </c>
    </row>
    <row r="52" spans="1:4">
      <c r="A52" s="700">
        <v>12591</v>
      </c>
      <c r="B52" s="695" t="s">
        <v>6442</v>
      </c>
      <c r="C52" s="701"/>
      <c r="D52" s="1161">
        <v>5</v>
      </c>
    </row>
    <row r="53" spans="1:4">
      <c r="A53" s="700">
        <v>2958</v>
      </c>
      <c r="B53" s="695" t="s">
        <v>2730</v>
      </c>
      <c r="C53" s="701" t="s">
        <v>1806</v>
      </c>
      <c r="D53" s="1161">
        <v>185.27</v>
      </c>
    </row>
    <row r="54" spans="1:4">
      <c r="A54" s="700">
        <v>3068</v>
      </c>
      <c r="B54" s="695" t="s">
        <v>5633</v>
      </c>
      <c r="C54" s="701" t="s">
        <v>1806</v>
      </c>
      <c r="D54" s="1161">
        <v>74252.2</v>
      </c>
    </row>
    <row r="55" spans="1:4">
      <c r="A55" s="700">
        <v>2202</v>
      </c>
      <c r="B55" s="695" t="s">
        <v>5134</v>
      </c>
      <c r="C55" s="701" t="s">
        <v>1806</v>
      </c>
      <c r="D55" s="1161">
        <v>5</v>
      </c>
    </row>
    <row r="56" spans="1:4">
      <c r="A56" s="700">
        <v>3350</v>
      </c>
      <c r="B56" s="695" t="s">
        <v>2867</v>
      </c>
      <c r="C56" s="701" t="s">
        <v>1806</v>
      </c>
      <c r="D56" s="1161">
        <v>39445</v>
      </c>
    </row>
    <row r="57" spans="1:4">
      <c r="A57" s="700">
        <v>2540</v>
      </c>
      <c r="B57" s="695" t="s">
        <v>1929</v>
      </c>
      <c r="C57" s="701"/>
      <c r="D57" s="1161"/>
    </row>
    <row r="58" spans="1:4">
      <c r="A58" s="700">
        <v>10693</v>
      </c>
      <c r="B58" s="695" t="s">
        <v>5135</v>
      </c>
      <c r="C58" s="701" t="s">
        <v>1806</v>
      </c>
      <c r="D58" s="1161">
        <v>0</v>
      </c>
    </row>
    <row r="59" spans="1:4">
      <c r="A59" s="700">
        <v>3559</v>
      </c>
      <c r="B59" s="695" t="s">
        <v>5136</v>
      </c>
      <c r="C59" s="701" t="s">
        <v>1804</v>
      </c>
      <c r="D59" s="1161">
        <v>0.11</v>
      </c>
    </row>
    <row r="60" spans="1:4">
      <c r="A60" s="700">
        <v>2072</v>
      </c>
      <c r="B60" s="695" t="s">
        <v>4586</v>
      </c>
      <c r="C60" s="701" t="s">
        <v>1806</v>
      </c>
      <c r="D60" s="1161">
        <v>30.57</v>
      </c>
    </row>
    <row r="61" spans="1:4">
      <c r="A61" s="700">
        <v>2263</v>
      </c>
      <c r="B61" s="695" t="s">
        <v>895</v>
      </c>
      <c r="C61" s="701"/>
      <c r="D61" s="1161">
        <v>0.4</v>
      </c>
    </row>
    <row r="62" spans="1:4">
      <c r="A62" s="700">
        <v>2965</v>
      </c>
      <c r="B62" s="695" t="s">
        <v>1308</v>
      </c>
      <c r="C62" s="701" t="s">
        <v>5365</v>
      </c>
      <c r="D62" s="1161">
        <v>3060755.05</v>
      </c>
    </row>
    <row r="63" spans="1:4">
      <c r="A63" s="700">
        <v>17120</v>
      </c>
      <c r="B63" s="695" t="s">
        <v>6959</v>
      </c>
      <c r="C63" s="701"/>
      <c r="D63" s="1161">
        <v>5</v>
      </c>
    </row>
    <row r="64" spans="1:4">
      <c r="A64" s="700">
        <v>2190</v>
      </c>
      <c r="B64" s="695" t="s">
        <v>5137</v>
      </c>
      <c r="C64" s="701" t="s">
        <v>1806</v>
      </c>
      <c r="D64" s="1161">
        <v>200</v>
      </c>
    </row>
    <row r="65" spans="1:4">
      <c r="A65" s="700">
        <v>2970</v>
      </c>
      <c r="B65" s="695" t="s">
        <v>3430</v>
      </c>
      <c r="C65" s="701" t="s">
        <v>5365</v>
      </c>
      <c r="D65" s="1161">
        <v>525636.12</v>
      </c>
    </row>
    <row r="66" spans="1:4">
      <c r="A66" s="700">
        <v>2186</v>
      </c>
      <c r="B66" s="695" t="s">
        <v>1784</v>
      </c>
      <c r="C66" s="701" t="s">
        <v>1806</v>
      </c>
      <c r="D66" s="1161">
        <v>0</v>
      </c>
    </row>
    <row r="67" spans="1:4">
      <c r="A67" s="700">
        <v>6816</v>
      </c>
      <c r="B67" s="695" t="s">
        <v>6960</v>
      </c>
      <c r="C67" s="701"/>
      <c r="D67" s="1161">
        <v>870</v>
      </c>
    </row>
    <row r="68" spans="1:4">
      <c r="A68" s="700">
        <v>3079</v>
      </c>
      <c r="B68" s="695" t="s">
        <v>4931</v>
      </c>
      <c r="C68" s="701" t="s">
        <v>2438</v>
      </c>
      <c r="D68" s="1161"/>
    </row>
    <row r="69" spans="1:4">
      <c r="A69" s="700">
        <v>2416</v>
      </c>
      <c r="B69" s="695" t="s">
        <v>5138</v>
      </c>
      <c r="C69" s="701" t="s">
        <v>1806</v>
      </c>
      <c r="D69" s="1161"/>
    </row>
    <row r="70" spans="1:4">
      <c r="A70" s="700">
        <v>2414</v>
      </c>
      <c r="B70" s="695" t="s">
        <v>5139</v>
      </c>
      <c r="C70" s="701" t="s">
        <v>5140</v>
      </c>
      <c r="D70" s="1161">
        <v>190</v>
      </c>
    </row>
    <row r="71" spans="1:4">
      <c r="A71" s="700">
        <v>3202</v>
      </c>
      <c r="B71" s="695" t="s">
        <v>4470</v>
      </c>
      <c r="C71" s="701" t="s">
        <v>1806</v>
      </c>
      <c r="D71" s="1161">
        <v>1161</v>
      </c>
    </row>
    <row r="72" spans="1:4">
      <c r="A72" s="700">
        <v>3492</v>
      </c>
      <c r="B72" s="695" t="s">
        <v>5055</v>
      </c>
      <c r="C72" s="701" t="s">
        <v>1806</v>
      </c>
      <c r="D72" s="1161"/>
    </row>
    <row r="73" spans="1:4">
      <c r="A73" s="700">
        <v>2664</v>
      </c>
      <c r="B73" s="695" t="s">
        <v>6961</v>
      </c>
      <c r="C73" s="701"/>
      <c r="D73" s="1161">
        <v>2596.1999999999998</v>
      </c>
    </row>
    <row r="74" spans="1:4">
      <c r="A74" s="700">
        <v>3173</v>
      </c>
      <c r="B74" s="695" t="s">
        <v>1336</v>
      </c>
      <c r="C74" s="701" t="s">
        <v>1806</v>
      </c>
      <c r="D74" s="1161">
        <v>228.13</v>
      </c>
    </row>
    <row r="75" spans="1:4">
      <c r="A75" s="700">
        <v>2155</v>
      </c>
      <c r="B75" s="695" t="s">
        <v>4305</v>
      </c>
      <c r="C75" s="701" t="s">
        <v>1806</v>
      </c>
      <c r="D75" s="1161">
        <v>13.25</v>
      </c>
    </row>
    <row r="76" spans="1:4">
      <c r="A76" s="700">
        <v>3503</v>
      </c>
      <c r="B76" s="695" t="s">
        <v>5018</v>
      </c>
      <c r="C76" s="701" t="s">
        <v>1804</v>
      </c>
      <c r="D76" s="1161">
        <v>450957.21</v>
      </c>
    </row>
    <row r="77" spans="1:4">
      <c r="A77" s="700">
        <v>2632</v>
      </c>
      <c r="B77" s="695" t="s">
        <v>4803</v>
      </c>
      <c r="C77" s="701" t="s">
        <v>2430</v>
      </c>
      <c r="D77" s="1161"/>
    </row>
    <row r="78" spans="1:4">
      <c r="A78" s="700">
        <v>2688</v>
      </c>
      <c r="B78" s="695" t="s">
        <v>3543</v>
      </c>
      <c r="C78" s="701" t="s">
        <v>2433</v>
      </c>
      <c r="D78" s="1161">
        <v>190685.57</v>
      </c>
    </row>
    <row r="79" spans="1:4">
      <c r="A79" s="700">
        <v>2585</v>
      </c>
      <c r="B79" s="695" t="s">
        <v>1644</v>
      </c>
      <c r="C79" s="701" t="s">
        <v>2441</v>
      </c>
      <c r="D79" s="1161">
        <v>2115.44</v>
      </c>
    </row>
    <row r="80" spans="1:4">
      <c r="A80" s="700">
        <v>2629</v>
      </c>
      <c r="B80" s="695" t="s">
        <v>24</v>
      </c>
      <c r="C80" s="701" t="s">
        <v>2430</v>
      </c>
      <c r="D80" s="1161">
        <v>27.64</v>
      </c>
    </row>
    <row r="81" spans="1:4">
      <c r="A81" s="700">
        <v>2409</v>
      </c>
      <c r="B81" s="695" t="s">
        <v>682</v>
      </c>
      <c r="C81" s="701" t="s">
        <v>1806</v>
      </c>
      <c r="D81" s="1161">
        <v>3877</v>
      </c>
    </row>
    <row r="82" spans="1:4">
      <c r="A82" s="700">
        <v>6824</v>
      </c>
      <c r="B82" s="695" t="s">
        <v>6962</v>
      </c>
      <c r="C82" s="701"/>
      <c r="D82" s="1161">
        <v>414475</v>
      </c>
    </row>
    <row r="83" spans="1:4">
      <c r="A83" s="700">
        <v>3102</v>
      </c>
      <c r="B83" s="695" t="s">
        <v>3987</v>
      </c>
      <c r="C83" s="701" t="s">
        <v>1806</v>
      </c>
      <c r="D83" s="1161"/>
    </row>
    <row r="84" spans="1:4">
      <c r="A84" s="700">
        <v>13119</v>
      </c>
      <c r="B84" s="695" t="s">
        <v>5141</v>
      </c>
      <c r="C84" s="701" t="s">
        <v>1806</v>
      </c>
      <c r="D84" s="1161">
        <v>0.42</v>
      </c>
    </row>
    <row r="85" spans="1:4">
      <c r="A85" s="700">
        <v>15945</v>
      </c>
      <c r="B85" s="695" t="s">
        <v>3608</v>
      </c>
      <c r="C85" s="701" t="s">
        <v>1806</v>
      </c>
      <c r="D85" s="1161"/>
    </row>
    <row r="86" spans="1:4">
      <c r="A86" s="700">
        <v>18538</v>
      </c>
      <c r="B86" s="695" t="s">
        <v>5142</v>
      </c>
      <c r="C86" s="701" t="s">
        <v>1808</v>
      </c>
      <c r="D86" s="1161">
        <v>4390</v>
      </c>
    </row>
    <row r="87" spans="1:4">
      <c r="A87" s="700">
        <v>2562</v>
      </c>
      <c r="B87" s="695" t="s">
        <v>743</v>
      </c>
      <c r="C87" s="701" t="s">
        <v>1806</v>
      </c>
      <c r="D87" s="1161"/>
    </row>
    <row r="88" spans="1:4">
      <c r="A88" s="700">
        <v>2576</v>
      </c>
      <c r="B88" s="695" t="s">
        <v>5056</v>
      </c>
      <c r="C88" s="701" t="s">
        <v>2441</v>
      </c>
      <c r="D88" s="1161">
        <v>0</v>
      </c>
    </row>
    <row r="89" spans="1:4">
      <c r="A89" s="700">
        <v>13817</v>
      </c>
      <c r="B89" s="695" t="s">
        <v>6963</v>
      </c>
      <c r="C89" s="701"/>
      <c r="D89" s="1161">
        <v>492</v>
      </c>
    </row>
    <row r="90" spans="1:4">
      <c r="A90" s="700">
        <v>2935</v>
      </c>
      <c r="B90" s="695" t="s">
        <v>4158</v>
      </c>
      <c r="C90" s="701" t="s">
        <v>2442</v>
      </c>
      <c r="D90" s="1161">
        <v>961.31</v>
      </c>
    </row>
    <row r="91" spans="1:4">
      <c r="A91" s="700">
        <v>3149</v>
      </c>
      <c r="B91" s="695" t="s">
        <v>4274</v>
      </c>
      <c r="C91" s="701"/>
      <c r="D91" s="1161">
        <v>0</v>
      </c>
    </row>
    <row r="92" spans="1:4">
      <c r="A92" s="700">
        <v>3628</v>
      </c>
      <c r="B92" s="695" t="s">
        <v>1514</v>
      </c>
      <c r="C92" s="701"/>
      <c r="D92" s="1161">
        <v>15818.5</v>
      </c>
    </row>
    <row r="93" spans="1:4">
      <c r="A93" s="700">
        <v>2588</v>
      </c>
      <c r="B93" s="695" t="s">
        <v>5144</v>
      </c>
      <c r="C93" s="701" t="s">
        <v>2441</v>
      </c>
      <c r="D93" s="1161">
        <v>0</v>
      </c>
    </row>
    <row r="94" spans="1:4">
      <c r="A94" s="700">
        <v>18918</v>
      </c>
      <c r="B94" s="695" t="s">
        <v>749</v>
      </c>
      <c r="C94" s="701" t="s">
        <v>1806</v>
      </c>
      <c r="D94" s="1161">
        <v>86.24</v>
      </c>
    </row>
    <row r="95" spans="1:4">
      <c r="A95" s="700">
        <v>6819</v>
      </c>
      <c r="B95" s="695" t="s">
        <v>6964</v>
      </c>
      <c r="C95" s="701"/>
      <c r="D95" s="1161">
        <v>6286</v>
      </c>
    </row>
    <row r="96" spans="1:4">
      <c r="A96" s="700">
        <v>10970</v>
      </c>
      <c r="B96" s="695" t="s">
        <v>6965</v>
      </c>
      <c r="C96" s="701"/>
      <c r="D96" s="1161">
        <v>58.14</v>
      </c>
    </row>
    <row r="97" spans="1:4">
      <c r="A97" s="700">
        <v>6818</v>
      </c>
      <c r="B97" s="695" t="s">
        <v>6966</v>
      </c>
      <c r="C97" s="701"/>
      <c r="D97" s="1161"/>
    </row>
    <row r="98" spans="1:4">
      <c r="A98" s="700">
        <v>10977</v>
      </c>
      <c r="B98" s="695" t="s">
        <v>6499</v>
      </c>
      <c r="C98" s="701"/>
      <c r="D98" s="1161">
        <v>40.950000000000003</v>
      </c>
    </row>
    <row r="99" spans="1:4">
      <c r="A99" s="700">
        <v>6810</v>
      </c>
      <c r="B99" s="695" t="s">
        <v>6967</v>
      </c>
      <c r="C99" s="701"/>
      <c r="D99" s="1161">
        <v>880</v>
      </c>
    </row>
    <row r="100" spans="1:4">
      <c r="A100" s="700">
        <v>2954</v>
      </c>
      <c r="B100" s="695" t="s">
        <v>2640</v>
      </c>
      <c r="C100" s="701" t="s">
        <v>1806</v>
      </c>
      <c r="D100" s="1161">
        <v>0.5</v>
      </c>
    </row>
    <row r="101" spans="1:4">
      <c r="A101" s="700">
        <v>3012</v>
      </c>
      <c r="B101" s="695" t="s">
        <v>2669</v>
      </c>
      <c r="C101" s="701"/>
      <c r="D101" s="1161"/>
    </row>
    <row r="102" spans="1:4">
      <c r="A102" s="700">
        <v>2701</v>
      </c>
      <c r="B102" s="695" t="s">
        <v>1665</v>
      </c>
      <c r="C102" s="701" t="s">
        <v>1804</v>
      </c>
      <c r="D102" s="1161">
        <v>372</v>
      </c>
    </row>
    <row r="103" spans="1:4">
      <c r="A103" s="700">
        <v>2149</v>
      </c>
      <c r="B103" s="695" t="s">
        <v>2381</v>
      </c>
      <c r="C103" s="701" t="s">
        <v>1806</v>
      </c>
      <c r="D103" s="1161">
        <v>96035.53</v>
      </c>
    </row>
    <row r="104" spans="1:4">
      <c r="A104" s="700">
        <v>2631</v>
      </c>
      <c r="B104" s="695" t="s">
        <v>6968</v>
      </c>
      <c r="C104" s="701"/>
      <c r="D104" s="1161"/>
    </row>
    <row r="105" spans="1:4">
      <c r="A105" s="700">
        <v>2587</v>
      </c>
      <c r="B105" s="695" t="s">
        <v>4495</v>
      </c>
      <c r="C105" s="701" t="s">
        <v>2441</v>
      </c>
      <c r="D105" s="1161">
        <v>0.2</v>
      </c>
    </row>
    <row r="106" spans="1:4">
      <c r="A106" s="700">
        <v>2700</v>
      </c>
      <c r="B106" s="695" t="s">
        <v>4169</v>
      </c>
      <c r="C106" s="701" t="s">
        <v>1806</v>
      </c>
      <c r="D106" s="1161">
        <v>0</v>
      </c>
    </row>
    <row r="107" spans="1:4">
      <c r="A107" s="700">
        <v>2976</v>
      </c>
      <c r="B107" s="695" t="s">
        <v>1309</v>
      </c>
      <c r="C107" s="701" t="s">
        <v>5127</v>
      </c>
      <c r="D107" s="1161">
        <v>1499.54</v>
      </c>
    </row>
    <row r="108" spans="1:4">
      <c r="A108" s="700">
        <v>2164</v>
      </c>
      <c r="B108" s="695" t="s">
        <v>4171</v>
      </c>
      <c r="C108" s="701" t="s">
        <v>1806</v>
      </c>
      <c r="D108" s="1161">
        <v>2776073.8</v>
      </c>
    </row>
    <row r="109" spans="1:4">
      <c r="A109" s="700">
        <v>2774</v>
      </c>
      <c r="B109" s="695" t="s">
        <v>6186</v>
      </c>
      <c r="C109" s="701"/>
      <c r="D109" s="1161">
        <v>3029</v>
      </c>
    </row>
    <row r="110" spans="1:4">
      <c r="A110" s="700">
        <v>11275</v>
      </c>
      <c r="B110" s="695" t="s">
        <v>6969</v>
      </c>
      <c r="C110" s="701"/>
      <c r="D110" s="1161">
        <v>446</v>
      </c>
    </row>
    <row r="111" spans="1:4">
      <c r="A111" s="700">
        <v>2188</v>
      </c>
      <c r="B111" s="695" t="s">
        <v>2383</v>
      </c>
      <c r="C111" s="701" t="s">
        <v>1806</v>
      </c>
      <c r="D111" s="1161">
        <v>402818.38</v>
      </c>
    </row>
    <row r="112" spans="1:4">
      <c r="A112" s="700">
        <v>2950</v>
      </c>
      <c r="B112" s="695" t="s">
        <v>1810</v>
      </c>
      <c r="C112" s="701" t="s">
        <v>1806</v>
      </c>
      <c r="D112" s="1161">
        <v>5004</v>
      </c>
    </row>
    <row r="113" spans="1:4">
      <c r="A113" s="700">
        <v>2119</v>
      </c>
      <c r="B113" s="695" t="s">
        <v>3424</v>
      </c>
      <c r="C113" s="701" t="s">
        <v>1806</v>
      </c>
      <c r="D113" s="1161">
        <v>4209</v>
      </c>
    </row>
    <row r="114" spans="1:4">
      <c r="A114" s="700">
        <v>3509</v>
      </c>
      <c r="B114" s="695" t="s">
        <v>3022</v>
      </c>
      <c r="C114" s="701" t="s">
        <v>2435</v>
      </c>
      <c r="D114" s="1161">
        <v>227</v>
      </c>
    </row>
    <row r="115" spans="1:4">
      <c r="A115" s="700">
        <v>3527</v>
      </c>
      <c r="B115" s="695" t="s">
        <v>3023</v>
      </c>
      <c r="C115" s="701" t="s">
        <v>2433</v>
      </c>
      <c r="D115" s="1161">
        <v>241841</v>
      </c>
    </row>
    <row r="116" spans="1:4">
      <c r="A116" s="700">
        <v>18993</v>
      </c>
      <c r="B116" s="695" t="s">
        <v>429</v>
      </c>
      <c r="C116" s="701" t="s">
        <v>5127</v>
      </c>
      <c r="D116" s="1161">
        <v>16141</v>
      </c>
    </row>
    <row r="117" spans="1:4">
      <c r="A117" s="700">
        <v>3466</v>
      </c>
      <c r="B117" s="695" t="s">
        <v>1247</v>
      </c>
      <c r="C117" s="701" t="s">
        <v>2430</v>
      </c>
      <c r="D117" s="1161">
        <v>729968.96</v>
      </c>
    </row>
    <row r="118" spans="1:4">
      <c r="A118" s="700">
        <v>18997</v>
      </c>
      <c r="B118" s="695" t="s">
        <v>430</v>
      </c>
      <c r="C118" s="701" t="s">
        <v>1806</v>
      </c>
      <c r="D118" s="1161">
        <v>110589</v>
      </c>
    </row>
    <row r="119" spans="1:4">
      <c r="A119" s="700">
        <v>2749</v>
      </c>
      <c r="B119" s="695" t="s">
        <v>6922</v>
      </c>
      <c r="C119" s="701"/>
      <c r="D119" s="1161">
        <v>347222.09</v>
      </c>
    </row>
    <row r="120" spans="1:4">
      <c r="A120" s="700">
        <v>2933</v>
      </c>
      <c r="B120" s="695" t="s">
        <v>6755</v>
      </c>
      <c r="C120" s="701"/>
      <c r="D120" s="1161">
        <v>12972</v>
      </c>
    </row>
    <row r="121" spans="1:4">
      <c r="A121" s="700">
        <v>3533</v>
      </c>
      <c r="B121" s="695" t="s">
        <v>4775</v>
      </c>
      <c r="C121" s="701" t="s">
        <v>2433</v>
      </c>
      <c r="D121" s="1161">
        <v>3775</v>
      </c>
    </row>
    <row r="122" spans="1:4">
      <c r="A122" s="700">
        <v>18446</v>
      </c>
      <c r="B122" s="695" t="s">
        <v>6534</v>
      </c>
      <c r="C122" s="701"/>
      <c r="D122" s="1161">
        <v>44</v>
      </c>
    </row>
    <row r="123" spans="1:4">
      <c r="A123" s="700">
        <v>2690</v>
      </c>
      <c r="B123" s="695" t="s">
        <v>4776</v>
      </c>
      <c r="C123" s="701" t="s">
        <v>2433</v>
      </c>
      <c r="D123" s="1161">
        <v>550</v>
      </c>
    </row>
    <row r="124" spans="1:4">
      <c r="A124" s="700">
        <v>13179</v>
      </c>
      <c r="B124" s="695" t="s">
        <v>3610</v>
      </c>
      <c r="C124" s="701" t="s">
        <v>1806</v>
      </c>
      <c r="D124" s="1161">
        <v>0.3</v>
      </c>
    </row>
    <row r="125" spans="1:4">
      <c r="A125" s="700">
        <v>2961</v>
      </c>
      <c r="B125" s="695" t="s">
        <v>952</v>
      </c>
      <c r="C125" s="701" t="s">
        <v>1806</v>
      </c>
      <c r="D125" s="1161"/>
    </row>
    <row r="126" spans="1:4">
      <c r="A126" s="700">
        <v>2931</v>
      </c>
      <c r="B126" s="695" t="s">
        <v>6752</v>
      </c>
      <c r="C126" s="701"/>
      <c r="D126" s="1161">
        <v>0</v>
      </c>
    </row>
    <row r="127" spans="1:4">
      <c r="A127" s="700">
        <v>6809</v>
      </c>
      <c r="B127" s="695" t="s">
        <v>6970</v>
      </c>
      <c r="C127" s="701"/>
      <c r="D127" s="1161">
        <v>147</v>
      </c>
    </row>
    <row r="128" spans="1:4">
      <c r="A128" s="700">
        <v>2415</v>
      </c>
      <c r="B128" s="695" t="s">
        <v>431</v>
      </c>
      <c r="C128" s="701" t="s">
        <v>1806</v>
      </c>
      <c r="D128" s="1161"/>
    </row>
    <row r="129" spans="1:4">
      <c r="A129" s="700">
        <v>18710</v>
      </c>
      <c r="B129" s="695" t="s">
        <v>2943</v>
      </c>
      <c r="C129" s="701" t="s">
        <v>1806</v>
      </c>
      <c r="D129" s="1161">
        <v>3861</v>
      </c>
    </row>
    <row r="130" spans="1:4">
      <c r="A130" s="700">
        <v>2725</v>
      </c>
      <c r="B130" s="695" t="s">
        <v>3837</v>
      </c>
      <c r="C130" s="701" t="s">
        <v>1804</v>
      </c>
      <c r="D130" s="1161">
        <v>1063.19</v>
      </c>
    </row>
    <row r="131" spans="1:4">
      <c r="A131" s="700">
        <v>14613</v>
      </c>
      <c r="B131" s="695" t="s">
        <v>432</v>
      </c>
      <c r="C131" s="701" t="s">
        <v>1806</v>
      </c>
      <c r="D131" s="1161">
        <v>21209</v>
      </c>
    </row>
    <row r="132" spans="1:4">
      <c r="A132" s="700">
        <v>3315</v>
      </c>
      <c r="B132" s="695" t="s">
        <v>3905</v>
      </c>
      <c r="C132" s="701" t="s">
        <v>1806</v>
      </c>
      <c r="D132" s="1161">
        <v>40439.199999999997</v>
      </c>
    </row>
    <row r="133" spans="1:4">
      <c r="A133" s="700">
        <v>11364</v>
      </c>
      <c r="B133" s="695" t="s">
        <v>6971</v>
      </c>
      <c r="C133" s="701"/>
      <c r="D133" s="1161">
        <v>87</v>
      </c>
    </row>
    <row r="134" spans="1:4">
      <c r="A134" s="700">
        <v>2304</v>
      </c>
      <c r="B134" s="695" t="s">
        <v>5019</v>
      </c>
      <c r="C134" s="701" t="s">
        <v>1806</v>
      </c>
      <c r="D134" s="1161">
        <v>44623.15</v>
      </c>
    </row>
    <row r="135" spans="1:4">
      <c r="A135" s="700">
        <v>2693</v>
      </c>
      <c r="B135" s="695" t="s">
        <v>4932</v>
      </c>
      <c r="C135" s="701" t="s">
        <v>1804</v>
      </c>
      <c r="D135" s="1161">
        <v>0</v>
      </c>
    </row>
    <row r="136" spans="1:4">
      <c r="A136" s="700">
        <v>2118</v>
      </c>
      <c r="B136" s="695" t="s">
        <v>6753</v>
      </c>
      <c r="C136" s="701"/>
      <c r="D136" s="1161">
        <v>156792</v>
      </c>
    </row>
    <row r="137" spans="1:4">
      <c r="A137" s="700">
        <v>2957</v>
      </c>
      <c r="B137" s="695" t="s">
        <v>2893</v>
      </c>
      <c r="C137" s="701" t="s">
        <v>5365</v>
      </c>
      <c r="D137" s="1161">
        <v>3969506.72</v>
      </c>
    </row>
    <row r="138" spans="1:4">
      <c r="A138" s="700">
        <v>2711</v>
      </c>
      <c r="B138" s="695" t="s">
        <v>744</v>
      </c>
      <c r="C138" s="701" t="s">
        <v>5368</v>
      </c>
      <c r="D138" s="1161">
        <v>0</v>
      </c>
    </row>
    <row r="139" spans="1:4">
      <c r="A139" s="700">
        <v>3182</v>
      </c>
      <c r="B139" s="695" t="s">
        <v>2823</v>
      </c>
      <c r="C139" s="701" t="s">
        <v>1806</v>
      </c>
      <c r="D139" s="1161">
        <v>55</v>
      </c>
    </row>
    <row r="140" spans="1:4">
      <c r="A140" s="700">
        <v>3535</v>
      </c>
      <c r="B140" s="695" t="s">
        <v>3289</v>
      </c>
      <c r="C140" s="701" t="s">
        <v>1804</v>
      </c>
      <c r="D140" s="1161">
        <v>4431.28</v>
      </c>
    </row>
    <row r="141" spans="1:4">
      <c r="A141" s="700">
        <v>11379</v>
      </c>
      <c r="B141" s="695" t="s">
        <v>3455</v>
      </c>
      <c r="C141" s="701"/>
      <c r="D141" s="1161">
        <v>2.12</v>
      </c>
    </row>
    <row r="142" spans="1:4">
      <c r="A142" s="700">
        <v>2368</v>
      </c>
      <c r="B142" s="695" t="s">
        <v>1545</v>
      </c>
      <c r="C142" s="701" t="s">
        <v>1806</v>
      </c>
      <c r="D142" s="1161">
        <v>27.5</v>
      </c>
    </row>
    <row r="143" spans="1:4">
      <c r="A143" s="700">
        <v>2607</v>
      </c>
      <c r="B143" s="695" t="s">
        <v>1337</v>
      </c>
      <c r="C143" s="701" t="s">
        <v>2441</v>
      </c>
      <c r="D143" s="1161">
        <v>15.17</v>
      </c>
    </row>
    <row r="144" spans="1:4">
      <c r="A144" s="700">
        <v>2274</v>
      </c>
      <c r="B144" s="695" t="s">
        <v>3287</v>
      </c>
      <c r="C144" s="701" t="s">
        <v>1806</v>
      </c>
      <c r="D144" s="1161"/>
    </row>
    <row r="145" spans="1:4">
      <c r="A145" s="700">
        <v>3367</v>
      </c>
      <c r="B145" s="695" t="s">
        <v>4496</v>
      </c>
      <c r="C145" s="701" t="s">
        <v>1809</v>
      </c>
      <c r="D145" s="1161">
        <v>158.71</v>
      </c>
    </row>
    <row r="146" spans="1:4">
      <c r="A146" s="700">
        <v>3177</v>
      </c>
      <c r="B146" s="695" t="s">
        <v>387</v>
      </c>
      <c r="C146" s="701" t="s">
        <v>1806</v>
      </c>
      <c r="D146" s="1161">
        <v>0</v>
      </c>
    </row>
    <row r="147" spans="1:4">
      <c r="A147" s="700">
        <v>17223</v>
      </c>
      <c r="B147" s="695" t="s">
        <v>433</v>
      </c>
      <c r="C147" s="701" t="s">
        <v>1806</v>
      </c>
      <c r="D147" s="1161">
        <v>720804</v>
      </c>
    </row>
    <row r="148" spans="1:4">
      <c r="A148" s="700">
        <v>2675</v>
      </c>
      <c r="B148" s="695" t="s">
        <v>434</v>
      </c>
      <c r="C148" s="701" t="s">
        <v>2435</v>
      </c>
      <c r="D148" s="1161">
        <v>2421.46</v>
      </c>
    </row>
    <row r="149" spans="1:4">
      <c r="A149" s="700">
        <v>3112</v>
      </c>
      <c r="B149" s="695" t="s">
        <v>628</v>
      </c>
      <c r="C149" s="701" t="s">
        <v>1806</v>
      </c>
      <c r="D149" s="1161"/>
    </row>
    <row r="150" spans="1:4">
      <c r="A150" s="700">
        <v>3201</v>
      </c>
      <c r="B150" s="695" t="s">
        <v>435</v>
      </c>
      <c r="C150" s="701" t="s">
        <v>436</v>
      </c>
      <c r="D150" s="1161"/>
    </row>
    <row r="151" spans="1:4">
      <c r="A151" s="700">
        <v>3148</v>
      </c>
      <c r="B151" s="695" t="s">
        <v>25</v>
      </c>
      <c r="C151" s="701" t="s">
        <v>1806</v>
      </c>
      <c r="D151" s="1161">
        <v>2.97</v>
      </c>
    </row>
    <row r="152" spans="1:4">
      <c r="A152" s="700">
        <v>17470</v>
      </c>
      <c r="B152" s="695" t="s">
        <v>437</v>
      </c>
      <c r="C152" s="701" t="s">
        <v>1804</v>
      </c>
      <c r="D152" s="1161">
        <v>0</v>
      </c>
    </row>
    <row r="153" spans="1:4">
      <c r="A153" s="700">
        <v>2156</v>
      </c>
      <c r="B153" s="695" t="s">
        <v>2894</v>
      </c>
      <c r="C153" s="701" t="s">
        <v>5365</v>
      </c>
      <c r="D153" s="1161">
        <v>1857.33</v>
      </c>
    </row>
    <row r="154" spans="1:4">
      <c r="A154" s="700">
        <v>3513</v>
      </c>
      <c r="B154" s="695" t="s">
        <v>723</v>
      </c>
      <c r="C154" s="701" t="s">
        <v>2435</v>
      </c>
      <c r="D154" s="1161">
        <v>4244056</v>
      </c>
    </row>
    <row r="155" spans="1:4">
      <c r="A155" s="700">
        <v>2955</v>
      </c>
      <c r="B155" s="695" t="s">
        <v>2674</v>
      </c>
      <c r="C155" s="701" t="s">
        <v>1806</v>
      </c>
      <c r="D155" s="1161">
        <v>763385.42</v>
      </c>
    </row>
    <row r="156" spans="1:4">
      <c r="A156" s="700">
        <v>2205</v>
      </c>
      <c r="B156" s="695" t="s">
        <v>26</v>
      </c>
      <c r="C156" s="701" t="s">
        <v>3928</v>
      </c>
      <c r="D156" s="1161">
        <v>0</v>
      </c>
    </row>
    <row r="157" spans="1:4">
      <c r="A157" s="700">
        <v>11264</v>
      </c>
      <c r="B157" s="695" t="s">
        <v>3456</v>
      </c>
      <c r="C157" s="701"/>
      <c r="D157" s="1161">
        <v>0.13</v>
      </c>
    </row>
    <row r="158" spans="1:4">
      <c r="A158" s="700">
        <v>3455</v>
      </c>
      <c r="B158" s="695" t="s">
        <v>438</v>
      </c>
      <c r="C158" s="701" t="s">
        <v>1805</v>
      </c>
      <c r="D158" s="1161">
        <v>282.35000000000002</v>
      </c>
    </row>
    <row r="159" spans="1:4">
      <c r="A159" s="700">
        <v>2877</v>
      </c>
      <c r="B159" s="695" t="s">
        <v>4587</v>
      </c>
      <c r="C159" s="701" t="s">
        <v>1806</v>
      </c>
      <c r="D159" s="1161">
        <v>349.14</v>
      </c>
    </row>
    <row r="160" spans="1:4">
      <c r="A160" s="700">
        <v>17293</v>
      </c>
      <c r="B160" s="695" t="s">
        <v>6972</v>
      </c>
      <c r="C160" s="701"/>
      <c r="D160" s="1161">
        <v>100.7</v>
      </c>
    </row>
    <row r="161" spans="1:4">
      <c r="A161" s="700">
        <v>3548</v>
      </c>
      <c r="B161" s="695" t="s">
        <v>3616</v>
      </c>
      <c r="C161" s="701" t="s">
        <v>1804</v>
      </c>
      <c r="D161" s="1161">
        <v>0</v>
      </c>
    </row>
    <row r="162" spans="1:4">
      <c r="A162" s="700">
        <v>2148</v>
      </c>
      <c r="B162" s="695" t="s">
        <v>439</v>
      </c>
      <c r="C162" s="701" t="s">
        <v>1806</v>
      </c>
      <c r="D162" s="1161">
        <v>0</v>
      </c>
    </row>
    <row r="163" spans="1:4">
      <c r="A163" s="700">
        <v>15055</v>
      </c>
      <c r="B163" s="695" t="s">
        <v>6566</v>
      </c>
      <c r="C163" s="701"/>
      <c r="D163" s="1161">
        <v>158.27000000000001</v>
      </c>
    </row>
    <row r="164" spans="1:4">
      <c r="A164" s="700">
        <v>2908</v>
      </c>
      <c r="B164" s="695" t="s">
        <v>1078</v>
      </c>
      <c r="C164" s="701" t="s">
        <v>1806</v>
      </c>
      <c r="D164" s="1161">
        <v>95</v>
      </c>
    </row>
    <row r="165" spans="1:4">
      <c r="A165" s="700">
        <v>2355</v>
      </c>
      <c r="B165" s="695" t="s">
        <v>440</v>
      </c>
      <c r="C165" s="701" t="s">
        <v>1806</v>
      </c>
      <c r="D165" s="1161"/>
    </row>
    <row r="166" spans="1:4">
      <c r="A166" s="700">
        <v>2201</v>
      </c>
      <c r="B166" s="695" t="s">
        <v>441</v>
      </c>
      <c r="C166" s="701" t="s">
        <v>1806</v>
      </c>
      <c r="D166" s="1161"/>
    </row>
    <row r="167" spans="1:4">
      <c r="A167" s="700">
        <v>2787</v>
      </c>
      <c r="B167" s="695" t="s">
        <v>6973</v>
      </c>
      <c r="C167" s="701"/>
      <c r="D167" s="1161"/>
    </row>
    <row r="168" spans="1:4">
      <c r="A168" s="700">
        <v>3406</v>
      </c>
      <c r="B168" s="695" t="s">
        <v>442</v>
      </c>
      <c r="C168" s="701" t="s">
        <v>2441</v>
      </c>
      <c r="D168" s="1161">
        <v>0</v>
      </c>
    </row>
    <row r="169" spans="1:4">
      <c r="A169" s="700">
        <v>19045</v>
      </c>
      <c r="B169" s="695" t="s">
        <v>443</v>
      </c>
      <c r="C169" s="701" t="s">
        <v>1806</v>
      </c>
      <c r="D169" s="1161"/>
    </row>
    <row r="170" spans="1:4">
      <c r="A170" s="700">
        <v>2593</v>
      </c>
      <c r="B170" s="695" t="s">
        <v>444</v>
      </c>
      <c r="C170" s="701" t="s">
        <v>2441</v>
      </c>
      <c r="D170" s="1161">
        <v>0</v>
      </c>
    </row>
    <row r="171" spans="1:4">
      <c r="A171" s="700">
        <v>2783</v>
      </c>
      <c r="B171" s="695" t="s">
        <v>445</v>
      </c>
      <c r="C171" s="701" t="s">
        <v>1808</v>
      </c>
      <c r="D171" s="1161">
        <v>1714204.2</v>
      </c>
    </row>
    <row r="172" spans="1:4">
      <c r="A172" s="700">
        <v>17471</v>
      </c>
      <c r="B172" s="695" t="s">
        <v>446</v>
      </c>
      <c r="C172" s="701" t="s">
        <v>1804</v>
      </c>
      <c r="D172" s="1161">
        <v>0.04</v>
      </c>
    </row>
    <row r="173" spans="1:4">
      <c r="A173" s="700">
        <v>2784</v>
      </c>
      <c r="B173" s="695" t="s">
        <v>6188</v>
      </c>
      <c r="C173" s="701"/>
      <c r="D173" s="1161">
        <v>8447036</v>
      </c>
    </row>
    <row r="174" spans="1:4">
      <c r="A174" s="700">
        <v>3441</v>
      </c>
      <c r="B174" s="695" t="s">
        <v>5406</v>
      </c>
      <c r="C174" s="701" t="s">
        <v>1805</v>
      </c>
      <c r="D174" s="1161">
        <v>17.260000000000002</v>
      </c>
    </row>
    <row r="175" spans="1:4">
      <c r="A175" s="700">
        <v>2203</v>
      </c>
      <c r="B175" s="695" t="s">
        <v>2675</v>
      </c>
      <c r="C175" s="701" t="s">
        <v>3928</v>
      </c>
      <c r="D175" s="1161">
        <v>4474.7</v>
      </c>
    </row>
    <row r="176" spans="1:4">
      <c r="A176" s="700">
        <v>3510</v>
      </c>
      <c r="B176" s="695" t="s">
        <v>2824</v>
      </c>
      <c r="C176" s="701" t="s">
        <v>2435</v>
      </c>
      <c r="D176" s="1161">
        <v>2774.63</v>
      </c>
    </row>
    <row r="177" spans="1:4">
      <c r="A177" s="700">
        <v>2550</v>
      </c>
      <c r="B177" s="695" t="s">
        <v>3285</v>
      </c>
      <c r="C177" s="701" t="s">
        <v>1807</v>
      </c>
      <c r="D177" s="1161">
        <v>4</v>
      </c>
    </row>
    <row r="178" spans="1:4">
      <c r="A178" s="700">
        <v>10093</v>
      </c>
      <c r="B178" s="695" t="s">
        <v>6974</v>
      </c>
      <c r="C178" s="701"/>
      <c r="D178" s="1161"/>
    </row>
    <row r="179" spans="1:4">
      <c r="A179" s="700">
        <v>2298</v>
      </c>
      <c r="B179" s="695" t="s">
        <v>4159</v>
      </c>
      <c r="C179" s="701" t="s">
        <v>1806</v>
      </c>
      <c r="D179" s="1161">
        <v>512.23</v>
      </c>
    </row>
    <row r="180" spans="1:4">
      <c r="A180" s="700">
        <v>2291</v>
      </c>
      <c r="B180" s="695" t="s">
        <v>3840</v>
      </c>
      <c r="C180" s="701" t="s">
        <v>2438</v>
      </c>
      <c r="D180" s="1161">
        <v>147045.29999999999</v>
      </c>
    </row>
    <row r="181" spans="1:4">
      <c r="A181" s="700">
        <v>2940</v>
      </c>
      <c r="B181" s="695" t="s">
        <v>2642</v>
      </c>
      <c r="C181" s="701" t="s">
        <v>1806</v>
      </c>
      <c r="D181" s="1161">
        <v>1163.3</v>
      </c>
    </row>
    <row r="182" spans="1:4">
      <c r="A182" s="700">
        <v>3497</v>
      </c>
      <c r="B182" s="695" t="s">
        <v>5240</v>
      </c>
      <c r="C182" s="701" t="s">
        <v>1804</v>
      </c>
      <c r="D182" s="1161"/>
    </row>
    <row r="183" spans="1:4">
      <c r="A183" s="700">
        <v>2566</v>
      </c>
      <c r="B183" s="695" t="s">
        <v>1070</v>
      </c>
      <c r="C183" s="701" t="s">
        <v>1806</v>
      </c>
      <c r="D183" s="1161"/>
    </row>
    <row r="184" spans="1:4">
      <c r="A184" s="700">
        <v>18785</v>
      </c>
      <c r="B184" s="695" t="s">
        <v>2607</v>
      </c>
      <c r="C184" s="701" t="s">
        <v>1806</v>
      </c>
      <c r="D184" s="1161">
        <v>296</v>
      </c>
    </row>
    <row r="185" spans="1:4">
      <c r="A185" s="700">
        <v>3384</v>
      </c>
      <c r="B185" s="695" t="s">
        <v>5238</v>
      </c>
      <c r="C185" s="701" t="s">
        <v>1806</v>
      </c>
      <c r="D185" s="1161">
        <v>896.1</v>
      </c>
    </row>
    <row r="186" spans="1:4">
      <c r="A186" s="700">
        <v>3508</v>
      </c>
      <c r="B186" s="695" t="s">
        <v>447</v>
      </c>
      <c r="C186" s="701" t="s">
        <v>2435</v>
      </c>
      <c r="D186" s="1161">
        <v>12925.41</v>
      </c>
    </row>
    <row r="187" spans="1:4">
      <c r="A187" s="700">
        <v>2666</v>
      </c>
      <c r="B187" s="695" t="s">
        <v>448</v>
      </c>
      <c r="C187" s="701" t="s">
        <v>2435</v>
      </c>
      <c r="D187" s="1161">
        <v>0</v>
      </c>
    </row>
    <row r="188" spans="1:4">
      <c r="A188" s="700">
        <v>3345</v>
      </c>
      <c r="B188" s="695" t="s">
        <v>4885</v>
      </c>
      <c r="C188" s="701" t="s">
        <v>1806</v>
      </c>
      <c r="D188" s="1161">
        <v>3.27</v>
      </c>
    </row>
    <row r="189" spans="1:4">
      <c r="A189" s="700">
        <v>3050</v>
      </c>
      <c r="B189" s="695" t="s">
        <v>2667</v>
      </c>
      <c r="C189" s="701" t="s">
        <v>1806</v>
      </c>
      <c r="D189" s="1161">
        <v>12149.95</v>
      </c>
    </row>
    <row r="190" spans="1:4">
      <c r="A190" s="700">
        <v>16342</v>
      </c>
      <c r="B190" s="695" t="s">
        <v>5241</v>
      </c>
      <c r="C190" s="701" t="s">
        <v>3932</v>
      </c>
      <c r="D190" s="1161">
        <v>0</v>
      </c>
    </row>
    <row r="191" spans="1:4">
      <c r="A191" s="700">
        <v>2586</v>
      </c>
      <c r="B191" s="695" t="s">
        <v>3741</v>
      </c>
      <c r="C191" s="701" t="s">
        <v>2441</v>
      </c>
      <c r="D191" s="1161">
        <v>41973</v>
      </c>
    </row>
    <row r="192" spans="1:4">
      <c r="A192" s="700">
        <v>2319</v>
      </c>
      <c r="B192" s="695" t="s">
        <v>532</v>
      </c>
      <c r="C192" s="701" t="s">
        <v>1806</v>
      </c>
      <c r="D192" s="1161">
        <v>350</v>
      </c>
    </row>
    <row r="193" spans="1:4">
      <c r="A193" s="700">
        <v>2710</v>
      </c>
      <c r="B193" s="695" t="s">
        <v>449</v>
      </c>
      <c r="C193" s="701" t="s">
        <v>1804</v>
      </c>
      <c r="D193" s="1161">
        <v>0</v>
      </c>
    </row>
    <row r="194" spans="1:4">
      <c r="A194" s="700">
        <v>2267</v>
      </c>
      <c r="B194" s="695" t="s">
        <v>5090</v>
      </c>
      <c r="C194" s="701" t="s">
        <v>1806</v>
      </c>
      <c r="D194" s="1161">
        <v>4172.74</v>
      </c>
    </row>
    <row r="195" spans="1:4">
      <c r="A195" s="700">
        <v>18489</v>
      </c>
      <c r="B195" s="695" t="s">
        <v>450</v>
      </c>
      <c r="C195" s="701" t="s">
        <v>1806</v>
      </c>
      <c r="D195" s="1161">
        <v>2045</v>
      </c>
    </row>
    <row r="196" spans="1:4">
      <c r="A196" s="700">
        <v>2153</v>
      </c>
      <c r="B196" s="695" t="s">
        <v>3064</v>
      </c>
      <c r="C196" s="701" t="s">
        <v>1806</v>
      </c>
      <c r="D196" s="1161">
        <v>269.58</v>
      </c>
    </row>
    <row r="197" spans="1:4">
      <c r="A197" s="700">
        <v>2956</v>
      </c>
      <c r="B197" s="695" t="s">
        <v>4960</v>
      </c>
      <c r="C197" s="701" t="s">
        <v>1806</v>
      </c>
      <c r="D197" s="1161">
        <v>0</v>
      </c>
    </row>
    <row r="198" spans="1:4">
      <c r="A198" s="700">
        <v>3486</v>
      </c>
      <c r="B198" s="695" t="s">
        <v>5655</v>
      </c>
      <c r="C198" s="701" t="s">
        <v>1805</v>
      </c>
      <c r="D198" s="1161">
        <v>0</v>
      </c>
    </row>
    <row r="199" spans="1:4">
      <c r="A199" s="700">
        <v>2344</v>
      </c>
      <c r="B199" s="695" t="s">
        <v>2507</v>
      </c>
      <c r="C199" s="701" t="s">
        <v>1806</v>
      </c>
      <c r="D199" s="1161"/>
    </row>
    <row r="200" spans="1:4">
      <c r="A200" s="700">
        <v>3382</v>
      </c>
      <c r="B200" s="695" t="s">
        <v>5656</v>
      </c>
      <c r="C200" s="701" t="s">
        <v>1806</v>
      </c>
      <c r="D200" s="1161">
        <v>2245910.85</v>
      </c>
    </row>
    <row r="201" spans="1:4">
      <c r="A201" s="700">
        <v>2516</v>
      </c>
      <c r="B201" s="695" t="s">
        <v>5657</v>
      </c>
      <c r="C201" s="701" t="s">
        <v>1806</v>
      </c>
      <c r="D201" s="1161"/>
    </row>
    <row r="202" spans="1:4">
      <c r="A202" s="700">
        <v>3573</v>
      </c>
      <c r="B202" s="695" t="s">
        <v>5658</v>
      </c>
      <c r="C202" s="701" t="s">
        <v>1804</v>
      </c>
      <c r="D202" s="1161">
        <v>29782</v>
      </c>
    </row>
    <row r="203" spans="1:4">
      <c r="A203" s="700">
        <v>3504</v>
      </c>
      <c r="B203" s="695" t="s">
        <v>2363</v>
      </c>
      <c r="C203" s="701"/>
      <c r="D203" s="1161">
        <v>1983.28</v>
      </c>
    </row>
    <row r="204" spans="1:4">
      <c r="A204" s="700">
        <v>3429</v>
      </c>
      <c r="B204" s="695" t="s">
        <v>5659</v>
      </c>
      <c r="C204" s="701" t="s">
        <v>2441</v>
      </c>
      <c r="D204" s="1161">
        <v>116563</v>
      </c>
    </row>
    <row r="205" spans="1:4">
      <c r="A205" s="700">
        <v>2180</v>
      </c>
      <c r="B205" s="695" t="s">
        <v>3296</v>
      </c>
      <c r="C205" s="701" t="s">
        <v>1806</v>
      </c>
      <c r="D205" s="1161">
        <v>86730</v>
      </c>
    </row>
    <row r="206" spans="1:4">
      <c r="A206" s="700">
        <v>2746</v>
      </c>
      <c r="B206" s="695" t="s">
        <v>3297</v>
      </c>
      <c r="C206" s="701" t="s">
        <v>2429</v>
      </c>
      <c r="D206" s="1161">
        <v>91779.85</v>
      </c>
    </row>
    <row r="207" spans="1:4">
      <c r="A207" s="700">
        <v>18996</v>
      </c>
      <c r="B207" s="695" t="s">
        <v>6189</v>
      </c>
      <c r="C207" s="701"/>
      <c r="D207" s="1161">
        <v>151520</v>
      </c>
    </row>
    <row r="208" spans="1:4">
      <c r="A208" s="700">
        <v>18782</v>
      </c>
      <c r="B208" s="695" t="s">
        <v>451</v>
      </c>
      <c r="C208" s="701" t="s">
        <v>2435</v>
      </c>
      <c r="D208" s="1161">
        <v>182</v>
      </c>
    </row>
    <row r="209" spans="1:4">
      <c r="A209" s="700">
        <v>3488</v>
      </c>
      <c r="B209" s="695" t="s">
        <v>2404</v>
      </c>
      <c r="C209" s="701"/>
      <c r="D209" s="1161">
        <v>0</v>
      </c>
    </row>
    <row r="210" spans="1:4">
      <c r="A210" s="700">
        <v>2630</v>
      </c>
      <c r="B210" s="695" t="s">
        <v>1071</v>
      </c>
      <c r="C210" s="701" t="s">
        <v>2430</v>
      </c>
      <c r="D210" s="1161">
        <v>0</v>
      </c>
    </row>
    <row r="211" spans="1:4">
      <c r="A211" s="700">
        <v>2792</v>
      </c>
      <c r="B211" s="695" t="s">
        <v>1077</v>
      </c>
      <c r="C211" s="701"/>
      <c r="D211" s="1161"/>
    </row>
    <row r="212" spans="1:4">
      <c r="A212" s="700">
        <v>2709</v>
      </c>
      <c r="B212" s="695" t="s">
        <v>452</v>
      </c>
      <c r="C212" s="701" t="s">
        <v>1804</v>
      </c>
      <c r="D212" s="1161">
        <v>0</v>
      </c>
    </row>
    <row r="213" spans="1:4">
      <c r="A213" s="700">
        <v>2512</v>
      </c>
      <c r="B213" s="695" t="s">
        <v>95</v>
      </c>
      <c r="C213" s="701" t="s">
        <v>1806</v>
      </c>
      <c r="D213" s="1161">
        <v>97620.91</v>
      </c>
    </row>
    <row r="214" spans="1:4">
      <c r="A214" s="700">
        <v>18545</v>
      </c>
      <c r="B214" s="695" t="s">
        <v>6975</v>
      </c>
      <c r="C214" s="701"/>
      <c r="D214" s="1161"/>
    </row>
    <row r="215" spans="1:4">
      <c r="A215" s="700">
        <v>2608</v>
      </c>
      <c r="B215" s="695" t="s">
        <v>2732</v>
      </c>
      <c r="C215" s="701" t="s">
        <v>2441</v>
      </c>
      <c r="D215" s="1161">
        <v>203027.55</v>
      </c>
    </row>
    <row r="216" spans="1:4">
      <c r="A216" s="700">
        <v>3405</v>
      </c>
      <c r="B216" s="695" t="s">
        <v>3906</v>
      </c>
      <c r="C216" s="701" t="s">
        <v>2441</v>
      </c>
      <c r="D216" s="1161">
        <v>712001.77</v>
      </c>
    </row>
    <row r="217" spans="1:4">
      <c r="A217" s="700">
        <v>2384</v>
      </c>
      <c r="B217" s="695" t="s">
        <v>3841</v>
      </c>
      <c r="C217" s="701" t="s">
        <v>1806</v>
      </c>
      <c r="D217" s="1161">
        <v>156990.73000000001</v>
      </c>
    </row>
    <row r="218" spans="1:4">
      <c r="A218" s="700">
        <v>3537</v>
      </c>
      <c r="B218" s="695" t="s">
        <v>453</v>
      </c>
      <c r="C218" s="701" t="s">
        <v>1804</v>
      </c>
      <c r="D218" s="1161">
        <v>0</v>
      </c>
    </row>
    <row r="219" spans="1:4">
      <c r="A219" s="700">
        <v>2517</v>
      </c>
      <c r="B219" s="695" t="s">
        <v>3803</v>
      </c>
      <c r="C219" s="701" t="s">
        <v>1806</v>
      </c>
      <c r="D219" s="1161">
        <v>11.78</v>
      </c>
    </row>
    <row r="220" spans="1:4">
      <c r="A220" s="700">
        <v>17576</v>
      </c>
      <c r="B220" s="695" t="s">
        <v>4348</v>
      </c>
      <c r="C220" s="701" t="s">
        <v>1806</v>
      </c>
      <c r="D220" s="1161">
        <v>5</v>
      </c>
    </row>
    <row r="221" spans="1:4">
      <c r="A221" s="700">
        <v>2294</v>
      </c>
      <c r="B221" s="695" t="s">
        <v>4349</v>
      </c>
      <c r="C221" s="701" t="s">
        <v>1806</v>
      </c>
      <c r="D221" s="1161"/>
    </row>
    <row r="222" spans="1:4">
      <c r="A222" s="700">
        <v>2323</v>
      </c>
      <c r="B222" s="695" t="s">
        <v>4100</v>
      </c>
      <c r="C222" s="701" t="s">
        <v>1806</v>
      </c>
      <c r="D222" s="1161">
        <v>57.68</v>
      </c>
    </row>
    <row r="223" spans="1:4">
      <c r="A223" s="700">
        <v>16074</v>
      </c>
      <c r="B223" s="695" t="s">
        <v>4350</v>
      </c>
      <c r="C223" s="701" t="s">
        <v>2442</v>
      </c>
      <c r="D223" s="1161"/>
    </row>
    <row r="224" spans="1:4">
      <c r="A224" s="700">
        <v>2959</v>
      </c>
      <c r="B224" s="695" t="s">
        <v>1065</v>
      </c>
      <c r="C224" s="701" t="s">
        <v>1806</v>
      </c>
      <c r="D224" s="1161">
        <v>2562.39</v>
      </c>
    </row>
    <row r="225" spans="1:4">
      <c r="A225" s="700">
        <v>3193</v>
      </c>
      <c r="B225" s="695" t="s">
        <v>4351</v>
      </c>
      <c r="C225" s="701" t="s">
        <v>1806</v>
      </c>
      <c r="D225" s="1161">
        <v>3</v>
      </c>
    </row>
    <row r="226" spans="1:4">
      <c r="A226" s="700">
        <v>2398</v>
      </c>
      <c r="B226" s="695" t="s">
        <v>5429</v>
      </c>
      <c r="C226" s="701" t="s">
        <v>1806</v>
      </c>
      <c r="D226" s="1161"/>
    </row>
    <row r="227" spans="1:4">
      <c r="A227" s="700">
        <v>2513</v>
      </c>
      <c r="B227" s="695" t="s">
        <v>4352</v>
      </c>
      <c r="C227" s="701" t="s">
        <v>1806</v>
      </c>
      <c r="D227" s="1161">
        <v>4</v>
      </c>
    </row>
    <row r="228" spans="1:4">
      <c r="A228" s="700">
        <v>3636</v>
      </c>
      <c r="B228" s="695" t="s">
        <v>4886</v>
      </c>
      <c r="C228" s="701"/>
      <c r="D228" s="1161">
        <v>3460203</v>
      </c>
    </row>
    <row r="229" spans="1:4">
      <c r="A229" s="700">
        <v>17115</v>
      </c>
      <c r="B229" s="695" t="s">
        <v>6976</v>
      </c>
      <c r="C229" s="701"/>
      <c r="D229" s="1161">
        <v>2</v>
      </c>
    </row>
    <row r="230" spans="1:4">
      <c r="A230" s="700">
        <v>2966</v>
      </c>
      <c r="B230" s="695" t="s">
        <v>1963</v>
      </c>
      <c r="C230" s="701" t="s">
        <v>5365</v>
      </c>
      <c r="D230" s="1161">
        <v>5228242.1100000003</v>
      </c>
    </row>
    <row r="231" spans="1:4">
      <c r="A231" s="700">
        <v>18709</v>
      </c>
      <c r="B231" s="695" t="s">
        <v>928</v>
      </c>
      <c r="C231" s="701" t="s">
        <v>1806</v>
      </c>
      <c r="D231" s="1161">
        <v>4121</v>
      </c>
    </row>
    <row r="232" spans="1:4">
      <c r="A232" s="700">
        <v>2122</v>
      </c>
      <c r="B232" s="695" t="s">
        <v>4306</v>
      </c>
      <c r="C232" s="701" t="s">
        <v>1806</v>
      </c>
      <c r="D232" s="1161">
        <v>0</v>
      </c>
    </row>
    <row r="233" spans="1:4">
      <c r="A233" s="700">
        <v>3073</v>
      </c>
      <c r="B233" s="695" t="s">
        <v>2770</v>
      </c>
      <c r="C233" s="701" t="s">
        <v>1806</v>
      </c>
      <c r="D233" s="1161">
        <v>0</v>
      </c>
    </row>
    <row r="234" spans="1:4">
      <c r="A234" s="700">
        <v>2597</v>
      </c>
      <c r="B234" s="695" t="s">
        <v>4353</v>
      </c>
      <c r="C234" s="701" t="s">
        <v>2441</v>
      </c>
      <c r="D234" s="1161">
        <v>155.13999999999999</v>
      </c>
    </row>
    <row r="235" spans="1:4">
      <c r="A235" s="700">
        <v>3516</v>
      </c>
      <c r="B235" s="695" t="s">
        <v>1339</v>
      </c>
      <c r="C235" s="701" t="s">
        <v>2437</v>
      </c>
      <c r="D235" s="1161">
        <v>68.81</v>
      </c>
    </row>
    <row r="236" spans="1:4">
      <c r="A236" s="700">
        <v>6817</v>
      </c>
      <c r="B236" s="695" t="s">
        <v>6977</v>
      </c>
      <c r="C236" s="701"/>
      <c r="D236" s="1161"/>
    </row>
    <row r="237" spans="1:4">
      <c r="A237" s="700">
        <v>3119</v>
      </c>
      <c r="B237" s="695" t="s">
        <v>3617</v>
      </c>
      <c r="C237" s="701" t="s">
        <v>1806</v>
      </c>
      <c r="D237" s="1161">
        <v>0</v>
      </c>
    </row>
    <row r="238" spans="1:4">
      <c r="A238" s="700">
        <v>3627</v>
      </c>
      <c r="B238" s="695" t="s">
        <v>4354</v>
      </c>
      <c r="C238" s="701" t="s">
        <v>1806</v>
      </c>
      <c r="D238" s="1161">
        <v>5034</v>
      </c>
    </row>
    <row r="239" spans="1:4">
      <c r="A239" s="700">
        <v>2691</v>
      </c>
      <c r="B239" s="695" t="s">
        <v>1552</v>
      </c>
      <c r="C239" s="701" t="s">
        <v>2433</v>
      </c>
      <c r="D239" s="1161">
        <v>163478.10999999999</v>
      </c>
    </row>
    <row r="240" spans="1:4">
      <c r="A240" s="700">
        <v>3626</v>
      </c>
      <c r="B240" s="695" t="s">
        <v>1516</v>
      </c>
      <c r="C240" s="701"/>
      <c r="D240" s="1161">
        <v>0</v>
      </c>
    </row>
    <row r="241" spans="1:4">
      <c r="A241" s="700">
        <v>2422</v>
      </c>
      <c r="B241" s="695" t="s">
        <v>4355</v>
      </c>
      <c r="C241" s="701" t="s">
        <v>1806</v>
      </c>
      <c r="D241" s="1161">
        <v>2</v>
      </c>
    </row>
    <row r="242" spans="1:4">
      <c r="A242" s="700">
        <v>3408</v>
      </c>
      <c r="B242" s="695" t="s">
        <v>727</v>
      </c>
      <c r="C242" s="701" t="s">
        <v>2441</v>
      </c>
      <c r="D242" s="1161">
        <v>0</v>
      </c>
    </row>
    <row r="243" spans="1:4">
      <c r="A243" s="700">
        <v>3605</v>
      </c>
      <c r="B243" s="695" t="s">
        <v>748</v>
      </c>
      <c r="C243" s="701" t="s">
        <v>2429</v>
      </c>
      <c r="D243" s="1161">
        <v>0</v>
      </c>
    </row>
    <row r="244" spans="1:4">
      <c r="A244" s="700">
        <v>3542</v>
      </c>
      <c r="B244" s="695" t="s">
        <v>3609</v>
      </c>
      <c r="C244" s="701" t="s">
        <v>1806</v>
      </c>
      <c r="D244" s="1161">
        <v>4088.35</v>
      </c>
    </row>
    <row r="245" spans="1:4">
      <c r="A245" s="700">
        <v>3383</v>
      </c>
      <c r="B245" s="695" t="s">
        <v>5662</v>
      </c>
      <c r="C245" s="701" t="s">
        <v>1806</v>
      </c>
      <c r="D245" s="1161">
        <v>0</v>
      </c>
    </row>
    <row r="246" spans="1:4">
      <c r="A246" s="700">
        <v>2278</v>
      </c>
      <c r="B246" s="695" t="s">
        <v>3795</v>
      </c>
      <c r="C246" s="701" t="s">
        <v>1806</v>
      </c>
      <c r="D246" s="1161">
        <v>135468.51999999999</v>
      </c>
    </row>
    <row r="247" spans="1:4">
      <c r="A247" s="700">
        <v>3069</v>
      </c>
      <c r="B247" s="695" t="s">
        <v>3109</v>
      </c>
      <c r="C247" s="701" t="s">
        <v>2438</v>
      </c>
      <c r="D247" s="1161">
        <v>733</v>
      </c>
    </row>
    <row r="248" spans="1:4">
      <c r="A248" s="700">
        <v>2514</v>
      </c>
      <c r="B248" s="695" t="s">
        <v>3839</v>
      </c>
      <c r="C248" s="701" t="s">
        <v>1806</v>
      </c>
      <c r="D248" s="1161">
        <v>0</v>
      </c>
    </row>
    <row r="249" spans="1:4">
      <c r="A249" s="700">
        <v>2228</v>
      </c>
      <c r="B249" s="695" t="s">
        <v>1550</v>
      </c>
      <c r="C249" s="701" t="s">
        <v>612</v>
      </c>
      <c r="D249" s="1161">
        <v>0</v>
      </c>
    </row>
    <row r="250" spans="1:4">
      <c r="A250" s="700">
        <v>19262</v>
      </c>
      <c r="B250" s="695" t="s">
        <v>6978</v>
      </c>
      <c r="C250" s="701"/>
      <c r="D250" s="1161">
        <v>241</v>
      </c>
    </row>
    <row r="251" spans="1:4">
      <c r="A251" s="700">
        <v>3640</v>
      </c>
      <c r="B251" s="695" t="s">
        <v>6190</v>
      </c>
      <c r="C251" s="701"/>
      <c r="D251" s="1161"/>
    </row>
    <row r="252" spans="1:4">
      <c r="A252" s="700">
        <v>2195</v>
      </c>
      <c r="B252" s="695" t="s">
        <v>4356</v>
      </c>
      <c r="C252" s="701" t="s">
        <v>1806</v>
      </c>
      <c r="D252" s="1161">
        <v>0</v>
      </c>
    </row>
    <row r="253" spans="1:4">
      <c r="A253" s="700">
        <v>2279</v>
      </c>
      <c r="B253" s="695" t="s">
        <v>4357</v>
      </c>
      <c r="C253" s="701" t="s">
        <v>1806</v>
      </c>
      <c r="D253" s="1161">
        <v>0</v>
      </c>
    </row>
    <row r="254" spans="1:4">
      <c r="A254" s="700">
        <v>2670</v>
      </c>
      <c r="B254" s="695" t="s">
        <v>4358</v>
      </c>
      <c r="C254" s="701" t="s">
        <v>2435</v>
      </c>
      <c r="D254" s="1161">
        <v>3</v>
      </c>
    </row>
    <row r="255" spans="1:4">
      <c r="A255" s="700">
        <v>6803</v>
      </c>
      <c r="B255" s="695" t="s">
        <v>6979</v>
      </c>
      <c r="C255" s="701"/>
      <c r="D255" s="1161">
        <v>1156</v>
      </c>
    </row>
    <row r="256" spans="1:4">
      <c r="A256" s="700">
        <v>2656</v>
      </c>
      <c r="B256" s="695" t="s">
        <v>1111</v>
      </c>
      <c r="C256" s="701" t="s">
        <v>2435</v>
      </c>
      <c r="D256" s="1161">
        <v>0</v>
      </c>
    </row>
    <row r="257" spans="1:4">
      <c r="A257" s="700">
        <v>3530</v>
      </c>
      <c r="B257" s="695" t="s">
        <v>3986</v>
      </c>
      <c r="C257" s="701" t="s">
        <v>2433</v>
      </c>
      <c r="D257" s="1161">
        <v>0</v>
      </c>
    </row>
    <row r="258" spans="1:4">
      <c r="A258" s="700">
        <v>2969</v>
      </c>
      <c r="B258" s="695" t="s">
        <v>1069</v>
      </c>
      <c r="C258" s="701" t="s">
        <v>5365</v>
      </c>
      <c r="D258" s="1161">
        <v>10616.98</v>
      </c>
    </row>
    <row r="259" spans="1:4">
      <c r="A259" s="700">
        <v>12757</v>
      </c>
      <c r="B259" s="695" t="s">
        <v>5407</v>
      </c>
      <c r="C259" s="701" t="s">
        <v>3933</v>
      </c>
      <c r="D259" s="1161">
        <v>7</v>
      </c>
    </row>
    <row r="260" spans="1:4">
      <c r="A260" s="700">
        <v>11617</v>
      </c>
      <c r="B260" s="695" t="s">
        <v>858</v>
      </c>
      <c r="C260" s="701" t="s">
        <v>1806</v>
      </c>
      <c r="D260" s="1161">
        <v>1.81</v>
      </c>
    </row>
    <row r="261" spans="1:4">
      <c r="A261" s="700">
        <v>2147</v>
      </c>
      <c r="B261" s="695" t="s">
        <v>6980</v>
      </c>
      <c r="C261" s="701"/>
      <c r="D261" s="1161"/>
    </row>
    <row r="262" spans="1:4">
      <c r="A262" s="700">
        <v>2671</v>
      </c>
      <c r="B262" s="695" t="s">
        <v>4360</v>
      </c>
      <c r="C262" s="701" t="s">
        <v>2435</v>
      </c>
      <c r="D262" s="1161">
        <v>4663</v>
      </c>
    </row>
    <row r="263" spans="1:4">
      <c r="A263" s="700">
        <v>2589</v>
      </c>
      <c r="B263" s="695" t="s">
        <v>3282</v>
      </c>
      <c r="C263" s="701" t="s">
        <v>2441</v>
      </c>
      <c r="D263" s="1161">
        <v>4707.6400000000003</v>
      </c>
    </row>
    <row r="264" spans="1:4">
      <c r="A264" s="700">
        <v>2637</v>
      </c>
      <c r="B264" s="695" t="s">
        <v>3796</v>
      </c>
      <c r="C264" s="701" t="s">
        <v>2430</v>
      </c>
      <c r="D264" s="1161">
        <v>179531.02</v>
      </c>
    </row>
    <row r="265" spans="1:4">
      <c r="A265" s="700">
        <v>2271</v>
      </c>
      <c r="B265" s="695" t="s">
        <v>3797</v>
      </c>
      <c r="C265" s="701" t="s">
        <v>1806</v>
      </c>
      <c r="D265" s="1161">
        <v>26417.15</v>
      </c>
    </row>
    <row r="266" spans="1:4">
      <c r="A266" s="700">
        <v>2662</v>
      </c>
      <c r="B266" s="695" t="s">
        <v>4361</v>
      </c>
      <c r="C266" s="701" t="s">
        <v>1806</v>
      </c>
      <c r="D266" s="1161">
        <v>2227</v>
      </c>
    </row>
    <row r="267" spans="1:4">
      <c r="A267" s="700">
        <v>2168</v>
      </c>
      <c r="B267" s="695" t="s">
        <v>4362</v>
      </c>
      <c r="C267" s="701" t="s">
        <v>1806</v>
      </c>
      <c r="D267" s="1161">
        <v>5500</v>
      </c>
    </row>
    <row r="268" spans="1:4">
      <c r="A268" s="700">
        <v>3110</v>
      </c>
      <c r="B268" s="695" t="s">
        <v>3842</v>
      </c>
      <c r="C268" s="701" t="s">
        <v>1806</v>
      </c>
      <c r="D268" s="1161">
        <v>36.03</v>
      </c>
    </row>
    <row r="269" spans="1:4">
      <c r="A269" s="700">
        <v>3219</v>
      </c>
      <c r="B269" s="695" t="s">
        <v>4304</v>
      </c>
      <c r="C269" s="701" t="s">
        <v>1806</v>
      </c>
      <c r="D269" s="1161">
        <v>0.3</v>
      </c>
    </row>
    <row r="270" spans="1:4">
      <c r="A270" s="700">
        <v>3490</v>
      </c>
      <c r="B270" s="695" t="s">
        <v>4363</v>
      </c>
      <c r="C270" s="701" t="s">
        <v>1804</v>
      </c>
      <c r="D270" s="1161">
        <v>23</v>
      </c>
    </row>
    <row r="271" spans="1:4">
      <c r="A271" s="700">
        <v>2321</v>
      </c>
      <c r="B271" s="695" t="s">
        <v>4364</v>
      </c>
      <c r="C271" s="701" t="s">
        <v>2439</v>
      </c>
      <c r="D271" s="1161">
        <v>149766</v>
      </c>
    </row>
    <row r="272" spans="1:4">
      <c r="A272" s="700">
        <v>3543</v>
      </c>
      <c r="B272" s="695" t="s">
        <v>5324</v>
      </c>
      <c r="C272" s="701" t="s">
        <v>1804</v>
      </c>
      <c r="D272" s="1161">
        <v>3896745.88</v>
      </c>
    </row>
    <row r="273" spans="1:4">
      <c r="A273" s="700">
        <v>2988</v>
      </c>
      <c r="B273" s="695" t="s">
        <v>919</v>
      </c>
      <c r="C273" s="701" t="s">
        <v>3928</v>
      </c>
      <c r="D273" s="1161">
        <v>227283.27</v>
      </c>
    </row>
    <row r="274" spans="1:4">
      <c r="A274" s="700">
        <v>3541</v>
      </c>
      <c r="B274" s="695" t="s">
        <v>5579</v>
      </c>
      <c r="C274" s="701" t="s">
        <v>1804</v>
      </c>
      <c r="D274" s="1161">
        <v>56773.84</v>
      </c>
    </row>
    <row r="275" spans="1:4">
      <c r="A275" s="700">
        <v>18469</v>
      </c>
      <c r="B275" s="695" t="s">
        <v>4365</v>
      </c>
      <c r="C275" s="701" t="s">
        <v>1806</v>
      </c>
      <c r="D275" s="1161"/>
    </row>
    <row r="276" spans="1:4">
      <c r="A276" s="700">
        <v>2308</v>
      </c>
      <c r="B276" s="695" t="s">
        <v>1073</v>
      </c>
      <c r="C276" s="701" t="s">
        <v>2432</v>
      </c>
      <c r="D276" s="1161">
        <v>958</v>
      </c>
    </row>
    <row r="277" spans="1:4">
      <c r="A277" s="700">
        <v>2776</v>
      </c>
      <c r="B277" s="695" t="s">
        <v>5325</v>
      </c>
      <c r="C277" s="701"/>
      <c r="D277" s="1161">
        <v>5941658</v>
      </c>
    </row>
    <row r="278" spans="1:4">
      <c r="A278" s="700">
        <v>10543</v>
      </c>
      <c r="B278" s="695" t="s">
        <v>6981</v>
      </c>
      <c r="C278" s="701"/>
      <c r="D278" s="1161">
        <v>130</v>
      </c>
    </row>
    <row r="279" spans="1:4">
      <c r="A279" s="700">
        <v>3622</v>
      </c>
      <c r="B279" s="695" t="s">
        <v>5326</v>
      </c>
      <c r="C279" s="701" t="s">
        <v>1806</v>
      </c>
      <c r="D279" s="1161">
        <v>193941</v>
      </c>
    </row>
    <row r="280" spans="1:4">
      <c r="A280" s="700">
        <v>2286</v>
      </c>
      <c r="B280" s="695" t="s">
        <v>4594</v>
      </c>
      <c r="C280" s="701" t="s">
        <v>2438</v>
      </c>
      <c r="D280" s="1161">
        <v>129334</v>
      </c>
    </row>
    <row r="281" spans="1:4">
      <c r="A281" s="700">
        <v>6350</v>
      </c>
      <c r="B281" s="695" t="s">
        <v>6982</v>
      </c>
      <c r="C281" s="701"/>
      <c r="D281" s="1161"/>
    </row>
    <row r="282" spans="1:4">
      <c r="A282" s="700">
        <v>16237</v>
      </c>
      <c r="B282" s="695" t="s">
        <v>4366</v>
      </c>
      <c r="C282" s="701" t="s">
        <v>3932</v>
      </c>
      <c r="D282" s="1161">
        <v>0</v>
      </c>
    </row>
    <row r="283" spans="1:4">
      <c r="A283" s="700">
        <v>2758</v>
      </c>
      <c r="B283" s="695" t="s">
        <v>6814</v>
      </c>
      <c r="C283" s="701"/>
      <c r="D283" s="1161">
        <v>66513</v>
      </c>
    </row>
    <row r="284" spans="1:4">
      <c r="A284" s="700">
        <v>13292</v>
      </c>
      <c r="B284" s="695" t="s">
        <v>5091</v>
      </c>
      <c r="C284" s="701" t="s">
        <v>1806</v>
      </c>
      <c r="D284" s="1161">
        <v>2788.92</v>
      </c>
    </row>
    <row r="285" spans="1:4">
      <c r="A285" s="700">
        <v>12635</v>
      </c>
      <c r="B285" s="695" t="s">
        <v>929</v>
      </c>
      <c r="C285" s="701" t="s">
        <v>1806</v>
      </c>
      <c r="D285" s="1161">
        <v>2526</v>
      </c>
    </row>
    <row r="286" spans="1:4">
      <c r="A286" s="700">
        <v>2097</v>
      </c>
      <c r="B286" s="695" t="s">
        <v>3907</v>
      </c>
      <c r="C286" s="701" t="s">
        <v>1806</v>
      </c>
      <c r="D286" s="1161">
        <v>184</v>
      </c>
    </row>
    <row r="287" spans="1:4">
      <c r="A287" s="700">
        <v>3631</v>
      </c>
      <c r="B287" s="695" t="s">
        <v>3552</v>
      </c>
      <c r="C287" s="701"/>
      <c r="D287" s="1161"/>
    </row>
    <row r="288" spans="1:4">
      <c r="A288" s="700">
        <v>3322</v>
      </c>
      <c r="B288" s="695" t="s">
        <v>3798</v>
      </c>
      <c r="C288" s="701" t="s">
        <v>1806</v>
      </c>
      <c r="D288" s="1161">
        <v>5911.34</v>
      </c>
    </row>
    <row r="289" spans="1:4">
      <c r="A289" s="700">
        <v>2139</v>
      </c>
      <c r="B289" s="695" t="s">
        <v>2158</v>
      </c>
      <c r="C289" s="701" t="s">
        <v>1806</v>
      </c>
      <c r="D289" s="1161">
        <v>1</v>
      </c>
    </row>
    <row r="290" spans="1:4">
      <c r="A290" s="700">
        <v>2687</v>
      </c>
      <c r="B290" s="695" t="s">
        <v>3045</v>
      </c>
      <c r="C290" s="701" t="s">
        <v>2433</v>
      </c>
      <c r="D290" s="1161">
        <v>34429</v>
      </c>
    </row>
    <row r="291" spans="1:4">
      <c r="A291" s="700">
        <v>15217</v>
      </c>
      <c r="B291" s="695" t="s">
        <v>4367</v>
      </c>
      <c r="C291" s="701" t="s">
        <v>1806</v>
      </c>
      <c r="D291" s="1161">
        <v>23757</v>
      </c>
    </row>
    <row r="292" spans="1:4">
      <c r="A292" s="700">
        <v>2584</v>
      </c>
      <c r="B292" s="695" t="s">
        <v>5195</v>
      </c>
      <c r="C292" s="701" t="s">
        <v>2441</v>
      </c>
      <c r="D292" s="1161">
        <v>47663.85</v>
      </c>
    </row>
    <row r="293" spans="1:4">
      <c r="A293" s="700">
        <v>2158</v>
      </c>
      <c r="B293" s="695" t="s">
        <v>224</v>
      </c>
      <c r="C293" s="701"/>
      <c r="D293" s="1161">
        <v>0</v>
      </c>
    </row>
    <row r="294" spans="1:4">
      <c r="A294" s="700">
        <v>12975</v>
      </c>
      <c r="B294" s="695" t="s">
        <v>6983</v>
      </c>
      <c r="C294" s="701"/>
      <c r="D294" s="1161">
        <v>63</v>
      </c>
    </row>
    <row r="295" spans="1:4">
      <c r="A295" s="700">
        <v>3163</v>
      </c>
      <c r="B295" s="695" t="s">
        <v>5328</v>
      </c>
      <c r="C295" s="701" t="s">
        <v>1806</v>
      </c>
      <c r="D295" s="1161">
        <v>105230</v>
      </c>
    </row>
    <row r="296" spans="1:4">
      <c r="A296" s="700">
        <v>3089</v>
      </c>
      <c r="B296" s="695" t="s">
        <v>2641</v>
      </c>
      <c r="C296" s="701" t="s">
        <v>2438</v>
      </c>
      <c r="D296" s="1161">
        <v>339915.72</v>
      </c>
    </row>
    <row r="297" spans="1:4">
      <c r="A297" s="700">
        <v>2790</v>
      </c>
      <c r="B297" s="695" t="s">
        <v>5329</v>
      </c>
      <c r="C297" s="701" t="s">
        <v>1806</v>
      </c>
      <c r="D297" s="1161">
        <v>721778</v>
      </c>
    </row>
    <row r="298" spans="1:4">
      <c r="A298" s="700">
        <v>2257</v>
      </c>
      <c r="B298" s="695" t="s">
        <v>2779</v>
      </c>
      <c r="C298" s="701"/>
      <c r="D298" s="1161">
        <v>7</v>
      </c>
    </row>
    <row r="299" spans="1:4">
      <c r="A299" s="700">
        <v>3348</v>
      </c>
      <c r="B299" s="695" t="s">
        <v>5330</v>
      </c>
      <c r="C299" s="701" t="s">
        <v>1807</v>
      </c>
      <c r="D299" s="1161">
        <v>55600</v>
      </c>
    </row>
    <row r="300" spans="1:4">
      <c r="A300" s="700">
        <v>13125</v>
      </c>
      <c r="B300" s="695" t="s">
        <v>6669</v>
      </c>
      <c r="C300" s="701"/>
      <c r="D300" s="1161">
        <v>2.19</v>
      </c>
    </row>
    <row r="301" spans="1:4">
      <c r="A301" s="700">
        <v>6799</v>
      </c>
      <c r="B301" s="695" t="s">
        <v>6984</v>
      </c>
      <c r="C301" s="701"/>
      <c r="D301" s="1161">
        <v>4043</v>
      </c>
    </row>
    <row r="302" spans="1:4">
      <c r="A302" s="700">
        <v>2411</v>
      </c>
      <c r="B302" s="695" t="s">
        <v>4368</v>
      </c>
      <c r="C302" s="701" t="s">
        <v>1806</v>
      </c>
      <c r="D302" s="1161">
        <v>2147</v>
      </c>
    </row>
    <row r="303" spans="1:4">
      <c r="A303" s="700">
        <v>15250</v>
      </c>
      <c r="B303" s="695" t="s">
        <v>6684</v>
      </c>
      <c r="C303" s="701"/>
      <c r="D303" s="1161">
        <v>400</v>
      </c>
    </row>
    <row r="304" spans="1:4">
      <c r="A304" s="700">
        <v>3273</v>
      </c>
      <c r="B304" s="695" t="s">
        <v>3046</v>
      </c>
      <c r="C304" s="701" t="s">
        <v>2432</v>
      </c>
      <c r="D304" s="1161">
        <v>206</v>
      </c>
    </row>
    <row r="305" spans="1:4">
      <c r="A305" s="700">
        <v>2282</v>
      </c>
      <c r="B305" s="695" t="s">
        <v>4369</v>
      </c>
      <c r="C305" s="701" t="s">
        <v>1806</v>
      </c>
      <c r="D305" s="1161">
        <v>68.48</v>
      </c>
    </row>
    <row r="306" spans="1:4">
      <c r="A306" s="700">
        <v>3082</v>
      </c>
      <c r="B306" s="695" t="s">
        <v>4370</v>
      </c>
      <c r="C306" s="701" t="s">
        <v>1806</v>
      </c>
      <c r="D306" s="1161">
        <v>284780</v>
      </c>
    </row>
    <row r="307" spans="1:4">
      <c r="A307" s="700">
        <v>2413</v>
      </c>
      <c r="B307" s="695" t="s">
        <v>4715</v>
      </c>
      <c r="C307" s="701" t="s">
        <v>1806</v>
      </c>
      <c r="D307" s="1161">
        <v>5</v>
      </c>
    </row>
    <row r="308" spans="1:4">
      <c r="A308" s="700">
        <v>3515</v>
      </c>
      <c r="B308" s="695" t="s">
        <v>2174</v>
      </c>
      <c r="C308" s="701" t="s">
        <v>2435</v>
      </c>
      <c r="D308" s="1161">
        <v>1518.7</v>
      </c>
    </row>
    <row r="309" spans="1:4">
      <c r="A309" s="700">
        <v>3134</v>
      </c>
      <c r="B309" s="695" t="s">
        <v>533</v>
      </c>
      <c r="C309" s="701" t="s">
        <v>1806</v>
      </c>
      <c r="D309" s="1161">
        <v>5357.44</v>
      </c>
    </row>
    <row r="310" spans="1:4">
      <c r="A310" s="700">
        <v>2515</v>
      </c>
      <c r="B310" s="695" t="s">
        <v>4371</v>
      </c>
      <c r="C310" s="701" t="s">
        <v>1806</v>
      </c>
      <c r="D310" s="1161">
        <v>1527.95</v>
      </c>
    </row>
    <row r="311" spans="1:4">
      <c r="A311" s="700">
        <v>2463</v>
      </c>
      <c r="B311" s="695" t="s">
        <v>4372</v>
      </c>
      <c r="C311" s="701" t="s">
        <v>1806</v>
      </c>
      <c r="D311" s="1161">
        <v>0</v>
      </c>
    </row>
    <row r="312" spans="1:4">
      <c r="A312" s="700">
        <v>2650</v>
      </c>
      <c r="B312" s="695" t="s">
        <v>3804</v>
      </c>
      <c r="C312" s="701" t="s">
        <v>2430</v>
      </c>
      <c r="D312" s="1161">
        <v>11346.71</v>
      </c>
    </row>
    <row r="313" spans="1:4">
      <c r="A313" s="700">
        <v>3487</v>
      </c>
      <c r="B313" s="695" t="s">
        <v>5667</v>
      </c>
      <c r="C313" s="701" t="s">
        <v>1805</v>
      </c>
      <c r="D313" s="1161">
        <v>0</v>
      </c>
    </row>
    <row r="314" spans="1:4">
      <c r="A314" s="700">
        <v>3385</v>
      </c>
      <c r="B314" s="695" t="s">
        <v>5668</v>
      </c>
      <c r="C314" s="701" t="s">
        <v>1806</v>
      </c>
      <c r="D314" s="1161">
        <v>622335.05000000005</v>
      </c>
    </row>
    <row r="315" spans="1:4">
      <c r="A315" s="700">
        <v>3574</v>
      </c>
      <c r="B315" s="695" t="s">
        <v>5669</v>
      </c>
      <c r="C315" s="701" t="s">
        <v>1804</v>
      </c>
      <c r="D315" s="1161">
        <v>1144300.48</v>
      </c>
    </row>
    <row r="316" spans="1:4">
      <c r="A316" s="700">
        <v>2623</v>
      </c>
      <c r="B316" s="695" t="s">
        <v>4373</v>
      </c>
      <c r="C316" s="701" t="s">
        <v>1805</v>
      </c>
      <c r="D316" s="1161">
        <v>67.7</v>
      </c>
    </row>
    <row r="317" spans="1:4">
      <c r="A317" s="700">
        <v>2932</v>
      </c>
      <c r="B317" s="695" t="s">
        <v>2628</v>
      </c>
      <c r="C317" s="701" t="s">
        <v>3933</v>
      </c>
      <c r="D317" s="1161">
        <v>0</v>
      </c>
    </row>
    <row r="318" spans="1:4">
      <c r="A318" s="700">
        <v>2357</v>
      </c>
      <c r="B318" s="695" t="s">
        <v>3290</v>
      </c>
      <c r="C318" s="701" t="s">
        <v>1806</v>
      </c>
      <c r="D318" s="1161">
        <v>6432.16</v>
      </c>
    </row>
    <row r="319" spans="1:4">
      <c r="A319" s="700">
        <v>3529</v>
      </c>
      <c r="B319" s="695" t="s">
        <v>4494</v>
      </c>
      <c r="C319" s="701" t="s">
        <v>2433</v>
      </c>
      <c r="D319" s="1161">
        <v>117903.43</v>
      </c>
    </row>
    <row r="320" spans="1:4">
      <c r="A320" s="700">
        <v>3415</v>
      </c>
      <c r="B320" s="695" t="s">
        <v>828</v>
      </c>
      <c r="C320" s="701" t="s">
        <v>2441</v>
      </c>
      <c r="D320" s="1161">
        <v>55185.04</v>
      </c>
    </row>
    <row r="321" spans="1:4">
      <c r="A321" s="700">
        <v>13477</v>
      </c>
      <c r="B321" s="695" t="s">
        <v>509</v>
      </c>
      <c r="C321" s="701"/>
      <c r="D321" s="1161"/>
    </row>
    <row r="322" spans="1:4">
      <c r="A322" s="700">
        <v>2114</v>
      </c>
      <c r="B322" s="695" t="s">
        <v>4310</v>
      </c>
      <c r="C322" s="701" t="s">
        <v>1806</v>
      </c>
      <c r="D322" s="1161">
        <v>1044181.96</v>
      </c>
    </row>
    <row r="323" spans="1:4">
      <c r="A323" s="700">
        <v>2880</v>
      </c>
      <c r="B323" s="695" t="s">
        <v>2365</v>
      </c>
      <c r="C323" s="701"/>
      <c r="D323" s="1161"/>
    </row>
    <row r="324" spans="1:4">
      <c r="A324" s="700">
        <v>3250</v>
      </c>
      <c r="B324" s="695" t="s">
        <v>629</v>
      </c>
      <c r="C324" s="701" t="s">
        <v>1806</v>
      </c>
      <c r="D324" s="1161"/>
    </row>
    <row r="325" spans="1:4">
      <c r="A325" s="700">
        <v>16448</v>
      </c>
      <c r="B325" s="695" t="s">
        <v>4375</v>
      </c>
      <c r="C325" s="701" t="s">
        <v>2441</v>
      </c>
      <c r="D325" s="1161">
        <v>0.35</v>
      </c>
    </row>
    <row r="326" spans="1:4">
      <c r="A326" s="700">
        <v>3433</v>
      </c>
      <c r="B326" s="695" t="s">
        <v>4376</v>
      </c>
      <c r="C326" s="701" t="s">
        <v>2441</v>
      </c>
      <c r="D326" s="1161">
        <v>139</v>
      </c>
    </row>
    <row r="327" spans="1:4">
      <c r="A327" s="700">
        <v>2408</v>
      </c>
      <c r="B327" s="695" t="s">
        <v>3612</v>
      </c>
      <c r="C327" s="701" t="s">
        <v>1806</v>
      </c>
      <c r="D327" s="1161">
        <v>34224.35</v>
      </c>
    </row>
    <row r="328" spans="1:4">
      <c r="A328" s="700">
        <v>20261</v>
      </c>
      <c r="B328" s="695" t="s">
        <v>6985</v>
      </c>
      <c r="C328" s="701"/>
      <c r="D328" s="1161"/>
    </row>
    <row r="329" spans="1:4">
      <c r="A329" s="700">
        <v>2163</v>
      </c>
      <c r="B329" s="695" t="s">
        <v>4377</v>
      </c>
      <c r="C329" s="701" t="s">
        <v>5365</v>
      </c>
      <c r="D329" s="1161">
        <v>409462.59</v>
      </c>
    </row>
    <row r="330" spans="1:4">
      <c r="A330" s="700">
        <v>2162</v>
      </c>
      <c r="B330" s="695" t="s">
        <v>1535</v>
      </c>
      <c r="C330" s="701" t="s">
        <v>5365</v>
      </c>
      <c r="D330" s="1161">
        <v>4249</v>
      </c>
    </row>
    <row r="331" spans="1:4">
      <c r="A331" s="700">
        <v>3444</v>
      </c>
      <c r="B331" s="695" t="s">
        <v>4378</v>
      </c>
      <c r="C331" s="701" t="s">
        <v>3932</v>
      </c>
      <c r="D331" s="1161">
        <v>51.73</v>
      </c>
    </row>
    <row r="332" spans="1:4">
      <c r="A332" s="700">
        <v>2197</v>
      </c>
      <c r="B332" s="695" t="s">
        <v>1068</v>
      </c>
      <c r="C332" s="701" t="s">
        <v>1806</v>
      </c>
      <c r="D332" s="1161">
        <v>0</v>
      </c>
    </row>
    <row r="333" spans="1:4">
      <c r="A333" s="700">
        <v>2256</v>
      </c>
      <c r="B333" s="695" t="s">
        <v>1964</v>
      </c>
      <c r="C333" s="701" t="s">
        <v>1806</v>
      </c>
      <c r="D333" s="1161">
        <v>124985.93</v>
      </c>
    </row>
    <row r="334" spans="1:4">
      <c r="A334" s="700">
        <v>2292</v>
      </c>
      <c r="B334" s="695" t="s">
        <v>4379</v>
      </c>
      <c r="C334" s="701" t="s">
        <v>5366</v>
      </c>
      <c r="D334" s="1161"/>
    </row>
    <row r="335" spans="1:4">
      <c r="A335" s="700">
        <v>2975</v>
      </c>
      <c r="B335" s="695" t="s">
        <v>930</v>
      </c>
      <c r="C335" s="701" t="s">
        <v>1806</v>
      </c>
      <c r="D335" s="1161"/>
    </row>
    <row r="336" spans="1:4">
      <c r="A336" s="700">
        <v>3397</v>
      </c>
      <c r="B336" s="695" t="s">
        <v>3805</v>
      </c>
      <c r="C336" s="701" t="s">
        <v>2429</v>
      </c>
      <c r="D336" s="1161">
        <v>0.09</v>
      </c>
    </row>
    <row r="337" spans="1:4">
      <c r="A337" s="700">
        <v>2952</v>
      </c>
      <c r="B337" s="695" t="s">
        <v>5604</v>
      </c>
      <c r="C337" s="701" t="s">
        <v>1806</v>
      </c>
      <c r="D337" s="1161">
        <v>2400</v>
      </c>
    </row>
    <row r="338" spans="1:4">
      <c r="A338" s="700">
        <v>3532</v>
      </c>
      <c r="B338" s="695" t="s">
        <v>4380</v>
      </c>
      <c r="C338" s="701" t="s">
        <v>2433</v>
      </c>
      <c r="D338" s="1161">
        <v>83561</v>
      </c>
    </row>
    <row r="339" spans="1:4">
      <c r="A339" s="700">
        <v>2275</v>
      </c>
      <c r="B339" s="695" t="s">
        <v>931</v>
      </c>
      <c r="C339" s="701" t="s">
        <v>1806</v>
      </c>
      <c r="D339" s="1161">
        <v>14874</v>
      </c>
    </row>
    <row r="340" spans="1:4">
      <c r="A340" s="700">
        <v>3217</v>
      </c>
      <c r="B340" s="695" t="s">
        <v>1785</v>
      </c>
      <c r="C340" s="701" t="s">
        <v>1806</v>
      </c>
      <c r="D340" s="1161">
        <v>3425121.43</v>
      </c>
    </row>
    <row r="341" spans="1:4">
      <c r="A341" s="700">
        <v>2167</v>
      </c>
      <c r="B341" s="695" t="s">
        <v>4509</v>
      </c>
      <c r="C341" s="701" t="s">
        <v>5365</v>
      </c>
      <c r="D341" s="1161">
        <v>27718.14</v>
      </c>
    </row>
    <row r="342" spans="1:4">
      <c r="A342" s="700">
        <v>12991</v>
      </c>
      <c r="B342" s="695" t="s">
        <v>4381</v>
      </c>
      <c r="C342" s="701" t="s">
        <v>1806</v>
      </c>
      <c r="D342" s="1161"/>
    </row>
    <row r="343" spans="1:4">
      <c r="A343" s="700">
        <v>2621</v>
      </c>
      <c r="B343" s="695" t="s">
        <v>1066</v>
      </c>
      <c r="C343" s="701" t="s">
        <v>1805</v>
      </c>
      <c r="D343" s="1161">
        <v>0.65</v>
      </c>
    </row>
    <row r="344" spans="1:4">
      <c r="A344" s="700">
        <v>3638</v>
      </c>
      <c r="B344" s="695" t="s">
        <v>1450</v>
      </c>
      <c r="C344" s="701" t="s">
        <v>1806</v>
      </c>
      <c r="D344" s="1161">
        <v>1139000</v>
      </c>
    </row>
    <row r="345" spans="1:4">
      <c r="A345" s="700">
        <v>2982</v>
      </c>
      <c r="B345" s="695" t="s">
        <v>1783</v>
      </c>
      <c r="C345" s="701" t="s">
        <v>1806</v>
      </c>
      <c r="D345" s="1161">
        <v>220702.51</v>
      </c>
    </row>
    <row r="346" spans="1:4">
      <c r="A346" s="700">
        <v>2942</v>
      </c>
      <c r="B346" s="695" t="s">
        <v>5408</v>
      </c>
      <c r="C346" s="701" t="s">
        <v>1806</v>
      </c>
      <c r="D346" s="1161">
        <v>852</v>
      </c>
    </row>
    <row r="347" spans="1:4">
      <c r="A347" s="700">
        <v>3547</v>
      </c>
      <c r="B347" s="695" t="s">
        <v>3291</v>
      </c>
      <c r="C347" s="701" t="s">
        <v>1804</v>
      </c>
      <c r="D347" s="1161">
        <v>24150</v>
      </c>
    </row>
    <row r="348" spans="1:4">
      <c r="A348" s="700">
        <v>3409</v>
      </c>
      <c r="B348" s="695" t="s">
        <v>4654</v>
      </c>
      <c r="C348" s="701" t="s">
        <v>2441</v>
      </c>
      <c r="D348" s="1161">
        <v>0</v>
      </c>
    </row>
    <row r="349" spans="1:4">
      <c r="A349" s="700">
        <v>6821</v>
      </c>
      <c r="B349" s="695" t="s">
        <v>6986</v>
      </c>
      <c r="C349" s="701"/>
      <c r="D349" s="1161">
        <v>4860</v>
      </c>
    </row>
    <row r="350" spans="1:4">
      <c r="A350" s="700">
        <v>3570</v>
      </c>
      <c r="B350" s="695" t="s">
        <v>4382</v>
      </c>
      <c r="C350" s="701" t="s">
        <v>2434</v>
      </c>
      <c r="D350" s="1161">
        <v>1.66</v>
      </c>
    </row>
    <row r="351" spans="1:4">
      <c r="A351" s="700">
        <v>3569</v>
      </c>
      <c r="B351" s="695" t="s">
        <v>1074</v>
      </c>
      <c r="C351" s="701" t="s">
        <v>2434</v>
      </c>
      <c r="D351" s="1161">
        <v>0</v>
      </c>
    </row>
    <row r="352" spans="1:4">
      <c r="A352" s="700">
        <v>2534</v>
      </c>
      <c r="B352" s="695" t="s">
        <v>3047</v>
      </c>
      <c r="C352" s="701" t="s">
        <v>2432</v>
      </c>
      <c r="D352" s="1161">
        <v>0</v>
      </c>
    </row>
    <row r="353" spans="1:4">
      <c r="A353" s="700">
        <v>2668</v>
      </c>
      <c r="B353" s="695" t="s">
        <v>6750</v>
      </c>
      <c r="C353" s="701"/>
      <c r="D353" s="1161">
        <v>0</v>
      </c>
    </row>
    <row r="354" spans="1:4">
      <c r="A354" s="700">
        <v>16110</v>
      </c>
      <c r="B354" s="695" t="s">
        <v>6987</v>
      </c>
      <c r="C354" s="701"/>
      <c r="D354" s="1161">
        <v>1750</v>
      </c>
    </row>
    <row r="355" spans="1:4">
      <c r="A355" s="700">
        <v>12061</v>
      </c>
      <c r="B355" s="695" t="s">
        <v>1645</v>
      </c>
      <c r="C355" s="701" t="s">
        <v>1806</v>
      </c>
      <c r="D355" s="1161">
        <v>444.9</v>
      </c>
    </row>
    <row r="356" spans="1:4">
      <c r="A356" s="700">
        <v>2161</v>
      </c>
      <c r="B356" s="695" t="s">
        <v>6988</v>
      </c>
      <c r="C356" s="701"/>
      <c r="D356" s="1161">
        <v>21374</v>
      </c>
    </row>
    <row r="357" spans="1:4">
      <c r="A357" s="700">
        <v>14398</v>
      </c>
      <c r="B357" s="695" t="s">
        <v>6989</v>
      </c>
      <c r="C357" s="701"/>
      <c r="D357" s="1161">
        <v>8.5</v>
      </c>
    </row>
    <row r="358" spans="1:4">
      <c r="A358" s="700">
        <v>13969</v>
      </c>
      <c r="B358" s="695" t="s">
        <v>6757</v>
      </c>
      <c r="C358" s="701"/>
      <c r="D358" s="1161">
        <v>1079</v>
      </c>
    </row>
    <row r="359" spans="1:4">
      <c r="A359" s="700">
        <v>2160</v>
      </c>
      <c r="B359" s="695" t="s">
        <v>1220</v>
      </c>
      <c r="C359" s="701" t="s">
        <v>1806</v>
      </c>
      <c r="D359" s="1161">
        <v>0.8</v>
      </c>
    </row>
    <row r="360" spans="1:4">
      <c r="A360" s="700">
        <v>17633</v>
      </c>
      <c r="B360" s="695" t="s">
        <v>4383</v>
      </c>
      <c r="C360" s="701" t="s">
        <v>1806</v>
      </c>
      <c r="D360" s="1161">
        <v>62</v>
      </c>
    </row>
    <row r="361" spans="1:4">
      <c r="A361" s="700">
        <v>16456</v>
      </c>
      <c r="B361" s="695" t="s">
        <v>3845</v>
      </c>
      <c r="C361" s="701" t="s">
        <v>2441</v>
      </c>
      <c r="D361" s="1161">
        <v>251149</v>
      </c>
    </row>
    <row r="362" spans="1:4">
      <c r="A362" s="700">
        <v>13988</v>
      </c>
      <c r="B362" s="695" t="s">
        <v>6990</v>
      </c>
      <c r="C362" s="701"/>
      <c r="D362" s="1161">
        <v>3135</v>
      </c>
    </row>
    <row r="363" spans="1:4">
      <c r="A363" s="700">
        <v>18734</v>
      </c>
      <c r="B363" s="695" t="s">
        <v>4767</v>
      </c>
      <c r="C363" s="701" t="s">
        <v>2969</v>
      </c>
      <c r="D363" s="1161">
        <v>16624.419999999998</v>
      </c>
    </row>
    <row r="364" spans="1:4">
      <c r="A364" s="700">
        <v>2683</v>
      </c>
      <c r="B364" s="695" t="s">
        <v>4768</v>
      </c>
      <c r="C364" s="701" t="s">
        <v>2437</v>
      </c>
      <c r="D364" s="1161"/>
    </row>
    <row r="365" spans="1:4">
      <c r="A365" s="700">
        <v>3514</v>
      </c>
      <c r="B365" s="695" t="s">
        <v>2123</v>
      </c>
      <c r="C365" s="701" t="s">
        <v>2435</v>
      </c>
      <c r="D365" s="1161">
        <v>552656.44999999995</v>
      </c>
    </row>
    <row r="366" spans="1:4">
      <c r="A366" s="700">
        <v>3323</v>
      </c>
      <c r="B366" s="695" t="s">
        <v>4385</v>
      </c>
      <c r="C366" s="701" t="s">
        <v>1806</v>
      </c>
      <c r="D366" s="1161">
        <v>100</v>
      </c>
    </row>
    <row r="367" spans="1:4">
      <c r="A367" s="700">
        <v>3554</v>
      </c>
      <c r="B367" s="695" t="s">
        <v>2814</v>
      </c>
      <c r="C367" s="701" t="s">
        <v>1806</v>
      </c>
      <c r="D367" s="1161">
        <v>727</v>
      </c>
    </row>
    <row r="368" spans="1:4">
      <c r="A368" s="700">
        <v>17372</v>
      </c>
      <c r="B368" s="695" t="s">
        <v>4386</v>
      </c>
      <c r="C368" s="701" t="s">
        <v>1804</v>
      </c>
      <c r="D368" s="1161">
        <v>1</v>
      </c>
    </row>
    <row r="369" spans="1:4">
      <c r="A369" s="700">
        <v>17518</v>
      </c>
      <c r="B369" s="695" t="s">
        <v>6991</v>
      </c>
      <c r="C369" s="701"/>
      <c r="D369" s="1161"/>
    </row>
    <row r="370" spans="1:4">
      <c r="A370" s="700">
        <v>3546</v>
      </c>
      <c r="B370" s="695" t="s">
        <v>2815</v>
      </c>
      <c r="C370" s="701" t="s">
        <v>1804</v>
      </c>
      <c r="D370" s="1161">
        <v>39</v>
      </c>
    </row>
    <row r="371" spans="1:4">
      <c r="A371" s="700">
        <v>2930</v>
      </c>
      <c r="B371" s="695" t="s">
        <v>3450</v>
      </c>
      <c r="C371" s="701" t="s">
        <v>3933</v>
      </c>
      <c r="D371" s="1161">
        <v>0</v>
      </c>
    </row>
    <row r="372" spans="1:4">
      <c r="A372" s="700">
        <v>2151</v>
      </c>
      <c r="B372" s="695" t="s">
        <v>4387</v>
      </c>
      <c r="C372" s="701" t="s">
        <v>1806</v>
      </c>
      <c r="D372" s="1161">
        <v>16370.45</v>
      </c>
    </row>
    <row r="373" spans="1:4">
      <c r="A373" s="700">
        <v>3430</v>
      </c>
      <c r="B373" s="695" t="s">
        <v>5677</v>
      </c>
      <c r="C373" s="701" t="s">
        <v>2441</v>
      </c>
      <c r="D373" s="1161">
        <v>67.069999999999993</v>
      </c>
    </row>
    <row r="374" spans="1:4">
      <c r="A374" s="700">
        <v>3451</v>
      </c>
      <c r="B374" s="695" t="s">
        <v>2323</v>
      </c>
      <c r="C374" s="701" t="s">
        <v>2431</v>
      </c>
      <c r="D374" s="1161"/>
    </row>
    <row r="375" spans="1:4">
      <c r="A375" s="700">
        <v>2979</v>
      </c>
      <c r="B375" s="695" t="s">
        <v>4388</v>
      </c>
      <c r="C375" s="701" t="s">
        <v>1806</v>
      </c>
      <c r="D375" s="1161">
        <v>13913.5</v>
      </c>
    </row>
    <row r="376" spans="1:4">
      <c r="A376" s="700">
        <v>2192</v>
      </c>
      <c r="B376" s="695" t="s">
        <v>3299</v>
      </c>
      <c r="C376" s="701" t="s">
        <v>1806</v>
      </c>
      <c r="D376" s="1161">
        <v>1609968.3</v>
      </c>
    </row>
    <row r="377" spans="1:4">
      <c r="A377" s="700">
        <v>19044</v>
      </c>
      <c r="B377" s="695" t="s">
        <v>4389</v>
      </c>
      <c r="C377" s="701" t="s">
        <v>1806</v>
      </c>
      <c r="D377" s="1161"/>
    </row>
    <row r="378" spans="1:4">
      <c r="A378" s="700">
        <v>2380</v>
      </c>
      <c r="B378" s="695" t="s">
        <v>75</v>
      </c>
      <c r="C378" s="701"/>
      <c r="D378" s="1161">
        <v>16</v>
      </c>
    </row>
    <row r="379" spans="1:4">
      <c r="A379" s="700">
        <v>3505</v>
      </c>
      <c r="B379" s="695" t="s">
        <v>4213</v>
      </c>
      <c r="C379" s="701" t="s">
        <v>1806</v>
      </c>
      <c r="D379" s="1161">
        <v>42.54</v>
      </c>
    </row>
    <row r="380" spans="1:4">
      <c r="A380" s="700">
        <v>11545</v>
      </c>
      <c r="B380" s="695" t="s">
        <v>4390</v>
      </c>
      <c r="C380" s="701" t="s">
        <v>436</v>
      </c>
      <c r="D380" s="1161">
        <v>0</v>
      </c>
    </row>
    <row r="381" spans="1:4">
      <c r="A381" s="700">
        <v>18995</v>
      </c>
      <c r="B381" s="695" t="s">
        <v>4391</v>
      </c>
      <c r="C381" s="701" t="s">
        <v>1806</v>
      </c>
      <c r="D381" s="1161">
        <v>17323</v>
      </c>
    </row>
    <row r="382" spans="1:4">
      <c r="A382" s="700">
        <v>3399</v>
      </c>
      <c r="B382" s="695" t="s">
        <v>4082</v>
      </c>
      <c r="C382" s="701" t="s">
        <v>2441</v>
      </c>
      <c r="D382" s="1161">
        <v>129693.81</v>
      </c>
    </row>
    <row r="383" spans="1:4">
      <c r="A383" s="700">
        <v>3507</v>
      </c>
      <c r="B383" s="695" t="s">
        <v>4392</v>
      </c>
      <c r="C383" s="701" t="s">
        <v>2435</v>
      </c>
      <c r="D383" s="1161">
        <v>29090.7</v>
      </c>
    </row>
    <row r="384" spans="1:4">
      <c r="A384" s="700">
        <v>17310</v>
      </c>
      <c r="B384" s="695" t="s">
        <v>6992</v>
      </c>
      <c r="C384" s="701"/>
      <c r="D384" s="1161"/>
    </row>
    <row r="385" spans="1:4">
      <c r="A385" s="700">
        <v>2273</v>
      </c>
      <c r="B385" s="695" t="s">
        <v>3310</v>
      </c>
      <c r="C385" s="701" t="s">
        <v>1806</v>
      </c>
      <c r="D385" s="1161">
        <v>0</v>
      </c>
    </row>
    <row r="386" spans="1:4">
      <c r="A386" s="700">
        <v>2660</v>
      </c>
      <c r="B386" s="695" t="s">
        <v>3292</v>
      </c>
      <c r="C386" s="701" t="s">
        <v>1804</v>
      </c>
      <c r="D386" s="1161"/>
    </row>
    <row r="387" spans="1:4">
      <c r="A387" s="700">
        <v>2653</v>
      </c>
      <c r="B387" s="695" t="s">
        <v>5475</v>
      </c>
      <c r="C387" s="701" t="s">
        <v>1804</v>
      </c>
      <c r="D387" s="1161">
        <v>1115</v>
      </c>
    </row>
    <row r="388" spans="1:4">
      <c r="A388" s="700">
        <v>3521</v>
      </c>
      <c r="B388" s="695" t="s">
        <v>334</v>
      </c>
      <c r="C388" s="701" t="s">
        <v>2437</v>
      </c>
      <c r="D388" s="1161">
        <v>72695.399999999994</v>
      </c>
    </row>
    <row r="389" spans="1:4">
      <c r="A389" s="700">
        <v>2194</v>
      </c>
      <c r="B389" s="695" t="s">
        <v>3613</v>
      </c>
      <c r="C389" s="701" t="s">
        <v>1806</v>
      </c>
      <c r="D389" s="1161">
        <v>5980.06</v>
      </c>
    </row>
    <row r="390" spans="1:4">
      <c r="A390" s="700">
        <v>3098</v>
      </c>
      <c r="B390" s="695" t="s">
        <v>2676</v>
      </c>
      <c r="C390" s="701" t="s">
        <v>1806</v>
      </c>
      <c r="D390" s="1161">
        <v>928.08</v>
      </c>
    </row>
    <row r="391" spans="1:4">
      <c r="A391" s="700">
        <v>6792</v>
      </c>
      <c r="B391" s="695" t="s">
        <v>6993</v>
      </c>
      <c r="C391" s="701"/>
      <c r="D391" s="1161"/>
    </row>
    <row r="392" spans="1:4">
      <c r="A392" s="700">
        <v>2150</v>
      </c>
      <c r="B392" s="695" t="s">
        <v>2382</v>
      </c>
      <c r="C392" s="701" t="s">
        <v>1806</v>
      </c>
      <c r="D392" s="1161">
        <v>183868.98</v>
      </c>
    </row>
    <row r="393" spans="1:4">
      <c r="A393" s="700">
        <v>17530</v>
      </c>
      <c r="B393" s="695" t="s">
        <v>3993</v>
      </c>
      <c r="C393" s="701"/>
      <c r="D393" s="1161">
        <v>4.6500000000000004</v>
      </c>
    </row>
    <row r="394" spans="1:4">
      <c r="A394" s="700">
        <v>2232</v>
      </c>
      <c r="B394" s="695" t="s">
        <v>198</v>
      </c>
      <c r="C394" s="701" t="s">
        <v>1806</v>
      </c>
      <c r="D394" s="1161">
        <v>0</v>
      </c>
    </row>
    <row r="395" spans="1:4">
      <c r="A395" s="700">
        <v>3115</v>
      </c>
      <c r="B395" s="695" t="s">
        <v>5357</v>
      </c>
      <c r="C395" s="701"/>
      <c r="D395" s="1161"/>
    </row>
    <row r="396" spans="1:4">
      <c r="A396" s="700">
        <v>2179</v>
      </c>
      <c r="B396" s="695" t="s">
        <v>4393</v>
      </c>
      <c r="C396" s="701" t="s">
        <v>1806</v>
      </c>
      <c r="D396" s="1161">
        <v>322206.78000000003</v>
      </c>
    </row>
    <row r="397" spans="1:4">
      <c r="A397" s="700">
        <v>2129</v>
      </c>
      <c r="B397" s="695" t="s">
        <v>3846</v>
      </c>
      <c r="C397" s="701" t="s">
        <v>1806</v>
      </c>
      <c r="D397" s="1161">
        <v>17972</v>
      </c>
    </row>
    <row r="398" spans="1:4">
      <c r="A398" s="700">
        <v>2367</v>
      </c>
      <c r="B398" s="695" t="s">
        <v>3060</v>
      </c>
      <c r="C398" s="701" t="s">
        <v>1806</v>
      </c>
      <c r="D398" s="1161">
        <v>59115.11</v>
      </c>
    </row>
    <row r="399" spans="1:4">
      <c r="A399" s="700">
        <v>18390</v>
      </c>
      <c r="B399" s="695" t="s">
        <v>6994</v>
      </c>
      <c r="C399" s="701"/>
      <c r="D399" s="1161"/>
    </row>
    <row r="400" spans="1:4">
      <c r="A400" s="700">
        <v>12623</v>
      </c>
      <c r="B400" s="695" t="s">
        <v>6792</v>
      </c>
      <c r="C400" s="701"/>
      <c r="D400" s="1161"/>
    </row>
    <row r="401" spans="1:4">
      <c r="A401" s="700">
        <v>3465</v>
      </c>
      <c r="B401" s="695" t="s">
        <v>3057</v>
      </c>
      <c r="C401" s="701" t="s">
        <v>2430</v>
      </c>
      <c r="D401" s="1161">
        <v>109596.4</v>
      </c>
    </row>
    <row r="402" spans="1:4">
      <c r="A402" s="700">
        <v>2146</v>
      </c>
      <c r="B402" s="695" t="s">
        <v>3298</v>
      </c>
      <c r="C402" s="701" t="s">
        <v>1806</v>
      </c>
      <c r="D402" s="1161">
        <v>2830.94</v>
      </c>
    </row>
    <row r="403" spans="1:4">
      <c r="A403" s="700">
        <v>19887</v>
      </c>
      <c r="B403" s="695" t="s">
        <v>6995</v>
      </c>
      <c r="C403" s="701"/>
      <c r="D403" s="1161">
        <v>70</v>
      </c>
    </row>
    <row r="404" spans="1:4">
      <c r="A404" s="700">
        <v>3544</v>
      </c>
      <c r="B404" s="695" t="s">
        <v>745</v>
      </c>
      <c r="C404" s="701" t="s">
        <v>1806</v>
      </c>
      <c r="D404" s="1161">
        <v>338.06</v>
      </c>
    </row>
    <row r="405" spans="1:4">
      <c r="A405" s="700">
        <v>14768</v>
      </c>
      <c r="B405" s="695" t="s">
        <v>6996</v>
      </c>
      <c r="C405" s="701"/>
      <c r="D405" s="1161">
        <v>4650</v>
      </c>
    </row>
    <row r="406" spans="1:4">
      <c r="A406" s="700">
        <v>2661</v>
      </c>
      <c r="B406" s="695" t="s">
        <v>6997</v>
      </c>
      <c r="C406" s="701"/>
      <c r="D406" s="1161">
        <v>0</v>
      </c>
    </row>
    <row r="407" spans="1:4">
      <c r="A407" s="700">
        <v>3523</v>
      </c>
      <c r="B407" s="695" t="s">
        <v>4930</v>
      </c>
      <c r="C407" s="701" t="s">
        <v>2437</v>
      </c>
      <c r="D407" s="1161">
        <v>7.37</v>
      </c>
    </row>
    <row r="408" spans="1:4">
      <c r="A408" s="700">
        <v>2934</v>
      </c>
      <c r="B408" s="695" t="s">
        <v>1965</v>
      </c>
      <c r="C408" s="701" t="s">
        <v>2442</v>
      </c>
      <c r="D408" s="1161">
        <v>818286.46</v>
      </c>
    </row>
    <row r="409" spans="1:4">
      <c r="A409" s="700">
        <v>2652</v>
      </c>
      <c r="B409" s="695" t="s">
        <v>4394</v>
      </c>
      <c r="C409" s="701" t="s">
        <v>1804</v>
      </c>
      <c r="D409" s="1161">
        <v>1170.68</v>
      </c>
    </row>
    <row r="410" spans="1:4">
      <c r="A410" s="700">
        <v>2771</v>
      </c>
      <c r="B410" s="695" t="s">
        <v>2161</v>
      </c>
      <c r="C410" s="701" t="s">
        <v>1806</v>
      </c>
      <c r="D410" s="1161"/>
    </row>
    <row r="411" spans="1:4">
      <c r="A411" s="700">
        <v>2625</v>
      </c>
      <c r="B411" s="695" t="s">
        <v>4395</v>
      </c>
      <c r="C411" s="701" t="s">
        <v>1805</v>
      </c>
      <c r="D411" s="1161">
        <v>142.75</v>
      </c>
    </row>
    <row r="412" spans="1:4">
      <c r="A412" s="700">
        <v>3165</v>
      </c>
      <c r="B412" s="695" t="s">
        <v>3059</v>
      </c>
      <c r="C412" s="701" t="s">
        <v>1806</v>
      </c>
      <c r="D412" s="1161">
        <v>62170.22</v>
      </c>
    </row>
    <row r="413" spans="1:4">
      <c r="A413" s="700">
        <v>2381</v>
      </c>
      <c r="B413" s="695" t="s">
        <v>3283</v>
      </c>
      <c r="C413" s="701" t="s">
        <v>1806</v>
      </c>
      <c r="D413" s="1161">
        <v>638.5</v>
      </c>
    </row>
    <row r="414" spans="1:4">
      <c r="A414" s="700">
        <v>3634</v>
      </c>
      <c r="B414" s="695" t="s">
        <v>1515</v>
      </c>
      <c r="C414" s="701" t="s">
        <v>1806</v>
      </c>
      <c r="D414" s="1161"/>
    </row>
    <row r="415" spans="1:4">
      <c r="A415" s="700">
        <v>3454</v>
      </c>
      <c r="B415" s="695" t="s">
        <v>3848</v>
      </c>
      <c r="C415" s="701" t="s">
        <v>2441</v>
      </c>
      <c r="D415" s="1161">
        <v>652051</v>
      </c>
    </row>
    <row r="416" spans="1:4">
      <c r="A416" s="700">
        <v>2418</v>
      </c>
      <c r="B416" s="695" t="s">
        <v>4396</v>
      </c>
      <c r="C416" s="701" t="s">
        <v>1806</v>
      </c>
      <c r="D416" s="1161">
        <v>2</v>
      </c>
    </row>
    <row r="417" spans="1:4">
      <c r="A417" s="700">
        <v>2419</v>
      </c>
      <c r="B417" s="695" t="s">
        <v>4397</v>
      </c>
      <c r="C417" s="701" t="s">
        <v>1806</v>
      </c>
      <c r="D417" s="1161">
        <v>2113</v>
      </c>
    </row>
    <row r="418" spans="1:4">
      <c r="A418" s="700">
        <v>14333</v>
      </c>
      <c r="B418" s="695" t="s">
        <v>6811</v>
      </c>
      <c r="C418" s="701"/>
      <c r="D418" s="1161"/>
    </row>
    <row r="419" spans="1:4">
      <c r="A419" s="700">
        <v>2590</v>
      </c>
      <c r="B419" s="695" t="s">
        <v>3659</v>
      </c>
      <c r="C419" s="701" t="s">
        <v>2441</v>
      </c>
      <c r="D419" s="1161">
        <v>2.5</v>
      </c>
    </row>
    <row r="420" spans="1:4">
      <c r="A420" s="700">
        <v>14054</v>
      </c>
      <c r="B420" s="695" t="s">
        <v>4398</v>
      </c>
      <c r="C420" s="701" t="s">
        <v>1806</v>
      </c>
      <c r="D420" s="1161">
        <v>7741</v>
      </c>
    </row>
    <row r="421" spans="1:4">
      <c r="A421" s="700">
        <v>2963</v>
      </c>
      <c r="B421" s="695" t="s">
        <v>3449</v>
      </c>
      <c r="C421" s="701" t="s">
        <v>1806</v>
      </c>
      <c r="D421" s="1161">
        <v>0</v>
      </c>
    </row>
    <row r="422" spans="1:4">
      <c r="A422" s="700">
        <v>14384</v>
      </c>
      <c r="B422" s="695" t="s">
        <v>4399</v>
      </c>
      <c r="C422" s="701" t="s">
        <v>3928</v>
      </c>
      <c r="D422" s="1161"/>
    </row>
    <row r="423" spans="1:4">
      <c r="A423" s="700">
        <v>3352</v>
      </c>
      <c r="B423" s="695" t="s">
        <v>4005</v>
      </c>
      <c r="C423" s="701" t="s">
        <v>2436</v>
      </c>
      <c r="D423" s="1161">
        <v>5616</v>
      </c>
    </row>
    <row r="424" spans="1:4">
      <c r="A424" s="700">
        <v>10724</v>
      </c>
      <c r="B424" s="695" t="s">
        <v>4400</v>
      </c>
      <c r="C424" s="701" t="s">
        <v>1806</v>
      </c>
      <c r="D424" s="1161"/>
    </row>
    <row r="425" spans="1:4">
      <c r="A425" s="700">
        <v>3604</v>
      </c>
      <c r="B425" s="695" t="s">
        <v>5685</v>
      </c>
      <c r="C425" s="701" t="s">
        <v>2429</v>
      </c>
      <c r="D425" s="1161">
        <v>39317</v>
      </c>
    </row>
    <row r="426" spans="1:4">
      <c r="A426" s="700">
        <v>2987</v>
      </c>
      <c r="B426" s="695" t="s">
        <v>4303</v>
      </c>
      <c r="C426" s="701" t="s">
        <v>3928</v>
      </c>
      <c r="D426" s="1161">
        <v>39.01</v>
      </c>
    </row>
    <row r="427" spans="1:4">
      <c r="A427" s="700">
        <v>3528</v>
      </c>
      <c r="B427" s="695" t="s">
        <v>3544</v>
      </c>
      <c r="C427" s="701" t="s">
        <v>2433</v>
      </c>
      <c r="D427" s="1161">
        <v>8.9</v>
      </c>
    </row>
    <row r="428" spans="1:4">
      <c r="A428" s="700">
        <v>3431</v>
      </c>
      <c r="B428" s="695" t="s">
        <v>2726</v>
      </c>
      <c r="C428" s="701" t="s">
        <v>2441</v>
      </c>
      <c r="D428" s="1161">
        <v>1.03</v>
      </c>
    </row>
    <row r="429" spans="1:4">
      <c r="A429" s="700">
        <v>2157</v>
      </c>
      <c r="B429" s="695" t="s">
        <v>4307</v>
      </c>
      <c r="C429" s="701" t="s">
        <v>1806</v>
      </c>
      <c r="D429" s="1161">
        <v>1907.52</v>
      </c>
    </row>
    <row r="430" spans="1:4">
      <c r="A430" s="700">
        <v>2960</v>
      </c>
      <c r="B430" s="695" t="s">
        <v>3885</v>
      </c>
      <c r="C430" s="701" t="s">
        <v>1806</v>
      </c>
      <c r="D430" s="1161">
        <v>28</v>
      </c>
    </row>
    <row r="431" spans="1:4">
      <c r="A431" s="700">
        <v>2964</v>
      </c>
      <c r="B431" s="695" t="s">
        <v>4401</v>
      </c>
      <c r="C431" s="701" t="s">
        <v>1806</v>
      </c>
      <c r="D431" s="1161">
        <v>1680469.07</v>
      </c>
    </row>
    <row r="432" spans="1:4">
      <c r="A432" s="700">
        <v>15026</v>
      </c>
      <c r="B432" s="695" t="s">
        <v>6998</v>
      </c>
      <c r="C432" s="701"/>
      <c r="D432" s="1161"/>
    </row>
    <row r="433" spans="1:4">
      <c r="A433" s="700">
        <v>17253</v>
      </c>
      <c r="B433" s="695" t="s">
        <v>4402</v>
      </c>
      <c r="C433" s="701" t="s">
        <v>1806</v>
      </c>
      <c r="D433" s="1161"/>
    </row>
    <row r="434" spans="1:4">
      <c r="A434" s="700">
        <v>2159</v>
      </c>
      <c r="B434" s="695" t="s">
        <v>4308</v>
      </c>
      <c r="C434" s="701" t="s">
        <v>1806</v>
      </c>
      <c r="D434" s="1161">
        <v>80.59</v>
      </c>
    </row>
    <row r="435" spans="1:4">
      <c r="A435" s="700">
        <v>3137</v>
      </c>
      <c r="B435" s="695" t="s">
        <v>4403</v>
      </c>
      <c r="C435" s="701" t="s">
        <v>1806</v>
      </c>
      <c r="D435" s="1161">
        <v>13</v>
      </c>
    </row>
    <row r="436" spans="1:4">
      <c r="A436" s="700">
        <v>2410</v>
      </c>
      <c r="B436" s="695" t="s">
        <v>4404</v>
      </c>
      <c r="C436" s="701" t="s">
        <v>1806</v>
      </c>
      <c r="D436" s="1161">
        <v>400</v>
      </c>
    </row>
    <row r="437" spans="1:4">
      <c r="A437" s="700">
        <v>16077</v>
      </c>
      <c r="B437" s="695" t="s">
        <v>6999</v>
      </c>
      <c r="C437" s="701"/>
      <c r="D437" s="1161">
        <v>22306.5</v>
      </c>
    </row>
    <row r="438" spans="1:4">
      <c r="A438" s="700">
        <v>2927</v>
      </c>
      <c r="B438" s="695" t="s">
        <v>5409</v>
      </c>
      <c r="C438" s="701" t="s">
        <v>3933</v>
      </c>
      <c r="D438" s="1161">
        <v>3775.6</v>
      </c>
    </row>
    <row r="439" spans="1:4">
      <c r="A439" s="700">
        <v>2983</v>
      </c>
      <c r="B439" s="695" t="s">
        <v>4405</v>
      </c>
      <c r="C439" s="701" t="s">
        <v>1806</v>
      </c>
      <c r="D439" s="1161">
        <v>5</v>
      </c>
    </row>
    <row r="440" spans="1:4">
      <c r="A440" s="700">
        <v>18366</v>
      </c>
      <c r="B440" s="695" t="s">
        <v>4011</v>
      </c>
      <c r="C440" s="701"/>
      <c r="D440" s="1161">
        <v>166.83</v>
      </c>
    </row>
    <row r="441" spans="1:4">
      <c r="A441" s="700">
        <v>3553</v>
      </c>
      <c r="B441" s="695" t="s">
        <v>2816</v>
      </c>
      <c r="C441" s="701" t="s">
        <v>1806</v>
      </c>
      <c r="D441" s="1161">
        <v>644</v>
      </c>
    </row>
    <row r="442" spans="1:4">
      <c r="A442" s="700">
        <v>3175</v>
      </c>
      <c r="B442" s="695" t="s">
        <v>747</v>
      </c>
      <c r="C442" s="701" t="s">
        <v>1806</v>
      </c>
      <c r="D442" s="1161">
        <v>0.24</v>
      </c>
    </row>
    <row r="443" spans="1:4">
      <c r="A443" s="700">
        <v>2606</v>
      </c>
      <c r="B443" s="695" t="s">
        <v>4406</v>
      </c>
      <c r="C443" s="701" t="s">
        <v>1806</v>
      </c>
      <c r="D443" s="1161">
        <v>13</v>
      </c>
    </row>
    <row r="444" spans="1:4">
      <c r="A444" s="700">
        <v>2678</v>
      </c>
      <c r="B444" s="695" t="s">
        <v>1642</v>
      </c>
      <c r="C444" s="701" t="s">
        <v>2437</v>
      </c>
      <c r="D444" s="1161">
        <v>1608320</v>
      </c>
    </row>
    <row r="445" spans="1:4">
      <c r="A445" s="700">
        <v>3213</v>
      </c>
      <c r="B445" s="695" t="s">
        <v>5242</v>
      </c>
      <c r="C445" s="701" t="s">
        <v>1806</v>
      </c>
      <c r="D445" s="1161">
        <v>0</v>
      </c>
    </row>
    <row r="446" spans="1:4">
      <c r="A446" s="700">
        <v>2343</v>
      </c>
      <c r="B446" s="695" t="s">
        <v>7000</v>
      </c>
      <c r="C446" s="701"/>
      <c r="D446" s="1161">
        <v>1103.5999999999999</v>
      </c>
    </row>
    <row r="447" spans="1:4">
      <c r="A447" s="700">
        <v>2521</v>
      </c>
      <c r="B447" s="695" t="s">
        <v>3048</v>
      </c>
      <c r="C447" s="701" t="s">
        <v>1806</v>
      </c>
      <c r="D447" s="1161">
        <v>188</v>
      </c>
    </row>
    <row r="448" spans="1:4">
      <c r="A448" s="700">
        <v>18540</v>
      </c>
      <c r="B448" s="695" t="s">
        <v>4407</v>
      </c>
      <c r="C448" s="701" t="s">
        <v>1806</v>
      </c>
      <c r="D448" s="1161"/>
    </row>
    <row r="449" spans="1:4">
      <c r="A449" s="700">
        <v>2770</v>
      </c>
      <c r="B449" s="695" t="s">
        <v>725</v>
      </c>
      <c r="C449" s="701" t="s">
        <v>1804</v>
      </c>
      <c r="D449" s="1161">
        <v>206.63</v>
      </c>
    </row>
    <row r="450" spans="1:4">
      <c r="A450" s="700">
        <v>2686</v>
      </c>
      <c r="B450" s="695" t="s">
        <v>4214</v>
      </c>
      <c r="C450" s="701" t="s">
        <v>2433</v>
      </c>
      <c r="D450" s="1161">
        <v>911853.33</v>
      </c>
    </row>
    <row r="451" spans="1:4">
      <c r="A451" s="700">
        <v>2658</v>
      </c>
      <c r="B451" s="695" t="s">
        <v>4215</v>
      </c>
      <c r="C451" s="701" t="s">
        <v>1804</v>
      </c>
      <c r="D451" s="1161">
        <v>212844</v>
      </c>
    </row>
    <row r="452" spans="1:4">
      <c r="A452" s="700">
        <v>3623</v>
      </c>
      <c r="B452" s="695" t="s">
        <v>1075</v>
      </c>
      <c r="C452" s="701" t="s">
        <v>1806</v>
      </c>
      <c r="D452" s="1161">
        <v>11171</v>
      </c>
    </row>
    <row r="453" spans="1:4">
      <c r="A453" s="700">
        <v>2115</v>
      </c>
      <c r="B453" s="695" t="s">
        <v>1306</v>
      </c>
      <c r="C453" s="701" t="s">
        <v>2442</v>
      </c>
      <c r="D453" s="1161">
        <v>4246.12</v>
      </c>
    </row>
    <row r="454" spans="1:4">
      <c r="A454" s="700">
        <v>3619</v>
      </c>
      <c r="B454" s="695" t="s">
        <v>4216</v>
      </c>
      <c r="C454" s="701" t="s">
        <v>1804</v>
      </c>
      <c r="D454" s="1161">
        <v>6535.16</v>
      </c>
    </row>
    <row r="455" spans="1:4">
      <c r="A455" s="700">
        <v>2290</v>
      </c>
      <c r="B455" s="695" t="s">
        <v>4166</v>
      </c>
      <c r="C455" s="701" t="s">
        <v>2438</v>
      </c>
      <c r="D455" s="1161">
        <v>0.09</v>
      </c>
    </row>
    <row r="456" spans="1:4">
      <c r="A456" s="700">
        <v>3643</v>
      </c>
      <c r="B456" s="695" t="s">
        <v>4015</v>
      </c>
      <c r="C456" s="701"/>
      <c r="D456" s="1161">
        <v>2859388.8</v>
      </c>
    </row>
    <row r="457" spans="1:4">
      <c r="A457" s="700">
        <v>15344</v>
      </c>
      <c r="B457" s="695" t="s">
        <v>4408</v>
      </c>
      <c r="C457" s="701" t="s">
        <v>1809</v>
      </c>
      <c r="D457" s="1161">
        <v>439.9</v>
      </c>
    </row>
    <row r="458" spans="1:4">
      <c r="A458" s="700">
        <v>15059</v>
      </c>
      <c r="B458" s="695" t="s">
        <v>7001</v>
      </c>
      <c r="C458" s="701"/>
      <c r="D458" s="1161">
        <v>5</v>
      </c>
    </row>
    <row r="459" spans="1:4">
      <c r="A459" s="700">
        <v>3178</v>
      </c>
      <c r="B459" s="695" t="s">
        <v>4409</v>
      </c>
      <c r="C459" s="701" t="s">
        <v>1806</v>
      </c>
      <c r="D459" s="1161">
        <v>305.10000000000002</v>
      </c>
    </row>
    <row r="460" spans="1:4">
      <c r="A460" s="700">
        <v>3154</v>
      </c>
      <c r="B460" s="695" t="s">
        <v>3284</v>
      </c>
      <c r="C460" s="701" t="s">
        <v>1806</v>
      </c>
      <c r="D460" s="1161">
        <v>428.26</v>
      </c>
    </row>
    <row r="461" spans="1:4">
      <c r="A461" s="700">
        <v>2204</v>
      </c>
      <c r="B461" s="695" t="s">
        <v>724</v>
      </c>
      <c r="C461" s="701" t="s">
        <v>3928</v>
      </c>
      <c r="D461" s="1161"/>
    </row>
    <row r="462" spans="1:4">
      <c r="A462" s="700">
        <v>2879</v>
      </c>
      <c r="B462" s="695" t="s">
        <v>4410</v>
      </c>
      <c r="C462" s="701" t="s">
        <v>1806</v>
      </c>
      <c r="D462" s="1161">
        <v>367.52</v>
      </c>
    </row>
    <row r="463" spans="1:4">
      <c r="A463" s="700">
        <v>2170</v>
      </c>
      <c r="B463" s="695" t="s">
        <v>950</v>
      </c>
      <c r="C463" s="701" t="s">
        <v>1806</v>
      </c>
      <c r="D463" s="1161"/>
    </row>
    <row r="464" spans="1:4">
      <c r="A464" s="700">
        <v>2622</v>
      </c>
      <c r="B464" s="695" t="s">
        <v>4309</v>
      </c>
      <c r="C464" s="701" t="s">
        <v>1805</v>
      </c>
      <c r="D464" s="1161">
        <v>0</v>
      </c>
    </row>
    <row r="465" spans="1:4">
      <c r="A465" s="700">
        <v>2175</v>
      </c>
      <c r="B465" s="695" t="s">
        <v>3614</v>
      </c>
      <c r="C465" s="701" t="s">
        <v>1806</v>
      </c>
      <c r="D465" s="1161">
        <v>143920.15</v>
      </c>
    </row>
    <row r="466" spans="1:4">
      <c r="A466" s="700">
        <v>2967</v>
      </c>
      <c r="B466" s="695" t="s">
        <v>2672</v>
      </c>
      <c r="C466" s="701" t="s">
        <v>5365</v>
      </c>
      <c r="D466" s="1161">
        <v>4601800.5</v>
      </c>
    </row>
    <row r="467" spans="1:4">
      <c r="A467" s="700">
        <v>3084</v>
      </c>
      <c r="B467" s="695" t="s">
        <v>4411</v>
      </c>
      <c r="C467" s="701" t="s">
        <v>1806</v>
      </c>
      <c r="D467" s="1161">
        <v>256.5</v>
      </c>
    </row>
    <row r="468" spans="1:4">
      <c r="A468" s="700">
        <v>2382</v>
      </c>
      <c r="B468" s="695" t="s">
        <v>1161</v>
      </c>
      <c r="C468" s="701" t="s">
        <v>1806</v>
      </c>
      <c r="D468" s="1161">
        <v>59616</v>
      </c>
    </row>
    <row r="469" spans="1:4">
      <c r="A469" s="700">
        <v>2165</v>
      </c>
      <c r="B469" s="695" t="s">
        <v>7002</v>
      </c>
      <c r="C469" s="701"/>
      <c r="D469" s="1161"/>
    </row>
    <row r="470" spans="1:4">
      <c r="A470" s="700">
        <v>3058</v>
      </c>
      <c r="B470" s="695" t="s">
        <v>1465</v>
      </c>
      <c r="C470" s="701" t="s">
        <v>1806</v>
      </c>
      <c r="D470" s="1161">
        <v>12.5</v>
      </c>
    </row>
    <row r="471" spans="1:4">
      <c r="A471" s="700">
        <v>14485</v>
      </c>
      <c r="B471" s="695" t="s">
        <v>4412</v>
      </c>
      <c r="C471" s="701" t="s">
        <v>1806</v>
      </c>
      <c r="D471" s="1161"/>
    </row>
    <row r="472" spans="1:4">
      <c r="A472" s="700">
        <v>2673</v>
      </c>
      <c r="B472" s="695" t="s">
        <v>742</v>
      </c>
      <c r="C472" s="701" t="s">
        <v>2435</v>
      </c>
      <c r="D472" s="1161">
        <v>22070</v>
      </c>
    </row>
    <row r="473" spans="1:4">
      <c r="A473" s="700">
        <v>11426</v>
      </c>
      <c r="B473" s="695" t="s">
        <v>4413</v>
      </c>
      <c r="C473" s="701" t="s">
        <v>5365</v>
      </c>
      <c r="D473" s="1161">
        <v>6450</v>
      </c>
    </row>
    <row r="474" spans="1:4">
      <c r="A474" s="700">
        <v>3558</v>
      </c>
      <c r="B474" s="695" t="s">
        <v>4414</v>
      </c>
      <c r="C474" s="701" t="s">
        <v>1804</v>
      </c>
      <c r="D474" s="1161">
        <v>0.08</v>
      </c>
    </row>
    <row r="475" spans="1:4">
      <c r="A475" s="700">
        <v>2695</v>
      </c>
      <c r="B475" s="695" t="s">
        <v>4415</v>
      </c>
      <c r="C475" s="701" t="s">
        <v>1806</v>
      </c>
      <c r="D475" s="1161">
        <v>0</v>
      </c>
    </row>
    <row r="476" spans="1:4">
      <c r="A476" s="700">
        <v>2270</v>
      </c>
      <c r="B476" s="695" t="s">
        <v>3849</v>
      </c>
      <c r="C476" s="701" t="s">
        <v>1806</v>
      </c>
      <c r="D476" s="1161">
        <v>510116</v>
      </c>
    </row>
    <row r="477" spans="1:4">
      <c r="A477" s="700">
        <v>3060</v>
      </c>
      <c r="B477" s="695" t="s">
        <v>5603</v>
      </c>
      <c r="C477" s="701" t="s">
        <v>1806</v>
      </c>
      <c r="D477" s="1161">
        <v>13713.72</v>
      </c>
    </row>
    <row r="478" spans="1:4">
      <c r="A478" s="700">
        <v>3321</v>
      </c>
      <c r="B478" s="695" t="s">
        <v>3058</v>
      </c>
      <c r="C478" s="701" t="s">
        <v>1806</v>
      </c>
      <c r="D478" s="1161">
        <v>39798.89</v>
      </c>
    </row>
    <row r="479" spans="1:4">
      <c r="A479" s="700">
        <v>2332</v>
      </c>
      <c r="B479" s="695" t="s">
        <v>3844</v>
      </c>
      <c r="C479" s="701" t="s">
        <v>1806</v>
      </c>
      <c r="D479" s="1161">
        <v>406.7</v>
      </c>
    </row>
    <row r="480" spans="1:4">
      <c r="A480" s="700">
        <v>3133</v>
      </c>
      <c r="B480" s="695" t="s">
        <v>3660</v>
      </c>
      <c r="C480" s="701" t="s">
        <v>1806</v>
      </c>
      <c r="D480" s="1161">
        <v>234.51</v>
      </c>
    </row>
    <row r="481" spans="1:4">
      <c r="A481" s="700">
        <v>3066</v>
      </c>
      <c r="B481" s="695" t="s">
        <v>1643</v>
      </c>
      <c r="C481" s="701" t="s">
        <v>1806</v>
      </c>
      <c r="D481" s="1161"/>
    </row>
    <row r="482" spans="1:4">
      <c r="A482" s="700">
        <v>3116</v>
      </c>
      <c r="B482" s="695" t="s">
        <v>2173</v>
      </c>
      <c r="C482" s="701" t="s">
        <v>1806</v>
      </c>
      <c r="D482" s="1161">
        <v>112498.93</v>
      </c>
    </row>
    <row r="483" spans="1:4">
      <c r="A483" s="700">
        <v>2258</v>
      </c>
      <c r="B483" s="695" t="s">
        <v>3988</v>
      </c>
      <c r="C483" s="701" t="s">
        <v>1806</v>
      </c>
      <c r="D483" s="1161">
        <v>905.1</v>
      </c>
    </row>
    <row r="484" spans="1:4">
      <c r="A484" s="700">
        <v>18581</v>
      </c>
      <c r="B484" s="695" t="s">
        <v>534</v>
      </c>
      <c r="C484" s="701" t="s">
        <v>1806</v>
      </c>
      <c r="D484" s="1161">
        <v>500</v>
      </c>
    </row>
    <row r="485" spans="1:4">
      <c r="A485" s="700">
        <v>2117</v>
      </c>
      <c r="B485" s="695" t="s">
        <v>6754</v>
      </c>
      <c r="C485" s="701"/>
      <c r="D485" s="1161">
        <v>0</v>
      </c>
    </row>
    <row r="486" spans="1:4">
      <c r="A486" s="700">
        <v>18628</v>
      </c>
      <c r="B486" s="695" t="s">
        <v>7003</v>
      </c>
      <c r="C486" s="701"/>
      <c r="D486" s="1161">
        <v>0.1</v>
      </c>
    </row>
    <row r="487" spans="1:4">
      <c r="A487" s="700">
        <v>2705</v>
      </c>
      <c r="B487" s="695" t="s">
        <v>6868</v>
      </c>
      <c r="C487" s="701"/>
      <c r="D487" s="1161">
        <v>3.81</v>
      </c>
    </row>
    <row r="488" spans="1:4">
      <c r="A488" s="700">
        <v>2552</v>
      </c>
      <c r="B488" s="695" t="s">
        <v>3451</v>
      </c>
      <c r="C488" s="701" t="s">
        <v>1809</v>
      </c>
      <c r="D488" s="1161">
        <v>20</v>
      </c>
    </row>
    <row r="489" spans="1:4">
      <c r="A489" s="700">
        <v>6614</v>
      </c>
      <c r="B489" s="695" t="s">
        <v>6870</v>
      </c>
      <c r="C489" s="701"/>
      <c r="D489" s="1161">
        <v>173.66</v>
      </c>
    </row>
    <row r="490" spans="1:4">
      <c r="A490" s="700">
        <v>14918</v>
      </c>
      <c r="B490" s="695" t="s">
        <v>4416</v>
      </c>
      <c r="C490" s="701" t="s">
        <v>1806</v>
      </c>
      <c r="D490" s="1161">
        <v>3.11</v>
      </c>
    </row>
    <row r="491" spans="1:4">
      <c r="A491" s="700">
        <v>3531</v>
      </c>
      <c r="B491" s="695" t="s">
        <v>5194</v>
      </c>
      <c r="C491" s="701" t="s">
        <v>2433</v>
      </c>
      <c r="D491" s="1161">
        <v>16460</v>
      </c>
    </row>
    <row r="492" spans="1:4">
      <c r="A492" s="700">
        <v>3518</v>
      </c>
      <c r="B492" s="695" t="s">
        <v>4417</v>
      </c>
      <c r="C492" s="701" t="s">
        <v>2437</v>
      </c>
      <c r="D492" s="1161">
        <v>0</v>
      </c>
    </row>
    <row r="493" spans="1:4">
      <c r="A493" s="700">
        <v>3298</v>
      </c>
      <c r="B493" s="695" t="s">
        <v>2988</v>
      </c>
      <c r="C493" s="701" t="s">
        <v>2969</v>
      </c>
      <c r="D493" s="1161">
        <v>7484</v>
      </c>
    </row>
    <row r="494" spans="1:4">
      <c r="A494" s="700">
        <v>3403</v>
      </c>
      <c r="B494" s="695" t="s">
        <v>4418</v>
      </c>
      <c r="C494" s="701" t="s">
        <v>2441</v>
      </c>
      <c r="D494" s="1161">
        <v>0</v>
      </c>
    </row>
    <row r="495" spans="1:4">
      <c r="A495" s="700">
        <v>3416</v>
      </c>
      <c r="B495" s="695" t="s">
        <v>3192</v>
      </c>
      <c r="C495" s="701"/>
      <c r="D495" s="1161">
        <v>7533</v>
      </c>
    </row>
    <row r="496" spans="1:4">
      <c r="A496" s="700">
        <v>3262</v>
      </c>
      <c r="B496" s="695" t="s">
        <v>3311</v>
      </c>
      <c r="C496" s="701" t="s">
        <v>1806</v>
      </c>
      <c r="D496" s="1161">
        <v>259</v>
      </c>
    </row>
    <row r="497" spans="1:4">
      <c r="A497" s="700">
        <v>3476</v>
      </c>
      <c r="B497" s="695" t="s">
        <v>3502</v>
      </c>
      <c r="C497" s="701" t="s">
        <v>2430</v>
      </c>
      <c r="D497" s="1161"/>
    </row>
    <row r="498" spans="1:4">
      <c r="A498" s="700">
        <v>3635</v>
      </c>
      <c r="B498" s="695" t="s">
        <v>4419</v>
      </c>
      <c r="C498" s="701" t="s">
        <v>1806</v>
      </c>
      <c r="D498" s="1161">
        <v>233048</v>
      </c>
    </row>
    <row r="499" spans="1:4">
      <c r="A499" s="700">
        <v>3442</v>
      </c>
      <c r="B499" s="695" t="s">
        <v>1076</v>
      </c>
      <c r="C499" s="701" t="s">
        <v>2431</v>
      </c>
      <c r="D499" s="1161">
        <v>0</v>
      </c>
    </row>
    <row r="500" spans="1:4">
      <c r="A500" s="700">
        <v>18519</v>
      </c>
      <c r="B500" s="695" t="s">
        <v>7004</v>
      </c>
      <c r="C500" s="701"/>
      <c r="D500" s="1161">
        <v>11</v>
      </c>
    </row>
    <row r="501" spans="1:4">
      <c r="A501" s="700">
        <v>2773</v>
      </c>
      <c r="B501" s="695" t="s">
        <v>2808</v>
      </c>
      <c r="C501" s="701"/>
      <c r="D501" s="1161">
        <v>82026.13</v>
      </c>
    </row>
    <row r="502" spans="1:4">
      <c r="A502" s="700">
        <v>18518</v>
      </c>
      <c r="B502" s="695" t="s">
        <v>7005</v>
      </c>
      <c r="C502" s="701"/>
      <c r="D502" s="1161">
        <v>120</v>
      </c>
    </row>
    <row r="503" spans="1:4">
      <c r="A503" s="700">
        <v>2285</v>
      </c>
      <c r="B503" s="695" t="s">
        <v>4420</v>
      </c>
      <c r="C503" s="701" t="s">
        <v>1806</v>
      </c>
      <c r="D503" s="1161">
        <v>6.7</v>
      </c>
    </row>
    <row r="504" spans="1:4">
      <c r="A504" s="700">
        <v>13290</v>
      </c>
      <c r="B504" s="695" t="s">
        <v>4899</v>
      </c>
      <c r="C504" s="701" t="s">
        <v>1806</v>
      </c>
      <c r="D504" s="1161">
        <v>1800</v>
      </c>
    </row>
    <row r="505" spans="1:4">
      <c r="A505" s="700">
        <v>3087</v>
      </c>
      <c r="B505" s="695" t="s">
        <v>5343</v>
      </c>
      <c r="C505" s="701"/>
      <c r="D505" s="1161">
        <v>2.6</v>
      </c>
    </row>
    <row r="506" spans="1:4">
      <c r="A506" s="700">
        <v>3061</v>
      </c>
      <c r="B506" s="695" t="s">
        <v>7006</v>
      </c>
      <c r="C506" s="701"/>
      <c r="D506" s="1161">
        <v>649</v>
      </c>
    </row>
    <row r="507" spans="1:4">
      <c r="A507" s="700">
        <v>14682</v>
      </c>
      <c r="B507" s="695" t="s">
        <v>6897</v>
      </c>
      <c r="C507" s="701"/>
      <c r="D507" s="1161"/>
    </row>
    <row r="508" spans="1:4">
      <c r="A508" s="700">
        <v>2457</v>
      </c>
      <c r="B508" s="695" t="s">
        <v>1551</v>
      </c>
      <c r="C508" s="701" t="s">
        <v>1806</v>
      </c>
      <c r="D508" s="1161">
        <v>0</v>
      </c>
    </row>
    <row r="509" spans="1:4">
      <c r="A509" s="700">
        <v>18731</v>
      </c>
      <c r="B509" s="695" t="s">
        <v>4421</v>
      </c>
      <c r="C509" s="701" t="s">
        <v>1806</v>
      </c>
      <c r="D509" s="1161"/>
    </row>
    <row r="510" spans="1:4">
      <c r="A510" s="700">
        <v>2071</v>
      </c>
      <c r="B510" s="695" t="s">
        <v>1067</v>
      </c>
      <c r="C510" s="701" t="s">
        <v>1806</v>
      </c>
      <c r="D510" s="1161">
        <v>5.6</v>
      </c>
    </row>
    <row r="511" spans="1:4">
      <c r="A511" s="700">
        <v>2070</v>
      </c>
      <c r="B511" s="695" t="s">
        <v>3448</v>
      </c>
      <c r="C511" s="701" t="s">
        <v>1806</v>
      </c>
      <c r="D511" s="1161">
        <v>28.7</v>
      </c>
    </row>
    <row r="512" spans="1:4">
      <c r="A512" s="700">
        <v>12670</v>
      </c>
      <c r="B512" s="695" t="s">
        <v>7007</v>
      </c>
      <c r="C512" s="701"/>
      <c r="D512" s="1161">
        <v>5076</v>
      </c>
    </row>
    <row r="513" spans="1:4">
      <c r="A513" s="700">
        <v>2768</v>
      </c>
      <c r="B513" s="695" t="s">
        <v>726</v>
      </c>
      <c r="C513" s="701" t="s">
        <v>1804</v>
      </c>
      <c r="D513" s="1161">
        <v>0.5</v>
      </c>
    </row>
    <row r="514" spans="1:4">
      <c r="A514" s="700">
        <v>2951</v>
      </c>
      <c r="B514" s="695" t="s">
        <v>6902</v>
      </c>
      <c r="C514" s="701"/>
      <c r="D514" s="1161">
        <v>206.48</v>
      </c>
    </row>
    <row r="515" spans="1:4">
      <c r="A515" s="700">
        <v>15287</v>
      </c>
      <c r="B515" s="695" t="s">
        <v>4422</v>
      </c>
      <c r="C515" s="701" t="s">
        <v>436</v>
      </c>
      <c r="D515" s="1161"/>
    </row>
    <row r="516" spans="1:4">
      <c r="A516" s="700">
        <v>2289</v>
      </c>
      <c r="B516" s="695" t="s">
        <v>2366</v>
      </c>
      <c r="C516" s="701" t="s">
        <v>1806</v>
      </c>
      <c r="D516" s="1161"/>
    </row>
    <row r="517" spans="1:4">
      <c r="A517" s="700">
        <v>3085</v>
      </c>
      <c r="B517" s="695" t="s">
        <v>4423</v>
      </c>
      <c r="C517" s="701" t="s">
        <v>2438</v>
      </c>
      <c r="D517" s="1161">
        <v>6112</v>
      </c>
    </row>
    <row r="518" spans="1:4">
      <c r="A518" s="700">
        <v>2193</v>
      </c>
      <c r="B518" s="695" t="s">
        <v>4424</v>
      </c>
      <c r="C518" s="701" t="s">
        <v>1806</v>
      </c>
      <c r="D518" s="1161">
        <v>301848.87</v>
      </c>
    </row>
    <row r="519" spans="1:4">
      <c r="A519" s="700">
        <v>3062</v>
      </c>
      <c r="B519" s="695" t="s">
        <v>3312</v>
      </c>
      <c r="C519" s="701" t="s">
        <v>1806</v>
      </c>
      <c r="D519" s="1161">
        <v>14250.11</v>
      </c>
    </row>
    <row r="520" spans="1:4">
      <c r="A520" s="700">
        <v>2697</v>
      </c>
      <c r="B520" s="695" t="s">
        <v>3503</v>
      </c>
      <c r="C520" s="701" t="s">
        <v>1806</v>
      </c>
      <c r="D520" s="1161">
        <v>0</v>
      </c>
    </row>
    <row r="521" spans="1:4">
      <c r="A521" s="700">
        <v>3500</v>
      </c>
      <c r="B521" s="695" t="s">
        <v>5237</v>
      </c>
      <c r="C521" s="701" t="s">
        <v>1804</v>
      </c>
      <c r="D521" s="1161">
        <v>0</v>
      </c>
    </row>
    <row r="522" spans="1:4">
      <c r="A522" s="700">
        <v>2069</v>
      </c>
      <c r="B522" s="695" t="s">
        <v>3355</v>
      </c>
      <c r="C522" s="701" t="s">
        <v>1806</v>
      </c>
      <c r="D522" s="1161">
        <v>75203.509999999995</v>
      </c>
    </row>
    <row r="523" spans="1:4">
      <c r="A523" s="700">
        <v>12812</v>
      </c>
      <c r="B523" s="695" t="s">
        <v>7008</v>
      </c>
      <c r="C523" s="701"/>
      <c r="D523" s="1161"/>
    </row>
    <row r="524" spans="1:4">
      <c r="A524" s="700">
        <v>18994</v>
      </c>
      <c r="B524" s="695" t="s">
        <v>4426</v>
      </c>
      <c r="C524" s="701" t="s">
        <v>2433</v>
      </c>
      <c r="D524" s="1161">
        <v>104675</v>
      </c>
    </row>
    <row r="525" spans="1:4">
      <c r="A525" s="700">
        <v>3464</v>
      </c>
      <c r="B525" s="695" t="s">
        <v>4428</v>
      </c>
      <c r="C525" s="701" t="s">
        <v>2430</v>
      </c>
      <c r="D525" s="1161"/>
    </row>
    <row r="526" spans="1:4">
      <c r="A526" s="700">
        <v>2672</v>
      </c>
      <c r="B526" s="695" t="s">
        <v>4429</v>
      </c>
      <c r="C526" s="701" t="s">
        <v>2435</v>
      </c>
      <c r="D526" s="1161"/>
    </row>
    <row r="527" spans="1:4">
      <c r="A527" s="700">
        <v>19261</v>
      </c>
      <c r="B527" s="695" t="s">
        <v>7009</v>
      </c>
      <c r="C527" s="701"/>
      <c r="D527" s="1161">
        <v>47163</v>
      </c>
    </row>
    <row r="528" spans="1:4">
      <c r="A528" s="700">
        <v>6823</v>
      </c>
      <c r="B528" s="695" t="s">
        <v>7010</v>
      </c>
      <c r="C528" s="701"/>
      <c r="D528" s="1161">
        <v>14264.78</v>
      </c>
    </row>
    <row r="529" spans="1:4">
      <c r="A529" s="700">
        <v>18539</v>
      </c>
      <c r="B529" s="695" t="s">
        <v>1226</v>
      </c>
      <c r="C529" s="701"/>
      <c r="D529" s="1161"/>
    </row>
    <row r="530" spans="1:4">
      <c r="A530" s="700">
        <v>2075</v>
      </c>
      <c r="B530" s="695" t="s">
        <v>2589</v>
      </c>
      <c r="C530" s="701"/>
      <c r="D530" s="1161"/>
    </row>
    <row r="531" spans="1:4">
      <c r="A531" s="700">
        <v>2154</v>
      </c>
      <c r="B531" s="695" t="s">
        <v>3356</v>
      </c>
      <c r="C531" s="701" t="s">
        <v>1806</v>
      </c>
      <c r="D531" s="1161">
        <v>1519.76</v>
      </c>
    </row>
    <row r="532" spans="1:4">
      <c r="A532" s="700">
        <v>3054</v>
      </c>
      <c r="B532" s="695" t="s">
        <v>4430</v>
      </c>
      <c r="C532" s="701" t="s">
        <v>1806</v>
      </c>
      <c r="D532" s="1161"/>
    </row>
    <row r="533" spans="1:4">
      <c r="A533" s="700">
        <v>3218</v>
      </c>
      <c r="B533" s="695" t="s">
        <v>4431</v>
      </c>
      <c r="C533" s="701" t="s">
        <v>1806</v>
      </c>
      <c r="D533" s="1161">
        <v>4188</v>
      </c>
    </row>
    <row r="534" spans="1:4">
      <c r="A534" s="700">
        <v>12291</v>
      </c>
      <c r="B534" s="695" t="s">
        <v>1219</v>
      </c>
      <c r="C534" s="701" t="s">
        <v>1806</v>
      </c>
      <c r="D534" s="1161">
        <v>0</v>
      </c>
    </row>
    <row r="535" spans="1:4">
      <c r="A535" s="700">
        <v>13123</v>
      </c>
      <c r="B535" s="695" t="s">
        <v>7011</v>
      </c>
      <c r="C535" s="701"/>
      <c r="D535" s="1161"/>
    </row>
    <row r="536" spans="1:4">
      <c r="A536" s="700">
        <v>6822</v>
      </c>
      <c r="B536" s="695" t="s">
        <v>7012</v>
      </c>
      <c r="C536" s="701"/>
      <c r="D536" s="1161">
        <v>19359</v>
      </c>
    </row>
    <row r="537" spans="1:4">
      <c r="A537" s="700">
        <v>3216</v>
      </c>
      <c r="B537" s="695" t="s">
        <v>5630</v>
      </c>
      <c r="C537" s="701" t="s">
        <v>1806</v>
      </c>
      <c r="D537" s="1161">
        <v>997440.76</v>
      </c>
    </row>
    <row r="538" spans="1:4">
      <c r="A538" s="700">
        <v>2980</v>
      </c>
      <c r="B538" s="695" t="s">
        <v>4585</v>
      </c>
      <c r="C538" s="701" t="s">
        <v>1806</v>
      </c>
      <c r="D538" s="1161">
        <v>668895.79</v>
      </c>
    </row>
    <row r="539" spans="1:4">
      <c r="A539" s="700">
        <v>6820</v>
      </c>
      <c r="B539" s="695" t="s">
        <v>6919</v>
      </c>
      <c r="C539" s="701"/>
      <c r="D539" s="1161"/>
    </row>
    <row r="540" spans="1:4">
      <c r="A540" s="700">
        <v>3443</v>
      </c>
      <c r="B540" s="695" t="s">
        <v>3281</v>
      </c>
      <c r="C540" s="701" t="s">
        <v>2431</v>
      </c>
      <c r="D540" s="1161">
        <v>1632.14</v>
      </c>
    </row>
    <row r="541" spans="1:4">
      <c r="A541" s="700">
        <v>2928</v>
      </c>
      <c r="B541" s="695" t="s">
        <v>5631</v>
      </c>
      <c r="C541" s="701" t="s">
        <v>2442</v>
      </c>
      <c r="D541" s="1161">
        <v>17819.900000000001</v>
      </c>
    </row>
    <row r="542" spans="1:4">
      <c r="A542" s="700">
        <v>13169</v>
      </c>
      <c r="B542" s="695" t="s">
        <v>4432</v>
      </c>
      <c r="C542" s="701" t="s">
        <v>1806</v>
      </c>
      <c r="D542" s="1161">
        <v>45</v>
      </c>
    </row>
    <row r="543" spans="1:4">
      <c r="A543" s="700">
        <v>3493</v>
      </c>
      <c r="B543" s="695" t="s">
        <v>1340</v>
      </c>
      <c r="C543" s="701" t="s">
        <v>1806</v>
      </c>
      <c r="D543" s="1161">
        <v>0.13</v>
      </c>
    </row>
    <row r="544" spans="1:4">
      <c r="A544" s="700">
        <v>2563</v>
      </c>
      <c r="B544" s="695" t="s">
        <v>3286</v>
      </c>
      <c r="C544" s="701" t="s">
        <v>1806</v>
      </c>
      <c r="D544" s="1161">
        <v>76605.19</v>
      </c>
    </row>
    <row r="545" spans="1:4">
      <c r="A545" s="700">
        <v>13278</v>
      </c>
      <c r="B545" s="695" t="s">
        <v>3661</v>
      </c>
      <c r="C545" s="701" t="s">
        <v>1806</v>
      </c>
      <c r="D545" s="1161">
        <v>0</v>
      </c>
    </row>
    <row r="546" spans="1:4">
      <c r="A546" s="700">
        <v>18520</v>
      </c>
      <c r="B546" s="695" t="s">
        <v>6193</v>
      </c>
      <c r="C546" s="701"/>
      <c r="D546" s="1161">
        <v>0</v>
      </c>
    </row>
    <row r="547" spans="1:4">
      <c r="A547" s="700">
        <v>2946</v>
      </c>
      <c r="B547" s="695" t="s">
        <v>932</v>
      </c>
      <c r="C547" s="701" t="s">
        <v>1806</v>
      </c>
      <c r="D547" s="1161">
        <v>5611</v>
      </c>
    </row>
    <row r="548" spans="1:4">
      <c r="A548" s="700">
        <v>3522</v>
      </c>
      <c r="B548" s="695" t="s">
        <v>7013</v>
      </c>
      <c r="C548" s="701"/>
      <c r="D548" s="1161">
        <v>0.59</v>
      </c>
    </row>
    <row r="549" spans="1:4">
      <c r="A549" s="700">
        <v>2421</v>
      </c>
      <c r="B549" s="695" t="s">
        <v>496</v>
      </c>
      <c r="C549" s="701" t="s">
        <v>1806</v>
      </c>
      <c r="D549" s="1161">
        <v>0</v>
      </c>
    </row>
    <row r="550" spans="1:4">
      <c r="A550" s="700">
        <v>3540</v>
      </c>
      <c r="B550" s="695" t="s">
        <v>1546</v>
      </c>
      <c r="C550" s="701" t="s">
        <v>1804</v>
      </c>
      <c r="D550" s="1161">
        <v>0.34</v>
      </c>
    </row>
    <row r="551" spans="1:4">
      <c r="A551" s="700">
        <v>15973</v>
      </c>
      <c r="B551" s="695" t="s">
        <v>3459</v>
      </c>
      <c r="C551" s="701"/>
      <c r="D551" s="1161"/>
    </row>
    <row r="552" spans="1:4">
      <c r="A552" s="700">
        <v>14618</v>
      </c>
      <c r="B552" s="695" t="s">
        <v>4433</v>
      </c>
      <c r="C552" s="701" t="s">
        <v>1804</v>
      </c>
      <c r="D552" s="1161">
        <v>5704</v>
      </c>
    </row>
    <row r="553" spans="1:4">
      <c r="A553" s="700">
        <v>2777</v>
      </c>
      <c r="B553" s="695" t="s">
        <v>4217</v>
      </c>
      <c r="C553" s="701"/>
      <c r="D553" s="1161">
        <v>2079099</v>
      </c>
    </row>
    <row r="554" spans="1:4">
      <c r="A554" s="700">
        <v>3630</v>
      </c>
      <c r="B554" s="695" t="s">
        <v>6194</v>
      </c>
      <c r="C554" s="701"/>
      <c r="D554" s="1161"/>
    </row>
    <row r="555" spans="1:4">
      <c r="A555" s="700">
        <v>15981</v>
      </c>
      <c r="B555" s="695" t="s">
        <v>7014</v>
      </c>
      <c r="C555" s="701"/>
      <c r="D555" s="1161">
        <v>449</v>
      </c>
    </row>
    <row r="556" spans="1:4">
      <c r="A556" s="700">
        <v>18535</v>
      </c>
      <c r="B556" s="695" t="s">
        <v>4434</v>
      </c>
      <c r="C556" s="701" t="s">
        <v>1806</v>
      </c>
      <c r="D556" s="1161">
        <v>3210</v>
      </c>
    </row>
    <row r="557" spans="1:4">
      <c r="A557" s="700">
        <v>17580</v>
      </c>
      <c r="B557" s="695" t="s">
        <v>4435</v>
      </c>
      <c r="C557" s="701" t="s">
        <v>1806</v>
      </c>
      <c r="D557" s="1161">
        <v>0.57999999999999996</v>
      </c>
    </row>
    <row r="558" spans="1:4">
      <c r="A558" s="700">
        <v>16672</v>
      </c>
      <c r="B558" s="695" t="s">
        <v>4436</v>
      </c>
      <c r="C558" s="701" t="s">
        <v>4437</v>
      </c>
      <c r="D558" s="1161"/>
    </row>
    <row r="559" spans="1:4">
      <c r="A559" s="700">
        <v>2973</v>
      </c>
      <c r="B559" s="695" t="s">
        <v>6847</v>
      </c>
      <c r="C559" s="701"/>
      <c r="D559" s="1161">
        <v>1432.36</v>
      </c>
    </row>
    <row r="560" spans="1:4">
      <c r="A560" s="700">
        <v>10120</v>
      </c>
      <c r="B560" s="695" t="s">
        <v>951</v>
      </c>
      <c r="C560" s="701" t="s">
        <v>1806</v>
      </c>
      <c r="D560" s="1161">
        <v>5.3</v>
      </c>
    </row>
    <row r="561" spans="1:4">
      <c r="A561" s="700">
        <v>14516</v>
      </c>
      <c r="B561" s="695" t="s">
        <v>4438</v>
      </c>
      <c r="C561" s="701" t="s">
        <v>1806</v>
      </c>
      <c r="D561" s="1161"/>
    </row>
    <row r="562" spans="1:4">
      <c r="A562" s="700">
        <v>2370</v>
      </c>
      <c r="B562" s="695" t="s">
        <v>1104</v>
      </c>
      <c r="C562" s="701" t="s">
        <v>1806</v>
      </c>
      <c r="D562" s="1161">
        <v>8.83</v>
      </c>
    </row>
    <row r="563" spans="1:4">
      <c r="A563" s="700">
        <v>2878</v>
      </c>
      <c r="B563" s="695" t="s">
        <v>2757</v>
      </c>
      <c r="C563" s="701"/>
      <c r="D563" s="1161"/>
    </row>
    <row r="564" spans="1:4">
      <c r="A564" s="700">
        <v>2316</v>
      </c>
      <c r="B564" s="695" t="s">
        <v>4881</v>
      </c>
      <c r="C564" s="701" t="s">
        <v>1806</v>
      </c>
      <c r="D564" s="1161">
        <v>3155</v>
      </c>
    </row>
    <row r="565" spans="1:4">
      <c r="A565" s="700">
        <v>3263</v>
      </c>
      <c r="B565" s="695" t="s">
        <v>4439</v>
      </c>
      <c r="C565" s="701" t="s">
        <v>1806</v>
      </c>
      <c r="D565" s="1161">
        <v>1.04</v>
      </c>
    </row>
    <row r="566" spans="1:4">
      <c r="A566" s="700">
        <v>2132</v>
      </c>
      <c r="B566" s="695" t="s">
        <v>3358</v>
      </c>
      <c r="C566" s="701" t="s">
        <v>1806</v>
      </c>
      <c r="D566" s="1161">
        <v>2747</v>
      </c>
    </row>
    <row r="567" spans="1:4">
      <c r="A567" s="700">
        <v>3404</v>
      </c>
      <c r="B567" s="695" t="s">
        <v>2666</v>
      </c>
      <c r="C567" s="701" t="s">
        <v>2441</v>
      </c>
      <c r="D567" s="1161">
        <v>3289317.18</v>
      </c>
    </row>
    <row r="568" spans="1:4">
      <c r="A568" s="700">
        <v>2351</v>
      </c>
      <c r="B568" s="695" t="s">
        <v>3083</v>
      </c>
      <c r="C568" s="701"/>
      <c r="D568" s="1161">
        <v>5</v>
      </c>
    </row>
    <row r="569" spans="1:4">
      <c r="A569" s="700">
        <v>2173</v>
      </c>
      <c r="B569" s="695" t="s">
        <v>2673</v>
      </c>
      <c r="C569" s="701" t="s">
        <v>1806</v>
      </c>
      <c r="D569" s="1161">
        <v>730962</v>
      </c>
    </row>
    <row r="570" spans="1:4">
      <c r="A570" s="700">
        <v>2624</v>
      </c>
      <c r="B570" s="695" t="s">
        <v>4440</v>
      </c>
      <c r="C570" s="701" t="s">
        <v>1805</v>
      </c>
      <c r="D570" s="1161">
        <v>37.299999999999997</v>
      </c>
    </row>
    <row r="571" spans="1:4">
      <c r="A571" s="700">
        <v>14241</v>
      </c>
      <c r="B571" s="695" t="s">
        <v>4441</v>
      </c>
      <c r="C571" s="701" t="s">
        <v>1806</v>
      </c>
      <c r="D571" s="1161">
        <v>295669</v>
      </c>
    </row>
    <row r="572" spans="1:4">
      <c r="A572" s="700">
        <v>2423</v>
      </c>
      <c r="B572" s="695" t="s">
        <v>4442</v>
      </c>
      <c r="C572" s="701" t="s">
        <v>1806</v>
      </c>
      <c r="D572" s="1161"/>
    </row>
    <row r="573" spans="1:4">
      <c r="A573" s="700">
        <v>18712</v>
      </c>
      <c r="B573" s="695" t="s">
        <v>4443</v>
      </c>
      <c r="C573" s="701" t="s">
        <v>1806</v>
      </c>
      <c r="D573" s="1161">
        <v>0</v>
      </c>
    </row>
    <row r="574" spans="1:4">
      <c r="A574" s="700">
        <v>3203</v>
      </c>
      <c r="B574" s="695" t="s">
        <v>5239</v>
      </c>
      <c r="C574" s="701" t="s">
        <v>1806</v>
      </c>
      <c r="D574" s="1161">
        <v>0</v>
      </c>
    </row>
    <row r="575" spans="1:4">
      <c r="A575" s="700">
        <v>2497</v>
      </c>
      <c r="B575" s="695" t="s">
        <v>4769</v>
      </c>
      <c r="C575" s="701" t="s">
        <v>2969</v>
      </c>
      <c r="D575" s="1161">
        <v>170.73</v>
      </c>
    </row>
    <row r="576" spans="1:4">
      <c r="A576" s="702">
        <v>2679</v>
      </c>
      <c r="B576" s="696" t="s">
        <v>2768</v>
      </c>
      <c r="C576" s="703" t="s">
        <v>2437</v>
      </c>
      <c r="D576" s="1162">
        <v>169839</v>
      </c>
    </row>
  </sheetData>
  <phoneticPr fontId="0" type="noConversion"/>
  <hyperlinks>
    <hyperlink ref="D3" location="fish_group_yield_w!A1" display="fish_group_yield_w"/>
  </hyperlinks>
  <pageMargins left="0.7" right="0.7" top="0.75" bottom="0.75" header="0.3" footer="0.3"/>
  <drawing r:id="rId1"/>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enableFormatConditionsCalculation="0">
    <tabColor rgb="FF0000FF"/>
    <pageSetUpPr autoPageBreaks="0"/>
  </sheetPr>
  <dimension ref="A1:H8"/>
  <sheetViews>
    <sheetView workbookViewId="0">
      <selection activeCell="A65536" sqref="A65536"/>
    </sheetView>
  </sheetViews>
  <sheetFormatPr baseColWidth="10" defaultColWidth="9.1640625" defaultRowHeight="12.75" customHeight="1" x14ac:dyDescent="0"/>
  <cols>
    <col min="1" max="1" width="50.6640625" style="53" customWidth="1"/>
    <col min="2" max="2" width="21.6640625" style="53" customWidth="1"/>
    <col min="3" max="3" width="16" style="53" customWidth="1"/>
    <col min="4" max="8" width="21.6640625" style="53" customWidth="1"/>
    <col min="9" max="16384" width="9.1640625" style="53"/>
  </cols>
  <sheetData>
    <row r="1" spans="1:8" ht="12.75" customHeight="1">
      <c r="B1" s="185"/>
      <c r="C1" s="185"/>
      <c r="D1" s="185"/>
      <c r="E1" s="185"/>
      <c r="F1" s="185"/>
      <c r="G1" s="185"/>
      <c r="H1" s="185"/>
    </row>
    <row r="2" spans="1:8" ht="12.75" customHeight="1">
      <c r="B2" s="54" t="s">
        <v>1005</v>
      </c>
      <c r="C2" s="184" t="s">
        <v>1813</v>
      </c>
      <c r="D2" s="185"/>
      <c r="E2" s="185"/>
      <c r="F2" s="185"/>
    </row>
    <row r="3" spans="1:8" ht="12.75" customHeight="1">
      <c r="B3" s="54" t="s">
        <v>1006</v>
      </c>
      <c r="C3" s="1064" t="s">
        <v>5415</v>
      </c>
      <c r="D3" s="1064" t="s">
        <v>1842</v>
      </c>
      <c r="E3" s="1064" t="s">
        <v>5422</v>
      </c>
      <c r="F3" s="1064" t="s">
        <v>5262</v>
      </c>
      <c r="G3" s="1064" t="s">
        <v>5421</v>
      </c>
      <c r="H3" s="1064" t="s">
        <v>5417</v>
      </c>
    </row>
    <row r="4" spans="1:8" ht="12.75" customHeight="1">
      <c r="H4" s="122"/>
    </row>
    <row r="5" spans="1:8" ht="12">
      <c r="A5" s="312" t="s">
        <v>2036</v>
      </c>
      <c r="B5" s="313" t="s">
        <v>2655</v>
      </c>
      <c r="C5" s="730" t="s">
        <v>2656</v>
      </c>
    </row>
    <row r="6" spans="1:8" ht="12">
      <c r="A6" s="32" t="s">
        <v>1517</v>
      </c>
      <c r="B6" s="259" t="s">
        <v>3365</v>
      </c>
      <c r="C6" s="1244">
        <v>4.25</v>
      </c>
    </row>
    <row r="7" spans="1:8" ht="12">
      <c r="A7" s="27" t="s">
        <v>1754</v>
      </c>
      <c r="B7" s="260" t="s">
        <v>548</v>
      </c>
      <c r="C7" s="1245">
        <f>(0.07+0.26)/0.26</f>
        <v>1.2692307692307692</v>
      </c>
    </row>
    <row r="8" spans="1:8" ht="12">
      <c r="A8" s="119" t="s">
        <v>1755</v>
      </c>
      <c r="B8" s="261" t="s">
        <v>548</v>
      </c>
      <c r="C8" s="1246">
        <v>0.1</v>
      </c>
    </row>
  </sheetData>
  <phoneticPr fontId="5" type="noConversion"/>
  <hyperlinks>
    <hyperlink ref="C3" location="fish_capture_yield!A1" tooltip="Go to fish_capture_yield_w" display="fish_capture_yield"/>
    <hyperlink ref="D3" location="fish_group_yield_n!A1" tooltip="Go to fish_group_yield_n" display="fish_group_yield_n"/>
    <hyperlink ref="E3" location="fishmeal_fishes!A1" display="fishmeal_fishes"/>
    <hyperlink ref="F3" location="fish_feed_group_yield_n!A1" display="fish_feed_group_yield_n"/>
    <hyperlink ref="G3" location="fish_feed_group_yield_w!A1" display="fish_feed_group_yield_w"/>
    <hyperlink ref="H3" location="fish_group_yield_w!A1" display="fish_group_yield_w"/>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enableFormatConditionsCalculation="0">
    <tabColor rgb="FF0000FF"/>
  </sheetPr>
  <dimension ref="A1:F489"/>
  <sheetViews>
    <sheetView workbookViewId="0">
      <selection activeCell="A65536" sqref="A65536"/>
    </sheetView>
  </sheetViews>
  <sheetFormatPr baseColWidth="10" defaultColWidth="9.1640625" defaultRowHeight="12" x14ac:dyDescent="0"/>
  <cols>
    <col min="1" max="1" width="48.33203125" style="921" customWidth="1"/>
    <col min="2" max="2" width="21.5" style="921" customWidth="1"/>
    <col min="3" max="3" width="24.6640625" style="921" customWidth="1"/>
    <col min="4" max="4" width="18.1640625" style="921" customWidth="1"/>
    <col min="5" max="5" width="16.1640625" style="921" customWidth="1"/>
    <col min="6" max="6" width="24.5" style="921" customWidth="1"/>
    <col min="7" max="16384" width="9.1640625" style="921"/>
  </cols>
  <sheetData>
    <row r="1" spans="1:6" s="601" customFormat="1" ht="12.75" customHeight="1">
      <c r="A1" s="53"/>
      <c r="B1" s="185"/>
      <c r="C1" s="185"/>
      <c r="D1" s="185"/>
      <c r="E1" s="185"/>
      <c r="F1" s="185"/>
    </row>
    <row r="2" spans="1:6" s="601" customFormat="1" ht="12.75" customHeight="1">
      <c r="A2" s="53"/>
      <c r="B2" s="54" t="s">
        <v>1005</v>
      </c>
      <c r="C2" s="184" t="s">
        <v>1813</v>
      </c>
      <c r="D2" s="185"/>
      <c r="E2" s="185"/>
      <c r="F2" s="185"/>
    </row>
    <row r="3" spans="1:6" s="601" customFormat="1" ht="12.75" customHeight="1">
      <c r="A3" s="53"/>
      <c r="B3" s="54" t="s">
        <v>1006</v>
      </c>
      <c r="C3" s="1064" t="s">
        <v>5419</v>
      </c>
      <c r="D3" s="185"/>
      <c r="E3" s="185"/>
      <c r="F3" s="185"/>
    </row>
    <row r="4" spans="1:6" s="601" customFormat="1" ht="12.75" customHeight="1">
      <c r="A4" s="53"/>
      <c r="B4" s="53"/>
      <c r="C4" s="53"/>
      <c r="D4" s="53"/>
      <c r="E4" s="53"/>
      <c r="F4" s="53"/>
    </row>
    <row r="5" spans="1:6">
      <c r="A5" s="314" t="s">
        <v>4140</v>
      </c>
      <c r="B5" s="315" t="s">
        <v>6180</v>
      </c>
      <c r="C5" s="303" t="s">
        <v>103</v>
      </c>
      <c r="D5" s="303" t="s">
        <v>6181</v>
      </c>
      <c r="E5" s="303" t="s">
        <v>6182</v>
      </c>
      <c r="F5" s="305" t="s">
        <v>6183</v>
      </c>
    </row>
    <row r="6" spans="1:6">
      <c r="A6" s="484"/>
      <c r="B6" s="424"/>
      <c r="C6" s="479"/>
      <c r="D6" s="479"/>
      <c r="E6" s="738"/>
      <c r="F6" s="480"/>
    </row>
    <row r="7" spans="1:6">
      <c r="A7" s="740" t="s">
        <v>2942</v>
      </c>
      <c r="B7" s="740" t="s">
        <v>2429</v>
      </c>
      <c r="C7" s="741" t="s">
        <v>1806</v>
      </c>
      <c r="D7" s="1370">
        <v>0.23903099999999999</v>
      </c>
      <c r="E7" s="1370">
        <v>6.0399499999999995E-2</v>
      </c>
      <c r="F7" s="1371">
        <v>0.90596949999999998</v>
      </c>
    </row>
    <row r="8" spans="1:6">
      <c r="A8" s="557" t="s">
        <v>3021</v>
      </c>
      <c r="B8" s="557" t="s">
        <v>2429</v>
      </c>
      <c r="C8" s="558" t="s">
        <v>1804</v>
      </c>
      <c r="D8" s="1372">
        <v>0.23903099999999999</v>
      </c>
      <c r="E8" s="1372">
        <v>6.0399499999999995E-2</v>
      </c>
      <c r="F8" s="1373">
        <v>0.90596949999999998</v>
      </c>
    </row>
    <row r="9" spans="1:6">
      <c r="A9" s="557" t="s">
        <v>4141</v>
      </c>
      <c r="B9" s="557" t="s">
        <v>2429</v>
      </c>
      <c r="C9" s="558" t="s">
        <v>1806</v>
      </c>
      <c r="D9" s="1372">
        <v>0.23903099999999999</v>
      </c>
      <c r="E9" s="1372">
        <v>6.0399499999999995E-2</v>
      </c>
      <c r="F9" s="1373">
        <v>0.90596949999999998</v>
      </c>
    </row>
    <row r="10" spans="1:6">
      <c r="A10" s="557" t="s">
        <v>4142</v>
      </c>
      <c r="B10" s="557" t="s">
        <v>2429</v>
      </c>
      <c r="C10" s="558" t="s">
        <v>1806</v>
      </c>
      <c r="D10" s="1372">
        <v>0.23903099999999999</v>
      </c>
      <c r="E10" s="1372">
        <v>6.0399499999999995E-2</v>
      </c>
      <c r="F10" s="1373">
        <v>0.90596949999999998</v>
      </c>
    </row>
    <row r="11" spans="1:6">
      <c r="A11" s="557" t="s">
        <v>4143</v>
      </c>
      <c r="B11" s="557" t="s">
        <v>5127</v>
      </c>
      <c r="C11" s="558" t="s">
        <v>1806</v>
      </c>
      <c r="D11" s="1372">
        <v>8.6399999999999991E-2</v>
      </c>
      <c r="E11" s="1372">
        <v>1.8360000000000001E-2</v>
      </c>
      <c r="F11" s="1373">
        <v>0.97524</v>
      </c>
    </row>
    <row r="12" spans="1:6">
      <c r="A12" s="557" t="s">
        <v>1553</v>
      </c>
      <c r="B12" s="557" t="s">
        <v>6184</v>
      </c>
      <c r="C12" s="558" t="s">
        <v>2441</v>
      </c>
      <c r="D12" s="1372">
        <v>0.28458</v>
      </c>
      <c r="E12" s="1372">
        <v>3.1620000000000002E-2</v>
      </c>
      <c r="F12" s="1373">
        <v>1.2648000000000001</v>
      </c>
    </row>
    <row r="13" spans="1:6">
      <c r="A13" s="557" t="s">
        <v>4144</v>
      </c>
      <c r="B13" s="557" t="s">
        <v>2429</v>
      </c>
      <c r="C13" s="558" t="s">
        <v>1806</v>
      </c>
      <c r="D13" s="1372">
        <v>0.23903099999999999</v>
      </c>
      <c r="E13" s="1372">
        <v>6.0399499999999995E-2</v>
      </c>
      <c r="F13" s="1373">
        <v>0.90596949999999998</v>
      </c>
    </row>
    <row r="14" spans="1:6">
      <c r="A14" s="557" t="s">
        <v>5017</v>
      </c>
      <c r="B14" s="557" t="s">
        <v>2429</v>
      </c>
      <c r="C14" s="558" t="s">
        <v>1806</v>
      </c>
      <c r="D14" s="1372">
        <v>0.23903099999999999</v>
      </c>
      <c r="E14" s="1372">
        <v>6.0399499999999995E-2</v>
      </c>
      <c r="F14" s="1373">
        <v>0.90596949999999998</v>
      </c>
    </row>
    <row r="15" spans="1:6">
      <c r="A15" s="557" t="s">
        <v>4145</v>
      </c>
      <c r="B15" s="557" t="s">
        <v>2429</v>
      </c>
      <c r="C15" s="558" t="s">
        <v>2429</v>
      </c>
      <c r="D15" s="1372">
        <v>0.23903099999999999</v>
      </c>
      <c r="E15" s="1372">
        <v>6.0399499999999995E-2</v>
      </c>
      <c r="F15" s="1373">
        <v>0.90596949999999998</v>
      </c>
    </row>
    <row r="16" spans="1:6">
      <c r="A16" s="557" t="s">
        <v>1390</v>
      </c>
      <c r="B16" s="557" t="s">
        <v>2429</v>
      </c>
      <c r="C16" s="558" t="s">
        <v>2435</v>
      </c>
      <c r="D16" s="1372">
        <v>0.23903099999999999</v>
      </c>
      <c r="E16" s="1372">
        <v>6.0399499999999995E-2</v>
      </c>
      <c r="F16" s="1373">
        <v>0.90596949999999998</v>
      </c>
    </row>
    <row r="17" spans="1:6">
      <c r="A17" s="557" t="s">
        <v>3838</v>
      </c>
      <c r="B17" s="557" t="s">
        <v>6185</v>
      </c>
      <c r="C17" s="558" t="s">
        <v>3928</v>
      </c>
      <c r="D17" s="1372">
        <v>0.71249999999999991</v>
      </c>
      <c r="E17" s="1372">
        <v>7.1250000000000008E-2</v>
      </c>
      <c r="F17" s="1373">
        <v>0.64124999999999988</v>
      </c>
    </row>
    <row r="18" spans="1:6">
      <c r="A18" s="557" t="s">
        <v>4802</v>
      </c>
      <c r="B18" s="557" t="s">
        <v>2429</v>
      </c>
      <c r="C18" s="558" t="s">
        <v>1806</v>
      </c>
      <c r="D18" s="1372">
        <v>0.23903099999999999</v>
      </c>
      <c r="E18" s="1372">
        <v>6.0399499999999995E-2</v>
      </c>
      <c r="F18" s="1373">
        <v>0.90596949999999998</v>
      </c>
    </row>
    <row r="19" spans="1:6">
      <c r="A19" s="557" t="s">
        <v>5126</v>
      </c>
      <c r="B19" s="557" t="s">
        <v>5127</v>
      </c>
      <c r="C19" s="558" t="s">
        <v>5127</v>
      </c>
      <c r="D19" s="1372">
        <v>8.6399999999999991E-2</v>
      </c>
      <c r="E19" s="1372">
        <v>1.8360000000000001E-2</v>
      </c>
      <c r="F19" s="1373">
        <v>0.97524</v>
      </c>
    </row>
    <row r="20" spans="1:6">
      <c r="A20" s="557" t="s">
        <v>3288</v>
      </c>
      <c r="B20" s="557" t="s">
        <v>2429</v>
      </c>
      <c r="C20" s="558" t="s">
        <v>1804</v>
      </c>
      <c r="D20" s="1372">
        <v>0.23903099999999999</v>
      </c>
      <c r="E20" s="1372">
        <v>6.0399499999999995E-2</v>
      </c>
      <c r="F20" s="1373">
        <v>0.90596949999999998</v>
      </c>
    </row>
    <row r="21" spans="1:6">
      <c r="A21" s="557" t="s">
        <v>3061</v>
      </c>
      <c r="B21" s="557" t="s">
        <v>2429</v>
      </c>
      <c r="C21" s="558" t="s">
        <v>1806</v>
      </c>
      <c r="D21" s="1372">
        <v>0.23903099999999999</v>
      </c>
      <c r="E21" s="1372">
        <v>6.0399499999999995E-2</v>
      </c>
      <c r="F21" s="1373">
        <v>0.90596949999999998</v>
      </c>
    </row>
    <row r="22" spans="1:6">
      <c r="A22" s="557" t="s">
        <v>3429</v>
      </c>
      <c r="B22" s="557" t="s">
        <v>2429</v>
      </c>
      <c r="C22" s="558" t="s">
        <v>1806</v>
      </c>
      <c r="D22" s="1372">
        <v>0.23903099999999999</v>
      </c>
      <c r="E22" s="1372">
        <v>6.0399499999999995E-2</v>
      </c>
      <c r="F22" s="1373">
        <v>0.90596949999999998</v>
      </c>
    </row>
    <row r="23" spans="1:6">
      <c r="A23" s="557" t="s">
        <v>495</v>
      </c>
      <c r="B23" s="557" t="s">
        <v>2429</v>
      </c>
      <c r="C23" s="558" t="s">
        <v>1806</v>
      </c>
      <c r="D23" s="1372">
        <v>0.23903099999999999</v>
      </c>
      <c r="E23" s="1372">
        <v>6.0399499999999995E-2</v>
      </c>
      <c r="F23" s="1373">
        <v>0.90596949999999998</v>
      </c>
    </row>
    <row r="24" spans="1:6">
      <c r="A24" s="557" t="s">
        <v>1307</v>
      </c>
      <c r="B24" s="557" t="s">
        <v>2429</v>
      </c>
      <c r="C24" s="558" t="s">
        <v>1806</v>
      </c>
      <c r="D24" s="1372">
        <v>0.23903099999999999</v>
      </c>
      <c r="E24" s="1372">
        <v>6.0399499999999995E-2</v>
      </c>
      <c r="F24" s="1373">
        <v>0.90596949999999998</v>
      </c>
    </row>
    <row r="25" spans="1:6">
      <c r="A25" s="557" t="s">
        <v>2769</v>
      </c>
      <c r="B25" s="557" t="s">
        <v>2429</v>
      </c>
      <c r="C25" s="558" t="s">
        <v>1806</v>
      </c>
      <c r="D25" s="1372">
        <v>0.23903099999999999</v>
      </c>
      <c r="E25" s="1372">
        <v>6.0399499999999995E-2</v>
      </c>
      <c r="F25" s="1373">
        <v>0.90596949999999998</v>
      </c>
    </row>
    <row r="26" spans="1:6">
      <c r="A26" s="557" t="s">
        <v>5128</v>
      </c>
      <c r="B26" s="557" t="s">
        <v>2429</v>
      </c>
      <c r="C26" s="558" t="s">
        <v>1806</v>
      </c>
      <c r="D26" s="1372">
        <v>0.23903099999999999</v>
      </c>
      <c r="E26" s="1372">
        <v>6.0399499999999995E-2</v>
      </c>
      <c r="F26" s="1373">
        <v>0.90596949999999998</v>
      </c>
    </row>
    <row r="27" spans="1:6">
      <c r="A27" s="557" t="s">
        <v>5129</v>
      </c>
      <c r="B27" s="557" t="s">
        <v>2429</v>
      </c>
      <c r="C27" s="558" t="s">
        <v>1804</v>
      </c>
      <c r="D27" s="1372">
        <v>0.23903099999999999</v>
      </c>
      <c r="E27" s="1372">
        <v>6.0399499999999995E-2</v>
      </c>
      <c r="F27" s="1373">
        <v>0.90596949999999998</v>
      </c>
    </row>
    <row r="28" spans="1:6">
      <c r="A28" s="557" t="s">
        <v>3908</v>
      </c>
      <c r="B28" s="557" t="s">
        <v>2429</v>
      </c>
      <c r="C28" s="558" t="s">
        <v>1806</v>
      </c>
      <c r="D28" s="1372">
        <v>0.23903099999999999</v>
      </c>
      <c r="E28" s="1372">
        <v>6.0399499999999995E-2</v>
      </c>
      <c r="F28" s="1373">
        <v>0.90596949999999998</v>
      </c>
    </row>
    <row r="29" spans="1:6">
      <c r="A29" s="557" t="s">
        <v>5130</v>
      </c>
      <c r="B29" s="557" t="s">
        <v>6185</v>
      </c>
      <c r="C29" s="558" t="s">
        <v>3928</v>
      </c>
      <c r="D29" s="1372">
        <v>0.71249999999999991</v>
      </c>
      <c r="E29" s="1372">
        <v>7.1250000000000008E-2</v>
      </c>
      <c r="F29" s="1373">
        <v>0.64124999999999988</v>
      </c>
    </row>
    <row r="30" spans="1:6">
      <c r="A30" s="557" t="s">
        <v>3063</v>
      </c>
      <c r="B30" s="557" t="s">
        <v>2429</v>
      </c>
      <c r="C30" s="558" t="s">
        <v>1806</v>
      </c>
      <c r="D30" s="1372">
        <v>0.23903099999999999</v>
      </c>
      <c r="E30" s="1372">
        <v>6.0399499999999995E-2</v>
      </c>
      <c r="F30" s="1373">
        <v>0.90596949999999998</v>
      </c>
    </row>
    <row r="31" spans="1:6">
      <c r="A31" s="557" t="s">
        <v>5131</v>
      </c>
      <c r="B31" s="557" t="s">
        <v>2429</v>
      </c>
      <c r="C31" s="558" t="s">
        <v>1806</v>
      </c>
      <c r="D31" s="1372">
        <v>0.23903099999999999</v>
      </c>
      <c r="E31" s="1372">
        <v>6.0399499999999995E-2</v>
      </c>
      <c r="F31" s="1373">
        <v>0.90596949999999998</v>
      </c>
    </row>
    <row r="32" spans="1:6">
      <c r="A32" s="557" t="s">
        <v>1391</v>
      </c>
      <c r="B32" s="557" t="s">
        <v>2429</v>
      </c>
      <c r="C32" s="558" t="s">
        <v>2969</v>
      </c>
      <c r="D32" s="1372">
        <v>0.23903099999999999</v>
      </c>
      <c r="E32" s="1372">
        <v>6.0399499999999995E-2</v>
      </c>
      <c r="F32" s="1373">
        <v>0.90596949999999998</v>
      </c>
    </row>
    <row r="33" spans="1:6">
      <c r="A33" s="557" t="s">
        <v>1392</v>
      </c>
      <c r="B33" s="557" t="s">
        <v>2429</v>
      </c>
      <c r="C33" s="558" t="s">
        <v>5366</v>
      </c>
      <c r="D33" s="1372">
        <v>0.23903099999999999</v>
      </c>
      <c r="E33" s="1372">
        <v>6.0399499999999995E-2</v>
      </c>
      <c r="F33" s="1373">
        <v>0.90596949999999998</v>
      </c>
    </row>
    <row r="34" spans="1:6">
      <c r="A34" s="557" t="s">
        <v>5132</v>
      </c>
      <c r="B34" s="557" t="s">
        <v>6184</v>
      </c>
      <c r="C34" s="558" t="s">
        <v>2441</v>
      </c>
      <c r="D34" s="1372">
        <v>0.28458</v>
      </c>
      <c r="E34" s="1372">
        <v>3.1620000000000002E-2</v>
      </c>
      <c r="F34" s="1373">
        <v>1.2648000000000001</v>
      </c>
    </row>
    <row r="35" spans="1:6">
      <c r="A35" s="557" t="s">
        <v>1548</v>
      </c>
      <c r="B35" s="557" t="s">
        <v>2429</v>
      </c>
      <c r="C35" s="558" t="s">
        <v>3929</v>
      </c>
      <c r="D35" s="1372">
        <v>0.23903099999999999</v>
      </c>
      <c r="E35" s="1372">
        <v>6.0399499999999995E-2</v>
      </c>
      <c r="F35" s="1373">
        <v>0.90596949999999998</v>
      </c>
    </row>
    <row r="36" spans="1:6">
      <c r="A36" s="557" t="s">
        <v>5632</v>
      </c>
      <c r="B36" s="557" t="s">
        <v>3933</v>
      </c>
      <c r="C36" s="558" t="s">
        <v>3933</v>
      </c>
      <c r="D36" s="1372">
        <v>0.312</v>
      </c>
      <c r="E36" s="1372">
        <v>0.23399999999999999</v>
      </c>
      <c r="F36" s="1373">
        <v>0.75400000000000011</v>
      </c>
    </row>
    <row r="37" spans="1:6">
      <c r="A37" s="557" t="s">
        <v>1549</v>
      </c>
      <c r="B37" s="557" t="s">
        <v>2429</v>
      </c>
      <c r="C37" s="558" t="s">
        <v>1806</v>
      </c>
      <c r="D37" s="1372">
        <v>0.23903099999999999</v>
      </c>
      <c r="E37" s="1372">
        <v>6.0399499999999995E-2</v>
      </c>
      <c r="F37" s="1373">
        <v>0.90596949999999998</v>
      </c>
    </row>
    <row r="38" spans="1:6">
      <c r="A38" s="557" t="s">
        <v>2342</v>
      </c>
      <c r="B38" s="557" t="s">
        <v>2429</v>
      </c>
      <c r="C38" s="558" t="s">
        <v>2433</v>
      </c>
      <c r="D38" s="1372">
        <v>0.23903099999999999</v>
      </c>
      <c r="E38" s="1372">
        <v>6.0399499999999995E-2</v>
      </c>
      <c r="F38" s="1373">
        <v>0.90596949999999998</v>
      </c>
    </row>
    <row r="39" spans="1:6">
      <c r="A39" s="557" t="s">
        <v>3062</v>
      </c>
      <c r="B39" s="557" t="s">
        <v>2429</v>
      </c>
      <c r="C39" s="558" t="s">
        <v>1806</v>
      </c>
      <c r="D39" s="1372">
        <v>0.23903099999999999</v>
      </c>
      <c r="E39" s="1372">
        <v>6.0399499999999995E-2</v>
      </c>
      <c r="F39" s="1373">
        <v>0.90596949999999998</v>
      </c>
    </row>
    <row r="40" spans="1:6">
      <c r="A40" s="557" t="s">
        <v>2643</v>
      </c>
      <c r="B40" s="557" t="s">
        <v>5127</v>
      </c>
      <c r="C40" s="558" t="s">
        <v>1806</v>
      </c>
      <c r="D40" s="1372">
        <v>8.6399999999999991E-2</v>
      </c>
      <c r="E40" s="1372">
        <v>1.8360000000000001E-2</v>
      </c>
      <c r="F40" s="1373">
        <v>0.97524</v>
      </c>
    </row>
    <row r="41" spans="1:6">
      <c r="A41" s="557" t="s">
        <v>5133</v>
      </c>
      <c r="B41" s="557" t="s">
        <v>6184</v>
      </c>
      <c r="C41" s="558" t="s">
        <v>2441</v>
      </c>
      <c r="D41" s="1372">
        <v>0.28458</v>
      </c>
      <c r="E41" s="1372">
        <v>3.1620000000000002E-2</v>
      </c>
      <c r="F41" s="1373">
        <v>1.2648000000000001</v>
      </c>
    </row>
    <row r="42" spans="1:6">
      <c r="A42" s="557" t="s">
        <v>1547</v>
      </c>
      <c r="B42" s="557" t="s">
        <v>6184</v>
      </c>
      <c r="C42" s="558" t="s">
        <v>2441</v>
      </c>
      <c r="D42" s="1372">
        <v>0.28458</v>
      </c>
      <c r="E42" s="1372">
        <v>3.1620000000000002E-2</v>
      </c>
      <c r="F42" s="1373">
        <v>1.2648000000000001</v>
      </c>
    </row>
    <row r="43" spans="1:6">
      <c r="A43" s="557" t="s">
        <v>342</v>
      </c>
      <c r="B43" s="557" t="s">
        <v>2429</v>
      </c>
      <c r="C43" s="558" t="s">
        <v>1804</v>
      </c>
      <c r="D43" s="1372">
        <v>0.23903099999999999</v>
      </c>
      <c r="E43" s="1372">
        <v>6.0399499999999995E-2</v>
      </c>
      <c r="F43" s="1373">
        <v>0.90596949999999998</v>
      </c>
    </row>
    <row r="44" spans="1:6">
      <c r="A44" s="557" t="s">
        <v>2730</v>
      </c>
      <c r="B44" s="557" t="s">
        <v>2429</v>
      </c>
      <c r="C44" s="558" t="s">
        <v>1806</v>
      </c>
      <c r="D44" s="1372">
        <v>0.23903099999999999</v>
      </c>
      <c r="E44" s="1372">
        <v>6.0399499999999995E-2</v>
      </c>
      <c r="F44" s="1373">
        <v>0.90596949999999998</v>
      </c>
    </row>
    <row r="45" spans="1:6">
      <c r="A45" s="557" t="s">
        <v>5633</v>
      </c>
      <c r="B45" s="557" t="s">
        <v>2429</v>
      </c>
      <c r="C45" s="558" t="s">
        <v>1806</v>
      </c>
      <c r="D45" s="1372">
        <v>0.23903099999999999</v>
      </c>
      <c r="E45" s="1372">
        <v>6.0399499999999995E-2</v>
      </c>
      <c r="F45" s="1373">
        <v>0.90596949999999998</v>
      </c>
    </row>
    <row r="46" spans="1:6">
      <c r="A46" s="557" t="s">
        <v>5134</v>
      </c>
      <c r="B46" s="557" t="s">
        <v>2429</v>
      </c>
      <c r="C46" s="558" t="s">
        <v>1806</v>
      </c>
      <c r="D46" s="1372">
        <v>0.23903099999999999</v>
      </c>
      <c r="E46" s="1372">
        <v>6.0399499999999995E-2</v>
      </c>
      <c r="F46" s="1373">
        <v>0.90596949999999998</v>
      </c>
    </row>
    <row r="47" spans="1:6">
      <c r="A47" s="557" t="s">
        <v>2867</v>
      </c>
      <c r="B47" s="557" t="s">
        <v>2429</v>
      </c>
      <c r="C47" s="558" t="s">
        <v>1806</v>
      </c>
      <c r="D47" s="1372">
        <v>0.23903099999999999</v>
      </c>
      <c r="E47" s="1372">
        <v>6.0399499999999995E-2</v>
      </c>
      <c r="F47" s="1373">
        <v>0.90596949999999998</v>
      </c>
    </row>
    <row r="48" spans="1:6">
      <c r="A48" s="557" t="s">
        <v>5135</v>
      </c>
      <c r="B48" s="557" t="s">
        <v>2429</v>
      </c>
      <c r="C48" s="558" t="s">
        <v>1806</v>
      </c>
      <c r="D48" s="1372">
        <v>0.23903099999999999</v>
      </c>
      <c r="E48" s="1372">
        <v>6.0399499999999995E-2</v>
      </c>
      <c r="F48" s="1373">
        <v>0.90596949999999998</v>
      </c>
    </row>
    <row r="49" spans="1:6">
      <c r="A49" s="557" t="s">
        <v>5136</v>
      </c>
      <c r="B49" s="557" t="s">
        <v>2429</v>
      </c>
      <c r="C49" s="558" t="s">
        <v>1804</v>
      </c>
      <c r="D49" s="1372">
        <v>0.23903099999999999</v>
      </c>
      <c r="E49" s="1372">
        <v>6.0399499999999995E-2</v>
      </c>
      <c r="F49" s="1373">
        <v>0.90596949999999998</v>
      </c>
    </row>
    <row r="50" spans="1:6">
      <c r="A50" s="557" t="s">
        <v>4586</v>
      </c>
      <c r="B50" s="557" t="s">
        <v>2429</v>
      </c>
      <c r="C50" s="558" t="s">
        <v>1806</v>
      </c>
      <c r="D50" s="1372">
        <v>0.23903099999999999</v>
      </c>
      <c r="E50" s="1372">
        <v>6.0399499999999995E-2</v>
      </c>
      <c r="F50" s="1373">
        <v>0.90596949999999998</v>
      </c>
    </row>
    <row r="51" spans="1:6">
      <c r="A51" s="557" t="s">
        <v>1308</v>
      </c>
      <c r="B51" s="557" t="s">
        <v>5365</v>
      </c>
      <c r="C51" s="558" t="s">
        <v>5365</v>
      </c>
      <c r="D51" s="1372">
        <v>3.9949999999999999E-2</v>
      </c>
      <c r="E51" s="1372">
        <v>0</v>
      </c>
      <c r="F51" s="1373">
        <v>0.75905</v>
      </c>
    </row>
    <row r="52" spans="1:6">
      <c r="A52" s="557" t="s">
        <v>5137</v>
      </c>
      <c r="B52" s="557" t="s">
        <v>2429</v>
      </c>
      <c r="C52" s="558" t="s">
        <v>1806</v>
      </c>
      <c r="D52" s="1372">
        <v>0.23903099999999999</v>
      </c>
      <c r="E52" s="1372">
        <v>6.0399499999999995E-2</v>
      </c>
      <c r="F52" s="1373">
        <v>0.90596949999999998</v>
      </c>
    </row>
    <row r="53" spans="1:6">
      <c r="A53" s="557" t="s">
        <v>3430</v>
      </c>
      <c r="B53" s="557" t="s">
        <v>5365</v>
      </c>
      <c r="C53" s="558" t="s">
        <v>5365</v>
      </c>
      <c r="D53" s="1372">
        <v>3.9949999999999999E-2</v>
      </c>
      <c r="E53" s="1372">
        <v>0</v>
      </c>
      <c r="F53" s="1373">
        <v>0.75905</v>
      </c>
    </row>
    <row r="54" spans="1:6">
      <c r="A54" s="557" t="s">
        <v>1784</v>
      </c>
      <c r="B54" s="557" t="s">
        <v>5127</v>
      </c>
      <c r="C54" s="558" t="s">
        <v>1806</v>
      </c>
      <c r="D54" s="1372">
        <v>8.6399999999999991E-2</v>
      </c>
      <c r="E54" s="1372">
        <v>1.8360000000000001E-2</v>
      </c>
      <c r="F54" s="1373">
        <v>0.97524</v>
      </c>
    </row>
    <row r="55" spans="1:6">
      <c r="A55" s="557" t="s">
        <v>4931</v>
      </c>
      <c r="B55" s="557" t="s">
        <v>2429</v>
      </c>
      <c r="C55" s="558" t="s">
        <v>2438</v>
      </c>
      <c r="D55" s="1372">
        <v>0.23903099999999999</v>
      </c>
      <c r="E55" s="1372">
        <v>6.0399499999999995E-2</v>
      </c>
      <c r="F55" s="1373">
        <v>0.90596949999999998</v>
      </c>
    </row>
    <row r="56" spans="1:6">
      <c r="A56" s="557" t="s">
        <v>5138</v>
      </c>
      <c r="B56" s="557" t="s">
        <v>2429</v>
      </c>
      <c r="C56" s="558" t="s">
        <v>1806</v>
      </c>
      <c r="D56" s="1372">
        <v>0.23903099999999999</v>
      </c>
      <c r="E56" s="1372">
        <v>6.0399499999999995E-2</v>
      </c>
      <c r="F56" s="1373">
        <v>0.90596949999999998</v>
      </c>
    </row>
    <row r="57" spans="1:6">
      <c r="A57" s="557" t="s">
        <v>5139</v>
      </c>
      <c r="B57" s="557" t="s">
        <v>5140</v>
      </c>
      <c r="C57" s="558" t="s">
        <v>5140</v>
      </c>
      <c r="D57" s="1372">
        <v>6.9699999999999998E-2</v>
      </c>
      <c r="E57" s="1372">
        <v>0</v>
      </c>
      <c r="F57" s="1373">
        <v>1.3242999999999998</v>
      </c>
    </row>
    <row r="58" spans="1:6">
      <c r="A58" s="557" t="s">
        <v>4470</v>
      </c>
      <c r="B58" s="557" t="s">
        <v>2429</v>
      </c>
      <c r="C58" s="558" t="s">
        <v>1806</v>
      </c>
      <c r="D58" s="1372">
        <v>0.23903099999999999</v>
      </c>
      <c r="E58" s="1372">
        <v>6.0399499999999995E-2</v>
      </c>
      <c r="F58" s="1373">
        <v>0.90596949999999998</v>
      </c>
    </row>
    <row r="59" spans="1:6">
      <c r="A59" s="557" t="s">
        <v>5055</v>
      </c>
      <c r="B59" s="557" t="s">
        <v>2429</v>
      </c>
      <c r="C59" s="558" t="s">
        <v>1806</v>
      </c>
      <c r="D59" s="1372">
        <v>0.23903099999999999</v>
      </c>
      <c r="E59" s="1372">
        <v>6.0399499999999995E-2</v>
      </c>
      <c r="F59" s="1373">
        <v>0.90596949999999998</v>
      </c>
    </row>
    <row r="60" spans="1:6">
      <c r="A60" s="557" t="s">
        <v>1336</v>
      </c>
      <c r="B60" s="557" t="s">
        <v>2429</v>
      </c>
      <c r="C60" s="558" t="s">
        <v>1806</v>
      </c>
      <c r="D60" s="1372">
        <v>0.23903099999999999</v>
      </c>
      <c r="E60" s="1372">
        <v>6.0399499999999995E-2</v>
      </c>
      <c r="F60" s="1373">
        <v>0.90596949999999998</v>
      </c>
    </row>
    <row r="61" spans="1:6">
      <c r="A61" s="557" t="s">
        <v>4305</v>
      </c>
      <c r="B61" s="557" t="s">
        <v>2429</v>
      </c>
      <c r="C61" s="558" t="s">
        <v>1806</v>
      </c>
      <c r="D61" s="1372">
        <v>0.23903099999999999</v>
      </c>
      <c r="E61" s="1372">
        <v>6.0399499999999995E-2</v>
      </c>
      <c r="F61" s="1373">
        <v>0.90596949999999998</v>
      </c>
    </row>
    <row r="62" spans="1:6">
      <c r="A62" s="557" t="s">
        <v>5018</v>
      </c>
      <c r="B62" s="557" t="s">
        <v>2429</v>
      </c>
      <c r="C62" s="558" t="s">
        <v>1804</v>
      </c>
      <c r="D62" s="1372">
        <v>0.23903099999999999</v>
      </c>
      <c r="E62" s="1372">
        <v>6.0399499999999995E-2</v>
      </c>
      <c r="F62" s="1373">
        <v>0.90596949999999998</v>
      </c>
    </row>
    <row r="63" spans="1:6">
      <c r="A63" s="557" t="s">
        <v>4803</v>
      </c>
      <c r="B63" s="557" t="s">
        <v>2429</v>
      </c>
      <c r="C63" s="558" t="s">
        <v>2430</v>
      </c>
      <c r="D63" s="1372">
        <v>0.23903099999999999</v>
      </c>
      <c r="E63" s="1372">
        <v>6.0399499999999995E-2</v>
      </c>
      <c r="F63" s="1373">
        <v>0.90596949999999998</v>
      </c>
    </row>
    <row r="64" spans="1:6">
      <c r="A64" s="557" t="s">
        <v>3543</v>
      </c>
      <c r="B64" s="557" t="s">
        <v>2429</v>
      </c>
      <c r="C64" s="558" t="s">
        <v>2433</v>
      </c>
      <c r="D64" s="1372">
        <v>0.23903099999999999</v>
      </c>
      <c r="E64" s="1372">
        <v>6.0399499999999995E-2</v>
      </c>
      <c r="F64" s="1373">
        <v>0.90596949999999998</v>
      </c>
    </row>
    <row r="65" spans="1:6">
      <c r="A65" s="557" t="s">
        <v>1644</v>
      </c>
      <c r="B65" s="557" t="s">
        <v>6184</v>
      </c>
      <c r="C65" s="558" t="s">
        <v>2441</v>
      </c>
      <c r="D65" s="1372">
        <v>0.28458</v>
      </c>
      <c r="E65" s="1372">
        <v>3.1620000000000002E-2</v>
      </c>
      <c r="F65" s="1373">
        <v>1.2648000000000001</v>
      </c>
    </row>
    <row r="66" spans="1:6">
      <c r="A66" s="557" t="s">
        <v>24</v>
      </c>
      <c r="B66" s="557" t="s">
        <v>2429</v>
      </c>
      <c r="C66" s="558" t="s">
        <v>2430</v>
      </c>
      <c r="D66" s="1372">
        <v>0.23903099999999999</v>
      </c>
      <c r="E66" s="1372">
        <v>6.0399499999999995E-2</v>
      </c>
      <c r="F66" s="1373">
        <v>0.90596949999999998</v>
      </c>
    </row>
    <row r="67" spans="1:6">
      <c r="A67" s="557" t="s">
        <v>682</v>
      </c>
      <c r="B67" s="557" t="s">
        <v>5140</v>
      </c>
      <c r="C67" s="558" t="s">
        <v>1806</v>
      </c>
      <c r="D67" s="1372">
        <v>6.9699999999999998E-2</v>
      </c>
      <c r="E67" s="1372">
        <v>0</v>
      </c>
      <c r="F67" s="1373">
        <v>1.3242999999999998</v>
      </c>
    </row>
    <row r="68" spans="1:6">
      <c r="A68" s="557" t="s">
        <v>3987</v>
      </c>
      <c r="B68" s="557" t="s">
        <v>2429</v>
      </c>
      <c r="C68" s="558" t="s">
        <v>1806</v>
      </c>
      <c r="D68" s="1372">
        <v>0.23903099999999999</v>
      </c>
      <c r="E68" s="1372">
        <v>6.0399499999999995E-2</v>
      </c>
      <c r="F68" s="1373">
        <v>0.90596949999999998</v>
      </c>
    </row>
    <row r="69" spans="1:6">
      <c r="A69" s="557" t="s">
        <v>5141</v>
      </c>
      <c r="B69" s="557" t="s">
        <v>2429</v>
      </c>
      <c r="C69" s="558" t="s">
        <v>1806</v>
      </c>
      <c r="D69" s="1372">
        <v>0.23903099999999999</v>
      </c>
      <c r="E69" s="1372">
        <v>6.0399499999999995E-2</v>
      </c>
      <c r="F69" s="1373">
        <v>0.90596949999999998</v>
      </c>
    </row>
    <row r="70" spans="1:6">
      <c r="A70" s="557" t="s">
        <v>3608</v>
      </c>
      <c r="B70" s="557" t="s">
        <v>2429</v>
      </c>
      <c r="C70" s="558" t="s">
        <v>1806</v>
      </c>
      <c r="D70" s="1372">
        <v>0.23903099999999999</v>
      </c>
      <c r="E70" s="1372">
        <v>6.0399499999999995E-2</v>
      </c>
      <c r="F70" s="1373">
        <v>0.90596949999999998</v>
      </c>
    </row>
    <row r="71" spans="1:6">
      <c r="A71" s="557" t="s">
        <v>2678</v>
      </c>
      <c r="B71" s="557" t="s">
        <v>2429</v>
      </c>
      <c r="C71" s="558" t="s">
        <v>1806</v>
      </c>
      <c r="D71" s="1372">
        <v>0.23903099999999999</v>
      </c>
      <c r="E71" s="1372">
        <v>6.0399499999999995E-2</v>
      </c>
      <c r="F71" s="1373">
        <v>0.90596949999999998</v>
      </c>
    </row>
    <row r="72" spans="1:6">
      <c r="A72" s="557" t="s">
        <v>5142</v>
      </c>
      <c r="B72" s="557" t="s">
        <v>2429</v>
      </c>
      <c r="C72" s="558" t="s">
        <v>1808</v>
      </c>
      <c r="D72" s="1372">
        <v>0.23903099999999999</v>
      </c>
      <c r="E72" s="1372">
        <v>6.0399499999999995E-2</v>
      </c>
      <c r="F72" s="1373">
        <v>0.90596949999999998</v>
      </c>
    </row>
    <row r="73" spans="1:6">
      <c r="A73" s="557" t="s">
        <v>743</v>
      </c>
      <c r="B73" s="557" t="s">
        <v>2429</v>
      </c>
      <c r="C73" s="558" t="s">
        <v>1806</v>
      </c>
      <c r="D73" s="1372">
        <v>0.23903099999999999</v>
      </c>
      <c r="E73" s="1372">
        <v>6.0399499999999995E-2</v>
      </c>
      <c r="F73" s="1373">
        <v>0.90596949999999998</v>
      </c>
    </row>
    <row r="74" spans="1:6">
      <c r="A74" s="557" t="s">
        <v>5056</v>
      </c>
      <c r="B74" s="557" t="s">
        <v>6184</v>
      </c>
      <c r="C74" s="558" t="s">
        <v>2441</v>
      </c>
      <c r="D74" s="1372">
        <v>0.28458</v>
      </c>
      <c r="E74" s="1372">
        <v>3.1620000000000002E-2</v>
      </c>
      <c r="F74" s="1373">
        <v>1.2648000000000001</v>
      </c>
    </row>
    <row r="75" spans="1:6">
      <c r="A75" s="557" t="s">
        <v>5143</v>
      </c>
      <c r="B75" s="557" t="s">
        <v>6184</v>
      </c>
      <c r="C75" s="558" t="s">
        <v>2441</v>
      </c>
      <c r="D75" s="1372">
        <v>0.28458</v>
      </c>
      <c r="E75" s="1372">
        <v>3.1620000000000002E-2</v>
      </c>
      <c r="F75" s="1373">
        <v>1.2648000000000001</v>
      </c>
    </row>
    <row r="76" spans="1:6">
      <c r="A76" s="557" t="s">
        <v>4158</v>
      </c>
      <c r="B76" s="557" t="s">
        <v>2442</v>
      </c>
      <c r="C76" s="558" t="s">
        <v>2442</v>
      </c>
      <c r="D76" s="1372">
        <v>0.312</v>
      </c>
      <c r="E76" s="1372">
        <v>0.13</v>
      </c>
      <c r="F76" s="1373">
        <v>0.8580000000000001</v>
      </c>
    </row>
    <row r="77" spans="1:6">
      <c r="A77" s="557" t="s">
        <v>1514</v>
      </c>
      <c r="B77" s="557" t="s">
        <v>2429</v>
      </c>
      <c r="C77" s="558" t="s">
        <v>1806</v>
      </c>
      <c r="D77" s="1372">
        <v>0.23903099999999999</v>
      </c>
      <c r="E77" s="1372">
        <v>6.0399499999999995E-2</v>
      </c>
      <c r="F77" s="1373">
        <v>0.90596949999999998</v>
      </c>
    </row>
    <row r="78" spans="1:6">
      <c r="A78" s="557" t="s">
        <v>5144</v>
      </c>
      <c r="B78" s="557" t="s">
        <v>6184</v>
      </c>
      <c r="C78" s="558" t="s">
        <v>2441</v>
      </c>
      <c r="D78" s="1372">
        <v>0.28458</v>
      </c>
      <c r="E78" s="1372">
        <v>3.1620000000000002E-2</v>
      </c>
      <c r="F78" s="1373">
        <v>1.2648000000000001</v>
      </c>
    </row>
    <row r="79" spans="1:6">
      <c r="A79" s="557" t="s">
        <v>749</v>
      </c>
      <c r="B79" s="557" t="s">
        <v>2429</v>
      </c>
      <c r="C79" s="558" t="s">
        <v>1806</v>
      </c>
      <c r="D79" s="1372">
        <v>0.23903099999999999</v>
      </c>
      <c r="E79" s="1372">
        <v>6.0399499999999995E-2</v>
      </c>
      <c r="F79" s="1373">
        <v>0.90596949999999998</v>
      </c>
    </row>
    <row r="80" spans="1:6">
      <c r="A80" s="557" t="s">
        <v>5145</v>
      </c>
      <c r="B80" s="557" t="s">
        <v>2429</v>
      </c>
      <c r="C80" s="558" t="s">
        <v>1806</v>
      </c>
      <c r="D80" s="1372">
        <v>0.23903099999999999</v>
      </c>
      <c r="E80" s="1372">
        <v>6.0399499999999995E-2</v>
      </c>
      <c r="F80" s="1373">
        <v>0.90596949999999998</v>
      </c>
    </row>
    <row r="81" spans="1:6">
      <c r="A81" s="557" t="s">
        <v>2640</v>
      </c>
      <c r="B81" s="557" t="s">
        <v>2429</v>
      </c>
      <c r="C81" s="558" t="s">
        <v>1806</v>
      </c>
      <c r="D81" s="1372">
        <v>0.23903099999999999</v>
      </c>
      <c r="E81" s="1372">
        <v>6.0399499999999995E-2</v>
      </c>
      <c r="F81" s="1373">
        <v>0.90596949999999998</v>
      </c>
    </row>
    <row r="82" spans="1:6">
      <c r="A82" s="557" t="s">
        <v>1665</v>
      </c>
      <c r="B82" s="557" t="s">
        <v>2429</v>
      </c>
      <c r="C82" s="558" t="s">
        <v>1804</v>
      </c>
      <c r="D82" s="1372">
        <v>0.23903099999999999</v>
      </c>
      <c r="E82" s="1372">
        <v>6.0399499999999995E-2</v>
      </c>
      <c r="F82" s="1373">
        <v>0.90596949999999998</v>
      </c>
    </row>
    <row r="83" spans="1:6">
      <c r="A83" s="557" t="s">
        <v>2381</v>
      </c>
      <c r="B83" s="557" t="s">
        <v>2429</v>
      </c>
      <c r="C83" s="558" t="s">
        <v>1806</v>
      </c>
      <c r="D83" s="1372">
        <v>0.23903099999999999</v>
      </c>
      <c r="E83" s="1372">
        <v>6.0399499999999995E-2</v>
      </c>
      <c r="F83" s="1373">
        <v>0.90596949999999998</v>
      </c>
    </row>
    <row r="84" spans="1:6">
      <c r="A84" s="557" t="s">
        <v>4495</v>
      </c>
      <c r="B84" s="557" t="s">
        <v>6184</v>
      </c>
      <c r="C84" s="558" t="s">
        <v>2441</v>
      </c>
      <c r="D84" s="1372">
        <v>0.28458</v>
      </c>
      <c r="E84" s="1372">
        <v>3.1620000000000002E-2</v>
      </c>
      <c r="F84" s="1373">
        <v>1.2648000000000001</v>
      </c>
    </row>
    <row r="85" spans="1:6">
      <c r="A85" s="557" t="s">
        <v>4169</v>
      </c>
      <c r="B85" s="557" t="s">
        <v>2429</v>
      </c>
      <c r="C85" s="558" t="s">
        <v>1806</v>
      </c>
      <c r="D85" s="1372">
        <v>0.23903099999999999</v>
      </c>
      <c r="E85" s="1372">
        <v>6.0399499999999995E-2</v>
      </c>
      <c r="F85" s="1373">
        <v>0.90596949999999998</v>
      </c>
    </row>
    <row r="86" spans="1:6">
      <c r="A86" s="557" t="s">
        <v>4170</v>
      </c>
      <c r="B86" s="557" t="s">
        <v>5127</v>
      </c>
      <c r="C86" s="558" t="s">
        <v>1806</v>
      </c>
      <c r="D86" s="1372">
        <v>8.6399999999999991E-2</v>
      </c>
      <c r="E86" s="1372">
        <v>1.8360000000000001E-2</v>
      </c>
      <c r="F86" s="1373">
        <v>0.97524</v>
      </c>
    </row>
    <row r="87" spans="1:6">
      <c r="A87" s="557" t="s">
        <v>1309</v>
      </c>
      <c r="B87" s="557" t="s">
        <v>5127</v>
      </c>
      <c r="C87" s="558" t="s">
        <v>5127</v>
      </c>
      <c r="D87" s="1372">
        <v>8.6399999999999991E-2</v>
      </c>
      <c r="E87" s="1372">
        <v>1.8360000000000001E-2</v>
      </c>
      <c r="F87" s="1373">
        <v>0.97524</v>
      </c>
    </row>
    <row r="88" spans="1:6">
      <c r="A88" s="557" t="s">
        <v>4171</v>
      </c>
      <c r="B88" s="557" t="s">
        <v>2429</v>
      </c>
      <c r="C88" s="558" t="s">
        <v>1806</v>
      </c>
      <c r="D88" s="1372">
        <v>0.23903099999999999</v>
      </c>
      <c r="E88" s="1372">
        <v>6.0399499999999995E-2</v>
      </c>
      <c r="F88" s="1373">
        <v>0.90596949999999998</v>
      </c>
    </row>
    <row r="89" spans="1:6">
      <c r="A89" s="557" t="s">
        <v>6186</v>
      </c>
      <c r="B89" s="557" t="s">
        <v>2429</v>
      </c>
      <c r="C89" s="558" t="s">
        <v>1808</v>
      </c>
      <c r="D89" s="1372">
        <v>0.23903099999999999</v>
      </c>
      <c r="E89" s="1372">
        <v>6.0399499999999995E-2</v>
      </c>
      <c r="F89" s="1373">
        <v>0.90596949999999998</v>
      </c>
    </row>
    <row r="90" spans="1:6">
      <c r="A90" s="557" t="s">
        <v>2383</v>
      </c>
      <c r="B90" s="557" t="s">
        <v>5127</v>
      </c>
      <c r="C90" s="558" t="s">
        <v>1806</v>
      </c>
      <c r="D90" s="1372">
        <v>8.6399999999999991E-2</v>
      </c>
      <c r="E90" s="1372">
        <v>1.8360000000000001E-2</v>
      </c>
      <c r="F90" s="1373">
        <v>0.97524</v>
      </c>
    </row>
    <row r="91" spans="1:6">
      <c r="A91" s="557" t="s">
        <v>1810</v>
      </c>
      <c r="B91" s="557" t="s">
        <v>2429</v>
      </c>
      <c r="C91" s="558" t="s">
        <v>1806</v>
      </c>
      <c r="D91" s="1372">
        <v>0.23903099999999999</v>
      </c>
      <c r="E91" s="1372">
        <v>6.0399499999999995E-2</v>
      </c>
      <c r="F91" s="1373">
        <v>0.90596949999999998</v>
      </c>
    </row>
    <row r="92" spans="1:6">
      <c r="A92" s="557" t="s">
        <v>3424</v>
      </c>
      <c r="B92" s="557" t="s">
        <v>2429</v>
      </c>
      <c r="C92" s="558" t="s">
        <v>1806</v>
      </c>
      <c r="D92" s="1372">
        <v>0.23903099999999999</v>
      </c>
      <c r="E92" s="1372">
        <v>6.0399499999999995E-2</v>
      </c>
      <c r="F92" s="1373">
        <v>0.90596949999999998</v>
      </c>
    </row>
    <row r="93" spans="1:6">
      <c r="A93" s="557" t="s">
        <v>3022</v>
      </c>
      <c r="B93" s="557" t="s">
        <v>2429</v>
      </c>
      <c r="C93" s="558" t="s">
        <v>2435</v>
      </c>
      <c r="D93" s="1372">
        <v>0.23903099999999999</v>
      </c>
      <c r="E93" s="1372">
        <v>6.0399499999999995E-2</v>
      </c>
      <c r="F93" s="1373">
        <v>0.90596949999999998</v>
      </c>
    </row>
    <row r="94" spans="1:6">
      <c r="A94" s="557" t="s">
        <v>3023</v>
      </c>
      <c r="B94" s="557" t="s">
        <v>2429</v>
      </c>
      <c r="C94" s="558" t="s">
        <v>2433</v>
      </c>
      <c r="D94" s="1372">
        <v>0.23903099999999999</v>
      </c>
      <c r="E94" s="1372">
        <v>6.0399499999999995E-2</v>
      </c>
      <c r="F94" s="1373">
        <v>0.90596949999999998</v>
      </c>
    </row>
    <row r="95" spans="1:6">
      <c r="A95" s="557" t="s">
        <v>429</v>
      </c>
      <c r="B95" s="557" t="s">
        <v>5127</v>
      </c>
      <c r="C95" s="558" t="s">
        <v>5127</v>
      </c>
      <c r="D95" s="1372">
        <v>8.6399999999999991E-2</v>
      </c>
      <c r="E95" s="1372">
        <v>1.8360000000000001E-2</v>
      </c>
      <c r="F95" s="1373">
        <v>0.97524</v>
      </c>
    </row>
    <row r="96" spans="1:6">
      <c r="A96" s="557" t="s">
        <v>1247</v>
      </c>
      <c r="B96" s="557" t="s">
        <v>6187</v>
      </c>
      <c r="C96" s="558" t="s">
        <v>2430</v>
      </c>
      <c r="D96" s="1372">
        <v>0.13818</v>
      </c>
      <c r="E96" s="1372">
        <v>1.4804999999999999E-2</v>
      </c>
      <c r="F96" s="1373">
        <v>0.83401499999999995</v>
      </c>
    </row>
    <row r="97" spans="1:6">
      <c r="A97" s="557" t="s">
        <v>430</v>
      </c>
      <c r="B97" s="557" t="s">
        <v>2429</v>
      </c>
      <c r="C97" s="558" t="s">
        <v>1806</v>
      </c>
      <c r="D97" s="1372">
        <v>0.23903099999999999</v>
      </c>
      <c r="E97" s="1372">
        <v>6.0399499999999995E-2</v>
      </c>
      <c r="F97" s="1373">
        <v>0.90596949999999998</v>
      </c>
    </row>
    <row r="98" spans="1:6">
      <c r="A98" s="557" t="s">
        <v>1466</v>
      </c>
      <c r="B98" s="557" t="s">
        <v>3933</v>
      </c>
      <c r="C98" s="558" t="s">
        <v>3933</v>
      </c>
      <c r="D98" s="1372">
        <v>0.312</v>
      </c>
      <c r="E98" s="1372">
        <v>0.23399999999999999</v>
      </c>
      <c r="F98" s="1373">
        <v>0.75400000000000011</v>
      </c>
    </row>
    <row r="99" spans="1:6">
      <c r="A99" s="557" t="s">
        <v>4775</v>
      </c>
      <c r="B99" s="557" t="s">
        <v>2429</v>
      </c>
      <c r="C99" s="558" t="s">
        <v>2433</v>
      </c>
      <c r="D99" s="1372">
        <v>0.23903099999999999</v>
      </c>
      <c r="E99" s="1372">
        <v>6.0399499999999995E-2</v>
      </c>
      <c r="F99" s="1373">
        <v>0.90596949999999998</v>
      </c>
    </row>
    <row r="100" spans="1:6">
      <c r="A100" s="557" t="s">
        <v>4776</v>
      </c>
      <c r="B100" s="557" t="s">
        <v>2429</v>
      </c>
      <c r="C100" s="558" t="s">
        <v>2433</v>
      </c>
      <c r="D100" s="1372">
        <v>0.23903099999999999</v>
      </c>
      <c r="E100" s="1372">
        <v>6.0399499999999995E-2</v>
      </c>
      <c r="F100" s="1373">
        <v>0.90596949999999998</v>
      </c>
    </row>
    <row r="101" spans="1:6">
      <c r="A101" s="557" t="s">
        <v>3610</v>
      </c>
      <c r="B101" s="557" t="s">
        <v>2429</v>
      </c>
      <c r="C101" s="558" t="s">
        <v>1806</v>
      </c>
      <c r="D101" s="1372">
        <v>0.23903099999999999</v>
      </c>
      <c r="E101" s="1372">
        <v>6.0399499999999995E-2</v>
      </c>
      <c r="F101" s="1373">
        <v>0.90596949999999998</v>
      </c>
    </row>
    <row r="102" spans="1:6">
      <c r="A102" s="557" t="s">
        <v>952</v>
      </c>
      <c r="B102" s="557" t="s">
        <v>2429</v>
      </c>
      <c r="C102" s="558" t="s">
        <v>1806</v>
      </c>
      <c r="D102" s="1372">
        <v>0.23903099999999999</v>
      </c>
      <c r="E102" s="1372">
        <v>6.0399499999999995E-2</v>
      </c>
      <c r="F102" s="1373">
        <v>0.90596949999999998</v>
      </c>
    </row>
    <row r="103" spans="1:6">
      <c r="A103" s="557" t="s">
        <v>3611</v>
      </c>
      <c r="B103" s="557" t="s">
        <v>2429</v>
      </c>
      <c r="C103" s="558" t="s">
        <v>3933</v>
      </c>
      <c r="D103" s="1372">
        <v>0.23903099999999999</v>
      </c>
      <c r="E103" s="1372">
        <v>6.0399499999999995E-2</v>
      </c>
      <c r="F103" s="1373">
        <v>0.90596949999999998</v>
      </c>
    </row>
    <row r="104" spans="1:6">
      <c r="A104" s="557" t="s">
        <v>431</v>
      </c>
      <c r="B104" s="557" t="s">
        <v>2429</v>
      </c>
      <c r="C104" s="558" t="s">
        <v>1806</v>
      </c>
      <c r="D104" s="1372">
        <v>0.23903099999999999</v>
      </c>
      <c r="E104" s="1372">
        <v>6.0399499999999995E-2</v>
      </c>
      <c r="F104" s="1373">
        <v>0.90596949999999998</v>
      </c>
    </row>
    <row r="105" spans="1:6">
      <c r="A105" s="557" t="s">
        <v>2943</v>
      </c>
      <c r="B105" s="557" t="s">
        <v>2429</v>
      </c>
      <c r="C105" s="558" t="s">
        <v>1806</v>
      </c>
      <c r="D105" s="1372">
        <v>0.23903099999999999</v>
      </c>
      <c r="E105" s="1372">
        <v>6.0399499999999995E-2</v>
      </c>
      <c r="F105" s="1373">
        <v>0.90596949999999998</v>
      </c>
    </row>
    <row r="106" spans="1:6">
      <c r="A106" s="557" t="s">
        <v>3837</v>
      </c>
      <c r="B106" s="557" t="s">
        <v>2429</v>
      </c>
      <c r="C106" s="558" t="s">
        <v>1804</v>
      </c>
      <c r="D106" s="1372">
        <v>0.23903099999999999</v>
      </c>
      <c r="E106" s="1372">
        <v>6.0399499999999995E-2</v>
      </c>
      <c r="F106" s="1373">
        <v>0.90596949999999998</v>
      </c>
    </row>
    <row r="107" spans="1:6">
      <c r="A107" s="557" t="s">
        <v>432</v>
      </c>
      <c r="B107" s="557" t="s">
        <v>2429</v>
      </c>
      <c r="C107" s="558" t="s">
        <v>1806</v>
      </c>
      <c r="D107" s="1372">
        <v>0.23903099999999999</v>
      </c>
      <c r="E107" s="1372">
        <v>6.0399499999999995E-2</v>
      </c>
      <c r="F107" s="1373">
        <v>0.90596949999999998</v>
      </c>
    </row>
    <row r="108" spans="1:6">
      <c r="A108" s="557" t="s">
        <v>3905</v>
      </c>
      <c r="B108" s="557" t="s">
        <v>2429</v>
      </c>
      <c r="C108" s="558" t="s">
        <v>1806</v>
      </c>
      <c r="D108" s="1372">
        <v>0.23903099999999999</v>
      </c>
      <c r="E108" s="1372">
        <v>6.0399499999999995E-2</v>
      </c>
      <c r="F108" s="1373">
        <v>0.90596949999999998</v>
      </c>
    </row>
    <row r="109" spans="1:6">
      <c r="A109" s="557" t="s">
        <v>5019</v>
      </c>
      <c r="B109" s="557" t="s">
        <v>2429</v>
      </c>
      <c r="C109" s="558" t="s">
        <v>1806</v>
      </c>
      <c r="D109" s="1372">
        <v>0.23903099999999999</v>
      </c>
      <c r="E109" s="1372">
        <v>6.0399499999999995E-2</v>
      </c>
      <c r="F109" s="1373">
        <v>0.90596949999999998</v>
      </c>
    </row>
    <row r="110" spans="1:6">
      <c r="A110" s="557" t="s">
        <v>4932</v>
      </c>
      <c r="B110" s="557" t="s">
        <v>2429</v>
      </c>
      <c r="C110" s="558" t="s">
        <v>1804</v>
      </c>
      <c r="D110" s="1372">
        <v>0.23903099999999999</v>
      </c>
      <c r="E110" s="1372">
        <v>6.0399499999999995E-2</v>
      </c>
      <c r="F110" s="1373">
        <v>0.90596949999999998</v>
      </c>
    </row>
    <row r="111" spans="1:6">
      <c r="A111" s="557" t="s">
        <v>1082</v>
      </c>
      <c r="B111" s="557" t="s">
        <v>3933</v>
      </c>
      <c r="C111" s="558" t="s">
        <v>3933</v>
      </c>
      <c r="D111" s="1372">
        <v>0.312</v>
      </c>
      <c r="E111" s="1372">
        <v>0.23399999999999999</v>
      </c>
      <c r="F111" s="1373">
        <v>0.75400000000000011</v>
      </c>
    </row>
    <row r="112" spans="1:6">
      <c r="A112" s="557" t="s">
        <v>2893</v>
      </c>
      <c r="B112" s="557" t="s">
        <v>5365</v>
      </c>
      <c r="C112" s="558" t="s">
        <v>5365</v>
      </c>
      <c r="D112" s="1372">
        <v>3.9949999999999999E-2</v>
      </c>
      <c r="E112" s="1372">
        <v>0</v>
      </c>
      <c r="F112" s="1373">
        <v>0.75905</v>
      </c>
    </row>
    <row r="113" spans="1:6">
      <c r="A113" s="557" t="s">
        <v>744</v>
      </c>
      <c r="B113" s="557" t="s">
        <v>2429</v>
      </c>
      <c r="C113" s="558" t="s">
        <v>5368</v>
      </c>
      <c r="D113" s="1372">
        <v>0.23903099999999999</v>
      </c>
      <c r="E113" s="1372">
        <v>6.0399499999999995E-2</v>
      </c>
      <c r="F113" s="1373">
        <v>0.90596949999999998</v>
      </c>
    </row>
    <row r="114" spans="1:6">
      <c r="A114" s="557" t="s">
        <v>2823</v>
      </c>
      <c r="B114" s="557" t="s">
        <v>2429</v>
      </c>
      <c r="C114" s="558" t="s">
        <v>1806</v>
      </c>
      <c r="D114" s="1372">
        <v>0.23903099999999999</v>
      </c>
      <c r="E114" s="1372">
        <v>6.0399499999999995E-2</v>
      </c>
      <c r="F114" s="1373">
        <v>0.90596949999999998</v>
      </c>
    </row>
    <row r="115" spans="1:6">
      <c r="A115" s="557" t="s">
        <v>3289</v>
      </c>
      <c r="B115" s="557" t="s">
        <v>2429</v>
      </c>
      <c r="C115" s="558" t="s">
        <v>1804</v>
      </c>
      <c r="D115" s="1372">
        <v>0.23903099999999999</v>
      </c>
      <c r="E115" s="1372">
        <v>6.0399499999999995E-2</v>
      </c>
      <c r="F115" s="1373">
        <v>0.90596949999999998</v>
      </c>
    </row>
    <row r="116" spans="1:6">
      <c r="A116" s="557" t="s">
        <v>1545</v>
      </c>
      <c r="B116" s="557" t="s">
        <v>2429</v>
      </c>
      <c r="C116" s="558" t="s">
        <v>1806</v>
      </c>
      <c r="D116" s="1372">
        <v>0.23903099999999999</v>
      </c>
      <c r="E116" s="1372">
        <v>6.0399499999999995E-2</v>
      </c>
      <c r="F116" s="1373">
        <v>0.90596949999999998</v>
      </c>
    </row>
    <row r="117" spans="1:6">
      <c r="A117" s="557" t="s">
        <v>1337</v>
      </c>
      <c r="B117" s="557" t="s">
        <v>6184</v>
      </c>
      <c r="C117" s="558" t="s">
        <v>2441</v>
      </c>
      <c r="D117" s="1372">
        <v>0.28458</v>
      </c>
      <c r="E117" s="1372">
        <v>3.1620000000000002E-2</v>
      </c>
      <c r="F117" s="1373">
        <v>1.2648000000000001</v>
      </c>
    </row>
    <row r="118" spans="1:6">
      <c r="A118" s="557" t="s">
        <v>3287</v>
      </c>
      <c r="B118" s="557" t="s">
        <v>2429</v>
      </c>
      <c r="C118" s="558" t="s">
        <v>1806</v>
      </c>
      <c r="D118" s="1372">
        <v>0.23903099999999999</v>
      </c>
      <c r="E118" s="1372">
        <v>6.0399499999999995E-2</v>
      </c>
      <c r="F118" s="1373">
        <v>0.90596949999999998</v>
      </c>
    </row>
    <row r="119" spans="1:6">
      <c r="A119" s="557" t="s">
        <v>4496</v>
      </c>
      <c r="B119" s="557" t="s">
        <v>2429</v>
      </c>
      <c r="C119" s="558" t="s">
        <v>1809</v>
      </c>
      <c r="D119" s="1372">
        <v>0.23903099999999999</v>
      </c>
      <c r="E119" s="1372">
        <v>6.0399499999999995E-2</v>
      </c>
      <c r="F119" s="1373">
        <v>0.90596949999999998</v>
      </c>
    </row>
    <row r="120" spans="1:6">
      <c r="A120" s="557" t="s">
        <v>387</v>
      </c>
      <c r="B120" s="557" t="s">
        <v>2429</v>
      </c>
      <c r="C120" s="558" t="s">
        <v>1806</v>
      </c>
      <c r="D120" s="1372">
        <v>0.23903099999999999</v>
      </c>
      <c r="E120" s="1372">
        <v>6.0399499999999995E-2</v>
      </c>
      <c r="F120" s="1373">
        <v>0.90596949999999998</v>
      </c>
    </row>
    <row r="121" spans="1:6">
      <c r="A121" s="557" t="s">
        <v>433</v>
      </c>
      <c r="B121" s="557" t="s">
        <v>2429</v>
      </c>
      <c r="C121" s="558" t="s">
        <v>1806</v>
      </c>
      <c r="D121" s="1372">
        <v>0.23903099999999999</v>
      </c>
      <c r="E121" s="1372">
        <v>6.0399499999999995E-2</v>
      </c>
      <c r="F121" s="1373">
        <v>0.90596949999999998</v>
      </c>
    </row>
    <row r="122" spans="1:6">
      <c r="A122" s="557" t="s">
        <v>434</v>
      </c>
      <c r="B122" s="557" t="s">
        <v>2429</v>
      </c>
      <c r="C122" s="558" t="s">
        <v>2435</v>
      </c>
      <c r="D122" s="1372">
        <v>0.23903099999999999</v>
      </c>
      <c r="E122" s="1372">
        <v>6.0399499999999995E-2</v>
      </c>
      <c r="F122" s="1373">
        <v>0.90596949999999998</v>
      </c>
    </row>
    <row r="123" spans="1:6">
      <c r="A123" s="557" t="s">
        <v>628</v>
      </c>
      <c r="B123" s="557" t="s">
        <v>2429</v>
      </c>
      <c r="C123" s="558" t="s">
        <v>1806</v>
      </c>
      <c r="D123" s="1372">
        <v>0.23903099999999999</v>
      </c>
      <c r="E123" s="1372">
        <v>6.0399499999999995E-2</v>
      </c>
      <c r="F123" s="1373">
        <v>0.90596949999999998</v>
      </c>
    </row>
    <row r="124" spans="1:6">
      <c r="A124" s="557" t="s">
        <v>435</v>
      </c>
      <c r="B124" s="557" t="s">
        <v>2429</v>
      </c>
      <c r="C124" s="558" t="s">
        <v>436</v>
      </c>
      <c r="D124" s="1372">
        <v>0.23903099999999999</v>
      </c>
      <c r="E124" s="1372">
        <v>6.0399499999999995E-2</v>
      </c>
      <c r="F124" s="1373">
        <v>0.90596949999999998</v>
      </c>
    </row>
    <row r="125" spans="1:6">
      <c r="A125" s="557" t="s">
        <v>25</v>
      </c>
      <c r="B125" s="557" t="s">
        <v>2429</v>
      </c>
      <c r="C125" s="558" t="s">
        <v>1806</v>
      </c>
      <c r="D125" s="1372">
        <v>0.23903099999999999</v>
      </c>
      <c r="E125" s="1372">
        <v>6.0399499999999995E-2</v>
      </c>
      <c r="F125" s="1373">
        <v>0.90596949999999998</v>
      </c>
    </row>
    <row r="126" spans="1:6">
      <c r="A126" s="557" t="s">
        <v>437</v>
      </c>
      <c r="B126" s="557" t="s">
        <v>2429</v>
      </c>
      <c r="C126" s="558" t="s">
        <v>1804</v>
      </c>
      <c r="D126" s="1372">
        <v>0.23903099999999999</v>
      </c>
      <c r="E126" s="1372">
        <v>6.0399499999999995E-2</v>
      </c>
      <c r="F126" s="1373">
        <v>0.90596949999999998</v>
      </c>
    </row>
    <row r="127" spans="1:6">
      <c r="A127" s="557" t="s">
        <v>2894</v>
      </c>
      <c r="B127" s="557" t="s">
        <v>5365</v>
      </c>
      <c r="C127" s="558" t="s">
        <v>5365</v>
      </c>
      <c r="D127" s="1372">
        <v>3.9949999999999999E-2</v>
      </c>
      <c r="E127" s="1372">
        <v>0</v>
      </c>
      <c r="F127" s="1373">
        <v>0.75905</v>
      </c>
    </row>
    <row r="128" spans="1:6">
      <c r="A128" s="557" t="s">
        <v>723</v>
      </c>
      <c r="B128" s="557" t="s">
        <v>2429</v>
      </c>
      <c r="C128" s="558" t="s">
        <v>2435</v>
      </c>
      <c r="D128" s="1372">
        <v>0.23903099999999999</v>
      </c>
      <c r="E128" s="1372">
        <v>6.0399499999999995E-2</v>
      </c>
      <c r="F128" s="1373">
        <v>0.90596949999999998</v>
      </c>
    </row>
    <row r="129" spans="1:6">
      <c r="A129" s="557" t="s">
        <v>2674</v>
      </c>
      <c r="B129" s="557" t="s">
        <v>2429</v>
      </c>
      <c r="C129" s="558" t="s">
        <v>1806</v>
      </c>
      <c r="D129" s="1372">
        <v>0.23903099999999999</v>
      </c>
      <c r="E129" s="1372">
        <v>6.0399499999999995E-2</v>
      </c>
      <c r="F129" s="1373">
        <v>0.90596949999999998</v>
      </c>
    </row>
    <row r="130" spans="1:6">
      <c r="A130" s="557" t="s">
        <v>26</v>
      </c>
      <c r="B130" s="557" t="s">
        <v>2429</v>
      </c>
      <c r="C130" s="558" t="s">
        <v>3928</v>
      </c>
      <c r="D130" s="1372">
        <v>0.23903099999999999</v>
      </c>
      <c r="E130" s="1372">
        <v>6.0399499999999995E-2</v>
      </c>
      <c r="F130" s="1373">
        <v>0.90596949999999998</v>
      </c>
    </row>
    <row r="131" spans="1:6">
      <c r="A131" s="557" t="s">
        <v>438</v>
      </c>
      <c r="B131" s="557" t="s">
        <v>6187</v>
      </c>
      <c r="C131" s="558" t="s">
        <v>1805</v>
      </c>
      <c r="D131" s="1372">
        <v>0.13818</v>
      </c>
      <c r="E131" s="1372">
        <v>1.4804999999999999E-2</v>
      </c>
      <c r="F131" s="1373">
        <v>0.83401499999999995</v>
      </c>
    </row>
    <row r="132" spans="1:6">
      <c r="A132" s="557" t="s">
        <v>4587</v>
      </c>
      <c r="B132" s="557" t="s">
        <v>2429</v>
      </c>
      <c r="C132" s="558" t="s">
        <v>1806</v>
      </c>
      <c r="D132" s="1372">
        <v>0.23903099999999999</v>
      </c>
      <c r="E132" s="1372">
        <v>6.0399499999999995E-2</v>
      </c>
      <c r="F132" s="1373">
        <v>0.90596949999999998</v>
      </c>
    </row>
    <row r="133" spans="1:6">
      <c r="A133" s="557" t="s">
        <v>3616</v>
      </c>
      <c r="B133" s="557" t="s">
        <v>2429</v>
      </c>
      <c r="C133" s="558" t="s">
        <v>1804</v>
      </c>
      <c r="D133" s="1372">
        <v>0.23903099999999999</v>
      </c>
      <c r="E133" s="1372">
        <v>6.0399499999999995E-2</v>
      </c>
      <c r="F133" s="1373">
        <v>0.90596949999999998</v>
      </c>
    </row>
    <row r="134" spans="1:6">
      <c r="A134" s="557" t="s">
        <v>439</v>
      </c>
      <c r="B134" s="557" t="s">
        <v>2429</v>
      </c>
      <c r="C134" s="558" t="s">
        <v>1806</v>
      </c>
      <c r="D134" s="1372">
        <v>0.23903099999999999</v>
      </c>
      <c r="E134" s="1372">
        <v>6.0399499999999995E-2</v>
      </c>
      <c r="F134" s="1373">
        <v>0.90596949999999998</v>
      </c>
    </row>
    <row r="135" spans="1:6">
      <c r="A135" s="557" t="s">
        <v>1078</v>
      </c>
      <c r="B135" s="557" t="s">
        <v>2429</v>
      </c>
      <c r="C135" s="558" t="s">
        <v>1806</v>
      </c>
      <c r="D135" s="1372">
        <v>0.23903099999999999</v>
      </c>
      <c r="E135" s="1372">
        <v>6.0399499999999995E-2</v>
      </c>
      <c r="F135" s="1373">
        <v>0.90596949999999998</v>
      </c>
    </row>
    <row r="136" spans="1:6">
      <c r="A136" s="557" t="s">
        <v>440</v>
      </c>
      <c r="B136" s="557" t="s">
        <v>2429</v>
      </c>
      <c r="C136" s="558" t="s">
        <v>1806</v>
      </c>
      <c r="D136" s="1372">
        <v>0.23903099999999999</v>
      </c>
      <c r="E136" s="1372">
        <v>6.0399499999999995E-2</v>
      </c>
      <c r="F136" s="1373">
        <v>0.90596949999999998</v>
      </c>
    </row>
    <row r="137" spans="1:6">
      <c r="A137" s="557" t="s">
        <v>441</v>
      </c>
      <c r="B137" s="557" t="s">
        <v>3933</v>
      </c>
      <c r="C137" s="558" t="s">
        <v>1806</v>
      </c>
      <c r="D137" s="1372">
        <v>0.312</v>
      </c>
      <c r="E137" s="1372">
        <v>0.23399999999999999</v>
      </c>
      <c r="F137" s="1373">
        <v>0.75400000000000011</v>
      </c>
    </row>
    <row r="138" spans="1:6">
      <c r="A138" s="557" t="s">
        <v>442</v>
      </c>
      <c r="B138" s="557" t="s">
        <v>6184</v>
      </c>
      <c r="C138" s="558" t="s">
        <v>2441</v>
      </c>
      <c r="D138" s="1372">
        <v>0.28458</v>
      </c>
      <c r="E138" s="1372">
        <v>3.1620000000000002E-2</v>
      </c>
      <c r="F138" s="1373">
        <v>1.2648000000000001</v>
      </c>
    </row>
    <row r="139" spans="1:6">
      <c r="A139" s="557" t="s">
        <v>443</v>
      </c>
      <c r="B139" s="557" t="s">
        <v>2429</v>
      </c>
      <c r="C139" s="558" t="s">
        <v>1806</v>
      </c>
      <c r="D139" s="1372">
        <v>0.23903099999999999</v>
      </c>
      <c r="E139" s="1372">
        <v>6.0399499999999995E-2</v>
      </c>
      <c r="F139" s="1373">
        <v>0.90596949999999998</v>
      </c>
    </row>
    <row r="140" spans="1:6">
      <c r="A140" s="557" t="s">
        <v>444</v>
      </c>
      <c r="B140" s="557" t="s">
        <v>6184</v>
      </c>
      <c r="C140" s="558" t="s">
        <v>2441</v>
      </c>
      <c r="D140" s="1372">
        <v>0.28458</v>
      </c>
      <c r="E140" s="1372">
        <v>3.1620000000000002E-2</v>
      </c>
      <c r="F140" s="1373">
        <v>1.2648000000000001</v>
      </c>
    </row>
    <row r="141" spans="1:6">
      <c r="A141" s="557" t="s">
        <v>445</v>
      </c>
      <c r="B141" s="557" t="s">
        <v>2429</v>
      </c>
      <c r="C141" s="558" t="s">
        <v>1808</v>
      </c>
      <c r="D141" s="1372">
        <v>0.23903099999999999</v>
      </c>
      <c r="E141" s="1372">
        <v>6.0399499999999995E-2</v>
      </c>
      <c r="F141" s="1373">
        <v>0.90596949999999998</v>
      </c>
    </row>
    <row r="142" spans="1:6">
      <c r="A142" s="557" t="s">
        <v>446</v>
      </c>
      <c r="B142" s="557" t="s">
        <v>2429</v>
      </c>
      <c r="C142" s="558" t="s">
        <v>1804</v>
      </c>
      <c r="D142" s="1372">
        <v>0.23903099999999999</v>
      </c>
      <c r="E142" s="1372">
        <v>6.0399499999999995E-2</v>
      </c>
      <c r="F142" s="1373">
        <v>0.90596949999999998</v>
      </c>
    </row>
    <row r="143" spans="1:6">
      <c r="A143" s="557" t="s">
        <v>6188</v>
      </c>
      <c r="B143" s="557" t="s">
        <v>2429</v>
      </c>
      <c r="C143" s="558" t="s">
        <v>1808</v>
      </c>
      <c r="D143" s="1372">
        <v>0.23903099999999999</v>
      </c>
      <c r="E143" s="1372">
        <v>6.0399499999999995E-2</v>
      </c>
      <c r="F143" s="1373">
        <v>0.90596949999999998</v>
      </c>
    </row>
    <row r="144" spans="1:6">
      <c r="A144" s="557" t="s">
        <v>5406</v>
      </c>
      <c r="B144" s="557" t="s">
        <v>6187</v>
      </c>
      <c r="C144" s="558" t="s">
        <v>1805</v>
      </c>
      <c r="D144" s="1372">
        <v>0.13818</v>
      </c>
      <c r="E144" s="1372">
        <v>1.4804999999999999E-2</v>
      </c>
      <c r="F144" s="1373">
        <v>0.83401499999999995</v>
      </c>
    </row>
    <row r="145" spans="1:6">
      <c r="A145" s="557" t="s">
        <v>2675</v>
      </c>
      <c r="B145" s="557" t="s">
        <v>6185</v>
      </c>
      <c r="C145" s="558" t="s">
        <v>3928</v>
      </c>
      <c r="D145" s="1372">
        <v>0.71249999999999991</v>
      </c>
      <c r="E145" s="1372">
        <v>7.1250000000000008E-2</v>
      </c>
      <c r="F145" s="1373">
        <v>0.64124999999999988</v>
      </c>
    </row>
    <row r="146" spans="1:6">
      <c r="A146" s="557" t="s">
        <v>2824</v>
      </c>
      <c r="B146" s="557" t="s">
        <v>2429</v>
      </c>
      <c r="C146" s="558" t="s">
        <v>2435</v>
      </c>
      <c r="D146" s="1372">
        <v>0.23903099999999999</v>
      </c>
      <c r="E146" s="1372">
        <v>6.0399499999999995E-2</v>
      </c>
      <c r="F146" s="1373">
        <v>0.90596949999999998</v>
      </c>
    </row>
    <row r="147" spans="1:6">
      <c r="A147" s="557" t="s">
        <v>3285</v>
      </c>
      <c r="B147" s="557" t="s">
        <v>2429</v>
      </c>
      <c r="C147" s="558" t="s">
        <v>1807</v>
      </c>
      <c r="D147" s="1372">
        <v>0.23903099999999999</v>
      </c>
      <c r="E147" s="1372">
        <v>6.0399499999999995E-2</v>
      </c>
      <c r="F147" s="1373">
        <v>0.90596949999999998</v>
      </c>
    </row>
    <row r="148" spans="1:6">
      <c r="A148" s="557" t="s">
        <v>4159</v>
      </c>
      <c r="B148" s="557" t="s">
        <v>2429</v>
      </c>
      <c r="C148" s="558" t="s">
        <v>1806</v>
      </c>
      <c r="D148" s="1372">
        <v>0.23903099999999999</v>
      </c>
      <c r="E148" s="1372">
        <v>6.0399499999999995E-2</v>
      </c>
      <c r="F148" s="1373">
        <v>0.90596949999999998</v>
      </c>
    </row>
    <row r="149" spans="1:6">
      <c r="A149" s="557" t="s">
        <v>3840</v>
      </c>
      <c r="B149" s="557" t="s">
        <v>2429</v>
      </c>
      <c r="C149" s="558" t="s">
        <v>2438</v>
      </c>
      <c r="D149" s="1372">
        <v>0.23903099999999999</v>
      </c>
      <c r="E149" s="1372">
        <v>6.0399499999999995E-2</v>
      </c>
      <c r="F149" s="1373">
        <v>0.90596949999999998</v>
      </c>
    </row>
    <row r="150" spans="1:6">
      <c r="A150" s="557" t="s">
        <v>2642</v>
      </c>
      <c r="B150" s="557" t="s">
        <v>2429</v>
      </c>
      <c r="C150" s="558" t="s">
        <v>1806</v>
      </c>
      <c r="D150" s="1372">
        <v>0.23903099999999999</v>
      </c>
      <c r="E150" s="1372">
        <v>6.0399499999999995E-2</v>
      </c>
      <c r="F150" s="1373">
        <v>0.90596949999999998</v>
      </c>
    </row>
    <row r="151" spans="1:6">
      <c r="A151" s="557" t="s">
        <v>5240</v>
      </c>
      <c r="B151" s="557" t="s">
        <v>2429</v>
      </c>
      <c r="C151" s="558" t="s">
        <v>1804</v>
      </c>
      <c r="D151" s="1372">
        <v>0.23903099999999999</v>
      </c>
      <c r="E151" s="1372">
        <v>6.0399499999999995E-2</v>
      </c>
      <c r="F151" s="1373">
        <v>0.90596949999999998</v>
      </c>
    </row>
    <row r="152" spans="1:6">
      <c r="A152" s="557" t="s">
        <v>1070</v>
      </c>
      <c r="B152" s="557" t="s">
        <v>2429</v>
      </c>
      <c r="C152" s="558" t="s">
        <v>1806</v>
      </c>
      <c r="D152" s="1372">
        <v>0.23903099999999999</v>
      </c>
      <c r="E152" s="1372">
        <v>6.0399499999999995E-2</v>
      </c>
      <c r="F152" s="1373">
        <v>0.90596949999999998</v>
      </c>
    </row>
    <row r="153" spans="1:6">
      <c r="A153" s="557" t="s">
        <v>2607</v>
      </c>
      <c r="B153" s="557" t="s">
        <v>2429</v>
      </c>
      <c r="C153" s="558" t="s">
        <v>1806</v>
      </c>
      <c r="D153" s="1372">
        <v>0.23903099999999999</v>
      </c>
      <c r="E153" s="1372">
        <v>6.0399499999999995E-2</v>
      </c>
      <c r="F153" s="1373">
        <v>0.90596949999999998</v>
      </c>
    </row>
    <row r="154" spans="1:6">
      <c r="A154" s="557" t="s">
        <v>5238</v>
      </c>
      <c r="B154" s="557" t="s">
        <v>2429</v>
      </c>
      <c r="C154" s="558" t="s">
        <v>1806</v>
      </c>
      <c r="D154" s="1372">
        <v>0.23903099999999999</v>
      </c>
      <c r="E154" s="1372">
        <v>6.0399499999999995E-2</v>
      </c>
      <c r="F154" s="1373">
        <v>0.90596949999999998</v>
      </c>
    </row>
    <row r="155" spans="1:6">
      <c r="A155" s="557" t="s">
        <v>447</v>
      </c>
      <c r="B155" s="557" t="s">
        <v>2429</v>
      </c>
      <c r="C155" s="558" t="s">
        <v>2435</v>
      </c>
      <c r="D155" s="1372">
        <v>0.23903099999999999</v>
      </c>
      <c r="E155" s="1372">
        <v>6.0399499999999995E-2</v>
      </c>
      <c r="F155" s="1373">
        <v>0.90596949999999998</v>
      </c>
    </row>
    <row r="156" spans="1:6">
      <c r="A156" s="557" t="s">
        <v>448</v>
      </c>
      <c r="B156" s="557" t="s">
        <v>2429</v>
      </c>
      <c r="C156" s="558" t="s">
        <v>2435</v>
      </c>
      <c r="D156" s="1372">
        <v>0.23903099999999999</v>
      </c>
      <c r="E156" s="1372">
        <v>6.0399499999999995E-2</v>
      </c>
      <c r="F156" s="1373">
        <v>0.90596949999999998</v>
      </c>
    </row>
    <row r="157" spans="1:6">
      <c r="A157" s="557" t="s">
        <v>4885</v>
      </c>
      <c r="B157" s="557" t="s">
        <v>2429</v>
      </c>
      <c r="C157" s="558" t="s">
        <v>1806</v>
      </c>
      <c r="D157" s="1372">
        <v>0.23903099999999999</v>
      </c>
      <c r="E157" s="1372">
        <v>6.0399499999999995E-2</v>
      </c>
      <c r="F157" s="1373">
        <v>0.90596949999999998</v>
      </c>
    </row>
    <row r="158" spans="1:6">
      <c r="A158" s="557" t="s">
        <v>2667</v>
      </c>
      <c r="B158" s="557" t="s">
        <v>2429</v>
      </c>
      <c r="C158" s="558" t="s">
        <v>1806</v>
      </c>
      <c r="D158" s="1372">
        <v>0.23903099999999999</v>
      </c>
      <c r="E158" s="1372">
        <v>6.0399499999999995E-2</v>
      </c>
      <c r="F158" s="1373">
        <v>0.90596949999999998</v>
      </c>
    </row>
    <row r="159" spans="1:6">
      <c r="A159" s="557" t="s">
        <v>5241</v>
      </c>
      <c r="B159" s="557" t="s">
        <v>2429</v>
      </c>
      <c r="C159" s="558" t="s">
        <v>3932</v>
      </c>
      <c r="D159" s="1372">
        <v>0.23903099999999999</v>
      </c>
      <c r="E159" s="1372">
        <v>6.0399499999999995E-2</v>
      </c>
      <c r="F159" s="1373">
        <v>0.90596949999999998</v>
      </c>
    </row>
    <row r="160" spans="1:6">
      <c r="A160" s="557" t="s">
        <v>3741</v>
      </c>
      <c r="B160" s="557" t="s">
        <v>6184</v>
      </c>
      <c r="C160" s="558" t="s">
        <v>2441</v>
      </c>
      <c r="D160" s="1372">
        <v>0.28458</v>
      </c>
      <c r="E160" s="1372">
        <v>3.1620000000000002E-2</v>
      </c>
      <c r="F160" s="1373">
        <v>1.2648000000000001</v>
      </c>
    </row>
    <row r="161" spans="1:6">
      <c r="A161" s="557" t="s">
        <v>532</v>
      </c>
      <c r="B161" s="557" t="s">
        <v>2429</v>
      </c>
      <c r="C161" s="558" t="s">
        <v>1806</v>
      </c>
      <c r="D161" s="1372">
        <v>0.23903099999999999</v>
      </c>
      <c r="E161" s="1372">
        <v>6.0399499999999995E-2</v>
      </c>
      <c r="F161" s="1373">
        <v>0.90596949999999998</v>
      </c>
    </row>
    <row r="162" spans="1:6">
      <c r="A162" s="557" t="s">
        <v>449</v>
      </c>
      <c r="B162" s="557" t="s">
        <v>2429</v>
      </c>
      <c r="C162" s="558" t="s">
        <v>1804</v>
      </c>
      <c r="D162" s="1372">
        <v>0.23903099999999999</v>
      </c>
      <c r="E162" s="1372">
        <v>6.0399499999999995E-2</v>
      </c>
      <c r="F162" s="1373">
        <v>0.90596949999999998</v>
      </c>
    </row>
    <row r="163" spans="1:6">
      <c r="A163" s="557" t="s">
        <v>5090</v>
      </c>
      <c r="B163" s="557" t="s">
        <v>2429</v>
      </c>
      <c r="C163" s="558" t="s">
        <v>1806</v>
      </c>
      <c r="D163" s="1372">
        <v>0.23903099999999999</v>
      </c>
      <c r="E163" s="1372">
        <v>6.0399499999999995E-2</v>
      </c>
      <c r="F163" s="1373">
        <v>0.90596949999999998</v>
      </c>
    </row>
    <row r="164" spans="1:6">
      <c r="A164" s="557" t="s">
        <v>450</v>
      </c>
      <c r="B164" s="557" t="s">
        <v>2429</v>
      </c>
      <c r="C164" s="558" t="s">
        <v>1806</v>
      </c>
      <c r="D164" s="1372">
        <v>0.23903099999999999</v>
      </c>
      <c r="E164" s="1372">
        <v>6.0399499999999995E-2</v>
      </c>
      <c r="F164" s="1373">
        <v>0.90596949999999998</v>
      </c>
    </row>
    <row r="165" spans="1:6">
      <c r="A165" s="557" t="s">
        <v>3064</v>
      </c>
      <c r="B165" s="557" t="s">
        <v>2429</v>
      </c>
      <c r="C165" s="558" t="s">
        <v>1806</v>
      </c>
      <c r="D165" s="1372">
        <v>0.23903099999999999</v>
      </c>
      <c r="E165" s="1372">
        <v>6.0399499999999995E-2</v>
      </c>
      <c r="F165" s="1373">
        <v>0.90596949999999998</v>
      </c>
    </row>
    <row r="166" spans="1:6">
      <c r="A166" s="557" t="s">
        <v>4960</v>
      </c>
      <c r="B166" s="557" t="s">
        <v>2429</v>
      </c>
      <c r="C166" s="558" t="s">
        <v>1806</v>
      </c>
      <c r="D166" s="1372">
        <v>0.23903099999999999</v>
      </c>
      <c r="E166" s="1372">
        <v>6.0399499999999995E-2</v>
      </c>
      <c r="F166" s="1373">
        <v>0.90596949999999998</v>
      </c>
    </row>
    <row r="167" spans="1:6">
      <c r="A167" s="557" t="s">
        <v>5655</v>
      </c>
      <c r="B167" s="557" t="s">
        <v>6187</v>
      </c>
      <c r="C167" s="558" t="s">
        <v>1805</v>
      </c>
      <c r="D167" s="1372">
        <v>0.13818</v>
      </c>
      <c r="E167" s="1372">
        <v>1.4804999999999999E-2</v>
      </c>
      <c r="F167" s="1373">
        <v>0.83401499999999995</v>
      </c>
    </row>
    <row r="168" spans="1:6">
      <c r="A168" s="557" t="s">
        <v>2507</v>
      </c>
      <c r="B168" s="557" t="s">
        <v>2429</v>
      </c>
      <c r="C168" s="558" t="s">
        <v>1806</v>
      </c>
      <c r="D168" s="1372">
        <v>0.23903099999999999</v>
      </c>
      <c r="E168" s="1372">
        <v>6.0399499999999995E-2</v>
      </c>
      <c r="F168" s="1373">
        <v>0.90596949999999998</v>
      </c>
    </row>
    <row r="169" spans="1:6">
      <c r="A169" s="557" t="s">
        <v>5656</v>
      </c>
      <c r="B169" s="557" t="s">
        <v>2429</v>
      </c>
      <c r="C169" s="558" t="s">
        <v>1806</v>
      </c>
      <c r="D169" s="1372">
        <v>0.23903099999999999</v>
      </c>
      <c r="E169" s="1372">
        <v>6.0399499999999995E-2</v>
      </c>
      <c r="F169" s="1373">
        <v>0.90596949999999998</v>
      </c>
    </row>
    <row r="170" spans="1:6">
      <c r="A170" s="557" t="s">
        <v>5657</v>
      </c>
      <c r="B170" s="557" t="s">
        <v>2429</v>
      </c>
      <c r="C170" s="558" t="s">
        <v>1806</v>
      </c>
      <c r="D170" s="1372">
        <v>0.23903099999999999</v>
      </c>
      <c r="E170" s="1372">
        <v>6.0399499999999995E-2</v>
      </c>
      <c r="F170" s="1373">
        <v>0.90596949999999998</v>
      </c>
    </row>
    <row r="171" spans="1:6">
      <c r="A171" s="557" t="s">
        <v>5658</v>
      </c>
      <c r="B171" s="557" t="s">
        <v>2429</v>
      </c>
      <c r="C171" s="558" t="s">
        <v>1804</v>
      </c>
      <c r="D171" s="1372">
        <v>0.23903099999999999</v>
      </c>
      <c r="E171" s="1372">
        <v>6.0399499999999995E-2</v>
      </c>
      <c r="F171" s="1373">
        <v>0.90596949999999998</v>
      </c>
    </row>
    <row r="172" spans="1:6">
      <c r="A172" s="557" t="s">
        <v>5659</v>
      </c>
      <c r="B172" s="557" t="s">
        <v>6184</v>
      </c>
      <c r="C172" s="558" t="s">
        <v>2441</v>
      </c>
      <c r="D172" s="1372">
        <v>0.28458</v>
      </c>
      <c r="E172" s="1372">
        <v>3.1620000000000002E-2</v>
      </c>
      <c r="F172" s="1373">
        <v>1.2648000000000001</v>
      </c>
    </row>
    <row r="173" spans="1:6">
      <c r="A173" s="557" t="s">
        <v>3296</v>
      </c>
      <c r="B173" s="557" t="s">
        <v>2429</v>
      </c>
      <c r="C173" s="558" t="s">
        <v>1806</v>
      </c>
      <c r="D173" s="1372">
        <v>0.23903099999999999</v>
      </c>
      <c r="E173" s="1372">
        <v>6.0399499999999995E-2</v>
      </c>
      <c r="F173" s="1373">
        <v>0.90596949999999998</v>
      </c>
    </row>
    <row r="174" spans="1:6">
      <c r="A174" s="557" t="s">
        <v>3297</v>
      </c>
      <c r="B174" s="557" t="s">
        <v>2429</v>
      </c>
      <c r="C174" s="558" t="s">
        <v>2429</v>
      </c>
      <c r="D174" s="1372">
        <v>0.23903099999999999</v>
      </c>
      <c r="E174" s="1372">
        <v>6.0399499999999995E-2</v>
      </c>
      <c r="F174" s="1373">
        <v>0.90596949999999998</v>
      </c>
    </row>
    <row r="175" spans="1:6">
      <c r="A175" s="557" t="s">
        <v>6189</v>
      </c>
      <c r="B175" s="557" t="s">
        <v>2429</v>
      </c>
      <c r="C175" s="558" t="s">
        <v>1806</v>
      </c>
      <c r="D175" s="1372">
        <v>0.23903099999999999</v>
      </c>
      <c r="E175" s="1372">
        <v>6.0399499999999995E-2</v>
      </c>
      <c r="F175" s="1373">
        <v>0.90596949999999998</v>
      </c>
    </row>
    <row r="176" spans="1:6">
      <c r="A176" s="557" t="s">
        <v>451</v>
      </c>
      <c r="B176" s="557" t="s">
        <v>2429</v>
      </c>
      <c r="C176" s="558" t="s">
        <v>2435</v>
      </c>
      <c r="D176" s="1372">
        <v>0.23903099999999999</v>
      </c>
      <c r="E176" s="1372">
        <v>6.0399499999999995E-2</v>
      </c>
      <c r="F176" s="1373">
        <v>0.90596949999999998</v>
      </c>
    </row>
    <row r="177" spans="1:6">
      <c r="A177" s="557" t="s">
        <v>1071</v>
      </c>
      <c r="B177" s="557" t="s">
        <v>2429</v>
      </c>
      <c r="C177" s="558" t="s">
        <v>2430</v>
      </c>
      <c r="D177" s="1372">
        <v>0.23903099999999999</v>
      </c>
      <c r="E177" s="1372">
        <v>6.0399499999999995E-2</v>
      </c>
      <c r="F177" s="1373">
        <v>0.90596949999999998</v>
      </c>
    </row>
    <row r="178" spans="1:6">
      <c r="A178" s="557" t="s">
        <v>1077</v>
      </c>
      <c r="B178" s="557" t="s">
        <v>2429</v>
      </c>
      <c r="C178" s="558" t="s">
        <v>1806</v>
      </c>
      <c r="D178" s="1372">
        <v>0.23903099999999999</v>
      </c>
      <c r="E178" s="1372">
        <v>6.0399499999999995E-2</v>
      </c>
      <c r="F178" s="1373">
        <v>0.90596949999999998</v>
      </c>
    </row>
    <row r="179" spans="1:6">
      <c r="A179" s="557" t="s">
        <v>452</v>
      </c>
      <c r="B179" s="557" t="s">
        <v>2429</v>
      </c>
      <c r="C179" s="558" t="s">
        <v>1804</v>
      </c>
      <c r="D179" s="1372">
        <v>0.23903099999999999</v>
      </c>
      <c r="E179" s="1372">
        <v>6.0399499999999995E-2</v>
      </c>
      <c r="F179" s="1373">
        <v>0.90596949999999998</v>
      </c>
    </row>
    <row r="180" spans="1:6">
      <c r="A180" s="557" t="s">
        <v>95</v>
      </c>
      <c r="B180" s="557" t="s">
        <v>2429</v>
      </c>
      <c r="C180" s="558" t="s">
        <v>1806</v>
      </c>
      <c r="D180" s="1372">
        <v>0.23903099999999999</v>
      </c>
      <c r="E180" s="1372">
        <v>6.0399499999999995E-2</v>
      </c>
      <c r="F180" s="1373">
        <v>0.90596949999999998</v>
      </c>
    </row>
    <row r="181" spans="1:6">
      <c r="A181" s="557" t="s">
        <v>2732</v>
      </c>
      <c r="B181" s="557" t="s">
        <v>6184</v>
      </c>
      <c r="C181" s="558" t="s">
        <v>2441</v>
      </c>
      <c r="D181" s="1372">
        <v>0.28458</v>
      </c>
      <c r="E181" s="1372">
        <v>3.1620000000000002E-2</v>
      </c>
      <c r="F181" s="1373">
        <v>1.2648000000000001</v>
      </c>
    </row>
    <row r="182" spans="1:6">
      <c r="A182" s="557" t="s">
        <v>3906</v>
      </c>
      <c r="B182" s="557" t="s">
        <v>6184</v>
      </c>
      <c r="C182" s="558" t="s">
        <v>2441</v>
      </c>
      <c r="D182" s="1372">
        <v>0.28458</v>
      </c>
      <c r="E182" s="1372">
        <v>3.1620000000000002E-2</v>
      </c>
      <c r="F182" s="1373">
        <v>1.2648000000000001</v>
      </c>
    </row>
    <row r="183" spans="1:6">
      <c r="A183" s="557" t="s">
        <v>3841</v>
      </c>
      <c r="B183" s="557" t="s">
        <v>2429</v>
      </c>
      <c r="C183" s="558" t="s">
        <v>1806</v>
      </c>
      <c r="D183" s="1372">
        <v>0.23903099999999999</v>
      </c>
      <c r="E183" s="1372">
        <v>6.0399499999999995E-2</v>
      </c>
      <c r="F183" s="1373">
        <v>0.90596949999999998</v>
      </c>
    </row>
    <row r="184" spans="1:6">
      <c r="A184" s="557" t="s">
        <v>453</v>
      </c>
      <c r="B184" s="557" t="s">
        <v>2429</v>
      </c>
      <c r="C184" s="558" t="s">
        <v>1804</v>
      </c>
      <c r="D184" s="1372">
        <v>0.23903099999999999</v>
      </c>
      <c r="E184" s="1372">
        <v>6.0399499999999995E-2</v>
      </c>
      <c r="F184" s="1373">
        <v>0.90596949999999998</v>
      </c>
    </row>
    <row r="185" spans="1:6">
      <c r="A185" s="557" t="s">
        <v>3803</v>
      </c>
      <c r="B185" s="557" t="s">
        <v>2429</v>
      </c>
      <c r="C185" s="558" t="s">
        <v>1806</v>
      </c>
      <c r="D185" s="1372">
        <v>0.23903099999999999</v>
      </c>
      <c r="E185" s="1372">
        <v>6.0399499999999995E-2</v>
      </c>
      <c r="F185" s="1373">
        <v>0.90596949999999998</v>
      </c>
    </row>
    <row r="186" spans="1:6">
      <c r="A186" s="557" t="s">
        <v>4348</v>
      </c>
      <c r="B186" s="557" t="s">
        <v>2429</v>
      </c>
      <c r="C186" s="558" t="s">
        <v>1806</v>
      </c>
      <c r="D186" s="1372">
        <v>0.23903099999999999</v>
      </c>
      <c r="E186" s="1372">
        <v>6.0399499999999995E-2</v>
      </c>
      <c r="F186" s="1373">
        <v>0.90596949999999998</v>
      </c>
    </row>
    <row r="187" spans="1:6">
      <c r="A187" s="557" t="s">
        <v>4349</v>
      </c>
      <c r="B187" s="557" t="s">
        <v>2429</v>
      </c>
      <c r="C187" s="558" t="s">
        <v>1806</v>
      </c>
      <c r="D187" s="1372">
        <v>0.23903099999999999</v>
      </c>
      <c r="E187" s="1372">
        <v>6.0399499999999995E-2</v>
      </c>
      <c r="F187" s="1373">
        <v>0.90596949999999998</v>
      </c>
    </row>
    <row r="188" spans="1:6">
      <c r="A188" s="557" t="s">
        <v>4100</v>
      </c>
      <c r="B188" s="557" t="s">
        <v>2429</v>
      </c>
      <c r="C188" s="558" t="s">
        <v>1806</v>
      </c>
      <c r="D188" s="1372">
        <v>0.23903099999999999</v>
      </c>
      <c r="E188" s="1372">
        <v>6.0399499999999995E-2</v>
      </c>
      <c r="F188" s="1373">
        <v>0.90596949999999998</v>
      </c>
    </row>
    <row r="189" spans="1:6">
      <c r="A189" s="557" t="s">
        <v>4350</v>
      </c>
      <c r="B189" s="557" t="s">
        <v>2442</v>
      </c>
      <c r="C189" s="558" t="s">
        <v>2442</v>
      </c>
      <c r="D189" s="1372">
        <v>0.312</v>
      </c>
      <c r="E189" s="1372">
        <v>0.13</v>
      </c>
      <c r="F189" s="1373">
        <v>0.8580000000000001</v>
      </c>
    </row>
    <row r="190" spans="1:6">
      <c r="A190" s="557" t="s">
        <v>1065</v>
      </c>
      <c r="B190" s="557" t="s">
        <v>2429</v>
      </c>
      <c r="C190" s="558" t="s">
        <v>1806</v>
      </c>
      <c r="D190" s="1372">
        <v>0.23903099999999999</v>
      </c>
      <c r="E190" s="1372">
        <v>6.0399499999999995E-2</v>
      </c>
      <c r="F190" s="1373">
        <v>0.90596949999999998</v>
      </c>
    </row>
    <row r="191" spans="1:6">
      <c r="A191" s="557" t="s">
        <v>4351</v>
      </c>
      <c r="B191" s="557" t="s">
        <v>2429</v>
      </c>
      <c r="C191" s="558" t="s">
        <v>1806</v>
      </c>
      <c r="D191" s="1372">
        <v>0.23903099999999999</v>
      </c>
      <c r="E191" s="1372">
        <v>6.0399499999999995E-2</v>
      </c>
      <c r="F191" s="1373">
        <v>0.90596949999999998</v>
      </c>
    </row>
    <row r="192" spans="1:6">
      <c r="A192" s="557" t="s">
        <v>5429</v>
      </c>
      <c r="B192" s="557" t="s">
        <v>2429</v>
      </c>
      <c r="C192" s="558" t="s">
        <v>1806</v>
      </c>
      <c r="D192" s="1372">
        <v>0.23903099999999999</v>
      </c>
      <c r="E192" s="1372">
        <v>6.0399499999999995E-2</v>
      </c>
      <c r="F192" s="1373">
        <v>0.90596949999999998</v>
      </c>
    </row>
    <row r="193" spans="1:6">
      <c r="A193" s="557" t="s">
        <v>4352</v>
      </c>
      <c r="B193" s="557" t="s">
        <v>2429</v>
      </c>
      <c r="C193" s="558" t="s">
        <v>1806</v>
      </c>
      <c r="D193" s="1372">
        <v>0.23903099999999999</v>
      </c>
      <c r="E193" s="1372">
        <v>6.0399499999999995E-2</v>
      </c>
      <c r="F193" s="1373">
        <v>0.90596949999999998</v>
      </c>
    </row>
    <row r="194" spans="1:6">
      <c r="A194" s="557" t="s">
        <v>4886</v>
      </c>
      <c r="B194" s="557" t="s">
        <v>2429</v>
      </c>
      <c r="C194" s="558" t="s">
        <v>1808</v>
      </c>
      <c r="D194" s="1372">
        <v>0.23903099999999999</v>
      </c>
      <c r="E194" s="1372">
        <v>6.0399499999999995E-2</v>
      </c>
      <c r="F194" s="1373">
        <v>0.90596949999999998</v>
      </c>
    </row>
    <row r="195" spans="1:6">
      <c r="A195" s="557" t="s">
        <v>1963</v>
      </c>
      <c r="B195" s="557" t="s">
        <v>2429</v>
      </c>
      <c r="C195" s="558" t="s">
        <v>5365</v>
      </c>
      <c r="D195" s="1372">
        <v>0.23903099999999999</v>
      </c>
      <c r="E195" s="1372">
        <v>6.0399499999999995E-2</v>
      </c>
      <c r="F195" s="1373">
        <v>0.90596949999999998</v>
      </c>
    </row>
    <row r="196" spans="1:6">
      <c r="A196" s="557" t="s">
        <v>928</v>
      </c>
      <c r="B196" s="557" t="s">
        <v>2429</v>
      </c>
      <c r="C196" s="558" t="s">
        <v>1806</v>
      </c>
      <c r="D196" s="1372">
        <v>0.23903099999999999</v>
      </c>
      <c r="E196" s="1372">
        <v>6.0399499999999995E-2</v>
      </c>
      <c r="F196" s="1373">
        <v>0.90596949999999998</v>
      </c>
    </row>
    <row r="197" spans="1:6">
      <c r="A197" s="557" t="s">
        <v>4306</v>
      </c>
      <c r="B197" s="557" t="s">
        <v>2429</v>
      </c>
      <c r="C197" s="558" t="s">
        <v>1806</v>
      </c>
      <c r="D197" s="1372">
        <v>0.23903099999999999</v>
      </c>
      <c r="E197" s="1372">
        <v>6.0399499999999995E-2</v>
      </c>
      <c r="F197" s="1373">
        <v>0.90596949999999998</v>
      </c>
    </row>
    <row r="198" spans="1:6">
      <c r="A198" s="557" t="s">
        <v>2770</v>
      </c>
      <c r="B198" s="557" t="s">
        <v>2429</v>
      </c>
      <c r="C198" s="558" t="s">
        <v>1806</v>
      </c>
      <c r="D198" s="1372">
        <v>0.23903099999999999</v>
      </c>
      <c r="E198" s="1372">
        <v>6.0399499999999995E-2</v>
      </c>
      <c r="F198" s="1373">
        <v>0.90596949999999998</v>
      </c>
    </row>
    <row r="199" spans="1:6">
      <c r="A199" s="557" t="s">
        <v>4353</v>
      </c>
      <c r="B199" s="557" t="s">
        <v>6184</v>
      </c>
      <c r="C199" s="558" t="s">
        <v>2441</v>
      </c>
      <c r="D199" s="1372">
        <v>0.28458</v>
      </c>
      <c r="E199" s="1372">
        <v>3.1620000000000002E-2</v>
      </c>
      <c r="F199" s="1373">
        <v>1.2648000000000001</v>
      </c>
    </row>
    <row r="200" spans="1:6">
      <c r="A200" s="557" t="s">
        <v>1339</v>
      </c>
      <c r="B200" s="557" t="s">
        <v>2429</v>
      </c>
      <c r="C200" s="558" t="s">
        <v>2437</v>
      </c>
      <c r="D200" s="1372">
        <v>0.23903099999999999</v>
      </c>
      <c r="E200" s="1372">
        <v>6.0399499999999995E-2</v>
      </c>
      <c r="F200" s="1373">
        <v>0.90596949999999998</v>
      </c>
    </row>
    <row r="201" spans="1:6">
      <c r="A201" s="557" t="s">
        <v>3617</v>
      </c>
      <c r="B201" s="557" t="s">
        <v>2429</v>
      </c>
      <c r="C201" s="558" t="s">
        <v>1806</v>
      </c>
      <c r="D201" s="1372">
        <v>0.23903099999999999</v>
      </c>
      <c r="E201" s="1372">
        <v>6.0399499999999995E-2</v>
      </c>
      <c r="F201" s="1373">
        <v>0.90596949999999998</v>
      </c>
    </row>
    <row r="202" spans="1:6">
      <c r="A202" s="557" t="s">
        <v>4354</v>
      </c>
      <c r="B202" s="557" t="s">
        <v>2429</v>
      </c>
      <c r="C202" s="558" t="s">
        <v>1806</v>
      </c>
      <c r="D202" s="1372">
        <v>0.23903099999999999</v>
      </c>
      <c r="E202" s="1372">
        <v>6.0399499999999995E-2</v>
      </c>
      <c r="F202" s="1373">
        <v>0.90596949999999998</v>
      </c>
    </row>
    <row r="203" spans="1:6">
      <c r="A203" s="557" t="s">
        <v>1552</v>
      </c>
      <c r="B203" s="557" t="s">
        <v>2429</v>
      </c>
      <c r="C203" s="558" t="s">
        <v>2433</v>
      </c>
      <c r="D203" s="1372">
        <v>0.23903099999999999</v>
      </c>
      <c r="E203" s="1372">
        <v>6.0399499999999995E-2</v>
      </c>
      <c r="F203" s="1373">
        <v>0.90596949999999998</v>
      </c>
    </row>
    <row r="204" spans="1:6">
      <c r="A204" s="557" t="s">
        <v>1516</v>
      </c>
      <c r="B204" s="557" t="s">
        <v>2429</v>
      </c>
      <c r="C204" s="558" t="s">
        <v>1808</v>
      </c>
      <c r="D204" s="1372">
        <v>0.23903099999999999</v>
      </c>
      <c r="E204" s="1372">
        <v>6.0399499999999995E-2</v>
      </c>
      <c r="F204" s="1373">
        <v>0.90596949999999998</v>
      </c>
    </row>
    <row r="205" spans="1:6">
      <c r="A205" s="557" t="s">
        <v>4355</v>
      </c>
      <c r="B205" s="557" t="s">
        <v>2429</v>
      </c>
      <c r="C205" s="558" t="s">
        <v>1806</v>
      </c>
      <c r="D205" s="1372">
        <v>0.23903099999999999</v>
      </c>
      <c r="E205" s="1372">
        <v>6.0399499999999995E-2</v>
      </c>
      <c r="F205" s="1373">
        <v>0.90596949999999998</v>
      </c>
    </row>
    <row r="206" spans="1:6">
      <c r="A206" s="557" t="s">
        <v>727</v>
      </c>
      <c r="B206" s="557" t="s">
        <v>6184</v>
      </c>
      <c r="C206" s="558" t="s">
        <v>2441</v>
      </c>
      <c r="D206" s="1372">
        <v>0.28458</v>
      </c>
      <c r="E206" s="1372">
        <v>3.1620000000000002E-2</v>
      </c>
      <c r="F206" s="1373">
        <v>1.2648000000000001</v>
      </c>
    </row>
    <row r="207" spans="1:6">
      <c r="A207" s="557" t="s">
        <v>748</v>
      </c>
      <c r="B207" s="557" t="s">
        <v>2429</v>
      </c>
      <c r="C207" s="558" t="s">
        <v>2429</v>
      </c>
      <c r="D207" s="1372">
        <v>0.23903099999999999</v>
      </c>
      <c r="E207" s="1372">
        <v>6.0399499999999995E-2</v>
      </c>
      <c r="F207" s="1373">
        <v>0.90596949999999998</v>
      </c>
    </row>
    <row r="208" spans="1:6">
      <c r="A208" s="557" t="s">
        <v>3609</v>
      </c>
      <c r="B208" s="557" t="s">
        <v>2429</v>
      </c>
      <c r="C208" s="558" t="s">
        <v>1806</v>
      </c>
      <c r="D208" s="1372">
        <v>0.23903099999999999</v>
      </c>
      <c r="E208" s="1372">
        <v>6.0399499999999995E-2</v>
      </c>
      <c r="F208" s="1373">
        <v>0.90596949999999998</v>
      </c>
    </row>
    <row r="209" spans="1:6">
      <c r="A209" s="557" t="s">
        <v>5662</v>
      </c>
      <c r="B209" s="557" t="s">
        <v>2429</v>
      </c>
      <c r="C209" s="558" t="s">
        <v>1806</v>
      </c>
      <c r="D209" s="1372">
        <v>0.23903099999999999</v>
      </c>
      <c r="E209" s="1372">
        <v>6.0399499999999995E-2</v>
      </c>
      <c r="F209" s="1373">
        <v>0.90596949999999998</v>
      </c>
    </row>
    <row r="210" spans="1:6">
      <c r="A210" s="557" t="s">
        <v>3795</v>
      </c>
      <c r="B210" s="557" t="s">
        <v>2429</v>
      </c>
      <c r="C210" s="558" t="s">
        <v>1806</v>
      </c>
      <c r="D210" s="1372">
        <v>0.23903099999999999</v>
      </c>
      <c r="E210" s="1372">
        <v>6.0399499999999995E-2</v>
      </c>
      <c r="F210" s="1373">
        <v>0.90596949999999998</v>
      </c>
    </row>
    <row r="211" spans="1:6">
      <c r="A211" s="557" t="s">
        <v>3109</v>
      </c>
      <c r="B211" s="557" t="s">
        <v>2429</v>
      </c>
      <c r="C211" s="558" t="s">
        <v>2438</v>
      </c>
      <c r="D211" s="1372">
        <v>0.23903099999999999</v>
      </c>
      <c r="E211" s="1372">
        <v>6.0399499999999995E-2</v>
      </c>
      <c r="F211" s="1373">
        <v>0.90596949999999998</v>
      </c>
    </row>
    <row r="212" spans="1:6">
      <c r="A212" s="557" t="s">
        <v>3839</v>
      </c>
      <c r="B212" s="557" t="s">
        <v>2429</v>
      </c>
      <c r="C212" s="558" t="s">
        <v>1806</v>
      </c>
      <c r="D212" s="1372">
        <v>0.23903099999999999</v>
      </c>
      <c r="E212" s="1372">
        <v>6.0399499999999995E-2</v>
      </c>
      <c r="F212" s="1373">
        <v>0.90596949999999998</v>
      </c>
    </row>
    <row r="213" spans="1:6">
      <c r="A213" s="557" t="s">
        <v>1550</v>
      </c>
      <c r="B213" s="557" t="s">
        <v>2429</v>
      </c>
      <c r="C213" s="558" t="s">
        <v>612</v>
      </c>
      <c r="D213" s="1372">
        <v>0.23903099999999999</v>
      </c>
      <c r="E213" s="1372">
        <v>6.0399499999999995E-2</v>
      </c>
      <c r="F213" s="1373">
        <v>0.90596949999999998</v>
      </c>
    </row>
    <row r="214" spans="1:6">
      <c r="A214" s="557" t="s">
        <v>6190</v>
      </c>
      <c r="B214" s="557" t="s">
        <v>2429</v>
      </c>
      <c r="C214" s="558" t="s">
        <v>1808</v>
      </c>
      <c r="D214" s="1372">
        <v>0.23903099999999999</v>
      </c>
      <c r="E214" s="1372">
        <v>6.0399499999999995E-2</v>
      </c>
      <c r="F214" s="1373">
        <v>0.90596949999999998</v>
      </c>
    </row>
    <row r="215" spans="1:6">
      <c r="A215" s="557" t="s">
        <v>4356</v>
      </c>
      <c r="B215" s="557" t="s">
        <v>5127</v>
      </c>
      <c r="C215" s="558" t="s">
        <v>1806</v>
      </c>
      <c r="D215" s="1372">
        <v>8.6399999999999991E-2</v>
      </c>
      <c r="E215" s="1372">
        <v>1.8360000000000001E-2</v>
      </c>
      <c r="F215" s="1373">
        <v>0.97524</v>
      </c>
    </row>
    <row r="216" spans="1:6">
      <c r="A216" s="557" t="s">
        <v>4357</v>
      </c>
      <c r="B216" s="557" t="s">
        <v>2429</v>
      </c>
      <c r="C216" s="558" t="s">
        <v>1806</v>
      </c>
      <c r="D216" s="1372">
        <v>0.23903099999999999</v>
      </c>
      <c r="E216" s="1372">
        <v>6.0399499999999995E-2</v>
      </c>
      <c r="F216" s="1373">
        <v>0.90596949999999998</v>
      </c>
    </row>
    <row r="217" spans="1:6">
      <c r="A217" s="557" t="s">
        <v>4358</v>
      </c>
      <c r="B217" s="557" t="s">
        <v>2429</v>
      </c>
      <c r="C217" s="558" t="s">
        <v>2435</v>
      </c>
      <c r="D217" s="1372">
        <v>0.23903099999999999</v>
      </c>
      <c r="E217" s="1372">
        <v>6.0399499999999995E-2</v>
      </c>
      <c r="F217" s="1373">
        <v>0.90596949999999998</v>
      </c>
    </row>
    <row r="218" spans="1:6">
      <c r="A218" s="557" t="s">
        <v>1111</v>
      </c>
      <c r="B218" s="557" t="s">
        <v>2429</v>
      </c>
      <c r="C218" s="558" t="s">
        <v>2435</v>
      </c>
      <c r="D218" s="1372">
        <v>0.23903099999999999</v>
      </c>
      <c r="E218" s="1372">
        <v>6.0399499999999995E-2</v>
      </c>
      <c r="F218" s="1373">
        <v>0.90596949999999998</v>
      </c>
    </row>
    <row r="219" spans="1:6">
      <c r="A219" s="557" t="s">
        <v>3986</v>
      </c>
      <c r="B219" s="557" t="s">
        <v>2429</v>
      </c>
      <c r="C219" s="558" t="s">
        <v>2433</v>
      </c>
      <c r="D219" s="1372">
        <v>0.23903099999999999</v>
      </c>
      <c r="E219" s="1372">
        <v>6.0399499999999995E-2</v>
      </c>
      <c r="F219" s="1373">
        <v>0.90596949999999998</v>
      </c>
    </row>
    <row r="220" spans="1:6">
      <c r="A220" s="557" t="s">
        <v>1069</v>
      </c>
      <c r="B220" s="557" t="s">
        <v>5365</v>
      </c>
      <c r="C220" s="558" t="s">
        <v>5365</v>
      </c>
      <c r="D220" s="1372">
        <v>3.9949999999999999E-2</v>
      </c>
      <c r="E220" s="1372">
        <v>0</v>
      </c>
      <c r="F220" s="1373">
        <v>0.75905</v>
      </c>
    </row>
    <row r="221" spans="1:6">
      <c r="A221" s="557" t="s">
        <v>5407</v>
      </c>
      <c r="B221" s="557" t="s">
        <v>2429</v>
      </c>
      <c r="C221" s="558" t="s">
        <v>3933</v>
      </c>
      <c r="D221" s="1372">
        <v>0.23903099999999999</v>
      </c>
      <c r="E221" s="1372">
        <v>6.0399499999999995E-2</v>
      </c>
      <c r="F221" s="1373">
        <v>0.90596949999999998</v>
      </c>
    </row>
    <row r="222" spans="1:6">
      <c r="A222" s="557" t="s">
        <v>858</v>
      </c>
      <c r="B222" s="557" t="s">
        <v>2429</v>
      </c>
      <c r="C222" s="558" t="s">
        <v>1806</v>
      </c>
      <c r="D222" s="1372">
        <v>0.23903099999999999</v>
      </c>
      <c r="E222" s="1372">
        <v>6.0399499999999995E-2</v>
      </c>
      <c r="F222" s="1373">
        <v>0.90596949999999998</v>
      </c>
    </row>
    <row r="223" spans="1:6">
      <c r="A223" s="557" t="s">
        <v>4359</v>
      </c>
      <c r="B223" s="557" t="s">
        <v>2429</v>
      </c>
      <c r="C223" s="558" t="s">
        <v>1806</v>
      </c>
      <c r="D223" s="1372">
        <v>0.23903099999999999</v>
      </c>
      <c r="E223" s="1372">
        <v>6.0399499999999995E-2</v>
      </c>
      <c r="F223" s="1373">
        <v>0.90596949999999998</v>
      </c>
    </row>
    <row r="224" spans="1:6">
      <c r="A224" s="557" t="s">
        <v>4360</v>
      </c>
      <c r="B224" s="557" t="s">
        <v>2429</v>
      </c>
      <c r="C224" s="558" t="s">
        <v>2435</v>
      </c>
      <c r="D224" s="1372">
        <v>0.23903099999999999</v>
      </c>
      <c r="E224" s="1372">
        <v>6.0399499999999995E-2</v>
      </c>
      <c r="F224" s="1373">
        <v>0.90596949999999998</v>
      </c>
    </row>
    <row r="225" spans="1:6">
      <c r="A225" s="557" t="s">
        <v>3282</v>
      </c>
      <c r="B225" s="557" t="s">
        <v>6184</v>
      </c>
      <c r="C225" s="558" t="s">
        <v>2441</v>
      </c>
      <c r="D225" s="1372">
        <v>0.28458</v>
      </c>
      <c r="E225" s="1372">
        <v>3.1620000000000002E-2</v>
      </c>
      <c r="F225" s="1373">
        <v>1.2648000000000001</v>
      </c>
    </row>
    <row r="226" spans="1:6">
      <c r="A226" s="557" t="s">
        <v>3796</v>
      </c>
      <c r="B226" s="557" t="s">
        <v>2429</v>
      </c>
      <c r="C226" s="558" t="s">
        <v>2430</v>
      </c>
      <c r="D226" s="1372">
        <v>0.23903099999999999</v>
      </c>
      <c r="E226" s="1372">
        <v>6.0399499999999995E-2</v>
      </c>
      <c r="F226" s="1373">
        <v>0.90596949999999998</v>
      </c>
    </row>
    <row r="227" spans="1:6">
      <c r="A227" s="557" t="s">
        <v>3797</v>
      </c>
      <c r="B227" s="557" t="s">
        <v>2429</v>
      </c>
      <c r="C227" s="558" t="s">
        <v>1806</v>
      </c>
      <c r="D227" s="1372">
        <v>0.23903099999999999</v>
      </c>
      <c r="E227" s="1372">
        <v>6.0399499999999995E-2</v>
      </c>
      <c r="F227" s="1373">
        <v>0.90596949999999998</v>
      </c>
    </row>
    <row r="228" spans="1:6">
      <c r="A228" s="557" t="s">
        <v>4361</v>
      </c>
      <c r="B228" s="557" t="s">
        <v>2429</v>
      </c>
      <c r="C228" s="558" t="s">
        <v>1806</v>
      </c>
      <c r="D228" s="1372">
        <v>0.23903099999999999</v>
      </c>
      <c r="E228" s="1372">
        <v>6.0399499999999995E-2</v>
      </c>
      <c r="F228" s="1373">
        <v>0.90596949999999998</v>
      </c>
    </row>
    <row r="229" spans="1:6">
      <c r="A229" s="557" t="s">
        <v>4362</v>
      </c>
      <c r="B229" s="557" t="s">
        <v>2429</v>
      </c>
      <c r="C229" s="558" t="s">
        <v>1806</v>
      </c>
      <c r="D229" s="1372">
        <v>0.23903099999999999</v>
      </c>
      <c r="E229" s="1372">
        <v>6.0399499999999995E-2</v>
      </c>
      <c r="F229" s="1373">
        <v>0.90596949999999998</v>
      </c>
    </row>
    <row r="230" spans="1:6">
      <c r="A230" s="557" t="s">
        <v>3842</v>
      </c>
      <c r="B230" s="557" t="s">
        <v>2429</v>
      </c>
      <c r="C230" s="558" t="s">
        <v>1806</v>
      </c>
      <c r="D230" s="1372">
        <v>0.23903099999999999</v>
      </c>
      <c r="E230" s="1372">
        <v>6.0399499999999995E-2</v>
      </c>
      <c r="F230" s="1373">
        <v>0.90596949999999998</v>
      </c>
    </row>
    <row r="231" spans="1:6">
      <c r="A231" s="557" t="s">
        <v>4304</v>
      </c>
      <c r="B231" s="557" t="s">
        <v>2429</v>
      </c>
      <c r="C231" s="558" t="s">
        <v>1806</v>
      </c>
      <c r="D231" s="1372">
        <v>0.23903099999999999</v>
      </c>
      <c r="E231" s="1372">
        <v>6.0399499999999995E-2</v>
      </c>
      <c r="F231" s="1373">
        <v>0.90596949999999998</v>
      </c>
    </row>
    <row r="232" spans="1:6">
      <c r="A232" s="557" t="s">
        <v>4363</v>
      </c>
      <c r="B232" s="557" t="s">
        <v>2429</v>
      </c>
      <c r="C232" s="558" t="s">
        <v>1804</v>
      </c>
      <c r="D232" s="1372">
        <v>0.23903099999999999</v>
      </c>
      <c r="E232" s="1372">
        <v>6.0399499999999995E-2</v>
      </c>
      <c r="F232" s="1373">
        <v>0.90596949999999998</v>
      </c>
    </row>
    <row r="233" spans="1:6">
      <c r="A233" s="557" t="s">
        <v>4364</v>
      </c>
      <c r="B233" s="557" t="s">
        <v>2429</v>
      </c>
      <c r="C233" s="558" t="s">
        <v>2439</v>
      </c>
      <c r="D233" s="1372">
        <v>0.23903099999999999</v>
      </c>
      <c r="E233" s="1372">
        <v>6.0399499999999995E-2</v>
      </c>
      <c r="F233" s="1373">
        <v>0.90596949999999998</v>
      </c>
    </row>
    <row r="234" spans="1:6">
      <c r="A234" s="557" t="s">
        <v>5324</v>
      </c>
      <c r="B234" s="557" t="s">
        <v>2429</v>
      </c>
      <c r="C234" s="558" t="s">
        <v>1804</v>
      </c>
      <c r="D234" s="1372">
        <v>0.23903099999999999</v>
      </c>
      <c r="E234" s="1372">
        <v>6.0399499999999995E-2</v>
      </c>
      <c r="F234" s="1373">
        <v>0.90596949999999998</v>
      </c>
    </row>
    <row r="235" spans="1:6">
      <c r="A235" s="557" t="s">
        <v>919</v>
      </c>
      <c r="B235" s="557" t="s">
        <v>6185</v>
      </c>
      <c r="C235" s="558" t="s">
        <v>3928</v>
      </c>
      <c r="D235" s="1372">
        <v>0.71249999999999991</v>
      </c>
      <c r="E235" s="1372">
        <v>7.1250000000000008E-2</v>
      </c>
      <c r="F235" s="1373">
        <v>0.64124999999999988</v>
      </c>
    </row>
    <row r="236" spans="1:6">
      <c r="A236" s="557" t="s">
        <v>5579</v>
      </c>
      <c r="B236" s="557" t="s">
        <v>2429</v>
      </c>
      <c r="C236" s="558" t="s">
        <v>1804</v>
      </c>
      <c r="D236" s="1372">
        <v>0.23903099999999999</v>
      </c>
      <c r="E236" s="1372">
        <v>6.0399499999999995E-2</v>
      </c>
      <c r="F236" s="1373">
        <v>0.90596949999999998</v>
      </c>
    </row>
    <row r="237" spans="1:6">
      <c r="A237" s="557" t="s">
        <v>4365</v>
      </c>
      <c r="B237" s="557" t="s">
        <v>2429</v>
      </c>
      <c r="C237" s="558" t="s">
        <v>1806</v>
      </c>
      <c r="D237" s="1372">
        <v>0.23903099999999999</v>
      </c>
      <c r="E237" s="1372">
        <v>6.0399499999999995E-2</v>
      </c>
      <c r="F237" s="1373">
        <v>0.90596949999999998</v>
      </c>
    </row>
    <row r="238" spans="1:6">
      <c r="A238" s="557" t="s">
        <v>1073</v>
      </c>
      <c r="B238" s="557" t="s">
        <v>2429</v>
      </c>
      <c r="C238" s="558" t="s">
        <v>2432</v>
      </c>
      <c r="D238" s="1372">
        <v>0.23903099999999999</v>
      </c>
      <c r="E238" s="1372">
        <v>6.0399499999999995E-2</v>
      </c>
      <c r="F238" s="1373">
        <v>0.90596949999999998</v>
      </c>
    </row>
    <row r="239" spans="1:6">
      <c r="A239" s="557" t="s">
        <v>5325</v>
      </c>
      <c r="B239" s="557" t="s">
        <v>2429</v>
      </c>
      <c r="C239" s="558" t="s">
        <v>1808</v>
      </c>
      <c r="D239" s="1372">
        <v>0.23903099999999999</v>
      </c>
      <c r="E239" s="1372">
        <v>6.0399499999999995E-2</v>
      </c>
      <c r="F239" s="1373">
        <v>0.90596949999999998</v>
      </c>
    </row>
    <row r="240" spans="1:6">
      <c r="A240" s="557" t="s">
        <v>5326</v>
      </c>
      <c r="B240" s="557" t="s">
        <v>2429</v>
      </c>
      <c r="C240" s="558" t="s">
        <v>1806</v>
      </c>
      <c r="D240" s="1372">
        <v>0.23903099999999999</v>
      </c>
      <c r="E240" s="1372">
        <v>6.0399499999999995E-2</v>
      </c>
      <c r="F240" s="1373">
        <v>0.90596949999999998</v>
      </c>
    </row>
    <row r="241" spans="1:6">
      <c r="A241" s="557" t="s">
        <v>4594</v>
      </c>
      <c r="B241" s="557" t="s">
        <v>2429</v>
      </c>
      <c r="C241" s="558" t="s">
        <v>2438</v>
      </c>
      <c r="D241" s="1372">
        <v>0.23903099999999999</v>
      </c>
      <c r="E241" s="1372">
        <v>6.0399499999999995E-2</v>
      </c>
      <c r="F241" s="1373">
        <v>0.90596949999999998</v>
      </c>
    </row>
    <row r="242" spans="1:6">
      <c r="A242" s="557" t="s">
        <v>4366</v>
      </c>
      <c r="B242" s="557" t="s">
        <v>2429</v>
      </c>
      <c r="C242" s="558" t="s">
        <v>3932</v>
      </c>
      <c r="D242" s="1372">
        <v>0.23903099999999999</v>
      </c>
      <c r="E242" s="1372">
        <v>6.0399499999999995E-2</v>
      </c>
      <c r="F242" s="1373">
        <v>0.90596949999999998</v>
      </c>
    </row>
    <row r="243" spans="1:6">
      <c r="A243" s="557" t="s">
        <v>5327</v>
      </c>
      <c r="B243" s="557" t="s">
        <v>2429</v>
      </c>
      <c r="C243" s="558" t="s">
        <v>1806</v>
      </c>
      <c r="D243" s="1372">
        <v>0.23903099999999999</v>
      </c>
      <c r="E243" s="1372">
        <v>6.0399499999999995E-2</v>
      </c>
      <c r="F243" s="1373">
        <v>0.90596949999999998</v>
      </c>
    </row>
    <row r="244" spans="1:6">
      <c r="A244" s="557" t="s">
        <v>5091</v>
      </c>
      <c r="B244" s="557" t="s">
        <v>2429</v>
      </c>
      <c r="C244" s="558" t="s">
        <v>1806</v>
      </c>
      <c r="D244" s="1372">
        <v>0.23903099999999999</v>
      </c>
      <c r="E244" s="1372">
        <v>6.0399499999999995E-2</v>
      </c>
      <c r="F244" s="1373">
        <v>0.90596949999999998</v>
      </c>
    </row>
    <row r="245" spans="1:6">
      <c r="A245" s="557" t="s">
        <v>929</v>
      </c>
      <c r="B245" s="557" t="s">
        <v>2429</v>
      </c>
      <c r="C245" s="558" t="s">
        <v>1806</v>
      </c>
      <c r="D245" s="1372">
        <v>0.23903099999999999</v>
      </c>
      <c r="E245" s="1372">
        <v>6.0399499999999995E-2</v>
      </c>
      <c r="F245" s="1373">
        <v>0.90596949999999998</v>
      </c>
    </row>
    <row r="246" spans="1:6">
      <c r="A246" s="557" t="s">
        <v>3907</v>
      </c>
      <c r="B246" s="557" t="s">
        <v>2429</v>
      </c>
      <c r="C246" s="558" t="s">
        <v>1806</v>
      </c>
      <c r="D246" s="1372">
        <v>0.23903099999999999</v>
      </c>
      <c r="E246" s="1372">
        <v>6.0399499999999995E-2</v>
      </c>
      <c r="F246" s="1373">
        <v>0.90596949999999998</v>
      </c>
    </row>
    <row r="247" spans="1:6">
      <c r="A247" s="557" t="s">
        <v>3798</v>
      </c>
      <c r="B247" s="557" t="s">
        <v>2429</v>
      </c>
      <c r="C247" s="558" t="s">
        <v>1806</v>
      </c>
      <c r="D247" s="1372">
        <v>0.23903099999999999</v>
      </c>
      <c r="E247" s="1372">
        <v>6.0399499999999995E-2</v>
      </c>
      <c r="F247" s="1373">
        <v>0.90596949999999998</v>
      </c>
    </row>
    <row r="248" spans="1:6">
      <c r="A248" s="557" t="s">
        <v>2158</v>
      </c>
      <c r="B248" s="557" t="s">
        <v>2429</v>
      </c>
      <c r="C248" s="558" t="s">
        <v>1806</v>
      </c>
      <c r="D248" s="1372">
        <v>0.23903099999999999</v>
      </c>
      <c r="E248" s="1372">
        <v>6.0399499999999995E-2</v>
      </c>
      <c r="F248" s="1373">
        <v>0.90596949999999998</v>
      </c>
    </row>
    <row r="249" spans="1:6">
      <c r="A249" s="557" t="s">
        <v>3045</v>
      </c>
      <c r="B249" s="557" t="s">
        <v>2429</v>
      </c>
      <c r="C249" s="558" t="s">
        <v>2433</v>
      </c>
      <c r="D249" s="1372">
        <v>0.23903099999999999</v>
      </c>
      <c r="E249" s="1372">
        <v>6.0399499999999995E-2</v>
      </c>
      <c r="F249" s="1373">
        <v>0.90596949999999998</v>
      </c>
    </row>
    <row r="250" spans="1:6">
      <c r="A250" s="557" t="s">
        <v>4367</v>
      </c>
      <c r="B250" s="557" t="s">
        <v>2429</v>
      </c>
      <c r="C250" s="558" t="s">
        <v>1806</v>
      </c>
      <c r="D250" s="1372">
        <v>0.23903099999999999</v>
      </c>
      <c r="E250" s="1372">
        <v>6.0399499999999995E-2</v>
      </c>
      <c r="F250" s="1373">
        <v>0.90596949999999998</v>
      </c>
    </row>
    <row r="251" spans="1:6">
      <c r="A251" s="557" t="s">
        <v>5195</v>
      </c>
      <c r="B251" s="557" t="s">
        <v>6184</v>
      </c>
      <c r="C251" s="558" t="s">
        <v>2441</v>
      </c>
      <c r="D251" s="1372">
        <v>0.28458</v>
      </c>
      <c r="E251" s="1372">
        <v>3.1620000000000002E-2</v>
      </c>
      <c r="F251" s="1373">
        <v>1.2648000000000001</v>
      </c>
    </row>
    <row r="252" spans="1:6">
      <c r="A252" s="557" t="s">
        <v>5328</v>
      </c>
      <c r="B252" s="557" t="s">
        <v>2429</v>
      </c>
      <c r="C252" s="558" t="s">
        <v>1806</v>
      </c>
      <c r="D252" s="1372">
        <v>0.23903099999999999</v>
      </c>
      <c r="E252" s="1372">
        <v>6.0399499999999995E-2</v>
      </c>
      <c r="F252" s="1373">
        <v>0.90596949999999998</v>
      </c>
    </row>
    <row r="253" spans="1:6">
      <c r="A253" s="557" t="s">
        <v>2641</v>
      </c>
      <c r="B253" s="557" t="s">
        <v>2429</v>
      </c>
      <c r="C253" s="558" t="s">
        <v>2438</v>
      </c>
      <c r="D253" s="1372">
        <v>0.23903099999999999</v>
      </c>
      <c r="E253" s="1372">
        <v>6.0399499999999995E-2</v>
      </c>
      <c r="F253" s="1373">
        <v>0.90596949999999998</v>
      </c>
    </row>
    <row r="254" spans="1:6">
      <c r="A254" s="557" t="s">
        <v>5329</v>
      </c>
      <c r="B254" s="557" t="s">
        <v>2429</v>
      </c>
      <c r="C254" s="558" t="s">
        <v>1806</v>
      </c>
      <c r="D254" s="1372">
        <v>0.23903099999999999</v>
      </c>
      <c r="E254" s="1372">
        <v>6.0399499999999995E-2</v>
      </c>
      <c r="F254" s="1373">
        <v>0.90596949999999998</v>
      </c>
    </row>
    <row r="255" spans="1:6">
      <c r="A255" s="557" t="s">
        <v>5330</v>
      </c>
      <c r="B255" s="557" t="s">
        <v>2429</v>
      </c>
      <c r="C255" s="558" t="s">
        <v>1807</v>
      </c>
      <c r="D255" s="1372">
        <v>0.23903099999999999</v>
      </c>
      <c r="E255" s="1372">
        <v>6.0399499999999995E-2</v>
      </c>
      <c r="F255" s="1373">
        <v>0.90596949999999998</v>
      </c>
    </row>
    <row r="256" spans="1:6">
      <c r="A256" s="557" t="s">
        <v>4368</v>
      </c>
      <c r="B256" s="557" t="s">
        <v>5140</v>
      </c>
      <c r="C256" s="558" t="s">
        <v>1806</v>
      </c>
      <c r="D256" s="1372">
        <v>6.9699999999999998E-2</v>
      </c>
      <c r="E256" s="1372">
        <v>0</v>
      </c>
      <c r="F256" s="1373">
        <v>1.3242999999999998</v>
      </c>
    </row>
    <row r="257" spans="1:6">
      <c r="A257" s="557" t="s">
        <v>3046</v>
      </c>
      <c r="B257" s="557" t="s">
        <v>2429</v>
      </c>
      <c r="C257" s="558" t="s">
        <v>2432</v>
      </c>
      <c r="D257" s="1372">
        <v>0.23903099999999999</v>
      </c>
      <c r="E257" s="1372">
        <v>6.0399499999999995E-2</v>
      </c>
      <c r="F257" s="1373">
        <v>0.90596949999999998</v>
      </c>
    </row>
    <row r="258" spans="1:6">
      <c r="A258" s="557" t="s">
        <v>4369</v>
      </c>
      <c r="B258" s="557" t="s">
        <v>2429</v>
      </c>
      <c r="C258" s="558" t="s">
        <v>1806</v>
      </c>
      <c r="D258" s="1372">
        <v>0.23903099999999999</v>
      </c>
      <c r="E258" s="1372">
        <v>6.0399499999999995E-2</v>
      </c>
      <c r="F258" s="1373">
        <v>0.90596949999999998</v>
      </c>
    </row>
    <row r="259" spans="1:6">
      <c r="A259" s="557" t="s">
        <v>4370</v>
      </c>
      <c r="B259" s="557" t="s">
        <v>2429</v>
      </c>
      <c r="C259" s="558" t="s">
        <v>1806</v>
      </c>
      <c r="D259" s="1372">
        <v>0.23903099999999999</v>
      </c>
      <c r="E259" s="1372">
        <v>6.0399499999999995E-2</v>
      </c>
      <c r="F259" s="1373">
        <v>0.90596949999999998</v>
      </c>
    </row>
    <row r="260" spans="1:6">
      <c r="A260" s="557" t="s">
        <v>4715</v>
      </c>
      <c r="B260" s="557" t="s">
        <v>5140</v>
      </c>
      <c r="C260" s="558" t="s">
        <v>1806</v>
      </c>
      <c r="D260" s="1372">
        <v>6.9699999999999998E-2</v>
      </c>
      <c r="E260" s="1372">
        <v>0</v>
      </c>
      <c r="F260" s="1373">
        <v>1.3242999999999998</v>
      </c>
    </row>
    <row r="261" spans="1:6">
      <c r="A261" s="557" t="s">
        <v>2174</v>
      </c>
      <c r="B261" s="557" t="s">
        <v>2429</v>
      </c>
      <c r="C261" s="558" t="s">
        <v>2435</v>
      </c>
      <c r="D261" s="1372">
        <v>0.23903099999999999</v>
      </c>
      <c r="E261" s="1372">
        <v>6.0399499999999995E-2</v>
      </c>
      <c r="F261" s="1373">
        <v>0.90596949999999998</v>
      </c>
    </row>
    <row r="262" spans="1:6">
      <c r="A262" s="557" t="s">
        <v>533</v>
      </c>
      <c r="B262" s="557" t="s">
        <v>2429</v>
      </c>
      <c r="C262" s="558" t="s">
        <v>1806</v>
      </c>
      <c r="D262" s="1372">
        <v>0.23903099999999999</v>
      </c>
      <c r="E262" s="1372">
        <v>6.0399499999999995E-2</v>
      </c>
      <c r="F262" s="1373">
        <v>0.90596949999999998</v>
      </c>
    </row>
    <row r="263" spans="1:6">
      <c r="A263" s="557" t="s">
        <v>4371</v>
      </c>
      <c r="B263" s="557" t="s">
        <v>2429</v>
      </c>
      <c r="C263" s="558" t="s">
        <v>1806</v>
      </c>
      <c r="D263" s="1372">
        <v>0.23903099999999999</v>
      </c>
      <c r="E263" s="1372">
        <v>6.0399499999999995E-2</v>
      </c>
      <c r="F263" s="1373">
        <v>0.90596949999999998</v>
      </c>
    </row>
    <row r="264" spans="1:6">
      <c r="A264" s="557" t="s">
        <v>4372</v>
      </c>
      <c r="B264" s="557" t="s">
        <v>2429</v>
      </c>
      <c r="C264" s="558" t="s">
        <v>1806</v>
      </c>
      <c r="D264" s="1372">
        <v>0.23903099999999999</v>
      </c>
      <c r="E264" s="1372">
        <v>6.0399499999999995E-2</v>
      </c>
      <c r="F264" s="1373">
        <v>0.90596949999999998</v>
      </c>
    </row>
    <row r="265" spans="1:6">
      <c r="A265" s="557" t="s">
        <v>3804</v>
      </c>
      <c r="B265" s="557" t="s">
        <v>2429</v>
      </c>
      <c r="C265" s="558" t="s">
        <v>2430</v>
      </c>
      <c r="D265" s="1372">
        <v>0.23903099999999999</v>
      </c>
      <c r="E265" s="1372">
        <v>6.0399499999999995E-2</v>
      </c>
      <c r="F265" s="1373">
        <v>0.90596949999999998</v>
      </c>
    </row>
    <row r="266" spans="1:6">
      <c r="A266" s="557" t="s">
        <v>5667</v>
      </c>
      <c r="B266" s="557" t="s">
        <v>2429</v>
      </c>
      <c r="C266" s="558" t="s">
        <v>1805</v>
      </c>
      <c r="D266" s="1372">
        <v>0.23903099999999999</v>
      </c>
      <c r="E266" s="1372">
        <v>6.0399499999999995E-2</v>
      </c>
      <c r="F266" s="1373">
        <v>0.90596949999999998</v>
      </c>
    </row>
    <row r="267" spans="1:6">
      <c r="A267" s="557" t="s">
        <v>5668</v>
      </c>
      <c r="B267" s="557" t="s">
        <v>2429</v>
      </c>
      <c r="C267" s="558" t="s">
        <v>1806</v>
      </c>
      <c r="D267" s="1372">
        <v>0.23903099999999999</v>
      </c>
      <c r="E267" s="1372">
        <v>6.0399499999999995E-2</v>
      </c>
      <c r="F267" s="1373">
        <v>0.90596949999999998</v>
      </c>
    </row>
    <row r="268" spans="1:6">
      <c r="A268" s="557" t="s">
        <v>5669</v>
      </c>
      <c r="B268" s="557" t="s">
        <v>2429</v>
      </c>
      <c r="C268" s="558" t="s">
        <v>1804</v>
      </c>
      <c r="D268" s="1372">
        <v>0.23903099999999999</v>
      </c>
      <c r="E268" s="1372">
        <v>6.0399499999999995E-2</v>
      </c>
      <c r="F268" s="1373">
        <v>0.90596949999999998</v>
      </c>
    </row>
    <row r="269" spans="1:6">
      <c r="A269" s="557" t="s">
        <v>1105</v>
      </c>
      <c r="B269" s="557" t="s">
        <v>2429</v>
      </c>
      <c r="C269" s="558" t="s">
        <v>1806</v>
      </c>
      <c r="D269" s="1372">
        <v>0.23903099999999999</v>
      </c>
      <c r="E269" s="1372">
        <v>6.0399499999999995E-2</v>
      </c>
      <c r="F269" s="1373">
        <v>0.90596949999999998</v>
      </c>
    </row>
    <row r="270" spans="1:6">
      <c r="A270" s="557" t="s">
        <v>4373</v>
      </c>
      <c r="B270" s="557" t="s">
        <v>6187</v>
      </c>
      <c r="C270" s="558" t="s">
        <v>1805</v>
      </c>
      <c r="D270" s="1372">
        <v>0.13818</v>
      </c>
      <c r="E270" s="1372">
        <v>1.4804999999999999E-2</v>
      </c>
      <c r="F270" s="1373">
        <v>0.83401499999999995</v>
      </c>
    </row>
    <row r="271" spans="1:6">
      <c r="A271" s="557" t="s">
        <v>2628</v>
      </c>
      <c r="B271" s="557" t="s">
        <v>3933</v>
      </c>
      <c r="C271" s="558" t="s">
        <v>3933</v>
      </c>
      <c r="D271" s="1372">
        <v>0.312</v>
      </c>
      <c r="E271" s="1372">
        <v>0.23399999999999999</v>
      </c>
      <c r="F271" s="1373">
        <v>0.75400000000000011</v>
      </c>
    </row>
    <row r="272" spans="1:6">
      <c r="A272" s="557" t="s">
        <v>3290</v>
      </c>
      <c r="B272" s="557" t="s">
        <v>2429</v>
      </c>
      <c r="C272" s="558" t="s">
        <v>1806</v>
      </c>
      <c r="D272" s="1372">
        <v>0.23903099999999999</v>
      </c>
      <c r="E272" s="1372">
        <v>6.0399499999999995E-2</v>
      </c>
      <c r="F272" s="1373">
        <v>0.90596949999999998</v>
      </c>
    </row>
    <row r="273" spans="1:6">
      <c r="A273" s="557" t="s">
        <v>4374</v>
      </c>
      <c r="B273" s="557" t="s">
        <v>2429</v>
      </c>
      <c r="C273" s="558" t="s">
        <v>1806</v>
      </c>
      <c r="D273" s="1372">
        <v>0.23903099999999999</v>
      </c>
      <c r="E273" s="1372">
        <v>6.0399499999999995E-2</v>
      </c>
      <c r="F273" s="1373">
        <v>0.90596949999999998</v>
      </c>
    </row>
    <row r="274" spans="1:6">
      <c r="A274" s="557" t="s">
        <v>4494</v>
      </c>
      <c r="B274" s="557" t="s">
        <v>2429</v>
      </c>
      <c r="C274" s="558" t="s">
        <v>2433</v>
      </c>
      <c r="D274" s="1372">
        <v>0.23903099999999999</v>
      </c>
      <c r="E274" s="1372">
        <v>6.0399499999999995E-2</v>
      </c>
      <c r="F274" s="1373">
        <v>0.90596949999999998</v>
      </c>
    </row>
    <row r="275" spans="1:6">
      <c r="A275" s="557" t="s">
        <v>828</v>
      </c>
      <c r="B275" s="557" t="s">
        <v>6184</v>
      </c>
      <c r="C275" s="558" t="s">
        <v>2441</v>
      </c>
      <c r="D275" s="1372">
        <v>0.28458</v>
      </c>
      <c r="E275" s="1372">
        <v>3.1620000000000002E-2</v>
      </c>
      <c r="F275" s="1373">
        <v>1.2648000000000001</v>
      </c>
    </row>
    <row r="276" spans="1:6">
      <c r="A276" s="557" t="s">
        <v>4310</v>
      </c>
      <c r="B276" s="557" t="s">
        <v>4310</v>
      </c>
      <c r="C276" s="558" t="s">
        <v>1806</v>
      </c>
      <c r="D276" s="1372">
        <v>2.4599999999999997E-2</v>
      </c>
      <c r="E276" s="1372">
        <v>8.199999999999999E-3</v>
      </c>
      <c r="F276" s="1373">
        <v>0.7871999999999999</v>
      </c>
    </row>
    <row r="277" spans="1:6">
      <c r="A277" s="557" t="s">
        <v>629</v>
      </c>
      <c r="B277" s="557" t="s">
        <v>2429</v>
      </c>
      <c r="C277" s="558" t="s">
        <v>1806</v>
      </c>
      <c r="D277" s="1372">
        <v>0.23903099999999999</v>
      </c>
      <c r="E277" s="1372">
        <v>6.0399499999999995E-2</v>
      </c>
      <c r="F277" s="1373">
        <v>0.90596949999999998</v>
      </c>
    </row>
    <row r="278" spans="1:6">
      <c r="A278" s="557" t="s">
        <v>4375</v>
      </c>
      <c r="B278" s="557" t="s">
        <v>6184</v>
      </c>
      <c r="C278" s="558" t="s">
        <v>2441</v>
      </c>
      <c r="D278" s="1372">
        <v>0.28458</v>
      </c>
      <c r="E278" s="1372">
        <v>3.1620000000000002E-2</v>
      </c>
      <c r="F278" s="1373">
        <v>1.2648000000000001</v>
      </c>
    </row>
    <row r="279" spans="1:6">
      <c r="A279" s="557" t="s">
        <v>4376</v>
      </c>
      <c r="B279" s="557" t="s">
        <v>6184</v>
      </c>
      <c r="C279" s="558" t="s">
        <v>2441</v>
      </c>
      <c r="D279" s="1372">
        <v>0.28458</v>
      </c>
      <c r="E279" s="1372">
        <v>3.1620000000000002E-2</v>
      </c>
      <c r="F279" s="1373">
        <v>1.2648000000000001</v>
      </c>
    </row>
    <row r="280" spans="1:6">
      <c r="A280" s="557" t="s">
        <v>3612</v>
      </c>
      <c r="B280" s="557" t="s">
        <v>5140</v>
      </c>
      <c r="C280" s="558" t="s">
        <v>1806</v>
      </c>
      <c r="D280" s="1372">
        <v>6.9699999999999998E-2</v>
      </c>
      <c r="E280" s="1372">
        <v>0</v>
      </c>
      <c r="F280" s="1373">
        <v>1.3242999999999998</v>
      </c>
    </row>
    <row r="281" spans="1:6">
      <c r="A281" s="557" t="s">
        <v>4377</v>
      </c>
      <c r="B281" s="557" t="s">
        <v>5365</v>
      </c>
      <c r="C281" s="558" t="s">
        <v>5365</v>
      </c>
      <c r="D281" s="1372">
        <v>3.9949999999999999E-2</v>
      </c>
      <c r="E281" s="1372">
        <v>0</v>
      </c>
      <c r="F281" s="1373">
        <v>0.75905</v>
      </c>
    </row>
    <row r="282" spans="1:6">
      <c r="A282" s="557" t="s">
        <v>1535</v>
      </c>
      <c r="B282" s="557" t="s">
        <v>5365</v>
      </c>
      <c r="C282" s="558" t="s">
        <v>5365</v>
      </c>
      <c r="D282" s="1372">
        <v>3.9949999999999999E-2</v>
      </c>
      <c r="E282" s="1372">
        <v>0</v>
      </c>
      <c r="F282" s="1373">
        <v>0.75905</v>
      </c>
    </row>
    <row r="283" spans="1:6">
      <c r="A283" s="557" t="s">
        <v>4378</v>
      </c>
      <c r="B283" s="557" t="s">
        <v>2429</v>
      </c>
      <c r="C283" s="558" t="s">
        <v>3932</v>
      </c>
      <c r="D283" s="1372">
        <v>0.23903099999999999</v>
      </c>
      <c r="E283" s="1372">
        <v>6.0399499999999995E-2</v>
      </c>
      <c r="F283" s="1373">
        <v>0.90596949999999998</v>
      </c>
    </row>
    <row r="284" spans="1:6">
      <c r="A284" s="557" t="s">
        <v>1068</v>
      </c>
      <c r="B284" s="557" t="s">
        <v>2429</v>
      </c>
      <c r="C284" s="558" t="s">
        <v>1806</v>
      </c>
      <c r="D284" s="1372">
        <v>0.23903099999999999</v>
      </c>
      <c r="E284" s="1372">
        <v>6.0399499999999995E-2</v>
      </c>
      <c r="F284" s="1373">
        <v>0.90596949999999998</v>
      </c>
    </row>
    <row r="285" spans="1:6">
      <c r="A285" s="557" t="s">
        <v>1964</v>
      </c>
      <c r="B285" s="557" t="s">
        <v>2429</v>
      </c>
      <c r="C285" s="558" t="s">
        <v>1806</v>
      </c>
      <c r="D285" s="1372">
        <v>0.23903099999999999</v>
      </c>
      <c r="E285" s="1372">
        <v>6.0399499999999995E-2</v>
      </c>
      <c r="F285" s="1373">
        <v>0.90596949999999998</v>
      </c>
    </row>
    <row r="286" spans="1:6">
      <c r="A286" s="557" t="s">
        <v>4379</v>
      </c>
      <c r="B286" s="557" t="s">
        <v>2429</v>
      </c>
      <c r="C286" s="558" t="s">
        <v>5366</v>
      </c>
      <c r="D286" s="1372">
        <v>0.23903099999999999</v>
      </c>
      <c r="E286" s="1372">
        <v>6.0399499999999995E-2</v>
      </c>
      <c r="F286" s="1373">
        <v>0.90596949999999998</v>
      </c>
    </row>
    <row r="287" spans="1:6">
      <c r="A287" s="557" t="s">
        <v>930</v>
      </c>
      <c r="B287" s="557" t="s">
        <v>5127</v>
      </c>
      <c r="C287" s="558" t="s">
        <v>1806</v>
      </c>
      <c r="D287" s="1372">
        <v>8.6399999999999991E-2</v>
      </c>
      <c r="E287" s="1372">
        <v>1.8360000000000001E-2</v>
      </c>
      <c r="F287" s="1373">
        <v>0.97524</v>
      </c>
    </row>
    <row r="288" spans="1:6">
      <c r="A288" s="557" t="s">
        <v>3805</v>
      </c>
      <c r="B288" s="557" t="s">
        <v>2429</v>
      </c>
      <c r="C288" s="558" t="s">
        <v>2429</v>
      </c>
      <c r="D288" s="1372">
        <v>0.23903099999999999</v>
      </c>
      <c r="E288" s="1372">
        <v>6.0399499999999995E-2</v>
      </c>
      <c r="F288" s="1373">
        <v>0.90596949999999998</v>
      </c>
    </row>
    <row r="289" spans="1:6">
      <c r="A289" s="557" t="s">
        <v>5604</v>
      </c>
      <c r="B289" s="557" t="s">
        <v>2429</v>
      </c>
      <c r="C289" s="558" t="s">
        <v>1806</v>
      </c>
      <c r="D289" s="1372">
        <v>0.23903099999999999</v>
      </c>
      <c r="E289" s="1372">
        <v>6.0399499999999995E-2</v>
      </c>
      <c r="F289" s="1373">
        <v>0.90596949999999998</v>
      </c>
    </row>
    <row r="290" spans="1:6">
      <c r="A290" s="557" t="s">
        <v>4380</v>
      </c>
      <c r="B290" s="557" t="s">
        <v>2429</v>
      </c>
      <c r="C290" s="558" t="s">
        <v>2433</v>
      </c>
      <c r="D290" s="1372">
        <v>0.23903099999999999</v>
      </c>
      <c r="E290" s="1372">
        <v>6.0399499999999995E-2</v>
      </c>
      <c r="F290" s="1373">
        <v>0.90596949999999998</v>
      </c>
    </row>
    <row r="291" spans="1:6">
      <c r="A291" s="557" t="s">
        <v>931</v>
      </c>
      <c r="B291" s="557" t="s">
        <v>2429</v>
      </c>
      <c r="C291" s="558" t="s">
        <v>1806</v>
      </c>
      <c r="D291" s="1372">
        <v>0.23903099999999999</v>
      </c>
      <c r="E291" s="1372">
        <v>6.0399499999999995E-2</v>
      </c>
      <c r="F291" s="1373">
        <v>0.90596949999999998</v>
      </c>
    </row>
    <row r="292" spans="1:6">
      <c r="A292" s="557" t="s">
        <v>1785</v>
      </c>
      <c r="B292" s="557" t="s">
        <v>5140</v>
      </c>
      <c r="C292" s="558" t="s">
        <v>1806</v>
      </c>
      <c r="D292" s="1372">
        <v>6.9699999999999998E-2</v>
      </c>
      <c r="E292" s="1372">
        <v>0</v>
      </c>
      <c r="F292" s="1373">
        <v>1.3242999999999998</v>
      </c>
    </row>
    <row r="293" spans="1:6">
      <c r="A293" s="557" t="s">
        <v>4509</v>
      </c>
      <c r="B293" s="557" t="s">
        <v>5365</v>
      </c>
      <c r="C293" s="558" t="s">
        <v>5365</v>
      </c>
      <c r="D293" s="1372">
        <v>3.9949999999999999E-2</v>
      </c>
      <c r="E293" s="1372">
        <v>0</v>
      </c>
      <c r="F293" s="1373">
        <v>0.75905</v>
      </c>
    </row>
    <row r="294" spans="1:6">
      <c r="A294" s="557" t="s">
        <v>4381</v>
      </c>
      <c r="B294" s="557" t="s">
        <v>2429</v>
      </c>
      <c r="C294" s="558" t="s">
        <v>1806</v>
      </c>
      <c r="D294" s="1372">
        <v>0.23903099999999999</v>
      </c>
      <c r="E294" s="1372">
        <v>6.0399499999999995E-2</v>
      </c>
      <c r="F294" s="1373">
        <v>0.90596949999999998</v>
      </c>
    </row>
    <row r="295" spans="1:6">
      <c r="A295" s="557" t="s">
        <v>1066</v>
      </c>
      <c r="B295" s="557" t="s">
        <v>6187</v>
      </c>
      <c r="C295" s="558" t="s">
        <v>1805</v>
      </c>
      <c r="D295" s="1372">
        <v>0.13818</v>
      </c>
      <c r="E295" s="1372">
        <v>1.4804999999999999E-2</v>
      </c>
      <c r="F295" s="1373">
        <v>0.83401499999999995</v>
      </c>
    </row>
    <row r="296" spans="1:6">
      <c r="A296" s="557" t="s">
        <v>1450</v>
      </c>
      <c r="B296" s="557" t="s">
        <v>2429</v>
      </c>
      <c r="C296" s="558" t="s">
        <v>1806</v>
      </c>
      <c r="D296" s="1372">
        <v>0.23903099999999999</v>
      </c>
      <c r="E296" s="1372">
        <v>6.0399499999999995E-2</v>
      </c>
      <c r="F296" s="1373">
        <v>0.90596949999999998</v>
      </c>
    </row>
    <row r="297" spans="1:6">
      <c r="A297" s="557" t="s">
        <v>1783</v>
      </c>
      <c r="B297" s="557" t="s">
        <v>5127</v>
      </c>
      <c r="C297" s="558" t="s">
        <v>1806</v>
      </c>
      <c r="D297" s="1372">
        <v>8.6399999999999991E-2</v>
      </c>
      <c r="E297" s="1372">
        <v>1.8360000000000001E-2</v>
      </c>
      <c r="F297" s="1373">
        <v>0.97524</v>
      </c>
    </row>
    <row r="298" spans="1:6">
      <c r="A298" s="557" t="s">
        <v>5408</v>
      </c>
      <c r="B298" s="557" t="s">
        <v>2429</v>
      </c>
      <c r="C298" s="558" t="s">
        <v>1806</v>
      </c>
      <c r="D298" s="1372">
        <v>0.23903099999999999</v>
      </c>
      <c r="E298" s="1372">
        <v>6.0399499999999995E-2</v>
      </c>
      <c r="F298" s="1373">
        <v>0.90596949999999998</v>
      </c>
    </row>
    <row r="299" spans="1:6">
      <c r="A299" s="557" t="s">
        <v>3291</v>
      </c>
      <c r="B299" s="557" t="s">
        <v>2429</v>
      </c>
      <c r="C299" s="558" t="s">
        <v>1804</v>
      </c>
      <c r="D299" s="1372">
        <v>0.23903099999999999</v>
      </c>
      <c r="E299" s="1372">
        <v>6.0399499999999995E-2</v>
      </c>
      <c r="F299" s="1373">
        <v>0.90596949999999998</v>
      </c>
    </row>
    <row r="300" spans="1:6">
      <c r="A300" s="557" t="s">
        <v>4654</v>
      </c>
      <c r="B300" s="557" t="s">
        <v>6184</v>
      </c>
      <c r="C300" s="558" t="s">
        <v>2441</v>
      </c>
      <c r="D300" s="1372">
        <v>0.28458</v>
      </c>
      <c r="E300" s="1372">
        <v>3.1620000000000002E-2</v>
      </c>
      <c r="F300" s="1373">
        <v>1.2648000000000001</v>
      </c>
    </row>
    <row r="301" spans="1:6">
      <c r="A301" s="557" t="s">
        <v>4382</v>
      </c>
      <c r="B301" s="557" t="s">
        <v>2429</v>
      </c>
      <c r="C301" s="558" t="s">
        <v>2434</v>
      </c>
      <c r="D301" s="1372">
        <v>0.23903099999999999</v>
      </c>
      <c r="E301" s="1372">
        <v>6.0399499999999995E-2</v>
      </c>
      <c r="F301" s="1373">
        <v>0.90596949999999998</v>
      </c>
    </row>
    <row r="302" spans="1:6">
      <c r="A302" s="557" t="s">
        <v>1074</v>
      </c>
      <c r="B302" s="557" t="s">
        <v>2429</v>
      </c>
      <c r="C302" s="558" t="s">
        <v>2434</v>
      </c>
      <c r="D302" s="1372">
        <v>0.23903099999999999</v>
      </c>
      <c r="E302" s="1372">
        <v>6.0399499999999995E-2</v>
      </c>
      <c r="F302" s="1373">
        <v>0.90596949999999998</v>
      </c>
    </row>
    <row r="303" spans="1:6">
      <c r="A303" s="557" t="s">
        <v>3047</v>
      </c>
      <c r="B303" s="557" t="s">
        <v>2429</v>
      </c>
      <c r="C303" s="558" t="s">
        <v>2432</v>
      </c>
      <c r="D303" s="1372">
        <v>0.23903099999999999</v>
      </c>
      <c r="E303" s="1372">
        <v>6.0399499999999995E-2</v>
      </c>
      <c r="F303" s="1373">
        <v>0.90596949999999998</v>
      </c>
    </row>
    <row r="304" spans="1:6">
      <c r="A304" s="557" t="s">
        <v>4655</v>
      </c>
      <c r="B304" s="557" t="s">
        <v>2429</v>
      </c>
      <c r="C304" s="558" t="s">
        <v>2435</v>
      </c>
      <c r="D304" s="1372">
        <v>0.23903099999999999</v>
      </c>
      <c r="E304" s="1372">
        <v>6.0399499999999995E-2</v>
      </c>
      <c r="F304" s="1373">
        <v>0.90596949999999998</v>
      </c>
    </row>
    <row r="305" spans="1:6">
      <c r="A305" s="557" t="s">
        <v>1645</v>
      </c>
      <c r="B305" s="557" t="s">
        <v>2429</v>
      </c>
      <c r="C305" s="558" t="s">
        <v>1806</v>
      </c>
      <c r="D305" s="1372">
        <v>0.23903099999999999</v>
      </c>
      <c r="E305" s="1372">
        <v>6.0399499999999995E-2</v>
      </c>
      <c r="F305" s="1373">
        <v>0.90596949999999998</v>
      </c>
    </row>
    <row r="306" spans="1:6">
      <c r="A306" s="557" t="s">
        <v>1220</v>
      </c>
      <c r="B306" s="557" t="s">
        <v>2429</v>
      </c>
      <c r="C306" s="558" t="s">
        <v>1806</v>
      </c>
      <c r="D306" s="1372">
        <v>0.23903099999999999</v>
      </c>
      <c r="E306" s="1372">
        <v>6.0399499999999995E-2</v>
      </c>
      <c r="F306" s="1373">
        <v>0.90596949999999998</v>
      </c>
    </row>
    <row r="307" spans="1:6">
      <c r="A307" s="557" t="s">
        <v>4383</v>
      </c>
      <c r="B307" s="557" t="s">
        <v>2429</v>
      </c>
      <c r="C307" s="558" t="s">
        <v>1806</v>
      </c>
      <c r="D307" s="1372">
        <v>0.23903099999999999</v>
      </c>
      <c r="E307" s="1372">
        <v>6.0399499999999995E-2</v>
      </c>
      <c r="F307" s="1373">
        <v>0.90596949999999998</v>
      </c>
    </row>
    <row r="308" spans="1:6">
      <c r="A308" s="557" t="s">
        <v>3845</v>
      </c>
      <c r="B308" s="557" t="s">
        <v>6184</v>
      </c>
      <c r="C308" s="558" t="s">
        <v>2441</v>
      </c>
      <c r="D308" s="1372">
        <v>0.28458</v>
      </c>
      <c r="E308" s="1372">
        <v>3.1620000000000002E-2</v>
      </c>
      <c r="F308" s="1373">
        <v>1.2648000000000001</v>
      </c>
    </row>
    <row r="309" spans="1:6">
      <c r="A309" s="557" t="s">
        <v>4384</v>
      </c>
      <c r="B309" s="557" t="s">
        <v>2429</v>
      </c>
      <c r="C309" s="558" t="s">
        <v>1806</v>
      </c>
      <c r="D309" s="1372">
        <v>0.23903099999999999</v>
      </c>
      <c r="E309" s="1372">
        <v>6.0399499999999995E-2</v>
      </c>
      <c r="F309" s="1373">
        <v>0.90596949999999998</v>
      </c>
    </row>
    <row r="310" spans="1:6">
      <c r="A310" s="557" t="s">
        <v>4767</v>
      </c>
      <c r="B310" s="557" t="s">
        <v>2429</v>
      </c>
      <c r="C310" s="558" t="s">
        <v>2969</v>
      </c>
      <c r="D310" s="1372">
        <v>0.23903099999999999</v>
      </c>
      <c r="E310" s="1372">
        <v>6.0399499999999995E-2</v>
      </c>
      <c r="F310" s="1373">
        <v>0.90596949999999998</v>
      </c>
    </row>
    <row r="311" spans="1:6">
      <c r="A311" s="557" t="s">
        <v>4768</v>
      </c>
      <c r="B311" s="557" t="s">
        <v>2429</v>
      </c>
      <c r="C311" s="558" t="s">
        <v>2437</v>
      </c>
      <c r="D311" s="1372">
        <v>0.23903099999999999</v>
      </c>
      <c r="E311" s="1372">
        <v>6.0399499999999995E-2</v>
      </c>
      <c r="F311" s="1373">
        <v>0.90596949999999998</v>
      </c>
    </row>
    <row r="312" spans="1:6">
      <c r="A312" s="557" t="s">
        <v>2123</v>
      </c>
      <c r="B312" s="557" t="s">
        <v>2429</v>
      </c>
      <c r="C312" s="558" t="s">
        <v>2435</v>
      </c>
      <c r="D312" s="1372">
        <v>0.23903099999999999</v>
      </c>
      <c r="E312" s="1372">
        <v>6.0399499999999995E-2</v>
      </c>
      <c r="F312" s="1373">
        <v>0.90596949999999998</v>
      </c>
    </row>
    <row r="313" spans="1:6">
      <c r="A313" s="557" t="s">
        <v>4385</v>
      </c>
      <c r="B313" s="557" t="s">
        <v>2429</v>
      </c>
      <c r="C313" s="558" t="s">
        <v>1806</v>
      </c>
      <c r="D313" s="1372">
        <v>0.23903099999999999</v>
      </c>
      <c r="E313" s="1372">
        <v>6.0399499999999995E-2</v>
      </c>
      <c r="F313" s="1373">
        <v>0.90596949999999998</v>
      </c>
    </row>
    <row r="314" spans="1:6">
      <c r="A314" s="557" t="s">
        <v>2814</v>
      </c>
      <c r="B314" s="557" t="s">
        <v>2429</v>
      </c>
      <c r="C314" s="558" t="s">
        <v>1806</v>
      </c>
      <c r="D314" s="1372">
        <v>0.23903099999999999</v>
      </c>
      <c r="E314" s="1372">
        <v>6.0399499999999995E-2</v>
      </c>
      <c r="F314" s="1373">
        <v>0.90596949999999998</v>
      </c>
    </row>
    <row r="315" spans="1:6">
      <c r="A315" s="557" t="s">
        <v>4386</v>
      </c>
      <c r="B315" s="557" t="s">
        <v>2429</v>
      </c>
      <c r="C315" s="558" t="s">
        <v>1804</v>
      </c>
      <c r="D315" s="1372">
        <v>0.23903099999999999</v>
      </c>
      <c r="E315" s="1372">
        <v>6.0399499999999995E-2</v>
      </c>
      <c r="F315" s="1373">
        <v>0.90596949999999998</v>
      </c>
    </row>
    <row r="316" spans="1:6">
      <c r="A316" s="557" t="s">
        <v>2815</v>
      </c>
      <c r="B316" s="557" t="s">
        <v>2429</v>
      </c>
      <c r="C316" s="558" t="s">
        <v>1804</v>
      </c>
      <c r="D316" s="1372">
        <v>0.23903099999999999</v>
      </c>
      <c r="E316" s="1372">
        <v>6.0399499999999995E-2</v>
      </c>
      <c r="F316" s="1373">
        <v>0.90596949999999998</v>
      </c>
    </row>
    <row r="317" spans="1:6">
      <c r="A317" s="557" t="s">
        <v>3450</v>
      </c>
      <c r="B317" s="557" t="s">
        <v>3933</v>
      </c>
      <c r="C317" s="558" t="s">
        <v>3933</v>
      </c>
      <c r="D317" s="1372">
        <v>0.312</v>
      </c>
      <c r="E317" s="1372">
        <v>0.23399999999999999</v>
      </c>
      <c r="F317" s="1373">
        <v>0.75400000000000011</v>
      </c>
    </row>
    <row r="318" spans="1:6">
      <c r="A318" s="557" t="s">
        <v>4387</v>
      </c>
      <c r="B318" s="557" t="s">
        <v>2429</v>
      </c>
      <c r="C318" s="558" t="s">
        <v>1806</v>
      </c>
      <c r="D318" s="1372">
        <v>0.23903099999999999</v>
      </c>
      <c r="E318" s="1372">
        <v>6.0399499999999995E-2</v>
      </c>
      <c r="F318" s="1373">
        <v>0.90596949999999998</v>
      </c>
    </row>
    <row r="319" spans="1:6">
      <c r="A319" s="557" t="s">
        <v>5677</v>
      </c>
      <c r="B319" s="557" t="s">
        <v>6184</v>
      </c>
      <c r="C319" s="558" t="s">
        <v>2441</v>
      </c>
      <c r="D319" s="1372">
        <v>0.28458</v>
      </c>
      <c r="E319" s="1372">
        <v>3.1620000000000002E-2</v>
      </c>
      <c r="F319" s="1373">
        <v>1.2648000000000001</v>
      </c>
    </row>
    <row r="320" spans="1:6">
      <c r="A320" s="557" t="s">
        <v>2323</v>
      </c>
      <c r="B320" s="557" t="s">
        <v>2429</v>
      </c>
      <c r="C320" s="558" t="s">
        <v>2431</v>
      </c>
      <c r="D320" s="1372">
        <v>0.23903099999999999</v>
      </c>
      <c r="E320" s="1372">
        <v>6.0399499999999995E-2</v>
      </c>
      <c r="F320" s="1373">
        <v>0.90596949999999998</v>
      </c>
    </row>
    <row r="321" spans="1:6">
      <c r="A321" s="557" t="s">
        <v>4388</v>
      </c>
      <c r="B321" s="557" t="s">
        <v>5127</v>
      </c>
      <c r="C321" s="558" t="s">
        <v>1806</v>
      </c>
      <c r="D321" s="1372">
        <v>8.6399999999999991E-2</v>
      </c>
      <c r="E321" s="1372">
        <v>1.8360000000000001E-2</v>
      </c>
      <c r="F321" s="1373">
        <v>0.97524</v>
      </c>
    </row>
    <row r="322" spans="1:6">
      <c r="A322" s="557" t="s">
        <v>3299</v>
      </c>
      <c r="B322" s="557" t="s">
        <v>5127</v>
      </c>
      <c r="C322" s="558" t="s">
        <v>1806</v>
      </c>
      <c r="D322" s="1372">
        <v>8.6399999999999991E-2</v>
      </c>
      <c r="E322" s="1372">
        <v>1.8360000000000001E-2</v>
      </c>
      <c r="F322" s="1373">
        <v>0.97524</v>
      </c>
    </row>
    <row r="323" spans="1:6">
      <c r="A323" s="557" t="s">
        <v>4389</v>
      </c>
      <c r="B323" s="557" t="s">
        <v>2429</v>
      </c>
      <c r="C323" s="558" t="s">
        <v>1806</v>
      </c>
      <c r="D323" s="1372">
        <v>0.23903099999999999</v>
      </c>
      <c r="E323" s="1372">
        <v>6.0399499999999995E-2</v>
      </c>
      <c r="F323" s="1373">
        <v>0.90596949999999998</v>
      </c>
    </row>
    <row r="324" spans="1:6">
      <c r="A324" s="557" t="s">
        <v>4213</v>
      </c>
      <c r="B324" s="557" t="s">
        <v>2429</v>
      </c>
      <c r="C324" s="558" t="s">
        <v>1806</v>
      </c>
      <c r="D324" s="1372">
        <v>0.23903099999999999</v>
      </c>
      <c r="E324" s="1372">
        <v>6.0399499999999995E-2</v>
      </c>
      <c r="F324" s="1373">
        <v>0.90596949999999998</v>
      </c>
    </row>
    <row r="325" spans="1:6">
      <c r="A325" s="557" t="s">
        <v>4390</v>
      </c>
      <c r="B325" s="557" t="s">
        <v>2429</v>
      </c>
      <c r="C325" s="558" t="s">
        <v>436</v>
      </c>
      <c r="D325" s="1372">
        <v>0.23903099999999999</v>
      </c>
      <c r="E325" s="1372">
        <v>6.0399499999999995E-2</v>
      </c>
      <c r="F325" s="1373">
        <v>0.90596949999999998</v>
      </c>
    </row>
    <row r="326" spans="1:6">
      <c r="A326" s="557" t="s">
        <v>4391</v>
      </c>
      <c r="B326" s="557" t="s">
        <v>2429</v>
      </c>
      <c r="C326" s="558" t="s">
        <v>1806</v>
      </c>
      <c r="D326" s="1372">
        <v>0.23903099999999999</v>
      </c>
      <c r="E326" s="1372">
        <v>6.0399499999999995E-2</v>
      </c>
      <c r="F326" s="1373">
        <v>0.90596949999999998</v>
      </c>
    </row>
    <row r="327" spans="1:6">
      <c r="A327" s="557" t="s">
        <v>4082</v>
      </c>
      <c r="B327" s="557" t="s">
        <v>6184</v>
      </c>
      <c r="C327" s="558" t="s">
        <v>2441</v>
      </c>
      <c r="D327" s="1372">
        <v>0.28458</v>
      </c>
      <c r="E327" s="1372">
        <v>3.1620000000000002E-2</v>
      </c>
      <c r="F327" s="1373">
        <v>1.2648000000000001</v>
      </c>
    </row>
    <row r="328" spans="1:6">
      <c r="A328" s="557" t="s">
        <v>4392</v>
      </c>
      <c r="B328" s="557" t="s">
        <v>2429</v>
      </c>
      <c r="C328" s="558" t="s">
        <v>2435</v>
      </c>
      <c r="D328" s="1372">
        <v>0.23903099999999999</v>
      </c>
      <c r="E328" s="1372">
        <v>6.0399499999999995E-2</v>
      </c>
      <c r="F328" s="1373">
        <v>0.90596949999999998</v>
      </c>
    </row>
    <row r="329" spans="1:6">
      <c r="A329" s="557" t="s">
        <v>3310</v>
      </c>
      <c r="B329" s="557" t="s">
        <v>2429</v>
      </c>
      <c r="C329" s="558" t="s">
        <v>1806</v>
      </c>
      <c r="D329" s="1372">
        <v>0.23903099999999999</v>
      </c>
      <c r="E329" s="1372">
        <v>6.0399499999999995E-2</v>
      </c>
      <c r="F329" s="1373">
        <v>0.90596949999999998</v>
      </c>
    </row>
    <row r="330" spans="1:6">
      <c r="A330" s="557" t="s">
        <v>3292</v>
      </c>
      <c r="B330" s="557" t="s">
        <v>2429</v>
      </c>
      <c r="C330" s="558" t="s">
        <v>1804</v>
      </c>
      <c r="D330" s="1372">
        <v>0.23903099999999999</v>
      </c>
      <c r="E330" s="1372">
        <v>6.0399499999999995E-2</v>
      </c>
      <c r="F330" s="1373">
        <v>0.90596949999999998</v>
      </c>
    </row>
    <row r="331" spans="1:6">
      <c r="A331" s="557" t="s">
        <v>5475</v>
      </c>
      <c r="B331" s="557" t="s">
        <v>2429</v>
      </c>
      <c r="C331" s="558" t="s">
        <v>1804</v>
      </c>
      <c r="D331" s="1372">
        <v>0.23903099999999999</v>
      </c>
      <c r="E331" s="1372">
        <v>6.0399499999999995E-2</v>
      </c>
      <c r="F331" s="1373">
        <v>0.90596949999999998</v>
      </c>
    </row>
    <row r="332" spans="1:6">
      <c r="A332" s="557" t="s">
        <v>334</v>
      </c>
      <c r="B332" s="557" t="s">
        <v>2429</v>
      </c>
      <c r="C332" s="558" t="s">
        <v>2437</v>
      </c>
      <c r="D332" s="1372">
        <v>0.23903099999999999</v>
      </c>
      <c r="E332" s="1372">
        <v>6.0399499999999995E-2</v>
      </c>
      <c r="F332" s="1373">
        <v>0.90596949999999998</v>
      </c>
    </row>
    <row r="333" spans="1:6">
      <c r="A333" s="557" t="s">
        <v>3613</v>
      </c>
      <c r="B333" s="557" t="s">
        <v>5127</v>
      </c>
      <c r="C333" s="558" t="s">
        <v>1806</v>
      </c>
      <c r="D333" s="1372">
        <v>8.6399999999999991E-2</v>
      </c>
      <c r="E333" s="1372">
        <v>1.8360000000000001E-2</v>
      </c>
      <c r="F333" s="1373">
        <v>0.97524</v>
      </c>
    </row>
    <row r="334" spans="1:6">
      <c r="A334" s="557" t="s">
        <v>2676</v>
      </c>
      <c r="B334" s="557" t="s">
        <v>2429</v>
      </c>
      <c r="C334" s="558" t="s">
        <v>1806</v>
      </c>
      <c r="D334" s="1372">
        <v>0.23903099999999999</v>
      </c>
      <c r="E334" s="1372">
        <v>6.0399499999999995E-2</v>
      </c>
      <c r="F334" s="1373">
        <v>0.90596949999999998</v>
      </c>
    </row>
    <row r="335" spans="1:6">
      <c r="A335" s="557" t="s">
        <v>2382</v>
      </c>
      <c r="B335" s="557" t="s">
        <v>2429</v>
      </c>
      <c r="C335" s="558" t="s">
        <v>1806</v>
      </c>
      <c r="D335" s="1372">
        <v>0.23903099999999999</v>
      </c>
      <c r="E335" s="1372">
        <v>6.0399499999999995E-2</v>
      </c>
      <c r="F335" s="1373">
        <v>0.90596949999999998</v>
      </c>
    </row>
    <row r="336" spans="1:6">
      <c r="A336" s="557" t="s">
        <v>198</v>
      </c>
      <c r="B336" s="557" t="s">
        <v>2429</v>
      </c>
      <c r="C336" s="558" t="s">
        <v>1806</v>
      </c>
      <c r="D336" s="1372">
        <v>0.23903099999999999</v>
      </c>
      <c r="E336" s="1372">
        <v>6.0399499999999995E-2</v>
      </c>
      <c r="F336" s="1373">
        <v>0.90596949999999998</v>
      </c>
    </row>
    <row r="337" spans="1:6">
      <c r="A337" s="557" t="s">
        <v>4393</v>
      </c>
      <c r="B337" s="557" t="s">
        <v>2429</v>
      </c>
      <c r="C337" s="558" t="s">
        <v>1806</v>
      </c>
      <c r="D337" s="1372">
        <v>0.23903099999999999</v>
      </c>
      <c r="E337" s="1372">
        <v>6.0399499999999995E-2</v>
      </c>
      <c r="F337" s="1373">
        <v>0.90596949999999998</v>
      </c>
    </row>
    <row r="338" spans="1:6">
      <c r="A338" s="557" t="s">
        <v>3846</v>
      </c>
      <c r="B338" s="557" t="s">
        <v>2429</v>
      </c>
      <c r="C338" s="558" t="s">
        <v>1806</v>
      </c>
      <c r="D338" s="1372">
        <v>0.23903099999999999</v>
      </c>
      <c r="E338" s="1372">
        <v>6.0399499999999995E-2</v>
      </c>
      <c r="F338" s="1373">
        <v>0.90596949999999998</v>
      </c>
    </row>
    <row r="339" spans="1:6">
      <c r="A339" s="557" t="s">
        <v>3060</v>
      </c>
      <c r="B339" s="557" t="s">
        <v>2429</v>
      </c>
      <c r="C339" s="558" t="s">
        <v>1806</v>
      </c>
      <c r="D339" s="1372">
        <v>0.23903099999999999</v>
      </c>
      <c r="E339" s="1372">
        <v>6.0399499999999995E-2</v>
      </c>
      <c r="F339" s="1373">
        <v>0.90596949999999998</v>
      </c>
    </row>
    <row r="340" spans="1:6">
      <c r="A340" s="557" t="s">
        <v>3057</v>
      </c>
      <c r="B340" s="557" t="s">
        <v>2429</v>
      </c>
      <c r="C340" s="558" t="s">
        <v>2430</v>
      </c>
      <c r="D340" s="1372">
        <v>0.23903099999999999</v>
      </c>
      <c r="E340" s="1372">
        <v>6.0399499999999995E-2</v>
      </c>
      <c r="F340" s="1373">
        <v>0.90596949999999998</v>
      </c>
    </row>
    <row r="341" spans="1:6">
      <c r="A341" s="557" t="s">
        <v>3298</v>
      </c>
      <c r="B341" s="557" t="s">
        <v>2429</v>
      </c>
      <c r="C341" s="558" t="s">
        <v>1806</v>
      </c>
      <c r="D341" s="1372">
        <v>0.23903099999999999</v>
      </c>
      <c r="E341" s="1372">
        <v>6.0399499999999995E-2</v>
      </c>
      <c r="F341" s="1373">
        <v>0.90596949999999998</v>
      </c>
    </row>
    <row r="342" spans="1:6">
      <c r="A342" s="557" t="s">
        <v>3847</v>
      </c>
      <c r="B342" s="557" t="s">
        <v>2429</v>
      </c>
      <c r="C342" s="558" t="s">
        <v>1806</v>
      </c>
      <c r="D342" s="1372">
        <v>0.23903099999999999</v>
      </c>
      <c r="E342" s="1372">
        <v>6.0399499999999995E-2</v>
      </c>
      <c r="F342" s="1373">
        <v>0.90596949999999998</v>
      </c>
    </row>
    <row r="343" spans="1:6">
      <c r="A343" s="557" t="s">
        <v>745</v>
      </c>
      <c r="B343" s="557" t="s">
        <v>2429</v>
      </c>
      <c r="C343" s="558" t="s">
        <v>1806</v>
      </c>
      <c r="D343" s="1372">
        <v>0.23903099999999999</v>
      </c>
      <c r="E343" s="1372">
        <v>6.0399499999999995E-2</v>
      </c>
      <c r="F343" s="1373">
        <v>0.90596949999999998</v>
      </c>
    </row>
    <row r="344" spans="1:6">
      <c r="A344" s="557" t="s">
        <v>4930</v>
      </c>
      <c r="B344" s="557" t="s">
        <v>2429</v>
      </c>
      <c r="C344" s="558" t="s">
        <v>2437</v>
      </c>
      <c r="D344" s="1372">
        <v>0.23903099999999999</v>
      </c>
      <c r="E344" s="1372">
        <v>6.0399499999999995E-2</v>
      </c>
      <c r="F344" s="1373">
        <v>0.90596949999999998</v>
      </c>
    </row>
    <row r="345" spans="1:6">
      <c r="A345" s="557" t="s">
        <v>1965</v>
      </c>
      <c r="B345" s="557" t="s">
        <v>2442</v>
      </c>
      <c r="C345" s="558" t="s">
        <v>2442</v>
      </c>
      <c r="D345" s="1372">
        <v>0.312</v>
      </c>
      <c r="E345" s="1372">
        <v>0.13</v>
      </c>
      <c r="F345" s="1373">
        <v>0.8580000000000001</v>
      </c>
    </row>
    <row r="346" spans="1:6">
      <c r="A346" s="557" t="s">
        <v>746</v>
      </c>
      <c r="B346" s="557" t="s">
        <v>2429</v>
      </c>
      <c r="C346" s="558" t="s">
        <v>1804</v>
      </c>
      <c r="D346" s="1372">
        <v>0.23903099999999999</v>
      </c>
      <c r="E346" s="1372">
        <v>6.0399499999999995E-2</v>
      </c>
      <c r="F346" s="1373">
        <v>0.90596949999999998</v>
      </c>
    </row>
    <row r="347" spans="1:6">
      <c r="A347" s="557" t="s">
        <v>4394</v>
      </c>
      <c r="B347" s="557" t="s">
        <v>2429</v>
      </c>
      <c r="C347" s="558" t="s">
        <v>1804</v>
      </c>
      <c r="D347" s="1372">
        <v>0.23903099999999999</v>
      </c>
      <c r="E347" s="1372">
        <v>6.0399499999999995E-2</v>
      </c>
      <c r="F347" s="1373">
        <v>0.90596949999999998</v>
      </c>
    </row>
    <row r="348" spans="1:6">
      <c r="A348" s="557" t="s">
        <v>2161</v>
      </c>
      <c r="B348" s="557" t="s">
        <v>2429</v>
      </c>
      <c r="C348" s="558" t="s">
        <v>1806</v>
      </c>
      <c r="D348" s="1372">
        <v>0.23903099999999999</v>
      </c>
      <c r="E348" s="1372">
        <v>6.0399499999999995E-2</v>
      </c>
      <c r="F348" s="1373">
        <v>0.90596949999999998</v>
      </c>
    </row>
    <row r="349" spans="1:6">
      <c r="A349" s="557" t="s">
        <v>4395</v>
      </c>
      <c r="B349" s="557" t="s">
        <v>6187</v>
      </c>
      <c r="C349" s="558" t="s">
        <v>1805</v>
      </c>
      <c r="D349" s="1372">
        <v>0.13818</v>
      </c>
      <c r="E349" s="1372">
        <v>1.4804999999999999E-2</v>
      </c>
      <c r="F349" s="1373">
        <v>0.83401499999999995</v>
      </c>
    </row>
    <row r="350" spans="1:6">
      <c r="A350" s="557" t="s">
        <v>3059</v>
      </c>
      <c r="B350" s="557" t="s">
        <v>2429</v>
      </c>
      <c r="C350" s="558" t="s">
        <v>1806</v>
      </c>
      <c r="D350" s="1372">
        <v>0.23903099999999999</v>
      </c>
      <c r="E350" s="1372">
        <v>6.0399499999999995E-2</v>
      </c>
      <c r="F350" s="1373">
        <v>0.90596949999999998</v>
      </c>
    </row>
    <row r="351" spans="1:6">
      <c r="A351" s="557" t="s">
        <v>3283</v>
      </c>
      <c r="B351" s="557" t="s">
        <v>2429</v>
      </c>
      <c r="C351" s="558" t="s">
        <v>1806</v>
      </c>
      <c r="D351" s="1372">
        <v>0.23903099999999999</v>
      </c>
      <c r="E351" s="1372">
        <v>6.0399499999999995E-2</v>
      </c>
      <c r="F351" s="1373">
        <v>0.90596949999999998</v>
      </c>
    </row>
    <row r="352" spans="1:6">
      <c r="A352" s="557" t="s">
        <v>1515</v>
      </c>
      <c r="B352" s="557" t="s">
        <v>2429</v>
      </c>
      <c r="C352" s="558" t="s">
        <v>1806</v>
      </c>
      <c r="D352" s="1372">
        <v>0.23903099999999999</v>
      </c>
      <c r="E352" s="1372">
        <v>6.0399499999999995E-2</v>
      </c>
      <c r="F352" s="1373">
        <v>0.90596949999999998</v>
      </c>
    </row>
    <row r="353" spans="1:6">
      <c r="A353" s="557" t="s">
        <v>3848</v>
      </c>
      <c r="B353" s="557" t="s">
        <v>6184</v>
      </c>
      <c r="C353" s="558" t="s">
        <v>2441</v>
      </c>
      <c r="D353" s="1372">
        <v>0.28458</v>
      </c>
      <c r="E353" s="1372">
        <v>3.1620000000000002E-2</v>
      </c>
      <c r="F353" s="1373">
        <v>1.2648000000000001</v>
      </c>
    </row>
    <row r="354" spans="1:6">
      <c r="A354" s="557" t="s">
        <v>4396</v>
      </c>
      <c r="B354" s="557" t="s">
        <v>5140</v>
      </c>
      <c r="C354" s="558" t="s">
        <v>1806</v>
      </c>
      <c r="D354" s="1372">
        <v>6.9699999999999998E-2</v>
      </c>
      <c r="E354" s="1372">
        <v>0</v>
      </c>
      <c r="F354" s="1373">
        <v>1.3242999999999998</v>
      </c>
    </row>
    <row r="355" spans="1:6">
      <c r="A355" s="557" t="s">
        <v>4397</v>
      </c>
      <c r="B355" s="557" t="s">
        <v>5140</v>
      </c>
      <c r="C355" s="558" t="s">
        <v>1806</v>
      </c>
      <c r="D355" s="1372">
        <v>6.9699999999999998E-2</v>
      </c>
      <c r="E355" s="1372">
        <v>0</v>
      </c>
      <c r="F355" s="1373">
        <v>1.3242999999999998</v>
      </c>
    </row>
    <row r="356" spans="1:6">
      <c r="A356" s="557" t="s">
        <v>3659</v>
      </c>
      <c r="B356" s="557" t="s">
        <v>6184</v>
      </c>
      <c r="C356" s="558" t="s">
        <v>2441</v>
      </c>
      <c r="D356" s="1372">
        <v>0.28458</v>
      </c>
      <c r="E356" s="1372">
        <v>3.1620000000000002E-2</v>
      </c>
      <c r="F356" s="1373">
        <v>1.2648000000000001</v>
      </c>
    </row>
    <row r="357" spans="1:6">
      <c r="A357" s="557" t="s">
        <v>4398</v>
      </c>
      <c r="B357" s="557" t="s">
        <v>2429</v>
      </c>
      <c r="C357" s="558" t="s">
        <v>1806</v>
      </c>
      <c r="D357" s="1372">
        <v>0.23903099999999999</v>
      </c>
      <c r="E357" s="1372">
        <v>6.0399499999999995E-2</v>
      </c>
      <c r="F357" s="1373">
        <v>0.90596949999999998</v>
      </c>
    </row>
    <row r="358" spans="1:6">
      <c r="A358" s="557" t="s">
        <v>3449</v>
      </c>
      <c r="B358" s="557" t="s">
        <v>2429</v>
      </c>
      <c r="C358" s="558" t="s">
        <v>1806</v>
      </c>
      <c r="D358" s="1372">
        <v>0.23903099999999999</v>
      </c>
      <c r="E358" s="1372">
        <v>6.0399499999999995E-2</v>
      </c>
      <c r="F358" s="1373">
        <v>0.90596949999999998</v>
      </c>
    </row>
    <row r="359" spans="1:6">
      <c r="A359" s="557" t="s">
        <v>4399</v>
      </c>
      <c r="B359" s="557" t="s">
        <v>6185</v>
      </c>
      <c r="C359" s="558" t="s">
        <v>3928</v>
      </c>
      <c r="D359" s="1372">
        <v>0.71249999999999991</v>
      </c>
      <c r="E359" s="1372">
        <v>7.1250000000000008E-2</v>
      </c>
      <c r="F359" s="1373">
        <v>0.64124999999999988</v>
      </c>
    </row>
    <row r="360" spans="1:6">
      <c r="A360" s="557" t="s">
        <v>4005</v>
      </c>
      <c r="B360" s="557" t="s">
        <v>2429</v>
      </c>
      <c r="C360" s="558" t="s">
        <v>2436</v>
      </c>
      <c r="D360" s="1372">
        <v>0.23903099999999999</v>
      </c>
      <c r="E360" s="1372">
        <v>6.0399499999999995E-2</v>
      </c>
      <c r="F360" s="1373">
        <v>0.90596949999999998</v>
      </c>
    </row>
    <row r="361" spans="1:6">
      <c r="A361" s="557" t="s">
        <v>4400</v>
      </c>
      <c r="B361" s="557" t="s">
        <v>2429</v>
      </c>
      <c r="C361" s="558" t="s">
        <v>1806</v>
      </c>
      <c r="D361" s="1372">
        <v>0.23903099999999999</v>
      </c>
      <c r="E361" s="1372">
        <v>6.0399499999999995E-2</v>
      </c>
      <c r="F361" s="1373">
        <v>0.90596949999999998</v>
      </c>
    </row>
    <row r="362" spans="1:6">
      <c r="A362" s="557" t="s">
        <v>5685</v>
      </c>
      <c r="B362" s="557" t="s">
        <v>2429</v>
      </c>
      <c r="C362" s="558" t="s">
        <v>2429</v>
      </c>
      <c r="D362" s="1372">
        <v>0.23903099999999999</v>
      </c>
      <c r="E362" s="1372">
        <v>6.0399499999999995E-2</v>
      </c>
      <c r="F362" s="1373">
        <v>0.90596949999999998</v>
      </c>
    </row>
    <row r="363" spans="1:6">
      <c r="A363" s="557" t="s">
        <v>4303</v>
      </c>
      <c r="B363" s="557" t="s">
        <v>6185</v>
      </c>
      <c r="C363" s="558" t="s">
        <v>3928</v>
      </c>
      <c r="D363" s="1372">
        <v>0.71249999999999991</v>
      </c>
      <c r="E363" s="1372">
        <v>7.1250000000000008E-2</v>
      </c>
      <c r="F363" s="1373">
        <v>0.64124999999999988</v>
      </c>
    </row>
    <row r="364" spans="1:6">
      <c r="A364" s="557" t="s">
        <v>3544</v>
      </c>
      <c r="B364" s="557" t="s">
        <v>2429</v>
      </c>
      <c r="C364" s="558" t="s">
        <v>2433</v>
      </c>
      <c r="D364" s="1372">
        <v>0.23903099999999999</v>
      </c>
      <c r="E364" s="1372">
        <v>6.0399499999999995E-2</v>
      </c>
      <c r="F364" s="1373">
        <v>0.90596949999999998</v>
      </c>
    </row>
    <row r="365" spans="1:6">
      <c r="A365" s="557" t="s">
        <v>2726</v>
      </c>
      <c r="B365" s="557" t="s">
        <v>6184</v>
      </c>
      <c r="C365" s="558" t="s">
        <v>2441</v>
      </c>
      <c r="D365" s="1372">
        <v>0.28458</v>
      </c>
      <c r="E365" s="1372">
        <v>3.1620000000000002E-2</v>
      </c>
      <c r="F365" s="1373">
        <v>1.2648000000000001</v>
      </c>
    </row>
    <row r="366" spans="1:6">
      <c r="A366" s="557" t="s">
        <v>4307</v>
      </c>
      <c r="B366" s="557" t="s">
        <v>2429</v>
      </c>
      <c r="C366" s="558" t="s">
        <v>1806</v>
      </c>
      <c r="D366" s="1372">
        <v>0.23903099999999999</v>
      </c>
      <c r="E366" s="1372">
        <v>6.0399499999999995E-2</v>
      </c>
      <c r="F366" s="1373">
        <v>0.90596949999999998</v>
      </c>
    </row>
    <row r="367" spans="1:6">
      <c r="A367" s="557" t="s">
        <v>3885</v>
      </c>
      <c r="B367" s="557" t="s">
        <v>2429</v>
      </c>
      <c r="C367" s="558" t="s">
        <v>1806</v>
      </c>
      <c r="D367" s="1372">
        <v>0.23903099999999999</v>
      </c>
      <c r="E367" s="1372">
        <v>6.0399499999999995E-2</v>
      </c>
      <c r="F367" s="1373">
        <v>0.90596949999999998</v>
      </c>
    </row>
    <row r="368" spans="1:6">
      <c r="A368" s="557" t="s">
        <v>4401</v>
      </c>
      <c r="B368" s="557" t="s">
        <v>2429</v>
      </c>
      <c r="C368" s="558" t="s">
        <v>1806</v>
      </c>
      <c r="D368" s="1372">
        <v>0.23903099999999999</v>
      </c>
      <c r="E368" s="1372">
        <v>6.0399499999999995E-2</v>
      </c>
      <c r="F368" s="1373">
        <v>0.90596949999999998</v>
      </c>
    </row>
    <row r="369" spans="1:6">
      <c r="A369" s="557" t="s">
        <v>4402</v>
      </c>
      <c r="B369" s="557" t="s">
        <v>2429</v>
      </c>
      <c r="C369" s="558" t="s">
        <v>1806</v>
      </c>
      <c r="D369" s="1372">
        <v>0.23903099999999999</v>
      </c>
      <c r="E369" s="1372">
        <v>6.0399499999999995E-2</v>
      </c>
      <c r="F369" s="1373">
        <v>0.90596949999999998</v>
      </c>
    </row>
    <row r="370" spans="1:6">
      <c r="A370" s="557" t="s">
        <v>4308</v>
      </c>
      <c r="B370" s="557" t="s">
        <v>2429</v>
      </c>
      <c r="C370" s="558" t="s">
        <v>1806</v>
      </c>
      <c r="D370" s="1372">
        <v>0.23903099999999999</v>
      </c>
      <c r="E370" s="1372">
        <v>6.0399499999999995E-2</v>
      </c>
      <c r="F370" s="1373">
        <v>0.90596949999999998</v>
      </c>
    </row>
    <row r="371" spans="1:6">
      <c r="A371" s="557" t="s">
        <v>4403</v>
      </c>
      <c r="B371" s="557" t="s">
        <v>2429</v>
      </c>
      <c r="C371" s="558" t="s">
        <v>1806</v>
      </c>
      <c r="D371" s="1372">
        <v>0.23903099999999999</v>
      </c>
      <c r="E371" s="1372">
        <v>6.0399499999999995E-2</v>
      </c>
      <c r="F371" s="1373">
        <v>0.90596949999999998</v>
      </c>
    </row>
    <row r="372" spans="1:6">
      <c r="A372" s="557" t="s">
        <v>4404</v>
      </c>
      <c r="B372" s="557" t="s">
        <v>5140</v>
      </c>
      <c r="C372" s="558" t="s">
        <v>1806</v>
      </c>
      <c r="D372" s="1372">
        <v>6.9699999999999998E-2</v>
      </c>
      <c r="E372" s="1372">
        <v>0</v>
      </c>
      <c r="F372" s="1373">
        <v>1.3242999999999998</v>
      </c>
    </row>
    <row r="373" spans="1:6">
      <c r="A373" s="557" t="s">
        <v>5409</v>
      </c>
      <c r="B373" s="557" t="s">
        <v>3933</v>
      </c>
      <c r="C373" s="558" t="s">
        <v>3933</v>
      </c>
      <c r="D373" s="1372">
        <v>0.312</v>
      </c>
      <c r="E373" s="1372">
        <v>0.23399999999999999</v>
      </c>
      <c r="F373" s="1373">
        <v>0.75400000000000011</v>
      </c>
    </row>
    <row r="374" spans="1:6">
      <c r="A374" s="557" t="s">
        <v>4405</v>
      </c>
      <c r="B374" s="557" t="s">
        <v>2429</v>
      </c>
      <c r="C374" s="558" t="s">
        <v>1806</v>
      </c>
      <c r="D374" s="1372">
        <v>0.23903099999999999</v>
      </c>
      <c r="E374" s="1372">
        <v>6.0399499999999995E-2</v>
      </c>
      <c r="F374" s="1373">
        <v>0.90596949999999998</v>
      </c>
    </row>
    <row r="375" spans="1:6">
      <c r="A375" s="557" t="s">
        <v>2816</v>
      </c>
      <c r="B375" s="557" t="s">
        <v>2429</v>
      </c>
      <c r="C375" s="558" t="s">
        <v>1806</v>
      </c>
      <c r="D375" s="1372">
        <v>0.23903099999999999</v>
      </c>
      <c r="E375" s="1372">
        <v>6.0399499999999995E-2</v>
      </c>
      <c r="F375" s="1373">
        <v>0.90596949999999998</v>
      </c>
    </row>
    <row r="376" spans="1:6">
      <c r="A376" s="557" t="s">
        <v>747</v>
      </c>
      <c r="B376" s="557" t="s">
        <v>2429</v>
      </c>
      <c r="C376" s="558" t="s">
        <v>1806</v>
      </c>
      <c r="D376" s="1372">
        <v>0.23903099999999999</v>
      </c>
      <c r="E376" s="1372">
        <v>6.0399499999999995E-2</v>
      </c>
      <c r="F376" s="1373">
        <v>0.90596949999999998</v>
      </c>
    </row>
    <row r="377" spans="1:6">
      <c r="A377" s="557" t="s">
        <v>4406</v>
      </c>
      <c r="B377" s="557" t="s">
        <v>2429</v>
      </c>
      <c r="C377" s="558" t="s">
        <v>1806</v>
      </c>
      <c r="D377" s="1372">
        <v>0.23903099999999999</v>
      </c>
      <c r="E377" s="1372">
        <v>6.0399499999999995E-2</v>
      </c>
      <c r="F377" s="1373">
        <v>0.90596949999999998</v>
      </c>
    </row>
    <row r="378" spans="1:6">
      <c r="A378" s="557" t="s">
        <v>1642</v>
      </c>
      <c r="B378" s="557" t="s">
        <v>2429</v>
      </c>
      <c r="C378" s="558" t="s">
        <v>2437</v>
      </c>
      <c r="D378" s="1372">
        <v>0.23903099999999999</v>
      </c>
      <c r="E378" s="1372">
        <v>6.0399499999999995E-2</v>
      </c>
      <c r="F378" s="1373">
        <v>0.90596949999999998</v>
      </c>
    </row>
    <row r="379" spans="1:6">
      <c r="A379" s="557" t="s">
        <v>5242</v>
      </c>
      <c r="B379" s="557" t="s">
        <v>2429</v>
      </c>
      <c r="C379" s="558" t="s">
        <v>1806</v>
      </c>
      <c r="D379" s="1372">
        <v>0.23903099999999999</v>
      </c>
      <c r="E379" s="1372">
        <v>6.0399499999999995E-2</v>
      </c>
      <c r="F379" s="1373">
        <v>0.90596949999999998</v>
      </c>
    </row>
    <row r="380" spans="1:6">
      <c r="A380" s="557" t="s">
        <v>3048</v>
      </c>
      <c r="B380" s="557" t="s">
        <v>2429</v>
      </c>
      <c r="C380" s="558" t="s">
        <v>1806</v>
      </c>
      <c r="D380" s="1372">
        <v>0.23903099999999999</v>
      </c>
      <c r="E380" s="1372">
        <v>6.0399499999999995E-2</v>
      </c>
      <c r="F380" s="1373">
        <v>0.90596949999999998</v>
      </c>
    </row>
    <row r="381" spans="1:6">
      <c r="A381" s="557" t="s">
        <v>4407</v>
      </c>
      <c r="B381" s="557" t="s">
        <v>2429</v>
      </c>
      <c r="C381" s="558" t="s">
        <v>1806</v>
      </c>
      <c r="D381" s="1372">
        <v>0.23903099999999999</v>
      </c>
      <c r="E381" s="1372">
        <v>6.0399499999999995E-2</v>
      </c>
      <c r="F381" s="1373">
        <v>0.90596949999999998</v>
      </c>
    </row>
    <row r="382" spans="1:6">
      <c r="A382" s="557" t="s">
        <v>725</v>
      </c>
      <c r="B382" s="557" t="s">
        <v>2429</v>
      </c>
      <c r="C382" s="558" t="s">
        <v>1804</v>
      </c>
      <c r="D382" s="1372">
        <v>0.23903099999999999</v>
      </c>
      <c r="E382" s="1372">
        <v>6.0399499999999995E-2</v>
      </c>
      <c r="F382" s="1373">
        <v>0.90596949999999998</v>
      </c>
    </row>
    <row r="383" spans="1:6">
      <c r="A383" s="557" t="s">
        <v>4214</v>
      </c>
      <c r="B383" s="557" t="s">
        <v>2429</v>
      </c>
      <c r="C383" s="558" t="s">
        <v>2433</v>
      </c>
      <c r="D383" s="1372">
        <v>0.23903099999999999</v>
      </c>
      <c r="E383" s="1372">
        <v>6.0399499999999995E-2</v>
      </c>
      <c r="F383" s="1373">
        <v>0.90596949999999998</v>
      </c>
    </row>
    <row r="384" spans="1:6">
      <c r="A384" s="557" t="s">
        <v>4215</v>
      </c>
      <c r="B384" s="557" t="s">
        <v>2429</v>
      </c>
      <c r="C384" s="558" t="s">
        <v>1804</v>
      </c>
      <c r="D384" s="1372">
        <v>0.23903099999999999</v>
      </c>
      <c r="E384" s="1372">
        <v>6.0399499999999995E-2</v>
      </c>
      <c r="F384" s="1373">
        <v>0.90596949999999998</v>
      </c>
    </row>
    <row r="385" spans="1:6">
      <c r="A385" s="557" t="s">
        <v>1075</v>
      </c>
      <c r="B385" s="557" t="s">
        <v>2429</v>
      </c>
      <c r="C385" s="558" t="s">
        <v>1806</v>
      </c>
      <c r="D385" s="1372">
        <v>0.23903099999999999</v>
      </c>
      <c r="E385" s="1372">
        <v>6.0399499999999995E-2</v>
      </c>
      <c r="F385" s="1373">
        <v>0.90596949999999998</v>
      </c>
    </row>
    <row r="386" spans="1:6">
      <c r="A386" s="557" t="s">
        <v>1306</v>
      </c>
      <c r="B386" s="557" t="s">
        <v>2442</v>
      </c>
      <c r="C386" s="558" t="s">
        <v>2442</v>
      </c>
      <c r="D386" s="1372">
        <v>0.312</v>
      </c>
      <c r="E386" s="1372">
        <v>0.13</v>
      </c>
      <c r="F386" s="1373">
        <v>0.8580000000000001</v>
      </c>
    </row>
    <row r="387" spans="1:6">
      <c r="A387" s="557" t="s">
        <v>4216</v>
      </c>
      <c r="B387" s="557" t="s">
        <v>2429</v>
      </c>
      <c r="C387" s="558" t="s">
        <v>1804</v>
      </c>
      <c r="D387" s="1372">
        <v>0.23903099999999999</v>
      </c>
      <c r="E387" s="1372">
        <v>6.0399499999999995E-2</v>
      </c>
      <c r="F387" s="1373">
        <v>0.90596949999999998</v>
      </c>
    </row>
    <row r="388" spans="1:6">
      <c r="A388" s="557" t="s">
        <v>4166</v>
      </c>
      <c r="B388" s="557" t="s">
        <v>2429</v>
      </c>
      <c r="C388" s="558" t="s">
        <v>2438</v>
      </c>
      <c r="D388" s="1372">
        <v>0.23903099999999999</v>
      </c>
      <c r="E388" s="1372">
        <v>6.0399499999999995E-2</v>
      </c>
      <c r="F388" s="1373">
        <v>0.90596949999999998</v>
      </c>
    </row>
    <row r="389" spans="1:6">
      <c r="A389" s="557" t="s">
        <v>4015</v>
      </c>
      <c r="B389" s="557" t="s">
        <v>2429</v>
      </c>
      <c r="C389" s="558" t="s">
        <v>1808</v>
      </c>
      <c r="D389" s="1372">
        <v>0.23903099999999999</v>
      </c>
      <c r="E389" s="1372">
        <v>6.0399499999999995E-2</v>
      </c>
      <c r="F389" s="1373">
        <v>0.90596949999999998</v>
      </c>
    </row>
    <row r="390" spans="1:6">
      <c r="A390" s="557" t="s">
        <v>4408</v>
      </c>
      <c r="B390" s="557" t="s">
        <v>2429</v>
      </c>
      <c r="C390" s="558" t="s">
        <v>1809</v>
      </c>
      <c r="D390" s="1372">
        <v>0.23903099999999999</v>
      </c>
      <c r="E390" s="1372">
        <v>6.0399499999999995E-2</v>
      </c>
      <c r="F390" s="1373">
        <v>0.90596949999999998</v>
      </c>
    </row>
    <row r="391" spans="1:6">
      <c r="A391" s="557" t="s">
        <v>4409</v>
      </c>
      <c r="B391" s="557" t="s">
        <v>2429</v>
      </c>
      <c r="C391" s="558" t="s">
        <v>1806</v>
      </c>
      <c r="D391" s="1372">
        <v>0.23903099999999999</v>
      </c>
      <c r="E391" s="1372">
        <v>6.0399499999999995E-2</v>
      </c>
      <c r="F391" s="1373">
        <v>0.90596949999999998</v>
      </c>
    </row>
    <row r="392" spans="1:6">
      <c r="A392" s="557" t="s">
        <v>3284</v>
      </c>
      <c r="B392" s="557" t="s">
        <v>2429</v>
      </c>
      <c r="C392" s="558" t="s">
        <v>1806</v>
      </c>
      <c r="D392" s="1372">
        <v>0.23903099999999999</v>
      </c>
      <c r="E392" s="1372">
        <v>6.0399499999999995E-2</v>
      </c>
      <c r="F392" s="1373">
        <v>0.90596949999999998</v>
      </c>
    </row>
    <row r="393" spans="1:6">
      <c r="A393" s="557" t="s">
        <v>724</v>
      </c>
      <c r="B393" s="557" t="s">
        <v>6185</v>
      </c>
      <c r="C393" s="558" t="s">
        <v>3928</v>
      </c>
      <c r="D393" s="1372">
        <v>0.71249999999999991</v>
      </c>
      <c r="E393" s="1372">
        <v>7.1250000000000008E-2</v>
      </c>
      <c r="F393" s="1373">
        <v>0.64124999999999988</v>
      </c>
    </row>
    <row r="394" spans="1:6">
      <c r="A394" s="557" t="s">
        <v>4410</v>
      </c>
      <c r="B394" s="557" t="s">
        <v>2429</v>
      </c>
      <c r="C394" s="558" t="s">
        <v>1806</v>
      </c>
      <c r="D394" s="1372">
        <v>0.23903099999999999</v>
      </c>
      <c r="E394" s="1372">
        <v>6.0399499999999995E-2</v>
      </c>
      <c r="F394" s="1373">
        <v>0.90596949999999998</v>
      </c>
    </row>
    <row r="395" spans="1:6">
      <c r="A395" s="557" t="s">
        <v>950</v>
      </c>
      <c r="B395" s="557" t="s">
        <v>2429</v>
      </c>
      <c r="C395" s="558" t="s">
        <v>1806</v>
      </c>
      <c r="D395" s="1372">
        <v>0.23903099999999999</v>
      </c>
      <c r="E395" s="1372">
        <v>6.0399499999999995E-2</v>
      </c>
      <c r="F395" s="1373">
        <v>0.90596949999999998</v>
      </c>
    </row>
    <row r="396" spans="1:6">
      <c r="A396" s="557" t="s">
        <v>4309</v>
      </c>
      <c r="B396" s="557" t="s">
        <v>6187</v>
      </c>
      <c r="C396" s="558" t="s">
        <v>1805</v>
      </c>
      <c r="D396" s="1372">
        <v>0.13818</v>
      </c>
      <c r="E396" s="1372">
        <v>1.4804999999999999E-2</v>
      </c>
      <c r="F396" s="1373">
        <v>0.83401499999999995</v>
      </c>
    </row>
    <row r="397" spans="1:6">
      <c r="A397" s="557" t="s">
        <v>3614</v>
      </c>
      <c r="B397" s="557" t="s">
        <v>2429</v>
      </c>
      <c r="C397" s="558" t="s">
        <v>1806</v>
      </c>
      <c r="D397" s="1372">
        <v>0.23903099999999999</v>
      </c>
      <c r="E397" s="1372">
        <v>6.0399499999999995E-2</v>
      </c>
      <c r="F397" s="1373">
        <v>0.90596949999999998</v>
      </c>
    </row>
    <row r="398" spans="1:6">
      <c r="A398" s="557" t="s">
        <v>2672</v>
      </c>
      <c r="B398" s="557" t="s">
        <v>5365</v>
      </c>
      <c r="C398" s="558" t="s">
        <v>5365</v>
      </c>
      <c r="D398" s="1372">
        <v>3.9949999999999999E-2</v>
      </c>
      <c r="E398" s="1372">
        <v>0</v>
      </c>
      <c r="F398" s="1373">
        <v>0.75905</v>
      </c>
    </row>
    <row r="399" spans="1:6">
      <c r="A399" s="557" t="s">
        <v>4411</v>
      </c>
      <c r="B399" s="557" t="s">
        <v>2429</v>
      </c>
      <c r="C399" s="558" t="s">
        <v>1806</v>
      </c>
      <c r="D399" s="1372">
        <v>0.23903099999999999</v>
      </c>
      <c r="E399" s="1372">
        <v>6.0399499999999995E-2</v>
      </c>
      <c r="F399" s="1373">
        <v>0.90596949999999998</v>
      </c>
    </row>
    <row r="400" spans="1:6">
      <c r="A400" s="557" t="s">
        <v>1161</v>
      </c>
      <c r="B400" s="557" t="s">
        <v>2429</v>
      </c>
      <c r="C400" s="558" t="s">
        <v>1806</v>
      </c>
      <c r="D400" s="1372">
        <v>0.23903099999999999</v>
      </c>
      <c r="E400" s="1372">
        <v>6.0399499999999995E-2</v>
      </c>
      <c r="F400" s="1373">
        <v>0.90596949999999998</v>
      </c>
    </row>
    <row r="401" spans="1:6">
      <c r="A401" s="557" t="s">
        <v>1465</v>
      </c>
      <c r="B401" s="557" t="s">
        <v>2429</v>
      </c>
      <c r="C401" s="558" t="s">
        <v>1806</v>
      </c>
      <c r="D401" s="1372">
        <v>0.23903099999999999</v>
      </c>
      <c r="E401" s="1372">
        <v>6.0399499999999995E-2</v>
      </c>
      <c r="F401" s="1373">
        <v>0.90596949999999998</v>
      </c>
    </row>
    <row r="402" spans="1:6">
      <c r="A402" s="557" t="s">
        <v>4412</v>
      </c>
      <c r="B402" s="557" t="s">
        <v>2429</v>
      </c>
      <c r="C402" s="558" t="s">
        <v>1806</v>
      </c>
      <c r="D402" s="1372">
        <v>0.23903099999999999</v>
      </c>
      <c r="E402" s="1372">
        <v>6.0399499999999995E-2</v>
      </c>
      <c r="F402" s="1373">
        <v>0.90596949999999998</v>
      </c>
    </row>
    <row r="403" spans="1:6">
      <c r="A403" s="557" t="s">
        <v>742</v>
      </c>
      <c r="B403" s="557" t="s">
        <v>2429</v>
      </c>
      <c r="C403" s="558" t="s">
        <v>2435</v>
      </c>
      <c r="D403" s="1372">
        <v>0.23903099999999999</v>
      </c>
      <c r="E403" s="1372">
        <v>6.0399499999999995E-2</v>
      </c>
      <c r="F403" s="1373">
        <v>0.90596949999999998</v>
      </c>
    </row>
    <row r="404" spans="1:6">
      <c r="A404" s="557" t="s">
        <v>4413</v>
      </c>
      <c r="B404" s="557" t="s">
        <v>5365</v>
      </c>
      <c r="C404" s="558" t="s">
        <v>5365</v>
      </c>
      <c r="D404" s="1372">
        <v>3.9949999999999999E-2</v>
      </c>
      <c r="E404" s="1372">
        <v>0</v>
      </c>
      <c r="F404" s="1373">
        <v>0.75905</v>
      </c>
    </row>
    <row r="405" spans="1:6">
      <c r="A405" s="557" t="s">
        <v>4414</v>
      </c>
      <c r="B405" s="557" t="s">
        <v>2429</v>
      </c>
      <c r="C405" s="558" t="s">
        <v>1804</v>
      </c>
      <c r="D405" s="1372">
        <v>0.23903099999999999</v>
      </c>
      <c r="E405" s="1372">
        <v>6.0399499999999995E-2</v>
      </c>
      <c r="F405" s="1373">
        <v>0.90596949999999998</v>
      </c>
    </row>
    <row r="406" spans="1:6">
      <c r="A406" s="557" t="s">
        <v>4415</v>
      </c>
      <c r="B406" s="557" t="s">
        <v>2429</v>
      </c>
      <c r="C406" s="558" t="s">
        <v>1806</v>
      </c>
      <c r="D406" s="1372">
        <v>0.23903099999999999</v>
      </c>
      <c r="E406" s="1372">
        <v>6.0399499999999995E-2</v>
      </c>
      <c r="F406" s="1373">
        <v>0.90596949999999998</v>
      </c>
    </row>
    <row r="407" spans="1:6">
      <c r="A407" s="557" t="s">
        <v>3849</v>
      </c>
      <c r="B407" s="557" t="s">
        <v>2429</v>
      </c>
      <c r="C407" s="558" t="s">
        <v>1806</v>
      </c>
      <c r="D407" s="1372">
        <v>0.23903099999999999</v>
      </c>
      <c r="E407" s="1372">
        <v>6.0399499999999995E-2</v>
      </c>
      <c r="F407" s="1373">
        <v>0.90596949999999998</v>
      </c>
    </row>
    <row r="408" spans="1:6">
      <c r="A408" s="557" t="s">
        <v>5603</v>
      </c>
      <c r="B408" s="557" t="s">
        <v>2429</v>
      </c>
      <c r="C408" s="558" t="s">
        <v>1806</v>
      </c>
      <c r="D408" s="1372">
        <v>0.23903099999999999</v>
      </c>
      <c r="E408" s="1372">
        <v>6.0399499999999995E-2</v>
      </c>
      <c r="F408" s="1373">
        <v>0.90596949999999998</v>
      </c>
    </row>
    <row r="409" spans="1:6">
      <c r="A409" s="557" t="s">
        <v>3058</v>
      </c>
      <c r="B409" s="557" t="s">
        <v>2429</v>
      </c>
      <c r="C409" s="558" t="s">
        <v>1806</v>
      </c>
      <c r="D409" s="1372">
        <v>0.23903099999999999</v>
      </c>
      <c r="E409" s="1372">
        <v>6.0399499999999995E-2</v>
      </c>
      <c r="F409" s="1373">
        <v>0.90596949999999998</v>
      </c>
    </row>
    <row r="410" spans="1:6">
      <c r="A410" s="557" t="s">
        <v>3844</v>
      </c>
      <c r="B410" s="557" t="s">
        <v>2429</v>
      </c>
      <c r="C410" s="558" t="s">
        <v>1806</v>
      </c>
      <c r="D410" s="1372">
        <v>0.23903099999999999</v>
      </c>
      <c r="E410" s="1372">
        <v>6.0399499999999995E-2</v>
      </c>
      <c r="F410" s="1373">
        <v>0.90596949999999998</v>
      </c>
    </row>
    <row r="411" spans="1:6">
      <c r="A411" s="557" t="s">
        <v>3660</v>
      </c>
      <c r="B411" s="557" t="s">
        <v>2429</v>
      </c>
      <c r="C411" s="558" t="s">
        <v>1806</v>
      </c>
      <c r="D411" s="1372">
        <v>0.23903099999999999</v>
      </c>
      <c r="E411" s="1372">
        <v>6.0399499999999995E-2</v>
      </c>
      <c r="F411" s="1373">
        <v>0.90596949999999998</v>
      </c>
    </row>
    <row r="412" spans="1:6">
      <c r="A412" s="557" t="s">
        <v>1643</v>
      </c>
      <c r="B412" s="557" t="s">
        <v>2429</v>
      </c>
      <c r="C412" s="558" t="s">
        <v>1806</v>
      </c>
      <c r="D412" s="1372">
        <v>0.23903099999999999</v>
      </c>
      <c r="E412" s="1372">
        <v>6.0399499999999995E-2</v>
      </c>
      <c r="F412" s="1373">
        <v>0.90596949999999998</v>
      </c>
    </row>
    <row r="413" spans="1:6">
      <c r="A413" s="557" t="s">
        <v>2173</v>
      </c>
      <c r="B413" s="557" t="s">
        <v>2429</v>
      </c>
      <c r="C413" s="558" t="s">
        <v>1806</v>
      </c>
      <c r="D413" s="1372">
        <v>0.23903099999999999</v>
      </c>
      <c r="E413" s="1372">
        <v>6.0399499999999995E-2</v>
      </c>
      <c r="F413" s="1373">
        <v>0.90596949999999998</v>
      </c>
    </row>
    <row r="414" spans="1:6">
      <c r="A414" s="557" t="s">
        <v>3988</v>
      </c>
      <c r="B414" s="557" t="s">
        <v>2429</v>
      </c>
      <c r="C414" s="558" t="s">
        <v>1806</v>
      </c>
      <c r="D414" s="1372">
        <v>0.23903099999999999</v>
      </c>
      <c r="E414" s="1372">
        <v>6.0399499999999995E-2</v>
      </c>
      <c r="F414" s="1373">
        <v>0.90596949999999998</v>
      </c>
    </row>
    <row r="415" spans="1:6">
      <c r="A415" s="557" t="s">
        <v>534</v>
      </c>
      <c r="B415" s="557" t="s">
        <v>2429</v>
      </c>
      <c r="C415" s="558" t="s">
        <v>1806</v>
      </c>
      <c r="D415" s="1372">
        <v>0.23903099999999999</v>
      </c>
      <c r="E415" s="1372">
        <v>6.0399499999999995E-2</v>
      </c>
      <c r="F415" s="1373">
        <v>0.90596949999999998</v>
      </c>
    </row>
    <row r="416" spans="1:6">
      <c r="A416" s="557" t="s">
        <v>3989</v>
      </c>
      <c r="B416" s="557" t="s">
        <v>3933</v>
      </c>
      <c r="C416" s="558" t="s">
        <v>3933</v>
      </c>
      <c r="D416" s="1372">
        <v>0.312</v>
      </c>
      <c r="E416" s="1372">
        <v>0.23399999999999999</v>
      </c>
      <c r="F416" s="1373">
        <v>0.75400000000000011</v>
      </c>
    </row>
    <row r="417" spans="1:6">
      <c r="A417" s="557" t="s">
        <v>3850</v>
      </c>
      <c r="B417" s="557" t="s">
        <v>2429</v>
      </c>
      <c r="C417" s="558" t="s">
        <v>2429</v>
      </c>
      <c r="D417" s="1372">
        <v>0.23903099999999999</v>
      </c>
      <c r="E417" s="1372">
        <v>6.0399499999999995E-2</v>
      </c>
      <c r="F417" s="1373">
        <v>0.90596949999999998</v>
      </c>
    </row>
    <row r="418" spans="1:6">
      <c r="A418" s="557" t="s">
        <v>3451</v>
      </c>
      <c r="B418" s="557" t="s">
        <v>2429</v>
      </c>
      <c r="C418" s="558" t="s">
        <v>1809</v>
      </c>
      <c r="D418" s="1372">
        <v>0.23903099999999999</v>
      </c>
      <c r="E418" s="1372">
        <v>6.0399499999999995E-2</v>
      </c>
      <c r="F418" s="1373">
        <v>0.90596949999999998</v>
      </c>
    </row>
    <row r="419" spans="1:6">
      <c r="A419" s="557" t="s">
        <v>4416</v>
      </c>
      <c r="B419" s="557" t="s">
        <v>5127</v>
      </c>
      <c r="C419" s="558" t="s">
        <v>1806</v>
      </c>
      <c r="D419" s="1372">
        <v>8.6399999999999991E-2</v>
      </c>
      <c r="E419" s="1372">
        <v>1.8360000000000001E-2</v>
      </c>
      <c r="F419" s="1373">
        <v>0.97524</v>
      </c>
    </row>
    <row r="420" spans="1:6">
      <c r="A420" s="557" t="s">
        <v>5194</v>
      </c>
      <c r="B420" s="557" t="s">
        <v>2429</v>
      </c>
      <c r="C420" s="558" t="s">
        <v>2433</v>
      </c>
      <c r="D420" s="1372">
        <v>0.23903099999999999</v>
      </c>
      <c r="E420" s="1372">
        <v>6.0399499999999995E-2</v>
      </c>
      <c r="F420" s="1373">
        <v>0.90596949999999998</v>
      </c>
    </row>
    <row r="421" spans="1:6">
      <c r="A421" s="557" t="s">
        <v>4417</v>
      </c>
      <c r="B421" s="557" t="s">
        <v>2429</v>
      </c>
      <c r="C421" s="558" t="s">
        <v>2437</v>
      </c>
      <c r="D421" s="1372">
        <v>0.23903099999999999</v>
      </c>
      <c r="E421" s="1372">
        <v>6.0399499999999995E-2</v>
      </c>
      <c r="F421" s="1373">
        <v>0.90596949999999998</v>
      </c>
    </row>
    <row r="422" spans="1:6">
      <c r="A422" s="557" t="s">
        <v>2988</v>
      </c>
      <c r="B422" s="557" t="s">
        <v>2429</v>
      </c>
      <c r="C422" s="558" t="s">
        <v>2969</v>
      </c>
      <c r="D422" s="1372">
        <v>0.23903099999999999</v>
      </c>
      <c r="E422" s="1372">
        <v>6.0399499999999995E-2</v>
      </c>
      <c r="F422" s="1373">
        <v>0.90596949999999998</v>
      </c>
    </row>
    <row r="423" spans="1:6">
      <c r="A423" s="557" t="s">
        <v>4418</v>
      </c>
      <c r="B423" s="557" t="s">
        <v>6184</v>
      </c>
      <c r="C423" s="558" t="s">
        <v>2441</v>
      </c>
      <c r="D423" s="1372">
        <v>0.28458</v>
      </c>
      <c r="E423" s="1372">
        <v>3.1620000000000002E-2</v>
      </c>
      <c r="F423" s="1373">
        <v>1.2648000000000001</v>
      </c>
    </row>
    <row r="424" spans="1:6">
      <c r="A424" s="557" t="s">
        <v>3311</v>
      </c>
      <c r="B424" s="557" t="s">
        <v>2429</v>
      </c>
      <c r="C424" s="558" t="s">
        <v>1806</v>
      </c>
      <c r="D424" s="1372">
        <v>0.23903099999999999</v>
      </c>
      <c r="E424" s="1372">
        <v>6.0399499999999995E-2</v>
      </c>
      <c r="F424" s="1373">
        <v>0.90596949999999998</v>
      </c>
    </row>
    <row r="425" spans="1:6">
      <c r="A425" s="557" t="s">
        <v>3502</v>
      </c>
      <c r="B425" s="557" t="s">
        <v>2429</v>
      </c>
      <c r="C425" s="558" t="s">
        <v>2430</v>
      </c>
      <c r="D425" s="1372">
        <v>0.23903099999999999</v>
      </c>
      <c r="E425" s="1372">
        <v>6.0399499999999995E-2</v>
      </c>
      <c r="F425" s="1373">
        <v>0.90596949999999998</v>
      </c>
    </row>
    <row r="426" spans="1:6">
      <c r="A426" s="557" t="s">
        <v>4419</v>
      </c>
      <c r="B426" s="557" t="s">
        <v>2429</v>
      </c>
      <c r="C426" s="558" t="s">
        <v>1806</v>
      </c>
      <c r="D426" s="1372">
        <v>0.23903099999999999</v>
      </c>
      <c r="E426" s="1372">
        <v>6.0399499999999995E-2</v>
      </c>
      <c r="F426" s="1373">
        <v>0.90596949999999998</v>
      </c>
    </row>
    <row r="427" spans="1:6">
      <c r="A427" s="557" t="s">
        <v>1076</v>
      </c>
      <c r="B427" s="557" t="s">
        <v>2429</v>
      </c>
      <c r="C427" s="558" t="s">
        <v>2431</v>
      </c>
      <c r="D427" s="1372">
        <v>0.23903099999999999</v>
      </c>
      <c r="E427" s="1372">
        <v>6.0399499999999995E-2</v>
      </c>
      <c r="F427" s="1373">
        <v>0.90596949999999998</v>
      </c>
    </row>
    <row r="428" spans="1:6">
      <c r="A428" s="557" t="s">
        <v>6191</v>
      </c>
      <c r="B428" s="557" t="s">
        <v>2429</v>
      </c>
      <c r="C428" s="558" t="s">
        <v>1806</v>
      </c>
      <c r="D428" s="1372">
        <v>0.23903099999999999</v>
      </c>
      <c r="E428" s="1372">
        <v>6.0399499999999995E-2</v>
      </c>
      <c r="F428" s="1373">
        <v>0.90596949999999998</v>
      </c>
    </row>
    <row r="429" spans="1:6">
      <c r="A429" s="557" t="s">
        <v>2808</v>
      </c>
      <c r="B429" s="557" t="s">
        <v>2429</v>
      </c>
      <c r="C429" s="558" t="s">
        <v>1806</v>
      </c>
      <c r="D429" s="1372">
        <v>0.23903099999999999</v>
      </c>
      <c r="E429" s="1372">
        <v>6.0399499999999995E-2</v>
      </c>
      <c r="F429" s="1373">
        <v>0.90596949999999998</v>
      </c>
    </row>
    <row r="430" spans="1:6">
      <c r="A430" s="557" t="s">
        <v>6192</v>
      </c>
      <c r="B430" s="557" t="s">
        <v>2429</v>
      </c>
      <c r="C430" s="558" t="s">
        <v>1806</v>
      </c>
      <c r="D430" s="1372">
        <v>0.23903099999999999</v>
      </c>
      <c r="E430" s="1372">
        <v>6.0399499999999995E-2</v>
      </c>
      <c r="F430" s="1373">
        <v>0.90596949999999998</v>
      </c>
    </row>
    <row r="431" spans="1:6">
      <c r="A431" s="557" t="s">
        <v>4420</v>
      </c>
      <c r="B431" s="557" t="s">
        <v>2429</v>
      </c>
      <c r="C431" s="558" t="s">
        <v>1806</v>
      </c>
      <c r="D431" s="1372">
        <v>0.23903099999999999</v>
      </c>
      <c r="E431" s="1372">
        <v>6.0399499999999995E-2</v>
      </c>
      <c r="F431" s="1373">
        <v>0.90596949999999998</v>
      </c>
    </row>
    <row r="432" spans="1:6">
      <c r="A432" s="557" t="s">
        <v>4899</v>
      </c>
      <c r="B432" s="557" t="s">
        <v>2429</v>
      </c>
      <c r="C432" s="558" t="s">
        <v>1806</v>
      </c>
      <c r="D432" s="1372">
        <v>0.23903099999999999</v>
      </c>
      <c r="E432" s="1372">
        <v>6.0399499999999995E-2</v>
      </c>
      <c r="F432" s="1373">
        <v>0.90596949999999998</v>
      </c>
    </row>
    <row r="433" spans="1:6">
      <c r="A433" s="557" t="s">
        <v>1551</v>
      </c>
      <c r="B433" s="557" t="s">
        <v>2429</v>
      </c>
      <c r="C433" s="558" t="s">
        <v>1806</v>
      </c>
      <c r="D433" s="1372">
        <v>0.23903099999999999</v>
      </c>
      <c r="E433" s="1372">
        <v>6.0399499999999995E-2</v>
      </c>
      <c r="F433" s="1373">
        <v>0.90596949999999998</v>
      </c>
    </row>
    <row r="434" spans="1:6">
      <c r="A434" s="557" t="s">
        <v>4421</v>
      </c>
      <c r="B434" s="557" t="s">
        <v>2429</v>
      </c>
      <c r="C434" s="558" t="s">
        <v>1806</v>
      </c>
      <c r="D434" s="1372">
        <v>0.23903099999999999</v>
      </c>
      <c r="E434" s="1372">
        <v>6.0399499999999995E-2</v>
      </c>
      <c r="F434" s="1373">
        <v>0.90596949999999998</v>
      </c>
    </row>
    <row r="435" spans="1:6">
      <c r="A435" s="557" t="s">
        <v>1067</v>
      </c>
      <c r="B435" s="557" t="s">
        <v>2429</v>
      </c>
      <c r="C435" s="558" t="s">
        <v>1806</v>
      </c>
      <c r="D435" s="1372">
        <v>0.23903099999999999</v>
      </c>
      <c r="E435" s="1372">
        <v>6.0399499999999995E-2</v>
      </c>
      <c r="F435" s="1373">
        <v>0.90596949999999998</v>
      </c>
    </row>
    <row r="436" spans="1:6">
      <c r="A436" s="557" t="s">
        <v>3448</v>
      </c>
      <c r="B436" s="557" t="s">
        <v>2429</v>
      </c>
      <c r="C436" s="558" t="s">
        <v>1806</v>
      </c>
      <c r="D436" s="1372">
        <v>0.23903099999999999</v>
      </c>
      <c r="E436" s="1372">
        <v>6.0399499999999995E-2</v>
      </c>
      <c r="F436" s="1373">
        <v>0.90596949999999998</v>
      </c>
    </row>
    <row r="437" spans="1:6">
      <c r="A437" s="557" t="s">
        <v>726</v>
      </c>
      <c r="B437" s="557" t="s">
        <v>2429</v>
      </c>
      <c r="C437" s="558" t="s">
        <v>1804</v>
      </c>
      <c r="D437" s="1372">
        <v>0.23903099999999999</v>
      </c>
      <c r="E437" s="1372">
        <v>6.0399499999999995E-2</v>
      </c>
      <c r="F437" s="1373">
        <v>0.90596949999999998</v>
      </c>
    </row>
    <row r="438" spans="1:6">
      <c r="A438" s="557" t="s">
        <v>4422</v>
      </c>
      <c r="B438" s="557" t="s">
        <v>2429</v>
      </c>
      <c r="C438" s="558" t="s">
        <v>436</v>
      </c>
      <c r="D438" s="1372">
        <v>0.23903099999999999</v>
      </c>
      <c r="E438" s="1372">
        <v>6.0399499999999995E-2</v>
      </c>
      <c r="F438" s="1373">
        <v>0.90596949999999998</v>
      </c>
    </row>
    <row r="439" spans="1:6">
      <c r="A439" s="557" t="s">
        <v>2366</v>
      </c>
      <c r="B439" s="557" t="s">
        <v>2429</v>
      </c>
      <c r="C439" s="558" t="s">
        <v>1806</v>
      </c>
      <c r="D439" s="1372">
        <v>0.23903099999999999</v>
      </c>
      <c r="E439" s="1372">
        <v>6.0399499999999995E-2</v>
      </c>
      <c r="F439" s="1373">
        <v>0.90596949999999998</v>
      </c>
    </row>
    <row r="440" spans="1:6">
      <c r="A440" s="557" t="s">
        <v>4423</v>
      </c>
      <c r="B440" s="557" t="s">
        <v>2429</v>
      </c>
      <c r="C440" s="558" t="s">
        <v>2438</v>
      </c>
      <c r="D440" s="1372">
        <v>0.23903099999999999</v>
      </c>
      <c r="E440" s="1372">
        <v>6.0399499999999995E-2</v>
      </c>
      <c r="F440" s="1373">
        <v>0.90596949999999998</v>
      </c>
    </row>
    <row r="441" spans="1:6">
      <c r="A441" s="557" t="s">
        <v>4424</v>
      </c>
      <c r="B441" s="557" t="s">
        <v>5127</v>
      </c>
      <c r="C441" s="558" t="s">
        <v>1806</v>
      </c>
      <c r="D441" s="1372">
        <v>8.6399999999999991E-2</v>
      </c>
      <c r="E441" s="1372">
        <v>1.8360000000000001E-2</v>
      </c>
      <c r="F441" s="1373">
        <v>0.97524</v>
      </c>
    </row>
    <row r="442" spans="1:6">
      <c r="A442" s="557" t="s">
        <v>3312</v>
      </c>
      <c r="B442" s="557" t="s">
        <v>2429</v>
      </c>
      <c r="C442" s="558" t="s">
        <v>1806</v>
      </c>
      <c r="D442" s="1372">
        <v>0.23903099999999999</v>
      </c>
      <c r="E442" s="1372">
        <v>6.0399499999999995E-2</v>
      </c>
      <c r="F442" s="1373">
        <v>0.90596949999999998</v>
      </c>
    </row>
    <row r="443" spans="1:6">
      <c r="A443" s="557" t="s">
        <v>3503</v>
      </c>
      <c r="B443" s="557" t="s">
        <v>2429</v>
      </c>
      <c r="C443" s="558" t="s">
        <v>1806</v>
      </c>
      <c r="D443" s="1372">
        <v>0.23903099999999999</v>
      </c>
      <c r="E443" s="1372">
        <v>6.0399499999999995E-2</v>
      </c>
      <c r="F443" s="1373">
        <v>0.90596949999999998</v>
      </c>
    </row>
    <row r="444" spans="1:6">
      <c r="A444" s="557" t="s">
        <v>5237</v>
      </c>
      <c r="B444" s="557" t="s">
        <v>2429</v>
      </c>
      <c r="C444" s="558" t="s">
        <v>1804</v>
      </c>
      <c r="D444" s="1372">
        <v>0.23903099999999999</v>
      </c>
      <c r="E444" s="1372">
        <v>6.0399499999999995E-2</v>
      </c>
      <c r="F444" s="1373">
        <v>0.90596949999999998</v>
      </c>
    </row>
    <row r="445" spans="1:6">
      <c r="A445" s="557" t="s">
        <v>4425</v>
      </c>
      <c r="B445" s="557" t="s">
        <v>2429</v>
      </c>
      <c r="C445" s="558" t="s">
        <v>436</v>
      </c>
      <c r="D445" s="1372">
        <v>0.23903099999999999</v>
      </c>
      <c r="E445" s="1372">
        <v>6.0399499999999995E-2</v>
      </c>
      <c r="F445" s="1373">
        <v>0.90596949999999998</v>
      </c>
    </row>
    <row r="446" spans="1:6">
      <c r="A446" s="557" t="s">
        <v>3355</v>
      </c>
      <c r="B446" s="557" t="s">
        <v>2429</v>
      </c>
      <c r="C446" s="558" t="s">
        <v>1806</v>
      </c>
      <c r="D446" s="1372">
        <v>0.23903099999999999</v>
      </c>
      <c r="E446" s="1372">
        <v>6.0399499999999995E-2</v>
      </c>
      <c r="F446" s="1373">
        <v>0.90596949999999998</v>
      </c>
    </row>
    <row r="447" spans="1:6">
      <c r="A447" s="557" t="s">
        <v>4426</v>
      </c>
      <c r="B447" s="557" t="s">
        <v>2429</v>
      </c>
      <c r="C447" s="558" t="s">
        <v>2433</v>
      </c>
      <c r="D447" s="1372">
        <v>0.23903099999999999</v>
      </c>
      <c r="E447" s="1372">
        <v>6.0399499999999995E-2</v>
      </c>
      <c r="F447" s="1373">
        <v>0.90596949999999998</v>
      </c>
    </row>
    <row r="448" spans="1:6">
      <c r="A448" s="557" t="s">
        <v>4427</v>
      </c>
      <c r="B448" s="557" t="s">
        <v>2429</v>
      </c>
      <c r="C448" s="558" t="s">
        <v>2430</v>
      </c>
      <c r="D448" s="1372">
        <v>0.23903099999999999</v>
      </c>
      <c r="E448" s="1372">
        <v>6.0399499999999995E-2</v>
      </c>
      <c r="F448" s="1373">
        <v>0.90596949999999998</v>
      </c>
    </row>
    <row r="449" spans="1:6">
      <c r="A449" s="557" t="s">
        <v>4428</v>
      </c>
      <c r="B449" s="557" t="s">
        <v>6187</v>
      </c>
      <c r="C449" s="558" t="s">
        <v>2430</v>
      </c>
      <c r="D449" s="1372">
        <v>0.13818</v>
      </c>
      <c r="E449" s="1372">
        <v>1.4804999999999999E-2</v>
      </c>
      <c r="F449" s="1373">
        <v>0.83401499999999995</v>
      </c>
    </row>
    <row r="450" spans="1:6">
      <c r="A450" s="557" t="s">
        <v>4429</v>
      </c>
      <c r="B450" s="557" t="s">
        <v>2429</v>
      </c>
      <c r="C450" s="558" t="s">
        <v>2435</v>
      </c>
      <c r="D450" s="1372">
        <v>0.23903099999999999</v>
      </c>
      <c r="E450" s="1372">
        <v>6.0399499999999995E-2</v>
      </c>
      <c r="F450" s="1373">
        <v>0.90596949999999998</v>
      </c>
    </row>
    <row r="451" spans="1:6">
      <c r="A451" s="557" t="s">
        <v>3356</v>
      </c>
      <c r="B451" s="557" t="s">
        <v>2429</v>
      </c>
      <c r="C451" s="558" t="s">
        <v>1806</v>
      </c>
      <c r="D451" s="1372">
        <v>0.23903099999999999</v>
      </c>
      <c r="E451" s="1372">
        <v>6.0399499999999995E-2</v>
      </c>
      <c r="F451" s="1373">
        <v>0.90596949999999998</v>
      </c>
    </row>
    <row r="452" spans="1:6">
      <c r="A452" s="557" t="s">
        <v>4430</v>
      </c>
      <c r="B452" s="557" t="s">
        <v>2429</v>
      </c>
      <c r="C452" s="558" t="s">
        <v>1806</v>
      </c>
      <c r="D452" s="1372">
        <v>0.23903099999999999</v>
      </c>
      <c r="E452" s="1372">
        <v>6.0399499999999995E-2</v>
      </c>
      <c r="F452" s="1373">
        <v>0.90596949999999998</v>
      </c>
    </row>
    <row r="453" spans="1:6">
      <c r="A453" s="557" t="s">
        <v>4431</v>
      </c>
      <c r="B453" s="557" t="s">
        <v>5140</v>
      </c>
      <c r="C453" s="558" t="s">
        <v>1806</v>
      </c>
      <c r="D453" s="1372">
        <v>6.9699999999999998E-2</v>
      </c>
      <c r="E453" s="1372">
        <v>0</v>
      </c>
      <c r="F453" s="1373">
        <v>1.3242999999999998</v>
      </c>
    </row>
    <row r="454" spans="1:6">
      <c r="A454" s="557" t="s">
        <v>1219</v>
      </c>
      <c r="B454" s="557" t="s">
        <v>2429</v>
      </c>
      <c r="C454" s="558" t="s">
        <v>1806</v>
      </c>
      <c r="D454" s="1372">
        <v>0.23903099999999999</v>
      </c>
      <c r="E454" s="1372">
        <v>6.0399499999999995E-2</v>
      </c>
      <c r="F454" s="1373">
        <v>0.90596949999999998</v>
      </c>
    </row>
    <row r="455" spans="1:6">
      <c r="A455" s="557" t="s">
        <v>5630</v>
      </c>
      <c r="B455" s="557" t="s">
        <v>5140</v>
      </c>
      <c r="C455" s="558" t="s">
        <v>1806</v>
      </c>
      <c r="D455" s="1372">
        <v>6.9699999999999998E-2</v>
      </c>
      <c r="E455" s="1372">
        <v>0</v>
      </c>
      <c r="F455" s="1373">
        <v>1.3242999999999998</v>
      </c>
    </row>
    <row r="456" spans="1:6">
      <c r="A456" s="557" t="s">
        <v>4585</v>
      </c>
      <c r="B456" s="557" t="s">
        <v>5127</v>
      </c>
      <c r="C456" s="558" t="s">
        <v>1806</v>
      </c>
      <c r="D456" s="1372">
        <v>8.6399999999999991E-2</v>
      </c>
      <c r="E456" s="1372">
        <v>1.8360000000000001E-2</v>
      </c>
      <c r="F456" s="1373">
        <v>0.97524</v>
      </c>
    </row>
    <row r="457" spans="1:6">
      <c r="A457" s="557" t="s">
        <v>3281</v>
      </c>
      <c r="B457" s="557" t="s">
        <v>2429</v>
      </c>
      <c r="C457" s="558" t="s">
        <v>2431</v>
      </c>
      <c r="D457" s="1372">
        <v>0.23903099999999999</v>
      </c>
      <c r="E457" s="1372">
        <v>6.0399499999999995E-2</v>
      </c>
      <c r="F457" s="1373">
        <v>0.90596949999999998</v>
      </c>
    </row>
    <row r="458" spans="1:6">
      <c r="A458" s="557" t="s">
        <v>5631</v>
      </c>
      <c r="B458" s="557" t="s">
        <v>2442</v>
      </c>
      <c r="C458" s="558" t="s">
        <v>2442</v>
      </c>
      <c r="D458" s="1372">
        <v>0.312</v>
      </c>
      <c r="E458" s="1372">
        <v>0.13</v>
      </c>
      <c r="F458" s="1373">
        <v>0.8580000000000001</v>
      </c>
    </row>
    <row r="459" spans="1:6">
      <c r="A459" s="557" t="s">
        <v>4432</v>
      </c>
      <c r="B459" s="557" t="s">
        <v>2429</v>
      </c>
      <c r="C459" s="558" t="s">
        <v>1806</v>
      </c>
      <c r="D459" s="1372">
        <v>0.23903099999999999</v>
      </c>
      <c r="E459" s="1372">
        <v>6.0399499999999995E-2</v>
      </c>
      <c r="F459" s="1373">
        <v>0.90596949999999998</v>
      </c>
    </row>
    <row r="460" spans="1:6">
      <c r="A460" s="557" t="s">
        <v>1340</v>
      </c>
      <c r="B460" s="557" t="s">
        <v>2429</v>
      </c>
      <c r="C460" s="558" t="s">
        <v>1806</v>
      </c>
      <c r="D460" s="1372">
        <v>0.23903099999999999</v>
      </c>
      <c r="E460" s="1372">
        <v>6.0399499999999995E-2</v>
      </c>
      <c r="F460" s="1373">
        <v>0.90596949999999998</v>
      </c>
    </row>
    <row r="461" spans="1:6">
      <c r="A461" s="557" t="s">
        <v>3286</v>
      </c>
      <c r="B461" s="557" t="s">
        <v>2429</v>
      </c>
      <c r="C461" s="558" t="s">
        <v>1806</v>
      </c>
      <c r="D461" s="1372">
        <v>0.23903099999999999</v>
      </c>
      <c r="E461" s="1372">
        <v>6.0399499999999995E-2</v>
      </c>
      <c r="F461" s="1373">
        <v>0.90596949999999998</v>
      </c>
    </row>
    <row r="462" spans="1:6">
      <c r="A462" s="557" t="s">
        <v>3661</v>
      </c>
      <c r="B462" s="557" t="s">
        <v>2429</v>
      </c>
      <c r="C462" s="558" t="s">
        <v>1806</v>
      </c>
      <c r="D462" s="1372">
        <v>0.23903099999999999</v>
      </c>
      <c r="E462" s="1372">
        <v>6.0399499999999995E-2</v>
      </c>
      <c r="F462" s="1373">
        <v>0.90596949999999998</v>
      </c>
    </row>
    <row r="463" spans="1:6">
      <c r="A463" s="557" t="s">
        <v>6193</v>
      </c>
      <c r="B463" s="557" t="s">
        <v>2429</v>
      </c>
      <c r="C463" s="558" t="s">
        <v>1808</v>
      </c>
      <c r="D463" s="1372">
        <v>0.23903099999999999</v>
      </c>
      <c r="E463" s="1372">
        <v>6.0399499999999995E-2</v>
      </c>
      <c r="F463" s="1373">
        <v>0.90596949999999998</v>
      </c>
    </row>
    <row r="464" spans="1:6">
      <c r="A464" s="557" t="s">
        <v>932</v>
      </c>
      <c r="B464" s="557" t="s">
        <v>5127</v>
      </c>
      <c r="C464" s="558" t="s">
        <v>1806</v>
      </c>
      <c r="D464" s="1372">
        <v>8.6399999999999991E-2</v>
      </c>
      <c r="E464" s="1372">
        <v>1.8360000000000001E-2</v>
      </c>
      <c r="F464" s="1373">
        <v>0.97524</v>
      </c>
    </row>
    <row r="465" spans="1:6">
      <c r="A465" s="557" t="s">
        <v>496</v>
      </c>
      <c r="B465" s="557" t="s">
        <v>2429</v>
      </c>
      <c r="C465" s="558" t="s">
        <v>1806</v>
      </c>
      <c r="D465" s="1372">
        <v>0.23903099999999999</v>
      </c>
      <c r="E465" s="1372">
        <v>6.0399499999999995E-2</v>
      </c>
      <c r="F465" s="1373">
        <v>0.90596949999999998</v>
      </c>
    </row>
    <row r="466" spans="1:6">
      <c r="A466" s="557" t="s">
        <v>1546</v>
      </c>
      <c r="B466" s="557" t="s">
        <v>2429</v>
      </c>
      <c r="C466" s="558" t="s">
        <v>1804</v>
      </c>
      <c r="D466" s="1372">
        <v>0.23903099999999999</v>
      </c>
      <c r="E466" s="1372">
        <v>6.0399499999999995E-2</v>
      </c>
      <c r="F466" s="1373">
        <v>0.90596949999999998</v>
      </c>
    </row>
    <row r="467" spans="1:6">
      <c r="A467" s="557" t="s">
        <v>4433</v>
      </c>
      <c r="B467" s="557" t="s">
        <v>2429</v>
      </c>
      <c r="C467" s="558" t="s">
        <v>1804</v>
      </c>
      <c r="D467" s="1372">
        <v>0.23903099999999999</v>
      </c>
      <c r="E467" s="1372">
        <v>6.0399499999999995E-2</v>
      </c>
      <c r="F467" s="1373">
        <v>0.90596949999999998</v>
      </c>
    </row>
    <row r="468" spans="1:6">
      <c r="A468" s="557" t="s">
        <v>4217</v>
      </c>
      <c r="B468" s="557" t="s">
        <v>2429</v>
      </c>
      <c r="C468" s="558" t="s">
        <v>1806</v>
      </c>
      <c r="D468" s="1372">
        <v>0.23903099999999999</v>
      </c>
      <c r="E468" s="1372">
        <v>6.0399499999999995E-2</v>
      </c>
      <c r="F468" s="1373">
        <v>0.90596949999999998</v>
      </c>
    </row>
    <row r="469" spans="1:6">
      <c r="A469" s="557" t="s">
        <v>6194</v>
      </c>
      <c r="B469" s="557" t="s">
        <v>2429</v>
      </c>
      <c r="C469" s="558" t="s">
        <v>1806</v>
      </c>
      <c r="D469" s="1372">
        <v>0.23903099999999999</v>
      </c>
      <c r="E469" s="1372">
        <v>6.0399499999999995E-2</v>
      </c>
      <c r="F469" s="1373">
        <v>0.90596949999999998</v>
      </c>
    </row>
    <row r="470" spans="1:6">
      <c r="A470" s="557" t="s">
        <v>4434</v>
      </c>
      <c r="B470" s="557" t="s">
        <v>2429</v>
      </c>
      <c r="C470" s="558" t="s">
        <v>1806</v>
      </c>
      <c r="D470" s="1372">
        <v>0.23903099999999999</v>
      </c>
      <c r="E470" s="1372">
        <v>6.0399499999999995E-2</v>
      </c>
      <c r="F470" s="1373">
        <v>0.90596949999999998</v>
      </c>
    </row>
    <row r="471" spans="1:6">
      <c r="A471" s="557" t="s">
        <v>4435</v>
      </c>
      <c r="B471" s="557" t="s">
        <v>2429</v>
      </c>
      <c r="C471" s="558" t="s">
        <v>1806</v>
      </c>
      <c r="D471" s="1372">
        <v>0.23903099999999999</v>
      </c>
      <c r="E471" s="1372">
        <v>6.0399499999999995E-2</v>
      </c>
      <c r="F471" s="1373">
        <v>0.90596949999999998</v>
      </c>
    </row>
    <row r="472" spans="1:6">
      <c r="A472" s="557" t="s">
        <v>4436</v>
      </c>
      <c r="B472" s="557" t="s">
        <v>2429</v>
      </c>
      <c r="C472" s="558" t="s">
        <v>4437</v>
      </c>
      <c r="D472" s="1372">
        <v>0.23903099999999999</v>
      </c>
      <c r="E472" s="1372">
        <v>6.0399499999999995E-2</v>
      </c>
      <c r="F472" s="1373">
        <v>0.90596949999999998</v>
      </c>
    </row>
    <row r="473" spans="1:6">
      <c r="A473" s="557" t="s">
        <v>3357</v>
      </c>
      <c r="B473" s="557" t="s">
        <v>5127</v>
      </c>
      <c r="C473" s="558" t="s">
        <v>1806</v>
      </c>
      <c r="D473" s="1372">
        <v>8.6399999999999991E-2</v>
      </c>
      <c r="E473" s="1372">
        <v>1.8360000000000001E-2</v>
      </c>
      <c r="F473" s="1373">
        <v>0.97524</v>
      </c>
    </row>
    <row r="474" spans="1:6">
      <c r="A474" s="557" t="s">
        <v>951</v>
      </c>
      <c r="B474" s="557" t="s">
        <v>2429</v>
      </c>
      <c r="C474" s="558" t="s">
        <v>1806</v>
      </c>
      <c r="D474" s="1372">
        <v>0.23903099999999999</v>
      </c>
      <c r="E474" s="1372">
        <v>6.0399499999999995E-2</v>
      </c>
      <c r="F474" s="1373">
        <v>0.90596949999999998</v>
      </c>
    </row>
    <row r="475" spans="1:6">
      <c r="A475" s="557" t="s">
        <v>4438</v>
      </c>
      <c r="B475" s="557" t="s">
        <v>2429</v>
      </c>
      <c r="C475" s="558" t="s">
        <v>1806</v>
      </c>
      <c r="D475" s="1372">
        <v>0.23903099999999999</v>
      </c>
      <c r="E475" s="1372">
        <v>6.0399499999999995E-2</v>
      </c>
      <c r="F475" s="1373">
        <v>0.90596949999999998</v>
      </c>
    </row>
    <row r="476" spans="1:6">
      <c r="A476" s="557" t="s">
        <v>1104</v>
      </c>
      <c r="B476" s="557" t="s">
        <v>2429</v>
      </c>
      <c r="C476" s="558" t="s">
        <v>1806</v>
      </c>
      <c r="D476" s="1372">
        <v>0.23903099999999999</v>
      </c>
      <c r="E476" s="1372">
        <v>6.0399499999999995E-2</v>
      </c>
      <c r="F476" s="1373">
        <v>0.90596949999999998</v>
      </c>
    </row>
    <row r="477" spans="1:6">
      <c r="A477" s="557" t="s">
        <v>4881</v>
      </c>
      <c r="B477" s="557" t="s">
        <v>2429</v>
      </c>
      <c r="C477" s="558" t="s">
        <v>1806</v>
      </c>
      <c r="D477" s="1372">
        <v>0.23903099999999999</v>
      </c>
      <c r="E477" s="1372">
        <v>6.0399499999999995E-2</v>
      </c>
      <c r="F477" s="1373">
        <v>0.90596949999999998</v>
      </c>
    </row>
    <row r="478" spans="1:6">
      <c r="A478" s="557" t="s">
        <v>4439</v>
      </c>
      <c r="B478" s="557" t="s">
        <v>2429</v>
      </c>
      <c r="C478" s="558" t="s">
        <v>1806</v>
      </c>
      <c r="D478" s="1372">
        <v>0.23903099999999999</v>
      </c>
      <c r="E478" s="1372">
        <v>6.0399499999999995E-2</v>
      </c>
      <c r="F478" s="1373">
        <v>0.90596949999999998</v>
      </c>
    </row>
    <row r="479" spans="1:6">
      <c r="A479" s="557" t="s">
        <v>3358</v>
      </c>
      <c r="B479" s="557" t="s">
        <v>2429</v>
      </c>
      <c r="C479" s="558" t="s">
        <v>1806</v>
      </c>
      <c r="D479" s="1372">
        <v>0.23903099999999999</v>
      </c>
      <c r="E479" s="1372">
        <v>6.0399499999999995E-2</v>
      </c>
      <c r="F479" s="1373">
        <v>0.90596949999999998</v>
      </c>
    </row>
    <row r="480" spans="1:6">
      <c r="A480" s="557" t="s">
        <v>2666</v>
      </c>
      <c r="B480" s="557" t="s">
        <v>6184</v>
      </c>
      <c r="C480" s="558" t="s">
        <v>2441</v>
      </c>
      <c r="D480" s="1372">
        <v>0.28458</v>
      </c>
      <c r="E480" s="1372">
        <v>3.1620000000000002E-2</v>
      </c>
      <c r="F480" s="1373">
        <v>1.2648000000000001</v>
      </c>
    </row>
    <row r="481" spans="1:6">
      <c r="A481" s="557" t="s">
        <v>2673</v>
      </c>
      <c r="B481" s="557" t="s">
        <v>2429</v>
      </c>
      <c r="C481" s="558" t="s">
        <v>1806</v>
      </c>
      <c r="D481" s="1372">
        <v>0.23903099999999999</v>
      </c>
      <c r="E481" s="1372">
        <v>6.0399499999999995E-2</v>
      </c>
      <c r="F481" s="1373">
        <v>0.90596949999999998</v>
      </c>
    </row>
    <row r="482" spans="1:6">
      <c r="A482" s="557" t="s">
        <v>4440</v>
      </c>
      <c r="B482" s="557" t="s">
        <v>6187</v>
      </c>
      <c r="C482" s="558" t="s">
        <v>1805</v>
      </c>
      <c r="D482" s="1372">
        <v>0.13818</v>
      </c>
      <c r="E482" s="1372">
        <v>1.4804999999999999E-2</v>
      </c>
      <c r="F482" s="1373">
        <v>0.83401499999999995</v>
      </c>
    </row>
    <row r="483" spans="1:6">
      <c r="A483" s="557" t="s">
        <v>4441</v>
      </c>
      <c r="B483" s="557" t="s">
        <v>5127</v>
      </c>
      <c r="C483" s="558" t="s">
        <v>1806</v>
      </c>
      <c r="D483" s="1372">
        <v>8.6399999999999991E-2</v>
      </c>
      <c r="E483" s="1372">
        <v>1.8360000000000001E-2</v>
      </c>
      <c r="F483" s="1373">
        <v>0.97524</v>
      </c>
    </row>
    <row r="484" spans="1:6">
      <c r="A484" s="557" t="s">
        <v>4442</v>
      </c>
      <c r="B484" s="557" t="s">
        <v>2429</v>
      </c>
      <c r="C484" s="558" t="s">
        <v>1806</v>
      </c>
      <c r="D484" s="1372">
        <v>0.23903099999999999</v>
      </c>
      <c r="E484" s="1372">
        <v>6.0399499999999995E-2</v>
      </c>
      <c r="F484" s="1373">
        <v>0.90596949999999998</v>
      </c>
    </row>
    <row r="485" spans="1:6">
      <c r="A485" s="557" t="s">
        <v>4443</v>
      </c>
      <c r="B485" s="557" t="s">
        <v>2429</v>
      </c>
      <c r="C485" s="558" t="s">
        <v>1806</v>
      </c>
      <c r="D485" s="1372">
        <v>0.23903099999999999</v>
      </c>
      <c r="E485" s="1372">
        <v>6.0399499999999995E-2</v>
      </c>
      <c r="F485" s="1373">
        <v>0.90596949999999998</v>
      </c>
    </row>
    <row r="486" spans="1:6">
      <c r="A486" s="557" t="s">
        <v>5239</v>
      </c>
      <c r="B486" s="557" t="s">
        <v>2429</v>
      </c>
      <c r="C486" s="558" t="s">
        <v>1806</v>
      </c>
      <c r="D486" s="1372">
        <v>0.23903099999999999</v>
      </c>
      <c r="E486" s="1372">
        <v>6.0399499999999995E-2</v>
      </c>
      <c r="F486" s="1373">
        <v>0.90596949999999998</v>
      </c>
    </row>
    <row r="487" spans="1:6">
      <c r="A487" s="557" t="s">
        <v>4769</v>
      </c>
      <c r="B487" s="557" t="s">
        <v>2429</v>
      </c>
      <c r="C487" s="558" t="s">
        <v>2969</v>
      </c>
      <c r="D487" s="1372">
        <v>0.23903099999999999</v>
      </c>
      <c r="E487" s="1372">
        <v>6.0399499999999995E-2</v>
      </c>
      <c r="F487" s="1373">
        <v>0.90596949999999998</v>
      </c>
    </row>
    <row r="488" spans="1:6">
      <c r="A488" s="557" t="s">
        <v>2768</v>
      </c>
      <c r="B488" s="557" t="s">
        <v>2429</v>
      </c>
      <c r="C488" s="558" t="s">
        <v>2437</v>
      </c>
      <c r="D488" s="1372">
        <v>0.23903099999999999</v>
      </c>
      <c r="E488" s="1372">
        <v>6.0399499999999995E-2</v>
      </c>
      <c r="F488" s="1373">
        <v>0.90596949999999998</v>
      </c>
    </row>
    <row r="489" spans="1:6">
      <c r="A489" s="732" t="s">
        <v>6195</v>
      </c>
      <c r="B489" s="732" t="s">
        <v>2429</v>
      </c>
      <c r="C489" s="731" t="s">
        <v>1808</v>
      </c>
      <c r="D489" s="1374">
        <v>0.23903099999999999</v>
      </c>
      <c r="E489" s="1374">
        <v>6.0399499999999995E-2</v>
      </c>
      <c r="F489" s="1375">
        <v>0.90596949999999998</v>
      </c>
    </row>
  </sheetData>
  <conditionalFormatting sqref="D7:F489">
    <cfRule type="cellIs" dxfId="8" priority="10" stopIfTrue="1" operator="equal">
      <formula>0</formula>
    </cfRule>
  </conditionalFormatting>
  <hyperlinks>
    <hyperlink ref="C3" location="aquaculture_yields!A1" tooltip="Go to fish_commodity_efi" display="aquaculture_yields"/>
  </hyperlinks>
  <pageMargins left="0.7" right="0.7" top="0.75" bottom="0.75" header="0.3" footer="0.3"/>
  <pageSetup orientation="portrait" verticalDpi="0"/>
  <drawing r:id="rId1"/>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enableFormatConditionsCalculation="0">
    <tabColor rgb="FF0000FF"/>
  </sheetPr>
  <dimension ref="A1:O277"/>
  <sheetViews>
    <sheetView workbookViewId="0">
      <selection activeCell="A65536" sqref="A65536"/>
    </sheetView>
  </sheetViews>
  <sheetFormatPr baseColWidth="10" defaultColWidth="9.1640625" defaultRowHeight="12" x14ac:dyDescent="0"/>
  <cols>
    <col min="1" max="1" width="65.33203125" style="604" customWidth="1"/>
    <col min="2" max="2" width="15.6640625" style="604" customWidth="1"/>
    <col min="3" max="3" width="21.1640625" style="604" customWidth="1"/>
    <col min="4" max="4" width="21.33203125" style="604" customWidth="1"/>
    <col min="5" max="5" width="22" style="604" customWidth="1"/>
    <col min="6" max="6" width="21.6640625" style="604" customWidth="1"/>
    <col min="7" max="7" width="14.83203125" style="604" customWidth="1"/>
    <col min="8" max="8" width="12.6640625" style="604" customWidth="1"/>
    <col min="9" max="16384" width="9.1640625" style="604"/>
  </cols>
  <sheetData>
    <row r="1" spans="1:15">
      <c r="A1" s="53"/>
    </row>
    <row r="2" spans="1:15">
      <c r="A2" s="53"/>
      <c r="B2" s="605" t="s">
        <v>1005</v>
      </c>
      <c r="C2" s="614"/>
    </row>
    <row r="3" spans="1:15">
      <c r="A3" s="53"/>
      <c r="B3" s="605" t="s">
        <v>6357</v>
      </c>
      <c r="C3" s="1064" t="s">
        <v>1841</v>
      </c>
      <c r="D3" s="1064" t="s">
        <v>5421</v>
      </c>
      <c r="E3" s="1064" t="s">
        <v>5262</v>
      </c>
      <c r="I3" s="742"/>
      <c r="J3" s="742"/>
      <c r="K3" s="742"/>
      <c r="L3" s="742"/>
      <c r="M3" s="742"/>
      <c r="N3" s="742"/>
      <c r="O3" s="742"/>
    </row>
    <row r="4" spans="1:15">
      <c r="A4" s="53"/>
      <c r="C4" s="614"/>
      <c r="I4" s="742"/>
      <c r="J4" s="742"/>
      <c r="K4" s="742"/>
      <c r="L4" s="742"/>
      <c r="M4" s="742"/>
      <c r="N4" s="742"/>
      <c r="O4" s="742"/>
    </row>
    <row r="5" spans="1:15">
      <c r="A5" s="314" t="s">
        <v>1445</v>
      </c>
      <c r="B5" s="727" t="s">
        <v>515</v>
      </c>
      <c r="C5" s="305" t="s">
        <v>5425</v>
      </c>
      <c r="F5" s="921"/>
      <c r="G5" s="601"/>
      <c r="H5" s="921"/>
      <c r="I5" s="742"/>
      <c r="J5" s="742"/>
      <c r="K5" s="742"/>
      <c r="L5" s="742"/>
      <c r="M5" s="742"/>
      <c r="N5" s="742"/>
      <c r="O5" s="742"/>
    </row>
    <row r="6" spans="1:15">
      <c r="A6" s="23" t="s">
        <v>8730</v>
      </c>
      <c r="B6" s="693">
        <v>307.89</v>
      </c>
      <c r="C6" s="1625">
        <v>3.8798214285714288</v>
      </c>
      <c r="D6" s="742"/>
      <c r="E6" s="921"/>
      <c r="F6" s="1608"/>
      <c r="G6" s="1608"/>
      <c r="H6" s="921"/>
      <c r="I6" s="1608"/>
      <c r="J6" s="1608"/>
      <c r="K6" s="1607"/>
      <c r="L6" s="742"/>
      <c r="M6" s="742"/>
      <c r="N6" s="742"/>
      <c r="O6" s="742"/>
    </row>
    <row r="7" spans="1:15">
      <c r="A7" s="615" t="s">
        <v>8731</v>
      </c>
      <c r="B7" s="853">
        <v>307.81</v>
      </c>
      <c r="C7" s="1626">
        <v>5.2275</v>
      </c>
      <c r="D7" s="742"/>
      <c r="E7" s="921"/>
      <c r="F7" s="1608"/>
      <c r="G7" s="1608"/>
      <c r="H7" s="921"/>
      <c r="I7" s="1608"/>
      <c r="J7" s="1608"/>
      <c r="K7" s="1607"/>
      <c r="L7" s="742"/>
      <c r="M7" s="742"/>
      <c r="N7" s="742"/>
      <c r="O7" s="742"/>
    </row>
    <row r="8" spans="1:15">
      <c r="A8" s="615" t="s">
        <v>8620</v>
      </c>
      <c r="B8" s="853">
        <v>1605.57</v>
      </c>
      <c r="C8" s="1626">
        <v>2.13</v>
      </c>
      <c r="D8" s="742"/>
      <c r="E8" s="921"/>
      <c r="F8" s="1608"/>
      <c r="G8" s="1608"/>
      <c r="H8" s="921"/>
      <c r="I8" s="1608"/>
      <c r="J8" s="1608"/>
      <c r="K8" s="1607"/>
      <c r="L8" s="1609"/>
      <c r="M8" s="1609"/>
      <c r="N8" s="742"/>
      <c r="O8" s="742"/>
    </row>
    <row r="9" spans="1:15">
      <c r="A9" s="615" t="s">
        <v>6230</v>
      </c>
      <c r="B9" s="853">
        <v>1302.31</v>
      </c>
      <c r="C9" s="1627">
        <v>0</v>
      </c>
      <c r="D9" s="742"/>
      <c r="E9" s="921"/>
      <c r="F9" s="1608"/>
      <c r="G9" s="1608"/>
      <c r="H9" s="921"/>
      <c r="I9" s="1608"/>
      <c r="J9" s="1608"/>
      <c r="K9" s="1607"/>
      <c r="L9" s="742"/>
      <c r="M9" s="742"/>
      <c r="N9" s="742"/>
      <c r="O9" s="742"/>
    </row>
    <row r="10" spans="1:15">
      <c r="A10" s="615" t="s">
        <v>8632</v>
      </c>
      <c r="B10" s="853">
        <v>304.75</v>
      </c>
      <c r="C10" s="1627">
        <v>1.9677110566448803</v>
      </c>
      <c r="D10" s="742"/>
      <c r="E10" s="921"/>
      <c r="F10" s="1608"/>
      <c r="G10" s="1608"/>
      <c r="H10" s="921"/>
      <c r="I10" s="1608"/>
      <c r="J10" s="1608"/>
      <c r="K10" s="1607"/>
      <c r="L10" s="742"/>
      <c r="M10" s="742"/>
      <c r="N10" s="742"/>
      <c r="O10" s="742"/>
    </row>
    <row r="11" spans="1:15">
      <c r="A11" s="615" t="s">
        <v>8622</v>
      </c>
      <c r="B11" s="853">
        <v>302.55</v>
      </c>
      <c r="C11" s="1627">
        <v>1.17</v>
      </c>
      <c r="D11" s="742"/>
      <c r="E11" s="921"/>
      <c r="F11" s="1608"/>
      <c r="G11" s="1608"/>
      <c r="H11" s="921"/>
      <c r="I11" s="1608"/>
      <c r="J11" s="1608"/>
      <c r="K11" s="1607"/>
      <c r="L11" s="742"/>
      <c r="M11" s="742"/>
      <c r="N11" s="742"/>
      <c r="O11" s="742"/>
    </row>
    <row r="12" spans="1:15">
      <c r="A12" s="615" t="s">
        <v>8696</v>
      </c>
      <c r="B12" s="853">
        <v>303.67</v>
      </c>
      <c r="C12" s="1627">
        <v>1.81</v>
      </c>
      <c r="D12" s="742"/>
      <c r="E12" s="921"/>
      <c r="F12" s="1608"/>
      <c r="G12" s="1608"/>
      <c r="H12" s="921"/>
      <c r="I12" s="1608"/>
      <c r="J12" s="1608"/>
      <c r="K12" s="1607"/>
      <c r="L12" s="742"/>
      <c r="M12" s="742"/>
      <c r="N12" s="742"/>
      <c r="O12" s="742"/>
    </row>
    <row r="13" spans="1:15">
      <c r="A13" s="615" t="s">
        <v>8624</v>
      </c>
      <c r="B13" s="853">
        <v>304.94</v>
      </c>
      <c r="C13" s="1627">
        <v>3.3039999999999998</v>
      </c>
      <c r="D13" s="742"/>
      <c r="E13" s="921"/>
      <c r="F13" s="1608"/>
      <c r="G13" s="1608"/>
      <c r="H13" s="921"/>
      <c r="I13" s="1608"/>
      <c r="J13" s="1608"/>
      <c r="K13" s="1607"/>
      <c r="L13" s="742"/>
      <c r="M13" s="742"/>
      <c r="N13" s="742"/>
      <c r="O13" s="742"/>
    </row>
    <row r="14" spans="1:15">
      <c r="A14" s="615" t="s">
        <v>6231</v>
      </c>
      <c r="B14" s="853">
        <v>302.31</v>
      </c>
      <c r="C14" s="1627">
        <v>1.145</v>
      </c>
      <c r="D14" s="742"/>
      <c r="E14" s="921"/>
      <c r="F14" s="1608"/>
      <c r="G14" s="1608"/>
      <c r="H14" s="921"/>
      <c r="I14" s="1608"/>
      <c r="J14" s="1608"/>
      <c r="K14" s="1607"/>
      <c r="L14" s="742"/>
      <c r="M14" s="742"/>
      <c r="N14" s="742"/>
      <c r="O14" s="742"/>
    </row>
    <row r="15" spans="1:15">
      <c r="A15" s="615" t="s">
        <v>6232</v>
      </c>
      <c r="B15" s="853">
        <v>303.41000000000003</v>
      </c>
      <c r="C15" s="1627">
        <v>1.25</v>
      </c>
      <c r="D15" s="742"/>
      <c r="E15" s="921"/>
      <c r="F15" s="1608"/>
      <c r="G15" s="1608"/>
      <c r="H15" s="921"/>
      <c r="I15" s="1608"/>
      <c r="J15" s="1608"/>
      <c r="K15" s="1607"/>
      <c r="L15" s="742"/>
      <c r="M15" s="742"/>
      <c r="N15" s="742"/>
      <c r="O15" s="742"/>
    </row>
    <row r="16" spans="1:15">
      <c r="A16" s="615" t="s">
        <v>8625</v>
      </c>
      <c r="B16" s="853">
        <v>302.42</v>
      </c>
      <c r="C16" s="1627">
        <v>1.4131136363636361</v>
      </c>
      <c r="D16" s="742"/>
      <c r="E16" s="921"/>
      <c r="F16" s="1608"/>
      <c r="G16" s="1608"/>
      <c r="H16" s="921"/>
      <c r="I16" s="1608"/>
      <c r="J16" s="1608"/>
      <c r="K16" s="1607"/>
      <c r="L16" s="742"/>
      <c r="M16" s="742"/>
      <c r="N16" s="742"/>
      <c r="O16" s="742"/>
    </row>
    <row r="17" spans="1:15">
      <c r="A17" s="615" t="s">
        <v>6233</v>
      </c>
      <c r="B17" s="853">
        <v>1604.16</v>
      </c>
      <c r="C17" s="1627">
        <v>2.2999999999999998</v>
      </c>
      <c r="D17" s="742"/>
      <c r="E17" s="921"/>
      <c r="F17" s="1608"/>
      <c r="G17" s="1608"/>
      <c r="H17" s="921"/>
      <c r="I17" s="1608"/>
      <c r="J17" s="1608"/>
      <c r="K17" s="1607"/>
      <c r="L17" s="742"/>
      <c r="M17" s="742"/>
      <c r="N17" s="742"/>
      <c r="O17" s="742"/>
    </row>
    <row r="18" spans="1:15">
      <c r="A18" s="615" t="s">
        <v>897</v>
      </c>
      <c r="B18" s="853">
        <v>305.63</v>
      </c>
      <c r="C18" s="1627">
        <v>1.84</v>
      </c>
      <c r="D18" s="742"/>
      <c r="E18" s="921"/>
      <c r="F18" s="1608"/>
      <c r="G18" s="1608"/>
      <c r="H18" s="921"/>
      <c r="I18" s="1608"/>
      <c r="J18" s="1608"/>
      <c r="K18" s="1607"/>
      <c r="L18" s="742"/>
      <c r="M18" s="742"/>
      <c r="N18" s="742"/>
      <c r="O18" s="742"/>
    </row>
    <row r="19" spans="1:15">
      <c r="A19" s="615" t="s">
        <v>8626</v>
      </c>
      <c r="B19" s="853">
        <v>302.14</v>
      </c>
      <c r="C19" s="1627">
        <v>1.4516447368421053</v>
      </c>
      <c r="D19" s="742"/>
      <c r="E19" s="921"/>
      <c r="F19" s="1608"/>
      <c r="G19" s="1608"/>
      <c r="H19" s="921"/>
      <c r="I19" s="1608"/>
      <c r="J19" s="1608"/>
      <c r="K19" s="1607"/>
      <c r="L19" s="742"/>
      <c r="M19" s="742"/>
      <c r="N19" s="742"/>
      <c r="O19" s="742"/>
    </row>
    <row r="20" spans="1:15">
      <c r="A20" s="615" t="s">
        <v>6234</v>
      </c>
      <c r="B20" s="853">
        <v>303.22000000000003</v>
      </c>
      <c r="C20" s="1627">
        <v>1.4391666666666667</v>
      </c>
      <c r="D20" s="742"/>
      <c r="E20" s="921"/>
      <c r="F20" s="1608"/>
      <c r="G20" s="1608"/>
      <c r="H20" s="921"/>
      <c r="I20" s="1608"/>
      <c r="J20" s="1608"/>
      <c r="K20" s="1607"/>
      <c r="L20" s="742"/>
      <c r="M20" s="742"/>
      <c r="N20" s="742"/>
      <c r="O20" s="742"/>
    </row>
    <row r="21" spans="1:15">
      <c r="A21" s="615" t="s">
        <v>3827</v>
      </c>
      <c r="B21" s="853">
        <v>302.33999999999997</v>
      </c>
      <c r="C21" s="1627">
        <v>1.1839999999999999</v>
      </c>
      <c r="D21" s="742"/>
      <c r="E21" s="921"/>
      <c r="F21" s="1608"/>
      <c r="G21" s="1608"/>
      <c r="H21" s="921"/>
      <c r="I21" s="1608"/>
      <c r="J21" s="1608"/>
      <c r="K21" s="1607"/>
      <c r="L21" s="742"/>
      <c r="M21" s="742"/>
      <c r="N21" s="742"/>
      <c r="O21" s="742"/>
    </row>
    <row r="22" spans="1:15">
      <c r="A22" s="615" t="s">
        <v>6235</v>
      </c>
      <c r="B22" s="853">
        <v>303.44</v>
      </c>
      <c r="C22" s="1627">
        <v>1.2330000000000001</v>
      </c>
      <c r="D22" s="742"/>
      <c r="E22" s="921"/>
      <c r="F22" s="1608"/>
      <c r="G22" s="1608"/>
      <c r="H22" s="921"/>
      <c r="I22" s="1608"/>
      <c r="J22" s="1608"/>
      <c r="K22" s="1607"/>
      <c r="L22" s="742"/>
      <c r="M22" s="742"/>
      <c r="N22" s="742"/>
      <c r="O22" s="742"/>
    </row>
    <row r="23" spans="1:15">
      <c r="A23" s="615" t="s">
        <v>8627</v>
      </c>
      <c r="B23" s="853">
        <v>302.56</v>
      </c>
      <c r="C23" s="1627">
        <v>1</v>
      </c>
      <c r="D23" s="742"/>
      <c r="E23" s="921"/>
      <c r="F23" s="1608"/>
      <c r="G23" s="1608"/>
      <c r="H23" s="921"/>
      <c r="I23" s="1608"/>
      <c r="J23" s="1608"/>
      <c r="K23" s="1607"/>
      <c r="L23" s="742"/>
      <c r="M23" s="742"/>
      <c r="N23" s="742"/>
      <c r="O23" s="742"/>
    </row>
    <row r="24" spans="1:15">
      <c r="A24" s="615" t="s">
        <v>8628</v>
      </c>
      <c r="B24" s="853">
        <v>303.68</v>
      </c>
      <c r="C24" s="1627">
        <v>1</v>
      </c>
      <c r="D24" s="742"/>
      <c r="E24" s="921"/>
      <c r="F24" s="1608"/>
      <c r="G24" s="1608"/>
      <c r="H24" s="921"/>
      <c r="I24" s="1608"/>
      <c r="J24" s="1608"/>
      <c r="K24" s="1607"/>
      <c r="L24" s="742"/>
      <c r="M24" s="742"/>
      <c r="N24" s="742"/>
      <c r="O24" s="742"/>
    </row>
    <row r="25" spans="1:15">
      <c r="A25" s="615" t="s">
        <v>6236</v>
      </c>
      <c r="B25" s="853">
        <v>302.35000000000002</v>
      </c>
      <c r="C25" s="1627">
        <v>1.9845833333333331</v>
      </c>
      <c r="D25" s="742"/>
      <c r="E25" s="921"/>
      <c r="F25" s="1608"/>
      <c r="G25" s="1608"/>
      <c r="H25" s="921"/>
      <c r="I25" s="1608"/>
      <c r="J25" s="1608"/>
      <c r="K25" s="1607"/>
      <c r="L25" s="742"/>
      <c r="M25" s="742"/>
      <c r="N25" s="742"/>
      <c r="O25" s="742"/>
    </row>
    <row r="26" spans="1:15">
      <c r="A26" s="615" t="s">
        <v>6237</v>
      </c>
      <c r="B26" s="853">
        <v>303.45</v>
      </c>
      <c r="C26" s="1627">
        <v>1.82</v>
      </c>
      <c r="D26" s="742"/>
      <c r="E26" s="921"/>
      <c r="F26" s="1608"/>
      <c r="G26" s="1608"/>
      <c r="H26" s="921"/>
      <c r="I26" s="1608"/>
      <c r="J26" s="1608"/>
      <c r="K26" s="1607"/>
      <c r="L26" s="742"/>
      <c r="M26" s="742"/>
      <c r="N26" s="742"/>
      <c r="O26" s="742"/>
    </row>
    <row r="27" spans="1:15">
      <c r="A27" s="615" t="s">
        <v>6238</v>
      </c>
      <c r="B27" s="853">
        <v>301.94</v>
      </c>
      <c r="C27" s="1627">
        <v>1</v>
      </c>
      <c r="D27" s="742"/>
      <c r="E27" s="921"/>
      <c r="F27" s="1608"/>
      <c r="G27" s="1608"/>
      <c r="H27" s="921"/>
      <c r="I27" s="1608"/>
      <c r="J27" s="1608"/>
      <c r="K27" s="1607"/>
      <c r="L27" s="1610"/>
      <c r="M27" s="1610"/>
      <c r="N27" s="742"/>
      <c r="O27" s="742"/>
    </row>
    <row r="28" spans="1:15">
      <c r="A28" s="615" t="s">
        <v>8629</v>
      </c>
      <c r="B28" s="853">
        <v>302.73</v>
      </c>
      <c r="C28" s="1627">
        <v>1.4516447368421053</v>
      </c>
      <c r="D28" s="742"/>
      <c r="E28" s="921"/>
      <c r="F28" s="1608"/>
      <c r="G28" s="1608"/>
      <c r="H28" s="921"/>
      <c r="I28" s="1608"/>
      <c r="J28" s="1608"/>
      <c r="K28" s="1607"/>
      <c r="L28" s="742"/>
      <c r="M28" s="742"/>
      <c r="N28" s="742"/>
      <c r="O28" s="742"/>
    </row>
    <row r="29" spans="1:15">
      <c r="A29" s="615" t="s">
        <v>8630</v>
      </c>
      <c r="B29" s="853">
        <v>303.25</v>
      </c>
      <c r="C29" s="1627">
        <v>1.5774431913116123</v>
      </c>
      <c r="D29" s="742"/>
      <c r="E29" s="921"/>
      <c r="F29" s="1608"/>
      <c r="G29" s="1608"/>
      <c r="H29" s="921"/>
      <c r="I29" s="1608"/>
      <c r="J29" s="1608"/>
      <c r="K29" s="1607"/>
      <c r="L29" s="742"/>
      <c r="M29" s="742"/>
      <c r="N29" s="742"/>
      <c r="O29" s="742"/>
    </row>
    <row r="30" spans="1:15">
      <c r="A30" s="615" t="s">
        <v>6239</v>
      </c>
      <c r="B30" s="853">
        <v>301.93</v>
      </c>
      <c r="C30" s="1627">
        <v>1</v>
      </c>
      <c r="D30" s="742"/>
      <c r="E30" s="921"/>
      <c r="F30" s="1608"/>
      <c r="G30" s="1608"/>
      <c r="H30" s="921"/>
      <c r="I30" s="1608"/>
      <c r="J30" s="1608"/>
      <c r="K30" s="1607"/>
      <c r="L30" s="742"/>
      <c r="M30" s="742"/>
      <c r="N30" s="742"/>
      <c r="O30" s="742"/>
    </row>
    <row r="31" spans="1:15">
      <c r="A31" s="615" t="s">
        <v>8618</v>
      </c>
      <c r="B31" s="853">
        <v>304.39</v>
      </c>
      <c r="C31" s="1627">
        <v>1.9677110566448803</v>
      </c>
      <c r="D31" s="742"/>
      <c r="E31" s="921"/>
      <c r="F31" s="1608"/>
      <c r="G31" s="1608"/>
      <c r="H31" s="921"/>
      <c r="I31" s="1608"/>
      <c r="J31" s="1608"/>
      <c r="K31" s="1607"/>
      <c r="L31" s="742"/>
      <c r="M31" s="742"/>
      <c r="N31" s="742"/>
      <c r="O31" s="742"/>
    </row>
    <row r="32" spans="1:15">
      <c r="A32" s="615" t="s">
        <v>8633</v>
      </c>
      <c r="B32" s="853">
        <v>304.69</v>
      </c>
      <c r="C32" s="1627">
        <v>1.9677110566448803</v>
      </c>
      <c r="D32" s="742"/>
      <c r="E32" s="921"/>
      <c r="F32" s="1608"/>
      <c r="G32" s="1608"/>
      <c r="H32" s="921"/>
      <c r="I32" s="1608"/>
      <c r="J32" s="1608"/>
      <c r="K32" s="1607"/>
      <c r="L32" s="742"/>
      <c r="M32" s="742"/>
      <c r="N32" s="742"/>
      <c r="O32" s="742"/>
    </row>
    <row r="33" spans="1:15">
      <c r="A33" s="615" t="s">
        <v>8642</v>
      </c>
      <c r="B33" s="853">
        <v>302.72000000000003</v>
      </c>
      <c r="C33" s="1627">
        <v>1.9677110566448803</v>
      </c>
      <c r="D33" s="742"/>
      <c r="E33" s="921"/>
      <c r="F33" s="1608"/>
      <c r="G33" s="1608"/>
      <c r="H33" s="921"/>
      <c r="I33" s="1608"/>
      <c r="J33" s="1608"/>
      <c r="K33" s="1607"/>
      <c r="L33" s="742"/>
      <c r="M33" s="742"/>
      <c r="N33" s="742"/>
      <c r="O33" s="742"/>
    </row>
    <row r="34" spans="1:15">
      <c r="A34" s="615" t="s">
        <v>8621</v>
      </c>
      <c r="B34" s="853">
        <v>304.32</v>
      </c>
      <c r="C34" s="1627">
        <v>1.9677110566448803</v>
      </c>
      <c r="D34" s="742"/>
      <c r="E34" s="921"/>
      <c r="F34" s="1608"/>
      <c r="G34" s="1608"/>
      <c r="H34" s="921"/>
      <c r="I34" s="1608"/>
      <c r="J34" s="1608"/>
      <c r="K34" s="1607"/>
      <c r="L34" s="742"/>
      <c r="M34" s="742"/>
      <c r="N34" s="742"/>
      <c r="O34" s="742"/>
    </row>
    <row r="35" spans="1:15">
      <c r="A35" s="615" t="s">
        <v>8634</v>
      </c>
      <c r="B35" s="853">
        <v>304.62</v>
      </c>
      <c r="C35" s="1627">
        <v>1.9677110566448803</v>
      </c>
      <c r="D35" s="742"/>
      <c r="E35" s="921"/>
      <c r="F35" s="1608"/>
      <c r="G35" s="1608"/>
      <c r="H35" s="921"/>
      <c r="I35" s="1608"/>
      <c r="J35" s="1608"/>
      <c r="K35" s="1607"/>
      <c r="L35" s="1611"/>
      <c r="M35" s="1611"/>
      <c r="N35" s="742"/>
      <c r="O35" s="742"/>
    </row>
    <row r="36" spans="1:15">
      <c r="A36" s="615" t="s">
        <v>8697</v>
      </c>
      <c r="B36" s="853">
        <v>303.24</v>
      </c>
      <c r="C36" s="1627">
        <v>1.81</v>
      </c>
      <c r="D36" s="742"/>
      <c r="E36" s="921"/>
      <c r="F36" s="1608"/>
      <c r="G36" s="1608"/>
      <c r="H36" s="921"/>
      <c r="I36" s="1608"/>
      <c r="J36" s="1608"/>
      <c r="K36" s="1607"/>
      <c r="L36" s="1611"/>
      <c r="M36" s="1611"/>
      <c r="N36" s="742"/>
      <c r="O36" s="742"/>
    </row>
    <row r="37" spans="1:15">
      <c r="A37" s="615" t="s">
        <v>8638</v>
      </c>
      <c r="B37" s="853">
        <v>1604.31</v>
      </c>
      <c r="C37" s="1627"/>
      <c r="D37" s="742"/>
      <c r="E37" s="921"/>
      <c r="F37" s="1608"/>
      <c r="G37" s="1608"/>
      <c r="H37" s="921"/>
      <c r="I37" s="1608"/>
      <c r="J37" s="1608"/>
      <c r="K37" s="1607"/>
      <c r="L37" s="742"/>
      <c r="M37" s="742"/>
      <c r="N37" s="742"/>
      <c r="O37" s="742"/>
    </row>
    <row r="38" spans="1:15">
      <c r="A38" s="615" t="s">
        <v>5070</v>
      </c>
      <c r="B38" s="853">
        <v>1604.3</v>
      </c>
      <c r="C38" s="1627"/>
      <c r="D38" s="742"/>
      <c r="E38" s="921"/>
      <c r="F38" s="1608"/>
      <c r="G38" s="1608"/>
      <c r="H38" s="921"/>
      <c r="I38" s="1608"/>
      <c r="J38" s="1608"/>
      <c r="K38" s="1607"/>
      <c r="L38" s="742"/>
      <c r="M38" s="742"/>
      <c r="N38" s="742"/>
      <c r="O38" s="742"/>
    </row>
    <row r="39" spans="1:15">
      <c r="A39" s="615" t="s">
        <v>8639</v>
      </c>
      <c r="B39" s="853">
        <v>1604.32</v>
      </c>
      <c r="C39" s="1627"/>
      <c r="D39" s="742"/>
      <c r="E39" s="921"/>
      <c r="F39" s="1608"/>
      <c r="G39" s="1608"/>
      <c r="H39" s="921"/>
      <c r="I39" s="1608"/>
      <c r="J39" s="1608"/>
      <c r="K39" s="1607"/>
      <c r="L39" s="742"/>
      <c r="M39" s="742"/>
      <c r="N39" s="742"/>
      <c r="O39" s="742"/>
    </row>
    <row r="40" spans="1:15">
      <c r="A40" s="615" t="s">
        <v>8645</v>
      </c>
      <c r="B40" s="853">
        <v>307.79000000000002</v>
      </c>
      <c r="C40" s="1627">
        <v>3.8798214285714288</v>
      </c>
      <c r="D40" s="742"/>
      <c r="E40" s="921"/>
      <c r="F40" s="1608"/>
      <c r="G40" s="1608"/>
      <c r="H40" s="921"/>
      <c r="I40" s="1608"/>
      <c r="J40" s="1608"/>
      <c r="K40" s="1607"/>
      <c r="L40" s="742"/>
      <c r="M40" s="742"/>
      <c r="N40" s="742"/>
      <c r="O40" s="742"/>
    </row>
    <row r="41" spans="1:15">
      <c r="A41" s="615" t="s">
        <v>8646</v>
      </c>
      <c r="B41" s="853">
        <v>307.70999999999998</v>
      </c>
      <c r="C41" s="1627">
        <v>5.2275</v>
      </c>
      <c r="D41" s="742"/>
      <c r="E41" s="921"/>
      <c r="F41" s="1608"/>
      <c r="G41" s="1608"/>
      <c r="H41" s="921"/>
      <c r="I41" s="1608"/>
      <c r="J41" s="1608"/>
      <c r="K41" s="1607"/>
      <c r="L41" s="742"/>
      <c r="M41" s="742"/>
      <c r="N41" s="742"/>
      <c r="O41" s="742"/>
    </row>
    <row r="42" spans="1:15">
      <c r="A42" s="615" t="s">
        <v>8713</v>
      </c>
      <c r="B42" s="853">
        <v>1605.56</v>
      </c>
      <c r="C42" s="1627">
        <v>3.1970000000000001</v>
      </c>
      <c r="D42" s="742"/>
      <c r="E42" s="921"/>
      <c r="F42" s="1608"/>
      <c r="G42" s="1608"/>
      <c r="H42" s="921"/>
      <c r="I42" s="1608"/>
      <c r="J42" s="1608"/>
      <c r="K42" s="1607"/>
      <c r="L42" s="742"/>
      <c r="M42" s="742"/>
      <c r="N42" s="742"/>
      <c r="O42" s="742"/>
    </row>
    <row r="43" spans="1:15">
      <c r="A43" s="615" t="s">
        <v>6240</v>
      </c>
      <c r="B43" s="853">
        <v>302.63</v>
      </c>
      <c r="C43" s="1627">
        <v>1.5771395348837212</v>
      </c>
      <c r="D43" s="742"/>
      <c r="E43" s="921"/>
      <c r="F43" s="1608"/>
      <c r="G43" s="1608"/>
      <c r="H43" s="921"/>
      <c r="I43" s="1608"/>
      <c r="J43" s="1608"/>
      <c r="K43" s="1607"/>
      <c r="L43" s="742"/>
      <c r="M43" s="742"/>
      <c r="N43" s="742"/>
      <c r="O43" s="742"/>
    </row>
    <row r="44" spans="1:15">
      <c r="A44" s="615" t="s">
        <v>6241</v>
      </c>
      <c r="B44" s="853">
        <v>303.73</v>
      </c>
      <c r="C44" s="1627">
        <v>1.7304545454545457</v>
      </c>
      <c r="D44" s="742"/>
      <c r="E44" s="921"/>
      <c r="F44" s="1608"/>
      <c r="G44" s="1608"/>
      <c r="H44" s="921"/>
      <c r="I44" s="1608"/>
      <c r="J44" s="1608"/>
      <c r="K44" s="1607"/>
      <c r="L44" s="742"/>
      <c r="M44" s="742"/>
      <c r="N44" s="742"/>
      <c r="O44" s="742"/>
    </row>
    <row r="45" spans="1:15">
      <c r="A45" s="615" t="s">
        <v>8643</v>
      </c>
      <c r="B45" s="853">
        <v>304.73</v>
      </c>
      <c r="C45" s="1627">
        <v>1.7304545454545457</v>
      </c>
      <c r="D45" s="742"/>
      <c r="E45" s="921"/>
      <c r="F45" s="1608"/>
      <c r="G45" s="1608"/>
      <c r="H45" s="921"/>
      <c r="I45" s="1608"/>
      <c r="J45" s="1608"/>
      <c r="K45" s="1607"/>
      <c r="L45" s="742"/>
      <c r="M45" s="742"/>
      <c r="N45" s="742"/>
      <c r="O45" s="742"/>
    </row>
    <row r="46" spans="1:15">
      <c r="A46" s="615" t="s">
        <v>8644</v>
      </c>
      <c r="B46" s="853">
        <v>302.52999999999997</v>
      </c>
      <c r="C46" s="1627">
        <v>1.5771395348837212</v>
      </c>
      <c r="D46" s="742"/>
      <c r="E46" s="921"/>
      <c r="F46" s="1608"/>
      <c r="G46" s="1608"/>
      <c r="H46" s="921"/>
      <c r="I46" s="1608"/>
      <c r="J46" s="1608"/>
      <c r="K46" s="1607"/>
      <c r="L46" s="1611"/>
      <c r="M46" s="1611"/>
      <c r="N46" s="742"/>
      <c r="O46" s="742"/>
    </row>
    <row r="47" spans="1:15">
      <c r="A47" s="615" t="s">
        <v>8654</v>
      </c>
      <c r="B47" s="853">
        <v>302.45999999999998</v>
      </c>
      <c r="C47" s="1627">
        <v>1.55</v>
      </c>
      <c r="D47" s="742"/>
      <c r="E47" s="921"/>
      <c r="F47" s="1608"/>
      <c r="G47" s="1608"/>
      <c r="H47" s="921"/>
      <c r="I47" s="1608"/>
      <c r="J47" s="1608"/>
      <c r="K47" s="1607"/>
      <c r="L47" s="742"/>
      <c r="M47" s="742"/>
      <c r="N47" s="742"/>
      <c r="O47" s="742"/>
    </row>
    <row r="48" spans="1:15">
      <c r="A48" s="615" t="s">
        <v>8698</v>
      </c>
      <c r="B48" s="853">
        <v>303.56</v>
      </c>
      <c r="C48" s="1627">
        <v>1.81</v>
      </c>
      <c r="D48" s="742"/>
      <c r="E48" s="921"/>
      <c r="F48" s="1608"/>
      <c r="G48" s="1608"/>
      <c r="H48" s="921"/>
      <c r="I48" s="1608"/>
      <c r="J48" s="1608"/>
      <c r="K48" s="1607"/>
      <c r="L48" s="742"/>
      <c r="M48" s="742"/>
      <c r="N48" s="742"/>
      <c r="O48" s="742"/>
    </row>
    <row r="49" spans="1:15">
      <c r="A49" s="615" t="s">
        <v>8647</v>
      </c>
      <c r="B49" s="853">
        <v>302.51</v>
      </c>
      <c r="C49" s="1627">
        <v>1.6686153846153844</v>
      </c>
      <c r="D49" s="742"/>
      <c r="E49" s="921"/>
      <c r="F49" s="1608"/>
      <c r="G49" s="1608"/>
      <c r="H49" s="921"/>
      <c r="I49" s="1608"/>
      <c r="J49" s="1608"/>
      <c r="K49" s="1607"/>
      <c r="L49" s="742"/>
      <c r="M49" s="742"/>
      <c r="N49" s="742"/>
      <c r="O49" s="742"/>
    </row>
    <row r="50" spans="1:15">
      <c r="A50" s="615" t="s">
        <v>6242</v>
      </c>
      <c r="B50" s="853">
        <v>305.51</v>
      </c>
      <c r="C50" s="1627">
        <v>3.8421428571428571</v>
      </c>
      <c r="D50" s="742"/>
      <c r="E50" s="921"/>
      <c r="F50" s="1608"/>
      <c r="G50" s="1608"/>
      <c r="H50" s="921"/>
      <c r="I50" s="1608"/>
      <c r="J50" s="1608"/>
      <c r="K50" s="1607"/>
      <c r="L50" s="742"/>
      <c r="M50" s="742"/>
      <c r="N50" s="742"/>
      <c r="O50" s="742"/>
    </row>
    <row r="51" spans="1:15">
      <c r="A51" s="615" t="s">
        <v>6243</v>
      </c>
      <c r="B51" s="853">
        <v>302.5</v>
      </c>
      <c r="C51" s="1627">
        <v>1.6686153846153844</v>
      </c>
      <c r="D51" s="742"/>
      <c r="E51" s="921"/>
      <c r="F51" s="1608"/>
      <c r="G51" s="1608"/>
      <c r="H51" s="921"/>
      <c r="I51" s="1608"/>
      <c r="J51" s="1608"/>
      <c r="K51" s="1607"/>
      <c r="L51" s="742"/>
      <c r="M51" s="742"/>
      <c r="N51" s="742"/>
      <c r="O51" s="742"/>
    </row>
    <row r="52" spans="1:15">
      <c r="A52" s="615" t="s">
        <v>6244</v>
      </c>
      <c r="B52" s="853">
        <v>303.52</v>
      </c>
      <c r="C52" s="1627">
        <v>2.1850000000000001</v>
      </c>
      <c r="D52" s="742"/>
      <c r="E52" s="921"/>
      <c r="F52" s="1608"/>
      <c r="G52" s="1608"/>
      <c r="H52" s="921"/>
      <c r="I52" s="1608"/>
      <c r="J52" s="1608"/>
      <c r="K52" s="1607"/>
      <c r="L52" s="742"/>
      <c r="M52" s="742"/>
      <c r="N52" s="742"/>
      <c r="O52" s="742"/>
    </row>
    <row r="53" spans="1:15">
      <c r="A53" s="615" t="s">
        <v>6245</v>
      </c>
      <c r="B53" s="853">
        <v>305.62</v>
      </c>
      <c r="C53" s="1627">
        <v>3.8421428571428571</v>
      </c>
      <c r="D53" s="742"/>
      <c r="E53" s="921"/>
      <c r="F53" s="1608"/>
      <c r="G53" s="1608"/>
      <c r="H53" s="921"/>
      <c r="I53" s="1608"/>
      <c r="J53" s="1608"/>
      <c r="K53" s="1607"/>
      <c r="L53" s="742"/>
      <c r="M53" s="742"/>
      <c r="N53" s="742"/>
      <c r="O53" s="742"/>
    </row>
    <row r="54" spans="1:15">
      <c r="A54" s="615" t="s">
        <v>8648</v>
      </c>
      <c r="B54" s="853">
        <v>304.70999999999998</v>
      </c>
      <c r="C54" s="1627">
        <v>1.7304545454545457</v>
      </c>
      <c r="D54" s="742"/>
      <c r="E54" s="921"/>
      <c r="F54" s="1608"/>
      <c r="G54" s="1608"/>
      <c r="H54" s="921"/>
      <c r="I54" s="1608"/>
      <c r="J54" s="1608"/>
      <c r="K54" s="1607"/>
      <c r="L54" s="742"/>
      <c r="M54" s="742"/>
      <c r="N54" s="742"/>
      <c r="O54" s="742"/>
    </row>
    <row r="55" spans="1:15">
      <c r="A55" s="615" t="s">
        <v>8649</v>
      </c>
      <c r="B55" s="853">
        <v>306.16000000000003</v>
      </c>
      <c r="C55" s="1627">
        <v>1.7983939393939394</v>
      </c>
      <c r="D55" s="742"/>
      <c r="E55" s="921"/>
      <c r="F55" s="1608"/>
      <c r="G55" s="1608"/>
      <c r="H55" s="921"/>
      <c r="I55" s="1608"/>
      <c r="J55" s="1608"/>
      <c r="K55" s="1607"/>
      <c r="L55" s="742"/>
      <c r="M55" s="742"/>
      <c r="N55" s="742"/>
      <c r="O55" s="742"/>
    </row>
    <row r="56" spans="1:15">
      <c r="A56" s="615" t="s">
        <v>8650</v>
      </c>
      <c r="B56" s="853">
        <v>306.26</v>
      </c>
      <c r="C56" s="1627">
        <v>1.7983939393939394</v>
      </c>
      <c r="D56" s="742"/>
      <c r="E56" s="921"/>
      <c r="F56" s="1608"/>
      <c r="G56" s="1608"/>
      <c r="H56" s="921"/>
      <c r="I56" s="1608"/>
      <c r="J56" s="1608"/>
      <c r="K56" s="1607"/>
      <c r="L56" s="742"/>
      <c r="M56" s="742"/>
      <c r="N56" s="742"/>
      <c r="O56" s="742"/>
    </row>
    <row r="57" spans="1:15">
      <c r="A57" s="615" t="s">
        <v>6246</v>
      </c>
      <c r="B57" s="853">
        <v>508</v>
      </c>
      <c r="C57" s="1627">
        <v>1</v>
      </c>
      <c r="D57" s="742"/>
      <c r="E57" s="921"/>
      <c r="F57" s="1608"/>
      <c r="G57" s="1608"/>
      <c r="H57" s="921"/>
      <c r="I57" s="1608"/>
      <c r="J57" s="1608"/>
      <c r="K57" s="1607"/>
      <c r="L57" s="742"/>
      <c r="M57" s="742"/>
      <c r="N57" s="742"/>
      <c r="O57" s="742"/>
    </row>
    <row r="58" spans="1:15">
      <c r="A58" s="615" t="s">
        <v>6247</v>
      </c>
      <c r="B58" s="853">
        <v>1605.1</v>
      </c>
      <c r="C58" s="1627">
        <v>2.5656521739130436</v>
      </c>
      <c r="D58" s="742"/>
      <c r="E58" s="921"/>
      <c r="F58" s="1608"/>
      <c r="G58" s="1608"/>
      <c r="H58" s="921"/>
      <c r="I58" s="1608"/>
      <c r="J58" s="1608"/>
      <c r="K58" s="1607"/>
      <c r="L58" s="742"/>
      <c r="M58" s="742"/>
      <c r="N58" s="742"/>
      <c r="O58" s="742"/>
    </row>
    <row r="59" spans="1:15">
      <c r="A59" s="615" t="s">
        <v>6248</v>
      </c>
      <c r="B59" s="853">
        <v>306.14</v>
      </c>
      <c r="C59" s="1627">
        <v>2.5187499999999998</v>
      </c>
      <c r="D59" s="742"/>
      <c r="E59" s="921"/>
      <c r="F59" s="1608"/>
      <c r="G59" s="1608"/>
      <c r="H59" s="921"/>
      <c r="I59" s="1608"/>
      <c r="J59" s="1608"/>
      <c r="K59" s="1607"/>
      <c r="L59" s="742"/>
      <c r="M59" s="742"/>
      <c r="N59" s="742"/>
      <c r="O59" s="742"/>
    </row>
    <row r="60" spans="1:15">
      <c r="A60" s="615" t="s">
        <v>6249</v>
      </c>
      <c r="B60" s="853">
        <v>306.24</v>
      </c>
      <c r="C60" s="1627">
        <v>2.5656521739130436</v>
      </c>
      <c r="D60" s="742"/>
      <c r="E60" s="921"/>
      <c r="F60" s="1608"/>
      <c r="G60" s="1608"/>
      <c r="H60" s="921"/>
      <c r="I60" s="1608"/>
      <c r="J60" s="1608"/>
      <c r="K60" s="1607"/>
      <c r="L60" s="742"/>
      <c r="M60" s="742"/>
      <c r="N60" s="742"/>
      <c r="O60" s="742"/>
    </row>
    <row r="61" spans="1:15">
      <c r="A61" s="615" t="s">
        <v>8651</v>
      </c>
      <c r="B61" s="853">
        <v>1605.54</v>
      </c>
      <c r="C61" s="1627">
        <v>1.3509545454545455</v>
      </c>
      <c r="D61" s="742"/>
      <c r="E61" s="921"/>
      <c r="F61" s="1608"/>
      <c r="G61" s="1608"/>
      <c r="H61" s="921"/>
      <c r="I61" s="1608"/>
      <c r="J61" s="1608"/>
      <c r="K61" s="1607"/>
      <c r="L61" s="742"/>
      <c r="M61" s="742"/>
      <c r="N61" s="742"/>
      <c r="O61" s="742"/>
    </row>
    <row r="62" spans="1:15">
      <c r="A62" s="615" t="s">
        <v>6250</v>
      </c>
      <c r="B62" s="853">
        <v>307.41000000000003</v>
      </c>
      <c r="C62" s="1627">
        <v>1.9824390243902437</v>
      </c>
      <c r="D62" s="742"/>
      <c r="E62" s="921"/>
      <c r="F62" s="1608"/>
      <c r="G62" s="1608"/>
      <c r="H62" s="921"/>
      <c r="I62" s="1608"/>
      <c r="J62" s="1608"/>
      <c r="K62" s="1607"/>
      <c r="L62" s="742"/>
      <c r="M62" s="742"/>
      <c r="N62" s="742"/>
      <c r="O62" s="742"/>
    </row>
    <row r="63" spans="1:15">
      <c r="A63" s="615" t="s">
        <v>6251</v>
      </c>
      <c r="B63" s="853">
        <v>307.49</v>
      </c>
      <c r="C63" s="1627">
        <v>1.3509545454545455</v>
      </c>
      <c r="D63" s="742"/>
      <c r="E63" s="921"/>
      <c r="F63" s="1608"/>
      <c r="G63" s="1608"/>
      <c r="H63" s="921"/>
      <c r="I63" s="1608"/>
      <c r="J63" s="1608"/>
      <c r="K63" s="1607"/>
      <c r="L63" s="742"/>
      <c r="M63" s="742"/>
      <c r="N63" s="742"/>
      <c r="O63" s="742"/>
    </row>
    <row r="64" spans="1:15">
      <c r="A64" s="615" t="s">
        <v>8652</v>
      </c>
      <c r="B64" s="853">
        <v>302.81</v>
      </c>
      <c r="C64" s="1627">
        <v>1.4199367088607597</v>
      </c>
      <c r="D64" s="742"/>
      <c r="E64" s="921"/>
      <c r="F64" s="1608"/>
      <c r="G64" s="1608"/>
      <c r="H64" s="921"/>
      <c r="I64" s="1608"/>
      <c r="J64" s="1608"/>
      <c r="K64" s="1607"/>
      <c r="L64" s="742"/>
      <c r="M64" s="742"/>
      <c r="N64" s="742"/>
      <c r="O64" s="742"/>
    </row>
    <row r="65" spans="1:15">
      <c r="A65" s="615" t="s">
        <v>6252</v>
      </c>
      <c r="B65" s="853">
        <v>302.64999999999998</v>
      </c>
      <c r="C65" s="1627">
        <v>1.4199367088607597</v>
      </c>
      <c r="D65" s="742"/>
      <c r="E65" s="921"/>
      <c r="F65" s="1608"/>
      <c r="G65" s="1608"/>
      <c r="H65" s="921"/>
      <c r="I65" s="1608"/>
      <c r="J65" s="1608"/>
      <c r="K65" s="1607"/>
      <c r="L65" s="742"/>
      <c r="M65" s="742"/>
      <c r="N65" s="742"/>
      <c r="O65" s="742"/>
    </row>
    <row r="66" spans="1:15">
      <c r="A66" s="615" t="s">
        <v>6253</v>
      </c>
      <c r="B66" s="853">
        <v>303.75</v>
      </c>
      <c r="C66" s="1627">
        <v>1.6214864864864857</v>
      </c>
      <c r="D66" s="742"/>
      <c r="E66" s="921"/>
      <c r="F66" s="1608"/>
      <c r="G66" s="1608"/>
      <c r="H66" s="921"/>
      <c r="I66" s="1608"/>
      <c r="J66" s="1608"/>
      <c r="K66" s="1607"/>
      <c r="L66" s="742"/>
      <c r="M66" s="742"/>
      <c r="N66" s="742"/>
      <c r="O66" s="742"/>
    </row>
    <row r="67" spans="1:15">
      <c r="A67" s="615" t="s">
        <v>8653</v>
      </c>
      <c r="B67" s="853">
        <v>302.74</v>
      </c>
      <c r="C67" s="1627">
        <v>1.2160526315789475</v>
      </c>
      <c r="D67" s="742"/>
      <c r="E67" s="921"/>
      <c r="F67" s="1608"/>
      <c r="G67" s="1608"/>
      <c r="H67" s="921"/>
      <c r="I67" s="1608"/>
      <c r="J67" s="1608"/>
      <c r="K67" s="1607"/>
      <c r="L67" s="742"/>
      <c r="M67" s="742"/>
      <c r="N67" s="742"/>
      <c r="O67" s="742"/>
    </row>
    <row r="68" spans="1:15">
      <c r="A68" s="615" t="s">
        <v>6254</v>
      </c>
      <c r="B68" s="853">
        <v>302.66000000000003</v>
      </c>
      <c r="C68" s="1627">
        <v>1.2160526315789475</v>
      </c>
      <c r="D68" s="742"/>
      <c r="E68" s="921"/>
      <c r="F68" s="1608"/>
      <c r="G68" s="1608"/>
      <c r="H68" s="921"/>
      <c r="I68" s="1608"/>
      <c r="J68" s="1608"/>
      <c r="K68" s="1607"/>
      <c r="L68" s="742"/>
      <c r="M68" s="742"/>
      <c r="N68" s="742"/>
      <c r="O68" s="742"/>
    </row>
    <row r="69" spans="1:15">
      <c r="A69" s="615" t="s">
        <v>6255</v>
      </c>
      <c r="B69" s="853">
        <v>303.76</v>
      </c>
      <c r="C69" s="1627">
        <v>1.2160526315789475</v>
      </c>
      <c r="D69" s="742"/>
      <c r="E69" s="921"/>
      <c r="F69" s="1608"/>
      <c r="G69" s="1608"/>
      <c r="H69" s="921"/>
      <c r="I69" s="1608"/>
      <c r="J69" s="1608"/>
      <c r="K69" s="1607"/>
      <c r="L69" s="742"/>
      <c r="M69" s="742"/>
      <c r="N69" s="742"/>
      <c r="O69" s="742"/>
    </row>
    <row r="70" spans="1:15">
      <c r="A70" s="615" t="s">
        <v>6256</v>
      </c>
      <c r="B70" s="853">
        <v>301.92</v>
      </c>
      <c r="C70" s="1627">
        <v>1.2160526315789475</v>
      </c>
      <c r="D70" s="742"/>
      <c r="E70" s="921"/>
      <c r="F70" s="1608"/>
      <c r="G70" s="1608"/>
      <c r="H70" s="921"/>
      <c r="I70" s="1608"/>
      <c r="J70" s="1608"/>
      <c r="K70" s="1607"/>
      <c r="L70" s="742"/>
      <c r="M70" s="742"/>
      <c r="N70" s="742"/>
      <c r="O70" s="742"/>
    </row>
    <row r="71" spans="1:15">
      <c r="A71" s="615" t="s">
        <v>8714</v>
      </c>
      <c r="B71" s="853">
        <v>1604.17</v>
      </c>
      <c r="C71" s="1627">
        <v>1.5363912835249043</v>
      </c>
      <c r="D71" s="742"/>
      <c r="E71" s="921"/>
      <c r="F71" s="1608"/>
      <c r="G71" s="1608"/>
      <c r="H71" s="921"/>
      <c r="I71" s="1608"/>
      <c r="J71" s="1608"/>
      <c r="K71" s="1607"/>
      <c r="L71" s="742"/>
      <c r="M71" s="742"/>
      <c r="N71" s="742"/>
      <c r="O71" s="742"/>
    </row>
    <row r="72" spans="1:15">
      <c r="A72" s="615" t="s">
        <v>8655</v>
      </c>
      <c r="B72" s="853">
        <v>303.26</v>
      </c>
      <c r="C72" s="1627">
        <v>1.2160526315789475</v>
      </c>
      <c r="D72" s="742"/>
      <c r="E72" s="921"/>
      <c r="F72" s="1608"/>
      <c r="G72" s="1608"/>
      <c r="H72" s="921"/>
      <c r="I72" s="1608"/>
      <c r="J72" s="1608"/>
      <c r="K72" s="1607"/>
      <c r="L72" s="742"/>
      <c r="M72" s="742"/>
      <c r="N72" s="742"/>
      <c r="O72" s="742"/>
    </row>
    <row r="73" spans="1:15">
      <c r="A73" s="615" t="s">
        <v>6257</v>
      </c>
      <c r="B73" s="853">
        <v>305.3</v>
      </c>
      <c r="C73" s="1627">
        <v>4</v>
      </c>
      <c r="D73" s="742"/>
      <c r="E73" s="921"/>
      <c r="F73" s="1608"/>
      <c r="G73" s="1608"/>
      <c r="H73" s="921"/>
      <c r="I73" s="1608"/>
      <c r="J73" s="1608"/>
      <c r="K73" s="1607"/>
      <c r="L73" s="742"/>
      <c r="M73" s="742"/>
      <c r="N73" s="742"/>
      <c r="O73" s="742"/>
    </row>
    <row r="74" spans="1:15">
      <c r="A74" s="615" t="s">
        <v>8656</v>
      </c>
      <c r="B74" s="853">
        <v>304.49</v>
      </c>
      <c r="C74" s="1627">
        <v>1</v>
      </c>
      <c r="D74" s="742"/>
      <c r="E74" s="921"/>
      <c r="F74" s="1608"/>
      <c r="G74" s="1608"/>
      <c r="H74" s="921"/>
      <c r="I74" s="1608"/>
      <c r="J74" s="1608"/>
      <c r="K74" s="1607"/>
      <c r="L74" s="742"/>
      <c r="M74" s="742"/>
      <c r="N74" s="742"/>
      <c r="O74" s="742"/>
    </row>
    <row r="75" spans="1:15">
      <c r="A75" s="615" t="s">
        <v>1909</v>
      </c>
      <c r="B75" s="853">
        <v>304.29000000000002</v>
      </c>
      <c r="C75" s="1627">
        <v>1.5402941176470588</v>
      </c>
      <c r="D75" s="742"/>
      <c r="E75" s="921"/>
      <c r="F75" s="1608"/>
      <c r="G75" s="1608"/>
      <c r="H75" s="921"/>
      <c r="I75" s="1608"/>
      <c r="J75" s="1608"/>
      <c r="K75" s="1607"/>
      <c r="L75" s="742"/>
      <c r="M75" s="742"/>
      <c r="N75" s="742"/>
      <c r="O75" s="742"/>
    </row>
    <row r="76" spans="1:15">
      <c r="A76" s="615" t="s">
        <v>5004</v>
      </c>
      <c r="B76" s="853">
        <v>305.10000000000002</v>
      </c>
      <c r="C76" s="1627">
        <v>3.7377777777777781</v>
      </c>
      <c r="D76" s="742"/>
      <c r="E76" s="921"/>
      <c r="F76" s="1608"/>
      <c r="G76" s="1608"/>
      <c r="H76" s="921"/>
      <c r="I76" s="1608"/>
      <c r="J76" s="1608"/>
      <c r="K76" s="1607"/>
      <c r="L76" s="1611"/>
      <c r="M76" s="1611"/>
      <c r="N76" s="742"/>
      <c r="O76" s="742"/>
    </row>
    <row r="77" spans="1:15">
      <c r="A77" s="615" t="s">
        <v>8657</v>
      </c>
      <c r="B77" s="853">
        <v>305.72000000000003</v>
      </c>
      <c r="C77" s="1627"/>
      <c r="D77" s="742"/>
      <c r="E77" s="921"/>
      <c r="F77" s="1608"/>
      <c r="G77" s="1608"/>
      <c r="H77" s="921"/>
      <c r="I77" s="1608"/>
      <c r="J77" s="1608"/>
      <c r="K77" s="1607"/>
      <c r="L77" s="1611"/>
      <c r="M77" s="1611"/>
      <c r="N77" s="742"/>
      <c r="O77" s="742"/>
    </row>
    <row r="78" spans="1:15">
      <c r="A78" s="615" t="s">
        <v>6258</v>
      </c>
      <c r="B78" s="853">
        <v>305.2</v>
      </c>
      <c r="C78" s="1627"/>
      <c r="D78" s="742"/>
      <c r="E78" s="921"/>
      <c r="F78" s="1608"/>
      <c r="G78" s="1608"/>
      <c r="H78" s="921"/>
      <c r="I78" s="1608"/>
      <c r="J78" s="1608"/>
      <c r="K78" s="1607"/>
      <c r="L78" s="742"/>
      <c r="M78" s="742"/>
      <c r="N78" s="742"/>
      <c r="O78" s="742"/>
    </row>
    <row r="79" spans="1:15">
      <c r="A79" s="615" t="s">
        <v>6259</v>
      </c>
      <c r="B79" s="853">
        <v>303.8</v>
      </c>
      <c r="C79" s="1627"/>
      <c r="D79" s="742"/>
      <c r="E79" s="921"/>
      <c r="F79" s="1608"/>
      <c r="G79" s="1608"/>
      <c r="H79" s="921"/>
      <c r="I79" s="1608"/>
      <c r="J79" s="1608"/>
      <c r="K79" s="1607"/>
      <c r="L79" s="742"/>
      <c r="M79" s="742"/>
      <c r="N79" s="742"/>
      <c r="O79" s="742"/>
    </row>
    <row r="80" spans="1:15">
      <c r="A80" s="615" t="s">
        <v>6260</v>
      </c>
      <c r="B80" s="853">
        <v>1504.2</v>
      </c>
      <c r="C80" s="1627">
        <v>3.2258064516129035</v>
      </c>
      <c r="D80" s="742"/>
      <c r="E80" s="921"/>
      <c r="F80" s="1608"/>
      <c r="G80" s="1608"/>
      <c r="H80" s="921"/>
      <c r="I80" s="1608"/>
      <c r="J80" s="1608"/>
      <c r="K80" s="1607"/>
      <c r="L80" s="742"/>
      <c r="M80" s="742"/>
      <c r="N80" s="742"/>
      <c r="O80" s="742"/>
    </row>
    <row r="81" spans="1:15">
      <c r="A81" s="615" t="s">
        <v>6261</v>
      </c>
      <c r="B81" s="853">
        <v>511.91</v>
      </c>
      <c r="C81" s="1627"/>
      <c r="D81" s="742"/>
      <c r="E81" s="921"/>
      <c r="F81" s="1608"/>
      <c r="G81" s="1608"/>
      <c r="H81" s="921"/>
      <c r="I81" s="1608"/>
      <c r="J81" s="1608"/>
      <c r="K81" s="1607"/>
      <c r="L81" s="742"/>
      <c r="M81" s="742"/>
      <c r="N81" s="742"/>
      <c r="O81" s="742"/>
    </row>
    <row r="82" spans="1:15">
      <c r="A82" s="615" t="s">
        <v>6262</v>
      </c>
      <c r="B82" s="853">
        <v>1504.1</v>
      </c>
      <c r="C82" s="1627">
        <v>3.2258064516129035</v>
      </c>
      <c r="D82" s="742"/>
      <c r="E82" s="921"/>
      <c r="F82" s="1608"/>
      <c r="G82" s="1608"/>
      <c r="H82" s="921"/>
      <c r="I82" s="1608"/>
      <c r="J82" s="1608"/>
      <c r="K82" s="1607"/>
      <c r="L82" s="1610"/>
      <c r="M82" s="742"/>
      <c r="N82" s="742"/>
      <c r="O82" s="742"/>
    </row>
    <row r="83" spans="1:15">
      <c r="A83" s="615" t="s">
        <v>8658</v>
      </c>
      <c r="B83" s="853">
        <v>304.43</v>
      </c>
      <c r="C83" s="1627">
        <v>1</v>
      </c>
      <c r="D83" s="742"/>
      <c r="E83" s="921"/>
      <c r="F83" s="1608"/>
      <c r="G83" s="1608"/>
      <c r="H83" s="921"/>
      <c r="I83" s="1608"/>
      <c r="J83" s="1608"/>
      <c r="K83" s="1607"/>
      <c r="L83" s="1610"/>
      <c r="M83" s="742"/>
      <c r="N83" s="742"/>
      <c r="O83" s="742"/>
    </row>
    <row r="84" spans="1:15">
      <c r="A84" s="615" t="s">
        <v>8635</v>
      </c>
      <c r="B84" s="853">
        <v>304.83</v>
      </c>
      <c r="C84" s="1627">
        <v>1.9677110566448803</v>
      </c>
      <c r="D84" s="742"/>
      <c r="E84" s="921"/>
      <c r="F84" s="1608"/>
      <c r="G84" s="1608"/>
      <c r="H84" s="921"/>
      <c r="I84" s="1608"/>
      <c r="J84" s="1608"/>
      <c r="K84" s="1607"/>
      <c r="L84" s="742"/>
      <c r="M84" s="742"/>
      <c r="N84" s="742"/>
      <c r="O84" s="742"/>
    </row>
    <row r="85" spans="1:15">
      <c r="A85" s="615" t="s">
        <v>6263</v>
      </c>
      <c r="B85" s="853">
        <v>304.19</v>
      </c>
      <c r="C85" s="1627">
        <v>2</v>
      </c>
      <c r="D85" s="742"/>
      <c r="E85" s="921"/>
      <c r="F85" s="1608"/>
      <c r="G85" s="1608"/>
      <c r="H85" s="921"/>
      <c r="I85" s="1608"/>
      <c r="J85" s="1608"/>
      <c r="K85" s="1607"/>
      <c r="L85" s="742"/>
      <c r="M85" s="742"/>
      <c r="N85" s="742"/>
      <c r="O85" s="742"/>
    </row>
    <row r="86" spans="1:15">
      <c r="A86" s="615" t="s">
        <v>6264</v>
      </c>
      <c r="B86" s="853">
        <v>302.36</v>
      </c>
      <c r="C86" s="1627">
        <v>1.9845833333333331</v>
      </c>
      <c r="D86" s="742"/>
      <c r="E86" s="921"/>
      <c r="F86" s="1608"/>
      <c r="G86" s="1608"/>
      <c r="H86" s="921"/>
      <c r="I86" s="1608"/>
      <c r="J86" s="1608"/>
      <c r="K86" s="1607"/>
      <c r="L86" s="742"/>
      <c r="M86" s="742"/>
      <c r="N86" s="742"/>
      <c r="O86" s="742"/>
    </row>
    <row r="87" spans="1:15">
      <c r="A87" s="615" t="s">
        <v>6265</v>
      </c>
      <c r="B87" s="853">
        <v>304.99</v>
      </c>
      <c r="C87" s="1627">
        <v>1.5566666666666671</v>
      </c>
      <c r="D87" s="742"/>
      <c r="E87" s="921"/>
      <c r="F87" s="1608"/>
      <c r="G87" s="1608"/>
      <c r="H87" s="921"/>
      <c r="I87" s="1608"/>
      <c r="J87" s="1608"/>
      <c r="K87" s="1607"/>
      <c r="L87" s="742"/>
      <c r="M87" s="742"/>
      <c r="N87" s="742"/>
      <c r="O87" s="742"/>
    </row>
    <row r="88" spans="1:15">
      <c r="A88" s="615" t="s">
        <v>6266</v>
      </c>
      <c r="B88" s="853">
        <v>303.45999999999998</v>
      </c>
      <c r="C88" s="1627">
        <v>1.82</v>
      </c>
      <c r="D88" s="742"/>
      <c r="E88" s="921"/>
      <c r="F88" s="1608"/>
      <c r="G88" s="1608"/>
      <c r="H88" s="921"/>
      <c r="I88" s="1608"/>
      <c r="J88" s="1608"/>
      <c r="K88" s="1607"/>
      <c r="L88" s="742"/>
      <c r="M88" s="742"/>
      <c r="N88" s="742"/>
      <c r="O88" s="742"/>
    </row>
    <row r="89" spans="1:15">
      <c r="A89" s="615" t="s">
        <v>8660</v>
      </c>
      <c r="B89" s="853">
        <v>304.79000000000002</v>
      </c>
      <c r="C89" s="1627">
        <v>2.2000000000000002</v>
      </c>
      <c r="D89" s="742"/>
      <c r="E89" s="921"/>
      <c r="F89" s="1608"/>
      <c r="G89" s="1608"/>
      <c r="H89" s="921"/>
      <c r="I89" s="1608"/>
      <c r="J89" s="1608"/>
      <c r="K89" s="1607"/>
      <c r="L89" s="742"/>
      <c r="M89" s="742"/>
      <c r="N89" s="742"/>
      <c r="O89" s="742"/>
    </row>
    <row r="90" spans="1:15">
      <c r="A90" s="615" t="s">
        <v>8661</v>
      </c>
      <c r="B90" s="853">
        <v>305.32</v>
      </c>
      <c r="C90" s="1627">
        <v>2.2999999999999998</v>
      </c>
      <c r="D90" s="742"/>
      <c r="E90" s="921"/>
      <c r="F90" s="1608"/>
      <c r="G90" s="1608"/>
      <c r="H90" s="921"/>
      <c r="I90" s="1608"/>
      <c r="J90" s="1608"/>
      <c r="K90" s="1607"/>
      <c r="L90" s="742"/>
      <c r="M90" s="742"/>
      <c r="N90" s="742"/>
      <c r="O90" s="742"/>
    </row>
    <row r="91" spans="1:15">
      <c r="A91" s="615" t="s">
        <v>8662</v>
      </c>
      <c r="B91" s="853">
        <v>304.44</v>
      </c>
      <c r="C91" s="1627">
        <v>2.2000000000000002</v>
      </c>
      <c r="D91" s="742"/>
      <c r="E91" s="921"/>
      <c r="F91" s="1608"/>
      <c r="G91" s="1608"/>
      <c r="H91" s="921"/>
      <c r="I91" s="1608"/>
      <c r="J91" s="1608"/>
      <c r="K91" s="1607"/>
      <c r="L91" s="742"/>
      <c r="M91" s="742"/>
      <c r="N91" s="742"/>
      <c r="O91" s="742"/>
    </row>
    <row r="92" spans="1:15">
      <c r="A92" s="615" t="s">
        <v>8663</v>
      </c>
      <c r="B92" s="853">
        <v>304.52999999999997</v>
      </c>
      <c r="C92" s="1627">
        <v>1</v>
      </c>
      <c r="D92" s="742"/>
      <c r="E92" s="921"/>
      <c r="F92" s="1608"/>
      <c r="G92" s="1608"/>
      <c r="H92" s="921"/>
      <c r="I92" s="1608"/>
      <c r="J92" s="1608"/>
      <c r="K92" s="1607"/>
      <c r="L92" s="742"/>
      <c r="M92" s="742"/>
      <c r="N92" s="742"/>
      <c r="O92" s="742"/>
    </row>
    <row r="93" spans="1:15">
      <c r="A93" s="615" t="s">
        <v>6267</v>
      </c>
      <c r="B93" s="853">
        <v>302.20999999999998</v>
      </c>
      <c r="C93" s="1627">
        <v>1.4176190476190478</v>
      </c>
      <c r="D93" s="742"/>
      <c r="E93" s="921"/>
      <c r="F93" s="1608"/>
      <c r="G93" s="1608"/>
      <c r="H93" s="921"/>
      <c r="I93" s="1608"/>
      <c r="J93" s="1608"/>
      <c r="K93" s="1607"/>
      <c r="L93" s="742"/>
      <c r="M93" s="742"/>
      <c r="N93" s="742"/>
      <c r="O93" s="742"/>
    </row>
    <row r="94" spans="1:15">
      <c r="A94" s="615" t="s">
        <v>6268</v>
      </c>
      <c r="B94" s="853">
        <v>303.31</v>
      </c>
      <c r="C94" s="1627">
        <v>1.6777500000000001</v>
      </c>
      <c r="D94" s="742"/>
      <c r="E94" s="921"/>
      <c r="F94" s="1608"/>
      <c r="G94" s="1608"/>
      <c r="H94" s="921"/>
      <c r="I94" s="1608"/>
      <c r="J94" s="1608"/>
      <c r="K94" s="1607"/>
      <c r="L94" s="742"/>
      <c r="M94" s="742"/>
      <c r="N94" s="742"/>
      <c r="O94" s="742"/>
    </row>
    <row r="95" spans="1:15">
      <c r="A95" s="615" t="s">
        <v>8664</v>
      </c>
      <c r="B95" s="853">
        <v>304.72000000000003</v>
      </c>
      <c r="C95" s="1627">
        <v>1.9204545454545459</v>
      </c>
      <c r="D95" s="742"/>
      <c r="E95" s="921"/>
      <c r="F95" s="1608"/>
      <c r="G95" s="1608"/>
      <c r="H95" s="921"/>
      <c r="I95" s="1608"/>
      <c r="J95" s="1608"/>
      <c r="K95" s="1607"/>
      <c r="L95" s="1611"/>
      <c r="M95" s="1611"/>
      <c r="N95" s="742"/>
      <c r="O95" s="742"/>
    </row>
    <row r="96" spans="1:15">
      <c r="A96" s="615" t="s">
        <v>8665</v>
      </c>
      <c r="B96" s="853">
        <v>302.52</v>
      </c>
      <c r="C96" s="1627">
        <v>1.579780487804878</v>
      </c>
      <c r="D96" s="742"/>
      <c r="E96" s="921"/>
      <c r="F96" s="1608"/>
      <c r="G96" s="1608"/>
      <c r="H96" s="921"/>
      <c r="I96" s="1608"/>
      <c r="J96" s="1608"/>
      <c r="K96" s="1607"/>
      <c r="L96" s="742"/>
      <c r="M96" s="742"/>
      <c r="N96" s="742"/>
      <c r="O96" s="742"/>
    </row>
    <row r="97" spans="1:15">
      <c r="A97" s="615" t="s">
        <v>8666</v>
      </c>
      <c r="B97" s="853">
        <v>303.64</v>
      </c>
      <c r="C97" s="1627">
        <v>1.579780487804878</v>
      </c>
      <c r="D97" s="742"/>
      <c r="E97" s="921"/>
      <c r="F97" s="1608"/>
      <c r="G97" s="1608"/>
      <c r="H97" s="921"/>
      <c r="I97" s="1608"/>
      <c r="J97" s="1608"/>
      <c r="K97" s="1607"/>
      <c r="L97" s="742"/>
      <c r="M97" s="742"/>
      <c r="N97" s="742"/>
      <c r="O97" s="742"/>
    </row>
    <row r="98" spans="1:15">
      <c r="A98" s="615" t="s">
        <v>2296</v>
      </c>
      <c r="B98" s="853">
        <v>302.62</v>
      </c>
      <c r="C98" s="1627">
        <v>1.579780487804878</v>
      </c>
      <c r="D98" s="742"/>
      <c r="E98" s="921"/>
      <c r="F98" s="1608"/>
      <c r="G98" s="1608"/>
      <c r="H98" s="921"/>
      <c r="I98" s="1608"/>
      <c r="J98" s="1608"/>
      <c r="K98" s="1607"/>
      <c r="L98" s="1610"/>
      <c r="M98" s="1610"/>
      <c r="N98" s="742"/>
      <c r="O98" s="742"/>
    </row>
    <row r="99" spans="1:15">
      <c r="A99" s="615" t="s">
        <v>2297</v>
      </c>
      <c r="B99" s="853">
        <v>303.72000000000003</v>
      </c>
      <c r="C99" s="1627">
        <v>1.9204545454545459</v>
      </c>
      <c r="D99" s="742"/>
      <c r="E99" s="921"/>
      <c r="F99" s="1608"/>
      <c r="G99" s="1608"/>
      <c r="H99" s="921"/>
      <c r="I99" s="1608"/>
      <c r="J99" s="1608"/>
      <c r="K99" s="1607"/>
      <c r="L99" s="1610"/>
      <c r="M99" s="1610"/>
      <c r="N99" s="742"/>
      <c r="O99" s="742"/>
    </row>
    <row r="100" spans="1:15">
      <c r="A100" s="615" t="s">
        <v>8636</v>
      </c>
      <c r="B100" s="853">
        <v>304.74</v>
      </c>
      <c r="C100" s="1627">
        <v>1.9677110566448803</v>
      </c>
      <c r="D100" s="742"/>
      <c r="E100" s="921"/>
      <c r="F100" s="1608"/>
      <c r="G100" s="1608"/>
      <c r="H100" s="921"/>
      <c r="I100" s="1608"/>
      <c r="J100" s="1608"/>
      <c r="K100" s="1607"/>
      <c r="L100" s="1611"/>
      <c r="M100" s="1611"/>
      <c r="N100" s="742"/>
      <c r="O100" s="742"/>
    </row>
    <row r="101" spans="1:15">
      <c r="A101" s="615" t="s">
        <v>8659</v>
      </c>
      <c r="B101" s="853">
        <v>302.54000000000002</v>
      </c>
      <c r="C101" s="1627">
        <v>1.55</v>
      </c>
      <c r="D101" s="742"/>
      <c r="E101" s="921"/>
      <c r="F101" s="1608"/>
      <c r="G101" s="1608"/>
      <c r="H101" s="921"/>
      <c r="I101" s="1608"/>
      <c r="J101" s="1608"/>
      <c r="K101" s="1607"/>
      <c r="L101" s="742"/>
      <c r="M101" s="742"/>
      <c r="N101" s="742"/>
      <c r="O101" s="742"/>
    </row>
    <row r="102" spans="1:15">
      <c r="A102" s="615" t="s">
        <v>8669</v>
      </c>
      <c r="B102" s="853">
        <v>303.66000000000003</v>
      </c>
      <c r="C102" s="1627">
        <v>1.55</v>
      </c>
      <c r="D102" s="742"/>
      <c r="E102" s="921"/>
      <c r="F102" s="1608"/>
      <c r="G102" s="1608"/>
      <c r="H102" s="921"/>
      <c r="I102" s="1608"/>
      <c r="J102" s="1608"/>
      <c r="K102" s="1607"/>
      <c r="L102" s="742"/>
      <c r="M102" s="742"/>
      <c r="N102" s="742"/>
      <c r="O102" s="742"/>
    </row>
    <row r="103" spans="1:15">
      <c r="A103" s="615" t="s">
        <v>6269</v>
      </c>
      <c r="B103" s="853">
        <v>303.77999999999997</v>
      </c>
      <c r="C103" s="1627">
        <v>1.9389534883720934</v>
      </c>
      <c r="D103" s="742"/>
      <c r="E103" s="921"/>
      <c r="F103" s="1608"/>
      <c r="G103" s="1608"/>
      <c r="H103" s="921"/>
      <c r="I103" s="1608"/>
      <c r="J103" s="1608"/>
      <c r="K103" s="1607"/>
      <c r="L103" s="742"/>
      <c r="M103" s="742"/>
      <c r="N103" s="742"/>
      <c r="O103" s="742"/>
    </row>
    <row r="104" spans="1:15">
      <c r="A104" s="615" t="s">
        <v>8670</v>
      </c>
      <c r="B104" s="853">
        <v>304.86</v>
      </c>
      <c r="C104" s="1627">
        <v>1.5566666666666671</v>
      </c>
      <c r="D104" s="742"/>
      <c r="E104" s="921"/>
      <c r="F104" s="1608"/>
      <c r="G104" s="1608"/>
      <c r="H104" s="921"/>
      <c r="I104" s="1608"/>
      <c r="J104" s="1608"/>
      <c r="K104" s="1607"/>
      <c r="L104" s="742"/>
      <c r="M104" s="742"/>
      <c r="N104" s="742"/>
      <c r="O104" s="742"/>
    </row>
    <row r="105" spans="1:15">
      <c r="A105" s="615" t="s">
        <v>8671</v>
      </c>
      <c r="B105" s="853">
        <v>302.41000000000003</v>
      </c>
      <c r="C105" s="1627">
        <v>1.3739999999999997</v>
      </c>
      <c r="D105" s="742"/>
      <c r="E105" s="921"/>
      <c r="F105" s="1608"/>
      <c r="G105" s="1608"/>
      <c r="H105" s="921"/>
      <c r="I105" s="1608"/>
      <c r="J105" s="1608"/>
      <c r="K105" s="1607"/>
      <c r="L105" s="742"/>
      <c r="M105" s="742"/>
      <c r="N105" s="742"/>
      <c r="O105" s="742"/>
    </row>
    <row r="106" spans="1:15">
      <c r="A106" s="615" t="s">
        <v>6270</v>
      </c>
      <c r="B106" s="853">
        <v>302.39999999999998</v>
      </c>
      <c r="C106" s="1627">
        <v>1.3739999999999997</v>
      </c>
      <c r="D106" s="742"/>
      <c r="E106" s="921"/>
      <c r="F106" s="1608"/>
      <c r="G106" s="1608"/>
      <c r="H106" s="921"/>
      <c r="I106" s="1608"/>
      <c r="J106" s="1608"/>
      <c r="K106" s="1607"/>
      <c r="L106" s="742"/>
      <c r="M106" s="742"/>
      <c r="N106" s="742"/>
      <c r="O106" s="742"/>
    </row>
    <row r="107" spans="1:15">
      <c r="A107" s="615" t="s">
        <v>6271</v>
      </c>
      <c r="B107" s="853">
        <v>303.51</v>
      </c>
      <c r="C107" s="1627">
        <v>1.5566666666666671</v>
      </c>
      <c r="D107" s="742"/>
      <c r="E107" s="921"/>
      <c r="F107" s="1608"/>
      <c r="G107" s="1608"/>
      <c r="H107" s="921"/>
      <c r="I107" s="1608"/>
      <c r="J107" s="1608"/>
      <c r="K107" s="1607"/>
      <c r="L107" s="742"/>
      <c r="M107" s="742"/>
      <c r="N107" s="742"/>
      <c r="O107" s="742"/>
    </row>
    <row r="108" spans="1:15">
      <c r="A108" s="615" t="s">
        <v>6272</v>
      </c>
      <c r="B108" s="853">
        <v>305.42</v>
      </c>
      <c r="C108" s="1627">
        <v>1.62375</v>
      </c>
      <c r="D108" s="742"/>
      <c r="E108" s="921"/>
      <c r="F108" s="1608"/>
      <c r="G108" s="1608"/>
      <c r="H108" s="921"/>
      <c r="I108" s="1608"/>
      <c r="J108" s="1608"/>
      <c r="K108" s="1607"/>
      <c r="L108" s="742"/>
      <c r="M108" s="742"/>
      <c r="N108" s="742"/>
      <c r="O108" s="742"/>
    </row>
    <row r="109" spans="1:15">
      <c r="A109" s="615" t="s">
        <v>6273</v>
      </c>
      <c r="B109" s="853">
        <v>1604.12</v>
      </c>
      <c r="C109" s="1627">
        <v>1.62375</v>
      </c>
      <c r="D109" s="742"/>
      <c r="E109" s="921"/>
      <c r="F109" s="1608"/>
      <c r="G109" s="1608"/>
      <c r="H109" s="921"/>
      <c r="I109" s="1608"/>
      <c r="J109" s="1608"/>
      <c r="K109" s="1607"/>
      <c r="L109" s="742"/>
      <c r="M109" s="742"/>
      <c r="N109" s="742"/>
      <c r="O109" s="742"/>
    </row>
    <row r="110" spans="1:15">
      <c r="A110" s="615" t="s">
        <v>6274</v>
      </c>
      <c r="B110" s="853">
        <v>305.61</v>
      </c>
      <c r="C110" s="1627">
        <v>1.62375</v>
      </c>
      <c r="D110" s="742"/>
      <c r="E110" s="921"/>
      <c r="F110" s="1608"/>
      <c r="G110" s="1608"/>
      <c r="H110" s="921"/>
      <c r="I110" s="1608"/>
      <c r="J110" s="1608"/>
      <c r="K110" s="1607"/>
      <c r="L110" s="742"/>
      <c r="M110" s="742"/>
      <c r="N110" s="742"/>
      <c r="O110" s="742"/>
    </row>
    <row r="111" spans="1:15">
      <c r="A111" s="615" t="s">
        <v>8672</v>
      </c>
      <c r="B111" s="853">
        <v>302.45</v>
      </c>
      <c r="C111" s="1627">
        <v>1.0169999999999999</v>
      </c>
      <c r="D111" s="742"/>
      <c r="E111" s="921"/>
      <c r="F111" s="1608"/>
      <c r="G111" s="1608"/>
      <c r="H111" s="921"/>
      <c r="I111" s="1608"/>
      <c r="J111" s="1608"/>
      <c r="K111" s="1607"/>
      <c r="L111" s="1611"/>
      <c r="M111" s="1611"/>
      <c r="N111" s="742"/>
      <c r="O111" s="742"/>
    </row>
    <row r="112" spans="1:15">
      <c r="A112" s="615" t="s">
        <v>8703</v>
      </c>
      <c r="B112" s="853">
        <v>303.55</v>
      </c>
      <c r="C112" s="1627">
        <v>1.81</v>
      </c>
      <c r="D112" s="742"/>
      <c r="E112" s="921"/>
      <c r="F112" s="1608"/>
      <c r="G112" s="1608"/>
      <c r="H112" s="921"/>
      <c r="I112" s="1608"/>
      <c r="J112" s="1608"/>
      <c r="K112" s="1607"/>
      <c r="L112" s="1610"/>
      <c r="M112" s="1610"/>
      <c r="N112" s="742"/>
      <c r="O112" s="742"/>
    </row>
    <row r="113" spans="1:15">
      <c r="A113" s="615" t="s">
        <v>8674</v>
      </c>
      <c r="B113" s="853">
        <v>308.3</v>
      </c>
      <c r="C113" s="1627"/>
      <c r="D113" s="742"/>
      <c r="E113" s="921"/>
      <c r="F113" s="1608"/>
      <c r="G113" s="1608"/>
      <c r="H113" s="921"/>
      <c r="I113" s="1608"/>
      <c r="J113" s="1608"/>
      <c r="K113" s="1607"/>
      <c r="L113" s="742"/>
      <c r="M113" s="742"/>
      <c r="N113" s="742"/>
      <c r="O113" s="742"/>
    </row>
    <row r="114" spans="1:15">
      <c r="A114" s="615" t="s">
        <v>8715</v>
      </c>
      <c r="B114" s="853">
        <v>1605.63</v>
      </c>
      <c r="C114" s="1627">
        <v>3.1970000000000001</v>
      </c>
      <c r="D114" s="742"/>
      <c r="E114" s="921"/>
      <c r="F114" s="1608"/>
      <c r="G114" s="1608"/>
      <c r="H114" s="921"/>
      <c r="I114" s="1608"/>
      <c r="J114" s="1608"/>
      <c r="K114" s="1607"/>
      <c r="L114" s="1610"/>
      <c r="M114" s="1610"/>
      <c r="N114" s="742"/>
      <c r="O114" s="742"/>
    </row>
    <row r="115" spans="1:15">
      <c r="A115" s="615" t="s">
        <v>6275</v>
      </c>
      <c r="B115" s="853">
        <v>302.7</v>
      </c>
      <c r="C115" s="1627"/>
      <c r="D115" s="742"/>
      <c r="E115" s="921"/>
      <c r="F115" s="1608"/>
      <c r="G115" s="1608"/>
      <c r="H115" s="921"/>
      <c r="I115" s="1608"/>
      <c r="J115" s="1608"/>
      <c r="K115" s="1607"/>
      <c r="L115" s="1610"/>
      <c r="M115" s="1610"/>
      <c r="N115" s="742"/>
      <c r="O115" s="742"/>
    </row>
    <row r="116" spans="1:15">
      <c r="A116" s="615" t="s">
        <v>6276</v>
      </c>
      <c r="B116" s="853">
        <v>1605.3</v>
      </c>
      <c r="C116" s="1627">
        <v>2.1536363636363633</v>
      </c>
      <c r="D116" s="742"/>
      <c r="E116" s="921"/>
      <c r="F116" s="1608"/>
      <c r="G116" s="1608"/>
      <c r="H116" s="921"/>
      <c r="I116" s="1608"/>
      <c r="J116" s="1608"/>
      <c r="K116" s="1607"/>
      <c r="L116" s="742"/>
      <c r="M116" s="742"/>
      <c r="N116" s="742"/>
      <c r="O116" s="742"/>
    </row>
    <row r="117" spans="1:15">
      <c r="A117" s="615" t="s">
        <v>6277</v>
      </c>
      <c r="B117" s="853">
        <v>306.12</v>
      </c>
      <c r="C117" s="1627">
        <v>2.1536363636363633</v>
      </c>
      <c r="D117" s="742"/>
      <c r="E117" s="921"/>
      <c r="F117" s="1608"/>
      <c r="G117" s="1608"/>
      <c r="H117" s="921"/>
      <c r="I117" s="1608"/>
      <c r="J117" s="1608"/>
      <c r="K117" s="1607"/>
      <c r="L117" s="1610"/>
      <c r="M117" s="1610"/>
      <c r="N117" s="742"/>
      <c r="O117" s="742"/>
    </row>
    <row r="118" spans="1:15">
      <c r="A118" s="615" t="s">
        <v>6344</v>
      </c>
      <c r="B118" s="853">
        <v>306.22000000000003</v>
      </c>
      <c r="C118" s="1627">
        <v>2.1536363636363633</v>
      </c>
      <c r="D118" s="742"/>
      <c r="E118" s="921"/>
      <c r="F118" s="1608"/>
      <c r="G118" s="1608"/>
      <c r="H118" s="921"/>
      <c r="I118" s="1608"/>
      <c r="J118" s="1608"/>
      <c r="K118" s="1607"/>
      <c r="L118" s="1610"/>
      <c r="M118" s="1610"/>
      <c r="N118" s="742"/>
      <c r="O118" s="742"/>
    </row>
    <row r="119" spans="1:15">
      <c r="A119" s="615" t="s">
        <v>6278</v>
      </c>
      <c r="B119" s="853">
        <v>302.64</v>
      </c>
      <c r="C119" s="1627">
        <v>1.3425</v>
      </c>
      <c r="D119" s="742"/>
      <c r="E119" s="921"/>
      <c r="F119" s="1608"/>
      <c r="G119" s="1608"/>
      <c r="H119" s="921"/>
      <c r="I119" s="1608"/>
      <c r="J119" s="1608"/>
      <c r="K119" s="1607"/>
      <c r="L119" s="1610"/>
      <c r="M119" s="1610"/>
      <c r="N119" s="742"/>
      <c r="O119" s="742"/>
    </row>
    <row r="120" spans="1:15">
      <c r="A120" s="615" t="s">
        <v>6279</v>
      </c>
      <c r="B120" s="853">
        <v>303.74</v>
      </c>
      <c r="C120" s="1627">
        <v>1.5158620689655171</v>
      </c>
      <c r="D120" s="742"/>
      <c r="E120" s="921"/>
      <c r="F120" s="1608"/>
      <c r="G120" s="1608"/>
      <c r="H120" s="921"/>
      <c r="I120" s="1608"/>
      <c r="J120" s="1608"/>
      <c r="K120" s="1607"/>
      <c r="L120" s="1611"/>
      <c r="M120" s="1611"/>
      <c r="N120" s="742"/>
      <c r="O120" s="742"/>
    </row>
    <row r="121" spans="1:15">
      <c r="A121" s="615" t="s">
        <v>8676</v>
      </c>
      <c r="B121" s="853">
        <v>302.44</v>
      </c>
      <c r="C121" s="1627">
        <v>1.3425</v>
      </c>
      <c r="D121" s="742"/>
      <c r="E121" s="921"/>
      <c r="F121" s="1608"/>
      <c r="G121" s="1608"/>
      <c r="H121" s="921"/>
      <c r="I121" s="1608"/>
      <c r="J121" s="1608"/>
      <c r="K121" s="1607"/>
      <c r="L121" s="1610"/>
      <c r="M121" s="1610"/>
      <c r="N121" s="742"/>
      <c r="O121" s="742"/>
    </row>
    <row r="122" spans="1:15">
      <c r="A122" s="615" t="s">
        <v>8677</v>
      </c>
      <c r="B122" s="853">
        <v>303.54000000000002</v>
      </c>
      <c r="C122" s="1627">
        <v>1.51586206896552</v>
      </c>
      <c r="D122" s="742"/>
      <c r="E122" s="921"/>
      <c r="F122" s="1608"/>
      <c r="G122" s="1608"/>
      <c r="H122" s="921"/>
      <c r="I122" s="1608"/>
      <c r="J122" s="1608"/>
      <c r="K122" s="1607"/>
      <c r="L122" s="742"/>
      <c r="M122" s="742"/>
      <c r="N122" s="742"/>
      <c r="O122" s="742"/>
    </row>
    <row r="123" spans="1:15">
      <c r="A123" s="615" t="s">
        <v>6280</v>
      </c>
      <c r="B123" s="853">
        <v>1604.15</v>
      </c>
      <c r="C123" s="1627">
        <v>1.5158620689655171</v>
      </c>
      <c r="D123" s="742"/>
      <c r="E123" s="921"/>
      <c r="F123" s="1608"/>
      <c r="G123" s="1608"/>
      <c r="H123" s="921"/>
      <c r="I123" s="1608"/>
      <c r="J123" s="1608"/>
      <c r="K123" s="1607"/>
      <c r="L123" s="742"/>
      <c r="M123" s="742"/>
      <c r="N123" s="742"/>
      <c r="O123" s="742"/>
    </row>
    <row r="124" spans="1:15">
      <c r="A124" s="615" t="s">
        <v>6281</v>
      </c>
      <c r="B124" s="853">
        <v>2301.1999999999998</v>
      </c>
      <c r="C124" s="1627">
        <v>3.7377777777777781</v>
      </c>
      <c r="D124" s="742"/>
      <c r="E124" s="921"/>
      <c r="F124" s="1608"/>
      <c r="G124" s="1608"/>
      <c r="H124" s="921"/>
      <c r="I124" s="1608"/>
      <c r="J124" s="1608"/>
      <c r="K124" s="1607"/>
      <c r="L124" s="742"/>
      <c r="M124" s="742"/>
      <c r="N124" s="742"/>
      <c r="O124" s="742"/>
    </row>
    <row r="125" spans="1:15">
      <c r="A125" s="615" t="s">
        <v>8705</v>
      </c>
      <c r="B125" s="853">
        <v>304.95</v>
      </c>
      <c r="C125" s="1627">
        <v>1.81</v>
      </c>
      <c r="D125" s="742"/>
      <c r="E125" s="921"/>
      <c r="F125" s="1608"/>
      <c r="G125" s="1608"/>
      <c r="H125" s="921"/>
      <c r="I125" s="1608"/>
      <c r="J125" s="1608"/>
      <c r="K125" s="1607"/>
      <c r="L125" s="742"/>
      <c r="M125" s="742"/>
      <c r="N125" s="742"/>
      <c r="O125" s="742"/>
    </row>
    <row r="126" spans="1:15">
      <c r="A126" s="615" t="s">
        <v>8679</v>
      </c>
      <c r="B126" s="853">
        <v>304.51</v>
      </c>
      <c r="C126" s="1627">
        <v>2.2999999999999998</v>
      </c>
      <c r="D126" s="742"/>
      <c r="E126" s="921"/>
      <c r="F126" s="1608"/>
      <c r="G126" s="1608"/>
      <c r="H126" s="921"/>
      <c r="I126" s="1608"/>
      <c r="J126" s="1608"/>
      <c r="K126" s="1607"/>
      <c r="L126" s="742"/>
      <c r="M126" s="742"/>
      <c r="N126" s="742"/>
      <c r="O126" s="742"/>
    </row>
    <row r="127" spans="1:15">
      <c r="A127" s="615" t="s">
        <v>6282</v>
      </c>
      <c r="B127" s="853">
        <v>1605.9</v>
      </c>
      <c r="C127" s="1627">
        <v>2.13</v>
      </c>
      <c r="D127" s="742"/>
      <c r="E127" s="921"/>
      <c r="F127" s="1608"/>
      <c r="G127" s="1608"/>
      <c r="H127" s="921"/>
      <c r="I127" s="1608"/>
      <c r="J127" s="1608"/>
      <c r="K127" s="1607"/>
      <c r="L127" s="742"/>
      <c r="M127" s="742"/>
      <c r="N127" s="742"/>
      <c r="O127" s="742"/>
    </row>
    <row r="128" spans="1:15">
      <c r="A128" s="615" t="s">
        <v>6283</v>
      </c>
      <c r="B128" s="853">
        <v>307.31</v>
      </c>
      <c r="C128" s="1627">
        <v>9.6199999999999992</v>
      </c>
      <c r="D128" s="742"/>
      <c r="E128" s="921"/>
      <c r="F128" s="1608"/>
      <c r="G128" s="1608"/>
      <c r="H128" s="921"/>
      <c r="I128" s="1608"/>
      <c r="J128" s="1608"/>
      <c r="K128" s="1607"/>
      <c r="L128" s="1611"/>
      <c r="M128" s="1611"/>
      <c r="N128" s="742"/>
      <c r="O128" s="742"/>
    </row>
    <row r="129" spans="1:15">
      <c r="A129" s="615" t="s">
        <v>6284</v>
      </c>
      <c r="B129" s="853">
        <v>307.39</v>
      </c>
      <c r="C129" s="1627">
        <v>3.0892857142857144</v>
      </c>
      <c r="D129" s="742"/>
      <c r="E129" s="921"/>
      <c r="F129" s="1608"/>
      <c r="G129" s="1608"/>
      <c r="H129" s="921"/>
      <c r="I129" s="1608"/>
      <c r="J129" s="1608"/>
      <c r="K129" s="1607"/>
      <c r="L129" s="1610"/>
      <c r="M129" s="1610"/>
      <c r="N129" s="742"/>
      <c r="O129" s="742"/>
    </row>
    <row r="130" spans="1:15">
      <c r="A130" s="615" t="s">
        <v>8680</v>
      </c>
      <c r="B130" s="853">
        <v>1605.53</v>
      </c>
      <c r="C130" s="1627">
        <v>3.0892857142857144</v>
      </c>
      <c r="D130" s="742"/>
      <c r="E130" s="921"/>
      <c r="F130" s="1608"/>
      <c r="G130" s="1608"/>
      <c r="H130" s="921"/>
      <c r="I130" s="1608"/>
      <c r="J130" s="1608"/>
      <c r="K130" s="1607"/>
      <c r="L130" s="1609"/>
      <c r="M130" s="1609"/>
      <c r="N130" s="742"/>
      <c r="O130" s="742"/>
    </row>
    <row r="131" spans="1:15">
      <c r="A131" s="615" t="s">
        <v>8667</v>
      </c>
      <c r="B131" s="853">
        <v>302.79000000000002</v>
      </c>
      <c r="C131" s="1627">
        <v>1.55</v>
      </c>
      <c r="D131" s="742"/>
      <c r="E131" s="921"/>
      <c r="F131" s="1608"/>
      <c r="G131" s="1608"/>
      <c r="H131" s="921"/>
      <c r="I131" s="1608"/>
      <c r="J131" s="1608"/>
      <c r="K131" s="1607"/>
      <c r="L131" s="1609"/>
      <c r="M131" s="1609"/>
      <c r="N131" s="742"/>
      <c r="O131" s="742"/>
    </row>
    <row r="132" spans="1:15">
      <c r="A132" s="615" t="s">
        <v>8623</v>
      </c>
      <c r="B132" s="853">
        <v>304.33</v>
      </c>
      <c r="C132" s="1627">
        <v>1.9677110566448803</v>
      </c>
      <c r="D132" s="742"/>
      <c r="E132" s="921"/>
      <c r="F132" s="1608"/>
      <c r="G132" s="1608"/>
      <c r="H132" s="921"/>
      <c r="I132" s="1608"/>
      <c r="J132" s="1608"/>
      <c r="K132" s="1607"/>
      <c r="L132" s="742"/>
      <c r="M132" s="742"/>
      <c r="N132" s="742"/>
      <c r="O132" s="742"/>
    </row>
    <row r="133" spans="1:15">
      <c r="A133" s="615" t="s">
        <v>8637</v>
      </c>
      <c r="B133" s="853">
        <v>304.63</v>
      </c>
      <c r="C133" s="1627">
        <v>1.9677110566448803</v>
      </c>
      <c r="D133" s="742"/>
      <c r="E133" s="921"/>
      <c r="F133" s="1608"/>
      <c r="G133" s="1608"/>
      <c r="H133" s="921"/>
      <c r="I133" s="1608"/>
      <c r="J133" s="1608"/>
      <c r="K133" s="1607"/>
      <c r="L133" s="742"/>
      <c r="M133" s="742"/>
      <c r="N133" s="742"/>
      <c r="O133" s="742"/>
    </row>
    <row r="134" spans="1:15">
      <c r="A134" s="615" t="s">
        <v>8684</v>
      </c>
      <c r="B134" s="853">
        <v>306.14999999999998</v>
      </c>
      <c r="C134" s="1627">
        <v>2.1536363636363633</v>
      </c>
      <c r="D134" s="742"/>
      <c r="E134" s="921"/>
      <c r="F134" s="1608"/>
      <c r="G134" s="1608"/>
      <c r="H134" s="921"/>
      <c r="I134" s="1608"/>
      <c r="J134" s="1608"/>
      <c r="K134" s="1607"/>
      <c r="L134" s="742"/>
      <c r="M134" s="742"/>
      <c r="N134" s="742"/>
      <c r="O134" s="742"/>
    </row>
    <row r="135" spans="1:15">
      <c r="A135" s="615" t="s">
        <v>8685</v>
      </c>
      <c r="B135" s="853">
        <v>306.25</v>
      </c>
      <c r="C135" s="1627">
        <v>2.1536363636363633</v>
      </c>
      <c r="D135" s="742"/>
      <c r="E135" s="921"/>
      <c r="F135" s="1608"/>
      <c r="G135" s="1608"/>
      <c r="H135" s="921"/>
      <c r="I135" s="1608"/>
      <c r="J135" s="1608"/>
      <c r="K135" s="1607"/>
      <c r="L135" s="742"/>
      <c r="M135" s="742"/>
      <c r="N135" s="742"/>
      <c r="O135" s="742"/>
    </row>
    <row r="136" spans="1:15">
      <c r="A136" s="615" t="s">
        <v>1533</v>
      </c>
      <c r="B136" s="853">
        <v>307.51</v>
      </c>
      <c r="C136" s="1627">
        <v>2.0699999999999998</v>
      </c>
      <c r="D136" s="742"/>
      <c r="E136" s="921"/>
      <c r="F136" s="1608"/>
      <c r="G136" s="1608"/>
      <c r="H136" s="921"/>
      <c r="I136" s="742"/>
      <c r="J136" s="1607"/>
      <c r="K136" s="1607"/>
      <c r="L136" s="742"/>
      <c r="M136" s="742"/>
      <c r="N136" s="742"/>
      <c r="O136" s="742"/>
    </row>
    <row r="137" spans="1:15">
      <c r="A137" s="615" t="s">
        <v>1910</v>
      </c>
      <c r="B137" s="853">
        <v>307.58999999999997</v>
      </c>
      <c r="C137" s="1627">
        <v>1.0475000000000001</v>
      </c>
      <c r="D137" s="742"/>
      <c r="E137" s="742"/>
      <c r="F137" s="1608"/>
      <c r="G137" s="1608"/>
      <c r="H137" s="921"/>
      <c r="I137" s="742"/>
      <c r="J137" s="1607"/>
      <c r="K137" s="1607"/>
      <c r="L137" s="742"/>
      <c r="M137" s="742"/>
      <c r="N137" s="742"/>
      <c r="O137" s="742"/>
    </row>
    <row r="138" spans="1:15">
      <c r="A138" s="615" t="s">
        <v>8686</v>
      </c>
      <c r="B138" s="853">
        <v>1605.55</v>
      </c>
      <c r="C138" s="1627">
        <v>1.0475000000000001</v>
      </c>
      <c r="D138" s="742"/>
      <c r="E138" s="742"/>
      <c r="F138" s="1608"/>
      <c r="G138" s="1608"/>
      <c r="H138" s="921"/>
      <c r="I138" s="742"/>
      <c r="J138" s="1607"/>
      <c r="K138" s="1607"/>
      <c r="L138" s="742"/>
      <c r="M138" s="742"/>
      <c r="N138" s="742"/>
      <c r="O138" s="742"/>
    </row>
    <row r="139" spans="1:15">
      <c r="A139" s="615" t="s">
        <v>6286</v>
      </c>
      <c r="B139" s="853">
        <v>1504.3</v>
      </c>
      <c r="C139" s="1627">
        <v>3.2258064516129035</v>
      </c>
      <c r="D139" s="742"/>
      <c r="E139" s="742"/>
      <c r="F139" s="1608"/>
      <c r="G139" s="1608"/>
      <c r="H139" s="921"/>
      <c r="I139" s="742"/>
      <c r="J139" s="1607"/>
      <c r="K139" s="1607"/>
      <c r="L139" s="742"/>
      <c r="M139" s="742"/>
      <c r="N139" s="742"/>
      <c r="O139" s="742"/>
    </row>
    <row r="140" spans="1:15">
      <c r="A140" s="615" t="s">
        <v>6287</v>
      </c>
      <c r="B140" s="853">
        <v>301.10000000000002</v>
      </c>
      <c r="C140" s="1627">
        <v>1</v>
      </c>
      <c r="D140" s="742"/>
      <c r="E140" s="742"/>
      <c r="F140" s="1608"/>
      <c r="G140" s="1608"/>
      <c r="H140" s="921"/>
      <c r="I140" s="742"/>
      <c r="J140" s="1607"/>
      <c r="K140" s="1607"/>
      <c r="L140" s="742"/>
      <c r="M140" s="742"/>
      <c r="N140" s="742"/>
      <c r="O140" s="742"/>
    </row>
    <row r="141" spans="1:15">
      <c r="A141" s="615" t="s">
        <v>8687</v>
      </c>
      <c r="B141" s="853">
        <v>301.19</v>
      </c>
      <c r="C141" s="1627">
        <v>1</v>
      </c>
      <c r="D141" s="742"/>
      <c r="E141" s="742"/>
      <c r="F141" s="1608"/>
      <c r="G141" s="1608"/>
      <c r="H141" s="921"/>
      <c r="I141" s="742"/>
      <c r="J141" s="1607"/>
      <c r="K141" s="1607"/>
      <c r="L141" s="742"/>
      <c r="M141" s="742"/>
      <c r="N141" s="742"/>
      <c r="O141" s="742"/>
    </row>
    <row r="142" spans="1:15">
      <c r="A142" s="615" t="s">
        <v>8688</v>
      </c>
      <c r="B142" s="853">
        <v>301.11</v>
      </c>
      <c r="C142" s="1627">
        <v>1</v>
      </c>
      <c r="D142" s="742"/>
      <c r="E142" s="742"/>
      <c r="F142" s="1608"/>
      <c r="G142" s="1608"/>
      <c r="H142" s="921"/>
      <c r="I142" s="742"/>
      <c r="J142" s="1607"/>
      <c r="K142" s="1607"/>
      <c r="L142" s="742"/>
      <c r="M142" s="742"/>
      <c r="N142" s="742"/>
      <c r="O142" s="742"/>
    </row>
    <row r="143" spans="1:15">
      <c r="A143" s="615" t="s">
        <v>8689</v>
      </c>
      <c r="B143" s="853">
        <v>305.79000000000002</v>
      </c>
      <c r="C143" s="1627"/>
      <c r="D143" s="742"/>
      <c r="E143" s="742"/>
      <c r="F143" s="1608"/>
      <c r="G143" s="1608"/>
      <c r="H143" s="921"/>
      <c r="I143" s="742"/>
      <c r="J143" s="1607"/>
      <c r="K143" s="1607"/>
      <c r="L143" s="1610"/>
      <c r="M143" s="1610"/>
      <c r="N143" s="742"/>
      <c r="O143" s="742"/>
    </row>
    <row r="144" spans="1:15">
      <c r="A144" s="615" t="s">
        <v>8690</v>
      </c>
      <c r="B144" s="853">
        <v>308.89999999999998</v>
      </c>
      <c r="C144" s="1627"/>
      <c r="D144" s="742"/>
      <c r="E144" s="742"/>
      <c r="F144" s="1608"/>
      <c r="G144" s="1608"/>
      <c r="H144" s="921"/>
      <c r="I144" s="742"/>
      <c r="J144" s="1607"/>
      <c r="K144" s="1607"/>
      <c r="L144" s="742"/>
      <c r="M144" s="742"/>
      <c r="N144" s="742"/>
      <c r="O144" s="742"/>
    </row>
    <row r="145" spans="1:15">
      <c r="A145" s="615" t="s">
        <v>8716</v>
      </c>
      <c r="B145" s="853">
        <v>1605.69</v>
      </c>
      <c r="C145" s="1627">
        <v>3.1970000000000001</v>
      </c>
      <c r="D145" s="742"/>
      <c r="E145" s="742"/>
      <c r="F145" s="1608"/>
      <c r="G145" s="1608"/>
      <c r="H145" s="921"/>
      <c r="I145" s="742"/>
      <c r="J145" s="1607"/>
      <c r="K145" s="1607"/>
      <c r="L145" s="742"/>
      <c r="M145" s="742"/>
      <c r="N145" s="742"/>
      <c r="O145" s="742"/>
    </row>
    <row r="146" spans="1:15">
      <c r="A146" s="615" t="s">
        <v>6288</v>
      </c>
      <c r="B146" s="853">
        <v>1605.4</v>
      </c>
      <c r="C146" s="1627">
        <v>2.2000000000000002</v>
      </c>
      <c r="D146" s="742"/>
      <c r="E146" s="742"/>
      <c r="F146" s="1608"/>
      <c r="G146" s="1608"/>
      <c r="H146" s="921"/>
      <c r="I146" s="921"/>
      <c r="J146" s="1608"/>
      <c r="K146" s="1608"/>
      <c r="L146" s="742"/>
      <c r="M146" s="742"/>
      <c r="N146" s="921"/>
    </row>
    <row r="147" spans="1:15">
      <c r="A147" s="615" t="s">
        <v>6289</v>
      </c>
      <c r="B147" s="853">
        <v>306.19</v>
      </c>
      <c r="C147" s="1627">
        <v>1</v>
      </c>
      <c r="D147" s="742"/>
      <c r="E147" s="742"/>
      <c r="F147" s="1608"/>
      <c r="G147" s="1608"/>
      <c r="H147" s="921"/>
      <c r="I147" s="921"/>
      <c r="J147" s="921"/>
      <c r="K147" s="921"/>
    </row>
    <row r="148" spans="1:15">
      <c r="A148" s="615" t="s">
        <v>6290</v>
      </c>
      <c r="B148" s="853">
        <v>306.29000000000002</v>
      </c>
      <c r="C148" s="1627">
        <v>1</v>
      </c>
      <c r="D148" s="742"/>
      <c r="E148" s="742"/>
      <c r="F148" s="1608"/>
      <c r="G148" s="1608"/>
      <c r="H148" s="921"/>
      <c r="I148" s="921"/>
      <c r="J148" s="921"/>
      <c r="K148" s="921"/>
    </row>
    <row r="149" spans="1:15">
      <c r="A149" s="615" t="s">
        <v>8692</v>
      </c>
      <c r="B149" s="853">
        <v>305.39</v>
      </c>
      <c r="C149" s="1627">
        <v>1.9</v>
      </c>
      <c r="D149" s="742"/>
      <c r="E149" s="742"/>
      <c r="F149" s="1608"/>
      <c r="G149" s="1608"/>
      <c r="H149" s="921"/>
      <c r="I149" s="921"/>
      <c r="J149" s="921"/>
      <c r="K149" s="921"/>
    </row>
    <row r="150" spans="1:15">
      <c r="A150" s="615" t="s">
        <v>8693</v>
      </c>
      <c r="B150" s="853">
        <v>304.58999999999997</v>
      </c>
      <c r="C150" s="1627">
        <v>2.1</v>
      </c>
      <c r="D150" s="742"/>
      <c r="E150" s="742"/>
      <c r="F150" s="1608"/>
      <c r="G150" s="1608"/>
      <c r="H150" s="921"/>
      <c r="I150" s="921"/>
      <c r="J150" s="921"/>
      <c r="K150" s="921"/>
    </row>
    <row r="151" spans="1:15">
      <c r="A151" s="615" t="s">
        <v>6291</v>
      </c>
      <c r="B151" s="853">
        <v>305.58999999999997</v>
      </c>
      <c r="C151" s="1627">
        <v>3.206666666666667</v>
      </c>
      <c r="D151" s="742"/>
      <c r="E151" s="742"/>
      <c r="F151" s="1608"/>
      <c r="G151" s="1608"/>
      <c r="H151" s="921"/>
      <c r="I151" s="921"/>
      <c r="J151" s="921"/>
      <c r="K151" s="921"/>
    </row>
    <row r="152" spans="1:15">
      <c r="A152" s="615" t="s">
        <v>6292</v>
      </c>
      <c r="B152" s="853">
        <v>305.49</v>
      </c>
      <c r="C152" s="1627">
        <v>2</v>
      </c>
      <c r="D152" s="742"/>
      <c r="E152" s="742"/>
      <c r="F152" s="1608"/>
      <c r="G152" s="1608"/>
      <c r="H152" s="921"/>
      <c r="I152" s="921"/>
      <c r="J152" s="921"/>
      <c r="K152" s="921"/>
    </row>
    <row r="153" spans="1:15">
      <c r="A153" s="615" t="s">
        <v>6293</v>
      </c>
      <c r="B153" s="853">
        <v>301.99</v>
      </c>
      <c r="C153" s="1627">
        <v>1.1114545454545455</v>
      </c>
      <c r="D153" s="742"/>
      <c r="E153" s="742"/>
      <c r="F153" s="1608"/>
      <c r="G153" s="1608"/>
      <c r="H153" s="921"/>
      <c r="I153" s="921"/>
      <c r="J153" s="921"/>
      <c r="K153" s="921"/>
    </row>
    <row r="154" spans="1:15">
      <c r="A154" s="615" t="s">
        <v>6294</v>
      </c>
      <c r="B154" s="853">
        <v>1604.19</v>
      </c>
      <c r="C154" s="1627">
        <v>1.5</v>
      </c>
      <c r="D154" s="742"/>
      <c r="E154" s="742"/>
      <c r="F154" s="1608"/>
      <c r="G154" s="1608"/>
      <c r="H154" s="921"/>
      <c r="I154" s="921"/>
      <c r="J154" s="921"/>
      <c r="K154" s="921"/>
    </row>
    <row r="155" spans="1:15">
      <c r="A155" s="615" t="s">
        <v>6295</v>
      </c>
      <c r="B155" s="853">
        <v>305.69</v>
      </c>
      <c r="C155" s="1627">
        <v>1</v>
      </c>
      <c r="D155" s="742"/>
      <c r="E155" s="742"/>
      <c r="F155" s="1608"/>
      <c r="G155" s="1608"/>
      <c r="H155" s="921"/>
      <c r="I155" s="921"/>
      <c r="J155" s="921"/>
      <c r="K155" s="921"/>
    </row>
    <row r="156" spans="1:15">
      <c r="A156" s="615" t="s">
        <v>6296</v>
      </c>
      <c r="B156" s="853">
        <v>302.29000000000002</v>
      </c>
      <c r="C156" s="1627">
        <v>1.1166666666666667</v>
      </c>
      <c r="D156" s="742"/>
      <c r="E156" s="742"/>
      <c r="F156" s="1608"/>
      <c r="G156" s="1608"/>
      <c r="H156" s="921"/>
      <c r="I156" s="921"/>
      <c r="J156" s="921"/>
      <c r="K156" s="921"/>
    </row>
    <row r="157" spans="1:15">
      <c r="A157" s="615" t="s">
        <v>6297</v>
      </c>
      <c r="B157" s="853">
        <v>303.39</v>
      </c>
      <c r="C157" s="1627">
        <v>1.6333333333333335</v>
      </c>
      <c r="D157" s="742"/>
      <c r="E157" s="742"/>
      <c r="F157" s="1608"/>
      <c r="G157" s="1608"/>
      <c r="H157" s="921"/>
      <c r="I157" s="921"/>
      <c r="J157" s="921"/>
      <c r="K157" s="921"/>
    </row>
    <row r="158" spans="1:15">
      <c r="A158" s="615" t="s">
        <v>6298</v>
      </c>
      <c r="B158" s="853">
        <v>302.69</v>
      </c>
      <c r="C158" s="1627">
        <v>1.1114545454545455</v>
      </c>
      <c r="D158" s="742"/>
      <c r="E158" s="742"/>
      <c r="F158" s="1608"/>
      <c r="G158" s="1608"/>
      <c r="H158" s="921"/>
      <c r="I158" s="921"/>
      <c r="J158" s="921"/>
      <c r="K158" s="921"/>
    </row>
    <row r="159" spans="1:15">
      <c r="A159" s="615" t="s">
        <v>6299</v>
      </c>
      <c r="B159" s="853">
        <v>303.79000000000002</v>
      </c>
      <c r="C159" s="1627">
        <v>1.5402941176470588</v>
      </c>
      <c r="D159" s="742"/>
      <c r="E159" s="742"/>
      <c r="F159" s="1608"/>
      <c r="G159" s="1608"/>
      <c r="H159" s="921"/>
      <c r="I159" s="921"/>
      <c r="J159" s="921"/>
      <c r="K159" s="921"/>
    </row>
    <row r="160" spans="1:15">
      <c r="A160" s="615" t="s">
        <v>8694</v>
      </c>
      <c r="B160" s="853">
        <v>302.89</v>
      </c>
      <c r="C160" s="1627">
        <v>1.1114545454545455</v>
      </c>
      <c r="D160" s="742"/>
      <c r="E160" s="742"/>
      <c r="F160" s="1608"/>
      <c r="G160" s="1608"/>
      <c r="H160" s="921"/>
      <c r="I160" s="921"/>
      <c r="J160" s="921"/>
      <c r="K160" s="921"/>
    </row>
    <row r="161" spans="1:11">
      <c r="A161" s="615" t="s">
        <v>8668</v>
      </c>
      <c r="B161" s="853">
        <v>302.58999999999997</v>
      </c>
      <c r="C161" s="1627">
        <v>1.55</v>
      </c>
      <c r="D161" s="742"/>
      <c r="E161" s="742"/>
      <c r="F161" s="1608"/>
      <c r="G161" s="1608"/>
      <c r="H161" s="921"/>
      <c r="I161" s="921"/>
      <c r="J161" s="921"/>
      <c r="K161" s="921"/>
    </row>
    <row r="162" spans="1:11">
      <c r="A162" s="615" t="s">
        <v>8706</v>
      </c>
      <c r="B162" s="853">
        <v>303.69</v>
      </c>
      <c r="C162" s="1627">
        <v>1.81</v>
      </c>
      <c r="D162" s="742"/>
      <c r="E162" s="742"/>
      <c r="F162" s="1608"/>
      <c r="G162" s="1608"/>
      <c r="H162" s="921"/>
      <c r="I162" s="921"/>
      <c r="J162" s="921"/>
      <c r="K162" s="921"/>
    </row>
    <row r="163" spans="1:11">
      <c r="A163" s="615" t="s">
        <v>6300</v>
      </c>
      <c r="B163" s="853">
        <v>307.91000000000003</v>
      </c>
      <c r="C163" s="1627">
        <v>3</v>
      </c>
      <c r="D163" s="742"/>
      <c r="E163" s="742"/>
      <c r="F163" s="1608"/>
      <c r="G163" s="1608"/>
      <c r="H163" s="921"/>
      <c r="I163" s="921"/>
      <c r="J163" s="921"/>
      <c r="K163" s="921"/>
    </row>
    <row r="164" spans="1:11">
      <c r="A164" s="615" t="s">
        <v>6341</v>
      </c>
      <c r="B164" s="853">
        <v>307.99</v>
      </c>
      <c r="C164" s="1627">
        <v>3</v>
      </c>
      <c r="D164" s="742"/>
      <c r="E164" s="742"/>
      <c r="F164" s="1608"/>
      <c r="G164" s="1608"/>
      <c r="H164" s="921"/>
      <c r="I164" s="921"/>
      <c r="J164" s="921"/>
      <c r="K164" s="921"/>
    </row>
    <row r="165" spans="1:11">
      <c r="A165" s="615" t="s">
        <v>8717</v>
      </c>
      <c r="B165" s="853">
        <v>1605.59</v>
      </c>
      <c r="C165" s="1627">
        <v>5.2275</v>
      </c>
      <c r="D165" s="742"/>
      <c r="E165" s="742"/>
      <c r="F165" s="1608"/>
      <c r="G165" s="1608"/>
      <c r="H165" s="921"/>
      <c r="I165" s="921"/>
      <c r="J165" s="921"/>
      <c r="K165" s="921"/>
    </row>
    <row r="166" spans="1:11">
      <c r="A166" s="615" t="s">
        <v>6301</v>
      </c>
      <c r="B166" s="853">
        <v>303.19</v>
      </c>
      <c r="C166" s="1627">
        <v>1</v>
      </c>
      <c r="D166" s="742"/>
      <c r="E166" s="742"/>
      <c r="F166" s="1608"/>
      <c r="G166" s="1608"/>
      <c r="H166" s="921"/>
      <c r="I166" s="921"/>
      <c r="J166" s="921"/>
      <c r="K166" s="921"/>
    </row>
    <row r="167" spans="1:11">
      <c r="A167" s="615" t="s">
        <v>6302</v>
      </c>
      <c r="B167" s="853">
        <v>302.19</v>
      </c>
      <c r="C167" s="1627">
        <v>1.075</v>
      </c>
      <c r="D167" s="742"/>
      <c r="E167" s="742"/>
      <c r="F167" s="1608"/>
      <c r="G167" s="1608"/>
      <c r="H167" s="921"/>
      <c r="I167" s="921"/>
      <c r="J167" s="921"/>
      <c r="K167" s="921"/>
    </row>
    <row r="168" spans="1:11">
      <c r="A168" s="615" t="s">
        <v>6303</v>
      </c>
      <c r="B168" s="853">
        <v>303.29000000000002</v>
      </c>
      <c r="C168" s="1627">
        <v>1.5071428571428573</v>
      </c>
      <c r="D168" s="742"/>
      <c r="E168" s="742"/>
      <c r="F168" s="1608"/>
      <c r="G168" s="1608"/>
      <c r="H168" s="921"/>
      <c r="I168" s="921"/>
      <c r="J168" s="921"/>
      <c r="K168" s="921"/>
    </row>
    <row r="169" spans="1:11">
      <c r="A169" s="615" t="s">
        <v>8719</v>
      </c>
      <c r="B169" s="853">
        <v>1605.29</v>
      </c>
      <c r="C169" s="1627">
        <v>3.1970000000000001</v>
      </c>
      <c r="D169" s="742"/>
      <c r="E169" s="742"/>
      <c r="F169" s="1608"/>
      <c r="G169" s="1608"/>
      <c r="H169" s="921"/>
      <c r="I169" s="921"/>
      <c r="J169" s="921"/>
      <c r="K169" s="921"/>
    </row>
    <row r="170" spans="1:11">
      <c r="A170" s="615" t="s">
        <v>8699</v>
      </c>
      <c r="B170" s="853">
        <v>306.17</v>
      </c>
      <c r="C170" s="1627">
        <v>1.7983939393939394</v>
      </c>
      <c r="D170" s="742"/>
      <c r="E170" s="742"/>
      <c r="F170" s="1608"/>
      <c r="G170" s="1608"/>
      <c r="H170" s="921"/>
      <c r="I170" s="921"/>
      <c r="J170" s="921"/>
      <c r="K170" s="921"/>
    </row>
    <row r="171" spans="1:11">
      <c r="A171" s="615" t="s">
        <v>8700</v>
      </c>
      <c r="B171" s="853">
        <v>306.27</v>
      </c>
      <c r="C171" s="1627">
        <v>1.7983939393939394</v>
      </c>
      <c r="D171" s="742"/>
      <c r="E171" s="742"/>
      <c r="F171" s="1608"/>
      <c r="G171" s="1608"/>
      <c r="H171" s="921"/>
      <c r="I171" s="921"/>
      <c r="J171" s="921"/>
      <c r="K171" s="921"/>
    </row>
    <row r="172" spans="1:11">
      <c r="A172" s="615" t="s">
        <v>6304</v>
      </c>
      <c r="B172" s="853">
        <v>302.39</v>
      </c>
      <c r="C172" s="1627">
        <v>1.075</v>
      </c>
      <c r="D172" s="742"/>
      <c r="E172" s="742"/>
      <c r="F172" s="1608"/>
      <c r="G172" s="1608"/>
      <c r="H172" s="921"/>
      <c r="I172" s="921"/>
      <c r="J172" s="921"/>
      <c r="K172" s="921"/>
    </row>
    <row r="173" spans="1:11">
      <c r="A173" s="615" t="s">
        <v>6305</v>
      </c>
      <c r="B173" s="853">
        <v>303.49</v>
      </c>
      <c r="C173" s="1627">
        <v>1.5071428571428573</v>
      </c>
      <c r="D173" s="742"/>
      <c r="E173" s="742"/>
      <c r="F173" s="1608"/>
      <c r="G173" s="1608"/>
      <c r="H173" s="921"/>
      <c r="I173" s="921"/>
      <c r="J173" s="921"/>
      <c r="K173" s="921"/>
    </row>
    <row r="174" spans="1:11">
      <c r="A174" s="615" t="s">
        <v>6285</v>
      </c>
      <c r="B174" s="853"/>
      <c r="C174" s="1627"/>
      <c r="D174" s="742"/>
      <c r="E174" s="742"/>
      <c r="F174" s="1608"/>
      <c r="G174" s="1608"/>
      <c r="H174" s="921"/>
      <c r="I174" s="921"/>
      <c r="J174" s="921"/>
      <c r="K174" s="921"/>
    </row>
    <row r="175" spans="1:11">
      <c r="A175" s="615" t="s">
        <v>8701</v>
      </c>
      <c r="B175" s="853">
        <v>307.11</v>
      </c>
      <c r="C175" s="1627">
        <v>3.7138095238095241</v>
      </c>
      <c r="D175" s="742"/>
      <c r="E175" s="742"/>
      <c r="F175" s="1608"/>
      <c r="G175" s="1608"/>
      <c r="H175" s="921"/>
      <c r="I175" s="921"/>
      <c r="J175" s="921"/>
      <c r="K175" s="921"/>
    </row>
    <row r="176" spans="1:11">
      <c r="A176" s="615" t="s">
        <v>6306</v>
      </c>
      <c r="B176" s="853">
        <v>307.10000000000002</v>
      </c>
      <c r="C176" s="1627">
        <v>3.7138095238095241</v>
      </c>
      <c r="D176" s="742"/>
      <c r="E176" s="742"/>
      <c r="F176" s="1608"/>
      <c r="G176" s="1608"/>
      <c r="H176" s="921"/>
      <c r="I176" s="921"/>
      <c r="J176" s="921"/>
      <c r="K176" s="921"/>
    </row>
    <row r="177" spans="1:11">
      <c r="A177" s="615" t="s">
        <v>8702</v>
      </c>
      <c r="B177" s="853">
        <v>307.19</v>
      </c>
      <c r="C177" s="1627">
        <v>3.1970000000000001</v>
      </c>
      <c r="D177" s="742"/>
      <c r="E177" s="742"/>
      <c r="F177" s="1608"/>
      <c r="G177" s="1608"/>
      <c r="H177" s="921"/>
      <c r="I177" s="921"/>
      <c r="J177" s="921"/>
      <c r="K177" s="921"/>
    </row>
    <row r="178" spans="1:11">
      <c r="A178" s="615" t="s">
        <v>8723</v>
      </c>
      <c r="B178" s="853">
        <v>1605.51</v>
      </c>
      <c r="C178" s="1627">
        <v>3.1970000000000001</v>
      </c>
      <c r="D178" s="742"/>
      <c r="E178" s="742"/>
      <c r="F178" s="1608"/>
      <c r="G178" s="1608"/>
      <c r="H178" s="921"/>
      <c r="I178" s="921"/>
      <c r="J178" s="921"/>
      <c r="K178" s="921"/>
    </row>
    <row r="179" spans="1:11">
      <c r="A179" s="615" t="s">
        <v>8704</v>
      </c>
      <c r="B179" s="853">
        <v>302.13</v>
      </c>
      <c r="C179" s="1627">
        <v>1.2</v>
      </c>
      <c r="D179" s="742"/>
      <c r="E179" s="742"/>
      <c r="F179" s="1608"/>
      <c r="G179" s="1608"/>
      <c r="H179" s="921"/>
      <c r="I179" s="921"/>
      <c r="J179" s="921"/>
      <c r="K179" s="921"/>
    </row>
    <row r="180" spans="1:11">
      <c r="A180" s="615" t="s">
        <v>8619</v>
      </c>
      <c r="B180" s="853">
        <v>304.41000000000003</v>
      </c>
      <c r="C180" s="1627">
        <v>1.9677110566448803</v>
      </c>
      <c r="D180" s="742"/>
      <c r="E180" s="742"/>
      <c r="F180" s="1608"/>
      <c r="G180" s="1608"/>
      <c r="H180" s="921"/>
      <c r="I180" s="921"/>
      <c r="J180" s="921"/>
      <c r="K180" s="921"/>
    </row>
    <row r="181" spans="1:11">
      <c r="A181" s="615" t="s">
        <v>8640</v>
      </c>
      <c r="B181" s="853">
        <v>304.81</v>
      </c>
      <c r="C181" s="1627">
        <v>1.9677110566448803</v>
      </c>
      <c r="D181" s="742"/>
      <c r="E181" s="742"/>
      <c r="F181" s="1608"/>
      <c r="G181" s="1608"/>
      <c r="H181" s="921"/>
      <c r="I181" s="921"/>
      <c r="J181" s="921"/>
      <c r="K181" s="921"/>
    </row>
    <row r="182" spans="1:11">
      <c r="A182" s="615" t="s">
        <v>6307</v>
      </c>
      <c r="B182" s="853">
        <v>302.22000000000003</v>
      </c>
      <c r="C182" s="1627">
        <v>1.3453571428571429</v>
      </c>
      <c r="D182" s="742"/>
      <c r="E182" s="742"/>
      <c r="F182" s="1608"/>
      <c r="G182" s="1608"/>
      <c r="H182" s="921"/>
      <c r="I182" s="921"/>
      <c r="J182" s="921"/>
      <c r="K182" s="921"/>
    </row>
    <row r="183" spans="1:11">
      <c r="A183" s="615" t="s">
        <v>6308</v>
      </c>
      <c r="B183" s="853">
        <v>303.32</v>
      </c>
      <c r="C183" s="1627">
        <v>1.4422222222222223</v>
      </c>
      <c r="D183" s="742"/>
      <c r="E183" s="742"/>
      <c r="F183" s="1608"/>
      <c r="G183" s="1608"/>
      <c r="H183" s="921"/>
      <c r="I183" s="921"/>
      <c r="J183" s="921"/>
      <c r="K183" s="921"/>
    </row>
    <row r="184" spans="1:11">
      <c r="A184" s="615" t="s">
        <v>1912</v>
      </c>
      <c r="B184" s="853">
        <v>2309.9</v>
      </c>
      <c r="C184" s="1627">
        <v>3.7377777777777781</v>
      </c>
      <c r="D184" s="742"/>
      <c r="E184" s="742"/>
      <c r="F184" s="1608"/>
      <c r="G184" s="1608"/>
      <c r="H184" s="921"/>
      <c r="I184" s="921"/>
      <c r="J184" s="921"/>
      <c r="K184" s="921"/>
    </row>
    <row r="185" spans="1:11">
      <c r="A185" s="615" t="s">
        <v>1314</v>
      </c>
      <c r="B185" s="853">
        <v>1604.2</v>
      </c>
      <c r="C185" s="1627">
        <v>1.5</v>
      </c>
      <c r="D185" s="742"/>
      <c r="E185" s="742"/>
      <c r="F185" s="1608"/>
      <c r="G185" s="1608"/>
      <c r="H185" s="921"/>
      <c r="I185" s="921"/>
      <c r="J185" s="921"/>
      <c r="K185" s="921"/>
    </row>
    <row r="186" spans="1:11">
      <c r="A186" s="615" t="s">
        <v>6345</v>
      </c>
      <c r="B186" s="853"/>
      <c r="C186" s="1627"/>
      <c r="D186" s="742"/>
      <c r="E186" s="742"/>
      <c r="F186" s="1608"/>
      <c r="G186" s="1608"/>
      <c r="H186" s="921"/>
      <c r="I186" s="921"/>
      <c r="J186" s="921"/>
      <c r="K186" s="921"/>
    </row>
    <row r="187" spans="1:11">
      <c r="A187" s="615" t="s">
        <v>8673</v>
      </c>
      <c r="B187" s="853">
        <v>302.82</v>
      </c>
      <c r="C187" s="1627">
        <v>1.55</v>
      </c>
      <c r="D187" s="742"/>
      <c r="E187" s="742"/>
      <c r="F187" s="1608"/>
      <c r="G187" s="1608"/>
      <c r="H187" s="921"/>
      <c r="I187" s="921"/>
      <c r="J187" s="921"/>
      <c r="K187" s="921"/>
    </row>
    <row r="188" spans="1:11">
      <c r="A188" s="615" t="s">
        <v>8707</v>
      </c>
      <c r="B188" s="853">
        <v>303.82</v>
      </c>
      <c r="C188" s="1627">
        <v>1.81</v>
      </c>
      <c r="D188" s="742"/>
      <c r="E188" s="742"/>
      <c r="F188" s="1608"/>
      <c r="G188" s="1608"/>
      <c r="H188" s="921"/>
      <c r="I188" s="921"/>
      <c r="J188" s="921"/>
      <c r="K188" s="921"/>
    </row>
    <row r="189" spans="1:11">
      <c r="A189" s="615" t="s">
        <v>6309</v>
      </c>
      <c r="B189" s="853">
        <v>306.11</v>
      </c>
      <c r="C189" s="1627">
        <v>2.1536363636363633</v>
      </c>
      <c r="D189" s="742"/>
      <c r="E189" s="742"/>
      <c r="F189" s="1608"/>
      <c r="G189" s="1608"/>
      <c r="H189" s="921"/>
      <c r="I189" s="921"/>
      <c r="J189" s="921"/>
      <c r="K189" s="921"/>
    </row>
    <row r="190" spans="1:11">
      <c r="A190" s="615" t="s">
        <v>6342</v>
      </c>
      <c r="B190" s="853">
        <v>306.20999999999998</v>
      </c>
      <c r="C190" s="1627">
        <v>2.1536363636363633</v>
      </c>
      <c r="D190" s="742"/>
      <c r="E190" s="742"/>
      <c r="F190" s="1608"/>
      <c r="G190" s="1608"/>
      <c r="H190" s="921"/>
      <c r="I190" s="921"/>
      <c r="J190" s="921"/>
      <c r="K190" s="921"/>
    </row>
    <row r="191" spans="1:11">
      <c r="A191" s="615" t="s">
        <v>4075</v>
      </c>
      <c r="B191" s="853">
        <v>302.12</v>
      </c>
      <c r="C191" s="1627">
        <v>1.7086842105263156</v>
      </c>
      <c r="D191" s="742"/>
      <c r="E191" s="742"/>
      <c r="F191" s="1608"/>
      <c r="G191" s="1608"/>
      <c r="H191" s="921"/>
      <c r="I191" s="921"/>
      <c r="J191" s="921"/>
      <c r="K191" s="921"/>
    </row>
    <row r="192" spans="1:11">
      <c r="A192" s="615" t="s">
        <v>6310</v>
      </c>
      <c r="B192" s="853">
        <v>1604.11</v>
      </c>
      <c r="C192" s="1627">
        <v>1.1110344827586207</v>
      </c>
      <c r="D192" s="742"/>
      <c r="E192" s="742"/>
      <c r="F192" s="1608"/>
      <c r="G192" s="1608"/>
      <c r="H192" s="921"/>
      <c r="I192" s="921"/>
      <c r="J192" s="921"/>
      <c r="K192" s="921"/>
    </row>
    <row r="193" spans="1:11">
      <c r="A193" s="615" t="s">
        <v>8708</v>
      </c>
      <c r="B193" s="853">
        <v>304.52</v>
      </c>
      <c r="C193" s="1627">
        <v>2.2999999999999998</v>
      </c>
      <c r="D193" s="742"/>
      <c r="E193" s="742"/>
      <c r="F193" s="1608"/>
      <c r="G193" s="1608"/>
      <c r="H193" s="921"/>
      <c r="I193" s="921"/>
      <c r="J193" s="921"/>
      <c r="K193" s="921"/>
    </row>
    <row r="194" spans="1:11">
      <c r="A194" s="615" t="s">
        <v>6311</v>
      </c>
      <c r="B194" s="853">
        <v>305.41000000000003</v>
      </c>
      <c r="C194" s="1627">
        <v>2.2322222222222221</v>
      </c>
      <c r="D194" s="742"/>
      <c r="E194" s="742"/>
      <c r="F194" s="1608"/>
      <c r="G194" s="1608"/>
      <c r="H194" s="921"/>
      <c r="I194" s="921"/>
      <c r="J194" s="921"/>
      <c r="K194" s="921"/>
    </row>
    <row r="195" spans="1:11">
      <c r="A195" s="615" t="s">
        <v>6312</v>
      </c>
      <c r="B195" s="853">
        <v>1604.13</v>
      </c>
      <c r="C195" s="1627">
        <v>1.5566666666666666</v>
      </c>
      <c r="D195" s="742"/>
      <c r="E195" s="742"/>
      <c r="F195" s="1608"/>
      <c r="G195" s="1608"/>
      <c r="H195" s="921"/>
      <c r="I195" s="921"/>
      <c r="J195" s="921"/>
      <c r="K195" s="921"/>
    </row>
    <row r="196" spans="1:11">
      <c r="A196" s="615" t="s">
        <v>8709</v>
      </c>
      <c r="B196" s="853">
        <v>303.52999999999997</v>
      </c>
      <c r="C196" s="1627">
        <v>1.2327272727272727</v>
      </c>
      <c r="D196" s="742"/>
      <c r="E196" s="742"/>
      <c r="F196" s="1608"/>
      <c r="G196" s="1608"/>
      <c r="H196" s="921"/>
      <c r="I196" s="921"/>
      <c r="J196" s="921"/>
      <c r="K196" s="921"/>
    </row>
    <row r="197" spans="1:11">
      <c r="A197" s="615" t="s">
        <v>284</v>
      </c>
      <c r="B197" s="853">
        <v>302.61</v>
      </c>
      <c r="C197" s="1627">
        <v>1.1439999999999999</v>
      </c>
      <c r="D197" s="742"/>
      <c r="E197" s="742"/>
      <c r="F197" s="1608"/>
      <c r="G197" s="1608"/>
      <c r="H197" s="921"/>
      <c r="I197" s="921"/>
      <c r="J197" s="921"/>
      <c r="K197" s="921"/>
    </row>
    <row r="198" spans="1:11">
      <c r="A198" s="615" t="s">
        <v>6313</v>
      </c>
      <c r="B198" s="853">
        <v>303.70999999999998</v>
      </c>
      <c r="C198" s="1627">
        <v>1.2327272727272727</v>
      </c>
      <c r="D198" s="742"/>
      <c r="E198" s="742"/>
      <c r="F198" s="1608"/>
      <c r="G198" s="1608"/>
      <c r="H198" s="921"/>
      <c r="I198" s="921"/>
      <c r="J198" s="921"/>
      <c r="K198" s="921"/>
    </row>
    <row r="199" spans="1:11">
      <c r="A199" s="615" t="s">
        <v>6314</v>
      </c>
      <c r="B199" s="853">
        <v>2103.9</v>
      </c>
      <c r="C199" s="1627"/>
      <c r="D199" s="742"/>
      <c r="E199" s="742"/>
      <c r="F199" s="1608"/>
      <c r="G199" s="1608"/>
      <c r="H199" s="921"/>
      <c r="I199" s="921"/>
      <c r="J199" s="921"/>
      <c r="K199" s="921"/>
    </row>
    <row r="200" spans="1:11">
      <c r="A200" s="615" t="s">
        <v>6315</v>
      </c>
      <c r="B200" s="853">
        <v>307.20999999999998</v>
      </c>
      <c r="C200" s="1627">
        <v>3.0625</v>
      </c>
      <c r="D200" s="742"/>
      <c r="E200" s="742"/>
      <c r="F200" s="1608"/>
      <c r="G200" s="1608"/>
      <c r="H200" s="921"/>
      <c r="I200" s="921"/>
      <c r="J200" s="921"/>
      <c r="K200" s="921"/>
    </row>
    <row r="201" spans="1:11">
      <c r="A201" s="615" t="s">
        <v>6316</v>
      </c>
      <c r="B201" s="853">
        <v>307.29000000000002</v>
      </c>
      <c r="C201" s="1627">
        <v>7.3</v>
      </c>
      <c r="D201" s="742"/>
      <c r="E201" s="742"/>
      <c r="F201" s="1608"/>
      <c r="G201" s="1608"/>
      <c r="H201" s="921"/>
      <c r="I201" s="921"/>
      <c r="J201" s="921"/>
      <c r="K201" s="921"/>
    </row>
    <row r="202" spans="1:11">
      <c r="A202" s="615" t="s">
        <v>8710</v>
      </c>
      <c r="B202" s="853">
        <v>1605.52</v>
      </c>
      <c r="C202" s="1627">
        <v>7.3</v>
      </c>
      <c r="D202" s="742"/>
      <c r="E202" s="742"/>
      <c r="F202" s="1608"/>
      <c r="G202" s="1608"/>
      <c r="H202" s="921"/>
      <c r="I202" s="921"/>
      <c r="J202" s="921"/>
      <c r="K202" s="921"/>
    </row>
    <row r="203" spans="1:11">
      <c r="A203" s="615" t="s">
        <v>6317</v>
      </c>
      <c r="B203" s="853">
        <v>303.77</v>
      </c>
      <c r="C203" s="1627">
        <v>1.61625</v>
      </c>
      <c r="D203" s="742"/>
      <c r="E203" s="742"/>
      <c r="F203" s="1608"/>
      <c r="G203" s="1608"/>
      <c r="H203" s="921"/>
      <c r="I203" s="921"/>
      <c r="J203" s="921"/>
      <c r="K203" s="921"/>
    </row>
    <row r="204" spans="1:11">
      <c r="A204" s="615" t="s">
        <v>8675</v>
      </c>
      <c r="B204" s="853">
        <v>308.19</v>
      </c>
      <c r="C204" s="1627">
        <v>1.55</v>
      </c>
      <c r="D204" s="742"/>
      <c r="E204" s="742"/>
      <c r="F204" s="1608"/>
      <c r="G204" s="1608"/>
      <c r="H204" s="921"/>
      <c r="I204" s="921"/>
      <c r="J204" s="921"/>
      <c r="K204" s="921"/>
    </row>
    <row r="205" spans="1:11">
      <c r="A205" s="615" t="s">
        <v>8678</v>
      </c>
      <c r="B205" s="853">
        <v>308.11</v>
      </c>
      <c r="C205" s="1627">
        <v>1.55</v>
      </c>
      <c r="D205" s="742"/>
      <c r="E205" s="742"/>
      <c r="F205" s="1608"/>
      <c r="G205" s="1608"/>
      <c r="H205" s="921"/>
      <c r="I205" s="921"/>
      <c r="J205" s="921"/>
      <c r="K205" s="921"/>
    </row>
    <row r="206" spans="1:11">
      <c r="A206" s="615" t="s">
        <v>8727</v>
      </c>
      <c r="B206" s="853">
        <v>1605.61</v>
      </c>
      <c r="C206" s="1627">
        <v>3.1970000000000001</v>
      </c>
      <c r="D206" s="742"/>
      <c r="E206" s="742"/>
      <c r="F206" s="1608"/>
      <c r="G206" s="1608"/>
      <c r="H206" s="921"/>
      <c r="I206" s="921"/>
      <c r="J206" s="921"/>
      <c r="K206" s="921"/>
    </row>
    <row r="207" spans="1:11">
      <c r="A207" s="615" t="s">
        <v>8681</v>
      </c>
      <c r="B207" s="853">
        <v>308.29000000000002</v>
      </c>
      <c r="C207" s="1627">
        <v>1.55</v>
      </c>
      <c r="D207" s="742"/>
      <c r="E207" s="742"/>
      <c r="F207" s="1608"/>
      <c r="G207" s="1608"/>
      <c r="H207" s="921"/>
      <c r="I207" s="921"/>
      <c r="J207" s="921"/>
      <c r="K207" s="921"/>
    </row>
    <row r="208" spans="1:11">
      <c r="A208" s="615" t="s">
        <v>8682</v>
      </c>
      <c r="B208" s="853">
        <v>308.20999999999998</v>
      </c>
      <c r="C208" s="1627">
        <v>1.55</v>
      </c>
      <c r="D208" s="742"/>
      <c r="E208" s="742"/>
      <c r="F208" s="1608"/>
      <c r="G208" s="1608"/>
      <c r="H208" s="921"/>
      <c r="I208" s="921"/>
      <c r="J208" s="921"/>
      <c r="K208" s="921"/>
    </row>
    <row r="209" spans="1:11">
      <c r="A209" s="615" t="s">
        <v>8728</v>
      </c>
      <c r="B209" s="853">
        <v>1605.62</v>
      </c>
      <c r="C209" s="1627">
        <v>3.1970000000000001</v>
      </c>
      <c r="D209" s="742"/>
      <c r="E209" s="742"/>
      <c r="F209" s="1608"/>
      <c r="G209" s="1608"/>
      <c r="H209" s="921"/>
      <c r="I209" s="921"/>
      <c r="J209" s="921"/>
      <c r="K209" s="921"/>
    </row>
    <row r="210" spans="1:11">
      <c r="A210" s="615" t="s">
        <v>8683</v>
      </c>
      <c r="B210" s="853">
        <v>302.83999999999997</v>
      </c>
      <c r="C210" s="1627">
        <v>1.55</v>
      </c>
      <c r="D210" s="742"/>
      <c r="E210" s="742"/>
      <c r="F210" s="1608"/>
      <c r="G210" s="1608"/>
      <c r="H210" s="921"/>
      <c r="I210" s="921"/>
      <c r="J210" s="921"/>
      <c r="K210" s="921"/>
    </row>
    <row r="211" spans="1:11">
      <c r="A211" s="615" t="s">
        <v>8718</v>
      </c>
      <c r="B211" s="853">
        <v>303.83999999999997</v>
      </c>
      <c r="C211" s="1627">
        <v>1.61625</v>
      </c>
      <c r="D211" s="742"/>
      <c r="E211" s="742"/>
      <c r="F211" s="1608"/>
      <c r="G211" s="1608"/>
      <c r="H211" s="921"/>
      <c r="I211" s="921"/>
      <c r="J211" s="921"/>
      <c r="K211" s="921"/>
    </row>
    <row r="212" spans="1:11">
      <c r="A212" s="615" t="s">
        <v>8691</v>
      </c>
      <c r="B212" s="853">
        <v>302.85000000000002</v>
      </c>
      <c r="C212" s="1627">
        <v>1.55</v>
      </c>
      <c r="D212" s="742"/>
      <c r="E212" s="742"/>
      <c r="F212" s="1608"/>
      <c r="G212" s="1608"/>
      <c r="H212" s="921"/>
      <c r="I212" s="921"/>
      <c r="J212" s="921"/>
      <c r="K212" s="921"/>
    </row>
    <row r="213" spans="1:11">
      <c r="A213" s="615" t="s">
        <v>6318</v>
      </c>
      <c r="B213" s="853">
        <v>1212.2</v>
      </c>
      <c r="C213" s="1627">
        <v>7.1428571428571432</v>
      </c>
      <c r="D213" s="742"/>
      <c r="E213" s="742"/>
      <c r="F213" s="1608"/>
      <c r="G213" s="1608"/>
      <c r="H213" s="921"/>
      <c r="I213" s="921"/>
      <c r="J213" s="921"/>
      <c r="K213" s="921"/>
    </row>
    <row r="214" spans="1:11">
      <c r="A214" s="615" t="s">
        <v>8720</v>
      </c>
      <c r="B214" s="853">
        <v>1212.21</v>
      </c>
      <c r="C214" s="1627"/>
      <c r="D214" s="742"/>
      <c r="E214" s="742"/>
      <c r="F214" s="1608"/>
      <c r="G214" s="1608"/>
      <c r="H214" s="921"/>
      <c r="I214" s="921"/>
      <c r="J214" s="921"/>
      <c r="K214" s="921"/>
    </row>
    <row r="215" spans="1:11">
      <c r="A215" s="615" t="s">
        <v>8721</v>
      </c>
      <c r="B215" s="853">
        <v>1212.29</v>
      </c>
      <c r="C215" s="1627"/>
      <c r="D215" s="742"/>
      <c r="E215" s="742"/>
      <c r="F215" s="1608"/>
      <c r="G215" s="1608"/>
      <c r="H215" s="921"/>
      <c r="I215" s="921"/>
      <c r="J215" s="921"/>
      <c r="K215" s="921"/>
    </row>
    <row r="216" spans="1:11">
      <c r="A216" s="615" t="s">
        <v>8722</v>
      </c>
      <c r="B216" s="853">
        <v>305.70999999999998</v>
      </c>
      <c r="C216" s="1627"/>
      <c r="D216" s="742"/>
      <c r="E216" s="742"/>
      <c r="F216" s="1608"/>
      <c r="G216" s="1608"/>
      <c r="H216" s="921"/>
      <c r="I216" s="921"/>
      <c r="J216" s="921"/>
      <c r="K216" s="921"/>
    </row>
    <row r="217" spans="1:11">
      <c r="A217" s="615" t="s">
        <v>6319</v>
      </c>
      <c r="B217" s="853">
        <v>1605.2</v>
      </c>
      <c r="C217" s="1627">
        <v>2.9302272727272727</v>
      </c>
      <c r="D217" s="742"/>
      <c r="E217" s="742"/>
      <c r="F217" s="1608"/>
      <c r="G217" s="1608"/>
      <c r="H217" s="921"/>
      <c r="I217" s="921"/>
      <c r="J217" s="921"/>
      <c r="K217" s="921"/>
    </row>
    <row r="218" spans="1:11">
      <c r="A218" s="615" t="s">
        <v>8729</v>
      </c>
      <c r="B218" s="853">
        <v>1605.21</v>
      </c>
      <c r="C218" s="1627">
        <v>3.1970000000000001</v>
      </c>
      <c r="D218" s="742"/>
      <c r="E218" s="742"/>
      <c r="F218" s="1608"/>
      <c r="G218" s="1608"/>
      <c r="H218" s="921"/>
      <c r="I218" s="921"/>
      <c r="J218" s="921"/>
      <c r="K218" s="921"/>
    </row>
    <row r="219" spans="1:11">
      <c r="A219" s="615" t="s">
        <v>6320</v>
      </c>
      <c r="B219" s="853">
        <v>306.13</v>
      </c>
      <c r="C219" s="1627">
        <v>1.7983939393939394</v>
      </c>
      <c r="D219" s="742"/>
      <c r="E219" s="742"/>
      <c r="F219" s="1608"/>
      <c r="G219" s="1608"/>
      <c r="H219" s="921"/>
      <c r="I219" s="921"/>
      <c r="J219" s="921"/>
      <c r="K219" s="921"/>
    </row>
    <row r="220" spans="1:11">
      <c r="A220" s="615" t="s">
        <v>6343</v>
      </c>
      <c r="B220" s="853">
        <v>306.23</v>
      </c>
      <c r="C220" s="1627">
        <v>1.7983939393939394</v>
      </c>
      <c r="D220" s="742"/>
      <c r="E220" s="742"/>
      <c r="F220" s="1608"/>
      <c r="G220" s="1608"/>
      <c r="H220" s="921"/>
      <c r="I220" s="921"/>
      <c r="J220" s="921"/>
      <c r="K220" s="921"/>
    </row>
    <row r="221" spans="1:11">
      <c r="A221" s="615" t="s">
        <v>6321</v>
      </c>
      <c r="B221" s="853">
        <v>302.33</v>
      </c>
      <c r="C221" s="1627">
        <v>1.1359999999999999</v>
      </c>
      <c r="D221" s="742"/>
      <c r="E221" s="742"/>
      <c r="F221" s="1608"/>
      <c r="G221" s="1608"/>
      <c r="H221" s="921"/>
      <c r="I221" s="921"/>
      <c r="J221" s="921"/>
      <c r="K221" s="921"/>
    </row>
    <row r="222" spans="1:11">
      <c r="A222" s="615" t="s">
        <v>6322</v>
      </c>
      <c r="B222" s="853">
        <v>303.43</v>
      </c>
      <c r="C222" s="1627">
        <v>1.5371428571428574</v>
      </c>
      <c r="D222" s="742"/>
      <c r="E222" s="742"/>
      <c r="F222" s="1608"/>
      <c r="G222" s="1608"/>
      <c r="H222" s="921"/>
      <c r="I222" s="921"/>
      <c r="J222" s="921"/>
      <c r="K222" s="921"/>
    </row>
    <row r="223" spans="1:11">
      <c r="A223" s="615" t="s">
        <v>6323</v>
      </c>
      <c r="B223" s="853">
        <v>303.11</v>
      </c>
      <c r="C223" s="1627">
        <v>2.2322222222222221</v>
      </c>
      <c r="D223" s="742"/>
      <c r="E223" s="742"/>
      <c r="F223" s="1608"/>
      <c r="G223" s="1608"/>
      <c r="H223" s="921"/>
      <c r="I223" s="921"/>
      <c r="J223" s="921"/>
      <c r="K223" s="921"/>
    </row>
    <row r="224" spans="1:11">
      <c r="A224" s="615" t="s">
        <v>6324</v>
      </c>
      <c r="B224" s="853">
        <v>302.23</v>
      </c>
      <c r="C224" s="1627">
        <v>1.2265384615384614</v>
      </c>
      <c r="D224" s="742"/>
      <c r="E224" s="742"/>
      <c r="F224" s="1608"/>
      <c r="G224" s="1608"/>
      <c r="H224" s="921"/>
      <c r="I224" s="921"/>
      <c r="J224" s="921"/>
      <c r="K224" s="921"/>
    </row>
    <row r="225" spans="1:11">
      <c r="A225" s="615" t="s">
        <v>6325</v>
      </c>
      <c r="B225" s="853">
        <v>303.33</v>
      </c>
      <c r="C225" s="1627">
        <v>1.2250000000000001</v>
      </c>
      <c r="D225" s="742"/>
      <c r="E225" s="742"/>
      <c r="F225" s="1608"/>
      <c r="G225" s="1608"/>
      <c r="H225" s="921"/>
      <c r="I225" s="921"/>
      <c r="J225" s="921"/>
      <c r="K225" s="921"/>
    </row>
    <row r="226" spans="1:11">
      <c r="A226" s="615" t="s">
        <v>6326</v>
      </c>
      <c r="B226" s="853">
        <v>301.95</v>
      </c>
      <c r="C226" s="1627">
        <v>1.1759999999999999</v>
      </c>
      <c r="D226" s="742"/>
      <c r="E226" s="742"/>
      <c r="F226" s="1608"/>
      <c r="G226" s="1608"/>
      <c r="H226" s="921"/>
      <c r="I226" s="921"/>
      <c r="J226" s="921"/>
      <c r="K226" s="921"/>
    </row>
    <row r="227" spans="1:11">
      <c r="A227" s="615" t="s">
        <v>6327</v>
      </c>
      <c r="B227" s="853">
        <v>304.20999999999998</v>
      </c>
      <c r="C227" s="1627">
        <v>2.21</v>
      </c>
      <c r="D227" s="742"/>
      <c r="E227" s="742"/>
      <c r="F227" s="1608"/>
      <c r="G227" s="1608"/>
      <c r="H227" s="921"/>
      <c r="I227" s="921"/>
      <c r="J227" s="921"/>
      <c r="K227" s="921"/>
    </row>
    <row r="228" spans="1:11">
      <c r="A228" s="615" t="s">
        <v>6328</v>
      </c>
      <c r="B228" s="853">
        <v>304.11</v>
      </c>
      <c r="C228" s="1627">
        <v>2.21</v>
      </c>
      <c r="D228" s="742"/>
      <c r="E228" s="742"/>
      <c r="F228" s="1608"/>
      <c r="G228" s="1608"/>
      <c r="H228" s="921"/>
      <c r="I228" s="921"/>
      <c r="J228" s="921"/>
      <c r="K228" s="921"/>
    </row>
    <row r="229" spans="1:11">
      <c r="A229" s="615" t="s">
        <v>6329</v>
      </c>
      <c r="B229" s="853">
        <v>304.91000000000003</v>
      </c>
      <c r="C229" s="1627">
        <v>1.47</v>
      </c>
      <c r="D229" s="742"/>
      <c r="E229" s="742"/>
      <c r="F229" s="1608"/>
      <c r="G229" s="1608"/>
      <c r="H229" s="921"/>
      <c r="I229" s="921"/>
      <c r="J229" s="921"/>
      <c r="K229" s="921"/>
    </row>
    <row r="230" spans="1:11">
      <c r="A230" s="615" t="s">
        <v>8724</v>
      </c>
      <c r="B230" s="853">
        <v>304.54000000000002</v>
      </c>
      <c r="C230" s="1627">
        <v>2.21</v>
      </c>
      <c r="D230" s="742"/>
      <c r="E230" s="742"/>
      <c r="F230" s="1608"/>
      <c r="G230" s="1608"/>
      <c r="H230" s="921"/>
      <c r="I230" s="921"/>
      <c r="J230" s="921"/>
      <c r="K230" s="921"/>
    </row>
    <row r="231" spans="1:11">
      <c r="A231" s="615" t="s">
        <v>8725</v>
      </c>
      <c r="B231" s="853">
        <v>304.45</v>
      </c>
      <c r="C231" s="1627">
        <v>2.21</v>
      </c>
      <c r="D231" s="742"/>
      <c r="E231" s="742"/>
      <c r="F231" s="1608"/>
      <c r="G231" s="1608"/>
      <c r="H231" s="921"/>
      <c r="I231" s="921"/>
      <c r="J231" s="921"/>
      <c r="K231" s="921"/>
    </row>
    <row r="232" spans="1:11">
      <c r="A232" s="615" t="s">
        <v>8726</v>
      </c>
      <c r="B232" s="853">
        <v>304.83999999999997</v>
      </c>
      <c r="C232" s="1627">
        <v>2.21</v>
      </c>
      <c r="D232" s="742"/>
      <c r="E232" s="742"/>
      <c r="F232" s="1608"/>
      <c r="G232" s="1608"/>
      <c r="H232" s="921"/>
      <c r="I232" s="921"/>
      <c r="J232" s="921"/>
      <c r="K232" s="921"/>
    </row>
    <row r="233" spans="1:11">
      <c r="A233" s="615" t="s">
        <v>6330</v>
      </c>
      <c r="B233" s="853">
        <v>302.67</v>
      </c>
      <c r="C233" s="1627">
        <v>1.19</v>
      </c>
      <c r="D233" s="742"/>
      <c r="E233" s="742"/>
      <c r="F233" s="1608"/>
      <c r="G233" s="1608"/>
      <c r="H233" s="921"/>
      <c r="I233" s="921"/>
      <c r="J233" s="921"/>
      <c r="K233" s="921"/>
    </row>
    <row r="234" spans="1:11">
      <c r="A234" s="615" t="s">
        <v>6331</v>
      </c>
      <c r="B234" s="853">
        <v>303.61</v>
      </c>
      <c r="C234" s="1627">
        <v>1.4133333333333333</v>
      </c>
      <c r="D234" s="742"/>
      <c r="E234" s="742"/>
      <c r="F234" s="921"/>
      <c r="G234" s="921"/>
      <c r="H234" s="921"/>
    </row>
    <row r="235" spans="1:11">
      <c r="A235" s="615" t="s">
        <v>8631</v>
      </c>
      <c r="B235" s="853">
        <v>304.31</v>
      </c>
      <c r="C235" s="1627">
        <v>1.9677110566448803</v>
      </c>
      <c r="D235" s="742"/>
      <c r="E235" s="742"/>
      <c r="F235" s="921"/>
      <c r="G235" s="921"/>
      <c r="H235" s="921"/>
    </row>
    <row r="236" spans="1:11">
      <c r="A236" s="615" t="s">
        <v>8641</v>
      </c>
      <c r="B236" s="853">
        <v>304.61</v>
      </c>
      <c r="C236" s="1627">
        <v>1.9677110566448803</v>
      </c>
      <c r="D236" s="742"/>
      <c r="E236" s="742"/>
      <c r="F236" s="921"/>
      <c r="G236" s="921"/>
      <c r="H236" s="921"/>
    </row>
    <row r="237" spans="1:11">
      <c r="A237" s="615" t="s">
        <v>8695</v>
      </c>
      <c r="B237" s="853">
        <v>302.70999999999998</v>
      </c>
      <c r="C237" s="1627">
        <v>1.55</v>
      </c>
      <c r="D237" s="742"/>
      <c r="E237" s="742"/>
      <c r="F237" s="921"/>
      <c r="G237" s="921"/>
      <c r="H237" s="921"/>
    </row>
    <row r="238" spans="1:11">
      <c r="A238" s="615" t="s">
        <v>8711</v>
      </c>
      <c r="B238" s="853">
        <v>303.23</v>
      </c>
      <c r="C238" s="1627">
        <v>1.81</v>
      </c>
      <c r="D238" s="742"/>
      <c r="E238" s="742"/>
      <c r="F238" s="921"/>
      <c r="G238" s="921"/>
      <c r="H238" s="921"/>
    </row>
    <row r="239" spans="1:11">
      <c r="A239" s="615" t="s">
        <v>8712</v>
      </c>
      <c r="B239" s="853">
        <v>304.93</v>
      </c>
      <c r="C239" s="1627">
        <v>1.81</v>
      </c>
      <c r="D239" s="742"/>
      <c r="E239" s="742"/>
      <c r="F239" s="921"/>
      <c r="G239" s="921"/>
      <c r="H239" s="921"/>
    </row>
    <row r="240" spans="1:11">
      <c r="A240" s="615" t="s">
        <v>8732</v>
      </c>
      <c r="B240" s="853">
        <v>305.31</v>
      </c>
      <c r="C240" s="1627">
        <v>1.81</v>
      </c>
      <c r="D240" s="742"/>
      <c r="E240" s="742"/>
      <c r="F240" s="921"/>
      <c r="G240" s="921"/>
      <c r="H240" s="921"/>
    </row>
    <row r="241" spans="1:8">
      <c r="A241" s="615" t="s">
        <v>8733</v>
      </c>
      <c r="B241" s="853">
        <v>305.44</v>
      </c>
      <c r="C241" s="1627">
        <v>1.81</v>
      </c>
      <c r="D241" s="742"/>
      <c r="E241" s="742"/>
      <c r="F241" s="921"/>
      <c r="G241" s="921"/>
      <c r="H241" s="921"/>
    </row>
    <row r="242" spans="1:8">
      <c r="A242" s="615" t="s">
        <v>8734</v>
      </c>
      <c r="B242" s="853">
        <v>305.64</v>
      </c>
      <c r="C242" s="1627">
        <v>1.81</v>
      </c>
      <c r="D242" s="742"/>
      <c r="E242" s="742"/>
      <c r="F242" s="921"/>
      <c r="G242" s="921"/>
      <c r="H242" s="921"/>
    </row>
    <row r="243" spans="1:8">
      <c r="A243" s="615" t="s">
        <v>6332</v>
      </c>
      <c r="B243" s="853">
        <v>304.22000000000003</v>
      </c>
      <c r="C243" s="1627">
        <v>2.2000000000000002</v>
      </c>
      <c r="D243" s="742"/>
      <c r="E243" s="742"/>
      <c r="F243" s="921"/>
      <c r="G243" s="921"/>
      <c r="H243" s="921"/>
    </row>
    <row r="244" spans="1:8">
      <c r="A244" s="615" t="s">
        <v>6333</v>
      </c>
      <c r="B244" s="853">
        <v>304.12</v>
      </c>
      <c r="C244" s="1627">
        <v>2.7</v>
      </c>
      <c r="D244" s="742"/>
      <c r="E244" s="742"/>
      <c r="F244" s="921"/>
      <c r="G244" s="921"/>
      <c r="H244" s="921"/>
    </row>
    <row r="245" spans="1:8">
      <c r="A245" s="615" t="s">
        <v>6334</v>
      </c>
      <c r="B245" s="853">
        <v>304.92</v>
      </c>
      <c r="C245" s="1627">
        <v>1.6</v>
      </c>
      <c r="D245" s="742"/>
      <c r="E245" s="742"/>
      <c r="F245" s="921"/>
      <c r="G245" s="921"/>
      <c r="H245" s="921"/>
    </row>
    <row r="246" spans="1:8">
      <c r="A246" s="615" t="s">
        <v>8735</v>
      </c>
      <c r="B246" s="853">
        <v>302.83</v>
      </c>
      <c r="C246" s="1627">
        <v>1.57125</v>
      </c>
      <c r="D246" s="742"/>
      <c r="E246" s="742"/>
      <c r="F246" s="921"/>
      <c r="G246" s="921"/>
      <c r="H246" s="921"/>
    </row>
    <row r="247" spans="1:8">
      <c r="A247" s="615" t="s">
        <v>8736</v>
      </c>
      <c r="B247" s="853">
        <v>304.45999999999998</v>
      </c>
      <c r="C247" s="1627">
        <v>2.7</v>
      </c>
      <c r="D247" s="742"/>
      <c r="E247" s="742"/>
      <c r="F247" s="921"/>
      <c r="G247" s="921"/>
      <c r="H247" s="921"/>
    </row>
    <row r="248" spans="1:8">
      <c r="A248" s="615" t="s">
        <v>8737</v>
      </c>
      <c r="B248" s="853">
        <v>304.85000000000002</v>
      </c>
      <c r="C248" s="1627">
        <v>2.2000000000000002</v>
      </c>
      <c r="D248" s="742"/>
      <c r="E248" s="742"/>
      <c r="F248" s="921"/>
      <c r="G248" s="921"/>
      <c r="H248" s="921"/>
    </row>
    <row r="249" spans="1:8">
      <c r="A249" s="615" t="s">
        <v>1913</v>
      </c>
      <c r="B249" s="853">
        <v>302.68</v>
      </c>
      <c r="C249" s="1627">
        <v>1.2</v>
      </c>
      <c r="D249" s="742"/>
      <c r="E249" s="742"/>
      <c r="F249" s="921"/>
      <c r="G249" s="921"/>
      <c r="H249" s="921"/>
    </row>
    <row r="250" spans="1:8">
      <c r="A250" s="615" t="s">
        <v>1911</v>
      </c>
      <c r="B250" s="853">
        <v>303.62</v>
      </c>
      <c r="C250" s="1627">
        <v>1.35</v>
      </c>
      <c r="D250" s="742"/>
      <c r="E250" s="742"/>
      <c r="F250" s="921"/>
      <c r="G250" s="921"/>
      <c r="H250" s="921"/>
    </row>
    <row r="251" spans="1:8">
      <c r="A251" s="615" t="s">
        <v>8738</v>
      </c>
      <c r="B251" s="853">
        <v>304.55</v>
      </c>
      <c r="C251" s="1627">
        <v>2.7</v>
      </c>
      <c r="D251" s="742"/>
      <c r="E251" s="742"/>
      <c r="F251" s="921"/>
      <c r="G251" s="921"/>
      <c r="H251" s="921"/>
    </row>
    <row r="252" spans="1:8">
      <c r="A252" s="615" t="s">
        <v>6335</v>
      </c>
      <c r="B252" s="853">
        <v>302.11</v>
      </c>
      <c r="C252" s="1627">
        <v>1.57125</v>
      </c>
      <c r="D252" s="742"/>
      <c r="E252" s="742"/>
      <c r="F252" s="921"/>
      <c r="G252" s="921"/>
      <c r="H252" s="921"/>
    </row>
    <row r="253" spans="1:8">
      <c r="A253" s="615" t="s">
        <v>6336</v>
      </c>
      <c r="B253" s="853">
        <v>301.91000000000003</v>
      </c>
      <c r="C253" s="1627">
        <v>1.57125</v>
      </c>
      <c r="D253" s="742"/>
      <c r="E253" s="742"/>
      <c r="F253" s="921"/>
      <c r="G253" s="921"/>
      <c r="H253" s="921"/>
    </row>
    <row r="254" spans="1:8">
      <c r="A254" s="615" t="s">
        <v>8739</v>
      </c>
      <c r="B254" s="853">
        <v>304.42</v>
      </c>
      <c r="C254" s="1627">
        <v>1.57125</v>
      </c>
      <c r="D254" s="742"/>
      <c r="E254" s="742"/>
      <c r="F254" s="921"/>
      <c r="G254" s="921"/>
      <c r="H254" s="921"/>
    </row>
    <row r="255" spans="1:8">
      <c r="A255" s="615" t="s">
        <v>8740</v>
      </c>
      <c r="B255" s="853">
        <v>304.82</v>
      </c>
      <c r="C255" s="1627">
        <v>1.7086842105263156</v>
      </c>
      <c r="D255" s="742"/>
      <c r="E255" s="742"/>
      <c r="F255" s="921"/>
      <c r="G255" s="921"/>
      <c r="H255" s="921"/>
    </row>
    <row r="256" spans="1:8">
      <c r="A256" s="615" t="s">
        <v>6337</v>
      </c>
      <c r="B256" s="853">
        <v>303.20999999999998</v>
      </c>
      <c r="C256" s="1627">
        <v>1.7086842105263156</v>
      </c>
      <c r="D256" s="742"/>
      <c r="E256" s="742"/>
      <c r="F256" s="921"/>
      <c r="G256" s="921"/>
      <c r="H256" s="921"/>
    </row>
    <row r="257" spans="1:8">
      <c r="A257" s="615" t="s">
        <v>8741</v>
      </c>
      <c r="B257" s="853">
        <v>305.43</v>
      </c>
      <c r="C257" s="1627">
        <v>1.7086842105263156</v>
      </c>
      <c r="D257" s="742"/>
      <c r="E257" s="742"/>
      <c r="F257" s="921"/>
      <c r="G257" s="921"/>
      <c r="H257" s="921"/>
    </row>
    <row r="258" spans="1:8">
      <c r="A258" s="615" t="s">
        <v>6338</v>
      </c>
      <c r="B258" s="853">
        <v>1604.14</v>
      </c>
      <c r="C258" s="1627">
        <v>1.1110344827586207</v>
      </c>
      <c r="D258" s="742"/>
      <c r="E258" s="742"/>
      <c r="F258" s="921"/>
      <c r="G258" s="921"/>
      <c r="H258" s="921"/>
    </row>
    <row r="259" spans="1:8">
      <c r="A259" s="615" t="s">
        <v>8742</v>
      </c>
      <c r="B259" s="853">
        <v>304.87</v>
      </c>
      <c r="C259" s="1627">
        <v>2.0979999999999999</v>
      </c>
      <c r="D259" s="742"/>
      <c r="E259" s="742"/>
      <c r="F259" s="921"/>
      <c r="G259" s="921"/>
      <c r="H259" s="921"/>
    </row>
    <row r="260" spans="1:8">
      <c r="A260" s="615" t="s">
        <v>8743</v>
      </c>
      <c r="B260" s="853">
        <v>302.24</v>
      </c>
      <c r="C260" s="1627">
        <v>1</v>
      </c>
      <c r="D260" s="742"/>
      <c r="E260" s="742"/>
      <c r="F260" s="921"/>
      <c r="G260" s="921"/>
      <c r="H260" s="921"/>
    </row>
    <row r="261" spans="1:8">
      <c r="A261" s="615" t="s">
        <v>8744</v>
      </c>
      <c r="B261" s="853">
        <v>303.33999999999997</v>
      </c>
      <c r="C261" s="1627">
        <v>1.1100000000000001</v>
      </c>
      <c r="D261" s="742"/>
      <c r="E261" s="742"/>
      <c r="F261" s="921"/>
      <c r="G261" s="921"/>
      <c r="H261" s="921"/>
    </row>
    <row r="262" spans="1:8">
      <c r="A262" s="615" t="s">
        <v>6339</v>
      </c>
      <c r="B262" s="853">
        <v>302.32</v>
      </c>
      <c r="C262" s="1627">
        <v>1.9845833333333331</v>
      </c>
      <c r="D262" s="742"/>
      <c r="E262" s="742"/>
      <c r="F262" s="921"/>
      <c r="G262" s="921"/>
      <c r="H262" s="921"/>
    </row>
    <row r="263" spans="1:8">
      <c r="A263" s="28" t="s">
        <v>6340</v>
      </c>
      <c r="B263" s="717">
        <v>303.42</v>
      </c>
      <c r="C263" s="1628">
        <v>1.82</v>
      </c>
      <c r="D263" s="742"/>
      <c r="E263" s="742"/>
      <c r="F263" s="921"/>
      <c r="G263" s="921"/>
      <c r="H263" s="921"/>
    </row>
    <row r="264" spans="1:8">
      <c r="A264" s="921"/>
      <c r="B264" s="921"/>
      <c r="C264" s="742"/>
      <c r="D264" s="742"/>
      <c r="E264" s="742"/>
      <c r="F264" s="921"/>
      <c r="G264" s="921"/>
      <c r="H264" s="921"/>
    </row>
    <row r="265" spans="1:8">
      <c r="A265" s="921"/>
      <c r="B265" s="921"/>
      <c r="C265" s="742"/>
      <c r="D265" s="742"/>
      <c r="E265" s="742"/>
      <c r="F265" s="921"/>
      <c r="G265" s="921"/>
      <c r="H265" s="921"/>
    </row>
    <row r="266" spans="1:8">
      <c r="A266" s="921"/>
      <c r="B266" s="921"/>
      <c r="C266" s="742"/>
      <c r="D266" s="742"/>
      <c r="E266" s="742"/>
      <c r="F266" s="921"/>
      <c r="G266" s="921"/>
      <c r="H266" s="921"/>
    </row>
    <row r="267" spans="1:8">
      <c r="A267" s="921"/>
      <c r="B267" s="921"/>
      <c r="C267" s="742"/>
      <c r="D267" s="742"/>
      <c r="E267" s="742"/>
      <c r="F267" s="921"/>
      <c r="G267" s="921"/>
      <c r="H267" s="921"/>
    </row>
    <row r="268" spans="1:8">
      <c r="A268" s="921"/>
      <c r="B268" s="921"/>
      <c r="C268" s="742"/>
      <c r="D268" s="742"/>
      <c r="E268" s="742"/>
      <c r="F268" s="921"/>
      <c r="G268" s="921"/>
      <c r="H268" s="921"/>
    </row>
    <row r="269" spans="1:8">
      <c r="A269" s="921"/>
      <c r="B269" s="921"/>
      <c r="C269" s="742"/>
      <c r="D269" s="742"/>
      <c r="E269" s="742"/>
      <c r="F269" s="921"/>
      <c r="G269" s="921"/>
      <c r="H269" s="921"/>
    </row>
    <row r="270" spans="1:8">
      <c r="A270" s="921"/>
      <c r="B270" s="921"/>
      <c r="C270" s="742"/>
      <c r="D270" s="742"/>
      <c r="E270" s="742"/>
      <c r="F270" s="921"/>
      <c r="G270" s="921"/>
      <c r="H270" s="921"/>
    </row>
    <row r="271" spans="1:8">
      <c r="A271" s="921"/>
      <c r="B271" s="921"/>
      <c r="C271" s="921"/>
      <c r="D271" s="742"/>
      <c r="E271" s="742"/>
      <c r="F271" s="921"/>
      <c r="G271" s="921"/>
      <c r="H271" s="921"/>
    </row>
    <row r="272" spans="1:8">
      <c r="A272" s="921"/>
      <c r="B272" s="921"/>
      <c r="C272" s="921"/>
      <c r="D272" s="742"/>
      <c r="E272" s="742"/>
      <c r="F272" s="921"/>
      <c r="G272" s="921"/>
      <c r="H272" s="921"/>
    </row>
    <row r="273" spans="1:8">
      <c r="A273" s="921"/>
      <c r="B273" s="921"/>
      <c r="C273" s="921"/>
      <c r="D273" s="742"/>
      <c r="E273" s="742"/>
      <c r="F273" s="921"/>
      <c r="G273" s="921"/>
      <c r="H273" s="921"/>
    </row>
    <row r="274" spans="1:8">
      <c r="A274" s="921"/>
      <c r="B274" s="921"/>
      <c r="C274" s="921"/>
      <c r="D274" s="742"/>
      <c r="E274" s="742"/>
      <c r="F274" s="921"/>
      <c r="G274" s="921"/>
      <c r="H274" s="921"/>
    </row>
    <row r="275" spans="1:8">
      <c r="A275" s="921"/>
      <c r="B275" s="921"/>
      <c r="C275" s="921"/>
      <c r="D275" s="742"/>
      <c r="E275" s="742"/>
      <c r="F275" s="921"/>
      <c r="G275" s="921"/>
      <c r="H275" s="921"/>
    </row>
    <row r="276" spans="1:8">
      <c r="A276" s="921"/>
      <c r="B276" s="921"/>
      <c r="C276" s="921"/>
      <c r="D276" s="742"/>
      <c r="E276" s="742"/>
      <c r="F276" s="921"/>
      <c r="G276" s="921"/>
      <c r="H276" s="921"/>
    </row>
    <row r="277" spans="1:8">
      <c r="A277" s="921"/>
      <c r="B277" s="921"/>
      <c r="C277" s="921"/>
      <c r="D277" s="742"/>
      <c r="E277" s="742"/>
      <c r="F277" s="921"/>
      <c r="G277" s="921"/>
      <c r="H277" s="921"/>
    </row>
  </sheetData>
  <hyperlinks>
    <hyperlink ref="C3" location="fish_commodity_yield_n!A1" display="fish_commodity_yield_n"/>
    <hyperlink ref="D3" location="fish_feed_group_yield_w!A1" display="fish_feed_group_yield_w"/>
    <hyperlink ref="E3" location="fish_feed_group_yield_n!A1" display="fish_feed_group_yield_n"/>
  </hyperlinks>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6" enableFormatConditionsCalculation="0">
    <tabColor rgb="FF0000FF"/>
  </sheetPr>
  <dimension ref="A1:H2062"/>
  <sheetViews>
    <sheetView workbookViewId="0">
      <selection activeCell="A65536" sqref="A65536"/>
    </sheetView>
  </sheetViews>
  <sheetFormatPr baseColWidth="10" defaultColWidth="9.1640625" defaultRowHeight="12" x14ac:dyDescent="0"/>
  <cols>
    <col min="1" max="1" width="30.1640625" style="604" customWidth="1"/>
    <col min="2" max="2" width="31.33203125" style="604" customWidth="1"/>
    <col min="3" max="3" width="21.83203125" style="604" customWidth="1"/>
    <col min="4" max="4" width="16" style="604" customWidth="1"/>
    <col min="5" max="16384" width="9.1640625" style="604"/>
  </cols>
  <sheetData>
    <row r="1" spans="1:8" s="53" customFormat="1" ht="12.75" customHeight="1">
      <c r="B1" s="185"/>
      <c r="C1" s="185"/>
      <c r="D1" s="185"/>
      <c r="E1" s="185"/>
      <c r="F1" s="185"/>
      <c r="G1" s="602"/>
      <c r="H1" s="602"/>
    </row>
    <row r="2" spans="1:8" s="53" customFormat="1" ht="12.75" customHeight="1">
      <c r="C2" s="54" t="s">
        <v>1005</v>
      </c>
      <c r="D2" s="184" t="s">
        <v>1813</v>
      </c>
      <c r="E2" s="185"/>
      <c r="F2" s="185"/>
      <c r="G2" s="185"/>
      <c r="H2" s="601"/>
    </row>
    <row r="3" spans="1:8" s="53" customFormat="1" ht="12.75" customHeight="1">
      <c r="C3" s="605" t="s">
        <v>6357</v>
      </c>
      <c r="D3" s="1064" t="s">
        <v>5415</v>
      </c>
      <c r="E3" s="1064" t="s">
        <v>1835</v>
      </c>
      <c r="F3" s="1064" t="s">
        <v>1835</v>
      </c>
      <c r="G3" s="1064"/>
      <c r="H3" s="1064" t="s">
        <v>1836</v>
      </c>
    </row>
    <row r="4" spans="1:8" s="53" customFormat="1" ht="12.75" customHeight="1">
      <c r="G4" s="601"/>
      <c r="H4" s="603"/>
    </row>
    <row r="5" spans="1:8">
      <c r="A5" s="840" t="s">
        <v>6398</v>
      </c>
      <c r="B5" s="727" t="s">
        <v>5504</v>
      </c>
      <c r="C5" s="727" t="s">
        <v>6399</v>
      </c>
      <c r="D5" s="841" t="s">
        <v>2361</v>
      </c>
    </row>
    <row r="6" spans="1:8">
      <c r="A6" s="738" t="s">
        <v>548</v>
      </c>
      <c r="B6" s="738" t="s">
        <v>548</v>
      </c>
      <c r="C6" s="691" t="s">
        <v>548</v>
      </c>
      <c r="D6" s="1548" t="s">
        <v>548</v>
      </c>
      <c r="F6" s="606"/>
    </row>
    <row r="7" spans="1:8">
      <c r="A7" s="23" t="s">
        <v>5608</v>
      </c>
      <c r="B7" s="694" t="s">
        <v>2402</v>
      </c>
      <c r="C7" s="82">
        <v>10118</v>
      </c>
      <c r="D7" s="1593">
        <v>4.5</v>
      </c>
    </row>
    <row r="8" spans="1:8">
      <c r="A8" s="615" t="s">
        <v>3064</v>
      </c>
      <c r="B8" s="909" t="s">
        <v>2354</v>
      </c>
      <c r="C8" s="82">
        <v>2153</v>
      </c>
      <c r="D8" s="1594">
        <v>2.94</v>
      </c>
    </row>
    <row r="9" spans="1:8">
      <c r="A9" s="615" t="s">
        <v>4960</v>
      </c>
      <c r="B9" s="909" t="s">
        <v>2355</v>
      </c>
      <c r="C9" s="82">
        <v>2956</v>
      </c>
      <c r="D9" s="1594">
        <v>2.94</v>
      </c>
    </row>
    <row r="10" spans="1:8">
      <c r="A10" s="615" t="s">
        <v>3668</v>
      </c>
      <c r="B10" s="909" t="s">
        <v>4338</v>
      </c>
      <c r="C10" s="82">
        <v>3081</v>
      </c>
      <c r="D10" s="1594">
        <v>4.01</v>
      </c>
    </row>
    <row r="11" spans="1:8">
      <c r="A11" s="615" t="s">
        <v>3822</v>
      </c>
      <c r="B11" s="909" t="s">
        <v>2356</v>
      </c>
      <c r="C11" s="82">
        <v>10125</v>
      </c>
      <c r="D11" s="1594">
        <v>3</v>
      </c>
    </row>
    <row r="12" spans="1:8">
      <c r="A12" s="615" t="s">
        <v>3926</v>
      </c>
      <c r="B12" s="909" t="s">
        <v>4258</v>
      </c>
      <c r="C12" s="82">
        <v>3279</v>
      </c>
      <c r="D12" s="1594">
        <v>4.4000000000000004</v>
      </c>
    </row>
    <row r="13" spans="1:8">
      <c r="A13" s="615" t="s">
        <v>5429</v>
      </c>
      <c r="B13" s="909" t="s">
        <v>3758</v>
      </c>
      <c r="C13" s="82">
        <v>2398</v>
      </c>
      <c r="D13" s="1594">
        <v>3.48</v>
      </c>
    </row>
    <row r="14" spans="1:8">
      <c r="A14" s="615" t="s">
        <v>4780</v>
      </c>
      <c r="B14" s="909" t="s">
        <v>3577</v>
      </c>
      <c r="C14" s="82">
        <v>18786</v>
      </c>
      <c r="D14" s="1594">
        <v>3.39</v>
      </c>
    </row>
    <row r="15" spans="1:8">
      <c r="A15" s="615" t="s">
        <v>5239</v>
      </c>
      <c r="B15" s="909" t="s">
        <v>3578</v>
      </c>
      <c r="C15" s="82">
        <v>3203</v>
      </c>
      <c r="D15" s="1594">
        <v>3.15</v>
      </c>
    </row>
    <row r="16" spans="1:8">
      <c r="A16" s="615" t="s">
        <v>4470</v>
      </c>
      <c r="B16" s="909" t="s">
        <v>3579</v>
      </c>
      <c r="C16" s="82">
        <v>3202</v>
      </c>
      <c r="D16" s="1594">
        <v>3.24</v>
      </c>
    </row>
    <row r="17" spans="1:4">
      <c r="A17" s="615" t="s">
        <v>174</v>
      </c>
      <c r="B17" s="909" t="s">
        <v>3580</v>
      </c>
      <c r="C17" s="82">
        <v>3264</v>
      </c>
      <c r="D17" s="1594">
        <v>2.23</v>
      </c>
    </row>
    <row r="18" spans="1:4">
      <c r="A18" s="615" t="s">
        <v>706</v>
      </c>
      <c r="B18" s="909" t="s">
        <v>3581</v>
      </c>
      <c r="C18" s="82">
        <v>18959</v>
      </c>
      <c r="D18" s="1594">
        <v>2</v>
      </c>
    </row>
    <row r="19" spans="1:4">
      <c r="A19" s="615" t="s">
        <v>556</v>
      </c>
      <c r="B19" s="909" t="s">
        <v>557</v>
      </c>
      <c r="C19" s="82">
        <v>16643</v>
      </c>
      <c r="D19" s="1594">
        <v>3.3182763159269002</v>
      </c>
    </row>
    <row r="20" spans="1:4">
      <c r="A20" s="615" t="s">
        <v>1553</v>
      </c>
      <c r="B20" s="909" t="s">
        <v>3961</v>
      </c>
      <c r="C20" s="82">
        <v>3428</v>
      </c>
      <c r="D20" s="1594">
        <v>2.7</v>
      </c>
    </row>
    <row r="21" spans="1:4">
      <c r="A21" s="615" t="s">
        <v>4587</v>
      </c>
      <c r="B21" s="909" t="s">
        <v>4550</v>
      </c>
      <c r="C21" s="82">
        <v>2877</v>
      </c>
      <c r="D21" s="1594">
        <v>3.11</v>
      </c>
    </row>
    <row r="22" spans="1:4">
      <c r="A22" s="615" t="s">
        <v>1415</v>
      </c>
      <c r="B22" s="909" t="s">
        <v>4551</v>
      </c>
      <c r="C22" s="82">
        <v>10180</v>
      </c>
      <c r="D22" s="1594">
        <v>3.25</v>
      </c>
    </row>
    <row r="23" spans="1:4">
      <c r="A23" s="615" t="s">
        <v>1971</v>
      </c>
      <c r="B23" s="909" t="s">
        <v>1972</v>
      </c>
      <c r="C23" s="82">
        <v>10184</v>
      </c>
      <c r="D23" s="1594">
        <v>3.33</v>
      </c>
    </row>
    <row r="24" spans="1:4">
      <c r="A24" s="615" t="s">
        <v>3448</v>
      </c>
      <c r="B24" s="909" t="s">
        <v>4552</v>
      </c>
      <c r="C24" s="82">
        <v>2070</v>
      </c>
      <c r="D24" s="1594">
        <v>3.6</v>
      </c>
    </row>
    <row r="25" spans="1:4">
      <c r="A25" s="615" t="s">
        <v>1067</v>
      </c>
      <c r="B25" s="909" t="s">
        <v>933</v>
      </c>
      <c r="C25" s="82">
        <v>2071</v>
      </c>
      <c r="D25" s="1594">
        <v>3.1</v>
      </c>
    </row>
    <row r="26" spans="1:4">
      <c r="A26" s="615" t="s">
        <v>2757</v>
      </c>
      <c r="B26" s="909" t="s">
        <v>1127</v>
      </c>
      <c r="C26" s="82">
        <v>2878</v>
      </c>
      <c r="D26" s="1594">
        <v>3.22</v>
      </c>
    </row>
    <row r="27" spans="1:4">
      <c r="A27" s="615" t="s">
        <v>3355</v>
      </c>
      <c r="B27" s="909" t="s">
        <v>1128</v>
      </c>
      <c r="C27" s="82">
        <v>2069</v>
      </c>
      <c r="D27" s="1594">
        <v>3.41</v>
      </c>
    </row>
    <row r="28" spans="1:4">
      <c r="A28" s="615" t="s">
        <v>1767</v>
      </c>
      <c r="B28" s="909" t="s">
        <v>3236</v>
      </c>
      <c r="C28" s="82">
        <v>18775</v>
      </c>
      <c r="D28" s="1594">
        <v>2.299900546274809</v>
      </c>
    </row>
    <row r="29" spans="1:4">
      <c r="A29" s="615" t="s">
        <v>4355</v>
      </c>
      <c r="B29" s="853" t="s">
        <v>6619</v>
      </c>
      <c r="C29" s="82">
        <v>2422</v>
      </c>
      <c r="D29" s="1594">
        <v>2</v>
      </c>
    </row>
    <row r="30" spans="1:4">
      <c r="A30" s="615" t="s">
        <v>4930</v>
      </c>
      <c r="B30" s="909" t="s">
        <v>292</v>
      </c>
      <c r="C30" s="82">
        <v>3523</v>
      </c>
      <c r="D30" s="1594">
        <v>2.1</v>
      </c>
    </row>
    <row r="31" spans="1:4">
      <c r="A31" s="615" t="s">
        <v>2665</v>
      </c>
      <c r="B31" s="909" t="s">
        <v>661</v>
      </c>
      <c r="C31" s="82">
        <v>10211</v>
      </c>
      <c r="D31" s="1594">
        <v>4.2</v>
      </c>
    </row>
    <row r="32" spans="1:4">
      <c r="A32" s="615" t="s">
        <v>6405</v>
      </c>
      <c r="B32" s="853" t="s">
        <v>6404</v>
      </c>
      <c r="C32" s="82">
        <v>19631</v>
      </c>
      <c r="D32" s="1594">
        <v>3.7</v>
      </c>
    </row>
    <row r="33" spans="1:4">
      <c r="A33" s="919" t="s">
        <v>8476</v>
      </c>
      <c r="B33" s="918" t="s">
        <v>8477</v>
      </c>
      <c r="C33" s="82">
        <v>6812</v>
      </c>
      <c r="D33" s="1594">
        <v>4</v>
      </c>
    </row>
    <row r="34" spans="1:4">
      <c r="A34" s="615" t="s">
        <v>890</v>
      </c>
      <c r="B34" s="909" t="s">
        <v>662</v>
      </c>
      <c r="C34" s="82">
        <v>18787</v>
      </c>
      <c r="D34" s="1594">
        <v>3.44</v>
      </c>
    </row>
    <row r="35" spans="1:4">
      <c r="A35" s="615" t="s">
        <v>125</v>
      </c>
      <c r="B35" s="909" t="s">
        <v>663</v>
      </c>
      <c r="C35" s="82">
        <v>2076</v>
      </c>
      <c r="D35" s="1594">
        <v>3.67</v>
      </c>
    </row>
    <row r="36" spans="1:4">
      <c r="A36" s="615" t="s">
        <v>4305</v>
      </c>
      <c r="B36" s="909" t="s">
        <v>2357</v>
      </c>
      <c r="C36" s="82">
        <v>2155</v>
      </c>
      <c r="D36" s="1594">
        <v>3.01</v>
      </c>
    </row>
    <row r="37" spans="1:4">
      <c r="A37" s="615" t="s">
        <v>2848</v>
      </c>
      <c r="B37" s="909" t="s">
        <v>2846</v>
      </c>
      <c r="C37" s="82">
        <v>3121</v>
      </c>
      <c r="D37" s="1594">
        <v>3.6</v>
      </c>
    </row>
    <row r="38" spans="1:4">
      <c r="A38" s="919" t="s">
        <v>8478</v>
      </c>
      <c r="B38" s="918" t="s">
        <v>8479</v>
      </c>
      <c r="C38" s="82">
        <v>10264</v>
      </c>
      <c r="D38" s="1594">
        <v>4</v>
      </c>
    </row>
    <row r="39" spans="1:4">
      <c r="A39" s="615" t="s">
        <v>3866</v>
      </c>
      <c r="B39" s="909" t="s">
        <v>2847</v>
      </c>
      <c r="C39" s="82">
        <v>10268</v>
      </c>
      <c r="D39" s="1594">
        <v>3.32</v>
      </c>
    </row>
    <row r="40" spans="1:4">
      <c r="A40" s="615" t="s">
        <v>6680</v>
      </c>
      <c r="B40" s="853" t="s">
        <v>6679</v>
      </c>
      <c r="C40" s="82">
        <v>10272</v>
      </c>
      <c r="D40" s="1594">
        <v>4.0999999999999996</v>
      </c>
    </row>
    <row r="41" spans="1:4">
      <c r="A41" s="615" t="s">
        <v>4128</v>
      </c>
      <c r="B41" s="909" t="s">
        <v>2304</v>
      </c>
      <c r="C41" s="82">
        <v>2923</v>
      </c>
      <c r="D41" s="1594">
        <v>3.69</v>
      </c>
    </row>
    <row r="42" spans="1:4">
      <c r="A42" s="615" t="s">
        <v>5688</v>
      </c>
      <c r="B42" s="909" t="s">
        <v>5689</v>
      </c>
      <c r="C42" s="82">
        <v>2111</v>
      </c>
      <c r="D42" s="1594">
        <v>3.45</v>
      </c>
    </row>
    <row r="43" spans="1:4">
      <c r="A43" s="615" t="s">
        <v>6414</v>
      </c>
      <c r="B43" s="853" t="s">
        <v>6413</v>
      </c>
      <c r="C43" s="82">
        <v>10276</v>
      </c>
      <c r="D43" s="1594">
        <v>2</v>
      </c>
    </row>
    <row r="44" spans="1:4">
      <c r="A44" s="919" t="s">
        <v>8480</v>
      </c>
      <c r="B44" s="918" t="s">
        <v>8481</v>
      </c>
      <c r="C44" s="82">
        <v>20410</v>
      </c>
      <c r="D44" s="1594">
        <v>2.83</v>
      </c>
    </row>
    <row r="45" spans="1:4">
      <c r="A45" s="615" t="s">
        <v>4015</v>
      </c>
      <c r="B45" s="909" t="s">
        <v>4016</v>
      </c>
      <c r="C45" s="82">
        <v>3643</v>
      </c>
      <c r="D45" s="1594">
        <v>1</v>
      </c>
    </row>
    <row r="46" spans="1:4">
      <c r="A46" s="615" t="s">
        <v>5698</v>
      </c>
      <c r="B46" s="909" t="s">
        <v>5698</v>
      </c>
      <c r="C46" s="82"/>
      <c r="D46" s="1594">
        <v>4.22</v>
      </c>
    </row>
    <row r="47" spans="1:4">
      <c r="A47" s="615" t="s">
        <v>5002</v>
      </c>
      <c r="B47" s="909" t="s">
        <v>2305</v>
      </c>
      <c r="C47" s="82">
        <v>2253</v>
      </c>
      <c r="D47" s="1594">
        <v>3.38</v>
      </c>
    </row>
    <row r="48" spans="1:4">
      <c r="A48" s="615" t="s">
        <v>6936</v>
      </c>
      <c r="B48" s="853" t="s">
        <v>6935</v>
      </c>
      <c r="C48" s="82">
        <v>2254</v>
      </c>
      <c r="D48" s="1594">
        <v>2</v>
      </c>
    </row>
    <row r="49" spans="1:4">
      <c r="A49" s="615" t="s">
        <v>4027</v>
      </c>
      <c r="B49" s="909" t="s">
        <v>4028</v>
      </c>
      <c r="C49" s="82">
        <v>3299</v>
      </c>
      <c r="D49" s="1594">
        <v>3.74</v>
      </c>
    </row>
    <row r="50" spans="1:4">
      <c r="A50" s="615" t="s">
        <v>1657</v>
      </c>
      <c r="B50" s="909" t="s">
        <v>1658</v>
      </c>
      <c r="C50" s="82">
        <v>2009</v>
      </c>
      <c r="D50" s="1594">
        <v>4.5</v>
      </c>
    </row>
    <row r="51" spans="1:4">
      <c r="A51" s="615" t="s">
        <v>988</v>
      </c>
      <c r="B51" s="909" t="s">
        <v>4205</v>
      </c>
      <c r="C51" s="82">
        <v>2007</v>
      </c>
      <c r="D51" s="1594">
        <v>4.5</v>
      </c>
    </row>
    <row r="52" spans="1:4">
      <c r="A52" s="615" t="s">
        <v>2697</v>
      </c>
      <c r="B52" s="909" t="s">
        <v>4206</v>
      </c>
      <c r="C52" s="82">
        <v>2795</v>
      </c>
      <c r="D52" s="1594">
        <v>4.5</v>
      </c>
    </row>
    <row r="53" spans="1:4">
      <c r="A53" s="615" t="s">
        <v>3073</v>
      </c>
      <c r="B53" s="909" t="s">
        <v>4207</v>
      </c>
      <c r="C53" s="82">
        <v>2008</v>
      </c>
      <c r="D53" s="1594">
        <v>4.5</v>
      </c>
    </row>
    <row r="54" spans="1:4">
      <c r="A54" s="615" t="s">
        <v>309</v>
      </c>
      <c r="B54" s="909" t="s">
        <v>79</v>
      </c>
      <c r="C54" s="82">
        <v>2082</v>
      </c>
      <c r="D54" s="1594">
        <v>3.6</v>
      </c>
    </row>
    <row r="55" spans="1:4">
      <c r="A55" s="615" t="s">
        <v>2179</v>
      </c>
      <c r="B55" s="909" t="s">
        <v>80</v>
      </c>
      <c r="C55" s="82">
        <v>2890</v>
      </c>
      <c r="D55" s="1594">
        <v>3.62</v>
      </c>
    </row>
    <row r="56" spans="1:4">
      <c r="A56" s="615" t="s">
        <v>3075</v>
      </c>
      <c r="B56" s="909" t="s">
        <v>81</v>
      </c>
      <c r="C56" s="82">
        <v>2080</v>
      </c>
      <c r="D56" s="1594">
        <v>3.59</v>
      </c>
    </row>
    <row r="57" spans="1:4">
      <c r="A57" s="615" t="s">
        <v>2364</v>
      </c>
      <c r="B57" s="909" t="s">
        <v>82</v>
      </c>
      <c r="C57" s="82">
        <v>2083</v>
      </c>
      <c r="D57" s="1594">
        <v>4.21</v>
      </c>
    </row>
    <row r="58" spans="1:4">
      <c r="A58" s="615" t="s">
        <v>3458</v>
      </c>
      <c r="B58" s="909" t="s">
        <v>5373</v>
      </c>
      <c r="C58" s="82">
        <v>2079</v>
      </c>
      <c r="D58" s="1594">
        <v>3.93</v>
      </c>
    </row>
    <row r="59" spans="1:4">
      <c r="A59" s="615" t="s">
        <v>4572</v>
      </c>
      <c r="B59" s="909" t="s">
        <v>5374</v>
      </c>
      <c r="C59" s="82">
        <v>2081</v>
      </c>
      <c r="D59" s="1594">
        <v>3.51</v>
      </c>
    </row>
    <row r="60" spans="1:4">
      <c r="A60" s="615" t="s">
        <v>4573</v>
      </c>
      <c r="B60" s="909" t="s">
        <v>5375</v>
      </c>
      <c r="C60" s="82">
        <v>2889</v>
      </c>
      <c r="D60" s="1594">
        <v>3.46</v>
      </c>
    </row>
    <row r="61" spans="1:4">
      <c r="A61" s="615" t="s">
        <v>3836</v>
      </c>
      <c r="B61" s="909" t="s">
        <v>5376</v>
      </c>
      <c r="C61" s="82">
        <v>2887</v>
      </c>
      <c r="D61" s="1594">
        <v>3.72</v>
      </c>
    </row>
    <row r="62" spans="1:4">
      <c r="A62" s="615" t="s">
        <v>2101</v>
      </c>
      <c r="B62" s="909" t="s">
        <v>664</v>
      </c>
      <c r="C62" s="82">
        <v>18636</v>
      </c>
      <c r="D62" s="1594">
        <v>3.55</v>
      </c>
    </row>
    <row r="63" spans="1:4">
      <c r="A63" s="615" t="s">
        <v>5396</v>
      </c>
      <c r="B63" s="909" t="s">
        <v>856</v>
      </c>
      <c r="C63" s="82">
        <v>10324</v>
      </c>
      <c r="D63" s="1594">
        <v>3.3</v>
      </c>
    </row>
    <row r="64" spans="1:4">
      <c r="A64" s="615" t="s">
        <v>3172</v>
      </c>
      <c r="B64" s="909" t="s">
        <v>528</v>
      </c>
      <c r="C64" s="82">
        <v>2191</v>
      </c>
      <c r="D64" s="1594">
        <v>3.42</v>
      </c>
    </row>
    <row r="65" spans="1:4">
      <c r="A65" s="615" t="s">
        <v>6485</v>
      </c>
      <c r="B65" s="853" t="s">
        <v>6484</v>
      </c>
      <c r="C65" s="82">
        <v>10338</v>
      </c>
      <c r="D65" s="1594">
        <v>2</v>
      </c>
    </row>
    <row r="66" spans="1:4">
      <c r="A66" s="615" t="s">
        <v>511</v>
      </c>
      <c r="B66" s="909" t="s">
        <v>665</v>
      </c>
      <c r="C66" s="82">
        <v>3261</v>
      </c>
      <c r="D66" s="1594">
        <v>3.1</v>
      </c>
    </row>
    <row r="67" spans="1:4">
      <c r="A67" s="615" t="s">
        <v>829</v>
      </c>
      <c r="B67" s="909" t="s">
        <v>666</v>
      </c>
      <c r="C67" s="82">
        <v>3260</v>
      </c>
      <c r="D67" s="1594">
        <v>3.1</v>
      </c>
    </row>
    <row r="68" spans="1:4">
      <c r="A68" s="615" t="s">
        <v>6481</v>
      </c>
      <c r="B68" s="853" t="s">
        <v>6480</v>
      </c>
      <c r="C68" s="82">
        <v>10348</v>
      </c>
      <c r="D68" s="1594">
        <v>2</v>
      </c>
    </row>
    <row r="69" spans="1:4">
      <c r="A69" s="615" t="s">
        <v>3905</v>
      </c>
      <c r="B69" s="909" t="s">
        <v>529</v>
      </c>
      <c r="C69" s="82">
        <v>3315</v>
      </c>
      <c r="D69" s="1594">
        <v>2.73</v>
      </c>
    </row>
    <row r="70" spans="1:4">
      <c r="A70" s="615" t="s">
        <v>5018</v>
      </c>
      <c r="B70" s="909" t="s">
        <v>2758</v>
      </c>
      <c r="C70" s="82">
        <v>3503</v>
      </c>
      <c r="D70" s="1594">
        <v>2.1</v>
      </c>
    </row>
    <row r="71" spans="1:4">
      <c r="A71" s="615" t="s">
        <v>3664</v>
      </c>
      <c r="B71" s="909" t="s">
        <v>2759</v>
      </c>
      <c r="C71" s="82">
        <v>18998</v>
      </c>
      <c r="D71" s="1594">
        <v>2.0617598316454031</v>
      </c>
    </row>
    <row r="72" spans="1:4">
      <c r="A72" s="615" t="s">
        <v>3288</v>
      </c>
      <c r="B72" s="909" t="s">
        <v>4700</v>
      </c>
      <c r="C72" s="82">
        <v>2663</v>
      </c>
      <c r="D72" s="1594">
        <v>2.1</v>
      </c>
    </row>
    <row r="73" spans="1:4">
      <c r="A73" s="615" t="s">
        <v>2063</v>
      </c>
      <c r="B73" s="909" t="s">
        <v>2064</v>
      </c>
      <c r="C73" s="82">
        <v>3253</v>
      </c>
      <c r="D73" s="1594">
        <v>3.75</v>
      </c>
    </row>
    <row r="74" spans="1:4">
      <c r="A74" s="615" t="s">
        <v>1549</v>
      </c>
      <c r="B74" s="909" t="s">
        <v>2306</v>
      </c>
      <c r="C74" s="82">
        <v>2456</v>
      </c>
      <c r="D74" s="1594">
        <v>3.24</v>
      </c>
    </row>
    <row r="75" spans="1:4">
      <c r="A75" s="615" t="s">
        <v>1551</v>
      </c>
      <c r="B75" s="909" t="s">
        <v>2307</v>
      </c>
      <c r="C75" s="82">
        <v>2457</v>
      </c>
      <c r="D75" s="1594">
        <v>3.45</v>
      </c>
    </row>
    <row r="76" spans="1:4">
      <c r="A76" s="615" t="s">
        <v>2751</v>
      </c>
      <c r="B76" s="909" t="s">
        <v>2308</v>
      </c>
      <c r="C76" s="82">
        <v>3252</v>
      </c>
      <c r="D76" s="1594">
        <v>3.48</v>
      </c>
    </row>
    <row r="77" spans="1:4">
      <c r="A77" s="615" t="s">
        <v>5434</v>
      </c>
      <c r="B77" s="909" t="s">
        <v>3924</v>
      </c>
      <c r="C77" s="82">
        <v>2918</v>
      </c>
      <c r="D77" s="1594">
        <v>3.33</v>
      </c>
    </row>
    <row r="78" spans="1:4">
      <c r="A78" s="615" t="s">
        <v>6704</v>
      </c>
      <c r="B78" s="853" t="s">
        <v>6703</v>
      </c>
      <c r="C78" s="82">
        <v>10382</v>
      </c>
      <c r="D78" s="1594">
        <v>2</v>
      </c>
    </row>
    <row r="79" spans="1:4">
      <c r="A79" s="615" t="s">
        <v>2375</v>
      </c>
      <c r="B79" s="909" t="s">
        <v>2376</v>
      </c>
      <c r="C79" s="82">
        <v>10383</v>
      </c>
      <c r="D79" s="1594">
        <v>3.4</v>
      </c>
    </row>
    <row r="80" spans="1:4">
      <c r="A80" s="615" t="s">
        <v>2675</v>
      </c>
      <c r="B80" s="909" t="s">
        <v>1131</v>
      </c>
      <c r="C80" s="82">
        <v>2203</v>
      </c>
      <c r="D80" s="1594">
        <v>3.53</v>
      </c>
    </row>
    <row r="81" spans="1:4">
      <c r="A81" s="615" t="s">
        <v>724</v>
      </c>
      <c r="B81" s="909" t="s">
        <v>4553</v>
      </c>
      <c r="C81" s="82">
        <v>2204</v>
      </c>
      <c r="D81" s="1594">
        <v>4.07</v>
      </c>
    </row>
    <row r="82" spans="1:4">
      <c r="A82" s="615" t="s">
        <v>919</v>
      </c>
      <c r="B82" s="909" t="s">
        <v>4554</v>
      </c>
      <c r="C82" s="82">
        <v>2988</v>
      </c>
      <c r="D82" s="1594">
        <v>3.55</v>
      </c>
    </row>
    <row r="83" spans="1:4">
      <c r="A83" s="615" t="s">
        <v>3838</v>
      </c>
      <c r="B83" s="909" t="s">
        <v>4555</v>
      </c>
      <c r="C83" s="82">
        <v>2989</v>
      </c>
      <c r="D83" s="1594">
        <v>3.67</v>
      </c>
    </row>
    <row r="84" spans="1:4">
      <c r="A84" s="615" t="s">
        <v>4303</v>
      </c>
      <c r="B84" s="909" t="s">
        <v>3966</v>
      </c>
      <c r="C84" s="82">
        <v>2987</v>
      </c>
      <c r="D84" s="1594">
        <v>3.72</v>
      </c>
    </row>
    <row r="85" spans="1:4">
      <c r="A85" s="615" t="s">
        <v>5122</v>
      </c>
      <c r="B85" s="909" t="s">
        <v>5377</v>
      </c>
      <c r="C85" s="82">
        <v>2897</v>
      </c>
      <c r="D85" s="1594">
        <v>2.84</v>
      </c>
    </row>
    <row r="86" spans="1:4">
      <c r="A86" s="615" t="s">
        <v>489</v>
      </c>
      <c r="B86" s="909" t="s">
        <v>2309</v>
      </c>
      <c r="C86" s="82">
        <v>3341</v>
      </c>
      <c r="D86" s="1594">
        <v>3.83</v>
      </c>
    </row>
    <row r="87" spans="1:4">
      <c r="A87" s="615" t="s">
        <v>1932</v>
      </c>
      <c r="B87" s="909" t="s">
        <v>5146</v>
      </c>
      <c r="C87" s="82">
        <v>2216</v>
      </c>
      <c r="D87" s="1594">
        <v>3.58</v>
      </c>
    </row>
    <row r="88" spans="1:4">
      <c r="A88" s="615" t="s">
        <v>6465</v>
      </c>
      <c r="B88" s="853" t="s">
        <v>6464</v>
      </c>
      <c r="C88" s="82">
        <v>18772</v>
      </c>
      <c r="D88" s="1594">
        <v>2</v>
      </c>
    </row>
    <row r="89" spans="1:4">
      <c r="A89" s="615" t="s">
        <v>4129</v>
      </c>
      <c r="B89" s="909" t="s">
        <v>5202</v>
      </c>
      <c r="C89" s="82">
        <v>2469</v>
      </c>
      <c r="D89" s="1594">
        <v>4.4800000000000004</v>
      </c>
    </row>
    <row r="90" spans="1:4">
      <c r="A90" s="615" t="s">
        <v>6642</v>
      </c>
      <c r="B90" s="853" t="s">
        <v>6641</v>
      </c>
      <c r="C90" s="82">
        <v>10448</v>
      </c>
      <c r="D90" s="1594">
        <v>2</v>
      </c>
    </row>
    <row r="91" spans="1:4">
      <c r="A91" s="615" t="s">
        <v>3471</v>
      </c>
      <c r="B91" s="909" t="s">
        <v>667</v>
      </c>
      <c r="C91" s="82">
        <v>10450</v>
      </c>
      <c r="D91" s="1594">
        <v>4.1100000000000003</v>
      </c>
    </row>
    <row r="92" spans="1:4">
      <c r="A92" s="615" t="s">
        <v>554</v>
      </c>
      <c r="B92" s="909" t="s">
        <v>555</v>
      </c>
      <c r="C92" s="82">
        <v>10451</v>
      </c>
      <c r="D92" s="1594">
        <v>3.1</v>
      </c>
    </row>
    <row r="93" spans="1:4">
      <c r="A93" s="615" t="s">
        <v>6418</v>
      </c>
      <c r="B93" s="853" t="s">
        <v>6417</v>
      </c>
      <c r="C93" s="82">
        <v>19408</v>
      </c>
      <c r="D93" s="1594">
        <v>2</v>
      </c>
    </row>
    <row r="94" spans="1:4">
      <c r="A94" s="615" t="s">
        <v>2507</v>
      </c>
      <c r="B94" s="909" t="s">
        <v>4243</v>
      </c>
      <c r="C94" s="82">
        <v>2344</v>
      </c>
      <c r="D94" s="1594">
        <v>3.36</v>
      </c>
    </row>
    <row r="95" spans="1:4">
      <c r="A95" s="615" t="s">
        <v>3142</v>
      </c>
      <c r="B95" s="909" t="s">
        <v>668</v>
      </c>
      <c r="C95" s="82">
        <v>2296</v>
      </c>
      <c r="D95" s="1594">
        <v>3.46</v>
      </c>
    </row>
    <row r="96" spans="1:4">
      <c r="A96" s="615" t="s">
        <v>1387</v>
      </c>
      <c r="B96" s="909" t="s">
        <v>1388</v>
      </c>
      <c r="C96" s="82">
        <v>10484</v>
      </c>
      <c r="D96" s="1594">
        <v>3.95</v>
      </c>
    </row>
    <row r="97" spans="1:4">
      <c r="A97" s="919" t="s">
        <v>8482</v>
      </c>
      <c r="B97" s="918" t="s">
        <v>8483</v>
      </c>
      <c r="C97" s="82">
        <v>10515</v>
      </c>
      <c r="D97" s="1594">
        <v>4.0999999999999996</v>
      </c>
    </row>
    <row r="98" spans="1:4">
      <c r="A98" s="615" t="s">
        <v>2972</v>
      </c>
      <c r="B98" s="909" t="s">
        <v>4999</v>
      </c>
      <c r="C98" s="82">
        <v>10516</v>
      </c>
      <c r="D98" s="1594">
        <v>3.99</v>
      </c>
    </row>
    <row r="99" spans="1:4">
      <c r="A99" s="615" t="s">
        <v>495</v>
      </c>
      <c r="B99" s="909" t="s">
        <v>4244</v>
      </c>
      <c r="C99" s="82">
        <v>2945</v>
      </c>
      <c r="D99" s="1594">
        <v>4.5</v>
      </c>
    </row>
    <row r="100" spans="1:4">
      <c r="A100" s="615" t="s">
        <v>6739</v>
      </c>
      <c r="B100" s="853" t="s">
        <v>6738</v>
      </c>
      <c r="C100" s="82">
        <v>17123</v>
      </c>
      <c r="D100" s="1594">
        <v>2</v>
      </c>
    </row>
    <row r="101" spans="1:4">
      <c r="A101" s="615" t="s">
        <v>479</v>
      </c>
      <c r="B101" s="909" t="s">
        <v>4701</v>
      </c>
      <c r="C101" s="82">
        <v>3501</v>
      </c>
      <c r="D101" s="1594">
        <v>2.1</v>
      </c>
    </row>
    <row r="102" spans="1:4">
      <c r="A102" s="615" t="s">
        <v>6927</v>
      </c>
      <c r="B102" s="853" t="s">
        <v>6926</v>
      </c>
      <c r="C102" s="82">
        <v>17126</v>
      </c>
      <c r="D102" s="1594">
        <v>2</v>
      </c>
    </row>
    <row r="103" spans="1:4">
      <c r="A103" s="615" t="s">
        <v>2090</v>
      </c>
      <c r="B103" s="909" t="s">
        <v>3187</v>
      </c>
      <c r="C103" s="82">
        <v>3186</v>
      </c>
      <c r="D103" s="1594">
        <v>3.53</v>
      </c>
    </row>
    <row r="104" spans="1:4">
      <c r="A104" s="615" t="s">
        <v>1490</v>
      </c>
      <c r="B104" s="909" t="s">
        <v>3786</v>
      </c>
      <c r="C104" s="82">
        <v>18788</v>
      </c>
      <c r="D104" s="1594">
        <v>2.2200000000000002</v>
      </c>
    </row>
    <row r="105" spans="1:4">
      <c r="A105" s="615" t="s">
        <v>1686</v>
      </c>
      <c r="B105" s="909" t="s">
        <v>4702</v>
      </c>
      <c r="C105" s="82">
        <v>3534</v>
      </c>
      <c r="D105" s="1594">
        <v>2.1</v>
      </c>
    </row>
    <row r="106" spans="1:4">
      <c r="A106" s="615" t="s">
        <v>1185</v>
      </c>
      <c r="B106" s="909" t="s">
        <v>1185</v>
      </c>
      <c r="C106" s="82"/>
      <c r="D106" s="1594">
        <v>4.5</v>
      </c>
    </row>
    <row r="107" spans="1:4">
      <c r="A107" s="615" t="s">
        <v>1184</v>
      </c>
      <c r="B107" s="909" t="s">
        <v>1184</v>
      </c>
      <c r="C107" s="82"/>
      <c r="D107" s="1594">
        <v>4.5</v>
      </c>
    </row>
    <row r="108" spans="1:4">
      <c r="A108" s="615" t="s">
        <v>4605</v>
      </c>
      <c r="B108" s="909" t="s">
        <v>2688</v>
      </c>
      <c r="C108" s="82">
        <v>3230</v>
      </c>
      <c r="D108" s="1594">
        <v>3.51</v>
      </c>
    </row>
    <row r="109" spans="1:4">
      <c r="A109" s="615" t="s">
        <v>4039</v>
      </c>
      <c r="B109" s="909" t="s">
        <v>417</v>
      </c>
      <c r="C109" s="82">
        <v>10536</v>
      </c>
      <c r="D109" s="1594">
        <v>3.31</v>
      </c>
    </row>
    <row r="110" spans="1:4">
      <c r="A110" s="615" t="s">
        <v>1286</v>
      </c>
      <c r="B110" s="909" t="s">
        <v>1287</v>
      </c>
      <c r="C110" s="82">
        <v>10537</v>
      </c>
      <c r="D110" s="1594">
        <v>3.621</v>
      </c>
    </row>
    <row r="111" spans="1:4">
      <c r="A111" s="615" t="s">
        <v>4649</v>
      </c>
      <c r="B111" s="909" t="s">
        <v>2689</v>
      </c>
      <c r="C111" s="82">
        <v>2131</v>
      </c>
      <c r="D111" s="1594">
        <v>3.43</v>
      </c>
    </row>
    <row r="112" spans="1:4">
      <c r="A112" s="615" t="s">
        <v>54</v>
      </c>
      <c r="B112" s="909" t="s">
        <v>293</v>
      </c>
      <c r="C112" s="82">
        <v>2682</v>
      </c>
      <c r="D112" s="1594">
        <v>2.1</v>
      </c>
    </row>
    <row r="113" spans="1:4">
      <c r="A113" s="615" t="s">
        <v>2520</v>
      </c>
      <c r="B113" s="909" t="s">
        <v>294</v>
      </c>
      <c r="C113" s="82">
        <v>3520</v>
      </c>
      <c r="D113" s="1594">
        <v>2.1</v>
      </c>
    </row>
    <row r="114" spans="1:4">
      <c r="A114" s="615" t="s">
        <v>334</v>
      </c>
      <c r="B114" s="909" t="s">
        <v>1562</v>
      </c>
      <c r="C114" s="82">
        <v>3521</v>
      </c>
      <c r="D114" s="1594">
        <v>2.1</v>
      </c>
    </row>
    <row r="115" spans="1:4">
      <c r="A115" s="615" t="s">
        <v>4768</v>
      </c>
      <c r="B115" s="909" t="s">
        <v>1563</v>
      </c>
      <c r="C115" s="82">
        <v>2683</v>
      </c>
      <c r="D115" s="1594">
        <v>2.1</v>
      </c>
    </row>
    <row r="116" spans="1:4">
      <c r="A116" s="615" t="s">
        <v>5609</v>
      </c>
      <c r="B116" s="909" t="s">
        <v>1258</v>
      </c>
      <c r="C116" s="82">
        <v>2378</v>
      </c>
      <c r="D116" s="1594">
        <v>4.47</v>
      </c>
    </row>
    <row r="117" spans="1:4">
      <c r="A117" s="615" t="s">
        <v>2243</v>
      </c>
      <c r="B117" s="909" t="s">
        <v>1919</v>
      </c>
      <c r="C117" s="82">
        <v>3157</v>
      </c>
      <c r="D117" s="1594">
        <v>3.82</v>
      </c>
    </row>
    <row r="118" spans="1:4">
      <c r="A118" s="615" t="s">
        <v>3290</v>
      </c>
      <c r="B118" s="909" t="s">
        <v>1920</v>
      </c>
      <c r="C118" s="82">
        <v>2357</v>
      </c>
      <c r="D118" s="1594">
        <v>4.29</v>
      </c>
    </row>
    <row r="119" spans="1:4">
      <c r="A119" s="615" t="s">
        <v>1288</v>
      </c>
      <c r="B119" s="909" t="s">
        <v>1921</v>
      </c>
      <c r="C119" s="82">
        <v>3187</v>
      </c>
      <c r="D119" s="1594">
        <v>3.46</v>
      </c>
    </row>
    <row r="120" spans="1:4">
      <c r="A120" s="615" t="s">
        <v>3176</v>
      </c>
      <c r="B120" s="909" t="s">
        <v>1922</v>
      </c>
      <c r="C120" s="82">
        <v>2181</v>
      </c>
      <c r="D120" s="1594">
        <v>3.68</v>
      </c>
    </row>
    <row r="121" spans="1:4">
      <c r="A121" s="615" t="s">
        <v>4085</v>
      </c>
      <c r="B121" s="909" t="s">
        <v>2690</v>
      </c>
      <c r="C121" s="82">
        <v>2507</v>
      </c>
      <c r="D121" s="1594">
        <v>3.63</v>
      </c>
    </row>
    <row r="122" spans="1:4">
      <c r="A122" s="615" t="s">
        <v>214</v>
      </c>
      <c r="B122" s="909" t="s">
        <v>215</v>
      </c>
      <c r="C122" s="82">
        <v>2602</v>
      </c>
      <c r="D122" s="1594">
        <v>3.3182763159269002</v>
      </c>
    </row>
    <row r="123" spans="1:4">
      <c r="A123" s="615" t="s">
        <v>1554</v>
      </c>
      <c r="B123" s="909" t="s">
        <v>3962</v>
      </c>
      <c r="C123" s="82">
        <v>3420</v>
      </c>
      <c r="D123" s="1594">
        <v>2.2999999999999998</v>
      </c>
    </row>
    <row r="124" spans="1:4">
      <c r="A124" s="615" t="s">
        <v>962</v>
      </c>
      <c r="B124" s="909" t="s">
        <v>2709</v>
      </c>
      <c r="C124" s="82">
        <v>3422</v>
      </c>
      <c r="D124" s="1594">
        <v>2.2999999999999998</v>
      </c>
    </row>
    <row r="125" spans="1:4">
      <c r="A125" s="615" t="s">
        <v>6423</v>
      </c>
      <c r="B125" s="853" t="s">
        <v>6422</v>
      </c>
      <c r="C125" s="82">
        <v>19329</v>
      </c>
      <c r="D125" s="1594">
        <v>2</v>
      </c>
    </row>
    <row r="126" spans="1:4">
      <c r="A126" s="615" t="s">
        <v>2244</v>
      </c>
      <c r="B126" s="909" t="s">
        <v>2892</v>
      </c>
      <c r="C126" s="82">
        <v>2603</v>
      </c>
      <c r="D126" s="1594">
        <v>2.2999999999999998</v>
      </c>
    </row>
    <row r="127" spans="1:4">
      <c r="A127" s="615" t="s">
        <v>6425</v>
      </c>
      <c r="B127" s="853" t="s">
        <v>6424</v>
      </c>
      <c r="C127" s="82">
        <v>19184</v>
      </c>
      <c r="D127" s="1594">
        <v>2</v>
      </c>
    </row>
    <row r="128" spans="1:4">
      <c r="A128" s="615" t="s">
        <v>4098</v>
      </c>
      <c r="B128" s="909" t="s">
        <v>5031</v>
      </c>
      <c r="C128" s="82">
        <v>10566</v>
      </c>
      <c r="D128" s="1594">
        <v>3.1</v>
      </c>
    </row>
    <row r="129" spans="1:4">
      <c r="A129" s="615" t="s">
        <v>1765</v>
      </c>
      <c r="B129" s="909" t="s">
        <v>5032</v>
      </c>
      <c r="C129" s="82">
        <v>2330</v>
      </c>
      <c r="D129" s="1594">
        <v>4.3099999999999996</v>
      </c>
    </row>
    <row r="130" spans="1:4">
      <c r="A130" s="615" t="s">
        <v>3087</v>
      </c>
      <c r="B130" s="909" t="s">
        <v>5033</v>
      </c>
      <c r="C130" s="82">
        <v>3131</v>
      </c>
      <c r="D130" s="1594">
        <v>4.07</v>
      </c>
    </row>
    <row r="131" spans="1:4">
      <c r="A131" s="615" t="s">
        <v>3670</v>
      </c>
      <c r="B131" s="909" t="s">
        <v>5424</v>
      </c>
      <c r="C131" s="82">
        <v>2601</v>
      </c>
      <c r="D131" s="1594">
        <v>2.7</v>
      </c>
    </row>
    <row r="132" spans="1:4">
      <c r="A132" s="615" t="s">
        <v>5056</v>
      </c>
      <c r="B132" s="909" t="s">
        <v>2418</v>
      </c>
      <c r="C132" s="82">
        <v>2576</v>
      </c>
      <c r="D132" s="1594">
        <v>2.6</v>
      </c>
    </row>
    <row r="133" spans="1:4">
      <c r="A133" s="615" t="s">
        <v>1075</v>
      </c>
      <c r="B133" s="909" t="s">
        <v>5487</v>
      </c>
      <c r="C133" s="82">
        <v>3623</v>
      </c>
      <c r="D133" s="1594">
        <v>3</v>
      </c>
    </row>
    <row r="134" spans="1:4">
      <c r="A134" s="615" t="s">
        <v>1685</v>
      </c>
      <c r="B134" s="909" t="s">
        <v>3867</v>
      </c>
      <c r="C134" s="82">
        <v>3632</v>
      </c>
      <c r="D134" s="1594">
        <v>1</v>
      </c>
    </row>
    <row r="135" spans="1:4">
      <c r="A135" s="615" t="s">
        <v>201</v>
      </c>
      <c r="B135" s="909" t="s">
        <v>2691</v>
      </c>
      <c r="C135" s="82">
        <v>2533</v>
      </c>
      <c r="D135" s="1594">
        <v>3.85</v>
      </c>
    </row>
    <row r="136" spans="1:4">
      <c r="A136" s="615" t="s">
        <v>3063</v>
      </c>
      <c r="B136" s="909" t="s">
        <v>3768</v>
      </c>
      <c r="C136" s="82">
        <v>2171</v>
      </c>
      <c r="D136" s="1594">
        <v>4.47</v>
      </c>
    </row>
    <row r="137" spans="1:4">
      <c r="A137" s="615" t="s">
        <v>5406</v>
      </c>
      <c r="B137" s="909" t="s">
        <v>5461</v>
      </c>
      <c r="C137" s="82">
        <v>3441</v>
      </c>
      <c r="D137" s="1594">
        <v>2.2000000000000002</v>
      </c>
    </row>
    <row r="138" spans="1:4">
      <c r="A138" s="615" t="s">
        <v>1066</v>
      </c>
      <c r="B138" s="909" t="s">
        <v>5462</v>
      </c>
      <c r="C138" s="82">
        <v>2621</v>
      </c>
      <c r="D138" s="1594">
        <v>2.2000000000000002</v>
      </c>
    </row>
    <row r="139" spans="1:4">
      <c r="A139" s="615" t="s">
        <v>438</v>
      </c>
      <c r="B139" s="853" t="s">
        <v>6562</v>
      </c>
      <c r="C139" s="82">
        <v>3455</v>
      </c>
      <c r="D139" s="1594">
        <v>2</v>
      </c>
    </row>
    <row r="140" spans="1:4">
      <c r="A140" s="615" t="s">
        <v>5715</v>
      </c>
      <c r="B140" s="909" t="s">
        <v>5493</v>
      </c>
      <c r="C140" s="82">
        <v>3618</v>
      </c>
      <c r="D140" s="1594">
        <v>2.2999999999999998</v>
      </c>
    </row>
    <row r="141" spans="1:4">
      <c r="A141" s="615" t="s">
        <v>4875</v>
      </c>
      <c r="B141" s="909" t="s">
        <v>5494</v>
      </c>
      <c r="C141" s="82">
        <v>3617</v>
      </c>
      <c r="D141" s="1594">
        <v>2.2999999999999998</v>
      </c>
    </row>
    <row r="142" spans="1:4">
      <c r="A142" s="615" t="s">
        <v>6761</v>
      </c>
      <c r="B142" s="853" t="s">
        <v>6760</v>
      </c>
      <c r="C142" s="82">
        <v>10623</v>
      </c>
      <c r="D142" s="1594">
        <v>2.8</v>
      </c>
    </row>
    <row r="143" spans="1:4">
      <c r="A143" s="615" t="s">
        <v>496</v>
      </c>
      <c r="B143" s="909" t="s">
        <v>51</v>
      </c>
      <c r="C143" s="82">
        <v>2421</v>
      </c>
      <c r="D143" s="1594">
        <v>2.83</v>
      </c>
    </row>
    <row r="144" spans="1:4">
      <c r="A144" s="615" t="s">
        <v>6440</v>
      </c>
      <c r="B144" s="853" t="s">
        <v>6439</v>
      </c>
      <c r="C144" s="82">
        <v>10625</v>
      </c>
      <c r="D144" s="1594">
        <v>2</v>
      </c>
    </row>
    <row r="145" spans="1:4">
      <c r="A145" s="615" t="s">
        <v>4608</v>
      </c>
      <c r="B145" s="909" t="s">
        <v>1705</v>
      </c>
      <c r="C145" s="82">
        <v>3357</v>
      </c>
      <c r="D145" s="1594">
        <v>4.45</v>
      </c>
    </row>
    <row r="146" spans="1:4">
      <c r="A146" s="615" t="s">
        <v>4650</v>
      </c>
      <c r="B146" s="909" t="s">
        <v>1706</v>
      </c>
      <c r="C146" s="82">
        <v>3356</v>
      </c>
      <c r="D146" s="1594">
        <v>4.26</v>
      </c>
    </row>
    <row r="147" spans="1:4">
      <c r="A147" s="615" t="s">
        <v>895</v>
      </c>
      <c r="B147" s="909" t="s">
        <v>5154</v>
      </c>
      <c r="C147" s="82">
        <v>2263</v>
      </c>
      <c r="D147" s="1594">
        <v>2.3199999999999998</v>
      </c>
    </row>
    <row r="148" spans="1:4">
      <c r="A148" s="615" t="s">
        <v>6714</v>
      </c>
      <c r="B148" s="853" t="s">
        <v>6713</v>
      </c>
      <c r="C148" s="82">
        <v>10634</v>
      </c>
      <c r="D148" s="1594">
        <v>2</v>
      </c>
    </row>
    <row r="149" spans="1:4">
      <c r="A149" s="615" t="s">
        <v>1465</v>
      </c>
      <c r="B149" s="909" t="s">
        <v>5155</v>
      </c>
      <c r="C149" s="82">
        <v>3058</v>
      </c>
      <c r="D149" s="1594">
        <v>3.13</v>
      </c>
    </row>
    <row r="150" spans="1:4">
      <c r="A150" s="615" t="s">
        <v>5538</v>
      </c>
      <c r="B150" s="909" t="s">
        <v>5034</v>
      </c>
      <c r="C150" s="82">
        <v>3158</v>
      </c>
      <c r="D150" s="1594">
        <v>3.89</v>
      </c>
    </row>
    <row r="151" spans="1:4">
      <c r="A151" s="615" t="s">
        <v>1036</v>
      </c>
      <c r="B151" s="909" t="s">
        <v>5035</v>
      </c>
      <c r="C151" s="82">
        <v>2358</v>
      </c>
      <c r="D151" s="1594">
        <v>3.21</v>
      </c>
    </row>
    <row r="152" spans="1:4">
      <c r="A152" s="615" t="s">
        <v>6435</v>
      </c>
      <c r="B152" s="909" t="s">
        <v>421</v>
      </c>
      <c r="C152" s="82">
        <v>19094</v>
      </c>
      <c r="D152" s="1594">
        <v>4.26</v>
      </c>
    </row>
    <row r="153" spans="1:4">
      <c r="A153" s="615" t="s">
        <v>3522</v>
      </c>
      <c r="B153" s="909" t="s">
        <v>4986</v>
      </c>
      <c r="C153" s="82">
        <v>19068</v>
      </c>
      <c r="D153" s="1594">
        <v>4.2300000000000004</v>
      </c>
    </row>
    <row r="154" spans="1:4">
      <c r="A154" s="615" t="s">
        <v>4525</v>
      </c>
      <c r="B154" s="909" t="s">
        <v>5036</v>
      </c>
      <c r="C154" s="82">
        <v>3168</v>
      </c>
      <c r="D154" s="1594">
        <v>3.64</v>
      </c>
    </row>
    <row r="155" spans="1:4">
      <c r="A155" s="615" t="s">
        <v>2944</v>
      </c>
      <c r="B155" s="909" t="s">
        <v>5531</v>
      </c>
      <c r="C155" s="82">
        <v>10648</v>
      </c>
      <c r="D155" s="1594">
        <v>4.45</v>
      </c>
    </row>
    <row r="156" spans="1:4">
      <c r="A156" s="919" t="s">
        <v>8484</v>
      </c>
      <c r="B156" s="918" t="s">
        <v>8485</v>
      </c>
      <c r="C156" s="82">
        <v>10654</v>
      </c>
      <c r="D156" s="1594">
        <v>3.1</v>
      </c>
    </row>
    <row r="157" spans="1:4">
      <c r="A157" s="615" t="s">
        <v>6501</v>
      </c>
      <c r="B157" s="853" t="s">
        <v>6500</v>
      </c>
      <c r="C157" s="82">
        <v>10655</v>
      </c>
      <c r="D157" s="1594">
        <v>2.9</v>
      </c>
    </row>
    <row r="158" spans="1:4">
      <c r="A158" s="615" t="s">
        <v>4775</v>
      </c>
      <c r="B158" s="909" t="s">
        <v>863</v>
      </c>
      <c r="C158" s="82">
        <v>3533</v>
      </c>
      <c r="D158" s="1594">
        <v>2.1</v>
      </c>
    </row>
    <row r="159" spans="1:4">
      <c r="A159" s="615" t="s">
        <v>1189</v>
      </c>
      <c r="B159" s="909" t="s">
        <v>1189</v>
      </c>
      <c r="C159" s="82"/>
      <c r="D159" s="1594">
        <v>3.3182763159269002</v>
      </c>
    </row>
    <row r="160" spans="1:4">
      <c r="A160" s="615" t="s">
        <v>838</v>
      </c>
      <c r="B160" s="909" t="s">
        <v>1707</v>
      </c>
      <c r="C160" s="82">
        <v>2554</v>
      </c>
      <c r="D160" s="1594">
        <v>3.48</v>
      </c>
    </row>
    <row r="161" spans="1:4">
      <c r="A161" s="615" t="s">
        <v>332</v>
      </c>
      <c r="B161" s="909" t="s">
        <v>1492</v>
      </c>
      <c r="C161" s="82">
        <v>2555</v>
      </c>
      <c r="D161" s="1594">
        <v>4.03</v>
      </c>
    </row>
    <row r="162" spans="1:4">
      <c r="A162" s="615" t="s">
        <v>2335</v>
      </c>
      <c r="B162" s="909" t="s">
        <v>1493</v>
      </c>
      <c r="C162" s="82">
        <v>3369</v>
      </c>
      <c r="D162" s="1594">
        <v>3.76</v>
      </c>
    </row>
    <row r="163" spans="1:4">
      <c r="A163" s="615" t="s">
        <v>2406</v>
      </c>
      <c r="B163" s="853" t="s">
        <v>6601</v>
      </c>
      <c r="C163" s="82">
        <v>18572</v>
      </c>
      <c r="D163" s="1594">
        <v>2</v>
      </c>
    </row>
    <row r="164" spans="1:4">
      <c r="A164" s="615" t="s">
        <v>265</v>
      </c>
      <c r="B164" s="909" t="s">
        <v>5463</v>
      </c>
      <c r="C164" s="82">
        <v>3457</v>
      </c>
      <c r="D164" s="1594">
        <v>2.2000000000000002</v>
      </c>
    </row>
    <row r="165" spans="1:4">
      <c r="A165" s="615" t="s">
        <v>5120</v>
      </c>
      <c r="B165" s="909" t="s">
        <v>5121</v>
      </c>
      <c r="C165" s="82">
        <v>2492</v>
      </c>
      <c r="D165" s="1594">
        <v>4.13</v>
      </c>
    </row>
    <row r="166" spans="1:4">
      <c r="A166" s="615" t="s">
        <v>5125</v>
      </c>
      <c r="B166" s="909" t="s">
        <v>4259</v>
      </c>
      <c r="C166" s="82">
        <v>2491</v>
      </c>
      <c r="D166" s="1594">
        <v>4.34</v>
      </c>
    </row>
    <row r="167" spans="1:4">
      <c r="A167" s="615" t="s">
        <v>3252</v>
      </c>
      <c r="B167" s="909" t="s">
        <v>213</v>
      </c>
      <c r="C167" s="82">
        <v>3292</v>
      </c>
      <c r="D167" s="1594">
        <v>4.2300000000000004</v>
      </c>
    </row>
    <row r="168" spans="1:4">
      <c r="A168" s="615" t="s">
        <v>1728</v>
      </c>
      <c r="B168" s="909" t="s">
        <v>4898</v>
      </c>
      <c r="C168" s="82">
        <v>19063</v>
      </c>
      <c r="D168" s="1594">
        <v>3.3182763159269002</v>
      </c>
    </row>
    <row r="169" spans="1:4">
      <c r="A169" s="615" t="s">
        <v>5135</v>
      </c>
      <c r="B169" s="853" t="s">
        <v>6455</v>
      </c>
      <c r="C169" s="82">
        <v>10693</v>
      </c>
      <c r="D169" s="1594">
        <v>4</v>
      </c>
    </row>
    <row r="170" spans="1:4">
      <c r="A170" s="615" t="s">
        <v>930</v>
      </c>
      <c r="B170" s="909" t="s">
        <v>4245</v>
      </c>
      <c r="C170" s="82">
        <v>2975</v>
      </c>
      <c r="D170" s="1594">
        <v>4</v>
      </c>
    </row>
    <row r="171" spans="1:4">
      <c r="A171" s="615" t="s">
        <v>2004</v>
      </c>
      <c r="B171" s="909" t="s">
        <v>2004</v>
      </c>
      <c r="C171" s="82"/>
      <c r="D171" s="1594">
        <v>2.2000000000000002</v>
      </c>
    </row>
    <row r="172" spans="1:4">
      <c r="A172" s="615" t="s">
        <v>4347</v>
      </c>
      <c r="B172" s="909" t="s">
        <v>4347</v>
      </c>
      <c r="C172" s="82"/>
      <c r="D172" s="1594">
        <v>4.5</v>
      </c>
    </row>
    <row r="173" spans="1:4">
      <c r="A173" s="615" t="s">
        <v>1180</v>
      </c>
      <c r="B173" s="909" t="s">
        <v>1180</v>
      </c>
      <c r="C173" s="82"/>
      <c r="D173" s="1594">
        <v>3.4</v>
      </c>
    </row>
    <row r="174" spans="1:4">
      <c r="A174" s="615" t="s">
        <v>2006</v>
      </c>
      <c r="B174" s="909" t="s">
        <v>2006</v>
      </c>
      <c r="C174" s="82"/>
      <c r="D174" s="1594">
        <v>3.92</v>
      </c>
    </row>
    <row r="175" spans="1:4">
      <c r="A175" s="615" t="s">
        <v>2001</v>
      </c>
      <c r="B175" s="909" t="s">
        <v>2001</v>
      </c>
      <c r="C175" s="82"/>
      <c r="D175" s="1594">
        <v>3.2</v>
      </c>
    </row>
    <row r="176" spans="1:4">
      <c r="A176" s="615" t="s">
        <v>871</v>
      </c>
      <c r="B176" s="909" t="s">
        <v>871</v>
      </c>
      <c r="C176" s="82"/>
      <c r="D176" s="1594">
        <v>4.5</v>
      </c>
    </row>
    <row r="177" spans="1:4">
      <c r="A177" s="615" t="s">
        <v>3416</v>
      </c>
      <c r="B177" s="909" t="s">
        <v>5037</v>
      </c>
      <c r="C177" s="82">
        <v>3373</v>
      </c>
      <c r="D177" s="1594">
        <v>3.55</v>
      </c>
    </row>
    <row r="178" spans="1:4">
      <c r="A178" s="615" t="s">
        <v>1948</v>
      </c>
      <c r="B178" s="909" t="s">
        <v>5038</v>
      </c>
      <c r="C178" s="82">
        <v>2565</v>
      </c>
      <c r="D178" s="1594">
        <v>3.27</v>
      </c>
    </row>
    <row r="179" spans="1:4">
      <c r="A179" s="615" t="s">
        <v>6447</v>
      </c>
      <c r="B179" s="909" t="s">
        <v>40</v>
      </c>
      <c r="C179" s="82">
        <v>10715</v>
      </c>
      <c r="D179" s="1594">
        <v>2.08</v>
      </c>
    </row>
    <row r="180" spans="1:4">
      <c r="A180" s="615" t="s">
        <v>3614</v>
      </c>
      <c r="B180" s="909" t="s">
        <v>918</v>
      </c>
      <c r="C180" s="82">
        <v>2175</v>
      </c>
      <c r="D180" s="1594">
        <v>2.36</v>
      </c>
    </row>
    <row r="181" spans="1:4">
      <c r="A181" s="615" t="s">
        <v>759</v>
      </c>
      <c r="B181" s="909" t="s">
        <v>760</v>
      </c>
      <c r="C181" s="82">
        <v>19019</v>
      </c>
      <c r="D181" s="1594">
        <v>2.91</v>
      </c>
    </row>
    <row r="182" spans="1:4">
      <c r="A182" s="615" t="s">
        <v>6932</v>
      </c>
      <c r="B182" s="853" t="s">
        <v>6931</v>
      </c>
      <c r="C182" s="82">
        <v>10719</v>
      </c>
      <c r="D182" s="1594">
        <v>3.3</v>
      </c>
    </row>
    <row r="183" spans="1:4">
      <c r="A183" s="615" t="s">
        <v>2730</v>
      </c>
      <c r="B183" s="909" t="s">
        <v>3769</v>
      </c>
      <c r="C183" s="82">
        <v>2958</v>
      </c>
      <c r="D183" s="1594">
        <v>3.1</v>
      </c>
    </row>
    <row r="184" spans="1:4">
      <c r="A184" s="615" t="s">
        <v>6448</v>
      </c>
      <c r="B184" s="909" t="s">
        <v>5243</v>
      </c>
      <c r="C184" s="82">
        <v>18822</v>
      </c>
      <c r="D184" s="1594">
        <v>2.88</v>
      </c>
    </row>
    <row r="185" spans="1:4">
      <c r="A185" s="615" t="s">
        <v>3457</v>
      </c>
      <c r="B185" s="909" t="s">
        <v>5284</v>
      </c>
      <c r="C185" s="82">
        <v>10740</v>
      </c>
      <c r="D185" s="1594">
        <v>2.93</v>
      </c>
    </row>
    <row r="186" spans="1:4">
      <c r="A186" s="615" t="s">
        <v>6452</v>
      </c>
      <c r="B186" s="853" t="s">
        <v>6451</v>
      </c>
      <c r="C186" s="82">
        <v>19680</v>
      </c>
      <c r="D186" s="1594">
        <v>4.2</v>
      </c>
    </row>
    <row r="187" spans="1:4">
      <c r="A187" s="615" t="s">
        <v>6491</v>
      </c>
      <c r="B187" s="853" t="s">
        <v>6490</v>
      </c>
      <c r="C187" s="82">
        <v>19253</v>
      </c>
      <c r="D187" s="1594">
        <v>2</v>
      </c>
    </row>
    <row r="188" spans="1:4">
      <c r="A188" s="615" t="s">
        <v>3548</v>
      </c>
      <c r="B188" s="909" t="s">
        <v>2771</v>
      </c>
      <c r="C188" s="82">
        <v>2059</v>
      </c>
      <c r="D188" s="1594">
        <v>3.92</v>
      </c>
    </row>
    <row r="189" spans="1:4">
      <c r="A189" s="615" t="s">
        <v>3255</v>
      </c>
      <c r="B189" s="909" t="s">
        <v>4221</v>
      </c>
      <c r="C189" s="82">
        <v>10809</v>
      </c>
      <c r="D189" s="1594">
        <v>3.96</v>
      </c>
    </row>
    <row r="190" spans="1:4">
      <c r="A190" s="615" t="s">
        <v>4741</v>
      </c>
      <c r="B190" s="909" t="s">
        <v>2825</v>
      </c>
      <c r="C190" s="82">
        <v>2862</v>
      </c>
      <c r="D190" s="1594">
        <v>3.96</v>
      </c>
    </row>
    <row r="191" spans="1:4">
      <c r="A191" s="615" t="s">
        <v>6775</v>
      </c>
      <c r="B191" s="853" t="s">
        <v>6774</v>
      </c>
      <c r="C191" s="82">
        <v>19254</v>
      </c>
      <c r="D191" s="1594">
        <v>2</v>
      </c>
    </row>
    <row r="192" spans="1:4">
      <c r="A192" s="615" t="s">
        <v>5649</v>
      </c>
      <c r="B192" s="909" t="s">
        <v>5650</v>
      </c>
      <c r="C192" s="82">
        <v>10813</v>
      </c>
      <c r="D192" s="1594">
        <v>3.96</v>
      </c>
    </row>
    <row r="193" spans="1:4">
      <c r="A193" s="615" t="s">
        <v>3447</v>
      </c>
      <c r="B193" s="909" t="s">
        <v>4612</v>
      </c>
      <c r="C193" s="82">
        <v>2863</v>
      </c>
      <c r="D193" s="1594">
        <v>3.8</v>
      </c>
    </row>
    <row r="194" spans="1:4">
      <c r="A194" s="615" t="s">
        <v>3339</v>
      </c>
      <c r="B194" s="909" t="s">
        <v>4613</v>
      </c>
      <c r="C194" s="82">
        <v>2861</v>
      </c>
      <c r="D194" s="1594">
        <v>3.94</v>
      </c>
    </row>
    <row r="195" spans="1:4">
      <c r="A195" s="615" t="s">
        <v>5606</v>
      </c>
      <c r="B195" s="909" t="s">
        <v>5039</v>
      </c>
      <c r="C195" s="82">
        <v>18729</v>
      </c>
      <c r="D195" s="1594">
        <v>3.67</v>
      </c>
    </row>
    <row r="196" spans="1:4">
      <c r="A196" s="615" t="s">
        <v>3940</v>
      </c>
      <c r="B196" s="909" t="s">
        <v>5532</v>
      </c>
      <c r="C196" s="82">
        <v>2208</v>
      </c>
      <c r="D196" s="1594">
        <v>4.21</v>
      </c>
    </row>
    <row r="197" spans="1:4">
      <c r="A197" s="615" t="s">
        <v>3629</v>
      </c>
      <c r="B197" s="909" t="s">
        <v>5533</v>
      </c>
      <c r="C197" s="82">
        <v>2997</v>
      </c>
      <c r="D197" s="1594">
        <v>4.2300000000000004</v>
      </c>
    </row>
    <row r="198" spans="1:4">
      <c r="A198" s="615" t="s">
        <v>3946</v>
      </c>
      <c r="B198" s="909" t="s">
        <v>2692</v>
      </c>
      <c r="C198" s="82">
        <v>18626</v>
      </c>
      <c r="D198" s="1594">
        <v>3.98</v>
      </c>
    </row>
    <row r="199" spans="1:4">
      <c r="A199" s="615" t="s">
        <v>5250</v>
      </c>
      <c r="B199" s="909" t="s">
        <v>250</v>
      </c>
      <c r="C199" s="82">
        <v>3656</v>
      </c>
      <c r="D199" s="1594">
        <v>3.14</v>
      </c>
    </row>
    <row r="200" spans="1:4">
      <c r="A200" s="615" t="s">
        <v>1905</v>
      </c>
      <c r="B200" s="909" t="s">
        <v>1905</v>
      </c>
      <c r="C200" s="82"/>
      <c r="D200" s="1594">
        <v>4.2</v>
      </c>
    </row>
    <row r="201" spans="1:4">
      <c r="A201" s="615" t="s">
        <v>4013</v>
      </c>
      <c r="B201" s="909" t="s">
        <v>4014</v>
      </c>
      <c r="C201" s="82">
        <v>17001</v>
      </c>
      <c r="D201" s="1594">
        <v>4.05</v>
      </c>
    </row>
    <row r="202" spans="1:4">
      <c r="A202" s="615" t="s">
        <v>3480</v>
      </c>
      <c r="B202" s="909" t="s">
        <v>3481</v>
      </c>
      <c r="C202" s="82">
        <v>10871</v>
      </c>
      <c r="D202" s="1594">
        <v>4.13</v>
      </c>
    </row>
    <row r="203" spans="1:4">
      <c r="A203" s="615" t="s">
        <v>2918</v>
      </c>
      <c r="B203" s="909" t="s">
        <v>2919</v>
      </c>
      <c r="C203" s="82">
        <v>3040</v>
      </c>
      <c r="D203" s="1594">
        <v>4.38</v>
      </c>
    </row>
    <row r="204" spans="1:4">
      <c r="A204" s="615" t="s">
        <v>2754</v>
      </c>
      <c r="B204" s="909" t="s">
        <v>251</v>
      </c>
      <c r="C204" s="82">
        <v>2248</v>
      </c>
      <c r="D204" s="1594">
        <v>4.26</v>
      </c>
    </row>
    <row r="205" spans="1:4">
      <c r="A205" s="615" t="s">
        <v>3837</v>
      </c>
      <c r="B205" s="909" t="s">
        <v>4703</v>
      </c>
      <c r="C205" s="82">
        <v>2725</v>
      </c>
      <c r="D205" s="1594">
        <v>2.1</v>
      </c>
    </row>
    <row r="206" spans="1:4">
      <c r="A206" s="919" t="s">
        <v>8486</v>
      </c>
      <c r="B206" s="918" t="s">
        <v>8487</v>
      </c>
      <c r="C206" s="82">
        <v>3251</v>
      </c>
      <c r="D206" s="1594">
        <v>2.31</v>
      </c>
    </row>
    <row r="207" spans="1:4">
      <c r="A207" s="615" t="s">
        <v>951</v>
      </c>
      <c r="B207" s="909" t="s">
        <v>5285</v>
      </c>
      <c r="C207" s="82">
        <v>10120</v>
      </c>
      <c r="D207" s="1594">
        <v>3.07</v>
      </c>
    </row>
    <row r="208" spans="1:4">
      <c r="A208" s="615" t="s">
        <v>3262</v>
      </c>
      <c r="B208" s="909" t="s">
        <v>5040</v>
      </c>
      <c r="C208" s="82">
        <v>10898</v>
      </c>
      <c r="D208" s="1594">
        <v>2.67</v>
      </c>
    </row>
    <row r="209" spans="1:4">
      <c r="A209" s="615" t="s">
        <v>964</v>
      </c>
      <c r="B209" s="909" t="s">
        <v>2813</v>
      </c>
      <c r="C209" s="82">
        <v>2385</v>
      </c>
      <c r="D209" s="1594">
        <v>2.97</v>
      </c>
    </row>
    <row r="210" spans="1:4">
      <c r="A210" s="615" t="s">
        <v>4926</v>
      </c>
      <c r="B210" s="909" t="s">
        <v>549</v>
      </c>
      <c r="C210" s="82">
        <v>2233</v>
      </c>
      <c r="D210" s="1594">
        <v>3.101</v>
      </c>
    </row>
    <row r="211" spans="1:4">
      <c r="A211" s="615" t="s">
        <v>6867</v>
      </c>
      <c r="B211" s="853" t="s">
        <v>6866</v>
      </c>
      <c r="C211" s="82">
        <v>10906</v>
      </c>
      <c r="D211" s="1594">
        <v>2</v>
      </c>
    </row>
    <row r="212" spans="1:4">
      <c r="A212" s="615" t="s">
        <v>5330</v>
      </c>
      <c r="B212" s="909" t="s">
        <v>1494</v>
      </c>
      <c r="C212" s="82">
        <v>3348</v>
      </c>
      <c r="D212" s="1594">
        <v>3.61</v>
      </c>
    </row>
    <row r="213" spans="1:4">
      <c r="A213" s="615" t="s">
        <v>4086</v>
      </c>
      <c r="B213" s="909" t="s">
        <v>1495</v>
      </c>
      <c r="C213" s="82">
        <v>10919</v>
      </c>
      <c r="D213" s="1594">
        <v>3.5</v>
      </c>
    </row>
    <row r="214" spans="1:4">
      <c r="A214" s="615" t="s">
        <v>6603</v>
      </c>
      <c r="B214" s="853" t="s">
        <v>6602</v>
      </c>
      <c r="C214" s="82">
        <v>10924</v>
      </c>
      <c r="D214" s="1594">
        <v>4.5</v>
      </c>
    </row>
    <row r="215" spans="1:4">
      <c r="A215" s="615" t="s">
        <v>5508</v>
      </c>
      <c r="B215" s="909" t="s">
        <v>2352</v>
      </c>
      <c r="C215" s="82">
        <v>3147</v>
      </c>
      <c r="D215" s="1594">
        <v>3.03</v>
      </c>
    </row>
    <row r="216" spans="1:4">
      <c r="A216" s="919" t="s">
        <v>8488</v>
      </c>
      <c r="B216" s="918" t="s">
        <v>8489</v>
      </c>
      <c r="C216" s="82">
        <v>10940</v>
      </c>
      <c r="D216" s="1594">
        <v>4.5</v>
      </c>
    </row>
    <row r="217" spans="1:4">
      <c r="A217" s="615" t="s">
        <v>1975</v>
      </c>
      <c r="B217" s="909" t="s">
        <v>1976</v>
      </c>
      <c r="C217" s="82">
        <v>10941</v>
      </c>
      <c r="D217" s="1594">
        <v>4.5</v>
      </c>
    </row>
    <row r="218" spans="1:4">
      <c r="A218" s="919" t="s">
        <v>8490</v>
      </c>
      <c r="B218" s="918" t="s">
        <v>8491</v>
      </c>
      <c r="C218" s="82">
        <v>20448</v>
      </c>
      <c r="D218" s="1594">
        <v>4.5999999999999996</v>
      </c>
    </row>
    <row r="219" spans="1:4">
      <c r="A219" s="615" t="s">
        <v>1978</v>
      </c>
      <c r="B219" s="909" t="s">
        <v>1979</v>
      </c>
      <c r="C219" s="82">
        <v>10943</v>
      </c>
      <c r="D219" s="1594">
        <v>4.5</v>
      </c>
    </row>
    <row r="220" spans="1:4">
      <c r="A220" s="615" t="s">
        <v>3804</v>
      </c>
      <c r="B220" s="909" t="s">
        <v>5318</v>
      </c>
      <c r="C220" s="82">
        <v>2650</v>
      </c>
      <c r="D220" s="1594">
        <v>3.98</v>
      </c>
    </row>
    <row r="221" spans="1:4">
      <c r="A221" s="615" t="s">
        <v>6877</v>
      </c>
      <c r="B221" s="853" t="s">
        <v>6876</v>
      </c>
      <c r="C221" s="82">
        <v>16087</v>
      </c>
      <c r="D221" s="1594">
        <v>2</v>
      </c>
    </row>
    <row r="222" spans="1:4">
      <c r="A222" s="615" t="s">
        <v>5627</v>
      </c>
      <c r="B222" s="909" t="s">
        <v>656</v>
      </c>
      <c r="C222" s="82">
        <v>3129</v>
      </c>
      <c r="D222" s="1594">
        <v>4.08</v>
      </c>
    </row>
    <row r="223" spans="1:4">
      <c r="A223" s="615" t="s">
        <v>172</v>
      </c>
      <c r="B223" s="909" t="s">
        <v>657</v>
      </c>
      <c r="C223" s="82">
        <v>3128</v>
      </c>
      <c r="D223" s="1594">
        <v>4.3099999999999996</v>
      </c>
    </row>
    <row r="224" spans="1:4">
      <c r="A224" s="615" t="s">
        <v>277</v>
      </c>
      <c r="B224" s="909" t="s">
        <v>252</v>
      </c>
      <c r="C224" s="82">
        <v>3100</v>
      </c>
      <c r="D224" s="1594">
        <v>3.61</v>
      </c>
    </row>
    <row r="225" spans="1:4">
      <c r="A225" s="615" t="s">
        <v>5117</v>
      </c>
      <c r="B225" s="909" t="s">
        <v>1713</v>
      </c>
      <c r="C225" s="82">
        <v>3009</v>
      </c>
      <c r="D225" s="1594">
        <v>3.3</v>
      </c>
    </row>
    <row r="226" spans="1:4">
      <c r="A226" s="615" t="s">
        <v>5428</v>
      </c>
      <c r="B226" s="909" t="s">
        <v>3925</v>
      </c>
      <c r="C226" s="82">
        <v>2093</v>
      </c>
      <c r="D226" s="1594">
        <v>2.75</v>
      </c>
    </row>
    <row r="227" spans="1:4">
      <c r="A227" s="615" t="s">
        <v>940</v>
      </c>
      <c r="B227" s="909" t="s">
        <v>1668</v>
      </c>
      <c r="C227" s="82">
        <v>2899</v>
      </c>
      <c r="D227" s="1594">
        <v>2.19</v>
      </c>
    </row>
    <row r="228" spans="1:4">
      <c r="A228" s="615" t="s">
        <v>4055</v>
      </c>
      <c r="B228" s="909" t="s">
        <v>1669</v>
      </c>
      <c r="C228" s="82">
        <v>2898</v>
      </c>
      <c r="D228" s="1594">
        <v>3.4</v>
      </c>
    </row>
    <row r="229" spans="1:4">
      <c r="A229" s="615" t="s">
        <v>5626</v>
      </c>
      <c r="B229" s="909" t="s">
        <v>1670</v>
      </c>
      <c r="C229" s="82">
        <v>2094</v>
      </c>
      <c r="D229" s="1594">
        <v>2.25</v>
      </c>
    </row>
    <row r="230" spans="1:4">
      <c r="A230" s="615" t="s">
        <v>1108</v>
      </c>
      <c r="B230" s="909" t="s">
        <v>1714</v>
      </c>
      <c r="C230" s="82">
        <v>2217</v>
      </c>
      <c r="D230" s="1594">
        <v>4</v>
      </c>
    </row>
    <row r="231" spans="1:4">
      <c r="A231" s="615" t="s">
        <v>187</v>
      </c>
      <c r="B231" s="909" t="s">
        <v>253</v>
      </c>
      <c r="C231" s="82">
        <v>2461</v>
      </c>
      <c r="D231" s="1594">
        <v>3.78</v>
      </c>
    </row>
    <row r="232" spans="1:4">
      <c r="A232" s="919" t="s">
        <v>8492</v>
      </c>
      <c r="B232" s="918" t="s">
        <v>8493</v>
      </c>
      <c r="C232" s="82">
        <v>10966</v>
      </c>
      <c r="D232" s="1594">
        <v>3.2</v>
      </c>
    </row>
    <row r="233" spans="1:4">
      <c r="A233" s="615" t="s">
        <v>6746</v>
      </c>
      <c r="B233" s="853" t="s">
        <v>6745</v>
      </c>
      <c r="C233" s="82">
        <v>19842</v>
      </c>
      <c r="D233" s="1594">
        <v>2.4</v>
      </c>
    </row>
    <row r="234" spans="1:4">
      <c r="A234" s="615" t="s">
        <v>6497</v>
      </c>
      <c r="B234" s="853" t="s">
        <v>6496</v>
      </c>
      <c r="C234" s="82">
        <v>19225</v>
      </c>
      <c r="D234" s="1594">
        <v>2</v>
      </c>
    </row>
    <row r="235" spans="1:4">
      <c r="A235" s="615" t="s">
        <v>2591</v>
      </c>
      <c r="B235" s="909" t="s">
        <v>2592</v>
      </c>
      <c r="C235" s="82">
        <v>19056</v>
      </c>
      <c r="D235" s="1594">
        <v>2.3199999999999998</v>
      </c>
    </row>
    <row r="236" spans="1:4">
      <c r="A236" s="615" t="s">
        <v>6499</v>
      </c>
      <c r="B236" s="853" t="s">
        <v>6498</v>
      </c>
      <c r="C236" s="82">
        <v>10977</v>
      </c>
      <c r="D236" s="1594">
        <v>2</v>
      </c>
    </row>
    <row r="237" spans="1:4">
      <c r="A237" s="615" t="s">
        <v>3596</v>
      </c>
      <c r="B237" s="909" t="s">
        <v>3116</v>
      </c>
      <c r="C237" s="82">
        <v>2659</v>
      </c>
      <c r="D237" s="1594">
        <v>2.1</v>
      </c>
    </row>
    <row r="238" spans="1:4">
      <c r="A238" s="919" t="s">
        <v>8494</v>
      </c>
      <c r="B238" s="918" t="s">
        <v>8495</v>
      </c>
      <c r="C238" s="82">
        <v>20387</v>
      </c>
      <c r="D238" s="1594">
        <v>2.1</v>
      </c>
    </row>
    <row r="239" spans="1:4">
      <c r="A239" s="919" t="s">
        <v>8496</v>
      </c>
      <c r="B239" s="918" t="s">
        <v>8497</v>
      </c>
      <c r="C239" s="82">
        <v>20389</v>
      </c>
      <c r="D239" s="1594">
        <v>2.1</v>
      </c>
    </row>
    <row r="240" spans="1:4">
      <c r="A240" s="615" t="s">
        <v>1109</v>
      </c>
      <c r="B240" s="909" t="s">
        <v>4487</v>
      </c>
      <c r="C240" s="82">
        <v>3498</v>
      </c>
      <c r="D240" s="1594">
        <v>2.1</v>
      </c>
    </row>
    <row r="241" spans="1:4">
      <c r="A241" s="919" t="s">
        <v>8498</v>
      </c>
      <c r="B241" s="918" t="s">
        <v>8499</v>
      </c>
      <c r="C241" s="82">
        <v>20390</v>
      </c>
      <c r="D241" s="1594">
        <v>2.1</v>
      </c>
    </row>
    <row r="242" spans="1:4">
      <c r="A242" s="615" t="s">
        <v>3242</v>
      </c>
      <c r="B242" s="909" t="s">
        <v>2353</v>
      </c>
      <c r="C242" s="82">
        <v>18982</v>
      </c>
      <c r="D242" s="1594">
        <v>3.4</v>
      </c>
    </row>
    <row r="243" spans="1:4">
      <c r="A243" s="615" t="s">
        <v>1188</v>
      </c>
      <c r="B243" s="909" t="s">
        <v>1188</v>
      </c>
      <c r="C243" s="82"/>
      <c r="D243" s="1594">
        <v>3</v>
      </c>
    </row>
    <row r="244" spans="1:4">
      <c r="A244" s="615" t="s">
        <v>2005</v>
      </c>
      <c r="B244" s="909" t="s">
        <v>2005</v>
      </c>
      <c r="C244" s="82"/>
      <c r="D244" s="1594">
        <v>2.9998621562137684</v>
      </c>
    </row>
    <row r="245" spans="1:4">
      <c r="A245" s="919" t="s">
        <v>8500</v>
      </c>
      <c r="B245" s="918" t="s">
        <v>8501</v>
      </c>
      <c r="C245" s="82">
        <v>11049</v>
      </c>
      <c r="D245" s="1594">
        <v>3.5</v>
      </c>
    </row>
    <row r="246" spans="1:4">
      <c r="A246" s="919" t="s">
        <v>8502</v>
      </c>
      <c r="B246" s="918" t="s">
        <v>8503</v>
      </c>
      <c r="C246" s="82">
        <v>11050</v>
      </c>
      <c r="D246" s="1594">
        <v>3.8</v>
      </c>
    </row>
    <row r="247" spans="1:4">
      <c r="A247" s="615" t="s">
        <v>4272</v>
      </c>
      <c r="B247" s="909" t="s">
        <v>2420</v>
      </c>
      <c r="C247" s="82">
        <v>2372</v>
      </c>
      <c r="D247" s="1594">
        <v>3.39</v>
      </c>
    </row>
    <row r="248" spans="1:4">
      <c r="A248" s="615" t="s">
        <v>6509</v>
      </c>
      <c r="B248" s="853" t="s">
        <v>6508</v>
      </c>
      <c r="C248" s="82">
        <v>19841</v>
      </c>
      <c r="D248" s="1594">
        <v>2</v>
      </c>
    </row>
    <row r="249" spans="1:4">
      <c r="A249" s="615" t="s">
        <v>6512</v>
      </c>
      <c r="B249" s="909" t="s">
        <v>179</v>
      </c>
      <c r="C249" s="82">
        <v>18576</v>
      </c>
      <c r="D249" s="1594">
        <v>2.6</v>
      </c>
    </row>
    <row r="250" spans="1:4">
      <c r="A250" s="615" t="s">
        <v>3956</v>
      </c>
      <c r="B250" s="909" t="s">
        <v>5319</v>
      </c>
      <c r="C250" s="82">
        <v>2633</v>
      </c>
      <c r="D250" s="1594">
        <v>2.5</v>
      </c>
    </row>
    <row r="251" spans="1:4">
      <c r="A251" s="615" t="s">
        <v>4803</v>
      </c>
      <c r="B251" s="909" t="s">
        <v>5320</v>
      </c>
      <c r="C251" s="82">
        <v>2632</v>
      </c>
      <c r="D251" s="1594">
        <v>4</v>
      </c>
    </row>
    <row r="252" spans="1:4">
      <c r="A252" s="615" t="s">
        <v>4031</v>
      </c>
      <c r="B252" s="909" t="s">
        <v>4032</v>
      </c>
      <c r="C252" s="82">
        <v>17241</v>
      </c>
      <c r="D252" s="1594">
        <v>3.3182763159269002</v>
      </c>
    </row>
    <row r="253" spans="1:4">
      <c r="A253" s="615" t="s">
        <v>2412</v>
      </c>
      <c r="B253" s="909" t="s">
        <v>2026</v>
      </c>
      <c r="C253" s="82">
        <v>3641</v>
      </c>
      <c r="D253" s="1594">
        <v>1</v>
      </c>
    </row>
    <row r="254" spans="1:4">
      <c r="A254" s="615" t="s">
        <v>2403</v>
      </c>
      <c r="B254" s="909" t="s">
        <v>970</v>
      </c>
      <c r="C254" s="82">
        <v>2873</v>
      </c>
      <c r="D254" s="1594">
        <v>3.43</v>
      </c>
    </row>
    <row r="255" spans="1:4">
      <c r="A255" s="615" t="s">
        <v>3566</v>
      </c>
      <c r="B255" s="909" t="s">
        <v>3567</v>
      </c>
      <c r="C255" s="82">
        <v>11063</v>
      </c>
      <c r="D255" s="1594">
        <v>3.23</v>
      </c>
    </row>
    <row r="256" spans="1:4">
      <c r="A256" s="615" t="s">
        <v>2221</v>
      </c>
      <c r="B256" s="909" t="s">
        <v>4920</v>
      </c>
      <c r="C256" s="82">
        <v>2874</v>
      </c>
      <c r="D256" s="1594">
        <v>3.45</v>
      </c>
    </row>
    <row r="257" spans="1:4">
      <c r="A257" s="615" t="s">
        <v>5539</v>
      </c>
      <c r="B257" s="909" t="s">
        <v>4921</v>
      </c>
      <c r="C257" s="82">
        <v>11064</v>
      </c>
      <c r="D257" s="1594">
        <v>3.6</v>
      </c>
    </row>
    <row r="258" spans="1:4">
      <c r="A258" s="615" t="s">
        <v>1167</v>
      </c>
      <c r="B258" s="909" t="s">
        <v>1167</v>
      </c>
      <c r="C258" s="82"/>
      <c r="D258" s="1594">
        <v>4.2</v>
      </c>
    </row>
    <row r="259" spans="1:4">
      <c r="A259" s="615" t="s">
        <v>558</v>
      </c>
      <c r="B259" s="909" t="s">
        <v>559</v>
      </c>
      <c r="C259" s="82">
        <v>2327</v>
      </c>
      <c r="D259" s="1594">
        <v>4.5</v>
      </c>
    </row>
    <row r="260" spans="1:4">
      <c r="A260" s="615" t="s">
        <v>942</v>
      </c>
      <c r="B260" s="909" t="s">
        <v>3957</v>
      </c>
      <c r="C260" s="82">
        <v>3462</v>
      </c>
      <c r="D260" s="1594">
        <v>2.6</v>
      </c>
    </row>
    <row r="261" spans="1:4">
      <c r="A261" s="615" t="s">
        <v>2054</v>
      </c>
      <c r="B261" s="853" t="s">
        <v>6513</v>
      </c>
      <c r="C261" s="82">
        <v>19120</v>
      </c>
      <c r="D261" s="1594">
        <v>3.3182763159269002</v>
      </c>
    </row>
    <row r="262" spans="1:4">
      <c r="A262" s="615" t="s">
        <v>4651</v>
      </c>
      <c r="B262" s="909" t="s">
        <v>3958</v>
      </c>
      <c r="C262" s="82">
        <v>3460</v>
      </c>
      <c r="D262" s="1594">
        <v>2.6</v>
      </c>
    </row>
    <row r="263" spans="1:4">
      <c r="A263" s="615" t="s">
        <v>3772</v>
      </c>
      <c r="B263" s="909" t="s">
        <v>3959</v>
      </c>
      <c r="C263" s="82">
        <v>3461</v>
      </c>
      <c r="D263" s="1594">
        <v>4</v>
      </c>
    </row>
    <row r="264" spans="1:4">
      <c r="A264" s="615" t="s">
        <v>4788</v>
      </c>
      <c r="B264" s="909" t="s">
        <v>2278</v>
      </c>
      <c r="C264" s="82">
        <v>2627</v>
      </c>
      <c r="D264" s="1594">
        <v>2.6</v>
      </c>
    </row>
    <row r="265" spans="1:4">
      <c r="A265" s="615" t="s">
        <v>4241</v>
      </c>
      <c r="B265" s="909" t="s">
        <v>2445</v>
      </c>
      <c r="C265" s="82">
        <v>3463</v>
      </c>
      <c r="D265" s="1594">
        <v>3.3</v>
      </c>
    </row>
    <row r="266" spans="1:4">
      <c r="A266" s="615" t="s">
        <v>1070</v>
      </c>
      <c r="B266" s="853" t="s">
        <v>6516</v>
      </c>
      <c r="C266" s="82">
        <v>2566</v>
      </c>
      <c r="D266" s="1594">
        <v>2.66</v>
      </c>
    </row>
    <row r="267" spans="1:4">
      <c r="A267" s="615" t="s">
        <v>6520</v>
      </c>
      <c r="B267" s="853" t="s">
        <v>6519</v>
      </c>
      <c r="C267" s="82">
        <v>11078</v>
      </c>
      <c r="D267" s="1594">
        <v>2</v>
      </c>
    </row>
    <row r="268" spans="1:4">
      <c r="A268" s="615" t="s">
        <v>2605</v>
      </c>
      <c r="B268" s="909" t="s">
        <v>2606</v>
      </c>
      <c r="C268" s="82">
        <v>11083</v>
      </c>
      <c r="D268" s="1594">
        <v>3.92</v>
      </c>
    </row>
    <row r="269" spans="1:4">
      <c r="A269" s="615" t="s">
        <v>887</v>
      </c>
      <c r="B269" s="909" t="s">
        <v>254</v>
      </c>
      <c r="C269" s="82">
        <v>2251</v>
      </c>
      <c r="D269" s="1594">
        <v>3.5</v>
      </c>
    </row>
    <row r="270" spans="1:4">
      <c r="A270" s="615" t="s">
        <v>5003</v>
      </c>
      <c r="B270" s="909" t="s">
        <v>2162</v>
      </c>
      <c r="C270" s="82">
        <v>11084</v>
      </c>
      <c r="D270" s="1594">
        <v>3.59</v>
      </c>
    </row>
    <row r="271" spans="1:4">
      <c r="A271" s="615" t="s">
        <v>3708</v>
      </c>
      <c r="B271" s="909" t="s">
        <v>1240</v>
      </c>
      <c r="C271" s="82">
        <v>3045</v>
      </c>
      <c r="D271" s="1594">
        <v>3.14</v>
      </c>
    </row>
    <row r="272" spans="1:4">
      <c r="A272" s="919" t="s">
        <v>8504</v>
      </c>
      <c r="B272" s="918" t="s">
        <v>8505</v>
      </c>
      <c r="C272" s="82">
        <v>11086</v>
      </c>
      <c r="D272" s="1594">
        <v>3.4</v>
      </c>
    </row>
    <row r="273" spans="1:4">
      <c r="A273" s="615" t="s">
        <v>3330</v>
      </c>
      <c r="B273" s="909" t="s">
        <v>658</v>
      </c>
      <c r="C273" s="82">
        <v>3104</v>
      </c>
      <c r="D273" s="1594">
        <v>3.9</v>
      </c>
    </row>
    <row r="274" spans="1:4">
      <c r="A274" s="615" t="s">
        <v>2661</v>
      </c>
      <c r="B274" s="909" t="s">
        <v>659</v>
      </c>
      <c r="C274" s="82">
        <v>11091</v>
      </c>
      <c r="D274" s="1594">
        <v>4.5</v>
      </c>
    </row>
    <row r="275" spans="1:4">
      <c r="A275" s="615" t="s">
        <v>4688</v>
      </c>
      <c r="B275" s="909" t="s">
        <v>660</v>
      </c>
      <c r="C275" s="82">
        <v>11097</v>
      </c>
      <c r="D275" s="1594">
        <v>4.3899999999999997</v>
      </c>
    </row>
    <row r="276" spans="1:4">
      <c r="A276" s="615" t="s">
        <v>5610</v>
      </c>
      <c r="B276" s="909" t="s">
        <v>876</v>
      </c>
      <c r="C276" s="82">
        <v>11101</v>
      </c>
      <c r="D276" s="1594">
        <v>4.3600000000000003</v>
      </c>
    </row>
    <row r="277" spans="1:4">
      <c r="A277" s="919" t="s">
        <v>8506</v>
      </c>
      <c r="B277" s="918" t="s">
        <v>8507</v>
      </c>
      <c r="C277" s="82">
        <v>18789</v>
      </c>
      <c r="D277" s="1594">
        <v>4.5</v>
      </c>
    </row>
    <row r="278" spans="1:4">
      <c r="A278" s="919" t="s">
        <v>8508</v>
      </c>
      <c r="B278" s="918" t="s">
        <v>8509</v>
      </c>
      <c r="C278" s="82">
        <v>11109</v>
      </c>
      <c r="D278" s="1594">
        <v>4.0999999999999996</v>
      </c>
    </row>
    <row r="279" spans="1:4">
      <c r="A279" s="615" t="s">
        <v>3951</v>
      </c>
      <c r="B279" s="909" t="s">
        <v>877</v>
      </c>
      <c r="C279" s="82">
        <v>3111</v>
      </c>
      <c r="D279" s="1594">
        <v>4.4000000000000004</v>
      </c>
    </row>
    <row r="280" spans="1:4">
      <c r="A280" s="615" t="s">
        <v>628</v>
      </c>
      <c r="B280" s="909" t="s">
        <v>878</v>
      </c>
      <c r="C280" s="82">
        <v>3112</v>
      </c>
      <c r="D280" s="1594">
        <v>3.5</v>
      </c>
    </row>
    <row r="281" spans="1:4">
      <c r="A281" s="615" t="s">
        <v>910</v>
      </c>
      <c r="B281" s="909" t="s">
        <v>879</v>
      </c>
      <c r="C281" s="82">
        <v>11112</v>
      </c>
      <c r="D281" s="1594">
        <v>4.22</v>
      </c>
    </row>
    <row r="282" spans="1:4">
      <c r="A282" s="615" t="s">
        <v>3899</v>
      </c>
      <c r="B282" s="909" t="s">
        <v>880</v>
      </c>
      <c r="C282" s="82">
        <v>11115</v>
      </c>
      <c r="D282" s="1594">
        <v>4.49</v>
      </c>
    </row>
    <row r="283" spans="1:4">
      <c r="A283" s="615" t="s">
        <v>2234</v>
      </c>
      <c r="B283" s="909" t="s">
        <v>881</v>
      </c>
      <c r="C283" s="82">
        <v>2317</v>
      </c>
      <c r="D283" s="1594">
        <v>3.6</v>
      </c>
    </row>
    <row r="284" spans="1:4">
      <c r="A284" s="615" t="s">
        <v>1677</v>
      </c>
      <c r="B284" s="909" t="s">
        <v>882</v>
      </c>
      <c r="C284" s="82">
        <v>3113</v>
      </c>
      <c r="D284" s="1594">
        <v>4.3899999999999997</v>
      </c>
    </row>
    <row r="285" spans="1:4">
      <c r="A285" s="919" t="s">
        <v>8510</v>
      </c>
      <c r="B285" s="918" t="s">
        <v>8511</v>
      </c>
      <c r="C285" s="82">
        <v>11117</v>
      </c>
      <c r="D285" s="1594">
        <v>3.9</v>
      </c>
    </row>
    <row r="286" spans="1:4">
      <c r="A286" s="615" t="s">
        <v>2962</v>
      </c>
      <c r="B286" s="909" t="s">
        <v>883</v>
      </c>
      <c r="C286" s="82">
        <v>11118</v>
      </c>
      <c r="D286" s="1594">
        <v>4.5</v>
      </c>
    </row>
    <row r="287" spans="1:4">
      <c r="A287" s="615" t="s">
        <v>3842</v>
      </c>
      <c r="B287" s="909" t="s">
        <v>2876</v>
      </c>
      <c r="C287" s="82">
        <v>3110</v>
      </c>
      <c r="D287" s="1594">
        <v>4.05</v>
      </c>
    </row>
    <row r="288" spans="1:4">
      <c r="A288" s="615" t="s">
        <v>1065</v>
      </c>
      <c r="B288" s="909" t="s">
        <v>5451</v>
      </c>
      <c r="C288" s="82">
        <v>2959</v>
      </c>
      <c r="D288" s="1594">
        <v>2</v>
      </c>
    </row>
    <row r="289" spans="1:4">
      <c r="A289" s="615" t="s">
        <v>2894</v>
      </c>
      <c r="B289" s="909" t="s">
        <v>5452</v>
      </c>
      <c r="C289" s="82">
        <v>2156</v>
      </c>
      <c r="D289" s="1594">
        <v>3.11</v>
      </c>
    </row>
    <row r="290" spans="1:4">
      <c r="A290" s="615" t="s">
        <v>1311</v>
      </c>
      <c r="B290" s="909" t="s">
        <v>2428</v>
      </c>
      <c r="C290" s="82">
        <v>2806</v>
      </c>
      <c r="D290" s="1594">
        <v>4.22</v>
      </c>
    </row>
    <row r="291" spans="1:4">
      <c r="A291" s="615" t="s">
        <v>6474</v>
      </c>
      <c r="B291" s="853" t="s">
        <v>6473</v>
      </c>
      <c r="C291" s="82">
        <v>2809</v>
      </c>
      <c r="D291" s="1594">
        <v>4.2</v>
      </c>
    </row>
    <row r="292" spans="1:4">
      <c r="A292" s="615" t="s">
        <v>4826</v>
      </c>
      <c r="B292" s="909" t="s">
        <v>4947</v>
      </c>
      <c r="C292" s="82">
        <v>2022</v>
      </c>
      <c r="D292" s="1594">
        <v>4.5</v>
      </c>
    </row>
    <row r="293" spans="1:4">
      <c r="A293" s="615" t="s">
        <v>6888</v>
      </c>
      <c r="B293" s="853" t="s">
        <v>6887</v>
      </c>
      <c r="C293" s="82">
        <v>2023</v>
      </c>
      <c r="D293" s="1594">
        <v>4.2</v>
      </c>
    </row>
    <row r="294" spans="1:4">
      <c r="A294" s="919" t="s">
        <v>8512</v>
      </c>
      <c r="B294" s="918" t="s">
        <v>8513</v>
      </c>
      <c r="C294" s="82">
        <v>11128</v>
      </c>
      <c r="D294" s="1594">
        <v>3.9</v>
      </c>
    </row>
    <row r="295" spans="1:4">
      <c r="A295" s="615" t="s">
        <v>3722</v>
      </c>
      <c r="B295" s="909" t="s">
        <v>4948</v>
      </c>
      <c r="C295" s="82">
        <v>2021</v>
      </c>
      <c r="D295" s="1594">
        <v>4.5</v>
      </c>
    </row>
    <row r="296" spans="1:4">
      <c r="A296" s="615" t="s">
        <v>6589</v>
      </c>
      <c r="B296" s="853" t="s">
        <v>6588</v>
      </c>
      <c r="C296" s="82">
        <v>2816</v>
      </c>
      <c r="D296" s="1594">
        <v>4.2</v>
      </c>
    </row>
    <row r="297" spans="1:4">
      <c r="A297" s="615" t="s">
        <v>1243</v>
      </c>
      <c r="B297" s="909" t="s">
        <v>1244</v>
      </c>
      <c r="C297" s="82">
        <v>2812</v>
      </c>
      <c r="D297" s="1594">
        <v>4.3099999999999996</v>
      </c>
    </row>
    <row r="298" spans="1:4">
      <c r="A298" s="615" t="s">
        <v>5001</v>
      </c>
      <c r="B298" s="909" t="s">
        <v>769</v>
      </c>
      <c r="C298" s="82">
        <v>2808</v>
      </c>
      <c r="D298" s="1594">
        <v>4.24</v>
      </c>
    </row>
    <row r="299" spans="1:4">
      <c r="A299" s="615" t="s">
        <v>5356</v>
      </c>
      <c r="B299" s="909" t="s">
        <v>770</v>
      </c>
      <c r="C299" s="82">
        <v>2810</v>
      </c>
      <c r="D299" s="1594">
        <v>4.16</v>
      </c>
    </row>
    <row r="300" spans="1:4">
      <c r="A300" s="615" t="s">
        <v>331</v>
      </c>
      <c r="B300" s="909" t="s">
        <v>771</v>
      </c>
      <c r="C300" s="82">
        <v>2811</v>
      </c>
      <c r="D300" s="1594">
        <v>4.49</v>
      </c>
    </row>
    <row r="301" spans="1:4">
      <c r="A301" s="615" t="s">
        <v>1254</v>
      </c>
      <c r="B301" s="909" t="s">
        <v>772</v>
      </c>
      <c r="C301" s="82">
        <v>2807</v>
      </c>
      <c r="D301" s="1594">
        <v>4.49</v>
      </c>
    </row>
    <row r="302" spans="1:4">
      <c r="A302" s="615" t="s">
        <v>4029</v>
      </c>
      <c r="B302" s="909" t="s">
        <v>4030</v>
      </c>
      <c r="C302" s="82">
        <v>2020</v>
      </c>
      <c r="D302" s="1594">
        <v>4.1399999999999997</v>
      </c>
    </row>
    <row r="303" spans="1:4">
      <c r="A303" s="919" t="s">
        <v>8514</v>
      </c>
      <c r="B303" s="918" t="s">
        <v>8515</v>
      </c>
      <c r="C303" s="82">
        <v>2815</v>
      </c>
      <c r="D303" s="1594">
        <v>4.5999999999999996</v>
      </c>
    </row>
    <row r="304" spans="1:4">
      <c r="A304" s="615" t="s">
        <v>5251</v>
      </c>
      <c r="B304" s="909" t="s">
        <v>736</v>
      </c>
      <c r="C304" s="82">
        <v>11134</v>
      </c>
      <c r="D304" s="1594">
        <v>4.1500000000000004</v>
      </c>
    </row>
    <row r="305" spans="1:4">
      <c r="A305" s="615" t="s">
        <v>1253</v>
      </c>
      <c r="B305" s="909" t="s">
        <v>737</v>
      </c>
      <c r="C305" s="82">
        <v>2006</v>
      </c>
      <c r="D305" s="1594">
        <v>4.5</v>
      </c>
    </row>
    <row r="306" spans="1:4">
      <c r="A306" s="615" t="s">
        <v>3949</v>
      </c>
      <c r="B306" s="909" t="s">
        <v>738</v>
      </c>
      <c r="C306" s="82">
        <v>2799</v>
      </c>
      <c r="D306" s="1594">
        <v>4.53</v>
      </c>
    </row>
    <row r="307" spans="1:4">
      <c r="A307" s="615" t="s">
        <v>2132</v>
      </c>
      <c r="B307" s="909" t="s">
        <v>2446</v>
      </c>
      <c r="C307" s="82">
        <v>2636</v>
      </c>
      <c r="D307" s="1594">
        <v>3.43</v>
      </c>
    </row>
    <row r="308" spans="1:4">
      <c r="A308" s="615" t="s">
        <v>1222</v>
      </c>
      <c r="B308" s="909" t="s">
        <v>2447</v>
      </c>
      <c r="C308" s="82">
        <v>2635</v>
      </c>
      <c r="D308" s="1594">
        <v>3.5</v>
      </c>
    </row>
    <row r="309" spans="1:4">
      <c r="A309" s="615" t="s">
        <v>4932</v>
      </c>
      <c r="B309" s="909" t="s">
        <v>4704</v>
      </c>
      <c r="C309" s="82">
        <v>2693</v>
      </c>
      <c r="D309" s="1594">
        <v>2.1</v>
      </c>
    </row>
    <row r="310" spans="1:4">
      <c r="A310" s="615" t="s">
        <v>789</v>
      </c>
      <c r="B310" s="909" t="s">
        <v>3592</v>
      </c>
      <c r="C310" s="82">
        <v>2748</v>
      </c>
      <c r="D310" s="1594">
        <v>3.54</v>
      </c>
    </row>
    <row r="311" spans="1:4">
      <c r="A311" s="615" t="s">
        <v>6454</v>
      </c>
      <c r="B311" s="853" t="s">
        <v>6453</v>
      </c>
      <c r="C311" s="82">
        <v>16169</v>
      </c>
      <c r="D311" s="1594">
        <v>2</v>
      </c>
    </row>
    <row r="312" spans="1:4">
      <c r="A312" s="919" t="s">
        <v>8516</v>
      </c>
      <c r="B312" s="918" t="s">
        <v>8517</v>
      </c>
      <c r="C312" s="82">
        <v>11148</v>
      </c>
      <c r="D312" s="1594">
        <v>2</v>
      </c>
    </row>
    <row r="313" spans="1:4">
      <c r="A313" s="615" t="s">
        <v>223</v>
      </c>
      <c r="B313" s="909" t="s">
        <v>5378</v>
      </c>
      <c r="C313" s="82">
        <v>2896</v>
      </c>
      <c r="D313" s="1594">
        <v>3.25</v>
      </c>
    </row>
    <row r="314" spans="1:4">
      <c r="A314" s="615" t="s">
        <v>2367</v>
      </c>
      <c r="B314" s="909" t="s">
        <v>4987</v>
      </c>
      <c r="C314" s="82">
        <v>2953</v>
      </c>
      <c r="D314" s="1594">
        <v>2.99</v>
      </c>
    </row>
    <row r="315" spans="1:4">
      <c r="A315" s="615" t="s">
        <v>1675</v>
      </c>
      <c r="B315" s="909" t="s">
        <v>2581</v>
      </c>
      <c r="C315" s="82">
        <v>18760</v>
      </c>
      <c r="D315" s="1594">
        <v>3.62</v>
      </c>
    </row>
    <row r="316" spans="1:4">
      <c r="A316" s="615" t="s">
        <v>2369</v>
      </c>
      <c r="B316" s="909" t="s">
        <v>2370</v>
      </c>
      <c r="C316" s="82">
        <v>11161</v>
      </c>
      <c r="D316" s="1594">
        <v>3.81</v>
      </c>
    </row>
    <row r="317" spans="1:4">
      <c r="A317" s="615" t="s">
        <v>2216</v>
      </c>
      <c r="B317" s="909" t="s">
        <v>2582</v>
      </c>
      <c r="C317" s="82">
        <v>11162</v>
      </c>
      <c r="D317" s="1594">
        <v>3.9</v>
      </c>
    </row>
    <row r="318" spans="1:4">
      <c r="A318" s="919" t="s">
        <v>8518</v>
      </c>
      <c r="B318" s="918" t="s">
        <v>8519</v>
      </c>
      <c r="C318" s="82">
        <v>11165</v>
      </c>
      <c r="D318" s="1594">
        <v>3.4</v>
      </c>
    </row>
    <row r="319" spans="1:4">
      <c r="A319" s="615" t="s">
        <v>1786</v>
      </c>
      <c r="B319" s="909" t="s">
        <v>2583</v>
      </c>
      <c r="C319" s="82">
        <v>11168</v>
      </c>
      <c r="D319" s="1594">
        <v>3.57</v>
      </c>
    </row>
    <row r="320" spans="1:4">
      <c r="A320" s="615" t="s">
        <v>3776</v>
      </c>
      <c r="B320" s="909" t="s">
        <v>2584</v>
      </c>
      <c r="C320" s="82">
        <v>3644</v>
      </c>
      <c r="D320" s="1594">
        <v>3.81</v>
      </c>
    </row>
    <row r="321" spans="1:4">
      <c r="A321" s="615" t="s">
        <v>6818</v>
      </c>
      <c r="B321" s="853" t="s">
        <v>6817</v>
      </c>
      <c r="C321" s="82">
        <v>11175</v>
      </c>
      <c r="D321" s="1594">
        <v>3.5</v>
      </c>
    </row>
    <row r="322" spans="1:4">
      <c r="A322" s="615" t="s">
        <v>488</v>
      </c>
      <c r="B322" s="909" t="s">
        <v>2585</v>
      </c>
      <c r="C322" s="82">
        <v>3316</v>
      </c>
      <c r="D322" s="1594">
        <v>3.72</v>
      </c>
    </row>
    <row r="323" spans="1:4">
      <c r="A323" s="615" t="s">
        <v>710</v>
      </c>
      <c r="B323" s="909" t="s">
        <v>2586</v>
      </c>
      <c r="C323" s="82">
        <v>11176</v>
      </c>
      <c r="D323" s="1594">
        <v>3.92</v>
      </c>
    </row>
    <row r="324" spans="1:4">
      <c r="A324" s="615" t="s">
        <v>1596</v>
      </c>
      <c r="B324" s="909" t="s">
        <v>739</v>
      </c>
      <c r="C324" s="82">
        <v>2835</v>
      </c>
      <c r="D324" s="1594">
        <v>4.13</v>
      </c>
    </row>
    <row r="325" spans="1:4">
      <c r="A325" s="615" t="s">
        <v>4066</v>
      </c>
      <c r="B325" s="909" t="s">
        <v>1057</v>
      </c>
      <c r="C325" s="82">
        <v>2837</v>
      </c>
      <c r="D325" s="1594">
        <v>4.43</v>
      </c>
    </row>
    <row r="326" spans="1:4">
      <c r="A326" s="615" t="s">
        <v>3135</v>
      </c>
      <c r="B326" s="909" t="s">
        <v>740</v>
      </c>
      <c r="C326" s="82">
        <v>2036</v>
      </c>
      <c r="D326" s="1594">
        <v>4.22</v>
      </c>
    </row>
    <row r="327" spans="1:4">
      <c r="A327" s="615" t="s">
        <v>1643</v>
      </c>
      <c r="B327" s="909" t="s">
        <v>2421</v>
      </c>
      <c r="C327" s="82">
        <v>3066</v>
      </c>
      <c r="D327" s="1594">
        <v>4.07</v>
      </c>
    </row>
    <row r="328" spans="1:4">
      <c r="A328" s="615" t="s">
        <v>3287</v>
      </c>
      <c r="B328" s="909" t="s">
        <v>2422</v>
      </c>
      <c r="C328" s="82">
        <v>2274</v>
      </c>
      <c r="D328" s="1594">
        <v>4.41</v>
      </c>
    </row>
    <row r="329" spans="1:4">
      <c r="A329" s="919" t="s">
        <v>8520</v>
      </c>
      <c r="B329" s="918" t="s">
        <v>8521</v>
      </c>
      <c r="C329" s="82">
        <v>20417</v>
      </c>
      <c r="D329" s="1594">
        <v>3.8</v>
      </c>
    </row>
    <row r="330" spans="1:4">
      <c r="A330" s="615" t="s">
        <v>4931</v>
      </c>
      <c r="B330" s="909" t="s">
        <v>2423</v>
      </c>
      <c r="C330" s="82">
        <v>3079</v>
      </c>
      <c r="D330" s="1594">
        <v>3.98</v>
      </c>
    </row>
    <row r="331" spans="1:4">
      <c r="A331" s="615" t="s">
        <v>2181</v>
      </c>
      <c r="B331" s="909" t="s">
        <v>716</v>
      </c>
      <c r="C331" s="82">
        <v>2045</v>
      </c>
      <c r="D331" s="1594">
        <v>3.9</v>
      </c>
    </row>
    <row r="332" spans="1:4">
      <c r="A332" s="615" t="s">
        <v>4134</v>
      </c>
      <c r="B332" s="909" t="s">
        <v>717</v>
      </c>
      <c r="C332" s="82">
        <v>2039</v>
      </c>
      <c r="D332" s="1594">
        <v>4.3499999999999996</v>
      </c>
    </row>
    <row r="333" spans="1:4">
      <c r="A333" s="615" t="s">
        <v>2975</v>
      </c>
      <c r="B333" s="909" t="s">
        <v>718</v>
      </c>
      <c r="C333" s="82">
        <v>2040</v>
      </c>
      <c r="D333" s="1594">
        <v>4.16</v>
      </c>
    </row>
    <row r="334" spans="1:4">
      <c r="A334" s="919" t="s">
        <v>8522</v>
      </c>
      <c r="B334" s="918" t="s">
        <v>8523</v>
      </c>
      <c r="C334" s="82">
        <v>11200</v>
      </c>
      <c r="D334" s="1594">
        <v>4.5</v>
      </c>
    </row>
    <row r="335" spans="1:4">
      <c r="A335" s="919" t="s">
        <v>8524</v>
      </c>
      <c r="B335" s="918" t="s">
        <v>8525</v>
      </c>
      <c r="C335" s="82">
        <v>11201</v>
      </c>
      <c r="D335" s="1594">
        <v>4.5</v>
      </c>
    </row>
    <row r="336" spans="1:4">
      <c r="A336" s="615" t="s">
        <v>2663</v>
      </c>
      <c r="B336" s="909" t="s">
        <v>5049</v>
      </c>
      <c r="C336" s="82">
        <v>11204</v>
      </c>
      <c r="D336" s="1594">
        <v>4.4800000000000004</v>
      </c>
    </row>
    <row r="337" spans="1:4">
      <c r="A337" s="615" t="s">
        <v>5123</v>
      </c>
      <c r="B337" s="909" t="s">
        <v>5124</v>
      </c>
      <c r="C337" s="82">
        <v>19041</v>
      </c>
      <c r="D337" s="1594">
        <v>4.2</v>
      </c>
    </row>
    <row r="338" spans="1:4">
      <c r="A338" s="615" t="s">
        <v>5435</v>
      </c>
      <c r="B338" s="909" t="s">
        <v>5050</v>
      </c>
      <c r="C338" s="82">
        <v>11207</v>
      </c>
      <c r="D338" s="1594">
        <v>4.05</v>
      </c>
    </row>
    <row r="339" spans="1:4">
      <c r="A339" s="615" t="s">
        <v>2570</v>
      </c>
      <c r="B339" s="909" t="s">
        <v>4300</v>
      </c>
      <c r="C339" s="82">
        <v>11208</v>
      </c>
      <c r="D339" s="1594">
        <v>4.1399999999999997</v>
      </c>
    </row>
    <row r="340" spans="1:4">
      <c r="A340" s="615" t="s">
        <v>233</v>
      </c>
      <c r="B340" s="909" t="s">
        <v>4301</v>
      </c>
      <c r="C340" s="82">
        <v>11210</v>
      </c>
      <c r="D340" s="1594">
        <v>4.3600000000000003</v>
      </c>
    </row>
    <row r="341" spans="1:4">
      <c r="A341" s="615" t="s">
        <v>3249</v>
      </c>
      <c r="B341" s="909" t="s">
        <v>1483</v>
      </c>
      <c r="C341" s="82">
        <v>3560</v>
      </c>
      <c r="D341" s="1594">
        <v>3.2</v>
      </c>
    </row>
    <row r="342" spans="1:4">
      <c r="A342" s="615" t="s">
        <v>2010</v>
      </c>
      <c r="B342" s="909" t="s">
        <v>2010</v>
      </c>
      <c r="C342" s="82"/>
      <c r="D342" s="1594">
        <v>4.5</v>
      </c>
    </row>
    <row r="343" spans="1:4">
      <c r="A343" s="615" t="s">
        <v>1152</v>
      </c>
      <c r="B343" s="909" t="s">
        <v>1152</v>
      </c>
      <c r="C343" s="82"/>
      <c r="D343" s="1594">
        <v>4.1533011003667903</v>
      </c>
    </row>
    <row r="344" spans="1:4">
      <c r="A344" s="615" t="s">
        <v>6569</v>
      </c>
      <c r="B344" s="853" t="s">
        <v>6568</v>
      </c>
      <c r="C344" s="82">
        <v>11216</v>
      </c>
      <c r="D344" s="1594">
        <v>3.6</v>
      </c>
    </row>
    <row r="345" spans="1:4">
      <c r="A345" s="615" t="s">
        <v>2951</v>
      </c>
      <c r="B345" s="909" t="s">
        <v>1054</v>
      </c>
      <c r="C345" s="82">
        <v>11224</v>
      </c>
      <c r="D345" s="1594">
        <v>3.13</v>
      </c>
    </row>
    <row r="346" spans="1:4">
      <c r="A346" s="615" t="s">
        <v>3289</v>
      </c>
      <c r="B346" s="909" t="s">
        <v>4119</v>
      </c>
      <c r="C346" s="82">
        <v>3535</v>
      </c>
      <c r="D346" s="1594">
        <v>2.1</v>
      </c>
    </row>
    <row r="347" spans="1:4">
      <c r="A347" s="615" t="s">
        <v>4476</v>
      </c>
      <c r="B347" s="909" t="s">
        <v>5301</v>
      </c>
      <c r="C347" s="82">
        <v>17421</v>
      </c>
      <c r="D347" s="1594">
        <v>2.0935528537656198</v>
      </c>
    </row>
    <row r="348" spans="1:4">
      <c r="A348" s="615" t="s">
        <v>4718</v>
      </c>
      <c r="B348" s="909" t="s">
        <v>1671</v>
      </c>
      <c r="C348" s="82">
        <v>2108</v>
      </c>
      <c r="D348" s="1594">
        <v>2.11</v>
      </c>
    </row>
    <row r="349" spans="1:4">
      <c r="A349" s="615" t="s">
        <v>2186</v>
      </c>
      <c r="B349" s="909" t="s">
        <v>1672</v>
      </c>
      <c r="C349" s="82">
        <v>2920</v>
      </c>
      <c r="D349" s="1594">
        <v>2.4700000000000002</v>
      </c>
    </row>
    <row r="350" spans="1:4">
      <c r="A350" s="615" t="s">
        <v>2180</v>
      </c>
      <c r="B350" s="909" t="s">
        <v>719</v>
      </c>
      <c r="C350" s="82">
        <v>2005</v>
      </c>
      <c r="D350" s="1594">
        <v>3.2</v>
      </c>
    </row>
    <row r="351" spans="1:4">
      <c r="A351" s="615" t="s">
        <v>207</v>
      </c>
      <c r="B351" s="909" t="s">
        <v>208</v>
      </c>
      <c r="C351" s="82">
        <v>16221</v>
      </c>
      <c r="D351" s="1594">
        <v>3.3182763159269002</v>
      </c>
    </row>
    <row r="352" spans="1:4">
      <c r="A352" s="615" t="s">
        <v>6611</v>
      </c>
      <c r="B352" s="853" t="s">
        <v>6610</v>
      </c>
      <c r="C352" s="82">
        <v>6612</v>
      </c>
      <c r="D352" s="1594">
        <v>2</v>
      </c>
    </row>
    <row r="353" spans="1:4">
      <c r="A353" s="615" t="s">
        <v>6939</v>
      </c>
      <c r="B353" s="853" t="s">
        <v>6938</v>
      </c>
      <c r="C353" s="82">
        <v>3485</v>
      </c>
      <c r="D353" s="1594">
        <v>2</v>
      </c>
    </row>
    <row r="354" spans="1:4">
      <c r="A354" s="615" t="s">
        <v>6880</v>
      </c>
      <c r="B354" s="853" t="s">
        <v>6879</v>
      </c>
      <c r="C354" s="82">
        <v>19218</v>
      </c>
      <c r="D354" s="1594">
        <v>2</v>
      </c>
    </row>
    <row r="355" spans="1:4">
      <c r="A355" s="615" t="s">
        <v>5358</v>
      </c>
      <c r="B355" s="853" t="s">
        <v>6805</v>
      </c>
      <c r="C355" s="82">
        <v>2649</v>
      </c>
      <c r="D355" s="1594">
        <v>2</v>
      </c>
    </row>
    <row r="356" spans="1:4">
      <c r="A356" s="615" t="s">
        <v>6523</v>
      </c>
      <c r="B356" s="853" t="s">
        <v>6522</v>
      </c>
      <c r="C356" s="82">
        <v>3484</v>
      </c>
      <c r="D356" s="1594">
        <v>2</v>
      </c>
    </row>
    <row r="357" spans="1:4">
      <c r="A357" s="615" t="s">
        <v>5629</v>
      </c>
      <c r="B357" s="909" t="s">
        <v>3870</v>
      </c>
      <c r="C357" s="82">
        <v>3245</v>
      </c>
      <c r="D357" s="1594">
        <v>3.47</v>
      </c>
    </row>
    <row r="358" spans="1:4">
      <c r="A358" s="615" t="s">
        <v>3055</v>
      </c>
      <c r="B358" s="909" t="s">
        <v>3871</v>
      </c>
      <c r="C358" s="82">
        <v>2453</v>
      </c>
      <c r="D358" s="1594">
        <v>3.32</v>
      </c>
    </row>
    <row r="359" spans="1:4">
      <c r="A359" s="615" t="s">
        <v>6763</v>
      </c>
      <c r="B359" s="853" t="s">
        <v>6762</v>
      </c>
      <c r="C359" s="82">
        <v>11253</v>
      </c>
      <c r="D359" s="1594">
        <v>3.7</v>
      </c>
    </row>
    <row r="360" spans="1:4">
      <c r="A360" s="615" t="s">
        <v>3456</v>
      </c>
      <c r="B360" s="909" t="s">
        <v>4988</v>
      </c>
      <c r="C360" s="82">
        <v>11264</v>
      </c>
      <c r="D360" s="1594">
        <v>3.37</v>
      </c>
    </row>
    <row r="361" spans="1:4">
      <c r="A361" s="615" t="s">
        <v>3520</v>
      </c>
      <c r="B361" s="909" t="s">
        <v>3521</v>
      </c>
      <c r="C361" s="82">
        <v>19142</v>
      </c>
      <c r="D361" s="1594">
        <v>3.01</v>
      </c>
    </row>
    <row r="362" spans="1:4">
      <c r="A362" s="615" t="s">
        <v>3503</v>
      </c>
      <c r="B362" s="909" t="s">
        <v>4167</v>
      </c>
      <c r="C362" s="82">
        <v>2697</v>
      </c>
      <c r="D362" s="1594">
        <v>2.1</v>
      </c>
    </row>
    <row r="363" spans="1:4">
      <c r="A363" s="615" t="s">
        <v>5344</v>
      </c>
      <c r="B363" s="909" t="s">
        <v>3990</v>
      </c>
      <c r="C363" s="82">
        <v>11268</v>
      </c>
      <c r="D363" s="1594">
        <v>3.94</v>
      </c>
    </row>
    <row r="364" spans="1:4">
      <c r="A364" s="615" t="s">
        <v>3556</v>
      </c>
      <c r="B364" s="909" t="s">
        <v>1050</v>
      </c>
      <c r="C364" s="82">
        <v>2450</v>
      </c>
      <c r="D364" s="1594">
        <v>3.23</v>
      </c>
    </row>
    <row r="365" spans="1:4">
      <c r="A365" s="615" t="s">
        <v>3849</v>
      </c>
      <c r="B365" s="909" t="s">
        <v>1338</v>
      </c>
      <c r="C365" s="82">
        <v>2270</v>
      </c>
      <c r="D365" s="1594">
        <v>4.2</v>
      </c>
    </row>
    <row r="366" spans="1:4">
      <c r="A366" s="615" t="s">
        <v>3797</v>
      </c>
      <c r="B366" s="909" t="s">
        <v>2345</v>
      </c>
      <c r="C366" s="82">
        <v>2271</v>
      </c>
      <c r="D366" s="1594">
        <v>3.85</v>
      </c>
    </row>
    <row r="367" spans="1:4">
      <c r="A367" s="615" t="s">
        <v>5603</v>
      </c>
      <c r="B367" s="909" t="s">
        <v>2346</v>
      </c>
      <c r="C367" s="82">
        <v>3060</v>
      </c>
      <c r="D367" s="1594">
        <v>3.97</v>
      </c>
    </row>
    <row r="368" spans="1:4">
      <c r="A368" s="615" t="s">
        <v>3312</v>
      </c>
      <c r="B368" s="909" t="s">
        <v>621</v>
      </c>
      <c r="C368" s="82">
        <v>3062</v>
      </c>
      <c r="D368" s="1594">
        <v>3.65</v>
      </c>
    </row>
    <row r="369" spans="1:4">
      <c r="A369" s="615" t="s">
        <v>6524</v>
      </c>
      <c r="B369" s="909" t="s">
        <v>1051</v>
      </c>
      <c r="C369" s="82">
        <v>2449</v>
      </c>
      <c r="D369" s="1594">
        <v>3.59</v>
      </c>
    </row>
    <row r="370" spans="1:4">
      <c r="A370" s="615" t="s">
        <v>4878</v>
      </c>
      <c r="B370" s="909" t="s">
        <v>1052</v>
      </c>
      <c r="C370" s="82">
        <v>3248</v>
      </c>
      <c r="D370" s="1594">
        <v>3.25</v>
      </c>
    </row>
    <row r="371" spans="1:4">
      <c r="A371" s="615" t="s">
        <v>4310</v>
      </c>
      <c r="B371" s="909" t="s">
        <v>1572</v>
      </c>
      <c r="C371" s="82">
        <v>2114</v>
      </c>
      <c r="D371" s="1594">
        <v>2.0299999999999998</v>
      </c>
    </row>
    <row r="372" spans="1:4">
      <c r="A372" s="615" t="s">
        <v>1810</v>
      </c>
      <c r="B372" s="909" t="s">
        <v>622</v>
      </c>
      <c r="C372" s="82">
        <v>2950</v>
      </c>
      <c r="D372" s="1594">
        <v>3</v>
      </c>
    </row>
    <row r="373" spans="1:4">
      <c r="A373" s="615" t="s">
        <v>1712</v>
      </c>
      <c r="B373" s="909" t="s">
        <v>2448</v>
      </c>
      <c r="C373" s="82">
        <v>18867</v>
      </c>
      <c r="D373" s="1594">
        <v>2.501218236046268</v>
      </c>
    </row>
    <row r="374" spans="1:4">
      <c r="A374" s="615" t="s">
        <v>302</v>
      </c>
      <c r="B374" s="909" t="s">
        <v>303</v>
      </c>
      <c r="C374" s="82">
        <v>18825</v>
      </c>
      <c r="D374" s="1594">
        <v>3.99</v>
      </c>
    </row>
    <row r="375" spans="1:4">
      <c r="A375" s="615" t="s">
        <v>3546</v>
      </c>
      <c r="B375" s="909" t="s">
        <v>1053</v>
      </c>
      <c r="C375" s="82">
        <v>3228</v>
      </c>
      <c r="D375" s="1594">
        <v>3.18</v>
      </c>
    </row>
    <row r="376" spans="1:4">
      <c r="A376" s="615" t="s">
        <v>2859</v>
      </c>
      <c r="B376" s="909" t="s">
        <v>3132</v>
      </c>
      <c r="C376" s="82">
        <v>2427</v>
      </c>
      <c r="D376" s="1594">
        <v>3.33</v>
      </c>
    </row>
    <row r="377" spans="1:4">
      <c r="A377" s="615" t="s">
        <v>1312</v>
      </c>
      <c r="B377" s="909" t="s">
        <v>1992</v>
      </c>
      <c r="C377" s="82">
        <v>2379</v>
      </c>
      <c r="D377" s="1594">
        <v>3.54</v>
      </c>
    </row>
    <row r="378" spans="1:4">
      <c r="A378" s="615" t="s">
        <v>4674</v>
      </c>
      <c r="B378" s="909" t="s">
        <v>3133</v>
      </c>
      <c r="C378" s="82">
        <v>3337</v>
      </c>
      <c r="D378" s="1594">
        <v>4.21</v>
      </c>
    </row>
    <row r="379" spans="1:4">
      <c r="A379" s="615" t="s">
        <v>3343</v>
      </c>
      <c r="B379" s="909" t="s">
        <v>243</v>
      </c>
      <c r="C379" s="82">
        <v>3336</v>
      </c>
      <c r="D379" s="1594">
        <v>3.68</v>
      </c>
    </row>
    <row r="380" spans="1:4">
      <c r="A380" s="615" t="s">
        <v>1148</v>
      </c>
      <c r="B380" s="909" t="s">
        <v>391</v>
      </c>
      <c r="C380" s="82">
        <v>11317</v>
      </c>
      <c r="D380" s="1594">
        <v>3.42</v>
      </c>
    </row>
    <row r="381" spans="1:4">
      <c r="A381" s="615" t="s">
        <v>3594</v>
      </c>
      <c r="B381" s="909" t="s">
        <v>392</v>
      </c>
      <c r="C381" s="82">
        <v>2530</v>
      </c>
      <c r="D381" s="1594">
        <v>3.65</v>
      </c>
    </row>
    <row r="382" spans="1:4">
      <c r="A382" s="615" t="s">
        <v>3154</v>
      </c>
      <c r="B382" s="909" t="s">
        <v>1993</v>
      </c>
      <c r="C382" s="82">
        <v>2260</v>
      </c>
      <c r="D382" s="1594">
        <v>2.5</v>
      </c>
    </row>
    <row r="383" spans="1:4">
      <c r="A383" s="615" t="s">
        <v>6914</v>
      </c>
      <c r="B383" s="853" t="s">
        <v>6913</v>
      </c>
      <c r="C383" s="82">
        <v>11324</v>
      </c>
      <c r="D383" s="1594">
        <v>2</v>
      </c>
    </row>
    <row r="384" spans="1:4">
      <c r="A384" s="615" t="s">
        <v>748</v>
      </c>
      <c r="B384" s="909" t="s">
        <v>3593</v>
      </c>
      <c r="C384" s="82">
        <v>3605</v>
      </c>
      <c r="D384" s="1594">
        <v>2</v>
      </c>
    </row>
    <row r="385" spans="1:4">
      <c r="A385" s="615" t="s">
        <v>4395</v>
      </c>
      <c r="B385" s="853" t="s">
        <v>6804</v>
      </c>
      <c r="C385" s="82">
        <v>2625</v>
      </c>
      <c r="D385" s="1594">
        <v>2</v>
      </c>
    </row>
    <row r="386" spans="1:4">
      <c r="A386" s="615" t="s">
        <v>2648</v>
      </c>
      <c r="B386" s="909" t="s">
        <v>720</v>
      </c>
      <c r="C386" s="82">
        <v>2869</v>
      </c>
      <c r="D386" s="1594">
        <v>3.5</v>
      </c>
    </row>
    <row r="387" spans="1:4">
      <c r="A387" s="615" t="s">
        <v>6849</v>
      </c>
      <c r="B387" s="853" t="s">
        <v>6848</v>
      </c>
      <c r="C387" s="82">
        <v>11350</v>
      </c>
      <c r="D387" s="1594">
        <v>2</v>
      </c>
    </row>
    <row r="388" spans="1:4">
      <c r="A388" s="615" t="s">
        <v>1223</v>
      </c>
      <c r="B388" s="909" t="s">
        <v>4665</v>
      </c>
      <c r="C388" s="82">
        <v>3389</v>
      </c>
      <c r="D388" s="1594">
        <v>3.66</v>
      </c>
    </row>
    <row r="389" spans="1:4">
      <c r="A389" s="615" t="s">
        <v>5709</v>
      </c>
      <c r="B389" s="909" t="s">
        <v>4698</v>
      </c>
      <c r="C389" s="82">
        <v>17545</v>
      </c>
      <c r="D389" s="1594">
        <v>2.0617598316454031</v>
      </c>
    </row>
    <row r="390" spans="1:4">
      <c r="A390" s="615" t="s">
        <v>6529</v>
      </c>
      <c r="B390" s="909" t="s">
        <v>2624</v>
      </c>
      <c r="C390" s="82">
        <v>11351</v>
      </c>
      <c r="D390" s="1594">
        <v>3.76</v>
      </c>
    </row>
    <row r="391" spans="1:4">
      <c r="A391" s="615" t="s">
        <v>6530</v>
      </c>
      <c r="B391" s="909" t="s">
        <v>393</v>
      </c>
      <c r="C391" s="82">
        <v>2452</v>
      </c>
      <c r="D391" s="1594">
        <v>3.73</v>
      </c>
    </row>
    <row r="392" spans="1:4">
      <c r="A392" s="615" t="s">
        <v>5671</v>
      </c>
      <c r="B392" s="909" t="s">
        <v>5672</v>
      </c>
      <c r="C392" s="82">
        <v>3247</v>
      </c>
      <c r="D392" s="1594">
        <v>3.85</v>
      </c>
    </row>
    <row r="393" spans="1:4">
      <c r="A393" s="615" t="s">
        <v>3919</v>
      </c>
      <c r="B393" s="909" t="s">
        <v>394</v>
      </c>
      <c r="C393" s="82">
        <v>2451</v>
      </c>
      <c r="D393" s="1594">
        <v>3.85</v>
      </c>
    </row>
    <row r="394" spans="1:4">
      <c r="A394" s="919" t="s">
        <v>8526</v>
      </c>
      <c r="B394" s="918" t="s">
        <v>8527</v>
      </c>
      <c r="C394" s="82">
        <v>18728</v>
      </c>
      <c r="D394" s="1594">
        <v>2.2999999999999998</v>
      </c>
    </row>
    <row r="395" spans="1:4">
      <c r="A395" s="615" t="s">
        <v>6809</v>
      </c>
      <c r="B395" s="853" t="s">
        <v>6808</v>
      </c>
      <c r="C395" s="82">
        <v>6611</v>
      </c>
      <c r="D395" s="1594">
        <v>2</v>
      </c>
    </row>
    <row r="396" spans="1:4">
      <c r="A396" s="615" t="s">
        <v>1692</v>
      </c>
      <c r="B396" s="909" t="s">
        <v>2449</v>
      </c>
      <c r="C396" s="82">
        <v>2644</v>
      </c>
      <c r="D396" s="1594">
        <v>2.2000000000000002</v>
      </c>
    </row>
    <row r="397" spans="1:4">
      <c r="A397" s="615" t="s">
        <v>164</v>
      </c>
      <c r="B397" s="909" t="s">
        <v>2450</v>
      </c>
      <c r="C397" s="82">
        <v>3477</v>
      </c>
      <c r="D397" s="1594">
        <v>2.2999999999999998</v>
      </c>
    </row>
    <row r="398" spans="1:4">
      <c r="A398" s="615" t="s">
        <v>3467</v>
      </c>
      <c r="B398" s="909" t="s">
        <v>1673</v>
      </c>
      <c r="C398" s="82">
        <v>2113</v>
      </c>
      <c r="D398" s="1594">
        <v>4.5</v>
      </c>
    </row>
    <row r="399" spans="1:4">
      <c r="A399" s="615" t="s">
        <v>4109</v>
      </c>
      <c r="B399" s="909" t="s">
        <v>5177</v>
      </c>
      <c r="C399" s="82">
        <v>11354</v>
      </c>
      <c r="D399" s="1594">
        <v>4.1920000000000002</v>
      </c>
    </row>
    <row r="400" spans="1:4">
      <c r="A400" s="615" t="s">
        <v>5118</v>
      </c>
      <c r="B400" s="909" t="s">
        <v>1002</v>
      </c>
      <c r="C400" s="82">
        <v>2926</v>
      </c>
      <c r="D400" s="1594">
        <v>4.3499999999999996</v>
      </c>
    </row>
    <row r="401" spans="1:4">
      <c r="A401" s="615" t="s">
        <v>6531</v>
      </c>
      <c r="B401" s="909" t="s">
        <v>422</v>
      </c>
      <c r="C401" s="82">
        <v>19096</v>
      </c>
      <c r="D401" s="1594">
        <v>3.12</v>
      </c>
    </row>
    <row r="402" spans="1:4">
      <c r="A402" s="615" t="s">
        <v>4290</v>
      </c>
      <c r="B402" s="909" t="s">
        <v>4291</v>
      </c>
      <c r="C402" s="82">
        <v>19040</v>
      </c>
      <c r="D402" s="1594">
        <v>4.5</v>
      </c>
    </row>
    <row r="403" spans="1:4">
      <c r="A403" s="615" t="s">
        <v>1682</v>
      </c>
      <c r="B403" s="909" t="s">
        <v>1564</v>
      </c>
      <c r="C403" s="82">
        <v>2684</v>
      </c>
      <c r="D403" s="1594">
        <v>2.1</v>
      </c>
    </row>
    <row r="404" spans="1:4">
      <c r="A404" s="615" t="s">
        <v>6532</v>
      </c>
      <c r="B404" s="909" t="s">
        <v>5723</v>
      </c>
      <c r="C404" s="82">
        <v>2145</v>
      </c>
      <c r="D404" s="1594">
        <v>3.89</v>
      </c>
    </row>
    <row r="405" spans="1:4">
      <c r="A405" s="615" t="s">
        <v>1516</v>
      </c>
      <c r="B405" s="909" t="s">
        <v>1797</v>
      </c>
      <c r="C405" s="82">
        <v>3626</v>
      </c>
      <c r="D405" s="1594">
        <v>1</v>
      </c>
    </row>
    <row r="406" spans="1:4">
      <c r="A406" s="615" t="s">
        <v>3253</v>
      </c>
      <c r="B406" s="909" t="s">
        <v>2877</v>
      </c>
      <c r="C406" s="82">
        <v>2325</v>
      </c>
      <c r="D406" s="1594">
        <v>3.21</v>
      </c>
    </row>
    <row r="407" spans="1:4">
      <c r="A407" s="615" t="s">
        <v>1491</v>
      </c>
      <c r="B407" s="909" t="s">
        <v>4051</v>
      </c>
      <c r="C407" s="82">
        <v>11371</v>
      </c>
      <c r="D407" s="1594">
        <v>2.54</v>
      </c>
    </row>
    <row r="408" spans="1:4">
      <c r="A408" s="615" t="s">
        <v>6534</v>
      </c>
      <c r="B408" s="853" t="s">
        <v>6533</v>
      </c>
      <c r="C408" s="82">
        <v>18446</v>
      </c>
      <c r="D408" s="1594">
        <v>2</v>
      </c>
    </row>
    <row r="409" spans="1:4">
      <c r="A409" s="615" t="s">
        <v>3455</v>
      </c>
      <c r="B409" s="909" t="s">
        <v>4989</v>
      </c>
      <c r="C409" s="82">
        <v>11379</v>
      </c>
      <c r="D409" s="1594">
        <v>2</v>
      </c>
    </row>
    <row r="410" spans="1:4">
      <c r="A410" s="615" t="s">
        <v>58</v>
      </c>
      <c r="B410" s="909" t="s">
        <v>2027</v>
      </c>
      <c r="C410" s="82">
        <v>2788</v>
      </c>
      <c r="D410" s="1594">
        <v>1</v>
      </c>
    </row>
    <row r="411" spans="1:4">
      <c r="A411" s="615" t="s">
        <v>4776</v>
      </c>
      <c r="B411" s="909" t="s">
        <v>864</v>
      </c>
      <c r="C411" s="82">
        <v>2690</v>
      </c>
      <c r="D411" s="1594">
        <v>2.1</v>
      </c>
    </row>
    <row r="412" spans="1:4">
      <c r="A412" s="615" t="s">
        <v>4286</v>
      </c>
      <c r="B412" s="909" t="s">
        <v>4287</v>
      </c>
      <c r="C412" s="82">
        <v>19038</v>
      </c>
      <c r="D412" s="1594">
        <v>2.85</v>
      </c>
    </row>
    <row r="413" spans="1:4">
      <c r="A413" s="615" t="s">
        <v>6654</v>
      </c>
      <c r="B413" s="853" t="s">
        <v>6653</v>
      </c>
      <c r="C413" s="82">
        <v>11398</v>
      </c>
      <c r="D413" s="1594">
        <v>3.9</v>
      </c>
    </row>
    <row r="414" spans="1:4">
      <c r="A414" s="615" t="s">
        <v>2643</v>
      </c>
      <c r="B414" s="909" t="s">
        <v>2310</v>
      </c>
      <c r="C414" s="82">
        <v>2187</v>
      </c>
      <c r="D414" s="1594">
        <v>2.58</v>
      </c>
    </row>
    <row r="415" spans="1:4">
      <c r="A415" s="615" t="s">
        <v>6536</v>
      </c>
      <c r="B415" s="853" t="s">
        <v>6535</v>
      </c>
      <c r="C415" s="82">
        <v>19544</v>
      </c>
      <c r="D415" s="1594">
        <v>2</v>
      </c>
    </row>
    <row r="416" spans="1:4">
      <c r="A416" s="615" t="s">
        <v>6538</v>
      </c>
      <c r="B416" s="853" t="s">
        <v>6537</v>
      </c>
      <c r="C416" s="82">
        <v>19545</v>
      </c>
      <c r="D416" s="1594">
        <v>3.7</v>
      </c>
    </row>
    <row r="417" spans="1:4">
      <c r="A417" s="615" t="s">
        <v>1784</v>
      </c>
      <c r="B417" s="909" t="s">
        <v>3411</v>
      </c>
      <c r="C417" s="82">
        <v>2186</v>
      </c>
      <c r="D417" s="1594">
        <v>3.02</v>
      </c>
    </row>
    <row r="418" spans="1:4">
      <c r="A418" s="615" t="s">
        <v>6540</v>
      </c>
      <c r="B418" s="853" t="s">
        <v>6539</v>
      </c>
      <c r="C418" s="82">
        <v>19546</v>
      </c>
      <c r="D418" s="1594">
        <v>3.3</v>
      </c>
    </row>
    <row r="419" spans="1:4">
      <c r="A419" s="615" t="s">
        <v>330</v>
      </c>
      <c r="B419" s="909" t="s">
        <v>1994</v>
      </c>
      <c r="C419" s="82">
        <v>3195</v>
      </c>
      <c r="D419" s="1594">
        <v>3.61</v>
      </c>
    </row>
    <row r="420" spans="1:4">
      <c r="A420" s="615" t="s">
        <v>3174</v>
      </c>
      <c r="B420" s="909" t="s">
        <v>3921</v>
      </c>
      <c r="C420" s="82">
        <v>3220</v>
      </c>
      <c r="D420" s="1594">
        <v>4.5</v>
      </c>
    </row>
    <row r="421" spans="1:4">
      <c r="A421" s="615" t="s">
        <v>4304</v>
      </c>
      <c r="B421" s="909" t="s">
        <v>5361</v>
      </c>
      <c r="C421" s="82">
        <v>3219</v>
      </c>
      <c r="D421" s="1594">
        <v>3.96</v>
      </c>
    </row>
    <row r="422" spans="1:4">
      <c r="A422" s="615" t="s">
        <v>2728</v>
      </c>
      <c r="B422" s="909" t="s">
        <v>5362</v>
      </c>
      <c r="C422" s="82">
        <v>3215</v>
      </c>
      <c r="D422" s="1594">
        <v>2.99</v>
      </c>
    </row>
    <row r="423" spans="1:4">
      <c r="A423" s="615" t="s">
        <v>2192</v>
      </c>
      <c r="B423" s="909" t="s">
        <v>2572</v>
      </c>
      <c r="C423" s="82">
        <v>15139</v>
      </c>
      <c r="D423" s="1594">
        <v>3.66</v>
      </c>
    </row>
    <row r="424" spans="1:4">
      <c r="A424" s="615" t="s">
        <v>1535</v>
      </c>
      <c r="B424" s="909" t="s">
        <v>4990</v>
      </c>
      <c r="C424" s="82">
        <v>2162</v>
      </c>
      <c r="D424" s="1594">
        <v>2</v>
      </c>
    </row>
    <row r="425" spans="1:4">
      <c r="A425" s="615" t="s">
        <v>1915</v>
      </c>
      <c r="B425" s="909" t="s">
        <v>1496</v>
      </c>
      <c r="C425" s="82">
        <v>11442</v>
      </c>
      <c r="D425" s="1594">
        <v>3.45</v>
      </c>
    </row>
    <row r="426" spans="1:4">
      <c r="A426" s="615" t="s">
        <v>1248</v>
      </c>
      <c r="B426" s="909" t="s">
        <v>1249</v>
      </c>
      <c r="C426" s="82">
        <v>2564</v>
      </c>
      <c r="D426" s="1594">
        <v>3.63</v>
      </c>
    </row>
    <row r="427" spans="1:4">
      <c r="A427" s="615" t="s">
        <v>2943</v>
      </c>
      <c r="B427" s="909" t="s">
        <v>3412</v>
      </c>
      <c r="C427" s="82">
        <v>18710</v>
      </c>
      <c r="D427" s="1594">
        <v>2.12</v>
      </c>
    </row>
    <row r="428" spans="1:4">
      <c r="A428" s="615" t="s">
        <v>1068</v>
      </c>
      <c r="B428" s="909" t="s">
        <v>3413</v>
      </c>
      <c r="C428" s="82">
        <v>2197</v>
      </c>
      <c r="D428" s="1594">
        <v>3.35</v>
      </c>
    </row>
    <row r="429" spans="1:4">
      <c r="A429" s="615" t="s">
        <v>3613</v>
      </c>
      <c r="B429" s="909" t="s">
        <v>2780</v>
      </c>
      <c r="C429" s="82">
        <v>2194</v>
      </c>
      <c r="D429" s="1594">
        <v>3.41</v>
      </c>
    </row>
    <row r="430" spans="1:4">
      <c r="A430" s="615" t="s">
        <v>1783</v>
      </c>
      <c r="B430" s="909" t="s">
        <v>2781</v>
      </c>
      <c r="C430" s="82">
        <v>2982</v>
      </c>
      <c r="D430" s="1594">
        <v>3.15</v>
      </c>
    </row>
    <row r="431" spans="1:4">
      <c r="A431" s="615" t="s">
        <v>4585</v>
      </c>
      <c r="B431" s="909" t="s">
        <v>3213</v>
      </c>
      <c r="C431" s="82">
        <v>2980</v>
      </c>
      <c r="D431" s="1594">
        <v>3.52</v>
      </c>
    </row>
    <row r="432" spans="1:4">
      <c r="A432" s="615" t="s">
        <v>6555</v>
      </c>
      <c r="B432" s="853" t="s">
        <v>6554</v>
      </c>
      <c r="C432" s="82">
        <v>11464</v>
      </c>
      <c r="D432" s="1594">
        <v>3.3</v>
      </c>
    </row>
    <row r="433" spans="1:4">
      <c r="A433" s="615" t="s">
        <v>1678</v>
      </c>
      <c r="B433" s="909" t="s">
        <v>4699</v>
      </c>
      <c r="C433" s="82">
        <v>17157</v>
      </c>
      <c r="D433" s="1594">
        <v>2.0617598316454031</v>
      </c>
    </row>
    <row r="434" spans="1:4">
      <c r="A434" s="615" t="s">
        <v>2989</v>
      </c>
      <c r="B434" s="909" t="s">
        <v>5379</v>
      </c>
      <c r="C434" s="82">
        <v>2909</v>
      </c>
      <c r="D434" s="1594">
        <v>3.31</v>
      </c>
    </row>
    <row r="435" spans="1:4">
      <c r="A435" s="615" t="s">
        <v>4783</v>
      </c>
      <c r="B435" s="909" t="s">
        <v>1003</v>
      </c>
      <c r="C435" s="82">
        <v>2886</v>
      </c>
      <c r="D435" s="1594">
        <v>3.23</v>
      </c>
    </row>
    <row r="436" spans="1:4">
      <c r="A436" s="615" t="s">
        <v>1689</v>
      </c>
      <c r="B436" s="909" t="s">
        <v>1004</v>
      </c>
      <c r="C436" s="82">
        <v>2078</v>
      </c>
      <c r="D436" s="1594">
        <v>3.15</v>
      </c>
    </row>
    <row r="437" spans="1:4">
      <c r="A437" s="615" t="s">
        <v>3250</v>
      </c>
      <c r="B437" s="909" t="s">
        <v>3260</v>
      </c>
      <c r="C437" s="82">
        <v>2073</v>
      </c>
      <c r="D437" s="1594">
        <v>3.21</v>
      </c>
    </row>
    <row r="438" spans="1:4">
      <c r="A438" s="615" t="s">
        <v>5652</v>
      </c>
      <c r="B438" s="909" t="s">
        <v>3260</v>
      </c>
      <c r="C438" s="82">
        <v>2881</v>
      </c>
      <c r="D438" s="1594">
        <v>3.21</v>
      </c>
    </row>
    <row r="439" spans="1:4">
      <c r="A439" s="615" t="s">
        <v>222</v>
      </c>
      <c r="B439" s="909" t="s">
        <v>4095</v>
      </c>
      <c r="C439" s="82">
        <v>2101</v>
      </c>
      <c r="D439" s="1594">
        <v>3</v>
      </c>
    </row>
    <row r="440" spans="1:4">
      <c r="A440" s="615" t="s">
        <v>491</v>
      </c>
      <c r="B440" s="909" t="s">
        <v>491</v>
      </c>
      <c r="C440" s="82"/>
      <c r="D440" s="1594">
        <v>3.15</v>
      </c>
    </row>
    <row r="441" spans="1:4">
      <c r="A441" s="615" t="s">
        <v>3344</v>
      </c>
      <c r="B441" s="909" t="s">
        <v>2145</v>
      </c>
      <c r="C441" s="82">
        <v>18863</v>
      </c>
      <c r="D441" s="1594">
        <v>2.299900546274809</v>
      </c>
    </row>
    <row r="442" spans="1:4">
      <c r="A442" s="615" t="s">
        <v>450</v>
      </c>
      <c r="B442" s="853" t="s">
        <v>6598</v>
      </c>
      <c r="C442" s="82">
        <v>18489</v>
      </c>
      <c r="D442" s="1594">
        <v>2</v>
      </c>
    </row>
    <row r="443" spans="1:4">
      <c r="A443" s="615" t="s">
        <v>6526</v>
      </c>
      <c r="B443" s="853" t="s">
        <v>6525</v>
      </c>
      <c r="C443" s="82">
        <v>11014</v>
      </c>
      <c r="D443" s="1594">
        <v>3.4</v>
      </c>
    </row>
    <row r="444" spans="1:4">
      <c r="A444" s="615" t="s">
        <v>159</v>
      </c>
      <c r="B444" s="909" t="s">
        <v>1528</v>
      </c>
      <c r="C444" s="82">
        <v>3001</v>
      </c>
      <c r="D444" s="1594">
        <v>3.71</v>
      </c>
    </row>
    <row r="445" spans="1:4">
      <c r="A445" s="615" t="s">
        <v>2381</v>
      </c>
      <c r="B445" s="909" t="s">
        <v>3214</v>
      </c>
      <c r="C445" s="82">
        <v>2149</v>
      </c>
      <c r="D445" s="1594">
        <v>2.02</v>
      </c>
    </row>
    <row r="446" spans="1:4">
      <c r="A446" s="615" t="s">
        <v>5240</v>
      </c>
      <c r="B446" s="909" t="s">
        <v>4488</v>
      </c>
      <c r="C446" s="82">
        <v>3497</v>
      </c>
      <c r="D446" s="1594">
        <v>2.1</v>
      </c>
    </row>
    <row r="447" spans="1:4">
      <c r="A447" s="615" t="s">
        <v>4190</v>
      </c>
      <c r="B447" s="909" t="s">
        <v>395</v>
      </c>
      <c r="C447" s="82">
        <v>2994</v>
      </c>
      <c r="D447" s="1594">
        <v>4.29</v>
      </c>
    </row>
    <row r="448" spans="1:4">
      <c r="A448" s="615" t="s">
        <v>5713</v>
      </c>
      <c r="B448" s="909" t="s">
        <v>396</v>
      </c>
      <c r="C448" s="82">
        <v>2996</v>
      </c>
      <c r="D448" s="1594">
        <v>3.98</v>
      </c>
    </row>
    <row r="449" spans="1:4">
      <c r="A449" s="615" t="s">
        <v>2603</v>
      </c>
      <c r="B449" s="909" t="s">
        <v>397</v>
      </c>
      <c r="C449" s="82">
        <v>2207</v>
      </c>
      <c r="D449" s="1594">
        <v>4.5</v>
      </c>
    </row>
    <row r="450" spans="1:4">
      <c r="A450" s="615" t="s">
        <v>1443</v>
      </c>
      <c r="B450" s="909" t="s">
        <v>398</v>
      </c>
      <c r="C450" s="82">
        <v>2995</v>
      </c>
      <c r="D450" s="1594">
        <v>3.72</v>
      </c>
    </row>
    <row r="451" spans="1:4">
      <c r="A451" s="615" t="s">
        <v>2231</v>
      </c>
      <c r="B451" s="909" t="s">
        <v>399</v>
      </c>
      <c r="C451" s="82">
        <v>2993</v>
      </c>
      <c r="D451" s="1594">
        <v>3.85</v>
      </c>
    </row>
    <row r="452" spans="1:4">
      <c r="A452" s="615" t="s">
        <v>2696</v>
      </c>
      <c r="B452" s="909" t="s">
        <v>2573</v>
      </c>
      <c r="C452" s="82">
        <v>2342</v>
      </c>
      <c r="D452" s="1594">
        <v>3.51</v>
      </c>
    </row>
    <row r="453" spans="1:4">
      <c r="A453" s="615" t="s">
        <v>6659</v>
      </c>
      <c r="B453" s="853" t="s">
        <v>6658</v>
      </c>
      <c r="C453" s="82">
        <v>20263</v>
      </c>
      <c r="D453" s="1594">
        <v>3.4</v>
      </c>
    </row>
    <row r="454" spans="1:4">
      <c r="A454" s="615" t="s">
        <v>5029</v>
      </c>
      <c r="B454" s="909" t="s">
        <v>2146</v>
      </c>
      <c r="C454" s="82">
        <v>3612</v>
      </c>
      <c r="D454" s="1594">
        <v>2.2999999999999998</v>
      </c>
    </row>
    <row r="455" spans="1:4">
      <c r="A455" s="615" t="s">
        <v>2722</v>
      </c>
      <c r="B455" s="909" t="s">
        <v>2147</v>
      </c>
      <c r="C455" s="82">
        <v>2762</v>
      </c>
      <c r="D455" s="1594">
        <v>2.2999999999999998</v>
      </c>
    </row>
    <row r="456" spans="1:4">
      <c r="A456" s="615" t="s">
        <v>163</v>
      </c>
      <c r="B456" s="909" t="s">
        <v>2148</v>
      </c>
      <c r="C456" s="82">
        <v>2763</v>
      </c>
      <c r="D456" s="1594">
        <v>2.2999999999999998</v>
      </c>
    </row>
    <row r="457" spans="1:4">
      <c r="A457" s="615" t="s">
        <v>3642</v>
      </c>
      <c r="B457" s="909" t="s">
        <v>2149</v>
      </c>
      <c r="C457" s="82">
        <v>3611</v>
      </c>
      <c r="D457" s="1594">
        <v>2.2999999999999998</v>
      </c>
    </row>
    <row r="458" spans="1:4">
      <c r="A458" s="615" t="s">
        <v>4524</v>
      </c>
      <c r="B458" s="909" t="s">
        <v>5244</v>
      </c>
      <c r="C458" s="82">
        <v>3613</v>
      </c>
      <c r="D458" s="1594">
        <v>2.2999999999999998</v>
      </c>
    </row>
    <row r="459" spans="1:4">
      <c r="A459" s="615" t="s">
        <v>158</v>
      </c>
      <c r="B459" s="909" t="s">
        <v>5245</v>
      </c>
      <c r="C459" s="82">
        <v>3615</v>
      </c>
      <c r="D459" s="1594">
        <v>2.2999999999999998</v>
      </c>
    </row>
    <row r="460" spans="1:4">
      <c r="A460" s="615" t="s">
        <v>3823</v>
      </c>
      <c r="B460" s="909" t="s">
        <v>2852</v>
      </c>
      <c r="C460" s="82">
        <v>3555</v>
      </c>
      <c r="D460" s="1594">
        <v>2.2000000000000002</v>
      </c>
    </row>
    <row r="461" spans="1:4">
      <c r="A461" s="615" t="s">
        <v>894</v>
      </c>
      <c r="B461" s="909" t="s">
        <v>3967</v>
      </c>
      <c r="C461" s="82">
        <v>2939</v>
      </c>
      <c r="D461" s="1594">
        <v>3.02</v>
      </c>
    </row>
    <row r="462" spans="1:4">
      <c r="A462" s="615" t="s">
        <v>1228</v>
      </c>
      <c r="B462" s="909" t="s">
        <v>3968</v>
      </c>
      <c r="C462" s="82">
        <v>2134</v>
      </c>
      <c r="D462" s="1594">
        <v>3.35</v>
      </c>
    </row>
    <row r="463" spans="1:4">
      <c r="A463" s="615" t="s">
        <v>6549</v>
      </c>
      <c r="B463" s="909" t="s">
        <v>3969</v>
      </c>
      <c r="C463" s="82">
        <v>2941</v>
      </c>
      <c r="D463" s="1594">
        <v>3.14</v>
      </c>
    </row>
    <row r="464" spans="1:4">
      <c r="A464" s="615" t="s">
        <v>2642</v>
      </c>
      <c r="B464" s="909" t="s">
        <v>3970</v>
      </c>
      <c r="C464" s="82">
        <v>2940</v>
      </c>
      <c r="D464" s="1594">
        <v>3.08</v>
      </c>
    </row>
    <row r="465" spans="1:4">
      <c r="A465" s="615" t="s">
        <v>888</v>
      </c>
      <c r="B465" s="909" t="s">
        <v>3971</v>
      </c>
      <c r="C465" s="82">
        <v>2133</v>
      </c>
      <c r="D465" s="1594">
        <v>3.25</v>
      </c>
    </row>
    <row r="466" spans="1:4">
      <c r="A466" s="615" t="s">
        <v>3358</v>
      </c>
      <c r="B466" s="909" t="s">
        <v>3972</v>
      </c>
      <c r="C466" s="82">
        <v>2132</v>
      </c>
      <c r="D466" s="1594">
        <v>3.3</v>
      </c>
    </row>
    <row r="467" spans="1:4">
      <c r="A467" s="615" t="s">
        <v>6799</v>
      </c>
      <c r="B467" s="853" t="s">
        <v>6798</v>
      </c>
      <c r="C467" s="82">
        <v>11558</v>
      </c>
      <c r="D467" s="1594">
        <v>2</v>
      </c>
    </row>
    <row r="468" spans="1:4">
      <c r="A468" s="615" t="s">
        <v>1416</v>
      </c>
      <c r="B468" s="909" t="s">
        <v>1529</v>
      </c>
      <c r="C468" s="82">
        <v>3130</v>
      </c>
      <c r="D468" s="1594">
        <v>4.37</v>
      </c>
    </row>
    <row r="469" spans="1:4">
      <c r="A469" s="615" t="s">
        <v>1693</v>
      </c>
      <c r="B469" s="909" t="s">
        <v>1715</v>
      </c>
      <c r="C469" s="82">
        <v>3035</v>
      </c>
      <c r="D469" s="1594">
        <v>3.54</v>
      </c>
    </row>
    <row r="470" spans="1:4">
      <c r="A470" s="615" t="s">
        <v>5660</v>
      </c>
      <c r="B470" s="909" t="s">
        <v>5661</v>
      </c>
      <c r="C470" s="82">
        <v>18579</v>
      </c>
      <c r="D470" s="1594">
        <v>3.8</v>
      </c>
    </row>
    <row r="471" spans="1:4">
      <c r="A471" s="615" t="s">
        <v>1256</v>
      </c>
      <c r="B471" s="909" t="s">
        <v>2538</v>
      </c>
      <c r="C471" s="82">
        <v>18761</v>
      </c>
      <c r="D471" s="1594">
        <v>3.39</v>
      </c>
    </row>
    <row r="472" spans="1:4">
      <c r="A472" s="615" t="s">
        <v>1245</v>
      </c>
      <c r="B472" s="909" t="s">
        <v>1246</v>
      </c>
      <c r="C472" s="82">
        <v>19030</v>
      </c>
      <c r="D472" s="1594">
        <v>4.26</v>
      </c>
    </row>
    <row r="473" spans="1:4">
      <c r="A473" s="615" t="s">
        <v>3251</v>
      </c>
      <c r="B473" s="909" t="s">
        <v>776</v>
      </c>
      <c r="C473" s="82">
        <v>3435</v>
      </c>
      <c r="D473" s="1594">
        <v>3.19</v>
      </c>
    </row>
    <row r="474" spans="1:4">
      <c r="A474" s="615" t="s">
        <v>60</v>
      </c>
      <c r="B474" s="909" t="s">
        <v>777</v>
      </c>
      <c r="C474" s="82">
        <v>2609</v>
      </c>
      <c r="D474" s="1594">
        <v>2.2000000000000002</v>
      </c>
    </row>
    <row r="475" spans="1:4">
      <c r="A475" s="615" t="s">
        <v>2123</v>
      </c>
      <c r="B475" s="909" t="s">
        <v>2736</v>
      </c>
      <c r="C475" s="82">
        <v>3514</v>
      </c>
      <c r="D475" s="1594">
        <v>2.1</v>
      </c>
    </row>
    <row r="476" spans="1:4">
      <c r="A476" s="615" t="s">
        <v>742</v>
      </c>
      <c r="B476" s="909" t="s">
        <v>2384</v>
      </c>
      <c r="C476" s="82">
        <v>2673</v>
      </c>
      <c r="D476" s="1594">
        <v>2.1</v>
      </c>
    </row>
    <row r="477" spans="1:4">
      <c r="A477" s="615" t="s">
        <v>2174</v>
      </c>
      <c r="B477" s="909" t="s">
        <v>2385</v>
      </c>
      <c r="C477" s="82">
        <v>3515</v>
      </c>
      <c r="D477" s="1594">
        <v>2.1</v>
      </c>
    </row>
    <row r="478" spans="1:4">
      <c r="A478" s="615" t="s">
        <v>723</v>
      </c>
      <c r="B478" s="909" t="s">
        <v>3211</v>
      </c>
      <c r="C478" s="82">
        <v>3513</v>
      </c>
      <c r="D478" s="1594">
        <v>2.1</v>
      </c>
    </row>
    <row r="479" spans="1:4">
      <c r="A479" s="615" t="s">
        <v>1390</v>
      </c>
      <c r="B479" s="909" t="s">
        <v>3335</v>
      </c>
      <c r="C479" s="82">
        <v>2669</v>
      </c>
      <c r="D479" s="1594">
        <v>2.1</v>
      </c>
    </row>
    <row r="480" spans="1:4">
      <c r="A480" s="615" t="s">
        <v>2330</v>
      </c>
      <c r="B480" s="909" t="s">
        <v>2539</v>
      </c>
      <c r="C480" s="82">
        <v>11609</v>
      </c>
      <c r="D480" s="1594">
        <v>2.8</v>
      </c>
    </row>
    <row r="481" spans="1:4">
      <c r="A481" s="615" t="s">
        <v>2012</v>
      </c>
      <c r="B481" s="909" t="s">
        <v>2012</v>
      </c>
      <c r="C481" s="82"/>
      <c r="D481" s="1594">
        <v>3</v>
      </c>
    </row>
    <row r="482" spans="1:4">
      <c r="A482" s="615" t="s">
        <v>1899</v>
      </c>
      <c r="B482" s="909" t="s">
        <v>1899</v>
      </c>
      <c r="C482" s="82"/>
      <c r="D482" s="1594">
        <v>2.9998621562137684</v>
      </c>
    </row>
    <row r="483" spans="1:4">
      <c r="A483" s="615" t="s">
        <v>1902</v>
      </c>
      <c r="B483" s="909" t="s">
        <v>1902</v>
      </c>
      <c r="C483" s="82"/>
      <c r="D483" s="1594">
        <v>3</v>
      </c>
    </row>
    <row r="484" spans="1:4">
      <c r="A484" s="615" t="s">
        <v>1162</v>
      </c>
      <c r="B484" s="909" t="s">
        <v>1162</v>
      </c>
      <c r="C484" s="82"/>
      <c r="D484" s="1594">
        <v>3</v>
      </c>
    </row>
    <row r="485" spans="1:4">
      <c r="A485" s="615" t="s">
        <v>1165</v>
      </c>
      <c r="B485" s="909" t="s">
        <v>1165</v>
      </c>
      <c r="C485" s="82"/>
      <c r="D485" s="1594">
        <v>3</v>
      </c>
    </row>
    <row r="486" spans="1:4">
      <c r="A486" s="615" t="s">
        <v>1164</v>
      </c>
      <c r="B486" s="909" t="s">
        <v>1164</v>
      </c>
      <c r="C486" s="82"/>
      <c r="D486" s="1594">
        <v>3</v>
      </c>
    </row>
    <row r="487" spans="1:4">
      <c r="A487" s="615" t="s">
        <v>869</v>
      </c>
      <c r="B487" s="909" t="s">
        <v>869</v>
      </c>
      <c r="C487" s="82"/>
      <c r="D487" s="1594">
        <v>3.79</v>
      </c>
    </row>
    <row r="488" spans="1:4">
      <c r="A488" s="615" t="s">
        <v>2013</v>
      </c>
      <c r="B488" s="909" t="s">
        <v>2013</v>
      </c>
      <c r="C488" s="82"/>
      <c r="D488" s="1594">
        <v>3</v>
      </c>
    </row>
    <row r="489" spans="1:4">
      <c r="A489" s="615" t="s">
        <v>1182</v>
      </c>
      <c r="B489" s="909" t="s">
        <v>1182</v>
      </c>
      <c r="C489" s="82"/>
      <c r="D489" s="1594">
        <v>3</v>
      </c>
    </row>
    <row r="490" spans="1:4">
      <c r="A490" s="615" t="s">
        <v>858</v>
      </c>
      <c r="B490" s="909" t="s">
        <v>301</v>
      </c>
      <c r="C490" s="82">
        <v>11617</v>
      </c>
      <c r="D490" s="1594">
        <v>4.5</v>
      </c>
    </row>
    <row r="491" spans="1:4">
      <c r="A491" s="615" t="s">
        <v>5655</v>
      </c>
      <c r="B491" s="909" t="s">
        <v>5464</v>
      </c>
      <c r="C491" s="82">
        <v>3486</v>
      </c>
      <c r="D491" s="1594">
        <v>2.2000000000000002</v>
      </c>
    </row>
    <row r="492" spans="1:4">
      <c r="A492" s="615" t="s">
        <v>5667</v>
      </c>
      <c r="B492" s="909" t="s">
        <v>5464</v>
      </c>
      <c r="C492" s="82">
        <v>3487</v>
      </c>
      <c r="D492" s="1594">
        <v>2.2000000000000002</v>
      </c>
    </row>
    <row r="493" spans="1:4">
      <c r="A493" s="615" t="s">
        <v>218</v>
      </c>
      <c r="B493" s="909" t="s">
        <v>1384</v>
      </c>
      <c r="C493" s="82">
        <v>11647</v>
      </c>
      <c r="D493" s="1594">
        <v>3.35</v>
      </c>
    </row>
    <row r="494" spans="1:4">
      <c r="A494" s="615" t="s">
        <v>1963</v>
      </c>
      <c r="B494" s="909" t="s">
        <v>4991</v>
      </c>
      <c r="C494" s="82">
        <v>2966</v>
      </c>
      <c r="D494" s="1594">
        <v>2</v>
      </c>
    </row>
    <row r="495" spans="1:4">
      <c r="A495" s="919" t="s">
        <v>8528</v>
      </c>
      <c r="B495" s="918" t="s">
        <v>8529</v>
      </c>
      <c r="C495" s="82">
        <v>11658</v>
      </c>
      <c r="D495" s="1594">
        <v>3.6</v>
      </c>
    </row>
    <row r="496" spans="1:4">
      <c r="A496" s="615" t="s">
        <v>6518</v>
      </c>
      <c r="B496" s="853" t="s">
        <v>6517</v>
      </c>
      <c r="C496" s="82">
        <v>11659</v>
      </c>
      <c r="D496" s="1594">
        <v>2</v>
      </c>
    </row>
    <row r="497" spans="1:4">
      <c r="A497" s="615" t="s">
        <v>6559</v>
      </c>
      <c r="B497" s="853" t="s">
        <v>6558</v>
      </c>
      <c r="C497" s="82">
        <v>11666</v>
      </c>
      <c r="D497" s="1594">
        <v>2</v>
      </c>
    </row>
    <row r="498" spans="1:4">
      <c r="A498" s="615" t="s">
        <v>426</v>
      </c>
      <c r="B498" s="909" t="s">
        <v>427</v>
      </c>
      <c r="C498" s="82">
        <v>11672</v>
      </c>
      <c r="D498" s="1594">
        <v>2.82</v>
      </c>
    </row>
    <row r="499" spans="1:4">
      <c r="A499" s="615" t="s">
        <v>6561</v>
      </c>
      <c r="B499" s="853" t="s">
        <v>6560</v>
      </c>
      <c r="C499" s="82">
        <v>19166</v>
      </c>
      <c r="D499" s="1594">
        <v>3.4</v>
      </c>
    </row>
    <row r="500" spans="1:4">
      <c r="A500" s="919" t="s">
        <v>8530</v>
      </c>
      <c r="B500" s="918" t="s">
        <v>8531</v>
      </c>
      <c r="C500" s="82">
        <v>11676</v>
      </c>
      <c r="D500" s="1594">
        <v>3.6</v>
      </c>
    </row>
    <row r="501" spans="1:4">
      <c r="A501" s="615" t="s">
        <v>1684</v>
      </c>
      <c r="B501" s="909" t="s">
        <v>3145</v>
      </c>
      <c r="C501" s="82">
        <v>2537</v>
      </c>
      <c r="D501" s="1594">
        <v>3.89</v>
      </c>
    </row>
    <row r="502" spans="1:4">
      <c r="A502" s="615" t="s">
        <v>348</v>
      </c>
      <c r="B502" s="909" t="s">
        <v>3701</v>
      </c>
      <c r="C502" s="82">
        <v>3188</v>
      </c>
      <c r="D502" s="1594">
        <v>3.56</v>
      </c>
    </row>
    <row r="503" spans="1:4">
      <c r="A503" s="615" t="s">
        <v>6785</v>
      </c>
      <c r="B503" s="853" t="s">
        <v>6784</v>
      </c>
      <c r="C503" s="82">
        <v>18137</v>
      </c>
      <c r="D503" s="1594">
        <v>2</v>
      </c>
    </row>
    <row r="504" spans="1:4">
      <c r="A504" s="615" t="s">
        <v>2949</v>
      </c>
      <c r="B504" s="909" t="s">
        <v>4489</v>
      </c>
      <c r="C504" s="82">
        <v>6115</v>
      </c>
      <c r="D504" s="1594">
        <v>1.9785341879407026</v>
      </c>
    </row>
    <row r="505" spans="1:4">
      <c r="A505" s="615" t="s">
        <v>2337</v>
      </c>
      <c r="B505" s="909" t="s">
        <v>1497</v>
      </c>
      <c r="C505" s="82">
        <v>2557</v>
      </c>
      <c r="D505" s="1594">
        <v>3.42</v>
      </c>
    </row>
    <row r="506" spans="1:4">
      <c r="A506" s="615" t="s">
        <v>729</v>
      </c>
      <c r="B506" s="909" t="s">
        <v>730</v>
      </c>
      <c r="C506" s="82">
        <v>11712</v>
      </c>
      <c r="D506" s="1594">
        <v>3.44</v>
      </c>
    </row>
    <row r="507" spans="1:4">
      <c r="A507" s="615" t="s">
        <v>4001</v>
      </c>
      <c r="B507" s="909" t="s">
        <v>4002</v>
      </c>
      <c r="C507" s="82">
        <v>19057</v>
      </c>
      <c r="D507" s="1594">
        <v>4.03</v>
      </c>
    </row>
    <row r="508" spans="1:4">
      <c r="A508" s="615" t="s">
        <v>6403</v>
      </c>
      <c r="B508" s="853" t="s">
        <v>6402</v>
      </c>
      <c r="C508" s="82">
        <v>11715</v>
      </c>
      <c r="D508" s="1594">
        <v>3.5</v>
      </c>
    </row>
    <row r="509" spans="1:4">
      <c r="A509" s="615" t="s">
        <v>2860</v>
      </c>
      <c r="B509" s="909" t="s">
        <v>2540</v>
      </c>
      <c r="C509" s="82">
        <v>3151</v>
      </c>
      <c r="D509" s="1594">
        <v>4.1500000000000004</v>
      </c>
    </row>
    <row r="510" spans="1:4">
      <c r="A510" s="615" t="s">
        <v>6828</v>
      </c>
      <c r="B510" s="853" t="s">
        <v>6827</v>
      </c>
      <c r="C510" s="82">
        <v>11717</v>
      </c>
      <c r="D510" s="1594">
        <v>2</v>
      </c>
    </row>
    <row r="511" spans="1:4">
      <c r="A511" s="615" t="s">
        <v>6904</v>
      </c>
      <c r="B511" s="853" t="s">
        <v>6903</v>
      </c>
      <c r="C511" s="82">
        <v>19288</v>
      </c>
      <c r="D511" s="1594">
        <v>2</v>
      </c>
    </row>
    <row r="512" spans="1:4">
      <c r="A512" s="615" t="s">
        <v>6646</v>
      </c>
      <c r="B512" s="853" t="s">
        <v>6645</v>
      </c>
      <c r="C512" s="82">
        <v>11718</v>
      </c>
      <c r="D512" s="1594">
        <v>2</v>
      </c>
    </row>
    <row r="513" spans="1:4">
      <c r="A513" s="615" t="s">
        <v>6865</v>
      </c>
      <c r="B513" s="853" t="s">
        <v>6864</v>
      </c>
      <c r="C513" s="82">
        <v>11719</v>
      </c>
      <c r="D513" s="1594">
        <v>2</v>
      </c>
    </row>
    <row r="514" spans="1:4">
      <c r="A514" s="615" t="s">
        <v>2217</v>
      </c>
      <c r="B514" s="909" t="s">
        <v>2541</v>
      </c>
      <c r="C514" s="82">
        <v>2346</v>
      </c>
      <c r="D514" s="1594">
        <v>3.98</v>
      </c>
    </row>
    <row r="515" spans="1:4">
      <c r="A515" s="615" t="s">
        <v>2094</v>
      </c>
      <c r="B515" s="909" t="s">
        <v>2542</v>
      </c>
      <c r="C515" s="82">
        <v>2347</v>
      </c>
      <c r="D515" s="1594">
        <v>3.77</v>
      </c>
    </row>
    <row r="516" spans="1:4">
      <c r="A516" s="615" t="s">
        <v>279</v>
      </c>
      <c r="B516" s="909" t="s">
        <v>2543</v>
      </c>
      <c r="C516" s="82">
        <v>3150</v>
      </c>
      <c r="D516" s="1594">
        <v>4.0999999999999996</v>
      </c>
    </row>
    <row r="517" spans="1:4">
      <c r="A517" s="615" t="s">
        <v>1525</v>
      </c>
      <c r="B517" s="909" t="s">
        <v>2544</v>
      </c>
      <c r="C517" s="82">
        <v>2349</v>
      </c>
      <c r="D517" s="1594">
        <v>3.9</v>
      </c>
    </row>
    <row r="518" spans="1:4">
      <c r="A518" s="615" t="s">
        <v>6621</v>
      </c>
      <c r="B518" s="853" t="s">
        <v>6620</v>
      </c>
      <c r="C518" s="82">
        <v>11728</v>
      </c>
      <c r="D518" s="1594">
        <v>2</v>
      </c>
    </row>
    <row r="519" spans="1:4">
      <c r="A519" s="615" t="s">
        <v>2674</v>
      </c>
      <c r="B519" s="909" t="s">
        <v>4992</v>
      </c>
      <c r="C519" s="82">
        <v>2955</v>
      </c>
      <c r="D519" s="1594">
        <v>2.81</v>
      </c>
    </row>
    <row r="520" spans="1:4">
      <c r="A520" s="615" t="s">
        <v>2893</v>
      </c>
      <c r="B520" s="909" t="s">
        <v>4993</v>
      </c>
      <c r="C520" s="82">
        <v>2957</v>
      </c>
      <c r="D520" s="1594">
        <v>2.96</v>
      </c>
    </row>
    <row r="521" spans="1:4">
      <c r="A521" s="615" t="s">
        <v>4604</v>
      </c>
      <c r="B521" s="909" t="s">
        <v>1530</v>
      </c>
      <c r="C521" s="82">
        <v>3004</v>
      </c>
      <c r="D521" s="1594">
        <v>3.4</v>
      </c>
    </row>
    <row r="522" spans="1:4">
      <c r="A522" s="615" t="s">
        <v>1153</v>
      </c>
      <c r="B522" s="909" t="s">
        <v>1153</v>
      </c>
      <c r="C522" s="82"/>
      <c r="D522" s="1594">
        <v>4.68</v>
      </c>
    </row>
    <row r="523" spans="1:4">
      <c r="A523" s="615" t="s">
        <v>3834</v>
      </c>
      <c r="B523" s="909" t="s">
        <v>3868</v>
      </c>
      <c r="C523" s="82">
        <v>3633</v>
      </c>
      <c r="D523" s="1594">
        <v>1</v>
      </c>
    </row>
    <row r="524" spans="1:4">
      <c r="A524" s="615" t="s">
        <v>2088</v>
      </c>
      <c r="B524" s="909" t="s">
        <v>3146</v>
      </c>
      <c r="C524" s="82">
        <v>11757</v>
      </c>
      <c r="D524" s="1594">
        <v>3.82</v>
      </c>
    </row>
    <row r="525" spans="1:4">
      <c r="A525" s="615" t="s">
        <v>3835</v>
      </c>
      <c r="B525" s="909" t="s">
        <v>4104</v>
      </c>
      <c r="C525" s="82">
        <v>18835</v>
      </c>
      <c r="D525" s="1594">
        <v>4.25</v>
      </c>
    </row>
    <row r="526" spans="1:4">
      <c r="A526" s="615" t="s">
        <v>1556</v>
      </c>
      <c r="B526" s="909" t="s">
        <v>1557</v>
      </c>
      <c r="C526" s="82">
        <v>11761</v>
      </c>
      <c r="D526" s="1594">
        <v>3.64</v>
      </c>
    </row>
    <row r="527" spans="1:4">
      <c r="A527" s="615" t="s">
        <v>2974</v>
      </c>
      <c r="B527" s="909" t="s">
        <v>4666</v>
      </c>
      <c r="C527" s="82">
        <v>2044</v>
      </c>
      <c r="D527" s="1594">
        <v>4.1500000000000004</v>
      </c>
    </row>
    <row r="528" spans="1:4">
      <c r="A528" s="615" t="s">
        <v>4323</v>
      </c>
      <c r="B528" s="909" t="s">
        <v>5010</v>
      </c>
      <c r="C528" s="82">
        <v>2864</v>
      </c>
      <c r="D528" s="1594">
        <v>3.63</v>
      </c>
    </row>
    <row r="529" spans="1:4">
      <c r="A529" s="615" t="s">
        <v>167</v>
      </c>
      <c r="B529" s="909" t="s">
        <v>5011</v>
      </c>
      <c r="C529" s="82">
        <v>2865</v>
      </c>
      <c r="D529" s="1594">
        <v>3.84</v>
      </c>
    </row>
    <row r="530" spans="1:4">
      <c r="A530" s="615" t="s">
        <v>1724</v>
      </c>
      <c r="B530" s="909" t="s">
        <v>1725</v>
      </c>
      <c r="C530" s="82">
        <v>11783</v>
      </c>
      <c r="D530" s="1594">
        <v>3.51</v>
      </c>
    </row>
    <row r="531" spans="1:4">
      <c r="A531" s="615" t="s">
        <v>4064</v>
      </c>
      <c r="B531" s="909" t="s">
        <v>4065</v>
      </c>
      <c r="C531" s="82">
        <v>11800</v>
      </c>
      <c r="D531" s="1594">
        <v>3.5</v>
      </c>
    </row>
    <row r="532" spans="1:4">
      <c r="A532" s="615" t="s">
        <v>3832</v>
      </c>
      <c r="B532" s="909" t="s">
        <v>5012</v>
      </c>
      <c r="C532" s="82">
        <v>11806</v>
      </c>
      <c r="D532" s="1594">
        <v>4.05</v>
      </c>
    </row>
    <row r="533" spans="1:4">
      <c r="A533" s="615" t="s">
        <v>1147</v>
      </c>
      <c r="B533" s="909" t="s">
        <v>5013</v>
      </c>
      <c r="C533" s="82">
        <v>2061</v>
      </c>
      <c r="D533" s="1594">
        <v>3.61</v>
      </c>
    </row>
    <row r="534" spans="1:4">
      <c r="A534" s="615" t="s">
        <v>6779</v>
      </c>
      <c r="B534" s="853" t="s">
        <v>6778</v>
      </c>
      <c r="C534" s="82">
        <v>2062</v>
      </c>
      <c r="D534" s="1594">
        <v>2</v>
      </c>
    </row>
    <row r="535" spans="1:4">
      <c r="A535" s="615" t="s">
        <v>3755</v>
      </c>
      <c r="B535" s="909" t="s">
        <v>5014</v>
      </c>
      <c r="C535" s="82">
        <v>2841</v>
      </c>
      <c r="D535" s="1594">
        <v>4.22</v>
      </c>
    </row>
    <row r="536" spans="1:4">
      <c r="A536" s="615" t="s">
        <v>6427</v>
      </c>
      <c r="B536" s="853" t="s">
        <v>6426</v>
      </c>
      <c r="C536" s="82">
        <v>11820</v>
      </c>
      <c r="D536" s="1594">
        <v>2</v>
      </c>
    </row>
    <row r="537" spans="1:4">
      <c r="A537" s="615" t="s">
        <v>4019</v>
      </c>
      <c r="B537" s="909" t="s">
        <v>4020</v>
      </c>
      <c r="C537" s="82">
        <v>11823</v>
      </c>
      <c r="D537" s="1594">
        <v>3.4</v>
      </c>
    </row>
    <row r="538" spans="1:4">
      <c r="A538" s="615" t="s">
        <v>4606</v>
      </c>
      <c r="B538" s="909" t="s">
        <v>4173</v>
      </c>
      <c r="C538" s="82">
        <v>2314</v>
      </c>
      <c r="D538" s="1594">
        <v>3.4</v>
      </c>
    </row>
    <row r="539" spans="1:4">
      <c r="A539" s="615" t="s">
        <v>5710</v>
      </c>
      <c r="B539" s="909" t="s">
        <v>4174</v>
      </c>
      <c r="C539" s="82">
        <v>3109</v>
      </c>
      <c r="D539" s="1594">
        <v>3.69</v>
      </c>
    </row>
    <row r="540" spans="1:4">
      <c r="A540" s="615" t="s">
        <v>3151</v>
      </c>
      <c r="B540" s="909" t="s">
        <v>4175</v>
      </c>
      <c r="C540" s="82">
        <v>3107</v>
      </c>
      <c r="D540" s="1594">
        <v>3.53</v>
      </c>
    </row>
    <row r="541" spans="1:4">
      <c r="A541" s="615" t="s">
        <v>4497</v>
      </c>
      <c r="B541" s="909" t="s">
        <v>4497</v>
      </c>
      <c r="C541" s="82"/>
      <c r="D541" s="1594">
        <v>4</v>
      </c>
    </row>
    <row r="542" spans="1:4">
      <c r="A542" s="615" t="s">
        <v>2017</v>
      </c>
      <c r="B542" s="909" t="s">
        <v>2017</v>
      </c>
      <c r="C542" s="82"/>
      <c r="D542" s="1594">
        <v>4.2</v>
      </c>
    </row>
    <row r="543" spans="1:4">
      <c r="A543" s="615" t="s">
        <v>1160</v>
      </c>
      <c r="B543" s="909" t="s">
        <v>1160</v>
      </c>
      <c r="C543" s="82"/>
      <c r="D543" s="1594">
        <v>3.3182763159269002</v>
      </c>
    </row>
    <row r="544" spans="1:4">
      <c r="A544" s="615" t="s">
        <v>2011</v>
      </c>
      <c r="B544" s="909" t="s">
        <v>2011</v>
      </c>
      <c r="C544" s="82"/>
      <c r="D544" s="1594">
        <v>4.5</v>
      </c>
    </row>
    <row r="545" spans="1:4">
      <c r="A545" s="919" t="s">
        <v>8532</v>
      </c>
      <c r="B545" s="918" t="s">
        <v>8533</v>
      </c>
      <c r="C545" s="82">
        <v>19226</v>
      </c>
      <c r="D545" s="1594">
        <v>2</v>
      </c>
    </row>
    <row r="546" spans="1:4">
      <c r="A546" s="615" t="s">
        <v>5248</v>
      </c>
      <c r="B546" s="909" t="s">
        <v>2545</v>
      </c>
      <c r="C546" s="82">
        <v>3183</v>
      </c>
      <c r="D546" s="1594">
        <v>3.52</v>
      </c>
    </row>
    <row r="547" spans="1:4">
      <c r="A547" s="615" t="s">
        <v>5430</v>
      </c>
      <c r="B547" s="909" t="s">
        <v>2546</v>
      </c>
      <c r="C547" s="82">
        <v>2375</v>
      </c>
      <c r="D547" s="1594">
        <v>3.71</v>
      </c>
    </row>
    <row r="548" spans="1:4">
      <c r="A548" s="615" t="s">
        <v>2823</v>
      </c>
      <c r="B548" s="909" t="s">
        <v>898</v>
      </c>
      <c r="C548" s="82">
        <v>3182</v>
      </c>
      <c r="D548" s="1594">
        <v>4.5</v>
      </c>
    </row>
    <row r="549" spans="1:4">
      <c r="A549" s="919" t="s">
        <v>8534</v>
      </c>
      <c r="B549" s="918" t="s">
        <v>8535</v>
      </c>
      <c r="C549" s="82">
        <v>2373</v>
      </c>
      <c r="D549" s="1594">
        <v>4.0999999999999996</v>
      </c>
    </row>
    <row r="550" spans="1:4">
      <c r="A550" s="615" t="s">
        <v>2236</v>
      </c>
      <c r="B550" s="909" t="s">
        <v>2908</v>
      </c>
      <c r="C550" s="82">
        <v>3181</v>
      </c>
      <c r="D550" s="1594">
        <v>3.43</v>
      </c>
    </row>
    <row r="551" spans="1:4">
      <c r="A551" s="615" t="s">
        <v>2233</v>
      </c>
      <c r="B551" s="909" t="s">
        <v>2909</v>
      </c>
      <c r="C551" s="82">
        <v>3180</v>
      </c>
      <c r="D551" s="1594">
        <v>3.82</v>
      </c>
    </row>
    <row r="552" spans="1:4">
      <c r="A552" s="615" t="s">
        <v>2662</v>
      </c>
      <c r="B552" s="909" t="s">
        <v>2910</v>
      </c>
      <c r="C552" s="82">
        <v>11849</v>
      </c>
      <c r="D552" s="1594">
        <v>3.46</v>
      </c>
    </row>
    <row r="553" spans="1:4">
      <c r="A553" s="615" t="s">
        <v>6644</v>
      </c>
      <c r="B553" s="853" t="s">
        <v>6643</v>
      </c>
      <c r="C553" s="82">
        <v>11865</v>
      </c>
      <c r="D553" s="1594">
        <v>2.4</v>
      </c>
    </row>
    <row r="554" spans="1:4">
      <c r="A554" s="615" t="s">
        <v>1787</v>
      </c>
      <c r="B554" s="909" t="s">
        <v>4105</v>
      </c>
      <c r="C554" s="82">
        <v>11866</v>
      </c>
      <c r="D554" s="1594">
        <v>4.24</v>
      </c>
    </row>
    <row r="555" spans="1:4">
      <c r="A555" s="615" t="s">
        <v>3840</v>
      </c>
      <c r="B555" s="909" t="s">
        <v>1871</v>
      </c>
      <c r="C555" s="82">
        <v>2291</v>
      </c>
      <c r="D555" s="1594">
        <v>3.79</v>
      </c>
    </row>
    <row r="556" spans="1:4">
      <c r="A556" s="615" t="s">
        <v>5343</v>
      </c>
      <c r="B556" s="909" t="s">
        <v>1872</v>
      </c>
      <c r="C556" s="82">
        <v>3087</v>
      </c>
      <c r="D556" s="1594">
        <v>3.94</v>
      </c>
    </row>
    <row r="557" spans="1:4">
      <c r="A557" s="615" t="s">
        <v>4166</v>
      </c>
      <c r="B557" s="909" t="s">
        <v>1873</v>
      </c>
      <c r="C557" s="82">
        <v>2290</v>
      </c>
      <c r="D557" s="1594">
        <v>3.86</v>
      </c>
    </row>
    <row r="558" spans="1:4">
      <c r="A558" s="615" t="s">
        <v>3076</v>
      </c>
      <c r="B558" s="909" t="s">
        <v>1498</v>
      </c>
      <c r="C558" s="82">
        <v>3368</v>
      </c>
      <c r="D558" s="1594">
        <v>3.32</v>
      </c>
    </row>
    <row r="559" spans="1:4">
      <c r="A559" s="615" t="s">
        <v>4721</v>
      </c>
      <c r="B559" s="909" t="s">
        <v>2028</v>
      </c>
      <c r="C559" s="82">
        <v>3639</v>
      </c>
      <c r="D559" s="1594">
        <v>1</v>
      </c>
    </row>
    <row r="560" spans="1:4">
      <c r="A560" s="615" t="s">
        <v>338</v>
      </c>
      <c r="B560" s="909" t="s">
        <v>339</v>
      </c>
      <c r="C560" s="82">
        <v>3176</v>
      </c>
      <c r="D560" s="1594">
        <v>3.4</v>
      </c>
    </row>
    <row r="561" spans="1:4">
      <c r="A561" s="615" t="s">
        <v>5527</v>
      </c>
      <c r="B561" s="909" t="s">
        <v>1874</v>
      </c>
      <c r="C561" s="82">
        <v>11894</v>
      </c>
      <c r="D561" s="1594">
        <v>3.13</v>
      </c>
    </row>
    <row r="562" spans="1:4">
      <c r="A562" s="615" t="s">
        <v>4409</v>
      </c>
      <c r="B562" s="853" t="s">
        <v>6840</v>
      </c>
      <c r="C562" s="82">
        <v>3178</v>
      </c>
      <c r="D562" s="1594">
        <v>2</v>
      </c>
    </row>
    <row r="563" spans="1:4">
      <c r="A563" s="615" t="s">
        <v>1104</v>
      </c>
      <c r="B563" s="909" t="s">
        <v>3323</v>
      </c>
      <c r="C563" s="82">
        <v>2370</v>
      </c>
      <c r="D563" s="1594">
        <v>3.04</v>
      </c>
    </row>
    <row r="564" spans="1:4">
      <c r="A564" s="615" t="s">
        <v>747</v>
      </c>
      <c r="B564" s="909" t="s">
        <v>3324</v>
      </c>
      <c r="C564" s="82">
        <v>3175</v>
      </c>
      <c r="D564" s="1594">
        <v>3.02</v>
      </c>
    </row>
    <row r="565" spans="1:4">
      <c r="A565" s="615" t="s">
        <v>387</v>
      </c>
      <c r="B565" s="909" t="s">
        <v>4949</v>
      </c>
      <c r="C565" s="82">
        <v>3177</v>
      </c>
      <c r="D565" s="1594">
        <v>3.24</v>
      </c>
    </row>
    <row r="566" spans="1:4">
      <c r="A566" s="615" t="s">
        <v>6948</v>
      </c>
      <c r="B566" s="853" t="s">
        <v>6947</v>
      </c>
      <c r="C566" s="82">
        <v>19255</v>
      </c>
      <c r="D566" s="1594">
        <v>2</v>
      </c>
    </row>
    <row r="567" spans="1:4">
      <c r="A567" s="615" t="s">
        <v>6737</v>
      </c>
      <c r="B567" s="853" t="s">
        <v>6736</v>
      </c>
      <c r="C567" s="82">
        <v>19222</v>
      </c>
      <c r="D567" s="1594">
        <v>2</v>
      </c>
    </row>
    <row r="568" spans="1:4">
      <c r="A568" s="615" t="s">
        <v>3564</v>
      </c>
      <c r="B568" s="909" t="s">
        <v>4106</v>
      </c>
      <c r="C568" s="82">
        <v>2439</v>
      </c>
      <c r="D568" s="1594">
        <v>3.96</v>
      </c>
    </row>
    <row r="569" spans="1:4">
      <c r="A569" s="615" t="s">
        <v>1440</v>
      </c>
      <c r="B569" s="909" t="s">
        <v>4107</v>
      </c>
      <c r="C569" s="82">
        <v>2438</v>
      </c>
      <c r="D569" s="1594">
        <v>4.45</v>
      </c>
    </row>
    <row r="570" spans="1:4">
      <c r="A570" s="615" t="s">
        <v>928</v>
      </c>
      <c r="B570" s="909" t="s">
        <v>3215</v>
      </c>
      <c r="C570" s="82">
        <v>18709</v>
      </c>
      <c r="D570" s="1594">
        <v>2.35</v>
      </c>
    </row>
    <row r="571" spans="1:4">
      <c r="A571" s="919" t="s">
        <v>8536</v>
      </c>
      <c r="B571" s="918" t="s">
        <v>8537</v>
      </c>
      <c r="C571" s="82">
        <v>11925</v>
      </c>
      <c r="D571" s="1594">
        <v>3.9</v>
      </c>
    </row>
    <row r="572" spans="1:4">
      <c r="A572" s="615" t="s">
        <v>3616</v>
      </c>
      <c r="B572" s="909" t="s">
        <v>2226</v>
      </c>
      <c r="C572" s="82">
        <v>3548</v>
      </c>
      <c r="D572" s="1594">
        <v>2.1</v>
      </c>
    </row>
    <row r="573" spans="1:4">
      <c r="A573" s="615" t="s">
        <v>1969</v>
      </c>
      <c r="B573" s="909" t="s">
        <v>1970</v>
      </c>
      <c r="C573" s="82">
        <v>11935</v>
      </c>
      <c r="D573" s="1594">
        <v>2.4500000000000002</v>
      </c>
    </row>
    <row r="574" spans="1:4">
      <c r="A574" s="615" t="s">
        <v>2528</v>
      </c>
      <c r="B574" s="909" t="s">
        <v>5096</v>
      </c>
      <c r="C574" s="82">
        <v>2092</v>
      </c>
      <c r="D574" s="1594">
        <v>2.4</v>
      </c>
    </row>
    <row r="575" spans="1:4">
      <c r="A575" s="615" t="s">
        <v>6567</v>
      </c>
      <c r="B575" s="909" t="s">
        <v>423</v>
      </c>
      <c r="C575" s="82">
        <v>19116</v>
      </c>
      <c r="D575" s="1594">
        <v>2.74</v>
      </c>
    </row>
    <row r="576" spans="1:4">
      <c r="A576" s="615" t="s">
        <v>2409</v>
      </c>
      <c r="B576" s="909" t="s">
        <v>1484</v>
      </c>
      <c r="C576" s="82">
        <v>2721</v>
      </c>
      <c r="D576" s="1594">
        <v>4.1399999999999997</v>
      </c>
    </row>
    <row r="577" spans="1:4">
      <c r="A577" s="615" t="s">
        <v>121</v>
      </c>
      <c r="B577" s="909" t="s">
        <v>3325</v>
      </c>
      <c r="C577" s="82">
        <v>3212</v>
      </c>
      <c r="D577" s="1594">
        <v>3.1</v>
      </c>
    </row>
    <row r="578" spans="1:4">
      <c r="A578" s="615" t="s">
        <v>5252</v>
      </c>
      <c r="B578" s="909" t="s">
        <v>3326</v>
      </c>
      <c r="C578" s="82">
        <v>2405</v>
      </c>
      <c r="D578" s="1594">
        <v>3.32</v>
      </c>
    </row>
    <row r="579" spans="1:4">
      <c r="A579" s="615" t="s">
        <v>6573</v>
      </c>
      <c r="B579" s="909" t="s">
        <v>2626</v>
      </c>
      <c r="C579" s="82">
        <v>18522</v>
      </c>
      <c r="D579" s="1594">
        <v>1</v>
      </c>
    </row>
    <row r="580" spans="1:4">
      <c r="A580" s="615" t="s">
        <v>4477</v>
      </c>
      <c r="B580" s="853" t="s">
        <v>6574</v>
      </c>
      <c r="C580" s="82">
        <v>2781</v>
      </c>
      <c r="D580" s="1594">
        <v>1</v>
      </c>
    </row>
    <row r="581" spans="1:4">
      <c r="A581" s="615" t="s">
        <v>5393</v>
      </c>
      <c r="B581" s="909" t="s">
        <v>4111</v>
      </c>
      <c r="C581" s="82">
        <v>2900</v>
      </c>
      <c r="D581" s="1594">
        <v>3.4</v>
      </c>
    </row>
    <row r="582" spans="1:4">
      <c r="A582" s="615" t="s">
        <v>5585</v>
      </c>
      <c r="B582" s="909" t="s">
        <v>4112</v>
      </c>
      <c r="C582" s="82">
        <v>2901</v>
      </c>
      <c r="D582" s="1594">
        <v>3.4</v>
      </c>
    </row>
    <row r="583" spans="1:4">
      <c r="A583" s="615" t="s">
        <v>591</v>
      </c>
      <c r="B583" s="909" t="s">
        <v>4176</v>
      </c>
      <c r="C583" s="82">
        <v>16086</v>
      </c>
      <c r="D583" s="1594">
        <v>3.26</v>
      </c>
    </row>
    <row r="584" spans="1:4">
      <c r="A584" s="615" t="s">
        <v>4778</v>
      </c>
      <c r="B584" s="909" t="s">
        <v>4779</v>
      </c>
      <c r="C584" s="82">
        <v>11957</v>
      </c>
      <c r="D584" s="1594">
        <v>3.36</v>
      </c>
    </row>
    <row r="585" spans="1:4">
      <c r="A585" s="615" t="s">
        <v>3077</v>
      </c>
      <c r="B585" s="909" t="s">
        <v>5495</v>
      </c>
      <c r="C585" s="82">
        <v>2766</v>
      </c>
      <c r="D585" s="1594">
        <v>2.2999999999999998</v>
      </c>
    </row>
    <row r="586" spans="1:4">
      <c r="A586" s="615" t="s">
        <v>5686</v>
      </c>
      <c r="B586" s="909" t="s">
        <v>5687</v>
      </c>
      <c r="C586" s="82">
        <v>2767</v>
      </c>
      <c r="D586" s="1594">
        <v>2</v>
      </c>
    </row>
    <row r="587" spans="1:4">
      <c r="A587" s="615" t="s">
        <v>3485</v>
      </c>
      <c r="B587" s="909" t="s">
        <v>5015</v>
      </c>
      <c r="C587" s="82">
        <v>2844</v>
      </c>
      <c r="D587" s="1594">
        <v>4.38</v>
      </c>
    </row>
    <row r="588" spans="1:4">
      <c r="A588" s="615" t="s">
        <v>4280</v>
      </c>
      <c r="B588" s="909" t="s">
        <v>3656</v>
      </c>
      <c r="C588" s="82">
        <v>3620</v>
      </c>
      <c r="D588" s="1594">
        <v>2.2999999999999998</v>
      </c>
    </row>
    <row r="589" spans="1:4">
      <c r="A589" s="615" t="s">
        <v>5436</v>
      </c>
      <c r="B589" s="909" t="s">
        <v>4177</v>
      </c>
      <c r="C589" s="82">
        <v>3122</v>
      </c>
      <c r="D589" s="1594">
        <v>3.59</v>
      </c>
    </row>
    <row r="590" spans="1:4">
      <c r="A590" s="615" t="s">
        <v>1418</v>
      </c>
      <c r="B590" s="909" t="s">
        <v>5016</v>
      </c>
      <c r="C590" s="82">
        <v>2575</v>
      </c>
      <c r="D590" s="1594">
        <v>3.6</v>
      </c>
    </row>
    <row r="591" spans="1:4">
      <c r="A591" s="615" t="s">
        <v>6577</v>
      </c>
      <c r="B591" s="909" t="s">
        <v>5724</v>
      </c>
      <c r="C591" s="82">
        <v>2948</v>
      </c>
      <c r="D591" s="1594">
        <v>3.24</v>
      </c>
    </row>
    <row r="592" spans="1:4">
      <c r="A592" s="615" t="s">
        <v>1597</v>
      </c>
      <c r="B592" s="853" t="s">
        <v>6578</v>
      </c>
      <c r="C592" s="82">
        <v>17054</v>
      </c>
      <c r="D592" s="1594">
        <v>3.2</v>
      </c>
    </row>
    <row r="593" spans="1:4">
      <c r="A593" s="615" t="s">
        <v>2059</v>
      </c>
      <c r="B593" s="909" t="s">
        <v>2060</v>
      </c>
      <c r="C593" s="82">
        <v>17055</v>
      </c>
      <c r="D593" s="1594">
        <v>3.65</v>
      </c>
    </row>
    <row r="594" spans="1:4">
      <c r="A594" s="615" t="s">
        <v>2720</v>
      </c>
      <c r="B594" s="909" t="s">
        <v>3831</v>
      </c>
      <c r="C594" s="82">
        <v>3572</v>
      </c>
      <c r="D594" s="1594">
        <v>3.2</v>
      </c>
    </row>
    <row r="595" spans="1:4">
      <c r="A595" s="615" t="s">
        <v>3560</v>
      </c>
      <c r="B595" s="909" t="s">
        <v>5286</v>
      </c>
      <c r="C595" s="82">
        <v>2436</v>
      </c>
      <c r="D595" s="1594">
        <v>3.27</v>
      </c>
    </row>
    <row r="596" spans="1:4">
      <c r="A596" s="615" t="s">
        <v>2718</v>
      </c>
      <c r="B596" s="909" t="s">
        <v>1716</v>
      </c>
      <c r="C596" s="82">
        <v>3014</v>
      </c>
      <c r="D596" s="1594">
        <v>4.12</v>
      </c>
    </row>
    <row r="597" spans="1:4">
      <c r="A597" s="615" t="s">
        <v>4541</v>
      </c>
      <c r="B597" s="909" t="s">
        <v>1717</v>
      </c>
      <c r="C597" s="82">
        <v>2229</v>
      </c>
      <c r="D597" s="1594">
        <v>4.24</v>
      </c>
    </row>
    <row r="598" spans="1:4">
      <c r="A598" s="615" t="s">
        <v>3839</v>
      </c>
      <c r="B598" s="909" t="s">
        <v>3216</v>
      </c>
      <c r="C598" s="82">
        <v>2514</v>
      </c>
      <c r="D598" s="1594">
        <v>3.45</v>
      </c>
    </row>
    <row r="599" spans="1:4">
      <c r="A599" s="615" t="s">
        <v>5090</v>
      </c>
      <c r="B599" s="909" t="s">
        <v>5287</v>
      </c>
      <c r="C599" s="82">
        <v>2267</v>
      </c>
      <c r="D599" s="1594">
        <v>4.3499999999999996</v>
      </c>
    </row>
    <row r="600" spans="1:4">
      <c r="A600" s="615" t="s">
        <v>133</v>
      </c>
      <c r="B600" s="909" t="s">
        <v>5288</v>
      </c>
      <c r="C600" s="82">
        <v>12004</v>
      </c>
      <c r="D600" s="1594">
        <v>4.24</v>
      </c>
    </row>
    <row r="601" spans="1:4">
      <c r="A601" s="615" t="s">
        <v>2579</v>
      </c>
      <c r="B601" s="909" t="s">
        <v>5289</v>
      </c>
      <c r="C601" s="82">
        <v>2074</v>
      </c>
      <c r="D601" s="1594">
        <v>3.95</v>
      </c>
    </row>
    <row r="602" spans="1:4">
      <c r="A602" s="615" t="s">
        <v>5021</v>
      </c>
      <c r="B602" s="909" t="s">
        <v>4108</v>
      </c>
      <c r="C602" s="82">
        <v>3132</v>
      </c>
      <c r="D602" s="1594">
        <v>3.45</v>
      </c>
    </row>
    <row r="603" spans="1:4">
      <c r="A603" s="615" t="s">
        <v>4824</v>
      </c>
      <c r="B603" s="909" t="s">
        <v>4668</v>
      </c>
      <c r="C603" s="82">
        <v>2331</v>
      </c>
      <c r="D603" s="1594">
        <v>3.61</v>
      </c>
    </row>
    <row r="604" spans="1:4">
      <c r="A604" s="615" t="s">
        <v>2104</v>
      </c>
      <c r="B604" s="909" t="s">
        <v>1718</v>
      </c>
      <c r="C604" s="82">
        <v>12019</v>
      </c>
      <c r="D604" s="1594">
        <v>3.53</v>
      </c>
    </row>
    <row r="605" spans="1:4">
      <c r="A605" s="615" t="s">
        <v>6503</v>
      </c>
      <c r="B605" s="853" t="s">
        <v>6502</v>
      </c>
      <c r="C605" s="82">
        <v>12023</v>
      </c>
      <c r="D605" s="1594">
        <v>3.3</v>
      </c>
    </row>
    <row r="606" spans="1:4">
      <c r="A606" s="615" t="s">
        <v>6582</v>
      </c>
      <c r="B606" s="853" t="s">
        <v>6581</v>
      </c>
      <c r="C606" s="82">
        <v>12025</v>
      </c>
      <c r="D606" s="1594">
        <v>3.1</v>
      </c>
    </row>
    <row r="607" spans="1:4">
      <c r="A607" s="615" t="s">
        <v>899</v>
      </c>
      <c r="B607" s="909" t="s">
        <v>4113</v>
      </c>
      <c r="C607" s="82">
        <v>2105</v>
      </c>
      <c r="D607" s="1594">
        <v>3.28</v>
      </c>
    </row>
    <row r="608" spans="1:4">
      <c r="A608" s="615" t="s">
        <v>1441</v>
      </c>
      <c r="B608" s="909" t="s">
        <v>4114</v>
      </c>
      <c r="C608" s="82">
        <v>2916</v>
      </c>
      <c r="D608" s="1594">
        <v>2.5099999999999998</v>
      </c>
    </row>
    <row r="609" spans="1:4">
      <c r="A609" s="615" t="s">
        <v>1284</v>
      </c>
      <c r="B609" s="909" t="s">
        <v>4115</v>
      </c>
      <c r="C609" s="82">
        <v>2919</v>
      </c>
      <c r="D609" s="1594">
        <v>2.84</v>
      </c>
    </row>
    <row r="610" spans="1:4">
      <c r="A610" s="615" t="s">
        <v>4189</v>
      </c>
      <c r="B610" s="909" t="s">
        <v>4124</v>
      </c>
      <c r="C610" s="82">
        <v>2106</v>
      </c>
      <c r="D610" s="1594">
        <v>3.11</v>
      </c>
    </row>
    <row r="611" spans="1:4">
      <c r="A611" s="615" t="s">
        <v>419</v>
      </c>
      <c r="B611" s="909" t="s">
        <v>4125</v>
      </c>
      <c r="C611" s="82">
        <v>2915</v>
      </c>
      <c r="D611" s="1594">
        <v>2.56</v>
      </c>
    </row>
    <row r="612" spans="1:4">
      <c r="A612" s="615" t="s">
        <v>2213</v>
      </c>
      <c r="B612" s="909" t="s">
        <v>4126</v>
      </c>
      <c r="C612" s="82">
        <v>2107</v>
      </c>
      <c r="D612" s="1594">
        <v>2.96</v>
      </c>
    </row>
    <row r="613" spans="1:4">
      <c r="A613" s="615" t="s">
        <v>2755</v>
      </c>
      <c r="B613" s="909" t="s">
        <v>4127</v>
      </c>
      <c r="C613" s="82">
        <v>2917</v>
      </c>
      <c r="D613" s="1594">
        <v>2.7</v>
      </c>
    </row>
    <row r="614" spans="1:4">
      <c r="A614" s="615" t="s">
        <v>1730</v>
      </c>
      <c r="B614" s="909" t="s">
        <v>1099</v>
      </c>
      <c r="C614" s="82">
        <v>3552</v>
      </c>
      <c r="D614" s="1594">
        <v>2.1</v>
      </c>
    </row>
    <row r="615" spans="1:4">
      <c r="A615" s="615" t="s">
        <v>3993</v>
      </c>
      <c r="B615" s="909" t="s">
        <v>3994</v>
      </c>
      <c r="C615" s="82">
        <v>17530</v>
      </c>
      <c r="D615" s="1594">
        <v>3.3182763159269002</v>
      </c>
    </row>
    <row r="616" spans="1:4">
      <c r="A616" s="615" t="s">
        <v>6908</v>
      </c>
      <c r="B616" s="853" t="s">
        <v>6907</v>
      </c>
      <c r="C616" s="82">
        <v>17532</v>
      </c>
      <c r="D616" s="1594">
        <v>2</v>
      </c>
    </row>
    <row r="617" spans="1:4">
      <c r="A617" s="615" t="s">
        <v>1917</v>
      </c>
      <c r="B617" s="909" t="s">
        <v>1499</v>
      </c>
      <c r="C617" s="82">
        <v>2546</v>
      </c>
      <c r="D617" s="1594">
        <v>4.05</v>
      </c>
    </row>
    <row r="618" spans="1:4">
      <c r="A618" s="615" t="s">
        <v>131</v>
      </c>
      <c r="B618" s="909" t="s">
        <v>5290</v>
      </c>
      <c r="C618" s="82">
        <v>3211</v>
      </c>
      <c r="D618" s="1594">
        <v>3.51</v>
      </c>
    </row>
    <row r="619" spans="1:4">
      <c r="A619" s="615" t="s">
        <v>2327</v>
      </c>
      <c r="B619" s="909" t="s">
        <v>4669</v>
      </c>
      <c r="C619" s="82">
        <v>3092</v>
      </c>
      <c r="D619" s="1594">
        <v>3.37</v>
      </c>
    </row>
    <row r="620" spans="1:4">
      <c r="A620" s="615" t="s">
        <v>4137</v>
      </c>
      <c r="B620" s="909" t="s">
        <v>2319</v>
      </c>
      <c r="C620" s="82">
        <v>3093</v>
      </c>
      <c r="D620" s="1594">
        <v>3.32</v>
      </c>
    </row>
    <row r="621" spans="1:4">
      <c r="A621" s="615" t="s">
        <v>6820</v>
      </c>
      <c r="B621" s="853" t="s">
        <v>6819</v>
      </c>
      <c r="C621" s="82">
        <v>12051</v>
      </c>
      <c r="D621" s="1594">
        <v>2</v>
      </c>
    </row>
    <row r="622" spans="1:4">
      <c r="A622" s="615" t="s">
        <v>4276</v>
      </c>
      <c r="B622" s="909" t="s">
        <v>2612</v>
      </c>
      <c r="C622" s="82">
        <v>3072</v>
      </c>
      <c r="D622" s="1594">
        <v>4.0199999999999996</v>
      </c>
    </row>
    <row r="623" spans="1:4">
      <c r="A623" s="615" t="s">
        <v>2190</v>
      </c>
      <c r="B623" s="909" t="s">
        <v>2613</v>
      </c>
      <c r="C623" s="82">
        <v>3074</v>
      </c>
      <c r="D623" s="1594">
        <v>3.84</v>
      </c>
    </row>
    <row r="624" spans="1:4">
      <c r="A624" s="615" t="s">
        <v>2769</v>
      </c>
      <c r="B624" s="909" t="s">
        <v>5621</v>
      </c>
      <c r="C624" s="82">
        <v>3076</v>
      </c>
      <c r="D624" s="1594">
        <v>3.58</v>
      </c>
    </row>
    <row r="625" spans="1:4">
      <c r="A625" s="919" t="s">
        <v>8538</v>
      </c>
      <c r="B625" s="918" t="s">
        <v>8539</v>
      </c>
      <c r="C625" s="82">
        <v>12056</v>
      </c>
      <c r="D625" s="1594">
        <v>3.9</v>
      </c>
    </row>
    <row r="626" spans="1:4">
      <c r="A626" s="615" t="s">
        <v>6943</v>
      </c>
      <c r="B626" s="853" t="s">
        <v>6942</v>
      </c>
      <c r="C626" s="82">
        <v>18917</v>
      </c>
      <c r="D626" s="1594">
        <v>2</v>
      </c>
    </row>
    <row r="627" spans="1:4">
      <c r="A627" s="615" t="s">
        <v>209</v>
      </c>
      <c r="B627" s="909" t="s">
        <v>210</v>
      </c>
      <c r="C627" s="82">
        <v>12058</v>
      </c>
      <c r="D627" s="1594">
        <v>3.77</v>
      </c>
    </row>
    <row r="628" spans="1:4">
      <c r="A628" s="615" t="s">
        <v>3901</v>
      </c>
      <c r="B628" s="909" t="s">
        <v>5622</v>
      </c>
      <c r="C628" s="82">
        <v>12059</v>
      </c>
      <c r="D628" s="1594">
        <v>3.99</v>
      </c>
    </row>
    <row r="629" spans="1:4">
      <c r="A629" s="615" t="s">
        <v>1645</v>
      </c>
      <c r="B629" s="909" t="s">
        <v>5623</v>
      </c>
      <c r="C629" s="82">
        <v>12061</v>
      </c>
      <c r="D629" s="1594">
        <v>3.9</v>
      </c>
    </row>
    <row r="630" spans="1:4">
      <c r="A630" s="615" t="s">
        <v>6886</v>
      </c>
      <c r="B630" s="853" t="s">
        <v>6885</v>
      </c>
      <c r="C630" s="82">
        <v>12066</v>
      </c>
      <c r="D630" s="1594">
        <v>2</v>
      </c>
    </row>
    <row r="631" spans="1:4">
      <c r="A631" s="615" t="s">
        <v>263</v>
      </c>
      <c r="B631" s="909" t="s">
        <v>5624</v>
      </c>
      <c r="C631" s="82">
        <v>12068</v>
      </c>
      <c r="D631" s="1594">
        <v>3.68</v>
      </c>
    </row>
    <row r="632" spans="1:4">
      <c r="A632" s="615" t="s">
        <v>1038</v>
      </c>
      <c r="B632" s="909" t="s">
        <v>896</v>
      </c>
      <c r="C632" s="82">
        <v>12070</v>
      </c>
      <c r="D632" s="1594">
        <v>3.82</v>
      </c>
    </row>
    <row r="633" spans="1:4">
      <c r="A633" s="615" t="s">
        <v>749</v>
      </c>
      <c r="B633" s="909" t="s">
        <v>4667</v>
      </c>
      <c r="C633" s="82">
        <v>18918</v>
      </c>
      <c r="D633" s="1594">
        <v>4.1399999999999997</v>
      </c>
    </row>
    <row r="634" spans="1:4">
      <c r="A634" s="615" t="s">
        <v>2950</v>
      </c>
      <c r="B634" s="909" t="s">
        <v>5597</v>
      </c>
      <c r="C634" s="82">
        <v>2281</v>
      </c>
      <c r="D634" s="1594">
        <v>3.94</v>
      </c>
    </row>
    <row r="635" spans="1:4">
      <c r="A635" s="615" t="s">
        <v>5437</v>
      </c>
      <c r="B635" s="909" t="s">
        <v>5598</v>
      </c>
      <c r="C635" s="82">
        <v>12071</v>
      </c>
      <c r="D635" s="1594">
        <v>3.88</v>
      </c>
    </row>
    <row r="636" spans="1:4">
      <c r="A636" s="615" t="s">
        <v>374</v>
      </c>
      <c r="B636" s="909" t="s">
        <v>5599</v>
      </c>
      <c r="C636" s="82">
        <v>3071</v>
      </c>
      <c r="D636" s="1594">
        <v>3.73</v>
      </c>
    </row>
    <row r="637" spans="1:4">
      <c r="A637" s="615" t="s">
        <v>3247</v>
      </c>
      <c r="B637" s="909" t="s">
        <v>3248</v>
      </c>
      <c r="C637" s="82">
        <v>12081</v>
      </c>
      <c r="D637" s="1594">
        <v>3.79</v>
      </c>
    </row>
    <row r="638" spans="1:4">
      <c r="A638" s="615" t="s">
        <v>2095</v>
      </c>
      <c r="B638" s="909" t="s">
        <v>5600</v>
      </c>
      <c r="C638" s="82">
        <v>3075</v>
      </c>
      <c r="D638" s="1594">
        <v>3.49</v>
      </c>
    </row>
    <row r="639" spans="1:4">
      <c r="A639" s="615" t="s">
        <v>230</v>
      </c>
      <c r="B639" s="909" t="s">
        <v>5601</v>
      </c>
      <c r="C639" s="82">
        <v>12082</v>
      </c>
      <c r="D639" s="1594">
        <v>3.97</v>
      </c>
    </row>
    <row r="640" spans="1:4">
      <c r="A640" s="615" t="s">
        <v>2568</v>
      </c>
      <c r="B640" s="909" t="s">
        <v>1995</v>
      </c>
      <c r="C640" s="82">
        <v>18921</v>
      </c>
      <c r="D640" s="1594">
        <v>3.86</v>
      </c>
    </row>
    <row r="641" spans="1:4">
      <c r="A641" s="615" t="s">
        <v>6729</v>
      </c>
      <c r="B641" s="853" t="s">
        <v>6728</v>
      </c>
      <c r="C641" s="82">
        <v>12083</v>
      </c>
      <c r="D641" s="1594">
        <v>4.5</v>
      </c>
    </row>
    <row r="642" spans="1:4">
      <c r="A642" s="615" t="s">
        <v>5392</v>
      </c>
      <c r="B642" s="909" t="s">
        <v>1996</v>
      </c>
      <c r="C642" s="82">
        <v>12084</v>
      </c>
      <c r="D642" s="1594">
        <v>3.97</v>
      </c>
    </row>
    <row r="643" spans="1:4">
      <c r="A643" s="615" t="s">
        <v>2091</v>
      </c>
      <c r="B643" s="909" t="s">
        <v>4944</v>
      </c>
      <c r="C643" s="82">
        <v>12085</v>
      </c>
      <c r="D643" s="1594">
        <v>4.04</v>
      </c>
    </row>
    <row r="644" spans="1:4">
      <c r="A644" s="615" t="s">
        <v>6863</v>
      </c>
      <c r="B644" s="853" t="s">
        <v>6862</v>
      </c>
      <c r="C644" s="82">
        <v>18944</v>
      </c>
      <c r="D644" s="1594">
        <v>3.8</v>
      </c>
    </row>
    <row r="645" spans="1:4">
      <c r="A645" s="615" t="s">
        <v>3902</v>
      </c>
      <c r="B645" s="909" t="s">
        <v>1462</v>
      </c>
      <c r="C645" s="82">
        <v>12086</v>
      </c>
      <c r="D645" s="1594">
        <v>3.94</v>
      </c>
    </row>
    <row r="646" spans="1:4">
      <c r="A646" s="615" t="s">
        <v>3795</v>
      </c>
      <c r="B646" s="909" t="s">
        <v>1463</v>
      </c>
      <c r="C646" s="82">
        <v>2278</v>
      </c>
      <c r="D646" s="1594">
        <v>3.9</v>
      </c>
    </row>
    <row r="647" spans="1:4">
      <c r="A647" s="615" t="s">
        <v>834</v>
      </c>
      <c r="B647" s="909" t="s">
        <v>2548</v>
      </c>
      <c r="C647" s="82">
        <v>2280</v>
      </c>
      <c r="D647" s="1594">
        <v>4.0599999999999996</v>
      </c>
    </row>
    <row r="648" spans="1:4">
      <c r="A648" s="615" t="s">
        <v>2566</v>
      </c>
      <c r="B648" s="909" t="s">
        <v>2549</v>
      </c>
      <c r="C648" s="82">
        <v>18945</v>
      </c>
      <c r="D648" s="1594">
        <v>3.8</v>
      </c>
    </row>
    <row r="649" spans="1:4">
      <c r="A649" s="615" t="s">
        <v>2770</v>
      </c>
      <c r="B649" s="909" t="s">
        <v>2550</v>
      </c>
      <c r="C649" s="82">
        <v>3073</v>
      </c>
      <c r="D649" s="1594">
        <v>4.13</v>
      </c>
    </row>
    <row r="650" spans="1:4">
      <c r="A650" s="615" t="s">
        <v>6489</v>
      </c>
      <c r="B650" s="853" t="s">
        <v>6488</v>
      </c>
      <c r="C650" s="82">
        <v>19221</v>
      </c>
      <c r="D650" s="1594">
        <v>5</v>
      </c>
    </row>
    <row r="651" spans="1:4">
      <c r="A651" s="615" t="s">
        <v>5249</v>
      </c>
      <c r="B651" s="909" t="s">
        <v>3843</v>
      </c>
      <c r="C651" s="82">
        <v>3606</v>
      </c>
      <c r="D651" s="1594">
        <v>3</v>
      </c>
    </row>
    <row r="652" spans="1:4">
      <c r="A652" s="615" t="s">
        <v>1908</v>
      </c>
      <c r="B652" s="909" t="s">
        <v>1908</v>
      </c>
      <c r="C652" s="82"/>
      <c r="D652" s="1594">
        <v>3.99</v>
      </c>
    </row>
    <row r="653" spans="1:4">
      <c r="A653" s="615" t="s">
        <v>6853</v>
      </c>
      <c r="B653" s="853" t="s">
        <v>6852</v>
      </c>
      <c r="C653" s="82">
        <v>12113</v>
      </c>
      <c r="D653" s="1594">
        <v>4.5</v>
      </c>
    </row>
    <row r="654" spans="1:4">
      <c r="A654" s="615" t="s">
        <v>2714</v>
      </c>
      <c r="B654" s="909" t="s">
        <v>2451</v>
      </c>
      <c r="C654" s="82">
        <v>18571</v>
      </c>
      <c r="D654" s="1594">
        <v>2.5</v>
      </c>
    </row>
    <row r="655" spans="1:4">
      <c r="A655" s="615" t="s">
        <v>1247</v>
      </c>
      <c r="B655" s="909" t="s">
        <v>5465</v>
      </c>
      <c r="C655" s="82">
        <v>3466</v>
      </c>
      <c r="D655" s="1594">
        <v>2.6</v>
      </c>
    </row>
    <row r="656" spans="1:4">
      <c r="A656" s="615" t="s">
        <v>6807</v>
      </c>
      <c r="B656" s="853" t="s">
        <v>6806</v>
      </c>
      <c r="C656" s="82">
        <v>16686</v>
      </c>
      <c r="D656" s="1594">
        <v>2</v>
      </c>
    </row>
    <row r="657" spans="1:4">
      <c r="A657" s="615" t="s">
        <v>2020</v>
      </c>
      <c r="B657" s="909" t="s">
        <v>2020</v>
      </c>
      <c r="C657" s="82"/>
      <c r="D657" s="1594">
        <v>2.2000000000000002</v>
      </c>
    </row>
    <row r="658" spans="1:4">
      <c r="A658" s="615" t="s">
        <v>5408</v>
      </c>
      <c r="B658" s="909" t="s">
        <v>3217</v>
      </c>
      <c r="C658" s="82">
        <v>2942</v>
      </c>
      <c r="D658" s="1594">
        <v>4.4000000000000004</v>
      </c>
    </row>
    <row r="659" spans="1:4">
      <c r="A659" s="615" t="s">
        <v>3997</v>
      </c>
      <c r="B659" s="909" t="s">
        <v>3998</v>
      </c>
      <c r="C659" s="82">
        <v>12129</v>
      </c>
      <c r="D659" s="1594">
        <v>4.18</v>
      </c>
    </row>
    <row r="660" spans="1:4">
      <c r="A660" s="615" t="s">
        <v>370</v>
      </c>
      <c r="B660" s="909" t="s">
        <v>4123</v>
      </c>
      <c r="C660" s="82">
        <v>2095</v>
      </c>
      <c r="D660" s="1594">
        <v>2.5</v>
      </c>
    </row>
    <row r="661" spans="1:4">
      <c r="A661" s="615" t="s">
        <v>1451</v>
      </c>
      <c r="B661" s="909" t="s">
        <v>2869</v>
      </c>
      <c r="C661" s="82">
        <v>2103</v>
      </c>
      <c r="D661" s="1594">
        <v>2.0699999999999998</v>
      </c>
    </row>
    <row r="662" spans="1:4">
      <c r="A662" s="615" t="s">
        <v>6617</v>
      </c>
      <c r="B662" s="853" t="s">
        <v>6616</v>
      </c>
      <c r="C662" s="82">
        <v>2839</v>
      </c>
      <c r="D662" s="1594">
        <v>4.2</v>
      </c>
    </row>
    <row r="663" spans="1:4">
      <c r="A663" s="615" t="s">
        <v>4523</v>
      </c>
      <c r="B663" s="909" t="s">
        <v>1698</v>
      </c>
      <c r="C663" s="82">
        <v>2037</v>
      </c>
      <c r="D663" s="1594">
        <v>3.82</v>
      </c>
    </row>
    <row r="664" spans="1:4">
      <c r="A664" s="615" t="s">
        <v>3425</v>
      </c>
      <c r="B664" s="909" t="s">
        <v>1699</v>
      </c>
      <c r="C664" s="82">
        <v>2838</v>
      </c>
      <c r="D664" s="1594">
        <v>4.17</v>
      </c>
    </row>
    <row r="665" spans="1:4">
      <c r="A665" s="615" t="s">
        <v>2288</v>
      </c>
      <c r="B665" s="909" t="s">
        <v>2870</v>
      </c>
      <c r="C665" s="82">
        <v>2902</v>
      </c>
      <c r="D665" s="1594">
        <v>3.49</v>
      </c>
    </row>
    <row r="666" spans="1:4">
      <c r="A666" s="615" t="s">
        <v>4927</v>
      </c>
      <c r="B666" s="909" t="s">
        <v>2871</v>
      </c>
      <c r="C666" s="82">
        <v>2096</v>
      </c>
      <c r="D666" s="1594">
        <v>3.4</v>
      </c>
    </row>
    <row r="667" spans="1:4">
      <c r="A667" s="615" t="s">
        <v>221</v>
      </c>
      <c r="B667" s="909" t="s">
        <v>5466</v>
      </c>
      <c r="C667" s="82">
        <v>3459</v>
      </c>
      <c r="D667" s="1594">
        <v>2.2000000000000002</v>
      </c>
    </row>
    <row r="668" spans="1:4">
      <c r="A668" s="615" t="s">
        <v>1187</v>
      </c>
      <c r="B668" s="909" t="s">
        <v>1187</v>
      </c>
      <c r="C668" s="82"/>
      <c r="D668" s="1594">
        <v>2.2000000000000002</v>
      </c>
    </row>
    <row r="669" spans="1:4">
      <c r="A669" s="615" t="s">
        <v>1168</v>
      </c>
      <c r="B669" s="909" t="s">
        <v>1168</v>
      </c>
      <c r="C669" s="82"/>
      <c r="D669" s="1594">
        <v>2.2000000000000002</v>
      </c>
    </row>
    <row r="670" spans="1:4">
      <c r="A670" s="615" t="s">
        <v>6593</v>
      </c>
      <c r="B670" s="853" t="s">
        <v>6592</v>
      </c>
      <c r="C670" s="82">
        <v>2455</v>
      </c>
      <c r="D670" s="1594">
        <v>2</v>
      </c>
    </row>
    <row r="671" spans="1:4">
      <c r="A671" s="615" t="s">
        <v>4331</v>
      </c>
      <c r="B671" s="909" t="s">
        <v>4331</v>
      </c>
      <c r="C671" s="82"/>
      <c r="D671" s="1594">
        <v>4.54</v>
      </c>
    </row>
    <row r="672" spans="1:4">
      <c r="A672" s="615" t="s">
        <v>1952</v>
      </c>
      <c r="B672" s="909" t="s">
        <v>1720</v>
      </c>
      <c r="C672" s="82">
        <v>3393</v>
      </c>
      <c r="D672" s="1594">
        <v>2.2000000000000002</v>
      </c>
    </row>
    <row r="673" spans="1:4">
      <c r="A673" s="615" t="s">
        <v>3254</v>
      </c>
      <c r="B673" s="909" t="s">
        <v>4260</v>
      </c>
      <c r="C673" s="82">
        <v>3294</v>
      </c>
      <c r="D673" s="1594">
        <v>4.5</v>
      </c>
    </row>
    <row r="674" spans="1:4">
      <c r="A674" s="615" t="s">
        <v>74</v>
      </c>
      <c r="B674" s="909" t="s">
        <v>4261</v>
      </c>
      <c r="C674" s="82">
        <v>3293</v>
      </c>
      <c r="D674" s="1594">
        <v>4.49</v>
      </c>
    </row>
    <row r="675" spans="1:4">
      <c r="A675" s="615" t="s">
        <v>3599</v>
      </c>
      <c r="B675" s="909" t="s">
        <v>4262</v>
      </c>
      <c r="C675" s="82">
        <v>2493</v>
      </c>
      <c r="D675" s="1594">
        <v>3.83</v>
      </c>
    </row>
    <row r="676" spans="1:4">
      <c r="A676" s="615" t="s">
        <v>4790</v>
      </c>
      <c r="B676" s="909" t="s">
        <v>2320</v>
      </c>
      <c r="C676" s="82">
        <v>2532</v>
      </c>
      <c r="D676" s="1594">
        <v>3.57</v>
      </c>
    </row>
    <row r="677" spans="1:4">
      <c r="A677" s="615" t="s">
        <v>1105</v>
      </c>
      <c r="B677" s="909" t="s">
        <v>5370</v>
      </c>
      <c r="C677" s="82">
        <v>2726</v>
      </c>
      <c r="D677" s="1594">
        <v>2.1</v>
      </c>
    </row>
    <row r="678" spans="1:4">
      <c r="A678" s="615" t="s">
        <v>4213</v>
      </c>
      <c r="B678" s="909" t="s">
        <v>5371</v>
      </c>
      <c r="C678" s="82">
        <v>3505</v>
      </c>
      <c r="D678" s="1594">
        <v>2.1</v>
      </c>
    </row>
    <row r="679" spans="1:4">
      <c r="A679" s="615" t="s">
        <v>6585</v>
      </c>
      <c r="B679" s="909" t="s">
        <v>3233</v>
      </c>
      <c r="C679" s="82">
        <v>2655</v>
      </c>
      <c r="D679" s="1594">
        <v>2.1</v>
      </c>
    </row>
    <row r="680" spans="1:4">
      <c r="A680" s="615" t="s">
        <v>2208</v>
      </c>
      <c r="B680" s="909" t="s">
        <v>3234</v>
      </c>
      <c r="C680" s="82">
        <v>3494</v>
      </c>
      <c r="D680" s="1594">
        <v>2.1</v>
      </c>
    </row>
    <row r="681" spans="1:4">
      <c r="A681" s="615" t="s">
        <v>2363</v>
      </c>
      <c r="B681" s="909" t="s">
        <v>3235</v>
      </c>
      <c r="C681" s="82">
        <v>3504</v>
      </c>
      <c r="D681" s="1594">
        <v>2.1</v>
      </c>
    </row>
    <row r="682" spans="1:4">
      <c r="A682" s="615" t="s">
        <v>4782</v>
      </c>
      <c r="B682" s="909" t="s">
        <v>4178</v>
      </c>
      <c r="C682" s="82">
        <v>2211</v>
      </c>
      <c r="D682" s="1594">
        <v>3.53</v>
      </c>
    </row>
    <row r="683" spans="1:4">
      <c r="A683" s="615" t="s">
        <v>1234</v>
      </c>
      <c r="B683" s="909" t="s">
        <v>5467</v>
      </c>
      <c r="C683" s="82">
        <v>16424</v>
      </c>
      <c r="D683" s="1594">
        <v>2.4112496163562103</v>
      </c>
    </row>
    <row r="684" spans="1:4">
      <c r="A684" s="615" t="s">
        <v>6479</v>
      </c>
      <c r="B684" s="853" t="s">
        <v>6478</v>
      </c>
      <c r="C684" s="82">
        <v>12224</v>
      </c>
      <c r="D684" s="1594">
        <v>2</v>
      </c>
    </row>
    <row r="685" spans="1:4">
      <c r="A685" s="615" t="s">
        <v>2073</v>
      </c>
      <c r="B685" s="909" t="s">
        <v>2074</v>
      </c>
      <c r="C685" s="82">
        <v>12225</v>
      </c>
      <c r="D685" s="1594">
        <v>4.5</v>
      </c>
    </row>
    <row r="686" spans="1:4">
      <c r="A686" s="615" t="s">
        <v>2946</v>
      </c>
      <c r="B686" s="909" t="s">
        <v>2551</v>
      </c>
      <c r="C686" s="82">
        <v>12227</v>
      </c>
      <c r="D686" s="1594">
        <v>3.46</v>
      </c>
    </row>
    <row r="687" spans="1:4">
      <c r="A687" s="615" t="s">
        <v>6591</v>
      </c>
      <c r="B687" s="853" t="s">
        <v>6590</v>
      </c>
      <c r="C687" s="82">
        <v>6592</v>
      </c>
      <c r="D687" s="1594">
        <v>2</v>
      </c>
    </row>
    <row r="688" spans="1:4">
      <c r="A688" s="615" t="s">
        <v>4025</v>
      </c>
      <c r="B688" s="909" t="s">
        <v>4026</v>
      </c>
      <c r="C688" s="82">
        <v>12251</v>
      </c>
      <c r="D688" s="1594">
        <v>3.45</v>
      </c>
    </row>
    <row r="689" spans="1:4">
      <c r="A689" s="615" t="s">
        <v>3549</v>
      </c>
      <c r="B689" s="909" t="s">
        <v>1719</v>
      </c>
      <c r="C689" s="82">
        <v>2214</v>
      </c>
      <c r="D689" s="1594">
        <v>3.67</v>
      </c>
    </row>
    <row r="690" spans="1:4">
      <c r="A690" s="615" t="s">
        <v>1687</v>
      </c>
      <c r="B690" s="909" t="s">
        <v>1721</v>
      </c>
      <c r="C690" s="82">
        <v>3011</v>
      </c>
      <c r="D690" s="1594">
        <v>4.01</v>
      </c>
    </row>
    <row r="691" spans="1:4">
      <c r="A691" s="615" t="s">
        <v>1392</v>
      </c>
      <c r="B691" s="909" t="s">
        <v>1722</v>
      </c>
      <c r="C691" s="82">
        <v>2218</v>
      </c>
      <c r="D691" s="1594">
        <v>4.42</v>
      </c>
    </row>
    <row r="692" spans="1:4">
      <c r="A692" s="615" t="s">
        <v>3773</v>
      </c>
      <c r="B692" s="909" t="s">
        <v>1723</v>
      </c>
      <c r="C692" s="82">
        <v>2219</v>
      </c>
      <c r="D692" s="1594">
        <v>3.59</v>
      </c>
    </row>
    <row r="693" spans="1:4">
      <c r="A693" s="615" t="s">
        <v>6916</v>
      </c>
      <c r="B693" s="853" t="s">
        <v>6915</v>
      </c>
      <c r="C693" s="82">
        <v>2234</v>
      </c>
      <c r="D693" s="1594">
        <v>3.4</v>
      </c>
    </row>
    <row r="694" spans="1:4">
      <c r="A694" s="615" t="s">
        <v>487</v>
      </c>
      <c r="B694" s="909" t="s">
        <v>4071</v>
      </c>
      <c r="C694" s="82">
        <v>3018</v>
      </c>
      <c r="D694" s="1594">
        <v>3.41</v>
      </c>
    </row>
    <row r="695" spans="1:4">
      <c r="A695" s="615" t="s">
        <v>3964</v>
      </c>
      <c r="B695" s="909" t="s">
        <v>5302</v>
      </c>
      <c r="C695" s="82">
        <v>3468</v>
      </c>
      <c r="D695" s="1594">
        <v>2.6</v>
      </c>
    </row>
    <row r="696" spans="1:4">
      <c r="A696" s="615" t="s">
        <v>2737</v>
      </c>
      <c r="B696" s="909" t="s">
        <v>2552</v>
      </c>
      <c r="C696" s="82">
        <v>2972</v>
      </c>
      <c r="D696" s="1594">
        <v>3.47</v>
      </c>
    </row>
    <row r="697" spans="1:4">
      <c r="A697" s="615" t="s">
        <v>5716</v>
      </c>
      <c r="B697" s="909" t="s">
        <v>1700</v>
      </c>
      <c r="C697" s="82">
        <v>2818</v>
      </c>
      <c r="D697" s="1594">
        <v>4.54</v>
      </c>
    </row>
    <row r="698" spans="1:4">
      <c r="A698" s="615" t="s">
        <v>128</v>
      </c>
      <c r="B698" s="909" t="s">
        <v>2553</v>
      </c>
      <c r="C698" s="82">
        <v>2268</v>
      </c>
      <c r="D698" s="1594">
        <v>3.57</v>
      </c>
    </row>
    <row r="699" spans="1:4">
      <c r="A699" s="615" t="s">
        <v>1527</v>
      </c>
      <c r="B699" s="909" t="s">
        <v>1701</v>
      </c>
      <c r="C699" s="82">
        <v>2828</v>
      </c>
      <c r="D699" s="1594">
        <v>4.21</v>
      </c>
    </row>
    <row r="700" spans="1:4">
      <c r="A700" s="615" t="s">
        <v>2182</v>
      </c>
      <c r="B700" s="909" t="s">
        <v>1702</v>
      </c>
      <c r="C700" s="82">
        <v>2803</v>
      </c>
      <c r="D700" s="1594">
        <v>4.2300000000000004</v>
      </c>
    </row>
    <row r="701" spans="1:4">
      <c r="A701" s="615" t="s">
        <v>2057</v>
      </c>
      <c r="B701" s="909" t="s">
        <v>2058</v>
      </c>
      <c r="C701" s="82">
        <v>12273</v>
      </c>
      <c r="D701" s="1594">
        <v>3.97</v>
      </c>
    </row>
    <row r="702" spans="1:4">
      <c r="A702" s="615" t="s">
        <v>6507</v>
      </c>
      <c r="B702" s="853" t="s">
        <v>6506</v>
      </c>
      <c r="C702" s="82">
        <v>2489</v>
      </c>
      <c r="D702" s="1594">
        <v>4.4000000000000004</v>
      </c>
    </row>
    <row r="703" spans="1:4">
      <c r="A703" s="615" t="s">
        <v>1219</v>
      </c>
      <c r="B703" s="909" t="s">
        <v>1573</v>
      </c>
      <c r="C703" s="82">
        <v>12291</v>
      </c>
      <c r="D703" s="1594">
        <v>3.51</v>
      </c>
    </row>
    <row r="704" spans="1:4">
      <c r="A704" s="615" t="s">
        <v>2404</v>
      </c>
      <c r="B704" s="909" t="s">
        <v>4490</v>
      </c>
      <c r="C704" s="82">
        <v>3488</v>
      </c>
      <c r="D704" s="1594">
        <v>2.1</v>
      </c>
    </row>
    <row r="705" spans="1:4">
      <c r="A705" s="615" t="s">
        <v>1077</v>
      </c>
      <c r="B705" s="909" t="s">
        <v>2029</v>
      </c>
      <c r="C705" s="82">
        <v>2792</v>
      </c>
      <c r="D705" s="1594">
        <v>1</v>
      </c>
    </row>
    <row r="706" spans="1:4">
      <c r="A706" s="615" t="s">
        <v>2289</v>
      </c>
      <c r="B706" s="909" t="s">
        <v>2321</v>
      </c>
      <c r="C706" s="82">
        <v>3266</v>
      </c>
      <c r="D706" s="1594">
        <v>4.1500000000000004</v>
      </c>
    </row>
    <row r="707" spans="1:4">
      <c r="A707" s="615" t="s">
        <v>2756</v>
      </c>
      <c r="B707" s="909" t="s">
        <v>2554</v>
      </c>
      <c r="C707" s="82">
        <v>3159</v>
      </c>
      <c r="D707" s="1594">
        <v>3.43</v>
      </c>
    </row>
    <row r="708" spans="1:4">
      <c r="A708" s="615" t="s">
        <v>3565</v>
      </c>
      <c r="B708" s="909" t="s">
        <v>2322</v>
      </c>
      <c r="C708" s="82">
        <v>3257</v>
      </c>
      <c r="D708" s="1594">
        <v>4.34</v>
      </c>
    </row>
    <row r="709" spans="1:4">
      <c r="A709" s="615" t="s">
        <v>3675</v>
      </c>
      <c r="B709" s="909" t="s">
        <v>4791</v>
      </c>
      <c r="C709" s="82">
        <v>3259</v>
      </c>
      <c r="D709" s="1594">
        <v>4.4400000000000004</v>
      </c>
    </row>
    <row r="710" spans="1:4">
      <c r="A710" s="615" t="s">
        <v>2861</v>
      </c>
      <c r="B710" s="909" t="s">
        <v>4792</v>
      </c>
      <c r="C710" s="82">
        <v>3258</v>
      </c>
      <c r="D710" s="1594">
        <v>4.26</v>
      </c>
    </row>
    <row r="711" spans="1:4">
      <c r="A711" s="615" t="s">
        <v>4475</v>
      </c>
      <c r="B711" s="909" t="s">
        <v>4793</v>
      </c>
      <c r="C711" s="82">
        <v>2460</v>
      </c>
      <c r="D711" s="1594">
        <v>4.09</v>
      </c>
    </row>
    <row r="712" spans="1:4">
      <c r="A712" s="615" t="s">
        <v>4923</v>
      </c>
      <c r="B712" s="909" t="s">
        <v>4794</v>
      </c>
      <c r="C712" s="82">
        <v>2459</v>
      </c>
      <c r="D712" s="1594">
        <v>4.28</v>
      </c>
    </row>
    <row r="713" spans="1:4">
      <c r="A713" s="615" t="s">
        <v>2185</v>
      </c>
      <c r="B713" s="909" t="s">
        <v>2555</v>
      </c>
      <c r="C713" s="82">
        <v>3249</v>
      </c>
      <c r="D713" s="1594">
        <v>3.25</v>
      </c>
    </row>
    <row r="714" spans="1:4">
      <c r="A714" s="615" t="s">
        <v>2947</v>
      </c>
      <c r="B714" s="909" t="s">
        <v>137</v>
      </c>
      <c r="C714" s="82">
        <v>18869</v>
      </c>
      <c r="D714" s="1594">
        <v>3.19</v>
      </c>
    </row>
    <row r="715" spans="1:4">
      <c r="A715" s="615" t="s">
        <v>704</v>
      </c>
      <c r="B715" s="909" t="s">
        <v>138</v>
      </c>
      <c r="C715" s="82">
        <v>12319</v>
      </c>
      <c r="D715" s="1594">
        <v>3.5</v>
      </c>
    </row>
    <row r="716" spans="1:4">
      <c r="A716" s="615" t="s">
        <v>232</v>
      </c>
      <c r="B716" s="909" t="s">
        <v>5291</v>
      </c>
      <c r="C716" s="82">
        <v>12320</v>
      </c>
      <c r="D716" s="1594">
        <v>3.07</v>
      </c>
    </row>
    <row r="717" spans="1:4">
      <c r="A717" s="615" t="s">
        <v>629</v>
      </c>
      <c r="B717" s="909" t="s">
        <v>5292</v>
      </c>
      <c r="C717" s="82">
        <v>3250</v>
      </c>
      <c r="D717" s="1594">
        <v>3.3</v>
      </c>
    </row>
    <row r="718" spans="1:4">
      <c r="A718" s="615" t="s">
        <v>6710</v>
      </c>
      <c r="B718" s="853" t="s">
        <v>6709</v>
      </c>
      <c r="C718" s="82">
        <v>16222</v>
      </c>
      <c r="D718" s="1594">
        <v>2</v>
      </c>
    </row>
    <row r="719" spans="1:4">
      <c r="A719" s="615" t="s">
        <v>2452</v>
      </c>
      <c r="B719" s="909" t="s">
        <v>2452</v>
      </c>
      <c r="C719" s="82"/>
      <c r="D719" s="1594">
        <v>2.6</v>
      </c>
    </row>
    <row r="720" spans="1:4">
      <c r="A720" s="615" t="s">
        <v>2453</v>
      </c>
      <c r="B720" s="909" t="s">
        <v>2453</v>
      </c>
      <c r="C720" s="82"/>
      <c r="D720" s="1594">
        <v>2.6</v>
      </c>
    </row>
    <row r="721" spans="1:4">
      <c r="A721" s="615" t="s">
        <v>245</v>
      </c>
      <c r="B721" s="909" t="s">
        <v>4218</v>
      </c>
      <c r="C721" s="82">
        <v>18402</v>
      </c>
      <c r="D721" s="1594">
        <v>1</v>
      </c>
    </row>
    <row r="722" spans="1:4">
      <c r="A722" s="615" t="s">
        <v>4219</v>
      </c>
      <c r="B722" s="909" t="s">
        <v>4219</v>
      </c>
      <c r="C722" s="82"/>
      <c r="D722" s="1594">
        <v>1</v>
      </c>
    </row>
    <row r="723" spans="1:4">
      <c r="A723" s="615" t="s">
        <v>6607</v>
      </c>
      <c r="B723" s="853" t="s">
        <v>6606</v>
      </c>
      <c r="C723" s="82">
        <v>19407</v>
      </c>
      <c r="D723" s="1594">
        <v>2</v>
      </c>
    </row>
    <row r="724" spans="1:4">
      <c r="A724" s="615" t="s">
        <v>2652</v>
      </c>
      <c r="B724" s="909" t="s">
        <v>3855</v>
      </c>
      <c r="C724" s="82">
        <v>2013</v>
      </c>
      <c r="D724" s="1594">
        <v>3.83</v>
      </c>
    </row>
    <row r="725" spans="1:4">
      <c r="A725" s="615" t="s">
        <v>4237</v>
      </c>
      <c r="B725" s="909" t="s">
        <v>5293</v>
      </c>
      <c r="C725" s="82">
        <v>18706</v>
      </c>
      <c r="D725" s="1594">
        <v>2.21</v>
      </c>
    </row>
    <row r="726" spans="1:4">
      <c r="A726" s="615" t="s">
        <v>594</v>
      </c>
      <c r="B726" s="909" t="s">
        <v>5294</v>
      </c>
      <c r="C726" s="82">
        <v>18574</v>
      </c>
      <c r="D726" s="1594">
        <v>2</v>
      </c>
    </row>
    <row r="727" spans="1:4">
      <c r="A727" s="615" t="s">
        <v>1181</v>
      </c>
      <c r="B727" s="909" t="s">
        <v>1181</v>
      </c>
      <c r="C727" s="82"/>
      <c r="D727" s="1594">
        <v>4.3</v>
      </c>
    </row>
    <row r="728" spans="1:4">
      <c r="A728" s="615" t="s">
        <v>455</v>
      </c>
      <c r="B728" s="909" t="s">
        <v>455</v>
      </c>
      <c r="C728" s="82"/>
      <c r="D728" s="1594">
        <v>4.5</v>
      </c>
    </row>
    <row r="729" spans="1:4">
      <c r="A729" s="615" t="s">
        <v>1173</v>
      </c>
      <c r="B729" s="909" t="s">
        <v>1173</v>
      </c>
      <c r="C729" s="82"/>
      <c r="D729" s="1594">
        <v>4.1533011003667903</v>
      </c>
    </row>
    <row r="730" spans="1:4">
      <c r="A730" s="615" t="s">
        <v>722</v>
      </c>
      <c r="B730" s="909" t="s">
        <v>641</v>
      </c>
      <c r="C730" s="82">
        <v>2938</v>
      </c>
      <c r="D730" s="1594">
        <v>3.14</v>
      </c>
    </row>
    <row r="731" spans="1:4">
      <c r="A731" s="615" t="s">
        <v>385</v>
      </c>
      <c r="B731" s="909" t="s">
        <v>386</v>
      </c>
      <c r="C731" s="82">
        <v>17447</v>
      </c>
      <c r="D731" s="1594">
        <v>3.3182763159269002</v>
      </c>
    </row>
    <row r="732" spans="1:4">
      <c r="A732" s="615" t="s">
        <v>922</v>
      </c>
      <c r="B732" s="909" t="s">
        <v>3790</v>
      </c>
      <c r="C732" s="82">
        <v>3358</v>
      </c>
      <c r="D732" s="1594">
        <v>3.14</v>
      </c>
    </row>
    <row r="733" spans="1:4">
      <c r="A733" s="615" t="s">
        <v>2820</v>
      </c>
      <c r="B733" s="909" t="s">
        <v>3791</v>
      </c>
      <c r="C733" s="82">
        <v>2545</v>
      </c>
      <c r="D733" s="1594">
        <v>3.24</v>
      </c>
    </row>
    <row r="734" spans="1:4">
      <c r="A734" s="615" t="s">
        <v>4100</v>
      </c>
      <c r="B734" s="909" t="s">
        <v>707</v>
      </c>
      <c r="C734" s="82">
        <v>2323</v>
      </c>
      <c r="D734" s="1594">
        <v>3.84</v>
      </c>
    </row>
    <row r="735" spans="1:4">
      <c r="A735" s="1595" t="s">
        <v>5657</v>
      </c>
      <c r="B735" s="909" t="s">
        <v>3218</v>
      </c>
      <c r="C735" s="82">
        <v>2516</v>
      </c>
      <c r="D735" s="1594">
        <v>3.17</v>
      </c>
    </row>
    <row r="736" spans="1:4">
      <c r="A736" s="615" t="s">
        <v>3803</v>
      </c>
      <c r="B736" s="909" t="s">
        <v>3218</v>
      </c>
      <c r="C736" s="82">
        <v>2517</v>
      </c>
      <c r="D736" s="1594">
        <v>3.17</v>
      </c>
    </row>
    <row r="737" spans="1:4">
      <c r="A737" s="615" t="s">
        <v>1967</v>
      </c>
      <c r="B737" s="909" t="s">
        <v>1968</v>
      </c>
      <c r="C737" s="82">
        <v>12379</v>
      </c>
      <c r="D737" s="1594">
        <v>3.72</v>
      </c>
    </row>
    <row r="738" spans="1:4">
      <c r="A738" s="919" t="s">
        <v>8540</v>
      </c>
      <c r="B738" s="918" t="s">
        <v>5295</v>
      </c>
      <c r="C738" s="82">
        <v>2519</v>
      </c>
      <c r="D738" s="1594">
        <v>3.3</v>
      </c>
    </row>
    <row r="739" spans="1:4">
      <c r="A739" s="615" t="s">
        <v>6859</v>
      </c>
      <c r="B739" s="853" t="s">
        <v>6858</v>
      </c>
      <c r="C739" s="82">
        <v>12393</v>
      </c>
      <c r="D739" s="1594">
        <v>2</v>
      </c>
    </row>
    <row r="740" spans="1:4">
      <c r="A740" s="615" t="s">
        <v>1385</v>
      </c>
      <c r="B740" s="909" t="s">
        <v>1386</v>
      </c>
      <c r="C740" s="82">
        <v>19051</v>
      </c>
      <c r="D740" s="1594">
        <v>3.3182763159269002</v>
      </c>
    </row>
    <row r="741" spans="1:4">
      <c r="A741" s="615" t="s">
        <v>6505</v>
      </c>
      <c r="B741" s="853" t="s">
        <v>6504</v>
      </c>
      <c r="C741" s="82">
        <v>6595</v>
      </c>
      <c r="D741" s="1594">
        <v>2</v>
      </c>
    </row>
    <row r="742" spans="1:4">
      <c r="A742" s="615" t="s">
        <v>6615</v>
      </c>
      <c r="B742" s="853" t="s">
        <v>6614</v>
      </c>
      <c r="C742" s="82">
        <v>18765</v>
      </c>
      <c r="D742" s="1594">
        <v>2</v>
      </c>
    </row>
    <row r="743" spans="1:4">
      <c r="A743" s="615" t="s">
        <v>4886</v>
      </c>
      <c r="B743" s="909" t="s">
        <v>4220</v>
      </c>
      <c r="C743" s="82">
        <v>3636</v>
      </c>
      <c r="D743" s="1594">
        <v>1</v>
      </c>
    </row>
    <row r="744" spans="1:4">
      <c r="A744" s="615" t="s">
        <v>1674</v>
      </c>
      <c r="B744" s="909" t="s">
        <v>4956</v>
      </c>
      <c r="C744" s="82">
        <v>18986</v>
      </c>
      <c r="D744" s="1594">
        <v>3.84</v>
      </c>
    </row>
    <row r="745" spans="1:4">
      <c r="A745" s="615" t="s">
        <v>1177</v>
      </c>
      <c r="B745" s="909" t="s">
        <v>1177</v>
      </c>
      <c r="C745" s="82"/>
      <c r="D745" s="1594">
        <v>4.3</v>
      </c>
    </row>
    <row r="746" spans="1:4">
      <c r="A746" s="615" t="s">
        <v>2942</v>
      </c>
      <c r="B746" s="909" t="s">
        <v>3219</v>
      </c>
      <c r="C746" s="82">
        <v>12441</v>
      </c>
      <c r="D746" s="1594">
        <v>3.71</v>
      </c>
    </row>
    <row r="747" spans="1:4">
      <c r="A747" s="615" t="s">
        <v>889</v>
      </c>
      <c r="B747" s="909" t="s">
        <v>3220</v>
      </c>
      <c r="C747" s="82">
        <v>2301</v>
      </c>
      <c r="D747" s="1594">
        <v>3.35</v>
      </c>
    </row>
    <row r="748" spans="1:4">
      <c r="A748" s="615" t="s">
        <v>5583</v>
      </c>
      <c r="B748" s="909" t="s">
        <v>4957</v>
      </c>
      <c r="C748" s="82">
        <v>3170</v>
      </c>
      <c r="D748" s="1594">
        <v>3.35</v>
      </c>
    </row>
    <row r="749" spans="1:4">
      <c r="A749" s="615" t="s">
        <v>6624</v>
      </c>
      <c r="B749" s="909" t="s">
        <v>2878</v>
      </c>
      <c r="C749" s="82">
        <v>2782</v>
      </c>
      <c r="D749" s="1594">
        <v>1</v>
      </c>
    </row>
    <row r="750" spans="1:4">
      <c r="A750" s="615" t="s">
        <v>2209</v>
      </c>
      <c r="B750" s="909" t="s">
        <v>4263</v>
      </c>
      <c r="C750" s="82">
        <v>2475</v>
      </c>
      <c r="D750" s="1594">
        <v>4.5</v>
      </c>
    </row>
    <row r="751" spans="1:4">
      <c r="A751" s="615" t="s">
        <v>5673</v>
      </c>
      <c r="B751" s="909" t="s">
        <v>5674</v>
      </c>
      <c r="C751" s="82">
        <v>2144</v>
      </c>
      <c r="D751" s="1594">
        <v>3.38</v>
      </c>
    </row>
    <row r="752" spans="1:4">
      <c r="A752" s="615" t="s">
        <v>2917</v>
      </c>
      <c r="B752" s="909" t="s">
        <v>3856</v>
      </c>
      <c r="C752" s="82">
        <v>12485</v>
      </c>
      <c r="D752" s="1594">
        <v>4.5</v>
      </c>
    </row>
    <row r="753" spans="1:4">
      <c r="A753" s="615" t="s">
        <v>6511</v>
      </c>
      <c r="B753" s="853" t="s">
        <v>6510</v>
      </c>
      <c r="C753" s="82">
        <v>12489</v>
      </c>
      <c r="D753" s="1594">
        <v>2</v>
      </c>
    </row>
    <row r="754" spans="1:4">
      <c r="A754" s="615" t="s">
        <v>2235</v>
      </c>
      <c r="B754" s="909" t="s">
        <v>2518</v>
      </c>
      <c r="C754" s="82">
        <v>3142</v>
      </c>
      <c r="D754" s="1594">
        <v>3.51</v>
      </c>
    </row>
    <row r="755" spans="1:4">
      <c r="A755" s="615" t="s">
        <v>32</v>
      </c>
      <c r="B755" s="909" t="s">
        <v>33</v>
      </c>
      <c r="C755" s="82">
        <v>12499</v>
      </c>
      <c r="D755" s="1594">
        <v>3.18</v>
      </c>
    </row>
    <row r="756" spans="1:4">
      <c r="A756" s="615" t="s">
        <v>30</v>
      </c>
      <c r="B756" s="909" t="s">
        <v>31</v>
      </c>
      <c r="C756" s="82">
        <v>12509</v>
      </c>
      <c r="D756" s="1594">
        <v>3.6</v>
      </c>
    </row>
    <row r="757" spans="1:4">
      <c r="A757" s="615" t="s">
        <v>6626</v>
      </c>
      <c r="B757" s="853" t="s">
        <v>6625</v>
      </c>
      <c r="C757" s="82">
        <v>19016</v>
      </c>
      <c r="D757" s="1594">
        <v>2</v>
      </c>
    </row>
    <row r="758" spans="1:4">
      <c r="A758" s="615" t="s">
        <v>5653</v>
      </c>
      <c r="B758" s="909" t="s">
        <v>5654</v>
      </c>
      <c r="C758" s="82">
        <v>12517</v>
      </c>
      <c r="D758" s="1594">
        <v>3.5</v>
      </c>
    </row>
    <row r="759" spans="1:4">
      <c r="A759" s="919" t="s">
        <v>8541</v>
      </c>
      <c r="B759" s="918" t="s">
        <v>8542</v>
      </c>
      <c r="C759" s="82">
        <v>12525</v>
      </c>
      <c r="D759" s="1594">
        <v>3.4</v>
      </c>
    </row>
    <row r="760" spans="1:4">
      <c r="A760" s="615" t="s">
        <v>4984</v>
      </c>
      <c r="B760" s="909" t="s">
        <v>4984</v>
      </c>
      <c r="C760" s="82"/>
      <c r="D760" s="1594">
        <v>4.5</v>
      </c>
    </row>
    <row r="761" spans="1:4">
      <c r="A761" s="615" t="s">
        <v>4599</v>
      </c>
      <c r="B761" s="909" t="s">
        <v>4491</v>
      </c>
      <c r="C761" s="82">
        <v>3491</v>
      </c>
      <c r="D761" s="1594">
        <v>2.1</v>
      </c>
    </row>
    <row r="762" spans="1:4">
      <c r="A762" s="615" t="s">
        <v>5475</v>
      </c>
      <c r="B762" s="909" t="s">
        <v>4492</v>
      </c>
      <c r="C762" s="82">
        <v>2653</v>
      </c>
      <c r="D762" s="1594">
        <v>2.1</v>
      </c>
    </row>
    <row r="763" spans="1:4">
      <c r="A763" s="615" t="s">
        <v>5055</v>
      </c>
      <c r="B763" s="909" t="s">
        <v>4493</v>
      </c>
      <c r="C763" s="82">
        <v>3492</v>
      </c>
      <c r="D763" s="1594">
        <v>2.1</v>
      </c>
    </row>
    <row r="764" spans="1:4">
      <c r="A764" s="615" t="s">
        <v>3021</v>
      </c>
      <c r="B764" s="909" t="s">
        <v>5528</v>
      </c>
      <c r="C764" s="82">
        <v>2651</v>
      </c>
      <c r="D764" s="1594">
        <v>2.1</v>
      </c>
    </row>
    <row r="765" spans="1:4">
      <c r="A765" s="615" t="s">
        <v>1340</v>
      </c>
      <c r="B765" s="909" t="s">
        <v>375</v>
      </c>
      <c r="C765" s="82">
        <v>3493</v>
      </c>
      <c r="D765" s="1594">
        <v>2.1</v>
      </c>
    </row>
    <row r="766" spans="1:4">
      <c r="A766" s="615" t="s">
        <v>2165</v>
      </c>
      <c r="B766" s="909" t="s">
        <v>778</v>
      </c>
      <c r="C766" s="82">
        <v>16661</v>
      </c>
      <c r="D766" s="1594">
        <v>2.4713768380352099</v>
      </c>
    </row>
    <row r="767" spans="1:4">
      <c r="A767" s="615" t="s">
        <v>1558</v>
      </c>
      <c r="B767" s="909" t="s">
        <v>2467</v>
      </c>
      <c r="C767" s="82">
        <v>3440</v>
      </c>
      <c r="D767" s="1594">
        <v>2.2000000000000002</v>
      </c>
    </row>
    <row r="768" spans="1:4">
      <c r="A768" s="615" t="s">
        <v>2468</v>
      </c>
      <c r="B768" s="909" t="s">
        <v>2468</v>
      </c>
      <c r="C768" s="82"/>
      <c r="D768" s="1594">
        <v>2.2000000000000002</v>
      </c>
    </row>
    <row r="769" spans="1:4">
      <c r="A769" s="615" t="s">
        <v>4925</v>
      </c>
      <c r="B769" s="909" t="s">
        <v>2469</v>
      </c>
      <c r="C769" s="82">
        <v>2612</v>
      </c>
      <c r="D769" s="1594">
        <v>2.2000000000000002</v>
      </c>
    </row>
    <row r="770" spans="1:4">
      <c r="A770" s="615" t="s">
        <v>5197</v>
      </c>
      <c r="B770" s="909" t="s">
        <v>2047</v>
      </c>
      <c r="C770" s="82">
        <v>12540</v>
      </c>
      <c r="D770" s="1594">
        <v>3.95</v>
      </c>
    </row>
    <row r="771" spans="1:4">
      <c r="A771" s="615" t="s">
        <v>1977</v>
      </c>
      <c r="B771" s="909" t="s">
        <v>761</v>
      </c>
      <c r="C771" s="82">
        <v>12545</v>
      </c>
      <c r="D771" s="1594">
        <v>4.2300000000000004</v>
      </c>
    </row>
    <row r="772" spans="1:4">
      <c r="A772" s="615" t="s">
        <v>2473</v>
      </c>
      <c r="B772" s="909" t="s">
        <v>5363</v>
      </c>
      <c r="C772" s="82">
        <v>3223</v>
      </c>
      <c r="D772" s="1594">
        <v>3.18</v>
      </c>
    </row>
    <row r="773" spans="1:4">
      <c r="A773" s="615" t="s">
        <v>2098</v>
      </c>
      <c r="B773" s="909" t="s">
        <v>2872</v>
      </c>
      <c r="C773" s="82">
        <v>2903</v>
      </c>
      <c r="D773" s="1594">
        <v>3.3</v>
      </c>
    </row>
    <row r="774" spans="1:4">
      <c r="A774" s="615" t="s">
        <v>2075</v>
      </c>
      <c r="B774" s="909" t="s">
        <v>2076</v>
      </c>
      <c r="C774" s="82">
        <v>12563</v>
      </c>
      <c r="D774" s="1594">
        <v>3.1</v>
      </c>
    </row>
    <row r="775" spans="1:4">
      <c r="A775" s="615" t="s">
        <v>4281</v>
      </c>
      <c r="B775" s="909" t="s">
        <v>3507</v>
      </c>
      <c r="C775" s="82">
        <v>2949</v>
      </c>
      <c r="D775" s="1594">
        <v>4.2</v>
      </c>
    </row>
    <row r="776" spans="1:4">
      <c r="A776" s="615" t="s">
        <v>1931</v>
      </c>
      <c r="B776" s="909" t="s">
        <v>642</v>
      </c>
      <c r="C776" s="82">
        <v>2528</v>
      </c>
      <c r="D776" s="1594">
        <v>3.81</v>
      </c>
    </row>
    <row r="777" spans="1:4">
      <c r="A777" s="615" t="s">
        <v>3798</v>
      </c>
      <c r="B777" s="909" t="s">
        <v>3221</v>
      </c>
      <c r="C777" s="82">
        <v>3322</v>
      </c>
      <c r="D777" s="1594">
        <v>2.82</v>
      </c>
    </row>
    <row r="778" spans="1:4">
      <c r="A778" s="615" t="s">
        <v>3908</v>
      </c>
      <c r="B778" s="853" t="s">
        <v>6428</v>
      </c>
      <c r="C778" s="82">
        <v>2974</v>
      </c>
      <c r="D778" s="1594">
        <v>3.6</v>
      </c>
    </row>
    <row r="779" spans="1:4">
      <c r="A779" s="615" t="s">
        <v>6628</v>
      </c>
      <c r="B779" s="853" t="s">
        <v>6627</v>
      </c>
      <c r="C779" s="82">
        <v>12583</v>
      </c>
      <c r="D779" s="1594">
        <v>2</v>
      </c>
    </row>
    <row r="780" spans="1:4">
      <c r="A780" s="615" t="s">
        <v>6442</v>
      </c>
      <c r="B780" s="853" t="s">
        <v>6441</v>
      </c>
      <c r="C780" s="82">
        <v>12591</v>
      </c>
      <c r="D780" s="1594">
        <v>3.2</v>
      </c>
    </row>
    <row r="781" spans="1:4">
      <c r="A781" s="615" t="s">
        <v>6437</v>
      </c>
      <c r="B781" s="853" t="s">
        <v>6436</v>
      </c>
      <c r="C781" s="82">
        <v>2213</v>
      </c>
      <c r="D781" s="1594">
        <v>3.6</v>
      </c>
    </row>
    <row r="782" spans="1:4">
      <c r="A782" s="615" t="s">
        <v>2695</v>
      </c>
      <c r="B782" s="909" t="s">
        <v>708</v>
      </c>
      <c r="C782" s="82">
        <v>3003</v>
      </c>
      <c r="D782" s="1594">
        <v>2.48</v>
      </c>
    </row>
    <row r="783" spans="1:4">
      <c r="A783" s="615" t="s">
        <v>5543</v>
      </c>
      <c r="B783" s="909" t="s">
        <v>4185</v>
      </c>
      <c r="C783" s="82">
        <v>2212</v>
      </c>
      <c r="D783" s="1594">
        <v>3.06</v>
      </c>
    </row>
    <row r="784" spans="1:4">
      <c r="A784" s="615" t="s">
        <v>6792</v>
      </c>
      <c r="B784" s="853" t="s">
        <v>6791</v>
      </c>
      <c r="C784" s="82">
        <v>12623</v>
      </c>
      <c r="D784" s="1594">
        <v>2</v>
      </c>
    </row>
    <row r="785" spans="1:4">
      <c r="A785" s="615" t="s">
        <v>6652</v>
      </c>
      <c r="B785" s="853" t="s">
        <v>6651</v>
      </c>
      <c r="C785" s="82">
        <v>12629</v>
      </c>
      <c r="D785" s="1594">
        <v>4.4000000000000004</v>
      </c>
    </row>
    <row r="786" spans="1:4">
      <c r="A786" s="615" t="s">
        <v>929</v>
      </c>
      <c r="B786" s="909" t="s">
        <v>3222</v>
      </c>
      <c r="C786" s="82">
        <v>12635</v>
      </c>
      <c r="D786" s="1594">
        <v>4.5</v>
      </c>
    </row>
    <row r="787" spans="1:4">
      <c r="A787" s="615" t="s">
        <v>6839</v>
      </c>
      <c r="B787" s="853" t="s">
        <v>6838</v>
      </c>
      <c r="C787" s="82">
        <v>12637</v>
      </c>
      <c r="D787" s="1594">
        <v>4.2</v>
      </c>
    </row>
    <row r="788" spans="1:4">
      <c r="A788" s="615" t="s">
        <v>3141</v>
      </c>
      <c r="B788" s="909" t="s">
        <v>984</v>
      </c>
      <c r="C788" s="82">
        <v>2912</v>
      </c>
      <c r="D788" s="1594">
        <v>3.57</v>
      </c>
    </row>
    <row r="789" spans="1:4">
      <c r="A789" s="919" t="s">
        <v>4405</v>
      </c>
      <c r="B789" s="918" t="s">
        <v>8543</v>
      </c>
      <c r="C789" s="82">
        <v>2983</v>
      </c>
      <c r="D789" s="1594">
        <v>3.7</v>
      </c>
    </row>
    <row r="790" spans="1:4">
      <c r="A790" s="615" t="s">
        <v>2166</v>
      </c>
      <c r="B790" s="909" t="s">
        <v>2470</v>
      </c>
      <c r="C790" s="82">
        <v>2605</v>
      </c>
      <c r="D790" s="1594">
        <v>2.2999999999999998</v>
      </c>
    </row>
    <row r="791" spans="1:4">
      <c r="A791" s="919" t="s">
        <v>8544</v>
      </c>
      <c r="B791" s="918" t="s">
        <v>8545</v>
      </c>
      <c r="C791" s="82">
        <v>20406</v>
      </c>
      <c r="D791" s="1594">
        <v>2.39</v>
      </c>
    </row>
    <row r="792" spans="1:4">
      <c r="A792" s="615" t="s">
        <v>3465</v>
      </c>
      <c r="B792" s="909" t="s">
        <v>2471</v>
      </c>
      <c r="C792" s="82">
        <v>16508</v>
      </c>
      <c r="D792" s="1594">
        <v>2.4713768380352099</v>
      </c>
    </row>
    <row r="793" spans="1:4">
      <c r="A793" s="615" t="s">
        <v>4142</v>
      </c>
      <c r="B793" s="853" t="s">
        <v>6406</v>
      </c>
      <c r="C793" s="82">
        <v>2141</v>
      </c>
      <c r="D793" s="1594">
        <v>2</v>
      </c>
    </row>
    <row r="794" spans="1:4">
      <c r="A794" s="615" t="s">
        <v>3223</v>
      </c>
      <c r="B794" s="909" t="s">
        <v>3223</v>
      </c>
      <c r="C794" s="82"/>
      <c r="D794" s="1594">
        <v>2.5499999999999998</v>
      </c>
    </row>
    <row r="795" spans="1:4">
      <c r="A795" s="615" t="s">
        <v>2373</v>
      </c>
      <c r="B795" s="909" t="s">
        <v>2374</v>
      </c>
      <c r="C795" s="82">
        <v>19139</v>
      </c>
      <c r="D795" s="1594">
        <v>3.59</v>
      </c>
    </row>
    <row r="796" spans="1:4">
      <c r="A796" s="615" t="s">
        <v>2938</v>
      </c>
      <c r="B796" s="909" t="s">
        <v>3857</v>
      </c>
      <c r="C796" s="82">
        <v>2003</v>
      </c>
      <c r="D796" s="1594">
        <v>4.28</v>
      </c>
    </row>
    <row r="797" spans="1:4">
      <c r="A797" s="615" t="s">
        <v>2150</v>
      </c>
      <c r="B797" s="909" t="s">
        <v>2150</v>
      </c>
      <c r="C797" s="82"/>
      <c r="D797" s="1594">
        <v>3.25</v>
      </c>
    </row>
    <row r="798" spans="1:4">
      <c r="A798" s="615" t="s">
        <v>3473</v>
      </c>
      <c r="B798" s="909" t="s">
        <v>3858</v>
      </c>
      <c r="C798" s="82">
        <v>12686</v>
      </c>
      <c r="D798" s="1594">
        <v>3.73</v>
      </c>
    </row>
    <row r="799" spans="1:4">
      <c r="A799" s="615" t="s">
        <v>4318</v>
      </c>
      <c r="B799" s="909" t="s">
        <v>3792</v>
      </c>
      <c r="C799" s="82">
        <v>2547</v>
      </c>
      <c r="D799" s="1594">
        <v>3.64</v>
      </c>
    </row>
    <row r="800" spans="1:4">
      <c r="A800" s="615" t="s">
        <v>1729</v>
      </c>
      <c r="B800" s="909" t="s">
        <v>3793</v>
      </c>
      <c r="C800" s="82">
        <v>3359</v>
      </c>
      <c r="D800" s="1594">
        <v>3.65</v>
      </c>
    </row>
    <row r="801" spans="1:4">
      <c r="A801" s="615" t="s">
        <v>1548</v>
      </c>
      <c r="B801" s="909" t="s">
        <v>3794</v>
      </c>
      <c r="C801" s="82">
        <v>3353</v>
      </c>
      <c r="D801" s="1594">
        <v>4.53</v>
      </c>
    </row>
    <row r="802" spans="1:4">
      <c r="A802" s="615" t="s">
        <v>1688</v>
      </c>
      <c r="B802" s="909" t="s">
        <v>3744</v>
      </c>
      <c r="C802" s="82">
        <v>2542</v>
      </c>
      <c r="D802" s="1594">
        <v>4.13</v>
      </c>
    </row>
    <row r="803" spans="1:4">
      <c r="A803" s="615" t="s">
        <v>6842</v>
      </c>
      <c r="B803" s="853" t="s">
        <v>6841</v>
      </c>
      <c r="C803" s="82">
        <v>18282</v>
      </c>
      <c r="D803" s="1594">
        <v>2</v>
      </c>
    </row>
    <row r="804" spans="1:4">
      <c r="A804" s="615" t="s">
        <v>173</v>
      </c>
      <c r="B804" s="909" t="s">
        <v>3508</v>
      </c>
      <c r="C804" s="82">
        <v>3042</v>
      </c>
      <c r="D804" s="1594">
        <v>3.68</v>
      </c>
    </row>
    <row r="805" spans="1:4">
      <c r="A805" s="615" t="s">
        <v>36</v>
      </c>
      <c r="B805" s="909" t="s">
        <v>37</v>
      </c>
      <c r="C805" s="82">
        <v>18371</v>
      </c>
      <c r="D805" s="1594">
        <v>3.3182763159269002</v>
      </c>
    </row>
    <row r="806" spans="1:4">
      <c r="A806" s="615" t="s">
        <v>3704</v>
      </c>
      <c r="B806" s="909" t="s">
        <v>3705</v>
      </c>
      <c r="C806" s="82">
        <v>18367</v>
      </c>
      <c r="D806" s="1594">
        <v>3.3182763159269002</v>
      </c>
    </row>
    <row r="807" spans="1:4">
      <c r="A807" s="615" t="s">
        <v>4011</v>
      </c>
      <c r="B807" s="909" t="s">
        <v>4012</v>
      </c>
      <c r="C807" s="82">
        <v>18366</v>
      </c>
      <c r="D807" s="1594">
        <v>3.3182763159269002</v>
      </c>
    </row>
    <row r="808" spans="1:4">
      <c r="A808" s="615" t="s">
        <v>725</v>
      </c>
      <c r="B808" s="853" t="s">
        <v>6631</v>
      </c>
      <c r="C808" s="82">
        <v>2770</v>
      </c>
      <c r="D808" s="1594">
        <v>2.2999999999999998</v>
      </c>
    </row>
    <row r="809" spans="1:4">
      <c r="A809" s="615" t="s">
        <v>216</v>
      </c>
      <c r="B809" s="909" t="s">
        <v>217</v>
      </c>
      <c r="C809" s="82">
        <v>19141</v>
      </c>
      <c r="D809" s="1594">
        <v>3.3182763159269002</v>
      </c>
    </row>
    <row r="810" spans="1:4">
      <c r="A810" s="615" t="s">
        <v>4647</v>
      </c>
      <c r="B810" s="909" t="s">
        <v>180</v>
      </c>
      <c r="C810" s="82">
        <v>3482</v>
      </c>
      <c r="D810" s="1594">
        <v>3.4</v>
      </c>
    </row>
    <row r="811" spans="1:4">
      <c r="A811" s="615" t="s">
        <v>4102</v>
      </c>
      <c r="B811" s="909" t="s">
        <v>1334</v>
      </c>
      <c r="C811" s="82">
        <v>2648</v>
      </c>
      <c r="D811" s="1594">
        <v>2.6</v>
      </c>
    </row>
    <row r="812" spans="1:4">
      <c r="A812" s="615" t="s">
        <v>6412</v>
      </c>
      <c r="B812" s="853" t="s">
        <v>6411</v>
      </c>
      <c r="C812" s="82">
        <v>12737</v>
      </c>
      <c r="D812" s="1594">
        <v>3.4</v>
      </c>
    </row>
    <row r="813" spans="1:4">
      <c r="A813" s="615" t="s">
        <v>6633</v>
      </c>
      <c r="B813" s="853" t="s">
        <v>6632</v>
      </c>
      <c r="C813" s="82">
        <v>12738</v>
      </c>
      <c r="D813" s="1594">
        <v>3.7</v>
      </c>
    </row>
    <row r="814" spans="1:4">
      <c r="A814" s="615" t="s">
        <v>6919</v>
      </c>
      <c r="B814" s="853" t="s">
        <v>6918</v>
      </c>
      <c r="C814" s="82">
        <v>6820</v>
      </c>
      <c r="D814" s="1594">
        <v>2</v>
      </c>
    </row>
    <row r="815" spans="1:4">
      <c r="A815" s="615" t="s">
        <v>6635</v>
      </c>
      <c r="B815" s="853" t="s">
        <v>6634</v>
      </c>
      <c r="C815" s="82">
        <v>19224</v>
      </c>
      <c r="D815" s="1594">
        <v>2</v>
      </c>
    </row>
    <row r="816" spans="1:4">
      <c r="A816" s="615" t="s">
        <v>2051</v>
      </c>
      <c r="B816" s="853" t="s">
        <v>6636</v>
      </c>
      <c r="C816" s="82">
        <v>12745</v>
      </c>
      <c r="D816" s="1594">
        <v>3.68</v>
      </c>
    </row>
    <row r="817" spans="1:4">
      <c r="A817" s="615" t="s">
        <v>3920</v>
      </c>
      <c r="B817" s="909" t="s">
        <v>643</v>
      </c>
      <c r="C817" s="82">
        <v>2249</v>
      </c>
      <c r="D817" s="1594">
        <v>4.3</v>
      </c>
    </row>
    <row r="818" spans="1:4">
      <c r="A818" s="615" t="s">
        <v>4519</v>
      </c>
      <c r="B818" s="909" t="s">
        <v>4520</v>
      </c>
      <c r="C818" s="82">
        <v>12747</v>
      </c>
      <c r="D818" s="1594">
        <v>3.49</v>
      </c>
    </row>
    <row r="819" spans="1:4">
      <c r="A819" s="615" t="s">
        <v>5407</v>
      </c>
      <c r="B819" s="909" t="s">
        <v>3973</v>
      </c>
      <c r="C819" s="82">
        <v>12757</v>
      </c>
      <c r="D819" s="1594">
        <v>4.17</v>
      </c>
    </row>
    <row r="820" spans="1:4">
      <c r="A820" s="615" t="s">
        <v>4586</v>
      </c>
      <c r="B820" s="909" t="s">
        <v>1129</v>
      </c>
      <c r="C820" s="82">
        <v>2072</v>
      </c>
      <c r="D820" s="1594">
        <v>4.0599999999999996</v>
      </c>
    </row>
    <row r="821" spans="1:4">
      <c r="A821" s="615" t="s">
        <v>6580</v>
      </c>
      <c r="B821" s="853" t="s">
        <v>6579</v>
      </c>
      <c r="C821" s="82">
        <v>12762</v>
      </c>
      <c r="D821" s="1594">
        <v>2</v>
      </c>
    </row>
    <row r="822" spans="1:4">
      <c r="A822" s="615" t="s">
        <v>2093</v>
      </c>
      <c r="B822" s="909" t="s">
        <v>3859</v>
      </c>
      <c r="C822" s="82">
        <v>2066</v>
      </c>
      <c r="D822" s="1594">
        <v>3.68</v>
      </c>
    </row>
    <row r="823" spans="1:4">
      <c r="A823" s="615" t="s">
        <v>3941</v>
      </c>
      <c r="B823" s="909" t="s">
        <v>5005</v>
      </c>
      <c r="C823" s="82">
        <v>2871</v>
      </c>
      <c r="D823" s="1594">
        <v>3.52</v>
      </c>
    </row>
    <row r="824" spans="1:4">
      <c r="A824" s="615" t="s">
        <v>1138</v>
      </c>
      <c r="B824" s="909" t="s">
        <v>5006</v>
      </c>
      <c r="C824" s="82">
        <v>2870</v>
      </c>
      <c r="D824" s="1594">
        <v>3.77</v>
      </c>
    </row>
    <row r="825" spans="1:4">
      <c r="A825" s="615" t="s">
        <v>4822</v>
      </c>
      <c r="B825" s="909" t="s">
        <v>644</v>
      </c>
      <c r="C825" s="82">
        <v>3319</v>
      </c>
      <c r="D825" s="1594">
        <v>3.95</v>
      </c>
    </row>
    <row r="826" spans="1:4">
      <c r="A826" s="615" t="s">
        <v>1679</v>
      </c>
      <c r="B826" s="909" t="s">
        <v>645</v>
      </c>
      <c r="C826" s="82">
        <v>18704</v>
      </c>
      <c r="D826" s="1594">
        <v>3.82</v>
      </c>
    </row>
    <row r="827" spans="1:4">
      <c r="A827" s="615" t="s">
        <v>344</v>
      </c>
      <c r="B827" s="909" t="s">
        <v>345</v>
      </c>
      <c r="C827" s="82">
        <v>18705</v>
      </c>
      <c r="D827" s="1594">
        <v>3.93</v>
      </c>
    </row>
    <row r="828" spans="1:4">
      <c r="A828" s="615" t="s">
        <v>1166</v>
      </c>
      <c r="B828" s="909" t="s">
        <v>1166</v>
      </c>
      <c r="C828" s="82"/>
      <c r="D828" s="1594">
        <v>4.5</v>
      </c>
    </row>
    <row r="829" spans="1:4">
      <c r="A829" s="615" t="s">
        <v>6650</v>
      </c>
      <c r="B829" s="853" t="s">
        <v>6649</v>
      </c>
      <c r="C829" s="82">
        <v>19145</v>
      </c>
      <c r="D829" s="1594">
        <v>2</v>
      </c>
    </row>
    <row r="830" spans="1:4">
      <c r="A830" s="615" t="s">
        <v>3846</v>
      </c>
      <c r="B830" s="909" t="s">
        <v>2107</v>
      </c>
      <c r="C830" s="82">
        <v>2129</v>
      </c>
      <c r="D830" s="1594">
        <v>3.21</v>
      </c>
    </row>
    <row r="831" spans="1:4">
      <c r="A831" s="615" t="s">
        <v>1107</v>
      </c>
      <c r="B831" s="909" t="s">
        <v>2108</v>
      </c>
      <c r="C831" s="82">
        <v>2937</v>
      </c>
      <c r="D831" s="1594">
        <v>3.43</v>
      </c>
    </row>
    <row r="832" spans="1:4">
      <c r="A832" s="615" t="s">
        <v>2672</v>
      </c>
      <c r="B832" s="909" t="s">
        <v>4994</v>
      </c>
      <c r="C832" s="82">
        <v>2967</v>
      </c>
      <c r="D832" s="1594">
        <v>2</v>
      </c>
    </row>
    <row r="833" spans="1:4">
      <c r="A833" s="615" t="s">
        <v>1308</v>
      </c>
      <c r="B833" s="909" t="s">
        <v>4995</v>
      </c>
      <c r="C833" s="82">
        <v>2965</v>
      </c>
      <c r="D833" s="1594">
        <v>2.33</v>
      </c>
    </row>
    <row r="834" spans="1:4">
      <c r="A834" s="615" t="s">
        <v>6630</v>
      </c>
      <c r="B834" s="853" t="s">
        <v>6629</v>
      </c>
      <c r="C834" s="82">
        <v>12795</v>
      </c>
      <c r="D834" s="1594">
        <v>2.9</v>
      </c>
    </row>
    <row r="835" spans="1:4">
      <c r="A835" s="919" t="s">
        <v>8546</v>
      </c>
      <c r="B835" s="918" t="s">
        <v>8547</v>
      </c>
      <c r="C835" s="82">
        <v>6804</v>
      </c>
      <c r="D835" s="1594">
        <v>3.15</v>
      </c>
    </row>
    <row r="836" spans="1:4">
      <c r="A836" s="615" t="s">
        <v>2995</v>
      </c>
      <c r="B836" s="909" t="s">
        <v>3509</v>
      </c>
      <c r="C836" s="82">
        <v>2462</v>
      </c>
      <c r="D836" s="1594">
        <v>3.31</v>
      </c>
    </row>
    <row r="837" spans="1:4">
      <c r="A837" s="615" t="s">
        <v>2993</v>
      </c>
      <c r="B837" s="909" t="s">
        <v>4186</v>
      </c>
      <c r="C837" s="82">
        <v>3002</v>
      </c>
      <c r="D837" s="1594">
        <v>3.4</v>
      </c>
    </row>
    <row r="838" spans="1:4">
      <c r="A838" s="919" t="s">
        <v>8548</v>
      </c>
      <c r="B838" s="918" t="s">
        <v>8549</v>
      </c>
      <c r="C838" s="82">
        <v>16312</v>
      </c>
      <c r="D838" s="1594">
        <v>2.96</v>
      </c>
    </row>
    <row r="839" spans="1:4">
      <c r="A839" s="615" t="s">
        <v>4527</v>
      </c>
      <c r="B839" s="909" t="s">
        <v>1335</v>
      </c>
      <c r="C839" s="82">
        <v>16315</v>
      </c>
      <c r="D839" s="1594">
        <v>2.9587323501170402</v>
      </c>
    </row>
    <row r="840" spans="1:4">
      <c r="A840" s="615" t="s">
        <v>5450</v>
      </c>
      <c r="B840" s="909" t="s">
        <v>3224</v>
      </c>
      <c r="C840" s="82">
        <v>2977</v>
      </c>
      <c r="D840" s="1594">
        <v>3.41</v>
      </c>
    </row>
    <row r="841" spans="1:4">
      <c r="A841" s="615" t="s">
        <v>2383</v>
      </c>
      <c r="B841" s="909" t="s">
        <v>311</v>
      </c>
      <c r="C841" s="82">
        <v>2188</v>
      </c>
      <c r="D841" s="1594">
        <v>3.87</v>
      </c>
    </row>
    <row r="842" spans="1:4">
      <c r="A842" s="615" t="s">
        <v>1309</v>
      </c>
      <c r="B842" s="909" t="s">
        <v>312</v>
      </c>
      <c r="C842" s="82">
        <v>2976</v>
      </c>
      <c r="D842" s="1594">
        <v>3.58</v>
      </c>
    </row>
    <row r="843" spans="1:4">
      <c r="A843" s="615" t="s">
        <v>2640</v>
      </c>
      <c r="B843" s="909" t="s">
        <v>4996</v>
      </c>
      <c r="C843" s="82">
        <v>2954</v>
      </c>
      <c r="D843" s="1594">
        <v>3.11</v>
      </c>
    </row>
    <row r="844" spans="1:4">
      <c r="A844" s="615" t="s">
        <v>132</v>
      </c>
      <c r="B844" s="909" t="s">
        <v>219</v>
      </c>
      <c r="C844" s="82">
        <v>2112</v>
      </c>
      <c r="D844" s="1594">
        <v>3.44</v>
      </c>
    </row>
    <row r="845" spans="1:4">
      <c r="A845" s="615" t="s">
        <v>418</v>
      </c>
      <c r="B845" s="909" t="s">
        <v>220</v>
      </c>
      <c r="C845" s="82">
        <v>2924</v>
      </c>
      <c r="D845" s="1594">
        <v>3.79</v>
      </c>
    </row>
    <row r="846" spans="1:4">
      <c r="A846" s="615" t="s">
        <v>3669</v>
      </c>
      <c r="B846" s="909" t="s">
        <v>4615</v>
      </c>
      <c r="C846" s="82">
        <v>3565</v>
      </c>
      <c r="D846" s="1594">
        <v>3.8</v>
      </c>
    </row>
    <row r="847" spans="1:4">
      <c r="A847" s="615" t="s">
        <v>2939</v>
      </c>
      <c r="B847" s="909" t="s">
        <v>4616</v>
      </c>
      <c r="C847" s="82">
        <v>3564</v>
      </c>
      <c r="D847" s="1594">
        <v>4.1500000000000004</v>
      </c>
    </row>
    <row r="848" spans="1:4">
      <c r="A848" s="615" t="s">
        <v>1983</v>
      </c>
      <c r="B848" s="909" t="s">
        <v>4617</v>
      </c>
      <c r="C848" s="82">
        <v>2720</v>
      </c>
      <c r="D848" s="1594">
        <v>3.98</v>
      </c>
    </row>
    <row r="849" spans="1:4">
      <c r="A849" s="615" t="s">
        <v>2002</v>
      </c>
      <c r="B849" s="909" t="s">
        <v>2002</v>
      </c>
      <c r="C849" s="82"/>
      <c r="D849" s="1594">
        <v>4.1533011003667903</v>
      </c>
    </row>
    <row r="850" spans="1:4">
      <c r="A850" s="615" t="s">
        <v>3061</v>
      </c>
      <c r="B850" s="909" t="s">
        <v>850</v>
      </c>
      <c r="C850" s="82">
        <v>3625</v>
      </c>
      <c r="D850" s="1594">
        <v>2.2999999999999998</v>
      </c>
    </row>
    <row r="851" spans="1:4">
      <c r="A851" s="615" t="s">
        <v>2879</v>
      </c>
      <c r="B851" s="909" t="s">
        <v>2879</v>
      </c>
      <c r="C851" s="82"/>
      <c r="D851" s="1594">
        <v>1</v>
      </c>
    </row>
    <row r="852" spans="1:4">
      <c r="A852" s="615" t="s">
        <v>4478</v>
      </c>
      <c r="B852" s="909" t="s">
        <v>3129</v>
      </c>
      <c r="C852" s="82">
        <v>3143</v>
      </c>
      <c r="D852" s="1594">
        <v>2.91</v>
      </c>
    </row>
    <row r="853" spans="1:4">
      <c r="A853" s="615" t="s">
        <v>6463</v>
      </c>
      <c r="B853" s="853" t="s">
        <v>6462</v>
      </c>
      <c r="C853" s="82">
        <v>12890</v>
      </c>
      <c r="D853" s="1594">
        <v>2</v>
      </c>
    </row>
    <row r="854" spans="1:4">
      <c r="A854" s="919" t="s">
        <v>8550</v>
      </c>
      <c r="B854" s="918" t="s">
        <v>8551</v>
      </c>
      <c r="C854" s="82">
        <v>12892</v>
      </c>
      <c r="D854" s="1594">
        <v>3.6</v>
      </c>
    </row>
    <row r="855" spans="1:4">
      <c r="A855" s="615" t="s">
        <v>4558</v>
      </c>
      <c r="B855" s="909" t="s">
        <v>4264</v>
      </c>
      <c r="C855" s="82">
        <v>3300</v>
      </c>
      <c r="D855" s="1594">
        <v>4.47</v>
      </c>
    </row>
    <row r="856" spans="1:4">
      <c r="A856" s="615" t="s">
        <v>3086</v>
      </c>
      <c r="B856" s="909" t="s">
        <v>2529</v>
      </c>
      <c r="C856" s="82">
        <v>2499</v>
      </c>
      <c r="D856" s="1594">
        <v>4.5</v>
      </c>
    </row>
    <row r="857" spans="1:4">
      <c r="A857" s="615" t="s">
        <v>5218</v>
      </c>
      <c r="B857" s="909" t="s">
        <v>2530</v>
      </c>
      <c r="C857" s="82">
        <v>3301</v>
      </c>
      <c r="D857" s="1594">
        <v>4.5</v>
      </c>
    </row>
    <row r="858" spans="1:4">
      <c r="A858" s="615" t="s">
        <v>130</v>
      </c>
      <c r="B858" s="909" t="s">
        <v>5007</v>
      </c>
      <c r="C858" s="82">
        <v>2011</v>
      </c>
      <c r="D858" s="1594">
        <v>4.5</v>
      </c>
    </row>
    <row r="859" spans="1:4">
      <c r="A859" s="615" t="s">
        <v>4518</v>
      </c>
      <c r="B859" s="909" t="s">
        <v>5008</v>
      </c>
      <c r="C859" s="82">
        <v>2797</v>
      </c>
      <c r="D859" s="1594">
        <v>4.5</v>
      </c>
    </row>
    <row r="860" spans="1:4">
      <c r="A860" s="615" t="s">
        <v>4275</v>
      </c>
      <c r="B860" s="909" t="s">
        <v>5009</v>
      </c>
      <c r="C860" s="82">
        <v>2010</v>
      </c>
      <c r="D860" s="1594">
        <v>4.5</v>
      </c>
    </row>
    <row r="861" spans="1:4">
      <c r="A861" s="615" t="s">
        <v>5700</v>
      </c>
      <c r="B861" s="909" t="s">
        <v>2279</v>
      </c>
      <c r="C861" s="82">
        <v>3450</v>
      </c>
      <c r="D861" s="1594">
        <v>2.6</v>
      </c>
    </row>
    <row r="862" spans="1:4">
      <c r="A862" s="615" t="s">
        <v>2408</v>
      </c>
      <c r="B862" s="909" t="s">
        <v>2280</v>
      </c>
      <c r="C862" s="82">
        <v>3448</v>
      </c>
      <c r="D862" s="1594">
        <v>2.6</v>
      </c>
    </row>
    <row r="863" spans="1:4">
      <c r="A863" s="615" t="s">
        <v>1283</v>
      </c>
      <c r="B863" s="909" t="s">
        <v>2281</v>
      </c>
      <c r="C863" s="82">
        <v>3447</v>
      </c>
      <c r="D863" s="1594">
        <v>2.6</v>
      </c>
    </row>
    <row r="864" spans="1:4">
      <c r="A864" s="615" t="s">
        <v>3054</v>
      </c>
      <c r="B864" s="909" t="s">
        <v>3903</v>
      </c>
      <c r="C864" s="82">
        <v>16285</v>
      </c>
      <c r="D864" s="1594">
        <v>2.9587323501170402</v>
      </c>
    </row>
    <row r="865" spans="1:4">
      <c r="A865" s="615" t="s">
        <v>4813</v>
      </c>
      <c r="B865" s="909" t="s">
        <v>3904</v>
      </c>
      <c r="C865" s="82">
        <v>16284</v>
      </c>
      <c r="D865" s="1594">
        <v>2.9587323501170402</v>
      </c>
    </row>
    <row r="866" spans="1:4">
      <c r="A866" s="615" t="s">
        <v>264</v>
      </c>
      <c r="B866" s="909" t="s">
        <v>5332</v>
      </c>
      <c r="C866" s="82">
        <v>3449</v>
      </c>
      <c r="D866" s="1594">
        <v>2.6</v>
      </c>
    </row>
    <row r="867" spans="1:4">
      <c r="A867" s="615" t="s">
        <v>5540</v>
      </c>
      <c r="B867" s="909" t="s">
        <v>5333</v>
      </c>
      <c r="C867" s="82">
        <v>2617</v>
      </c>
      <c r="D867" s="1594">
        <v>2.6</v>
      </c>
    </row>
    <row r="868" spans="1:4">
      <c r="A868" s="615" t="s">
        <v>2211</v>
      </c>
      <c r="B868" s="909" t="s">
        <v>3130</v>
      </c>
      <c r="C868" s="82">
        <v>2259</v>
      </c>
      <c r="D868" s="1594">
        <v>2.37</v>
      </c>
    </row>
    <row r="869" spans="1:4">
      <c r="A869" s="615" t="s">
        <v>3948</v>
      </c>
      <c r="B869" s="909" t="s">
        <v>646</v>
      </c>
      <c r="C869" s="82">
        <v>3234</v>
      </c>
      <c r="D869" s="1594">
        <v>4.57</v>
      </c>
    </row>
    <row r="870" spans="1:4">
      <c r="A870" s="615" t="s">
        <v>2997</v>
      </c>
      <c r="B870" s="909" t="s">
        <v>2531</v>
      </c>
      <c r="C870" s="82">
        <v>2494</v>
      </c>
      <c r="D870" s="1594">
        <v>4.3499999999999996</v>
      </c>
    </row>
    <row r="871" spans="1:4">
      <c r="A871" s="615" t="s">
        <v>1174</v>
      </c>
      <c r="B871" s="909" t="s">
        <v>1174</v>
      </c>
      <c r="C871" s="82"/>
      <c r="D871" s="1594">
        <v>4.5</v>
      </c>
    </row>
    <row r="872" spans="1:4">
      <c r="A872" s="615" t="s">
        <v>868</v>
      </c>
      <c r="B872" s="909" t="s">
        <v>868</v>
      </c>
      <c r="C872" s="82"/>
      <c r="D872" s="1594">
        <v>4.1533011003667903</v>
      </c>
    </row>
    <row r="873" spans="1:4">
      <c r="A873" s="615" t="s">
        <v>1078</v>
      </c>
      <c r="B873" s="909" t="s">
        <v>884</v>
      </c>
      <c r="C873" s="82">
        <v>2908</v>
      </c>
      <c r="D873" s="1594">
        <v>2.87</v>
      </c>
    </row>
    <row r="874" spans="1:4">
      <c r="A874" s="615" t="s">
        <v>4292</v>
      </c>
      <c r="B874" s="909" t="s">
        <v>313</v>
      </c>
      <c r="C874" s="82">
        <v>2185</v>
      </c>
      <c r="D874" s="1594">
        <v>3.96</v>
      </c>
    </row>
    <row r="875" spans="1:4">
      <c r="A875" s="615" t="s">
        <v>1947</v>
      </c>
      <c r="B875" s="909" t="s">
        <v>4888</v>
      </c>
      <c r="C875" s="82">
        <v>18985</v>
      </c>
      <c r="D875" s="1594">
        <v>2.72</v>
      </c>
    </row>
    <row r="876" spans="1:4">
      <c r="A876" s="615" t="s">
        <v>3449</v>
      </c>
      <c r="B876" s="909" t="s">
        <v>4997</v>
      </c>
      <c r="C876" s="82">
        <v>2963</v>
      </c>
      <c r="D876" s="1594">
        <v>2.19</v>
      </c>
    </row>
    <row r="877" spans="1:4">
      <c r="A877" s="615" t="s">
        <v>2596</v>
      </c>
      <c r="B877" s="909" t="s">
        <v>5257</v>
      </c>
      <c r="C877" s="82">
        <v>19128</v>
      </c>
      <c r="D877" s="1594">
        <v>2.34</v>
      </c>
    </row>
    <row r="878" spans="1:4">
      <c r="A878" s="615" t="s">
        <v>4882</v>
      </c>
      <c r="B878" s="909" t="s">
        <v>4889</v>
      </c>
      <c r="C878" s="82">
        <v>3224</v>
      </c>
      <c r="D878" s="1594">
        <v>3.43</v>
      </c>
    </row>
    <row r="879" spans="1:4">
      <c r="A879" s="615" t="s">
        <v>2752</v>
      </c>
      <c r="B879" s="909" t="s">
        <v>4890</v>
      </c>
      <c r="C879" s="82">
        <v>13004</v>
      </c>
      <c r="D879" s="1594">
        <v>3.07</v>
      </c>
    </row>
    <row r="880" spans="1:4">
      <c r="A880" s="615" t="s">
        <v>6493</v>
      </c>
      <c r="B880" s="853" t="s">
        <v>6492</v>
      </c>
      <c r="C880" s="82">
        <v>17808</v>
      </c>
      <c r="D880" s="1594">
        <v>2</v>
      </c>
    </row>
    <row r="881" spans="1:4">
      <c r="A881" s="615" t="s">
        <v>2371</v>
      </c>
      <c r="B881" s="909" t="s">
        <v>2372</v>
      </c>
      <c r="C881" s="82">
        <v>13007</v>
      </c>
      <c r="D881" s="1594">
        <v>3.93</v>
      </c>
    </row>
    <row r="882" spans="1:4">
      <c r="A882" s="615" t="s">
        <v>1227</v>
      </c>
      <c r="B882" s="909" t="s">
        <v>4183</v>
      </c>
      <c r="C882" s="82">
        <v>3101</v>
      </c>
      <c r="D882" s="1594">
        <v>3.97</v>
      </c>
    </row>
    <row r="883" spans="1:4">
      <c r="A883" s="615" t="s">
        <v>6657</v>
      </c>
      <c r="B883" s="909" t="s">
        <v>5721</v>
      </c>
      <c r="C883" s="82">
        <v>13017</v>
      </c>
      <c r="D883" s="1594">
        <v>3.61</v>
      </c>
    </row>
    <row r="884" spans="1:4">
      <c r="A884" s="615" t="s">
        <v>1901</v>
      </c>
      <c r="B884" s="909" t="s">
        <v>1901</v>
      </c>
      <c r="C884" s="82"/>
      <c r="D884" s="1594">
        <v>4.1533011003667903</v>
      </c>
    </row>
    <row r="885" spans="1:4">
      <c r="A885" s="615" t="s">
        <v>4498</v>
      </c>
      <c r="B885" s="909" t="s">
        <v>4498</v>
      </c>
      <c r="C885" s="82"/>
      <c r="D885" s="1594">
        <v>3.3182763159269002</v>
      </c>
    </row>
    <row r="886" spans="1:4">
      <c r="A886" s="615" t="s">
        <v>1172</v>
      </c>
      <c r="B886" s="909" t="s">
        <v>1172</v>
      </c>
      <c r="C886" s="82"/>
      <c r="D886" s="1594">
        <v>4.1533011003667903</v>
      </c>
    </row>
    <row r="887" spans="1:4">
      <c r="A887" s="615" t="s">
        <v>1170</v>
      </c>
      <c r="B887" s="909" t="s">
        <v>1170</v>
      </c>
      <c r="C887" s="82"/>
      <c r="D887" s="1594">
        <v>4.1533011003667903</v>
      </c>
    </row>
    <row r="888" spans="1:4">
      <c r="A888" s="615" t="s">
        <v>867</v>
      </c>
      <c r="B888" s="909" t="s">
        <v>867</v>
      </c>
      <c r="C888" s="82"/>
      <c r="D888" s="1594">
        <v>4.5</v>
      </c>
    </row>
    <row r="889" spans="1:4">
      <c r="A889" s="615" t="s">
        <v>6851</v>
      </c>
      <c r="B889" s="853" t="s">
        <v>6850</v>
      </c>
      <c r="C889" s="82">
        <v>18933</v>
      </c>
      <c r="D889" s="1594">
        <v>3.6</v>
      </c>
    </row>
    <row r="890" spans="1:4">
      <c r="A890" s="615" t="s">
        <v>6789</v>
      </c>
      <c r="B890" s="853" t="s">
        <v>6788</v>
      </c>
      <c r="C890" s="82">
        <v>13026</v>
      </c>
      <c r="D890" s="1594">
        <v>2</v>
      </c>
    </row>
    <row r="891" spans="1:4">
      <c r="A891" s="615" t="s">
        <v>1226</v>
      </c>
      <c r="B891" s="909" t="s">
        <v>3869</v>
      </c>
      <c r="C891" s="82">
        <v>18539</v>
      </c>
      <c r="D891" s="1594">
        <v>1</v>
      </c>
    </row>
    <row r="892" spans="1:4">
      <c r="A892" s="615" t="s">
        <v>4670</v>
      </c>
      <c r="B892" s="909" t="s">
        <v>5587</v>
      </c>
      <c r="C892" s="82">
        <v>3629</v>
      </c>
      <c r="D892" s="1594">
        <v>1</v>
      </c>
    </row>
    <row r="893" spans="1:4">
      <c r="A893" s="615" t="s">
        <v>5325</v>
      </c>
      <c r="B893" s="909" t="s">
        <v>5588</v>
      </c>
      <c r="C893" s="82">
        <v>2776</v>
      </c>
      <c r="D893" s="1594">
        <v>1</v>
      </c>
    </row>
    <row r="894" spans="1:4">
      <c r="A894" s="615" t="s">
        <v>1422</v>
      </c>
      <c r="B894" s="909" t="s">
        <v>2488</v>
      </c>
      <c r="C894" s="82">
        <v>2798</v>
      </c>
      <c r="D894" s="1594">
        <v>4.5</v>
      </c>
    </row>
    <row r="895" spans="1:4">
      <c r="A895" s="615" t="s">
        <v>2048</v>
      </c>
      <c r="B895" s="909" t="s">
        <v>2049</v>
      </c>
      <c r="C895" s="82">
        <v>2796</v>
      </c>
      <c r="D895" s="1594">
        <v>4.51</v>
      </c>
    </row>
    <row r="896" spans="1:4">
      <c r="A896" s="615" t="s">
        <v>788</v>
      </c>
      <c r="B896" s="909" t="s">
        <v>647</v>
      </c>
      <c r="C896" s="82">
        <v>2142</v>
      </c>
      <c r="D896" s="1594">
        <v>3.17</v>
      </c>
    </row>
    <row r="897" spans="1:4">
      <c r="A897" s="615" t="s">
        <v>5665</v>
      </c>
      <c r="B897" s="909" t="s">
        <v>5666</v>
      </c>
      <c r="C897" s="82">
        <v>13036</v>
      </c>
      <c r="D897" s="1594">
        <v>3.19</v>
      </c>
    </row>
    <row r="898" spans="1:4">
      <c r="A898" s="615" t="s">
        <v>893</v>
      </c>
      <c r="B898" s="909" t="s">
        <v>1574</v>
      </c>
      <c r="C898" s="82">
        <v>2002</v>
      </c>
      <c r="D898" s="1594">
        <v>4.5</v>
      </c>
    </row>
    <row r="899" spans="1:4">
      <c r="A899" s="615" t="s">
        <v>170</v>
      </c>
      <c r="B899" s="909" t="s">
        <v>4184</v>
      </c>
      <c r="C899" s="82">
        <v>2247</v>
      </c>
      <c r="D899" s="1594">
        <v>4.22</v>
      </c>
    </row>
    <row r="900" spans="1:4">
      <c r="A900" s="615" t="s">
        <v>5690</v>
      </c>
      <c r="B900" s="909" t="s">
        <v>5691</v>
      </c>
      <c r="C900" s="82">
        <v>13048</v>
      </c>
      <c r="D900" s="1594">
        <v>4.3899999999999997</v>
      </c>
    </row>
    <row r="901" spans="1:4">
      <c r="A901" s="615" t="s">
        <v>5328</v>
      </c>
      <c r="B901" s="909" t="s">
        <v>3709</v>
      </c>
      <c r="C901" s="82">
        <v>3163</v>
      </c>
      <c r="D901" s="1594">
        <v>3.72</v>
      </c>
    </row>
    <row r="902" spans="1:4">
      <c r="A902" s="615" t="s">
        <v>5581</v>
      </c>
      <c r="B902" s="909" t="s">
        <v>3710</v>
      </c>
      <c r="C902" s="82">
        <v>2362</v>
      </c>
      <c r="D902" s="1594">
        <v>3.64</v>
      </c>
    </row>
    <row r="903" spans="1:4">
      <c r="A903" s="615" t="s">
        <v>6844</v>
      </c>
      <c r="B903" s="853" t="s">
        <v>6843</v>
      </c>
      <c r="C903" s="82">
        <v>13055</v>
      </c>
      <c r="D903" s="1594">
        <v>2</v>
      </c>
    </row>
    <row r="904" spans="1:4">
      <c r="A904" s="615" t="s">
        <v>4594</v>
      </c>
      <c r="B904" s="909" t="s">
        <v>3711</v>
      </c>
      <c r="C904" s="82">
        <v>2286</v>
      </c>
      <c r="D904" s="1594">
        <v>3.36</v>
      </c>
    </row>
    <row r="905" spans="1:4">
      <c r="A905" s="615" t="s">
        <v>6910</v>
      </c>
      <c r="B905" s="853" t="s">
        <v>6909</v>
      </c>
      <c r="C905" s="82">
        <v>13059</v>
      </c>
      <c r="D905" s="1594">
        <v>2</v>
      </c>
    </row>
    <row r="906" spans="1:4">
      <c r="A906" s="615" t="s">
        <v>5633</v>
      </c>
      <c r="B906" s="909" t="s">
        <v>1436</v>
      </c>
      <c r="C906" s="82">
        <v>3068</v>
      </c>
      <c r="D906" s="1594">
        <v>4.3499999999999996</v>
      </c>
    </row>
    <row r="907" spans="1:4">
      <c r="A907" s="615" t="s">
        <v>6459</v>
      </c>
      <c r="B907" s="853" t="s">
        <v>6458</v>
      </c>
      <c r="C907" s="82">
        <v>13061</v>
      </c>
      <c r="D907" s="1594">
        <v>2</v>
      </c>
    </row>
    <row r="908" spans="1:4">
      <c r="A908" s="615" t="s">
        <v>6595</v>
      </c>
      <c r="B908" s="853" t="s">
        <v>6594</v>
      </c>
      <c r="C908" s="82">
        <v>13062</v>
      </c>
      <c r="D908" s="1594">
        <v>2</v>
      </c>
    </row>
    <row r="909" spans="1:4">
      <c r="A909" s="615" t="s">
        <v>931</v>
      </c>
      <c r="B909" s="909" t="s">
        <v>314</v>
      </c>
      <c r="C909" s="82">
        <v>2275</v>
      </c>
      <c r="D909" s="1594">
        <v>4.4800000000000004</v>
      </c>
    </row>
    <row r="910" spans="1:4">
      <c r="A910" s="615" t="s">
        <v>4571</v>
      </c>
      <c r="B910" s="909" t="s">
        <v>315</v>
      </c>
      <c r="C910" s="82">
        <v>3067</v>
      </c>
      <c r="D910" s="1594">
        <v>4.29</v>
      </c>
    </row>
    <row r="911" spans="1:4">
      <c r="A911" s="615" t="s">
        <v>6855</v>
      </c>
      <c r="B911" s="853" t="s">
        <v>6854</v>
      </c>
      <c r="C911" s="82">
        <v>19632</v>
      </c>
      <c r="D911" s="1594">
        <v>2</v>
      </c>
    </row>
    <row r="912" spans="1:4">
      <c r="A912" s="615" t="s">
        <v>4877</v>
      </c>
      <c r="B912" s="909" t="s">
        <v>5402</v>
      </c>
      <c r="C912" s="82">
        <v>3229</v>
      </c>
      <c r="D912" s="1594">
        <v>3.65</v>
      </c>
    </row>
    <row r="913" spans="1:4">
      <c r="A913" s="615" t="s">
        <v>3829</v>
      </c>
      <c r="B913" s="909" t="s">
        <v>3712</v>
      </c>
      <c r="C913" s="82">
        <v>3141</v>
      </c>
      <c r="D913" s="1594">
        <v>3.13</v>
      </c>
    </row>
    <row r="914" spans="1:4">
      <c r="A914" s="615" t="s">
        <v>72</v>
      </c>
      <c r="B914" s="909" t="s">
        <v>3713</v>
      </c>
      <c r="C914" s="82">
        <v>2337</v>
      </c>
      <c r="D914" s="1594">
        <v>3.15</v>
      </c>
    </row>
    <row r="915" spans="1:4">
      <c r="A915" s="615" t="s">
        <v>2092</v>
      </c>
      <c r="B915" s="909" t="s">
        <v>3714</v>
      </c>
      <c r="C915" s="82">
        <v>3164</v>
      </c>
      <c r="D915" s="1594">
        <v>3.94</v>
      </c>
    </row>
    <row r="916" spans="1:4">
      <c r="A916" s="615" t="s">
        <v>6665</v>
      </c>
      <c r="B916" s="909" t="s">
        <v>2419</v>
      </c>
      <c r="C916" s="82">
        <v>3390</v>
      </c>
      <c r="D916" s="1594">
        <v>2.6</v>
      </c>
    </row>
    <row r="917" spans="1:4">
      <c r="A917" s="615" t="s">
        <v>3078</v>
      </c>
      <c r="B917" s="909" t="s">
        <v>5403</v>
      </c>
      <c r="C917" s="82">
        <v>3267</v>
      </c>
      <c r="D917" s="1594">
        <v>4.34</v>
      </c>
    </row>
    <row r="918" spans="1:4">
      <c r="A918" s="615" t="s">
        <v>3441</v>
      </c>
      <c r="B918" s="909" t="s">
        <v>3715</v>
      </c>
      <c r="C918" s="82">
        <v>13101</v>
      </c>
      <c r="D918" s="1594">
        <v>3.59</v>
      </c>
    </row>
    <row r="919" spans="1:4">
      <c r="A919" s="615" t="s">
        <v>162</v>
      </c>
      <c r="B919" s="909" t="s">
        <v>3745</v>
      </c>
      <c r="C919" s="82">
        <v>3362</v>
      </c>
      <c r="D919" s="1594">
        <v>3.21</v>
      </c>
    </row>
    <row r="920" spans="1:4">
      <c r="A920" s="615" t="s">
        <v>3644</v>
      </c>
      <c r="B920" s="909" t="s">
        <v>5404</v>
      </c>
      <c r="C920" s="82">
        <v>3270</v>
      </c>
      <c r="D920" s="1594">
        <v>3.85</v>
      </c>
    </row>
    <row r="921" spans="1:4">
      <c r="A921" s="615" t="s">
        <v>3487</v>
      </c>
      <c r="B921" s="909" t="s">
        <v>3746</v>
      </c>
      <c r="C921" s="82">
        <v>2561</v>
      </c>
      <c r="D921" s="1594">
        <v>3.69</v>
      </c>
    </row>
    <row r="922" spans="1:4">
      <c r="A922" s="615" t="s">
        <v>4521</v>
      </c>
      <c r="B922" s="909" t="s">
        <v>3747</v>
      </c>
      <c r="C922" s="82">
        <v>2559</v>
      </c>
      <c r="D922" s="1594">
        <v>3.96</v>
      </c>
    </row>
    <row r="923" spans="1:4">
      <c r="A923" s="615" t="s">
        <v>2133</v>
      </c>
      <c r="B923" s="909" t="s">
        <v>3748</v>
      </c>
      <c r="C923" s="82">
        <v>2560</v>
      </c>
      <c r="D923" s="1594">
        <v>4.24</v>
      </c>
    </row>
    <row r="924" spans="1:4">
      <c r="A924" s="615" t="s">
        <v>3461</v>
      </c>
      <c r="B924" s="909" t="s">
        <v>3065</v>
      </c>
      <c r="C924" s="82">
        <v>13106</v>
      </c>
      <c r="D924" s="1594">
        <v>4.0999999999999996</v>
      </c>
    </row>
    <row r="925" spans="1:4">
      <c r="A925" s="615" t="s">
        <v>5701</v>
      </c>
      <c r="B925" s="909" t="s">
        <v>5702</v>
      </c>
      <c r="C925" s="82">
        <v>13108</v>
      </c>
      <c r="D925" s="1594">
        <v>3.42</v>
      </c>
    </row>
    <row r="926" spans="1:4">
      <c r="A926" s="615" t="s">
        <v>1973</v>
      </c>
      <c r="B926" s="909" t="s">
        <v>1974</v>
      </c>
      <c r="C926" s="82">
        <v>19140</v>
      </c>
      <c r="D926" s="1594">
        <v>4.08</v>
      </c>
    </row>
    <row r="927" spans="1:4">
      <c r="A927" s="615" t="s">
        <v>6667</v>
      </c>
      <c r="B927" s="853" t="s">
        <v>6666</v>
      </c>
      <c r="C927" s="82">
        <v>13121</v>
      </c>
      <c r="D927" s="1594">
        <v>2.2999999999999998</v>
      </c>
    </row>
    <row r="928" spans="1:4">
      <c r="A928" s="615" t="s">
        <v>6669</v>
      </c>
      <c r="B928" s="853" t="s">
        <v>6668</v>
      </c>
      <c r="C928" s="82">
        <v>13125</v>
      </c>
      <c r="D928" s="1594">
        <v>2</v>
      </c>
    </row>
    <row r="929" spans="1:4">
      <c r="A929" s="615" t="s">
        <v>1069</v>
      </c>
      <c r="B929" s="909" t="s">
        <v>4998</v>
      </c>
      <c r="C929" s="82">
        <v>2969</v>
      </c>
      <c r="D929" s="1594">
        <v>2.76</v>
      </c>
    </row>
    <row r="930" spans="1:4">
      <c r="A930" s="615" t="s">
        <v>6446</v>
      </c>
      <c r="B930" s="853" t="s">
        <v>6445</v>
      </c>
      <c r="C930" s="82">
        <v>13132</v>
      </c>
      <c r="D930" s="1594">
        <v>3.8</v>
      </c>
    </row>
    <row r="931" spans="1:4">
      <c r="A931" s="615" t="s">
        <v>6640</v>
      </c>
      <c r="B931" s="853" t="s">
        <v>6639</v>
      </c>
      <c r="C931" s="82">
        <v>14482</v>
      </c>
      <c r="D931" s="1594">
        <v>3.9</v>
      </c>
    </row>
    <row r="932" spans="1:4">
      <c r="A932" s="615" t="s">
        <v>2164</v>
      </c>
      <c r="B932" s="909" t="s">
        <v>5589</v>
      </c>
      <c r="C932" s="82">
        <v>2779</v>
      </c>
      <c r="D932" s="1594">
        <v>1</v>
      </c>
    </row>
    <row r="933" spans="1:4">
      <c r="A933" s="615" t="s">
        <v>6672</v>
      </c>
      <c r="B933" s="909" t="s">
        <v>5590</v>
      </c>
      <c r="C933" s="82">
        <v>2778</v>
      </c>
      <c r="D933" s="1594">
        <v>1</v>
      </c>
    </row>
    <row r="934" spans="1:4">
      <c r="A934" s="615" t="s">
        <v>6673</v>
      </c>
      <c r="B934" s="909" t="s">
        <v>5591</v>
      </c>
      <c r="C934" s="82">
        <v>18544</v>
      </c>
      <c r="D934" s="1594">
        <v>1</v>
      </c>
    </row>
    <row r="935" spans="1:4">
      <c r="A935" s="615" t="s">
        <v>5217</v>
      </c>
      <c r="B935" s="909" t="s">
        <v>3716</v>
      </c>
      <c r="C935" s="82">
        <v>2366</v>
      </c>
      <c r="D935" s="1594">
        <v>3.58</v>
      </c>
    </row>
    <row r="936" spans="1:4">
      <c r="A936" s="615" t="s">
        <v>122</v>
      </c>
      <c r="B936" s="909" t="s">
        <v>3717</v>
      </c>
      <c r="C936" s="82">
        <v>3171</v>
      </c>
      <c r="D936" s="1594">
        <v>3.54</v>
      </c>
    </row>
    <row r="937" spans="1:4">
      <c r="A937" s="615" t="s">
        <v>705</v>
      </c>
      <c r="B937" s="909" t="s">
        <v>3718</v>
      </c>
      <c r="C937" s="82">
        <v>18953</v>
      </c>
      <c r="D937" s="1594">
        <v>3.47</v>
      </c>
    </row>
    <row r="938" spans="1:4">
      <c r="A938" s="615" t="s">
        <v>2567</v>
      </c>
      <c r="B938" s="909" t="s">
        <v>3719</v>
      </c>
      <c r="C938" s="82">
        <v>13164</v>
      </c>
      <c r="D938" s="1594">
        <v>3.56</v>
      </c>
    </row>
    <row r="939" spans="1:4">
      <c r="A939" s="615" t="s">
        <v>2250</v>
      </c>
      <c r="B939" s="909" t="s">
        <v>3979</v>
      </c>
      <c r="C939" s="82">
        <v>13166</v>
      </c>
      <c r="D939" s="1594">
        <v>4.21</v>
      </c>
    </row>
    <row r="940" spans="1:4">
      <c r="A940" s="615" t="s">
        <v>703</v>
      </c>
      <c r="B940" s="909" t="s">
        <v>3980</v>
      </c>
      <c r="C940" s="82">
        <v>13167</v>
      </c>
      <c r="D940" s="1594">
        <v>3.43</v>
      </c>
    </row>
    <row r="941" spans="1:4">
      <c r="A941" s="615" t="s">
        <v>1313</v>
      </c>
      <c r="B941" s="909" t="s">
        <v>4910</v>
      </c>
      <c r="C941" s="82">
        <v>13168</v>
      </c>
      <c r="D941" s="1594">
        <v>3.79</v>
      </c>
    </row>
    <row r="942" spans="1:4">
      <c r="A942" s="615" t="s">
        <v>4432</v>
      </c>
      <c r="B942" s="853" t="s">
        <v>6925</v>
      </c>
      <c r="C942" s="82">
        <v>13169</v>
      </c>
      <c r="D942" s="1594">
        <v>3.5</v>
      </c>
    </row>
    <row r="943" spans="1:4">
      <c r="A943" s="615" t="s">
        <v>4322</v>
      </c>
      <c r="B943" s="909" t="s">
        <v>4911</v>
      </c>
      <c r="C943" s="82">
        <v>13170</v>
      </c>
      <c r="D943" s="1594">
        <v>3.32</v>
      </c>
    </row>
    <row r="944" spans="1:4">
      <c r="A944" s="615" t="s">
        <v>2660</v>
      </c>
      <c r="B944" s="909" t="s">
        <v>4912</v>
      </c>
      <c r="C944" s="82">
        <v>18909</v>
      </c>
      <c r="D944" s="1594">
        <v>3.39</v>
      </c>
    </row>
    <row r="945" spans="1:4">
      <c r="A945" s="615" t="s">
        <v>2571</v>
      </c>
      <c r="B945" s="909" t="s">
        <v>4913</v>
      </c>
      <c r="C945" s="82">
        <v>18911</v>
      </c>
      <c r="D945" s="1594">
        <v>3.67</v>
      </c>
    </row>
    <row r="946" spans="1:4">
      <c r="A946" s="615" t="s">
        <v>3610</v>
      </c>
      <c r="B946" s="909" t="s">
        <v>2478</v>
      </c>
      <c r="C946" s="82">
        <v>13179</v>
      </c>
      <c r="D946" s="1594">
        <v>3.03</v>
      </c>
    </row>
    <row r="947" spans="1:4">
      <c r="A947" s="615" t="s">
        <v>1220</v>
      </c>
      <c r="B947" s="909" t="s">
        <v>2479</v>
      </c>
      <c r="C947" s="82">
        <v>2160</v>
      </c>
      <c r="D947" s="1594">
        <v>3.79</v>
      </c>
    </row>
    <row r="948" spans="1:4">
      <c r="A948" s="615" t="s">
        <v>4544</v>
      </c>
      <c r="B948" s="909" t="s">
        <v>2480</v>
      </c>
      <c r="C948" s="82">
        <v>2962</v>
      </c>
      <c r="D948" s="1594">
        <v>2.57</v>
      </c>
    </row>
    <row r="949" spans="1:4">
      <c r="A949" s="615" t="s">
        <v>952</v>
      </c>
      <c r="B949" s="909" t="s">
        <v>2481</v>
      </c>
      <c r="C949" s="82">
        <v>2961</v>
      </c>
      <c r="D949" s="1594">
        <v>3.31</v>
      </c>
    </row>
    <row r="950" spans="1:4">
      <c r="A950" s="615" t="s">
        <v>6794</v>
      </c>
      <c r="B950" s="853" t="s">
        <v>6793</v>
      </c>
      <c r="C950" s="82">
        <v>6815</v>
      </c>
      <c r="D950" s="1594">
        <v>2</v>
      </c>
    </row>
    <row r="951" spans="1:4">
      <c r="A951" s="615" t="s">
        <v>3420</v>
      </c>
      <c r="B951" s="909" t="s">
        <v>3123</v>
      </c>
      <c r="C951" s="82">
        <v>2322</v>
      </c>
      <c r="D951" s="1594">
        <v>4.5</v>
      </c>
    </row>
    <row r="952" spans="1:4">
      <c r="A952" s="615" t="s">
        <v>2077</v>
      </c>
      <c r="B952" s="909" t="s">
        <v>2078</v>
      </c>
      <c r="C952" s="82">
        <v>13193</v>
      </c>
      <c r="D952" s="1594">
        <v>3.49</v>
      </c>
    </row>
    <row r="953" spans="1:4">
      <c r="A953" s="615" t="s">
        <v>169</v>
      </c>
      <c r="B953" s="909" t="s">
        <v>3749</v>
      </c>
      <c r="C953" s="82">
        <v>3360</v>
      </c>
      <c r="D953" s="1594">
        <v>3.24</v>
      </c>
    </row>
    <row r="954" spans="1:4">
      <c r="A954" s="615" t="s">
        <v>5176</v>
      </c>
      <c r="B954" s="909" t="s">
        <v>1276</v>
      </c>
      <c r="C954" s="82">
        <v>2548</v>
      </c>
      <c r="D954" s="1594">
        <v>3.22</v>
      </c>
    </row>
    <row r="955" spans="1:4">
      <c r="A955" s="615" t="s">
        <v>4786</v>
      </c>
      <c r="B955" s="909" t="s">
        <v>1277</v>
      </c>
      <c r="C955" s="82">
        <v>3361</v>
      </c>
      <c r="D955" s="1594">
        <v>3.29</v>
      </c>
    </row>
    <row r="956" spans="1:4">
      <c r="A956" s="615" t="s">
        <v>6661</v>
      </c>
      <c r="B956" s="853" t="s">
        <v>6660</v>
      </c>
      <c r="C956" s="82">
        <v>2104</v>
      </c>
      <c r="D956" s="1594">
        <v>3</v>
      </c>
    </row>
    <row r="957" spans="1:4">
      <c r="A957" s="615" t="s">
        <v>6675</v>
      </c>
      <c r="B957" s="853" t="s">
        <v>6674</v>
      </c>
      <c r="C957" s="82">
        <v>13199</v>
      </c>
      <c r="D957" s="1594">
        <v>3.1</v>
      </c>
    </row>
    <row r="958" spans="1:4">
      <c r="A958" s="615" t="s">
        <v>941</v>
      </c>
      <c r="B958" s="909" t="s">
        <v>5492</v>
      </c>
      <c r="C958" s="82">
        <v>3616</v>
      </c>
      <c r="D958" s="1594">
        <v>2.2999999999999998</v>
      </c>
    </row>
    <row r="959" spans="1:4">
      <c r="A959" s="919" t="s">
        <v>8552</v>
      </c>
      <c r="B959" s="918" t="s">
        <v>8553</v>
      </c>
      <c r="C959" s="82">
        <v>19305</v>
      </c>
      <c r="D959" s="1594">
        <v>3.4</v>
      </c>
    </row>
    <row r="960" spans="1:4">
      <c r="A960" s="615" t="s">
        <v>1169</v>
      </c>
      <c r="B960" s="909" t="s">
        <v>1169</v>
      </c>
      <c r="C960" s="82"/>
      <c r="D960" s="1594">
        <v>4.1533011003667903</v>
      </c>
    </row>
    <row r="961" spans="1:4">
      <c r="A961" s="615" t="s">
        <v>2713</v>
      </c>
      <c r="B961" s="909" t="s">
        <v>5303</v>
      </c>
      <c r="C961" s="82">
        <v>18570</v>
      </c>
      <c r="D961" s="1594">
        <v>2.2999999999999998</v>
      </c>
    </row>
    <row r="962" spans="1:4">
      <c r="A962" s="615" t="s">
        <v>2599</v>
      </c>
      <c r="B962" s="909" t="s">
        <v>5304</v>
      </c>
      <c r="C962" s="82">
        <v>2641</v>
      </c>
      <c r="D962" s="1594">
        <v>2.2999999999999998</v>
      </c>
    </row>
    <row r="963" spans="1:4">
      <c r="A963" s="615" t="s">
        <v>1524</v>
      </c>
      <c r="B963" s="909" t="s">
        <v>2789</v>
      </c>
      <c r="C963" s="82">
        <v>3471</v>
      </c>
      <c r="D963" s="1594">
        <v>2.2999999999999998</v>
      </c>
    </row>
    <row r="964" spans="1:4">
      <c r="A964" s="615" t="s">
        <v>5663</v>
      </c>
      <c r="B964" s="909" t="s">
        <v>5664</v>
      </c>
      <c r="C964" s="82">
        <v>3470</v>
      </c>
      <c r="D964" s="1594">
        <v>2</v>
      </c>
    </row>
    <row r="965" spans="1:4">
      <c r="A965" s="615" t="s">
        <v>2410</v>
      </c>
      <c r="B965" s="909" t="s">
        <v>5305</v>
      </c>
      <c r="C965" s="82">
        <v>3469</v>
      </c>
      <c r="D965" s="1594">
        <v>2.2999999999999998</v>
      </c>
    </row>
    <row r="966" spans="1:4">
      <c r="A966" s="615" t="s">
        <v>2600</v>
      </c>
      <c r="B966" s="909" t="s">
        <v>5227</v>
      </c>
      <c r="C966" s="82">
        <v>2391</v>
      </c>
      <c r="D966" s="1594">
        <v>2.92</v>
      </c>
    </row>
    <row r="967" spans="1:4">
      <c r="A967" s="615" t="s">
        <v>2240</v>
      </c>
      <c r="B967" s="909" t="s">
        <v>4511</v>
      </c>
      <c r="C967" s="82">
        <v>2392</v>
      </c>
      <c r="D967" s="1594">
        <v>3.42</v>
      </c>
    </row>
    <row r="968" spans="1:4">
      <c r="A968" s="615" t="s">
        <v>1285</v>
      </c>
      <c r="B968" s="909" t="s">
        <v>4512</v>
      </c>
      <c r="C968" s="82">
        <v>2390</v>
      </c>
      <c r="D968" s="1594">
        <v>3.24</v>
      </c>
    </row>
    <row r="969" spans="1:4">
      <c r="A969" s="615" t="s">
        <v>1594</v>
      </c>
      <c r="B969" s="909" t="s">
        <v>376</v>
      </c>
      <c r="C969" s="82">
        <v>3499</v>
      </c>
      <c r="D969" s="1594">
        <v>2.1</v>
      </c>
    </row>
    <row r="970" spans="1:4">
      <c r="A970" s="615" t="s">
        <v>3292</v>
      </c>
      <c r="B970" s="909" t="s">
        <v>377</v>
      </c>
      <c r="C970" s="82">
        <v>2660</v>
      </c>
      <c r="D970" s="1594">
        <v>2.1</v>
      </c>
    </row>
    <row r="971" spans="1:4">
      <c r="A971" s="615" t="s">
        <v>6401</v>
      </c>
      <c r="B971" s="853" t="s">
        <v>6400</v>
      </c>
      <c r="C971" s="82">
        <v>19844</v>
      </c>
      <c r="D971" s="1594">
        <v>2.6</v>
      </c>
    </row>
    <row r="972" spans="1:4">
      <c r="A972" s="615" t="s">
        <v>3672</v>
      </c>
      <c r="B972" s="909" t="s">
        <v>4513</v>
      </c>
      <c r="C972" s="82">
        <v>3055</v>
      </c>
      <c r="D972" s="1594">
        <v>2.46</v>
      </c>
    </row>
    <row r="973" spans="1:4">
      <c r="A973" s="615" t="s">
        <v>4731</v>
      </c>
      <c r="B973" s="909" t="s">
        <v>4514</v>
      </c>
      <c r="C973" s="82">
        <v>18864</v>
      </c>
      <c r="D973" s="1594">
        <v>2.56</v>
      </c>
    </row>
    <row r="974" spans="1:4">
      <c r="A974" s="919" t="s">
        <v>4430</v>
      </c>
      <c r="B974" s="918" t="s">
        <v>8554</v>
      </c>
      <c r="C974" s="82">
        <v>3054</v>
      </c>
      <c r="D974" s="1594">
        <v>2.2999999999999998</v>
      </c>
    </row>
    <row r="975" spans="1:4">
      <c r="A975" s="615" t="s">
        <v>3676</v>
      </c>
      <c r="B975" s="909" t="s">
        <v>2183</v>
      </c>
      <c r="C975" s="82">
        <v>2261</v>
      </c>
      <c r="D975" s="1594">
        <v>3.04</v>
      </c>
    </row>
    <row r="976" spans="1:4">
      <c r="A976" s="615" t="s">
        <v>6765</v>
      </c>
      <c r="B976" s="853" t="s">
        <v>6764</v>
      </c>
      <c r="C976" s="82">
        <v>19100</v>
      </c>
      <c r="D976" s="1594">
        <v>2</v>
      </c>
    </row>
    <row r="977" spans="1:4">
      <c r="A977" s="615" t="s">
        <v>5390</v>
      </c>
      <c r="B977" s="909" t="s">
        <v>2358</v>
      </c>
      <c r="C977" s="82">
        <v>13233</v>
      </c>
      <c r="D977" s="1594">
        <v>4.04</v>
      </c>
    </row>
    <row r="978" spans="1:4">
      <c r="A978" s="615" t="s">
        <v>2245</v>
      </c>
      <c r="B978" s="909" t="s">
        <v>4618</v>
      </c>
      <c r="C978" s="82">
        <v>3575</v>
      </c>
      <c r="D978" s="1594">
        <v>3.2</v>
      </c>
    </row>
    <row r="979" spans="1:4">
      <c r="A979" s="615" t="s">
        <v>6638</v>
      </c>
      <c r="B979" s="853" t="s">
        <v>6637</v>
      </c>
      <c r="C979" s="82">
        <v>17020</v>
      </c>
      <c r="D979" s="1594">
        <v>2</v>
      </c>
    </row>
    <row r="980" spans="1:4">
      <c r="A980" s="615" t="s">
        <v>5607</v>
      </c>
      <c r="B980" s="909" t="s">
        <v>5345</v>
      </c>
      <c r="C980" s="82">
        <v>17029</v>
      </c>
      <c r="D980" s="1594">
        <v>3.5</v>
      </c>
    </row>
    <row r="981" spans="1:4">
      <c r="A981" s="615" t="s">
        <v>3623</v>
      </c>
      <c r="B981" s="909" t="s">
        <v>5346</v>
      </c>
      <c r="C981" s="82">
        <v>2713</v>
      </c>
      <c r="D981" s="1594">
        <v>3.2</v>
      </c>
    </row>
    <row r="982" spans="1:4">
      <c r="A982" s="615" t="s">
        <v>4236</v>
      </c>
      <c r="B982" s="909" t="s">
        <v>5347</v>
      </c>
      <c r="C982" s="82">
        <v>17033</v>
      </c>
      <c r="D982" s="1594">
        <v>3.88</v>
      </c>
    </row>
    <row r="983" spans="1:4">
      <c r="A983" s="615" t="s">
        <v>3677</v>
      </c>
      <c r="B983" s="909" t="s">
        <v>3678</v>
      </c>
      <c r="C983" s="82">
        <v>2714</v>
      </c>
      <c r="D983" s="1594">
        <v>3.51</v>
      </c>
    </row>
    <row r="984" spans="1:4">
      <c r="A984" s="615" t="s">
        <v>2940</v>
      </c>
      <c r="B984" s="853" t="s">
        <v>6678</v>
      </c>
      <c r="C984" s="82">
        <v>2715</v>
      </c>
      <c r="D984" s="1594">
        <v>3.2</v>
      </c>
    </row>
    <row r="985" spans="1:4">
      <c r="A985" s="615" t="s">
        <v>968</v>
      </c>
      <c r="B985" s="909" t="s">
        <v>5048</v>
      </c>
      <c r="C985" s="82">
        <v>2712</v>
      </c>
      <c r="D985" s="1594">
        <v>3.5</v>
      </c>
    </row>
    <row r="986" spans="1:4">
      <c r="A986" s="615" t="s">
        <v>6584</v>
      </c>
      <c r="B986" s="853" t="s">
        <v>6583</v>
      </c>
      <c r="C986" s="82">
        <v>17019</v>
      </c>
      <c r="D986" s="1594">
        <v>2</v>
      </c>
    </row>
    <row r="987" spans="1:4">
      <c r="A987" s="615" t="s">
        <v>5298</v>
      </c>
      <c r="B987" s="909" t="s">
        <v>2359</v>
      </c>
      <c r="C987" s="82">
        <v>2570</v>
      </c>
      <c r="D987" s="1594">
        <v>4.43</v>
      </c>
    </row>
    <row r="988" spans="1:4">
      <c r="A988" s="615" t="s">
        <v>6408</v>
      </c>
      <c r="B988" s="853" t="s">
        <v>6407</v>
      </c>
      <c r="C988" s="82">
        <v>19543</v>
      </c>
      <c r="D988" s="1594">
        <v>3.3</v>
      </c>
    </row>
    <row r="989" spans="1:4">
      <c r="A989" s="615" t="s">
        <v>6690</v>
      </c>
      <c r="B989" s="853" t="s">
        <v>6689</v>
      </c>
      <c r="C989" s="82">
        <v>13243</v>
      </c>
      <c r="D989" s="1594">
        <v>4</v>
      </c>
    </row>
    <row r="990" spans="1:4">
      <c r="A990" s="615" t="s">
        <v>4646</v>
      </c>
      <c r="B990" s="909" t="s">
        <v>2360</v>
      </c>
      <c r="C990" s="82">
        <v>3380</v>
      </c>
      <c r="D990" s="1594">
        <v>4.5</v>
      </c>
    </row>
    <row r="991" spans="1:4">
      <c r="A991" s="615" t="s">
        <v>118</v>
      </c>
      <c r="B991" s="909" t="s">
        <v>3575</v>
      </c>
      <c r="C991" s="82">
        <v>2571</v>
      </c>
      <c r="D991" s="1594">
        <v>4.4800000000000004</v>
      </c>
    </row>
    <row r="992" spans="1:4">
      <c r="A992" s="615" t="s">
        <v>3706</v>
      </c>
      <c r="B992" s="909" t="s">
        <v>3707</v>
      </c>
      <c r="C992" s="82">
        <v>19058</v>
      </c>
      <c r="D992" s="1594">
        <v>4.5</v>
      </c>
    </row>
    <row r="993" spans="1:4">
      <c r="A993" s="615" t="s">
        <v>960</v>
      </c>
      <c r="B993" s="909" t="s">
        <v>3576</v>
      </c>
      <c r="C993" s="82">
        <v>3379</v>
      </c>
      <c r="D993" s="1594">
        <v>4.45</v>
      </c>
    </row>
    <row r="994" spans="1:4">
      <c r="A994" s="615" t="s">
        <v>2055</v>
      </c>
      <c r="B994" s="909" t="s">
        <v>2056</v>
      </c>
      <c r="C994" s="82">
        <v>3378</v>
      </c>
      <c r="D994" s="1594">
        <v>4.4800000000000004</v>
      </c>
    </row>
    <row r="995" spans="1:4">
      <c r="A995" s="615" t="s">
        <v>478</v>
      </c>
      <c r="B995" s="909" t="s">
        <v>1093</v>
      </c>
      <c r="C995" s="82">
        <v>3381</v>
      </c>
      <c r="D995" s="1594">
        <v>4.5</v>
      </c>
    </row>
    <row r="996" spans="1:4">
      <c r="A996" s="615" t="s">
        <v>1290</v>
      </c>
      <c r="B996" s="909" t="s">
        <v>1094</v>
      </c>
      <c r="C996" s="82">
        <v>2572</v>
      </c>
      <c r="D996" s="1594">
        <v>4.46</v>
      </c>
    </row>
    <row r="997" spans="1:4">
      <c r="A997" s="615" t="s">
        <v>1595</v>
      </c>
      <c r="B997" s="909" t="s">
        <v>1095</v>
      </c>
      <c r="C997" s="82">
        <v>2302</v>
      </c>
      <c r="D997" s="1594">
        <v>3.45</v>
      </c>
    </row>
    <row r="998" spans="1:4">
      <c r="A998" s="615" t="s">
        <v>6692</v>
      </c>
      <c r="B998" s="853" t="s">
        <v>6691</v>
      </c>
      <c r="C998" s="82">
        <v>13251</v>
      </c>
      <c r="D998" s="1594">
        <v>2</v>
      </c>
    </row>
    <row r="999" spans="1:4">
      <c r="A999" s="615" t="s">
        <v>2669</v>
      </c>
      <c r="B999" s="909" t="s">
        <v>316</v>
      </c>
      <c r="C999" s="82">
        <v>3012</v>
      </c>
      <c r="D999" s="1594">
        <v>4.03</v>
      </c>
    </row>
    <row r="1000" spans="1:4">
      <c r="A1000" s="615" t="s">
        <v>614</v>
      </c>
      <c r="B1000" s="909" t="s">
        <v>3657</v>
      </c>
      <c r="C1000" s="82">
        <v>3621</v>
      </c>
      <c r="D1000" s="1594">
        <v>2.2999999999999998</v>
      </c>
    </row>
    <row r="1001" spans="1:4">
      <c r="A1001" s="615" t="s">
        <v>6777</v>
      </c>
      <c r="B1001" s="853" t="s">
        <v>6776</v>
      </c>
      <c r="C1001" s="82">
        <v>13265</v>
      </c>
      <c r="D1001" s="1594">
        <v>4.3</v>
      </c>
    </row>
    <row r="1002" spans="1:4">
      <c r="A1002" s="615" t="s">
        <v>3660</v>
      </c>
      <c r="B1002" s="909" t="s">
        <v>2184</v>
      </c>
      <c r="C1002" s="82">
        <v>3133</v>
      </c>
      <c r="D1002" s="1594">
        <v>3.97</v>
      </c>
    </row>
    <row r="1003" spans="1:4">
      <c r="A1003" s="615" t="s">
        <v>2061</v>
      </c>
      <c r="B1003" s="909" t="s">
        <v>2062</v>
      </c>
      <c r="C1003" s="82">
        <v>13275</v>
      </c>
      <c r="D1003" s="1594">
        <v>3.86</v>
      </c>
    </row>
    <row r="1004" spans="1:4">
      <c r="A1004" s="615" t="s">
        <v>533</v>
      </c>
      <c r="B1004" s="909" t="s">
        <v>2609</v>
      </c>
      <c r="C1004" s="82">
        <v>3134</v>
      </c>
      <c r="D1004" s="1594">
        <v>3.58</v>
      </c>
    </row>
    <row r="1005" spans="1:4">
      <c r="A1005" s="615" t="s">
        <v>185</v>
      </c>
      <c r="B1005" s="909" t="s">
        <v>2610</v>
      </c>
      <c r="C1005" s="82">
        <v>3135</v>
      </c>
      <c r="D1005" s="1594">
        <v>4.04</v>
      </c>
    </row>
    <row r="1006" spans="1:4">
      <c r="A1006" s="615" t="s">
        <v>3661</v>
      </c>
      <c r="B1006" s="909" t="s">
        <v>2611</v>
      </c>
      <c r="C1006" s="82">
        <v>13278</v>
      </c>
      <c r="D1006" s="1594">
        <v>4.1100000000000003</v>
      </c>
    </row>
    <row r="1007" spans="1:4">
      <c r="A1007" s="615" t="s">
        <v>6472</v>
      </c>
      <c r="B1007" s="853" t="s">
        <v>6471</v>
      </c>
      <c r="C1007" s="82">
        <v>13279</v>
      </c>
      <c r="D1007" s="1594">
        <v>2</v>
      </c>
    </row>
    <row r="1008" spans="1:4">
      <c r="A1008" s="615" t="s">
        <v>2215</v>
      </c>
      <c r="B1008" s="909" t="s">
        <v>1764</v>
      </c>
      <c r="C1008" s="82">
        <v>3136</v>
      </c>
      <c r="D1008" s="1594">
        <v>4.01</v>
      </c>
    </row>
    <row r="1009" spans="1:4">
      <c r="A1009" s="615" t="s">
        <v>4952</v>
      </c>
      <c r="B1009" s="909" t="s">
        <v>454</v>
      </c>
      <c r="C1009" s="82">
        <v>13281</v>
      </c>
      <c r="D1009" s="1594">
        <v>4.22</v>
      </c>
    </row>
    <row r="1010" spans="1:4">
      <c r="A1010" s="615" t="s">
        <v>2328</v>
      </c>
      <c r="B1010" s="909" t="s">
        <v>4529</v>
      </c>
      <c r="C1010" s="82">
        <v>13287</v>
      </c>
      <c r="D1010" s="1594">
        <v>3.62</v>
      </c>
    </row>
    <row r="1011" spans="1:4">
      <c r="A1011" s="615" t="s">
        <v>1389</v>
      </c>
      <c r="B1011" s="909" t="s">
        <v>2368</v>
      </c>
      <c r="C1011" s="82">
        <v>13289</v>
      </c>
      <c r="D1011" s="1594">
        <v>4.25</v>
      </c>
    </row>
    <row r="1012" spans="1:4">
      <c r="A1012" s="615" t="s">
        <v>4899</v>
      </c>
      <c r="B1012" s="909" t="s">
        <v>4900</v>
      </c>
      <c r="C1012" s="82">
        <v>13290</v>
      </c>
      <c r="D1012" s="1594">
        <v>3.94</v>
      </c>
    </row>
    <row r="1013" spans="1:4">
      <c r="A1013" s="615" t="s">
        <v>5091</v>
      </c>
      <c r="B1013" s="909" t="s">
        <v>4530</v>
      </c>
      <c r="C1013" s="82">
        <v>13292</v>
      </c>
      <c r="D1013" s="1594">
        <v>4.18</v>
      </c>
    </row>
    <row r="1014" spans="1:4">
      <c r="A1014" s="615" t="s">
        <v>231</v>
      </c>
      <c r="B1014" s="909" t="s">
        <v>135</v>
      </c>
      <c r="C1014" s="82">
        <v>18897</v>
      </c>
      <c r="D1014" s="1594">
        <v>3.6</v>
      </c>
    </row>
    <row r="1015" spans="1:4">
      <c r="A1015" s="615" t="s">
        <v>4732</v>
      </c>
      <c r="B1015" s="909" t="s">
        <v>136</v>
      </c>
      <c r="C1015" s="82">
        <v>13295</v>
      </c>
      <c r="D1015" s="1594">
        <v>4.46</v>
      </c>
    </row>
    <row r="1016" spans="1:4">
      <c r="A1016" s="615" t="s">
        <v>1651</v>
      </c>
      <c r="B1016" s="909" t="s">
        <v>1652</v>
      </c>
      <c r="C1016" s="82">
        <v>19091</v>
      </c>
      <c r="D1016" s="1594">
        <v>4.0199999999999996</v>
      </c>
    </row>
    <row r="1017" spans="1:4">
      <c r="A1017" s="615" t="s">
        <v>2588</v>
      </c>
      <c r="B1017" s="909" t="s">
        <v>1366</v>
      </c>
      <c r="C1017" s="82">
        <v>2333</v>
      </c>
      <c r="D1017" s="1594">
        <v>3.58</v>
      </c>
    </row>
    <row r="1018" spans="1:4">
      <c r="A1018" s="615" t="s">
        <v>235</v>
      </c>
      <c r="B1018" s="909" t="s">
        <v>1367</v>
      </c>
      <c r="C1018" s="82">
        <v>18946</v>
      </c>
      <c r="D1018" s="1594">
        <v>3.57</v>
      </c>
    </row>
    <row r="1019" spans="1:4">
      <c r="A1019" s="615" t="s">
        <v>3844</v>
      </c>
      <c r="B1019" s="909" t="s">
        <v>5468</v>
      </c>
      <c r="C1019" s="82">
        <v>2332</v>
      </c>
      <c r="D1019" s="1594">
        <v>4</v>
      </c>
    </row>
    <row r="1020" spans="1:4">
      <c r="A1020" s="615" t="s">
        <v>2580</v>
      </c>
      <c r="B1020" s="909" t="s">
        <v>5469</v>
      </c>
      <c r="C1020" s="82">
        <v>2334</v>
      </c>
      <c r="D1020" s="1594">
        <v>3.82</v>
      </c>
    </row>
    <row r="1021" spans="1:4">
      <c r="A1021" s="615" t="s">
        <v>6495</v>
      </c>
      <c r="B1021" s="853" t="s">
        <v>6494</v>
      </c>
      <c r="C1021" s="82">
        <v>13301</v>
      </c>
      <c r="D1021" s="1594">
        <v>4.0999999999999996</v>
      </c>
    </row>
    <row r="1022" spans="1:4">
      <c r="A1022" s="615" t="s">
        <v>4023</v>
      </c>
      <c r="B1022" s="909" t="s">
        <v>4024</v>
      </c>
      <c r="C1022" s="82">
        <v>13302</v>
      </c>
      <c r="D1022" s="1594">
        <v>3.09</v>
      </c>
    </row>
    <row r="1023" spans="1:4">
      <c r="A1023" s="615" t="s">
        <v>29</v>
      </c>
      <c r="B1023" s="909" t="s">
        <v>242</v>
      </c>
      <c r="C1023" s="82">
        <v>2922</v>
      </c>
      <c r="D1023" s="1594">
        <v>3.64</v>
      </c>
    </row>
    <row r="1024" spans="1:4">
      <c r="A1024" s="615" t="s">
        <v>4924</v>
      </c>
      <c r="B1024" s="909" t="s">
        <v>1237</v>
      </c>
      <c r="C1024" s="82">
        <v>3255</v>
      </c>
      <c r="D1024" s="1594">
        <v>3.5</v>
      </c>
    </row>
    <row r="1025" spans="1:4">
      <c r="A1025" s="615" t="s">
        <v>3845</v>
      </c>
      <c r="B1025" s="909" t="s">
        <v>5311</v>
      </c>
      <c r="C1025" s="82">
        <v>16456</v>
      </c>
      <c r="D1025" s="1594">
        <v>2.4112496163562103</v>
      </c>
    </row>
    <row r="1026" spans="1:4">
      <c r="A1026" s="615" t="s">
        <v>2732</v>
      </c>
      <c r="B1026" s="909" t="s">
        <v>5312</v>
      </c>
      <c r="C1026" s="82">
        <v>2608</v>
      </c>
      <c r="D1026" s="1594">
        <v>2.2000000000000002</v>
      </c>
    </row>
    <row r="1027" spans="1:4">
      <c r="A1027" s="615" t="s">
        <v>2726</v>
      </c>
      <c r="B1027" s="909" t="s">
        <v>5313</v>
      </c>
      <c r="C1027" s="82">
        <v>3431</v>
      </c>
      <c r="D1027" s="1594">
        <v>2.5</v>
      </c>
    </row>
    <row r="1028" spans="1:4">
      <c r="A1028" s="615" t="s">
        <v>2590</v>
      </c>
      <c r="B1028" s="909" t="s">
        <v>490</v>
      </c>
      <c r="C1028" s="82">
        <v>13329</v>
      </c>
      <c r="D1028" s="1594">
        <v>3.7</v>
      </c>
    </row>
    <row r="1029" spans="1:4">
      <c r="A1029" s="615" t="s">
        <v>3552</v>
      </c>
      <c r="B1029" s="909" t="s">
        <v>5592</v>
      </c>
      <c r="C1029" s="82">
        <v>3631</v>
      </c>
      <c r="D1029" s="1594">
        <v>1</v>
      </c>
    </row>
    <row r="1030" spans="1:4">
      <c r="A1030" s="615" t="s">
        <v>3553</v>
      </c>
      <c r="B1030" s="909" t="s">
        <v>3785</v>
      </c>
      <c r="C1030" s="82">
        <v>3156</v>
      </c>
      <c r="D1030" s="1594">
        <v>3.9</v>
      </c>
    </row>
    <row r="1031" spans="1:4">
      <c r="A1031" s="615" t="s">
        <v>4133</v>
      </c>
      <c r="B1031" s="909" t="s">
        <v>1238</v>
      </c>
      <c r="C1031" s="82">
        <v>2246</v>
      </c>
      <c r="D1031" s="1594">
        <v>3.47</v>
      </c>
    </row>
    <row r="1032" spans="1:4">
      <c r="A1032" s="615" t="s">
        <v>2990</v>
      </c>
      <c r="B1032" s="909" t="s">
        <v>3066</v>
      </c>
      <c r="C1032" s="82">
        <v>16070</v>
      </c>
      <c r="D1032" s="1594">
        <v>3.59</v>
      </c>
    </row>
    <row r="1033" spans="1:4">
      <c r="A1033" s="615" t="s">
        <v>4135</v>
      </c>
      <c r="B1033" s="909" t="s">
        <v>3067</v>
      </c>
      <c r="C1033" s="82">
        <v>3034</v>
      </c>
      <c r="D1033" s="1594">
        <v>4.4800000000000004</v>
      </c>
    </row>
    <row r="1034" spans="1:4">
      <c r="A1034" s="615" t="s">
        <v>4317</v>
      </c>
      <c r="B1034" s="909" t="s">
        <v>3068</v>
      </c>
      <c r="C1034" s="82">
        <v>13341</v>
      </c>
      <c r="D1034" s="1594">
        <v>3.75</v>
      </c>
    </row>
    <row r="1035" spans="1:4">
      <c r="A1035" s="615" t="s">
        <v>3340</v>
      </c>
      <c r="B1035" s="909" t="s">
        <v>3069</v>
      </c>
      <c r="C1035" s="82">
        <v>13342</v>
      </c>
      <c r="D1035" s="1594">
        <v>3.71</v>
      </c>
    </row>
    <row r="1036" spans="1:4">
      <c r="A1036" s="615" t="s">
        <v>3550</v>
      </c>
      <c r="B1036" s="909" t="s">
        <v>2032</v>
      </c>
      <c r="C1036" s="82">
        <v>2244</v>
      </c>
      <c r="D1036" s="1594">
        <v>3.85</v>
      </c>
    </row>
    <row r="1037" spans="1:4">
      <c r="A1037" s="615" t="s">
        <v>3084</v>
      </c>
      <c r="B1037" s="909" t="s">
        <v>609</v>
      </c>
      <c r="C1037" s="82">
        <v>13343</v>
      </c>
      <c r="D1037" s="1594">
        <v>3.47</v>
      </c>
    </row>
    <row r="1038" spans="1:4">
      <c r="A1038" s="615" t="s">
        <v>1984</v>
      </c>
      <c r="B1038" s="909" t="s">
        <v>1647</v>
      </c>
      <c r="C1038" s="82">
        <v>2458</v>
      </c>
      <c r="D1038" s="1594">
        <v>3.42</v>
      </c>
    </row>
    <row r="1039" spans="1:4">
      <c r="A1039" s="615" t="s">
        <v>3561</v>
      </c>
      <c r="B1039" s="909" t="s">
        <v>610</v>
      </c>
      <c r="C1039" s="82">
        <v>2243</v>
      </c>
      <c r="D1039" s="1594">
        <v>3.93</v>
      </c>
    </row>
    <row r="1040" spans="1:4">
      <c r="A1040" s="615" t="s">
        <v>3342</v>
      </c>
      <c r="B1040" s="909" t="s">
        <v>611</v>
      </c>
      <c r="C1040" s="82">
        <v>3033</v>
      </c>
      <c r="D1040" s="1594">
        <v>4.47</v>
      </c>
    </row>
    <row r="1041" spans="1:4">
      <c r="A1041" s="615" t="s">
        <v>6571</v>
      </c>
      <c r="B1041" s="853" t="s">
        <v>6570</v>
      </c>
      <c r="C1041" s="82">
        <v>13345</v>
      </c>
      <c r="D1041" s="1594">
        <v>4.0999999999999996</v>
      </c>
    </row>
    <row r="1042" spans="1:4">
      <c r="A1042" s="615" t="s">
        <v>3502</v>
      </c>
      <c r="B1042" s="909" t="s">
        <v>2454</v>
      </c>
      <c r="C1042" s="82">
        <v>3476</v>
      </c>
      <c r="D1042" s="1594">
        <v>2.2999999999999998</v>
      </c>
    </row>
    <row r="1043" spans="1:4">
      <c r="A1043" s="615" t="s">
        <v>3341</v>
      </c>
      <c r="B1043" s="909" t="s">
        <v>2532</v>
      </c>
      <c r="C1043" s="82">
        <v>2500</v>
      </c>
      <c r="D1043" s="1594">
        <v>4.5</v>
      </c>
    </row>
    <row r="1044" spans="1:4">
      <c r="A1044" s="615" t="s">
        <v>3329</v>
      </c>
      <c r="B1044" s="909" t="s">
        <v>2533</v>
      </c>
      <c r="C1044" s="82">
        <v>3303</v>
      </c>
      <c r="D1044" s="1594">
        <v>4.5</v>
      </c>
    </row>
    <row r="1045" spans="1:4">
      <c r="A1045" s="615" t="s">
        <v>6826</v>
      </c>
      <c r="B1045" s="853" t="s">
        <v>6825</v>
      </c>
      <c r="C1045" s="82">
        <v>19219</v>
      </c>
      <c r="D1045" s="1594">
        <v>3.6</v>
      </c>
    </row>
    <row r="1046" spans="1:4">
      <c r="A1046" s="615" t="s">
        <v>2503</v>
      </c>
      <c r="B1046" s="909" t="s">
        <v>3863</v>
      </c>
      <c r="C1046" s="82">
        <v>2747</v>
      </c>
      <c r="D1046" s="1594">
        <v>4.16</v>
      </c>
    </row>
    <row r="1047" spans="1:4">
      <c r="A1047" s="615" t="s">
        <v>6576</v>
      </c>
      <c r="B1047" s="853" t="s">
        <v>6575</v>
      </c>
      <c r="C1047" s="82">
        <v>13359</v>
      </c>
      <c r="D1047" s="1594">
        <v>2.9</v>
      </c>
    </row>
    <row r="1048" spans="1:4">
      <c r="A1048" s="615" t="s">
        <v>3454</v>
      </c>
      <c r="B1048" s="909" t="s">
        <v>3124</v>
      </c>
      <c r="C1048" s="82">
        <v>2126</v>
      </c>
      <c r="D1048" s="1594">
        <v>3.15</v>
      </c>
    </row>
    <row r="1049" spans="1:4">
      <c r="A1049" s="615" t="s">
        <v>2725</v>
      </c>
      <c r="B1049" s="909" t="s">
        <v>4510</v>
      </c>
      <c r="C1049" s="82">
        <v>3602</v>
      </c>
      <c r="D1049" s="1594">
        <v>3.5</v>
      </c>
    </row>
    <row r="1050" spans="1:4">
      <c r="A1050" s="615" t="s">
        <v>5642</v>
      </c>
      <c r="B1050" s="909" t="s">
        <v>5643</v>
      </c>
      <c r="C1050" s="82">
        <v>13364</v>
      </c>
      <c r="D1050" s="1594">
        <v>3.66</v>
      </c>
    </row>
    <row r="1051" spans="1:4">
      <c r="A1051" s="615" t="s">
        <v>6605</v>
      </c>
      <c r="B1051" s="853" t="s">
        <v>6604</v>
      </c>
      <c r="C1051" s="82">
        <v>13369</v>
      </c>
      <c r="D1051" s="1594">
        <v>2</v>
      </c>
    </row>
    <row r="1052" spans="1:4">
      <c r="A1052" s="615" t="s">
        <v>3569</v>
      </c>
      <c r="B1052" s="909" t="s">
        <v>285</v>
      </c>
      <c r="C1052" s="82">
        <v>2723</v>
      </c>
      <c r="D1052" s="1594">
        <v>4.3600000000000003</v>
      </c>
    </row>
    <row r="1053" spans="1:4">
      <c r="A1053" s="615" t="s">
        <v>4288</v>
      </c>
      <c r="B1053" s="909" t="s">
        <v>4289</v>
      </c>
      <c r="C1053" s="82">
        <v>19039</v>
      </c>
      <c r="D1053" s="1594">
        <v>2.74</v>
      </c>
    </row>
    <row r="1054" spans="1:4">
      <c r="A1054" s="615" t="s">
        <v>983</v>
      </c>
      <c r="B1054" s="909" t="s">
        <v>1239</v>
      </c>
      <c r="C1054" s="82">
        <v>2138</v>
      </c>
      <c r="D1054" s="1594">
        <v>3.01</v>
      </c>
    </row>
    <row r="1055" spans="1:4">
      <c r="A1055" s="615" t="s">
        <v>6706</v>
      </c>
      <c r="B1055" s="853" t="s">
        <v>6705</v>
      </c>
      <c r="C1055" s="82">
        <v>18448</v>
      </c>
      <c r="D1055" s="1594">
        <v>2</v>
      </c>
    </row>
    <row r="1056" spans="1:4">
      <c r="A1056" s="615" t="s">
        <v>562</v>
      </c>
      <c r="B1056" s="909" t="s">
        <v>562</v>
      </c>
      <c r="C1056" s="82"/>
      <c r="D1056" s="1594">
        <v>2.6</v>
      </c>
    </row>
    <row r="1057" spans="1:4">
      <c r="A1057" s="615" t="s">
        <v>3149</v>
      </c>
      <c r="B1057" s="909" t="s">
        <v>3125</v>
      </c>
      <c r="C1057" s="82">
        <v>3123</v>
      </c>
      <c r="D1057" s="1594">
        <v>4.3899999999999997</v>
      </c>
    </row>
    <row r="1058" spans="1:4">
      <c r="A1058" s="615" t="s">
        <v>2673</v>
      </c>
      <c r="B1058" s="909" t="s">
        <v>2482</v>
      </c>
      <c r="C1058" s="82">
        <v>2173</v>
      </c>
      <c r="D1058" s="1594">
        <v>2.72</v>
      </c>
    </row>
    <row r="1059" spans="1:4">
      <c r="A1059" s="615" t="s">
        <v>2589</v>
      </c>
      <c r="B1059" s="909" t="s">
        <v>1575</v>
      </c>
      <c r="C1059" s="82">
        <v>2075</v>
      </c>
      <c r="D1059" s="1594">
        <v>4.5</v>
      </c>
    </row>
    <row r="1060" spans="1:4">
      <c r="A1060" s="615" t="s">
        <v>5711</v>
      </c>
      <c r="B1060" s="909" t="s">
        <v>1576</v>
      </c>
      <c r="C1060" s="82">
        <v>2882</v>
      </c>
      <c r="D1060" s="1594">
        <v>3.3</v>
      </c>
    </row>
    <row r="1061" spans="1:4">
      <c r="A1061" s="615" t="s">
        <v>2647</v>
      </c>
      <c r="B1061" s="909" t="s">
        <v>2417</v>
      </c>
      <c r="C1061" s="82">
        <v>2581</v>
      </c>
      <c r="D1061" s="1594">
        <v>4</v>
      </c>
    </row>
    <row r="1062" spans="1:4">
      <c r="A1062" s="615" t="s">
        <v>1154</v>
      </c>
      <c r="B1062" s="909" t="s">
        <v>1154</v>
      </c>
      <c r="C1062" s="82"/>
      <c r="D1062" s="1594">
        <v>3.6</v>
      </c>
    </row>
    <row r="1063" spans="1:4">
      <c r="A1063" s="615" t="s">
        <v>1550</v>
      </c>
      <c r="B1063" s="909" t="s">
        <v>612</v>
      </c>
      <c r="C1063" s="82">
        <v>2228</v>
      </c>
      <c r="D1063" s="1594">
        <v>4.09</v>
      </c>
    </row>
    <row r="1064" spans="1:4">
      <c r="A1064" s="615" t="s">
        <v>2102</v>
      </c>
      <c r="B1064" s="909" t="s">
        <v>1577</v>
      </c>
      <c r="C1064" s="82">
        <v>2328</v>
      </c>
      <c r="D1064" s="1594">
        <v>3.45</v>
      </c>
    </row>
    <row r="1065" spans="1:4">
      <c r="A1065" s="615" t="s">
        <v>3770</v>
      </c>
      <c r="B1065" s="909" t="s">
        <v>3126</v>
      </c>
      <c r="C1065" s="82">
        <v>2264</v>
      </c>
      <c r="D1065" s="1594">
        <v>3.18</v>
      </c>
    </row>
    <row r="1066" spans="1:4">
      <c r="A1066" s="615" t="s">
        <v>833</v>
      </c>
      <c r="B1066" s="909" t="s">
        <v>2455</v>
      </c>
      <c r="C1066" s="82">
        <v>2628</v>
      </c>
      <c r="D1066" s="1594">
        <v>2.6</v>
      </c>
    </row>
    <row r="1067" spans="1:4">
      <c r="A1067" s="615" t="s">
        <v>6873</v>
      </c>
      <c r="B1067" s="853" t="s">
        <v>6872</v>
      </c>
      <c r="C1067" s="82">
        <v>3152</v>
      </c>
      <c r="D1067" s="1594">
        <v>3.5</v>
      </c>
    </row>
    <row r="1068" spans="1:4">
      <c r="A1068" s="615" t="s">
        <v>2214</v>
      </c>
      <c r="B1068" s="909" t="s">
        <v>1578</v>
      </c>
      <c r="C1068" s="82">
        <v>3153</v>
      </c>
      <c r="D1068" s="1594">
        <v>3.92</v>
      </c>
    </row>
    <row r="1069" spans="1:4">
      <c r="A1069" s="615" t="s">
        <v>4234</v>
      </c>
      <c r="B1069" s="909" t="s">
        <v>65</v>
      </c>
      <c r="C1069" s="82">
        <v>2354</v>
      </c>
      <c r="D1069" s="1594">
        <v>3.58</v>
      </c>
    </row>
    <row r="1070" spans="1:4">
      <c r="A1070" s="615" t="s">
        <v>2578</v>
      </c>
      <c r="B1070" s="909" t="s">
        <v>66</v>
      </c>
      <c r="C1070" s="82">
        <v>2353</v>
      </c>
      <c r="D1070" s="1594">
        <v>3.5</v>
      </c>
    </row>
    <row r="1071" spans="1:4">
      <c r="A1071" s="615" t="s">
        <v>3291</v>
      </c>
      <c r="B1071" s="909" t="s">
        <v>1100</v>
      </c>
      <c r="C1071" s="82">
        <v>3547</v>
      </c>
      <c r="D1071" s="1594">
        <v>2.1</v>
      </c>
    </row>
    <row r="1072" spans="1:4">
      <c r="A1072" s="615" t="s">
        <v>5579</v>
      </c>
      <c r="B1072" s="909" t="s">
        <v>1101</v>
      </c>
      <c r="C1072" s="82">
        <v>3541</v>
      </c>
      <c r="D1072" s="1594">
        <v>2.1</v>
      </c>
    </row>
    <row r="1073" spans="1:4">
      <c r="A1073" s="615" t="s">
        <v>3246</v>
      </c>
      <c r="B1073" s="909" t="s">
        <v>1102</v>
      </c>
      <c r="C1073" s="82">
        <v>2698</v>
      </c>
      <c r="D1073" s="1594">
        <v>2.1</v>
      </c>
    </row>
    <row r="1074" spans="1:4">
      <c r="A1074" s="615" t="s">
        <v>3597</v>
      </c>
      <c r="B1074" s="909" t="s">
        <v>1502</v>
      </c>
      <c r="C1074" s="82">
        <v>3022</v>
      </c>
      <c r="D1074" s="1594">
        <v>4.37</v>
      </c>
    </row>
    <row r="1075" spans="1:4">
      <c r="A1075" s="615" t="s">
        <v>4235</v>
      </c>
      <c r="B1075" s="909" t="s">
        <v>1503</v>
      </c>
      <c r="C1075" s="82">
        <v>2242</v>
      </c>
      <c r="D1075" s="1594">
        <v>3.43</v>
      </c>
    </row>
    <row r="1076" spans="1:4">
      <c r="A1076" s="615" t="s">
        <v>2189</v>
      </c>
      <c r="B1076" s="909" t="s">
        <v>1504</v>
      </c>
      <c r="C1076" s="82">
        <v>13427</v>
      </c>
      <c r="D1076" s="1594">
        <v>4.01</v>
      </c>
    </row>
    <row r="1077" spans="1:4">
      <c r="A1077" s="615" t="s">
        <v>1523</v>
      </c>
      <c r="B1077" s="909" t="s">
        <v>1505</v>
      </c>
      <c r="C1077" s="82">
        <v>2239</v>
      </c>
      <c r="D1077" s="1594">
        <v>4.45</v>
      </c>
    </row>
    <row r="1078" spans="1:4">
      <c r="A1078" s="615" t="s">
        <v>1114</v>
      </c>
      <c r="B1078" s="909" t="s">
        <v>1506</v>
      </c>
      <c r="C1078" s="82">
        <v>3026</v>
      </c>
      <c r="D1078" s="1594">
        <v>4.26</v>
      </c>
    </row>
    <row r="1079" spans="1:4">
      <c r="A1079" s="615" t="s">
        <v>2241</v>
      </c>
      <c r="B1079" s="909" t="s">
        <v>1507</v>
      </c>
      <c r="C1079" s="82">
        <v>3029</v>
      </c>
      <c r="D1079" s="1594">
        <v>4.45</v>
      </c>
    </row>
    <row r="1080" spans="1:4">
      <c r="A1080" s="615" t="s">
        <v>3453</v>
      </c>
      <c r="B1080" s="853" t="s">
        <v>6719</v>
      </c>
      <c r="C1080" s="82">
        <v>3024</v>
      </c>
      <c r="D1080" s="1594">
        <v>4.29</v>
      </c>
    </row>
    <row r="1081" spans="1:4">
      <c r="A1081" s="615" t="s">
        <v>1459</v>
      </c>
      <c r="B1081" s="909" t="s">
        <v>1508</v>
      </c>
      <c r="C1081" s="82">
        <v>2240</v>
      </c>
      <c r="D1081" s="1594">
        <v>4.26</v>
      </c>
    </row>
    <row r="1082" spans="1:4">
      <c r="A1082" s="615" t="s">
        <v>3666</v>
      </c>
      <c r="B1082" s="909" t="s">
        <v>1509</v>
      </c>
      <c r="C1082" s="82">
        <v>3027</v>
      </c>
      <c r="D1082" s="1594">
        <v>4.2300000000000004</v>
      </c>
    </row>
    <row r="1083" spans="1:4">
      <c r="A1083" s="615" t="s">
        <v>4101</v>
      </c>
      <c r="B1083" s="909" t="s">
        <v>1510</v>
      </c>
      <c r="C1083" s="82">
        <v>2238</v>
      </c>
      <c r="D1083" s="1594">
        <v>4.42</v>
      </c>
    </row>
    <row r="1084" spans="1:4">
      <c r="A1084" s="919" t="s">
        <v>8555</v>
      </c>
      <c r="B1084" s="918" t="s">
        <v>8556</v>
      </c>
      <c r="C1084" s="82">
        <v>3030</v>
      </c>
      <c r="D1084" s="1594">
        <v>4.5999999999999996</v>
      </c>
    </row>
    <row r="1085" spans="1:4">
      <c r="A1085" s="615" t="s">
        <v>3598</v>
      </c>
      <c r="B1085" s="909" t="s">
        <v>1511</v>
      </c>
      <c r="C1085" s="82">
        <v>2241</v>
      </c>
      <c r="D1085" s="1594">
        <v>4.5</v>
      </c>
    </row>
    <row r="1086" spans="1:4">
      <c r="A1086" s="615" t="s">
        <v>1981</v>
      </c>
      <c r="B1086" s="909" t="s">
        <v>1512</v>
      </c>
      <c r="C1086" s="82">
        <v>3028</v>
      </c>
      <c r="D1086" s="1594">
        <v>4.3499999999999996</v>
      </c>
    </row>
    <row r="1087" spans="1:4">
      <c r="A1087" s="615" t="s">
        <v>1113</v>
      </c>
      <c r="B1087" s="909" t="s">
        <v>4054</v>
      </c>
      <c r="C1087" s="82">
        <v>3025</v>
      </c>
      <c r="D1087" s="1594">
        <v>4.5</v>
      </c>
    </row>
    <row r="1088" spans="1:4">
      <c r="A1088" s="615" t="s">
        <v>119</v>
      </c>
      <c r="B1088" s="909" t="s">
        <v>3582</v>
      </c>
      <c r="C1088" s="82">
        <v>2237</v>
      </c>
      <c r="D1088" s="1594">
        <v>4.29</v>
      </c>
    </row>
    <row r="1089" spans="1:4">
      <c r="A1089" s="615" t="s">
        <v>2411</v>
      </c>
      <c r="B1089" s="909" t="s">
        <v>155</v>
      </c>
      <c r="C1089" s="82">
        <v>3557</v>
      </c>
      <c r="D1089" s="1594">
        <v>2.1</v>
      </c>
    </row>
    <row r="1090" spans="1:4">
      <c r="A1090" s="615" t="s">
        <v>6656</v>
      </c>
      <c r="B1090" s="853" t="s">
        <v>6655</v>
      </c>
      <c r="C1090" s="82">
        <v>13433</v>
      </c>
      <c r="D1090" s="1594">
        <v>2</v>
      </c>
    </row>
    <row r="1091" spans="1:4">
      <c r="A1091" s="615" t="s">
        <v>2000</v>
      </c>
      <c r="B1091" s="909" t="s">
        <v>2000</v>
      </c>
      <c r="C1091" s="82"/>
      <c r="D1091" s="1594">
        <v>4.5</v>
      </c>
    </row>
    <row r="1092" spans="1:4">
      <c r="A1092" s="615" t="s">
        <v>874</v>
      </c>
      <c r="B1092" s="909" t="s">
        <v>874</v>
      </c>
      <c r="C1092" s="82"/>
      <c r="D1092" s="1594">
        <v>4.5</v>
      </c>
    </row>
    <row r="1093" spans="1:4">
      <c r="A1093" s="615" t="s">
        <v>4332</v>
      </c>
      <c r="B1093" s="909" t="s">
        <v>4332</v>
      </c>
      <c r="C1093" s="82"/>
      <c r="D1093" s="1594">
        <v>3.3182763159269002</v>
      </c>
    </row>
    <row r="1094" spans="1:4">
      <c r="A1094" s="615" t="s">
        <v>1907</v>
      </c>
      <c r="B1094" s="909" t="s">
        <v>1907</v>
      </c>
      <c r="C1094" s="82"/>
      <c r="D1094" s="1594">
        <v>4.1533011003667903</v>
      </c>
    </row>
    <row r="1095" spans="1:4">
      <c r="A1095" s="615" t="s">
        <v>4330</v>
      </c>
      <c r="B1095" s="909" t="s">
        <v>4330</v>
      </c>
      <c r="C1095" s="82"/>
      <c r="D1095" s="1594">
        <v>4.1533011003667903</v>
      </c>
    </row>
    <row r="1096" spans="1:4">
      <c r="A1096" s="615" t="s">
        <v>5023</v>
      </c>
      <c r="B1096" s="909" t="s">
        <v>5334</v>
      </c>
      <c r="C1096" s="82">
        <v>2646</v>
      </c>
      <c r="D1096" s="1594">
        <v>2.6</v>
      </c>
    </row>
    <row r="1097" spans="1:4">
      <c r="A1097" s="615" t="s">
        <v>3428</v>
      </c>
      <c r="B1097" s="909" t="s">
        <v>5335</v>
      </c>
      <c r="C1097" s="82">
        <v>3481</v>
      </c>
      <c r="D1097" s="1594">
        <v>2.6</v>
      </c>
    </row>
    <row r="1098" spans="1:4">
      <c r="A1098" s="615" t="s">
        <v>2220</v>
      </c>
      <c r="B1098" s="909" t="s">
        <v>5336</v>
      </c>
      <c r="C1098" s="82">
        <v>3480</v>
      </c>
      <c r="D1098" s="1594">
        <v>2.6</v>
      </c>
    </row>
    <row r="1099" spans="1:4">
      <c r="A1099" s="615" t="s">
        <v>6720</v>
      </c>
      <c r="B1099" s="909" t="s">
        <v>5337</v>
      </c>
      <c r="C1099" s="82">
        <v>18779</v>
      </c>
      <c r="D1099" s="1594">
        <v>2.9587323501170402</v>
      </c>
    </row>
    <row r="1100" spans="1:4">
      <c r="A1100" s="615" t="s">
        <v>731</v>
      </c>
      <c r="B1100" s="909" t="s">
        <v>2472</v>
      </c>
      <c r="C1100" s="82">
        <v>2594</v>
      </c>
      <c r="D1100" s="1594">
        <v>2.7</v>
      </c>
    </row>
    <row r="1101" spans="1:4">
      <c r="A1101" s="615" t="s">
        <v>5712</v>
      </c>
      <c r="B1101" s="909" t="s">
        <v>514</v>
      </c>
      <c r="C1101" s="82">
        <v>2595</v>
      </c>
      <c r="D1101" s="1594">
        <v>2.7</v>
      </c>
    </row>
    <row r="1102" spans="1:4">
      <c r="A1102" s="615" t="s">
        <v>3192</v>
      </c>
      <c r="B1102" s="909" t="s">
        <v>1381</v>
      </c>
      <c r="C1102" s="82">
        <v>3416</v>
      </c>
      <c r="D1102" s="1594">
        <v>2.7</v>
      </c>
    </row>
    <row r="1103" spans="1:4">
      <c r="A1103" s="615" t="s">
        <v>828</v>
      </c>
      <c r="B1103" s="909" t="s">
        <v>1382</v>
      </c>
      <c r="C1103" s="82">
        <v>3415</v>
      </c>
      <c r="D1103" s="1594">
        <v>2.6</v>
      </c>
    </row>
    <row r="1104" spans="1:4">
      <c r="A1104" s="615" t="s">
        <v>6722</v>
      </c>
      <c r="B1104" s="853" t="s">
        <v>6721</v>
      </c>
      <c r="C1104" s="82">
        <v>13439</v>
      </c>
      <c r="D1104" s="1594">
        <v>2</v>
      </c>
    </row>
    <row r="1105" spans="1:4">
      <c r="A1105" s="615" t="s">
        <v>6725</v>
      </c>
      <c r="B1105" s="909" t="s">
        <v>1278</v>
      </c>
      <c r="C1105" s="82">
        <v>2556</v>
      </c>
      <c r="D1105" s="1594">
        <v>3.21</v>
      </c>
    </row>
    <row r="1106" spans="1:4">
      <c r="A1106" s="615" t="s">
        <v>2973</v>
      </c>
      <c r="B1106" s="909" t="s">
        <v>5488</v>
      </c>
      <c r="C1106" s="82">
        <v>3624</v>
      </c>
      <c r="D1106" s="1594">
        <v>3</v>
      </c>
    </row>
    <row r="1107" spans="1:4">
      <c r="A1107" s="615" t="s">
        <v>1916</v>
      </c>
      <c r="B1107" s="909" t="s">
        <v>3583</v>
      </c>
      <c r="C1107" s="82">
        <v>2230</v>
      </c>
      <c r="D1107" s="1594">
        <v>3.58</v>
      </c>
    </row>
    <row r="1108" spans="1:4">
      <c r="A1108" s="615" t="s">
        <v>4574</v>
      </c>
      <c r="B1108" s="909" t="s">
        <v>3584</v>
      </c>
      <c r="C1108" s="82">
        <v>3015</v>
      </c>
      <c r="D1108" s="1594">
        <v>3.26</v>
      </c>
    </row>
    <row r="1109" spans="1:4">
      <c r="A1109" s="615" t="s">
        <v>3860</v>
      </c>
      <c r="B1109" s="909" t="s">
        <v>3585</v>
      </c>
      <c r="C1109" s="82">
        <v>2236</v>
      </c>
      <c r="D1109" s="1594">
        <v>3.79</v>
      </c>
    </row>
    <row r="1110" spans="1:4">
      <c r="A1110" s="615" t="s">
        <v>963</v>
      </c>
      <c r="B1110" s="909" t="s">
        <v>3586</v>
      </c>
      <c r="C1110" s="82">
        <v>3021</v>
      </c>
      <c r="D1110" s="1594">
        <v>4.01</v>
      </c>
    </row>
    <row r="1111" spans="1:4">
      <c r="A1111" s="615" t="s">
        <v>3083</v>
      </c>
      <c r="B1111" s="909" t="s">
        <v>67</v>
      </c>
      <c r="C1111" s="82">
        <v>2351</v>
      </c>
      <c r="D1111" s="1594">
        <v>3.26</v>
      </c>
    </row>
    <row r="1112" spans="1:4">
      <c r="A1112" s="615" t="s">
        <v>3965</v>
      </c>
      <c r="B1112" s="909" t="s">
        <v>993</v>
      </c>
      <c r="C1112" s="82">
        <v>2350</v>
      </c>
      <c r="D1112" s="1594">
        <v>3.41</v>
      </c>
    </row>
    <row r="1113" spans="1:4">
      <c r="A1113" s="615" t="s">
        <v>2521</v>
      </c>
      <c r="B1113" s="909" t="s">
        <v>994</v>
      </c>
      <c r="C1113" s="82">
        <v>2352</v>
      </c>
      <c r="D1113" s="1594">
        <v>3.31</v>
      </c>
    </row>
    <row r="1114" spans="1:4">
      <c r="A1114" s="615" t="s">
        <v>2641</v>
      </c>
      <c r="B1114" s="909" t="s">
        <v>317</v>
      </c>
      <c r="C1114" s="82">
        <v>3089</v>
      </c>
      <c r="D1114" s="1594">
        <v>3.84</v>
      </c>
    </row>
    <row r="1115" spans="1:4">
      <c r="A1115" s="615" t="s">
        <v>195</v>
      </c>
      <c r="B1115" s="909" t="s">
        <v>1279</v>
      </c>
      <c r="C1115" s="82">
        <v>3363</v>
      </c>
      <c r="D1115" s="1594">
        <v>3.25</v>
      </c>
    </row>
    <row r="1116" spans="1:4">
      <c r="A1116" s="615" t="s">
        <v>63</v>
      </c>
      <c r="B1116" s="909" t="s">
        <v>3039</v>
      </c>
      <c r="C1116" s="82">
        <v>2549</v>
      </c>
      <c r="D1116" s="1594">
        <v>3.27</v>
      </c>
    </row>
    <row r="1117" spans="1:4">
      <c r="A1117" s="615" t="s">
        <v>509</v>
      </c>
      <c r="B1117" s="909" t="s">
        <v>995</v>
      </c>
      <c r="C1117" s="82">
        <v>13477</v>
      </c>
      <c r="D1117" s="1594">
        <v>3.5</v>
      </c>
    </row>
    <row r="1118" spans="1:4">
      <c r="A1118" s="615" t="s">
        <v>4393</v>
      </c>
      <c r="B1118" s="853" t="s">
        <v>6790</v>
      </c>
      <c r="C1118" s="82">
        <v>2179</v>
      </c>
      <c r="D1118" s="1594">
        <v>2</v>
      </c>
    </row>
    <row r="1119" spans="1:4">
      <c r="A1119" s="615" t="s">
        <v>2526</v>
      </c>
      <c r="B1119" s="909" t="s">
        <v>2527</v>
      </c>
      <c r="C1119" s="82">
        <v>19042</v>
      </c>
      <c r="D1119" s="1594">
        <v>3.4</v>
      </c>
    </row>
    <row r="1120" spans="1:4">
      <c r="A1120" s="615" t="s">
        <v>563</v>
      </c>
      <c r="B1120" s="909" t="s">
        <v>563</v>
      </c>
      <c r="C1120" s="82"/>
      <c r="D1120" s="1594">
        <v>2.6</v>
      </c>
    </row>
    <row r="1121" spans="1:4">
      <c r="A1121" s="615" t="s">
        <v>3464</v>
      </c>
      <c r="B1121" s="909" t="s">
        <v>2456</v>
      </c>
      <c r="C1121" s="82">
        <v>16194</v>
      </c>
      <c r="D1121" s="1594">
        <v>2.501218236046268</v>
      </c>
    </row>
    <row r="1122" spans="1:4">
      <c r="A1122" s="615" t="s">
        <v>400</v>
      </c>
      <c r="B1122" s="909" t="s">
        <v>1555</v>
      </c>
      <c r="C1122" s="82">
        <v>13504</v>
      </c>
      <c r="D1122" s="1594">
        <v>3.71</v>
      </c>
    </row>
    <row r="1123" spans="1:4">
      <c r="A1123" s="615" t="s">
        <v>2050</v>
      </c>
      <c r="B1123" s="909" t="s">
        <v>2489</v>
      </c>
      <c r="C1123" s="82">
        <v>2063</v>
      </c>
      <c r="D1123" s="1594">
        <v>3.54</v>
      </c>
    </row>
    <row r="1124" spans="1:4">
      <c r="A1124" s="615" t="s">
        <v>3986</v>
      </c>
      <c r="B1124" s="909" t="s">
        <v>4339</v>
      </c>
      <c r="C1124" s="82">
        <v>3530</v>
      </c>
      <c r="D1124" s="1594">
        <v>2.1</v>
      </c>
    </row>
    <row r="1125" spans="1:4">
      <c r="A1125" s="615" t="s">
        <v>4671</v>
      </c>
      <c r="B1125" s="909" t="s">
        <v>3127</v>
      </c>
      <c r="C1125" s="82">
        <v>2569</v>
      </c>
      <c r="D1125" s="1594">
        <v>4</v>
      </c>
    </row>
    <row r="1126" spans="1:4">
      <c r="A1126" s="1595" t="s">
        <v>5658</v>
      </c>
      <c r="B1126" s="1596" t="s">
        <v>3115</v>
      </c>
      <c r="C1126" s="82">
        <v>3573</v>
      </c>
      <c r="D1126" s="1594">
        <v>2.2000000000000002</v>
      </c>
    </row>
    <row r="1127" spans="1:4">
      <c r="A1127" s="615" t="s">
        <v>5669</v>
      </c>
      <c r="B1127" s="909" t="s">
        <v>3115</v>
      </c>
      <c r="C1127" s="82">
        <v>3574</v>
      </c>
      <c r="D1127" s="1594">
        <v>2.2000000000000002</v>
      </c>
    </row>
    <row r="1128" spans="1:4">
      <c r="A1128" s="615" t="s">
        <v>4277</v>
      </c>
      <c r="B1128" s="909" t="s">
        <v>5199</v>
      </c>
      <c r="C1128" s="82">
        <v>2221</v>
      </c>
      <c r="D1128" s="1594">
        <v>4.4800000000000004</v>
      </c>
    </row>
    <row r="1129" spans="1:4">
      <c r="A1129" s="615" t="s">
        <v>6882</v>
      </c>
      <c r="B1129" s="853" t="s">
        <v>6881</v>
      </c>
      <c r="C1129" s="82">
        <v>19251</v>
      </c>
      <c r="D1129" s="1594">
        <v>2</v>
      </c>
    </row>
    <row r="1130" spans="1:4">
      <c r="A1130" s="615" t="s">
        <v>196</v>
      </c>
      <c r="B1130" s="909" t="s">
        <v>5200</v>
      </c>
      <c r="C1130" s="82">
        <v>2220</v>
      </c>
      <c r="D1130" s="1594">
        <v>4.25</v>
      </c>
    </row>
    <row r="1131" spans="1:4">
      <c r="A1131" s="615" t="s">
        <v>4728</v>
      </c>
      <c r="B1131" s="909" t="s">
        <v>5201</v>
      </c>
      <c r="C1131" s="82">
        <v>3013</v>
      </c>
      <c r="D1131" s="1594">
        <v>4.3600000000000003</v>
      </c>
    </row>
    <row r="1132" spans="1:4">
      <c r="A1132" s="615" t="s">
        <v>2607</v>
      </c>
      <c r="B1132" s="909" t="s">
        <v>996</v>
      </c>
      <c r="C1132" s="82">
        <v>18785</v>
      </c>
      <c r="D1132" s="1594">
        <v>2.94</v>
      </c>
    </row>
    <row r="1133" spans="1:4">
      <c r="A1133" s="615" t="s">
        <v>1163</v>
      </c>
      <c r="B1133" s="909" t="s">
        <v>1163</v>
      </c>
      <c r="C1133" s="82"/>
      <c r="D1133" s="1594">
        <v>4.2</v>
      </c>
    </row>
    <row r="1134" spans="1:4">
      <c r="A1134" s="615" t="s">
        <v>5130</v>
      </c>
      <c r="B1134" s="909" t="s">
        <v>1775</v>
      </c>
      <c r="C1134" s="82">
        <v>2272</v>
      </c>
      <c r="D1134" s="1594">
        <v>2.88</v>
      </c>
    </row>
    <row r="1135" spans="1:4">
      <c r="A1135" s="615" t="s">
        <v>4354</v>
      </c>
      <c r="B1135" s="853" t="s">
        <v>6618</v>
      </c>
      <c r="C1135" s="82">
        <v>3627</v>
      </c>
      <c r="D1135" s="1594">
        <v>2</v>
      </c>
    </row>
    <row r="1136" spans="1:4">
      <c r="A1136" s="615" t="s">
        <v>2329</v>
      </c>
      <c r="B1136" s="909" t="s">
        <v>1788</v>
      </c>
      <c r="C1136" s="82">
        <v>13526</v>
      </c>
      <c r="D1136" s="1594">
        <v>3.19</v>
      </c>
    </row>
    <row r="1137" spans="1:4">
      <c r="A1137" s="615" t="s">
        <v>371</v>
      </c>
      <c r="B1137" s="909" t="s">
        <v>4482</v>
      </c>
      <c r="C1137" s="82">
        <v>13530</v>
      </c>
      <c r="D1137" s="1594">
        <v>3.75</v>
      </c>
    </row>
    <row r="1138" spans="1:4">
      <c r="A1138" s="615" t="s">
        <v>3136</v>
      </c>
      <c r="B1138" s="909" t="s">
        <v>762</v>
      </c>
      <c r="C1138" s="82">
        <v>2215</v>
      </c>
      <c r="D1138" s="1594">
        <v>3.53</v>
      </c>
    </row>
    <row r="1139" spans="1:4">
      <c r="A1139" s="615" t="s">
        <v>2475</v>
      </c>
      <c r="B1139" s="909" t="s">
        <v>1776</v>
      </c>
      <c r="C1139" s="82">
        <v>18781</v>
      </c>
      <c r="D1139" s="1594">
        <v>3.11</v>
      </c>
    </row>
    <row r="1140" spans="1:4">
      <c r="A1140" s="615" t="s">
        <v>958</v>
      </c>
      <c r="B1140" s="909" t="s">
        <v>1437</v>
      </c>
      <c r="C1140" s="82">
        <v>3086</v>
      </c>
      <c r="D1140" s="1594">
        <v>3.04</v>
      </c>
    </row>
    <row r="1141" spans="1:4">
      <c r="A1141" s="615" t="s">
        <v>957</v>
      </c>
      <c r="B1141" s="909" t="s">
        <v>1438</v>
      </c>
      <c r="C1141" s="82">
        <v>13535</v>
      </c>
      <c r="D1141" s="1594">
        <v>4.04</v>
      </c>
    </row>
    <row r="1142" spans="1:4">
      <c r="A1142" s="615" t="s">
        <v>2366</v>
      </c>
      <c r="B1142" s="909" t="s">
        <v>535</v>
      </c>
      <c r="C1142" s="82">
        <v>2289</v>
      </c>
      <c r="D1142" s="1594">
        <v>4.5</v>
      </c>
    </row>
    <row r="1143" spans="1:4">
      <c r="A1143" s="615" t="s">
        <v>3137</v>
      </c>
      <c r="B1143" s="909" t="s">
        <v>3138</v>
      </c>
      <c r="C1143" s="82">
        <v>16949</v>
      </c>
      <c r="D1143" s="1594">
        <v>4.49</v>
      </c>
    </row>
    <row r="1144" spans="1:4">
      <c r="A1144" s="615" t="s">
        <v>4007</v>
      </c>
      <c r="B1144" s="909" t="s">
        <v>4008</v>
      </c>
      <c r="C1144" s="82">
        <v>16953</v>
      </c>
      <c r="D1144" s="1594">
        <v>3.3182763159269002</v>
      </c>
    </row>
    <row r="1145" spans="1:4">
      <c r="A1145" s="615" t="s">
        <v>2667</v>
      </c>
      <c r="B1145" s="909" t="s">
        <v>1789</v>
      </c>
      <c r="C1145" s="82">
        <v>3050</v>
      </c>
      <c r="D1145" s="1594">
        <v>2.13</v>
      </c>
    </row>
    <row r="1146" spans="1:4">
      <c r="A1146" s="615" t="s">
        <v>34</v>
      </c>
      <c r="B1146" s="909" t="s">
        <v>35</v>
      </c>
      <c r="C1146" s="82">
        <v>3051</v>
      </c>
      <c r="D1146" s="1594">
        <v>2.0099999999999998</v>
      </c>
    </row>
    <row r="1147" spans="1:4">
      <c r="A1147" s="615" t="s">
        <v>1653</v>
      </c>
      <c r="B1147" s="909" t="s">
        <v>1654</v>
      </c>
      <c r="C1147" s="82">
        <v>3052</v>
      </c>
      <c r="D1147" s="1594">
        <v>2.0099999999999998</v>
      </c>
    </row>
    <row r="1148" spans="1:4">
      <c r="A1148" s="615" t="s">
        <v>2779</v>
      </c>
      <c r="B1148" s="909" t="s">
        <v>1790</v>
      </c>
      <c r="C1148" s="82">
        <v>2257</v>
      </c>
      <c r="D1148" s="1594">
        <v>2</v>
      </c>
    </row>
    <row r="1149" spans="1:4">
      <c r="A1149" s="615" t="s">
        <v>3988</v>
      </c>
      <c r="B1149" s="909" t="s">
        <v>1791</v>
      </c>
      <c r="C1149" s="82">
        <v>2258</v>
      </c>
      <c r="D1149" s="1594">
        <v>2.4900000000000002</v>
      </c>
    </row>
    <row r="1150" spans="1:4">
      <c r="A1150" s="615" t="s">
        <v>1964</v>
      </c>
      <c r="B1150" s="909" t="s">
        <v>1792</v>
      </c>
      <c r="C1150" s="82">
        <v>2256</v>
      </c>
      <c r="D1150" s="1594">
        <v>2.4300000000000002</v>
      </c>
    </row>
    <row r="1151" spans="1:4">
      <c r="A1151" s="615" t="s">
        <v>1711</v>
      </c>
      <c r="B1151" s="909" t="s">
        <v>156</v>
      </c>
      <c r="C1151" s="82">
        <v>3539</v>
      </c>
      <c r="D1151" s="1594">
        <v>2.1</v>
      </c>
    </row>
    <row r="1152" spans="1:4">
      <c r="A1152" s="615" t="s">
        <v>4099</v>
      </c>
      <c r="B1152" s="909" t="s">
        <v>1793</v>
      </c>
      <c r="C1152" s="82">
        <v>3206</v>
      </c>
      <c r="D1152" s="1594">
        <v>3.48</v>
      </c>
    </row>
    <row r="1153" spans="1:4">
      <c r="A1153" s="615" t="s">
        <v>4689</v>
      </c>
      <c r="B1153" s="909" t="s">
        <v>1794</v>
      </c>
      <c r="C1153" s="82">
        <v>13544</v>
      </c>
      <c r="D1153" s="1594">
        <v>3.27</v>
      </c>
    </row>
    <row r="1154" spans="1:4">
      <c r="A1154" s="615" t="s">
        <v>3665</v>
      </c>
      <c r="B1154" s="909" t="s">
        <v>2248</v>
      </c>
      <c r="C1154" s="82">
        <v>18766</v>
      </c>
      <c r="D1154" s="1594">
        <v>3.45</v>
      </c>
    </row>
    <row r="1155" spans="1:4">
      <c r="A1155" s="615" t="s">
        <v>486</v>
      </c>
      <c r="B1155" s="909" t="s">
        <v>2249</v>
      </c>
      <c r="C1155" s="82">
        <v>3208</v>
      </c>
      <c r="D1155" s="1594">
        <v>3.15</v>
      </c>
    </row>
    <row r="1156" spans="1:4">
      <c r="A1156" s="615" t="s">
        <v>4227</v>
      </c>
      <c r="B1156" s="909" t="s">
        <v>5185</v>
      </c>
      <c r="C1156" s="82">
        <v>2401</v>
      </c>
      <c r="D1156" s="1594">
        <v>3.34</v>
      </c>
    </row>
    <row r="1157" spans="1:4">
      <c r="A1157" s="615" t="s">
        <v>3189</v>
      </c>
      <c r="B1157" s="909" t="s">
        <v>5186</v>
      </c>
      <c r="C1157" s="82">
        <v>3207</v>
      </c>
      <c r="D1157" s="1594">
        <v>3.42</v>
      </c>
    </row>
    <row r="1158" spans="1:4">
      <c r="A1158" s="615" t="s">
        <v>3139</v>
      </c>
      <c r="B1158" s="909" t="s">
        <v>3140</v>
      </c>
      <c r="C1158" s="82">
        <v>16910</v>
      </c>
      <c r="D1158" s="1594">
        <v>2.0935528537656198</v>
      </c>
    </row>
    <row r="1159" spans="1:4">
      <c r="A1159" s="615" t="s">
        <v>6712</v>
      </c>
      <c r="B1159" s="853" t="s">
        <v>6711</v>
      </c>
      <c r="C1159" s="82">
        <v>13548</v>
      </c>
      <c r="D1159" s="1594">
        <v>4.2</v>
      </c>
    </row>
    <row r="1160" spans="1:4">
      <c r="A1160" s="615" t="s">
        <v>26</v>
      </c>
      <c r="B1160" s="909" t="s">
        <v>290</v>
      </c>
      <c r="C1160" s="82">
        <v>2205</v>
      </c>
      <c r="D1160" s="1594">
        <v>4.07</v>
      </c>
    </row>
    <row r="1161" spans="1:4">
      <c r="A1161" s="615" t="s">
        <v>4282</v>
      </c>
      <c r="B1161" s="909" t="s">
        <v>2882</v>
      </c>
      <c r="C1161" s="82">
        <v>2991</v>
      </c>
      <c r="D1161" s="1594">
        <v>4.07</v>
      </c>
    </row>
    <row r="1162" spans="1:4">
      <c r="A1162" s="615" t="s">
        <v>6730</v>
      </c>
      <c r="B1162" s="909" t="s">
        <v>521</v>
      </c>
      <c r="C1162" s="82">
        <v>2990</v>
      </c>
      <c r="D1162" s="1594">
        <v>3.97</v>
      </c>
    </row>
    <row r="1163" spans="1:4">
      <c r="A1163" s="615" t="s">
        <v>5706</v>
      </c>
      <c r="B1163" s="909" t="s">
        <v>763</v>
      </c>
      <c r="C1163" s="82">
        <v>3007</v>
      </c>
      <c r="D1163" s="1594">
        <v>3.4</v>
      </c>
    </row>
    <row r="1164" spans="1:4">
      <c r="A1164" s="615" t="s">
        <v>1589</v>
      </c>
      <c r="B1164" s="909" t="s">
        <v>764</v>
      </c>
      <c r="C1164" s="82">
        <v>3006</v>
      </c>
      <c r="D1164" s="1594">
        <v>3.4</v>
      </c>
    </row>
    <row r="1165" spans="1:4">
      <c r="A1165" s="615" t="s">
        <v>1135</v>
      </c>
      <c r="B1165" s="909" t="s">
        <v>378</v>
      </c>
      <c r="C1165" s="82">
        <v>3495</v>
      </c>
      <c r="D1165" s="1594">
        <v>2.1</v>
      </c>
    </row>
    <row r="1166" spans="1:4">
      <c r="A1166" s="615" t="s">
        <v>6623</v>
      </c>
      <c r="B1166" s="853" t="s">
        <v>6622</v>
      </c>
      <c r="C1166" s="82">
        <v>3649</v>
      </c>
      <c r="D1166" s="1594">
        <v>2</v>
      </c>
    </row>
    <row r="1167" spans="1:4">
      <c r="A1167" s="615" t="s">
        <v>4901</v>
      </c>
      <c r="B1167" s="909" t="s">
        <v>3378</v>
      </c>
      <c r="C1167" s="82">
        <v>2031</v>
      </c>
      <c r="D1167" s="1594">
        <v>3.71</v>
      </c>
    </row>
    <row r="1168" spans="1:4">
      <c r="A1168" s="615" t="s">
        <v>64</v>
      </c>
      <c r="B1168" s="909" t="s">
        <v>2490</v>
      </c>
      <c r="C1168" s="82">
        <v>13557</v>
      </c>
      <c r="D1168" s="1594">
        <v>3.67</v>
      </c>
    </row>
    <row r="1169" spans="1:4">
      <c r="A1169" s="615" t="s">
        <v>52</v>
      </c>
      <c r="B1169" s="909" t="s">
        <v>2491</v>
      </c>
      <c r="C1169" s="82">
        <v>2030</v>
      </c>
      <c r="D1169" s="1594">
        <v>3.61</v>
      </c>
    </row>
    <row r="1170" spans="1:4">
      <c r="A1170" s="615" t="s">
        <v>5707</v>
      </c>
      <c r="B1170" s="909" t="s">
        <v>2492</v>
      </c>
      <c r="C1170" s="82">
        <v>13562</v>
      </c>
      <c r="D1170" s="1594">
        <v>3.51</v>
      </c>
    </row>
    <row r="1171" spans="1:4">
      <c r="A1171" s="615" t="s">
        <v>2598</v>
      </c>
      <c r="B1171" s="909" t="s">
        <v>2493</v>
      </c>
      <c r="C1171" s="82">
        <v>2827</v>
      </c>
      <c r="D1171" s="1594">
        <v>3.83</v>
      </c>
    </row>
    <row r="1172" spans="1:4">
      <c r="A1172" s="615" t="s">
        <v>3558</v>
      </c>
      <c r="B1172" s="909" t="s">
        <v>2494</v>
      </c>
      <c r="C1172" s="82">
        <v>2826</v>
      </c>
      <c r="D1172" s="1594">
        <v>3.59</v>
      </c>
    </row>
    <row r="1173" spans="1:4">
      <c r="A1173" s="615" t="s">
        <v>4226</v>
      </c>
      <c r="B1173" s="909" t="s">
        <v>2251</v>
      </c>
      <c r="C1173" s="82">
        <v>2029</v>
      </c>
      <c r="D1173" s="1594">
        <v>3.73</v>
      </c>
    </row>
    <row r="1174" spans="1:4">
      <c r="A1174" s="615" t="s">
        <v>2816</v>
      </c>
      <c r="B1174" s="909" t="s">
        <v>4076</v>
      </c>
      <c r="C1174" s="82">
        <v>3553</v>
      </c>
      <c r="D1174" s="1594">
        <v>2.1</v>
      </c>
    </row>
    <row r="1175" spans="1:4">
      <c r="A1175" s="615" t="s">
        <v>1680</v>
      </c>
      <c r="B1175" s="909" t="s">
        <v>522</v>
      </c>
      <c r="C1175" s="82">
        <v>13573</v>
      </c>
      <c r="D1175" s="1594">
        <v>4.5</v>
      </c>
    </row>
    <row r="1176" spans="1:4">
      <c r="A1176" s="615" t="s">
        <v>3775</v>
      </c>
      <c r="B1176" s="909" t="s">
        <v>523</v>
      </c>
      <c r="C1176" s="82">
        <v>13578</v>
      </c>
      <c r="D1176" s="1594">
        <v>3.65</v>
      </c>
    </row>
    <row r="1177" spans="1:4">
      <c r="A1177" s="615" t="s">
        <v>1255</v>
      </c>
      <c r="B1177" s="909" t="s">
        <v>520</v>
      </c>
      <c r="C1177" s="82">
        <v>13579</v>
      </c>
      <c r="D1177" s="1594">
        <v>4.47</v>
      </c>
    </row>
    <row r="1178" spans="1:4">
      <c r="A1178" s="615" t="s">
        <v>3952</v>
      </c>
      <c r="B1178" s="909" t="s">
        <v>2519</v>
      </c>
      <c r="C1178" s="82">
        <v>2277</v>
      </c>
      <c r="D1178" s="1594">
        <v>4.3099999999999996</v>
      </c>
    </row>
    <row r="1179" spans="1:4">
      <c r="A1179" s="615" t="s">
        <v>2112</v>
      </c>
      <c r="B1179" s="909" t="s">
        <v>2746</v>
      </c>
      <c r="C1179" s="82">
        <v>13583</v>
      </c>
      <c r="D1179" s="1594">
        <v>4.49</v>
      </c>
    </row>
    <row r="1180" spans="1:4">
      <c r="A1180" s="615" t="s">
        <v>2776</v>
      </c>
      <c r="B1180" s="909" t="s">
        <v>2498</v>
      </c>
      <c r="C1180" s="82">
        <v>3070</v>
      </c>
      <c r="D1180" s="1594">
        <v>4.58</v>
      </c>
    </row>
    <row r="1181" spans="1:4">
      <c r="A1181" s="615" t="s">
        <v>2996</v>
      </c>
      <c r="B1181" s="909" t="s">
        <v>2883</v>
      </c>
      <c r="C1181" s="82">
        <v>2947</v>
      </c>
      <c r="D1181" s="1594">
        <v>3.2</v>
      </c>
    </row>
    <row r="1182" spans="1:4">
      <c r="A1182" s="615" t="s">
        <v>3945</v>
      </c>
      <c r="B1182" s="909" t="s">
        <v>2252</v>
      </c>
      <c r="C1182" s="82">
        <v>2866</v>
      </c>
      <c r="D1182" s="1594">
        <v>3.54</v>
      </c>
    </row>
    <row r="1183" spans="1:4">
      <c r="A1183" s="615" t="s">
        <v>2941</v>
      </c>
      <c r="B1183" s="909" t="s">
        <v>2253</v>
      </c>
      <c r="C1183" s="82">
        <v>13590</v>
      </c>
      <c r="D1183" s="1594">
        <v>3.61</v>
      </c>
    </row>
    <row r="1184" spans="1:4">
      <c r="A1184" s="615" t="s">
        <v>3430</v>
      </c>
      <c r="B1184" s="909" t="s">
        <v>2483</v>
      </c>
      <c r="C1184" s="82">
        <v>2970</v>
      </c>
      <c r="D1184" s="1594">
        <v>3.19</v>
      </c>
    </row>
    <row r="1185" spans="1:4">
      <c r="A1185" s="615" t="s">
        <v>6846</v>
      </c>
      <c r="B1185" s="853" t="s">
        <v>6845</v>
      </c>
      <c r="C1185" s="82">
        <v>6515</v>
      </c>
      <c r="D1185" s="1594">
        <v>3.9</v>
      </c>
    </row>
    <row r="1186" spans="1:4">
      <c r="A1186" s="615" t="s">
        <v>3494</v>
      </c>
      <c r="B1186" s="909" t="s">
        <v>2499</v>
      </c>
      <c r="C1186" s="82">
        <v>3343</v>
      </c>
      <c r="D1186" s="1594">
        <v>3.85</v>
      </c>
    </row>
    <row r="1187" spans="1:4">
      <c r="A1187" s="615" t="s">
        <v>6731</v>
      </c>
      <c r="B1187" s="909" t="s">
        <v>41</v>
      </c>
      <c r="C1187" s="82">
        <v>19129</v>
      </c>
      <c r="D1187" s="1594">
        <v>2.93</v>
      </c>
    </row>
    <row r="1188" spans="1:4">
      <c r="A1188" s="615" t="s">
        <v>1906</v>
      </c>
      <c r="B1188" s="909" t="s">
        <v>1906</v>
      </c>
      <c r="C1188" s="82"/>
      <c r="D1188" s="1594">
        <v>3.4</v>
      </c>
    </row>
    <row r="1189" spans="1:4">
      <c r="A1189" s="615" t="s">
        <v>3909</v>
      </c>
      <c r="B1189" s="909" t="s">
        <v>3909</v>
      </c>
      <c r="C1189" s="82"/>
      <c r="D1189" s="1594">
        <v>3.62</v>
      </c>
    </row>
    <row r="1190" spans="1:4">
      <c r="A1190" s="615" t="s">
        <v>6732</v>
      </c>
      <c r="B1190" s="909" t="s">
        <v>42</v>
      </c>
      <c r="C1190" s="82">
        <v>19130</v>
      </c>
      <c r="D1190" s="1594">
        <v>3.34</v>
      </c>
    </row>
    <row r="1191" spans="1:4">
      <c r="A1191" s="615" t="s">
        <v>4214</v>
      </c>
      <c r="B1191" s="909" t="s">
        <v>4340</v>
      </c>
      <c r="C1191" s="82">
        <v>2686</v>
      </c>
      <c r="D1191" s="1594">
        <v>2.1</v>
      </c>
    </row>
    <row r="1192" spans="1:4">
      <c r="A1192" s="615" t="s">
        <v>3023</v>
      </c>
      <c r="B1192" s="909" t="s">
        <v>4341</v>
      </c>
      <c r="C1192" s="82">
        <v>3527</v>
      </c>
      <c r="D1192" s="1594">
        <v>2.1</v>
      </c>
    </row>
    <row r="1193" spans="1:4">
      <c r="A1193" s="615" t="s">
        <v>3045</v>
      </c>
      <c r="B1193" s="909" t="s">
        <v>4342</v>
      </c>
      <c r="C1193" s="82">
        <v>2687</v>
      </c>
      <c r="D1193" s="1594">
        <v>2.1</v>
      </c>
    </row>
    <row r="1194" spans="1:4">
      <c r="A1194" s="615" t="s">
        <v>3543</v>
      </c>
      <c r="B1194" s="909" t="s">
        <v>4343</v>
      </c>
      <c r="C1194" s="82">
        <v>2688</v>
      </c>
      <c r="D1194" s="1594">
        <v>2.1</v>
      </c>
    </row>
    <row r="1195" spans="1:4">
      <c r="A1195" s="615" t="s">
        <v>4494</v>
      </c>
      <c r="B1195" s="909" t="s">
        <v>4344</v>
      </c>
      <c r="C1195" s="82">
        <v>3529</v>
      </c>
      <c r="D1195" s="1594">
        <v>2.1</v>
      </c>
    </row>
    <row r="1196" spans="1:4">
      <c r="A1196" s="615" t="s">
        <v>2342</v>
      </c>
      <c r="B1196" s="909" t="s">
        <v>4345</v>
      </c>
      <c r="C1196" s="82">
        <v>2689</v>
      </c>
      <c r="D1196" s="1594">
        <v>2.1</v>
      </c>
    </row>
    <row r="1197" spans="1:4">
      <c r="A1197" s="615" t="s">
        <v>3544</v>
      </c>
      <c r="B1197" s="909" t="s">
        <v>980</v>
      </c>
      <c r="C1197" s="82">
        <v>3528</v>
      </c>
      <c r="D1197" s="1594">
        <v>2.1</v>
      </c>
    </row>
    <row r="1198" spans="1:4">
      <c r="A1198" s="615" t="s">
        <v>2991</v>
      </c>
      <c r="B1198" s="909" t="s">
        <v>2500</v>
      </c>
      <c r="C1198" s="82">
        <v>16073</v>
      </c>
      <c r="D1198" s="1594">
        <v>4.0199999999999996</v>
      </c>
    </row>
    <row r="1199" spans="1:4">
      <c r="A1199" s="615" t="s">
        <v>3900</v>
      </c>
      <c r="B1199" s="909" t="s">
        <v>1460</v>
      </c>
      <c r="C1199" s="82">
        <v>13661</v>
      </c>
      <c r="D1199" s="1594">
        <v>2.17</v>
      </c>
    </row>
    <row r="1200" spans="1:4">
      <c r="A1200" s="615" t="s">
        <v>3805</v>
      </c>
      <c r="B1200" s="909" t="s">
        <v>1383</v>
      </c>
      <c r="C1200" s="82">
        <v>3397</v>
      </c>
      <c r="D1200" s="1594">
        <v>2.2000000000000002</v>
      </c>
    </row>
    <row r="1201" spans="1:4">
      <c r="A1201" s="615" t="s">
        <v>3991</v>
      </c>
      <c r="B1201" s="909" t="s">
        <v>3992</v>
      </c>
      <c r="C1201" s="82">
        <v>13664</v>
      </c>
      <c r="D1201" s="1594">
        <v>3.98</v>
      </c>
    </row>
    <row r="1202" spans="1:4">
      <c r="A1202" s="615" t="s">
        <v>560</v>
      </c>
      <c r="B1202" s="909" t="s">
        <v>561</v>
      </c>
      <c r="C1202" s="82">
        <v>2638</v>
      </c>
      <c r="D1202" s="1594">
        <v>2.6</v>
      </c>
    </row>
    <row r="1203" spans="1:4">
      <c r="A1203" s="615" t="s">
        <v>943</v>
      </c>
      <c r="B1203" s="909" t="s">
        <v>2254</v>
      </c>
      <c r="C1203" s="82">
        <v>2026</v>
      </c>
      <c r="D1203" s="1594">
        <v>4.37</v>
      </c>
    </row>
    <row r="1204" spans="1:4">
      <c r="A1204" s="615" t="s">
        <v>165</v>
      </c>
      <c r="B1204" s="909" t="s">
        <v>2884</v>
      </c>
      <c r="C1204" s="82">
        <v>2428</v>
      </c>
      <c r="D1204" s="1594">
        <v>3.41</v>
      </c>
    </row>
    <row r="1205" spans="1:4">
      <c r="A1205" s="615" t="s">
        <v>3446</v>
      </c>
      <c r="B1205" s="909" t="s">
        <v>2885</v>
      </c>
      <c r="C1205" s="82">
        <v>2429</v>
      </c>
      <c r="D1205" s="1594">
        <v>3.38</v>
      </c>
    </row>
    <row r="1206" spans="1:4">
      <c r="A1206" s="615" t="s">
        <v>4096</v>
      </c>
      <c r="B1206" s="909" t="s">
        <v>1567</v>
      </c>
      <c r="C1206" s="82">
        <v>13689</v>
      </c>
      <c r="D1206" s="1594">
        <v>2.67</v>
      </c>
    </row>
    <row r="1207" spans="1:4">
      <c r="A1207" s="615" t="s">
        <v>4643</v>
      </c>
      <c r="B1207" s="909" t="s">
        <v>4644</v>
      </c>
      <c r="C1207" s="82">
        <v>16476</v>
      </c>
      <c r="D1207" s="1594">
        <v>2.4713768380352099</v>
      </c>
    </row>
    <row r="1208" spans="1:4">
      <c r="A1208" s="615" t="s">
        <v>5438</v>
      </c>
      <c r="B1208" s="909" t="s">
        <v>3331</v>
      </c>
      <c r="C1208" s="82">
        <v>16475</v>
      </c>
      <c r="D1208" s="1594">
        <v>2.4713768380352099</v>
      </c>
    </row>
    <row r="1209" spans="1:4">
      <c r="A1209" s="615" t="s">
        <v>4326</v>
      </c>
      <c r="B1209" s="909" t="s">
        <v>1030</v>
      </c>
      <c r="C1209" s="82">
        <v>2335</v>
      </c>
      <c r="D1209" s="1594">
        <v>3.69</v>
      </c>
    </row>
    <row r="1210" spans="1:4">
      <c r="A1210" s="615" t="s">
        <v>4729</v>
      </c>
      <c r="B1210" s="909" t="s">
        <v>1031</v>
      </c>
      <c r="C1210" s="82">
        <v>13703</v>
      </c>
      <c r="D1210" s="1594">
        <v>3.77</v>
      </c>
    </row>
    <row r="1211" spans="1:4">
      <c r="A1211" s="615" t="s">
        <v>2664</v>
      </c>
      <c r="B1211" s="909" t="s">
        <v>1032</v>
      </c>
      <c r="C1211" s="82">
        <v>18950</v>
      </c>
      <c r="D1211" s="1594">
        <v>3.6</v>
      </c>
    </row>
    <row r="1212" spans="1:4">
      <c r="A1212" s="615" t="s">
        <v>2336</v>
      </c>
      <c r="B1212" s="909" t="s">
        <v>1033</v>
      </c>
      <c r="C1212" s="82">
        <v>3139</v>
      </c>
      <c r="D1212" s="1594">
        <v>3.77</v>
      </c>
    </row>
    <row r="1213" spans="1:4">
      <c r="A1213" s="615" t="s">
        <v>4526</v>
      </c>
      <c r="B1213" s="909" t="s">
        <v>1034</v>
      </c>
      <c r="C1213" s="82">
        <v>3140</v>
      </c>
      <c r="D1213" s="1594">
        <v>3.99</v>
      </c>
    </row>
    <row r="1214" spans="1:4">
      <c r="A1214" s="615" t="s">
        <v>713</v>
      </c>
      <c r="B1214" s="909" t="s">
        <v>2886</v>
      </c>
      <c r="C1214" s="82">
        <v>18840</v>
      </c>
      <c r="D1214" s="1594">
        <v>3.58</v>
      </c>
    </row>
    <row r="1215" spans="1:4">
      <c r="A1215" s="919" t="s">
        <v>8557</v>
      </c>
      <c r="B1215" s="918" t="s">
        <v>8558</v>
      </c>
      <c r="C1215" s="82">
        <v>18824</v>
      </c>
      <c r="D1215" s="1594">
        <v>3.3</v>
      </c>
    </row>
    <row r="1216" spans="1:4">
      <c r="A1216" s="615" t="s">
        <v>6733</v>
      </c>
      <c r="B1216" s="909" t="s">
        <v>5722</v>
      </c>
      <c r="C1216" s="82">
        <v>13747</v>
      </c>
      <c r="D1216" s="1594">
        <v>3.42</v>
      </c>
    </row>
    <row r="1217" spans="1:4">
      <c r="A1217" s="615" t="s">
        <v>872</v>
      </c>
      <c r="B1217" s="909" t="s">
        <v>872</v>
      </c>
      <c r="C1217" s="82"/>
      <c r="D1217" s="1594">
        <v>4.1533011003667903</v>
      </c>
    </row>
    <row r="1218" spans="1:4">
      <c r="A1218" s="615" t="s">
        <v>2134</v>
      </c>
      <c r="B1218" s="909" t="s">
        <v>5283</v>
      </c>
      <c r="C1218" s="82">
        <v>2647</v>
      </c>
      <c r="D1218" s="1594">
        <v>2.6</v>
      </c>
    </row>
    <row r="1219" spans="1:4">
      <c r="A1219" s="615" t="s">
        <v>1593</v>
      </c>
      <c r="B1219" s="909" t="s">
        <v>765</v>
      </c>
      <c r="C1219" s="82">
        <v>13776</v>
      </c>
      <c r="D1219" s="1594">
        <v>3.3</v>
      </c>
    </row>
    <row r="1220" spans="1:4">
      <c r="A1220" s="615" t="s">
        <v>2992</v>
      </c>
      <c r="B1220" s="909" t="s">
        <v>1035</v>
      </c>
      <c r="C1220" s="82">
        <v>2361</v>
      </c>
      <c r="D1220" s="1594">
        <v>3.5</v>
      </c>
    </row>
    <row r="1221" spans="1:4">
      <c r="A1221" s="615" t="s">
        <v>5246</v>
      </c>
      <c r="B1221" s="909" t="s">
        <v>5246</v>
      </c>
      <c r="C1221" s="82"/>
      <c r="D1221" s="1594">
        <v>2.2999999999999998</v>
      </c>
    </row>
    <row r="1222" spans="1:4">
      <c r="A1222" s="615" t="s">
        <v>1590</v>
      </c>
      <c r="B1222" s="909" t="s">
        <v>1848</v>
      </c>
      <c r="C1222" s="82">
        <v>2536</v>
      </c>
      <c r="D1222" s="1594">
        <v>2.75</v>
      </c>
    </row>
    <row r="1223" spans="1:4">
      <c r="A1223" s="615" t="s">
        <v>6742</v>
      </c>
      <c r="B1223" s="909" t="s">
        <v>2627</v>
      </c>
      <c r="C1223" s="82">
        <v>18611</v>
      </c>
      <c r="D1223" s="1594">
        <v>3.52</v>
      </c>
    </row>
    <row r="1224" spans="1:4">
      <c r="A1224" s="615" t="s">
        <v>6557</v>
      </c>
      <c r="B1224" s="853" t="s">
        <v>6556</v>
      </c>
      <c r="C1224" s="82">
        <v>19220</v>
      </c>
      <c r="D1224" s="1594">
        <v>3.5</v>
      </c>
    </row>
    <row r="1225" spans="1:4">
      <c r="A1225" s="615" t="s">
        <v>2158</v>
      </c>
      <c r="B1225" s="909" t="s">
        <v>3318</v>
      </c>
      <c r="C1225" s="82">
        <v>2139</v>
      </c>
      <c r="D1225" s="1594">
        <v>3.5</v>
      </c>
    </row>
    <row r="1226" spans="1:4">
      <c r="A1226" s="615" t="s">
        <v>4823</v>
      </c>
      <c r="B1226" s="909" t="s">
        <v>2255</v>
      </c>
      <c r="C1226" s="82">
        <v>2004</v>
      </c>
      <c r="D1226" s="1594">
        <v>4.5999999999999996</v>
      </c>
    </row>
    <row r="1227" spans="1:4">
      <c r="A1227" s="615" t="s">
        <v>5694</v>
      </c>
      <c r="B1227" s="909" t="s">
        <v>5695</v>
      </c>
      <c r="C1227" s="82">
        <v>2443</v>
      </c>
      <c r="D1227" s="1594">
        <v>3.29</v>
      </c>
    </row>
    <row r="1228" spans="1:4">
      <c r="A1228" s="615" t="s">
        <v>3702</v>
      </c>
      <c r="B1228" s="909" t="s">
        <v>3703</v>
      </c>
      <c r="C1228" s="82">
        <v>3236</v>
      </c>
      <c r="D1228" s="1594">
        <v>2.75</v>
      </c>
    </row>
    <row r="1229" spans="1:4">
      <c r="A1229" s="615" t="s">
        <v>3551</v>
      </c>
      <c r="B1229" s="909" t="s">
        <v>1849</v>
      </c>
      <c r="C1229" s="82">
        <v>2441</v>
      </c>
      <c r="D1229" s="1594">
        <v>3.15</v>
      </c>
    </row>
    <row r="1230" spans="1:4">
      <c r="A1230" s="615" t="s">
        <v>715</v>
      </c>
      <c r="B1230" s="909" t="s">
        <v>1850</v>
      </c>
      <c r="C1230" s="82">
        <v>3237</v>
      </c>
      <c r="D1230" s="1594">
        <v>3.09</v>
      </c>
    </row>
    <row r="1231" spans="1:4">
      <c r="A1231" s="615" t="s">
        <v>4928</v>
      </c>
      <c r="B1231" s="909" t="s">
        <v>1851</v>
      </c>
      <c r="C1231" s="82">
        <v>3235</v>
      </c>
      <c r="D1231" s="1594">
        <v>3.1</v>
      </c>
    </row>
    <row r="1232" spans="1:4">
      <c r="A1232" s="615" t="s">
        <v>3557</v>
      </c>
      <c r="B1232" s="909" t="s">
        <v>1852</v>
      </c>
      <c r="C1232" s="82">
        <v>2440</v>
      </c>
      <c r="D1232" s="1594">
        <v>3.61</v>
      </c>
    </row>
    <row r="1233" spans="1:4">
      <c r="A1233" s="615" t="s">
        <v>5542</v>
      </c>
      <c r="B1233" s="909" t="s">
        <v>1853</v>
      </c>
      <c r="C1233" s="82">
        <v>2442</v>
      </c>
      <c r="D1233" s="1594">
        <v>3.09</v>
      </c>
    </row>
    <row r="1234" spans="1:4">
      <c r="A1234" s="615" t="s">
        <v>1953</v>
      </c>
      <c r="B1234" s="909" t="s">
        <v>1854</v>
      </c>
      <c r="C1234" s="82">
        <v>2435</v>
      </c>
      <c r="D1234" s="1594">
        <v>3.44</v>
      </c>
    </row>
    <row r="1235" spans="1:4">
      <c r="A1235" s="615" t="s">
        <v>5675</v>
      </c>
      <c r="B1235" s="909" t="s">
        <v>5676</v>
      </c>
      <c r="C1235" s="82">
        <v>2444</v>
      </c>
      <c r="D1235" s="1594">
        <v>3.27</v>
      </c>
    </row>
    <row r="1236" spans="1:4">
      <c r="A1236" s="615" t="s">
        <v>5692</v>
      </c>
      <c r="B1236" s="909" t="s">
        <v>5693</v>
      </c>
      <c r="C1236" s="82">
        <v>2445</v>
      </c>
      <c r="D1236" s="1594">
        <v>3.22</v>
      </c>
    </row>
    <row r="1237" spans="1:4">
      <c r="A1237" s="615" t="s">
        <v>5696</v>
      </c>
      <c r="B1237" s="909" t="s">
        <v>5697</v>
      </c>
      <c r="C1237" s="82">
        <v>3240</v>
      </c>
      <c r="D1237" s="1594">
        <v>3.47</v>
      </c>
    </row>
    <row r="1238" spans="1:4">
      <c r="A1238" s="615" t="s">
        <v>6743</v>
      </c>
      <c r="B1238" s="909" t="s">
        <v>335</v>
      </c>
      <c r="C1238" s="82">
        <v>16090</v>
      </c>
      <c r="D1238" s="1594">
        <v>3.26</v>
      </c>
    </row>
    <row r="1239" spans="1:4">
      <c r="A1239" s="615" t="s">
        <v>166</v>
      </c>
      <c r="B1239" s="853" t="s">
        <v>6744</v>
      </c>
      <c r="C1239" s="82">
        <v>3568</v>
      </c>
      <c r="D1239" s="1594">
        <v>3.2</v>
      </c>
    </row>
    <row r="1240" spans="1:4">
      <c r="A1240" s="615" t="s">
        <v>892</v>
      </c>
      <c r="B1240" s="909" t="s">
        <v>2616</v>
      </c>
      <c r="C1240" s="82">
        <v>2377</v>
      </c>
      <c r="D1240" s="1594">
        <v>3.03</v>
      </c>
    </row>
    <row r="1241" spans="1:4">
      <c r="A1241" s="615" t="s">
        <v>1074</v>
      </c>
      <c r="B1241" s="909" t="s">
        <v>2559</v>
      </c>
      <c r="C1241" s="82">
        <v>3569</v>
      </c>
      <c r="D1241" s="1594">
        <v>3.2</v>
      </c>
    </row>
    <row r="1242" spans="1:4">
      <c r="A1242" s="615" t="s">
        <v>2052</v>
      </c>
      <c r="B1242" s="909" t="s">
        <v>2053</v>
      </c>
      <c r="C1242" s="82">
        <v>16924</v>
      </c>
      <c r="D1242" s="1594">
        <v>3.5</v>
      </c>
    </row>
    <row r="1243" spans="1:4">
      <c r="A1243" s="615" t="s">
        <v>966</v>
      </c>
      <c r="B1243" s="909" t="s">
        <v>2560</v>
      </c>
      <c r="C1243" s="82">
        <v>3571</v>
      </c>
      <c r="D1243" s="1594">
        <v>3.55</v>
      </c>
    </row>
    <row r="1244" spans="1:4">
      <c r="A1244" s="615" t="s">
        <v>280</v>
      </c>
      <c r="B1244" s="909" t="s">
        <v>2617</v>
      </c>
      <c r="C1244" s="82">
        <v>3138</v>
      </c>
      <c r="D1244" s="1594">
        <v>3.99</v>
      </c>
    </row>
    <row r="1245" spans="1:4">
      <c r="A1245" s="615" t="s">
        <v>4337</v>
      </c>
      <c r="B1245" s="909" t="s">
        <v>4337</v>
      </c>
      <c r="C1245" s="82"/>
      <c r="D1245" s="1594">
        <v>3.4</v>
      </c>
    </row>
    <row r="1246" spans="1:4">
      <c r="A1246" s="615" t="s">
        <v>5128</v>
      </c>
      <c r="B1246" s="853" t="s">
        <v>6421</v>
      </c>
      <c r="C1246" s="82">
        <v>3059</v>
      </c>
      <c r="D1246" s="1594">
        <v>2</v>
      </c>
    </row>
    <row r="1247" spans="1:4">
      <c r="A1247" s="615" t="s">
        <v>3767</v>
      </c>
      <c r="B1247" s="909" t="s">
        <v>3128</v>
      </c>
      <c r="C1247" s="82">
        <v>13865</v>
      </c>
      <c r="D1247" s="1594">
        <v>4</v>
      </c>
    </row>
    <row r="1248" spans="1:4">
      <c r="A1248" s="615" t="s">
        <v>6748</v>
      </c>
      <c r="B1248" s="853" t="s">
        <v>6747</v>
      </c>
      <c r="C1248" s="82">
        <v>19252</v>
      </c>
      <c r="D1248" s="1594">
        <v>3.3</v>
      </c>
    </row>
    <row r="1249" spans="1:4">
      <c r="A1249" s="615" t="s">
        <v>4334</v>
      </c>
      <c r="B1249" s="909" t="s">
        <v>4334</v>
      </c>
      <c r="C1249" s="82"/>
      <c r="D1249" s="1594">
        <v>4.2</v>
      </c>
    </row>
    <row r="1250" spans="1:4">
      <c r="A1250" s="615" t="s">
        <v>4021</v>
      </c>
      <c r="B1250" s="909" t="s">
        <v>4022</v>
      </c>
      <c r="C1250" s="82">
        <v>13885</v>
      </c>
      <c r="D1250" s="1594">
        <v>4.2</v>
      </c>
    </row>
    <row r="1251" spans="1:4">
      <c r="A1251" s="615" t="s">
        <v>5030</v>
      </c>
      <c r="B1251" s="909" t="s">
        <v>2561</v>
      </c>
      <c r="C1251" s="82">
        <v>2719</v>
      </c>
      <c r="D1251" s="1594">
        <v>3.2</v>
      </c>
    </row>
    <row r="1252" spans="1:4">
      <c r="A1252" s="615" t="s">
        <v>4284</v>
      </c>
      <c r="B1252" s="909" t="s">
        <v>4285</v>
      </c>
      <c r="C1252" s="82">
        <v>13896</v>
      </c>
      <c r="D1252" s="1594">
        <v>3.61</v>
      </c>
    </row>
    <row r="1253" spans="1:4">
      <c r="A1253" s="615" t="s">
        <v>6751</v>
      </c>
      <c r="B1253" s="909" t="s">
        <v>2109</v>
      </c>
      <c r="C1253" s="82">
        <v>2116</v>
      </c>
      <c r="D1253" s="1594">
        <v>4.1900000000000004</v>
      </c>
    </row>
    <row r="1254" spans="1:4">
      <c r="A1254" s="615" t="s">
        <v>6752</v>
      </c>
      <c r="B1254" s="909" t="s">
        <v>2110</v>
      </c>
      <c r="C1254" s="82">
        <v>2931</v>
      </c>
      <c r="D1254" s="1594">
        <v>3.47</v>
      </c>
    </row>
    <row r="1255" spans="1:4">
      <c r="A1255" s="615" t="s">
        <v>6753</v>
      </c>
      <c r="B1255" s="909" t="s">
        <v>2111</v>
      </c>
      <c r="C1255" s="82">
        <v>2118</v>
      </c>
      <c r="D1255" s="1594">
        <v>4.22</v>
      </c>
    </row>
    <row r="1256" spans="1:4">
      <c r="A1256" s="615" t="s">
        <v>2628</v>
      </c>
      <c r="B1256" s="909" t="s">
        <v>4963</v>
      </c>
      <c r="C1256" s="82">
        <v>2932</v>
      </c>
      <c r="D1256" s="1594">
        <v>3.6</v>
      </c>
    </row>
    <row r="1257" spans="1:4">
      <c r="A1257" s="615" t="s">
        <v>1965</v>
      </c>
      <c r="B1257" s="909" t="s">
        <v>4964</v>
      </c>
      <c r="C1257" s="82">
        <v>2934</v>
      </c>
      <c r="D1257" s="1594">
        <v>4.42</v>
      </c>
    </row>
    <row r="1258" spans="1:4">
      <c r="A1258" s="615" t="s">
        <v>6754</v>
      </c>
      <c r="B1258" s="909" t="s">
        <v>2952</v>
      </c>
      <c r="C1258" s="82">
        <v>2117</v>
      </c>
      <c r="D1258" s="1594">
        <v>3.73</v>
      </c>
    </row>
    <row r="1259" spans="1:4">
      <c r="A1259" s="615" t="s">
        <v>3450</v>
      </c>
      <c r="B1259" s="909" t="s">
        <v>2953</v>
      </c>
      <c r="C1259" s="82">
        <v>2930</v>
      </c>
      <c r="D1259" s="1594">
        <v>3.81</v>
      </c>
    </row>
    <row r="1260" spans="1:4">
      <c r="A1260" s="615" t="s">
        <v>6755</v>
      </c>
      <c r="B1260" s="909" t="s">
        <v>2954</v>
      </c>
      <c r="C1260" s="82">
        <v>2933</v>
      </c>
      <c r="D1260" s="1594">
        <v>4.4000000000000004</v>
      </c>
    </row>
    <row r="1261" spans="1:4">
      <c r="A1261" s="615" t="s">
        <v>246</v>
      </c>
      <c r="B1261" s="909" t="s">
        <v>2618</v>
      </c>
      <c r="C1261" s="82">
        <v>18992</v>
      </c>
      <c r="D1261" s="1594">
        <v>3.79</v>
      </c>
    </row>
    <row r="1262" spans="1:4">
      <c r="A1262" s="615" t="s">
        <v>3955</v>
      </c>
      <c r="B1262" s="909" t="s">
        <v>2887</v>
      </c>
      <c r="C1262" s="82">
        <v>3256</v>
      </c>
      <c r="D1262" s="1594">
        <v>3.6</v>
      </c>
    </row>
    <row r="1263" spans="1:4">
      <c r="A1263" s="615" t="s">
        <v>1683</v>
      </c>
      <c r="B1263" s="909" t="s">
        <v>3478</v>
      </c>
      <c r="C1263" s="82">
        <v>3340</v>
      </c>
      <c r="D1263" s="1594">
        <v>4.32</v>
      </c>
    </row>
    <row r="1264" spans="1:4">
      <c r="A1264" s="615" t="s">
        <v>2608</v>
      </c>
      <c r="B1264" s="909" t="s">
        <v>985</v>
      </c>
      <c r="C1264" s="82">
        <v>2906</v>
      </c>
      <c r="D1264" s="1594">
        <v>2.89</v>
      </c>
    </row>
    <row r="1265" spans="1:4">
      <c r="A1265" s="615" t="s">
        <v>2694</v>
      </c>
      <c r="B1265" s="909" t="s">
        <v>986</v>
      </c>
      <c r="C1265" s="82">
        <v>2907</v>
      </c>
      <c r="D1265" s="1594">
        <v>4.5</v>
      </c>
    </row>
    <row r="1266" spans="1:4">
      <c r="A1266" s="615" t="s">
        <v>1157</v>
      </c>
      <c r="B1266" s="909" t="s">
        <v>1157</v>
      </c>
      <c r="C1266" s="82"/>
      <c r="D1266" s="1594">
        <v>4.1533011003667903</v>
      </c>
    </row>
    <row r="1267" spans="1:4">
      <c r="A1267" s="615" t="s">
        <v>1903</v>
      </c>
      <c r="B1267" s="909" t="s">
        <v>1903</v>
      </c>
      <c r="C1267" s="82"/>
      <c r="D1267" s="1594">
        <v>3.3182763159269002</v>
      </c>
    </row>
    <row r="1268" spans="1:4">
      <c r="A1268" s="615" t="s">
        <v>1158</v>
      </c>
      <c r="B1268" s="909" t="s">
        <v>1158</v>
      </c>
      <c r="C1268" s="82"/>
      <c r="D1268" s="1594">
        <v>4.49</v>
      </c>
    </row>
    <row r="1269" spans="1:4">
      <c r="A1269" s="615" t="s">
        <v>76</v>
      </c>
      <c r="B1269" s="909" t="s">
        <v>2534</v>
      </c>
      <c r="C1269" s="82">
        <v>2474</v>
      </c>
      <c r="D1269" s="1594">
        <v>4.5</v>
      </c>
    </row>
    <row r="1270" spans="1:4">
      <c r="A1270" s="615" t="s">
        <v>5630</v>
      </c>
      <c r="B1270" s="909" t="s">
        <v>5364</v>
      </c>
      <c r="C1270" s="82">
        <v>3216</v>
      </c>
      <c r="D1270" s="1594">
        <v>2.2200000000000002</v>
      </c>
    </row>
    <row r="1271" spans="1:4">
      <c r="A1271" s="615" t="s">
        <v>682</v>
      </c>
      <c r="B1271" s="909" t="s">
        <v>1695</v>
      </c>
      <c r="C1271" s="82">
        <v>2409</v>
      </c>
      <c r="D1271" s="1594">
        <v>2.069</v>
      </c>
    </row>
    <row r="1272" spans="1:4">
      <c r="A1272" s="615" t="s">
        <v>3612</v>
      </c>
      <c r="B1272" s="909" t="s">
        <v>4883</v>
      </c>
      <c r="C1272" s="82">
        <v>2408</v>
      </c>
      <c r="D1272" s="1594">
        <v>2</v>
      </c>
    </row>
    <row r="1273" spans="1:4">
      <c r="A1273" s="615" t="s">
        <v>1785</v>
      </c>
      <c r="B1273" s="909" t="s">
        <v>4884</v>
      </c>
      <c r="C1273" s="82">
        <v>3217</v>
      </c>
      <c r="D1273" s="1594">
        <v>2</v>
      </c>
    </row>
    <row r="1274" spans="1:4">
      <c r="A1274" s="615" t="s">
        <v>6757</v>
      </c>
      <c r="B1274" s="853" t="s">
        <v>6756</v>
      </c>
      <c r="C1274" s="82">
        <v>13969</v>
      </c>
      <c r="D1274" s="1594">
        <v>2</v>
      </c>
    </row>
    <row r="1275" spans="1:4">
      <c r="A1275" s="615" t="s">
        <v>510</v>
      </c>
      <c r="B1275" s="909" t="s">
        <v>2888</v>
      </c>
      <c r="C1275" s="82">
        <v>2252</v>
      </c>
      <c r="D1275" s="1594">
        <v>3.61</v>
      </c>
    </row>
    <row r="1276" spans="1:4">
      <c r="A1276" s="615" t="s">
        <v>1918</v>
      </c>
      <c r="B1276" s="909" t="s">
        <v>3479</v>
      </c>
      <c r="C1276" s="82">
        <v>2338</v>
      </c>
      <c r="D1276" s="1594">
        <v>3.42</v>
      </c>
    </row>
    <row r="1277" spans="1:4">
      <c r="A1277" s="615" t="s">
        <v>1235</v>
      </c>
      <c r="B1277" s="909" t="s">
        <v>2955</v>
      </c>
      <c r="C1277" s="82">
        <v>2127</v>
      </c>
      <c r="D1277" s="1594">
        <v>3</v>
      </c>
    </row>
    <row r="1278" spans="1:4">
      <c r="A1278" s="615" t="s">
        <v>4542</v>
      </c>
      <c r="B1278" s="909" t="s">
        <v>1341</v>
      </c>
      <c r="C1278" s="82">
        <v>2128</v>
      </c>
      <c r="D1278" s="1594">
        <v>3</v>
      </c>
    </row>
    <row r="1279" spans="1:4">
      <c r="A1279" s="615" t="s">
        <v>4543</v>
      </c>
      <c r="B1279" s="909" t="s">
        <v>1342</v>
      </c>
      <c r="C1279" s="82">
        <v>2125</v>
      </c>
      <c r="D1279" s="1594">
        <v>3.18</v>
      </c>
    </row>
    <row r="1280" spans="1:4">
      <c r="A1280" s="615" t="s">
        <v>95</v>
      </c>
      <c r="B1280" s="909" t="s">
        <v>3319</v>
      </c>
      <c r="C1280" s="82">
        <v>2512</v>
      </c>
      <c r="D1280" s="1594">
        <v>2.04</v>
      </c>
    </row>
    <row r="1281" spans="1:4">
      <c r="A1281" s="615" t="s">
        <v>5238</v>
      </c>
      <c r="B1281" s="909" t="s">
        <v>3320</v>
      </c>
      <c r="C1281" s="82">
        <v>3384</v>
      </c>
      <c r="D1281" s="1594">
        <v>3.1</v>
      </c>
    </row>
    <row r="1282" spans="1:4">
      <c r="A1282" s="615" t="s">
        <v>5656</v>
      </c>
      <c r="B1282" s="909" t="s">
        <v>3320</v>
      </c>
      <c r="C1282" s="82">
        <v>3382</v>
      </c>
      <c r="D1282" s="1594">
        <v>3.1</v>
      </c>
    </row>
    <row r="1283" spans="1:4">
      <c r="A1283" s="615" t="s">
        <v>5662</v>
      </c>
      <c r="B1283" s="909" t="s">
        <v>3320</v>
      </c>
      <c r="C1283" s="82">
        <v>3383</v>
      </c>
      <c r="D1283" s="1594">
        <v>3.1</v>
      </c>
    </row>
    <row r="1284" spans="1:4">
      <c r="A1284" s="615" t="s">
        <v>5668</v>
      </c>
      <c r="B1284" s="909" t="s">
        <v>3320</v>
      </c>
      <c r="C1284" s="82">
        <v>3385</v>
      </c>
      <c r="D1284" s="1594">
        <v>3.1</v>
      </c>
    </row>
    <row r="1285" spans="1:4">
      <c r="A1285" s="615" t="s">
        <v>5679</v>
      </c>
      <c r="B1285" s="909" t="s">
        <v>3320</v>
      </c>
      <c r="C1285" s="82">
        <v>2573</v>
      </c>
      <c r="D1285" s="1594">
        <v>3.1</v>
      </c>
    </row>
    <row r="1286" spans="1:4">
      <c r="A1286" s="615" t="s">
        <v>4509</v>
      </c>
      <c r="B1286" s="909" t="s">
        <v>3134</v>
      </c>
      <c r="C1286" s="82">
        <v>2167</v>
      </c>
      <c r="D1286" s="1594">
        <v>2.57</v>
      </c>
    </row>
    <row r="1287" spans="1:4">
      <c r="A1287" s="615" t="s">
        <v>6420</v>
      </c>
      <c r="B1287" s="853" t="s">
        <v>6419</v>
      </c>
      <c r="C1287" s="82">
        <v>13994</v>
      </c>
      <c r="D1287" s="1594">
        <v>3.4</v>
      </c>
    </row>
    <row r="1288" spans="1:4">
      <c r="A1288" s="615" t="s">
        <v>841</v>
      </c>
      <c r="B1288" s="909" t="s">
        <v>4165</v>
      </c>
      <c r="C1288" s="82">
        <v>18573</v>
      </c>
      <c r="D1288" s="1594">
        <v>3.1</v>
      </c>
    </row>
    <row r="1289" spans="1:4">
      <c r="A1289" s="615" t="s">
        <v>3022</v>
      </c>
      <c r="B1289" s="909" t="s">
        <v>3336</v>
      </c>
      <c r="C1289" s="82">
        <v>3509</v>
      </c>
      <c r="D1289" s="1594">
        <v>2.1</v>
      </c>
    </row>
    <row r="1290" spans="1:4">
      <c r="A1290" s="615" t="s">
        <v>3337</v>
      </c>
      <c r="B1290" s="909" t="s">
        <v>3337</v>
      </c>
      <c r="C1290" s="82"/>
      <c r="D1290" s="1594">
        <v>2.1</v>
      </c>
    </row>
    <row r="1291" spans="1:4">
      <c r="A1291" s="615" t="s">
        <v>2824</v>
      </c>
      <c r="B1291" s="909" t="s">
        <v>3338</v>
      </c>
      <c r="C1291" s="82">
        <v>3510</v>
      </c>
      <c r="D1291" s="1594">
        <v>2.1</v>
      </c>
    </row>
    <row r="1292" spans="1:4">
      <c r="A1292" s="615" t="s">
        <v>3427</v>
      </c>
      <c r="B1292" s="909" t="s">
        <v>862</v>
      </c>
      <c r="C1292" s="82">
        <v>3511</v>
      </c>
      <c r="D1292" s="1594">
        <v>2.1</v>
      </c>
    </row>
    <row r="1293" spans="1:4">
      <c r="A1293" s="615" t="s">
        <v>6750</v>
      </c>
      <c r="B1293" s="853" t="s">
        <v>6749</v>
      </c>
      <c r="C1293" s="82">
        <v>2668</v>
      </c>
      <c r="D1293" s="1594">
        <v>2</v>
      </c>
    </row>
    <row r="1294" spans="1:4">
      <c r="A1294" s="615" t="s">
        <v>1186</v>
      </c>
      <c r="B1294" s="909" t="s">
        <v>1186</v>
      </c>
      <c r="C1294" s="82"/>
      <c r="D1294" s="1594">
        <v>4</v>
      </c>
    </row>
    <row r="1295" spans="1:4">
      <c r="A1295" s="615" t="s">
        <v>1179</v>
      </c>
      <c r="B1295" s="909" t="s">
        <v>1179</v>
      </c>
      <c r="C1295" s="82"/>
      <c r="D1295" s="1594">
        <v>3.5</v>
      </c>
    </row>
    <row r="1296" spans="1:4">
      <c r="A1296" s="615" t="s">
        <v>5253</v>
      </c>
      <c r="B1296" s="909" t="s">
        <v>1300</v>
      </c>
      <c r="C1296" s="82">
        <v>3160</v>
      </c>
      <c r="D1296" s="1594">
        <v>3.6</v>
      </c>
    </row>
    <row r="1297" spans="1:4">
      <c r="A1297" s="615" t="s">
        <v>3482</v>
      </c>
      <c r="B1297" s="909" t="s">
        <v>2256</v>
      </c>
      <c r="C1297" s="82">
        <v>2843</v>
      </c>
      <c r="D1297" s="1594">
        <v>3.0609999999999999</v>
      </c>
    </row>
    <row r="1298" spans="1:4">
      <c r="A1298" s="615" t="s">
        <v>4672</v>
      </c>
      <c r="B1298" s="909" t="s">
        <v>5074</v>
      </c>
      <c r="C1298" s="82">
        <v>2047</v>
      </c>
      <c r="D1298" s="1594">
        <v>3.97</v>
      </c>
    </row>
    <row r="1299" spans="1:4">
      <c r="A1299" s="615" t="s">
        <v>4309</v>
      </c>
      <c r="B1299" s="909" t="s">
        <v>5314</v>
      </c>
      <c r="C1299" s="82">
        <v>2622</v>
      </c>
      <c r="D1299" s="1594">
        <v>2.2000000000000002</v>
      </c>
    </row>
    <row r="1300" spans="1:4">
      <c r="A1300" s="615" t="s">
        <v>4231</v>
      </c>
      <c r="B1300" s="909" t="s">
        <v>1301</v>
      </c>
      <c r="C1300" s="82">
        <v>3174</v>
      </c>
      <c r="D1300" s="1594">
        <v>3.48</v>
      </c>
    </row>
    <row r="1301" spans="1:4">
      <c r="A1301" s="615" t="s">
        <v>2239</v>
      </c>
      <c r="B1301" s="909" t="s">
        <v>809</v>
      </c>
      <c r="C1301" s="82">
        <v>2369</v>
      </c>
      <c r="D1301" s="1594">
        <v>3.6</v>
      </c>
    </row>
    <row r="1302" spans="1:4">
      <c r="A1302" s="615" t="s">
        <v>1336</v>
      </c>
      <c r="B1302" s="909" t="s">
        <v>810</v>
      </c>
      <c r="C1302" s="82">
        <v>3173</v>
      </c>
      <c r="D1302" s="1594">
        <v>3.73</v>
      </c>
    </row>
    <row r="1303" spans="1:4">
      <c r="A1303" s="615" t="s">
        <v>1545</v>
      </c>
      <c r="B1303" s="909" t="s">
        <v>811</v>
      </c>
      <c r="C1303" s="82">
        <v>2368</v>
      </c>
      <c r="D1303" s="1594">
        <v>3.4</v>
      </c>
    </row>
    <row r="1304" spans="1:4">
      <c r="A1304" s="615" t="s">
        <v>2135</v>
      </c>
      <c r="B1304" s="909" t="s">
        <v>4311</v>
      </c>
      <c r="C1304" s="82">
        <v>3172</v>
      </c>
      <c r="D1304" s="1594">
        <v>3.53</v>
      </c>
    </row>
    <row r="1305" spans="1:4">
      <c r="A1305" s="615" t="s">
        <v>714</v>
      </c>
      <c r="B1305" s="909" t="s">
        <v>4312</v>
      </c>
      <c r="C1305" s="82">
        <v>3243</v>
      </c>
      <c r="D1305" s="1594">
        <v>3.92</v>
      </c>
    </row>
    <row r="1306" spans="1:4">
      <c r="A1306" s="615" t="s">
        <v>1161</v>
      </c>
      <c r="B1306" s="909" t="s">
        <v>4313</v>
      </c>
      <c r="C1306" s="82">
        <v>2382</v>
      </c>
      <c r="D1306" s="1594">
        <v>3.32</v>
      </c>
    </row>
    <row r="1307" spans="1:4">
      <c r="A1307" s="615" t="s">
        <v>5611</v>
      </c>
      <c r="B1307" s="909" t="s">
        <v>4314</v>
      </c>
      <c r="C1307" s="82">
        <v>3189</v>
      </c>
      <c r="D1307" s="1594">
        <v>3.81</v>
      </c>
    </row>
    <row r="1308" spans="1:4">
      <c r="A1308" s="615" t="s">
        <v>3283</v>
      </c>
      <c r="B1308" s="909" t="s">
        <v>4315</v>
      </c>
      <c r="C1308" s="82">
        <v>2381</v>
      </c>
      <c r="D1308" s="1594">
        <v>3.65</v>
      </c>
    </row>
    <row r="1309" spans="1:4">
      <c r="A1309" s="615" t="s">
        <v>75</v>
      </c>
      <c r="B1309" s="909" t="s">
        <v>4316</v>
      </c>
      <c r="C1309" s="82">
        <v>2380</v>
      </c>
      <c r="D1309" s="1594">
        <v>3.55</v>
      </c>
    </row>
    <row r="1310" spans="1:4">
      <c r="A1310" s="615" t="s">
        <v>5133</v>
      </c>
      <c r="B1310" s="853" t="s">
        <v>6438</v>
      </c>
      <c r="C1310" s="82">
        <v>16484</v>
      </c>
      <c r="D1310" s="1594">
        <v>2</v>
      </c>
    </row>
    <row r="1311" spans="1:4">
      <c r="A1311" s="615" t="s">
        <v>373</v>
      </c>
      <c r="B1311" s="909" t="s">
        <v>3332</v>
      </c>
      <c r="C1311" s="82">
        <v>16488</v>
      </c>
      <c r="D1311" s="1594">
        <v>2.7</v>
      </c>
    </row>
    <row r="1312" spans="1:4">
      <c r="A1312" s="615" t="s">
        <v>1337</v>
      </c>
      <c r="B1312" s="909" t="s">
        <v>3333</v>
      </c>
      <c r="C1312" s="82">
        <v>2607</v>
      </c>
      <c r="D1312" s="1594">
        <v>2.7</v>
      </c>
    </row>
    <row r="1313" spans="1:4">
      <c r="A1313" s="1595" t="s">
        <v>5659</v>
      </c>
      <c r="B1313" s="1596" t="s">
        <v>5315</v>
      </c>
      <c r="C1313" s="82">
        <v>3429</v>
      </c>
      <c r="D1313" s="1594">
        <v>2.2000000000000002</v>
      </c>
    </row>
    <row r="1314" spans="1:4">
      <c r="A1314" s="615" t="s">
        <v>5677</v>
      </c>
      <c r="B1314" s="909" t="s">
        <v>5315</v>
      </c>
      <c r="C1314" s="82">
        <v>3430</v>
      </c>
      <c r="D1314" s="1594">
        <v>2.2000000000000002</v>
      </c>
    </row>
    <row r="1315" spans="1:4">
      <c r="A1315" s="615" t="s">
        <v>2015</v>
      </c>
      <c r="B1315" s="909" t="s">
        <v>2015</v>
      </c>
      <c r="C1315" s="82"/>
      <c r="D1315" s="1594">
        <v>2.9998621562137684</v>
      </c>
    </row>
    <row r="1316" spans="1:4">
      <c r="A1316" s="615" t="s">
        <v>1183</v>
      </c>
      <c r="B1316" s="909" t="s">
        <v>1183</v>
      </c>
      <c r="C1316" s="82"/>
      <c r="D1316" s="1594">
        <v>2.9998621562137684</v>
      </c>
    </row>
    <row r="1317" spans="1:4">
      <c r="A1317" s="615" t="s">
        <v>1076</v>
      </c>
      <c r="B1317" s="909" t="s">
        <v>4976</v>
      </c>
      <c r="C1317" s="82">
        <v>3442</v>
      </c>
      <c r="D1317" s="1594">
        <v>3.2</v>
      </c>
    </row>
    <row r="1318" spans="1:4">
      <c r="A1318" s="615" t="s">
        <v>333</v>
      </c>
      <c r="B1318" s="909" t="s">
        <v>4977</v>
      </c>
      <c r="C1318" s="82">
        <v>2619</v>
      </c>
      <c r="D1318" s="1594">
        <v>2.6</v>
      </c>
    </row>
    <row r="1319" spans="1:4">
      <c r="A1319" s="615" t="s">
        <v>967</v>
      </c>
      <c r="B1319" s="909" t="s">
        <v>4978</v>
      </c>
      <c r="C1319" s="82">
        <v>3452</v>
      </c>
      <c r="D1319" s="1594">
        <v>2.6</v>
      </c>
    </row>
    <row r="1320" spans="1:4">
      <c r="A1320" s="615" t="s">
        <v>1143</v>
      </c>
      <c r="B1320" s="909" t="s">
        <v>4979</v>
      </c>
      <c r="C1320" s="82">
        <v>3453</v>
      </c>
      <c r="D1320" s="1594">
        <v>2.6</v>
      </c>
    </row>
    <row r="1321" spans="1:4">
      <c r="A1321" s="615" t="s">
        <v>1137</v>
      </c>
      <c r="B1321" s="909" t="s">
        <v>4980</v>
      </c>
      <c r="C1321" s="82">
        <v>2618</v>
      </c>
      <c r="D1321" s="1594">
        <v>2.6</v>
      </c>
    </row>
    <row r="1322" spans="1:4">
      <c r="A1322" s="615" t="s">
        <v>2323</v>
      </c>
      <c r="B1322" s="909" t="s">
        <v>4981</v>
      </c>
      <c r="C1322" s="82">
        <v>3451</v>
      </c>
      <c r="D1322" s="1594">
        <v>3.2</v>
      </c>
    </row>
    <row r="1323" spans="1:4">
      <c r="A1323" s="615" t="s">
        <v>1457</v>
      </c>
      <c r="B1323" s="909" t="s">
        <v>5097</v>
      </c>
      <c r="C1323" s="82">
        <v>2505</v>
      </c>
      <c r="D1323" s="1594">
        <v>3.12</v>
      </c>
    </row>
    <row r="1324" spans="1:4">
      <c r="A1324" s="615" t="s">
        <v>3153</v>
      </c>
      <c r="B1324" s="909" t="s">
        <v>5098</v>
      </c>
      <c r="C1324" s="82">
        <v>3310</v>
      </c>
      <c r="D1324" s="1594">
        <v>3.36</v>
      </c>
    </row>
    <row r="1325" spans="1:4">
      <c r="A1325" s="615" t="s">
        <v>2717</v>
      </c>
      <c r="B1325" s="909" t="s">
        <v>3334</v>
      </c>
      <c r="C1325" s="82">
        <v>16511</v>
      </c>
      <c r="D1325" s="1594">
        <v>2.4713768380352099</v>
      </c>
    </row>
    <row r="1326" spans="1:4">
      <c r="A1326" s="615" t="s">
        <v>1982</v>
      </c>
      <c r="B1326" s="909" t="s">
        <v>1424</v>
      </c>
      <c r="C1326" s="82">
        <v>3425</v>
      </c>
      <c r="D1326" s="1594">
        <v>2.46</v>
      </c>
    </row>
    <row r="1327" spans="1:4">
      <c r="A1327" s="615" t="s">
        <v>2716</v>
      </c>
      <c r="B1327" s="909" t="s">
        <v>1425</v>
      </c>
      <c r="C1327" s="82">
        <v>16513</v>
      </c>
      <c r="D1327" s="1594">
        <v>2.4713768380352099</v>
      </c>
    </row>
    <row r="1328" spans="1:4">
      <c r="A1328" s="615" t="s">
        <v>2712</v>
      </c>
      <c r="B1328" s="909" t="s">
        <v>1426</v>
      </c>
      <c r="C1328" s="82">
        <v>16514</v>
      </c>
      <c r="D1328" s="1594">
        <v>2.4713768380352099</v>
      </c>
    </row>
    <row r="1329" spans="1:4">
      <c r="A1329" s="615" t="s">
        <v>2067</v>
      </c>
      <c r="B1329" s="909" t="s">
        <v>2068</v>
      </c>
      <c r="C1329" s="82">
        <v>16515</v>
      </c>
      <c r="D1329" s="1594">
        <v>3.3182763159269002</v>
      </c>
    </row>
    <row r="1330" spans="1:4">
      <c r="A1330" s="615" t="s">
        <v>2715</v>
      </c>
      <c r="B1330" s="909" t="s">
        <v>2386</v>
      </c>
      <c r="C1330" s="82">
        <v>16516</v>
      </c>
      <c r="D1330" s="1594">
        <v>2.4713768380352099</v>
      </c>
    </row>
    <row r="1331" spans="1:4">
      <c r="A1331" s="615" t="s">
        <v>5432</v>
      </c>
      <c r="B1331" s="909" t="s">
        <v>2387</v>
      </c>
      <c r="C1331" s="82">
        <v>3426</v>
      </c>
      <c r="D1331" s="1594">
        <v>2.2999999999999998</v>
      </c>
    </row>
    <row r="1332" spans="1:4">
      <c r="A1332" s="615" t="s">
        <v>6893</v>
      </c>
      <c r="B1332" s="853" t="s">
        <v>6892</v>
      </c>
      <c r="C1332" s="82">
        <v>16518</v>
      </c>
      <c r="D1332" s="1594">
        <v>2</v>
      </c>
    </row>
    <row r="1333" spans="1:4">
      <c r="A1333" s="615" t="s">
        <v>1691</v>
      </c>
      <c r="B1333" s="909" t="s">
        <v>2388</v>
      </c>
      <c r="C1333" s="82">
        <v>2604</v>
      </c>
      <c r="D1333" s="1594">
        <v>2.2999999999999998</v>
      </c>
    </row>
    <row r="1334" spans="1:4">
      <c r="A1334" s="615" t="s">
        <v>6768</v>
      </c>
      <c r="B1334" s="909" t="s">
        <v>43</v>
      </c>
      <c r="C1334" s="82">
        <v>19131</v>
      </c>
      <c r="D1334" s="1594">
        <v>2.76</v>
      </c>
    </row>
    <row r="1335" spans="1:4">
      <c r="A1335" s="615" t="s">
        <v>3299</v>
      </c>
      <c r="B1335" s="909" t="s">
        <v>3321</v>
      </c>
      <c r="C1335" s="82">
        <v>2192</v>
      </c>
      <c r="D1335" s="1594">
        <v>3.36</v>
      </c>
    </row>
    <row r="1336" spans="1:4">
      <c r="A1336" s="615" t="s">
        <v>2814</v>
      </c>
      <c r="B1336" s="909" t="s">
        <v>4077</v>
      </c>
      <c r="C1336" s="82">
        <v>3554</v>
      </c>
      <c r="D1336" s="1594">
        <v>2.1</v>
      </c>
    </row>
    <row r="1337" spans="1:4">
      <c r="A1337" s="615" t="s">
        <v>839</v>
      </c>
      <c r="B1337" s="909" t="s">
        <v>4982</v>
      </c>
      <c r="C1337" s="82">
        <v>3445</v>
      </c>
      <c r="D1337" s="1594">
        <v>3.2</v>
      </c>
    </row>
    <row r="1338" spans="1:4">
      <c r="A1338" s="615" t="s">
        <v>3088</v>
      </c>
      <c r="B1338" s="909" t="s">
        <v>4983</v>
      </c>
      <c r="C1338" s="82">
        <v>2616</v>
      </c>
      <c r="D1338" s="1594">
        <v>2.6</v>
      </c>
    </row>
    <row r="1339" spans="1:4">
      <c r="A1339" s="615" t="s">
        <v>2777</v>
      </c>
      <c r="B1339" s="909" t="s">
        <v>3510</v>
      </c>
      <c r="C1339" s="82">
        <v>16234</v>
      </c>
      <c r="D1339" s="1594">
        <v>2.9587323501170402</v>
      </c>
    </row>
    <row r="1340" spans="1:4">
      <c r="A1340" s="615" t="s">
        <v>4874</v>
      </c>
      <c r="B1340" s="909" t="s">
        <v>3511</v>
      </c>
      <c r="C1340" s="82">
        <v>3446</v>
      </c>
      <c r="D1340" s="1594">
        <v>3.2</v>
      </c>
    </row>
    <row r="1341" spans="1:4">
      <c r="A1341" s="615" t="s">
        <v>4610</v>
      </c>
      <c r="B1341" s="909" t="s">
        <v>4565</v>
      </c>
      <c r="C1341" s="82">
        <v>2614</v>
      </c>
      <c r="D1341" s="1594">
        <v>2.6</v>
      </c>
    </row>
    <row r="1342" spans="1:4">
      <c r="A1342" s="615" t="s">
        <v>6759</v>
      </c>
      <c r="B1342" s="853" t="s">
        <v>6758</v>
      </c>
      <c r="C1342" s="82">
        <v>16299</v>
      </c>
      <c r="D1342" s="1594">
        <v>2</v>
      </c>
    </row>
    <row r="1343" spans="1:4">
      <c r="A1343" s="615" t="s">
        <v>3281</v>
      </c>
      <c r="B1343" s="909" t="s">
        <v>4566</v>
      </c>
      <c r="C1343" s="82">
        <v>3443</v>
      </c>
      <c r="D1343" s="1594">
        <v>2.8</v>
      </c>
    </row>
    <row r="1344" spans="1:4">
      <c r="A1344" s="615" t="s">
        <v>5703</v>
      </c>
      <c r="B1344" s="909" t="s">
        <v>4078</v>
      </c>
      <c r="C1344" s="82">
        <v>3545</v>
      </c>
      <c r="D1344" s="1594">
        <v>2.1</v>
      </c>
    </row>
    <row r="1345" spans="1:4">
      <c r="A1345" s="615" t="s">
        <v>3624</v>
      </c>
      <c r="B1345" s="909" t="s">
        <v>4079</v>
      </c>
      <c r="C1345" s="82">
        <v>17386</v>
      </c>
      <c r="D1345" s="1594">
        <v>2.0617598316454031</v>
      </c>
    </row>
    <row r="1346" spans="1:4">
      <c r="A1346" s="615" t="s">
        <v>4398</v>
      </c>
      <c r="B1346" s="853" t="s">
        <v>6812</v>
      </c>
      <c r="C1346" s="82">
        <v>14054</v>
      </c>
      <c r="D1346" s="1594">
        <v>3.6</v>
      </c>
    </row>
    <row r="1347" spans="1:4">
      <c r="A1347" s="615" t="s">
        <v>726</v>
      </c>
      <c r="B1347" s="909" t="s">
        <v>847</v>
      </c>
      <c r="C1347" s="82">
        <v>2768</v>
      </c>
      <c r="D1347" s="1594">
        <v>2.2999999999999998</v>
      </c>
    </row>
    <row r="1348" spans="1:4">
      <c r="A1348" s="615" t="s">
        <v>6769</v>
      </c>
      <c r="B1348" s="909" t="s">
        <v>5678</v>
      </c>
      <c r="C1348" s="82">
        <v>2448</v>
      </c>
      <c r="D1348" s="1594">
        <v>4.04</v>
      </c>
    </row>
    <row r="1349" spans="1:4">
      <c r="A1349" s="919" t="s">
        <v>8559</v>
      </c>
      <c r="B1349" s="918" t="s">
        <v>8560</v>
      </c>
      <c r="C1349" s="82">
        <v>20347</v>
      </c>
      <c r="D1349" s="1594">
        <v>3.4</v>
      </c>
    </row>
    <row r="1350" spans="1:4">
      <c r="A1350" s="615" t="s">
        <v>6434</v>
      </c>
      <c r="B1350" s="853" t="s">
        <v>6433</v>
      </c>
      <c r="C1350" s="82">
        <v>14093</v>
      </c>
      <c r="D1350" s="1594">
        <v>2</v>
      </c>
    </row>
    <row r="1351" spans="1:4">
      <c r="A1351" s="919" t="s">
        <v>8561</v>
      </c>
      <c r="B1351" s="918" t="s">
        <v>8562</v>
      </c>
      <c r="C1351" s="82">
        <v>6540</v>
      </c>
      <c r="D1351" s="1594">
        <v>2.21</v>
      </c>
    </row>
    <row r="1352" spans="1:4">
      <c r="A1352" s="615" t="s">
        <v>3173</v>
      </c>
      <c r="B1352" s="909" t="s">
        <v>3322</v>
      </c>
      <c r="C1352" s="82">
        <v>14100</v>
      </c>
      <c r="D1352" s="1594">
        <v>3.45</v>
      </c>
    </row>
    <row r="1353" spans="1:4">
      <c r="A1353" s="615" t="s">
        <v>4271</v>
      </c>
      <c r="B1353" s="909" t="s">
        <v>728</v>
      </c>
      <c r="C1353" s="82">
        <v>3083</v>
      </c>
      <c r="D1353" s="1594">
        <v>4.1100000000000003</v>
      </c>
    </row>
    <row r="1354" spans="1:4">
      <c r="A1354" s="615" t="s">
        <v>6770</v>
      </c>
      <c r="B1354" s="909" t="s">
        <v>2625</v>
      </c>
      <c r="C1354" s="82">
        <v>19101</v>
      </c>
      <c r="D1354" s="1594">
        <v>4.04</v>
      </c>
    </row>
    <row r="1355" spans="1:4">
      <c r="A1355" s="615" t="s">
        <v>55</v>
      </c>
      <c r="B1355" s="909" t="s">
        <v>3040</v>
      </c>
      <c r="C1355" s="82">
        <v>3372</v>
      </c>
      <c r="D1355" s="1594">
        <v>4.5</v>
      </c>
    </row>
    <row r="1356" spans="1:4">
      <c r="A1356" s="615" t="s">
        <v>4273</v>
      </c>
      <c r="B1356" s="909" t="s">
        <v>3041</v>
      </c>
      <c r="C1356" s="82">
        <v>3351</v>
      </c>
      <c r="D1356" s="1594">
        <v>4.49</v>
      </c>
    </row>
    <row r="1357" spans="1:4">
      <c r="A1357" s="615" t="s">
        <v>6597</v>
      </c>
      <c r="B1357" s="853" t="s">
        <v>6596</v>
      </c>
      <c r="C1357" s="82">
        <v>14118</v>
      </c>
      <c r="D1357" s="1594">
        <v>4.2</v>
      </c>
    </row>
    <row r="1358" spans="1:4">
      <c r="A1358" s="615" t="s">
        <v>2867</v>
      </c>
      <c r="B1358" s="909" t="s">
        <v>4744</v>
      </c>
      <c r="C1358" s="82">
        <v>3350</v>
      </c>
      <c r="D1358" s="1594">
        <v>4.3499999999999996</v>
      </c>
    </row>
    <row r="1359" spans="1:4">
      <c r="A1359" s="615" t="s">
        <v>1929</v>
      </c>
      <c r="B1359" s="909" t="s">
        <v>4745</v>
      </c>
      <c r="C1359" s="82">
        <v>2540</v>
      </c>
      <c r="D1359" s="1594">
        <v>4.16</v>
      </c>
    </row>
    <row r="1360" spans="1:4">
      <c r="A1360" s="615" t="s">
        <v>2711</v>
      </c>
      <c r="B1360" s="909" t="s">
        <v>5306</v>
      </c>
      <c r="C1360" s="82">
        <v>18569</v>
      </c>
      <c r="D1360" s="1594">
        <v>2.2999999999999998</v>
      </c>
    </row>
    <row r="1361" spans="1:4">
      <c r="A1361" s="615" t="s">
        <v>3466</v>
      </c>
      <c r="B1361" s="909" t="s">
        <v>5307</v>
      </c>
      <c r="C1361" s="82">
        <v>18567</v>
      </c>
      <c r="D1361" s="1594">
        <v>2.2999999999999998</v>
      </c>
    </row>
    <row r="1362" spans="1:4">
      <c r="A1362" s="615" t="s">
        <v>2710</v>
      </c>
      <c r="B1362" s="909" t="s">
        <v>5308</v>
      </c>
      <c r="C1362" s="82">
        <v>18568</v>
      </c>
      <c r="D1362" s="1594">
        <v>2.2999999999999998</v>
      </c>
    </row>
    <row r="1363" spans="1:4">
      <c r="A1363" s="615" t="s">
        <v>4609</v>
      </c>
      <c r="B1363" s="909" t="s">
        <v>5309</v>
      </c>
      <c r="C1363" s="82">
        <v>2640</v>
      </c>
      <c r="D1363" s="1594">
        <v>2.2999999999999998</v>
      </c>
    </row>
    <row r="1364" spans="1:4">
      <c r="A1364" s="615" t="s">
        <v>5683</v>
      </c>
      <c r="B1364" s="909" t="s">
        <v>5684</v>
      </c>
      <c r="C1364" s="82">
        <v>3474</v>
      </c>
      <c r="D1364" s="1594">
        <v>3.25</v>
      </c>
    </row>
    <row r="1365" spans="1:4">
      <c r="A1365" s="615" t="s">
        <v>4600</v>
      </c>
      <c r="B1365" s="909" t="s">
        <v>27</v>
      </c>
      <c r="C1365" s="82">
        <v>2643</v>
      </c>
      <c r="D1365" s="1594">
        <v>2.2999999999999998</v>
      </c>
    </row>
    <row r="1366" spans="1:4">
      <c r="A1366" s="615" t="s">
        <v>3570</v>
      </c>
      <c r="B1366" s="909" t="s">
        <v>5576</v>
      </c>
      <c r="C1366" s="82">
        <v>3473</v>
      </c>
      <c r="D1366" s="1594">
        <v>2.2999999999999998</v>
      </c>
    </row>
    <row r="1367" spans="1:4">
      <c r="A1367" s="615" t="s">
        <v>2724</v>
      </c>
      <c r="B1367" s="909" t="s">
        <v>5577</v>
      </c>
      <c r="C1367" s="82">
        <v>3475</v>
      </c>
      <c r="D1367" s="1594">
        <v>2.2999999999999998</v>
      </c>
    </row>
    <row r="1368" spans="1:4">
      <c r="A1368" s="615" t="s">
        <v>6771</v>
      </c>
      <c r="B1368" s="909" t="s">
        <v>2602</v>
      </c>
      <c r="C1368" s="82">
        <v>18644</v>
      </c>
      <c r="D1368" s="1594">
        <v>2.0935528537656198</v>
      </c>
    </row>
    <row r="1369" spans="1:4">
      <c r="A1369" s="615" t="s">
        <v>4003</v>
      </c>
      <c r="B1369" s="909" t="s">
        <v>4004</v>
      </c>
      <c r="C1369" s="82">
        <v>19127</v>
      </c>
      <c r="D1369" s="1594">
        <v>3.3182763159269002</v>
      </c>
    </row>
    <row r="1370" spans="1:4">
      <c r="A1370" s="615" t="s">
        <v>2100</v>
      </c>
      <c r="B1370" s="909" t="s">
        <v>2338</v>
      </c>
      <c r="C1370" s="82">
        <v>2360</v>
      </c>
      <c r="D1370" s="1594">
        <v>2.4900000000000002</v>
      </c>
    </row>
    <row r="1371" spans="1:4">
      <c r="A1371" s="615" t="s">
        <v>4814</v>
      </c>
      <c r="B1371" s="909" t="s">
        <v>310</v>
      </c>
      <c r="C1371" s="82">
        <v>3417</v>
      </c>
      <c r="D1371" s="1594">
        <v>2.7</v>
      </c>
    </row>
    <row r="1372" spans="1:4">
      <c r="A1372" s="615" t="s">
        <v>3468</v>
      </c>
      <c r="B1372" s="909" t="s">
        <v>4092</v>
      </c>
      <c r="C1372" s="82">
        <v>2599</v>
      </c>
      <c r="D1372" s="1594">
        <v>2.7</v>
      </c>
    </row>
    <row r="1373" spans="1:4">
      <c r="A1373" s="615" t="s">
        <v>4187</v>
      </c>
      <c r="B1373" s="909" t="s">
        <v>4093</v>
      </c>
      <c r="C1373" s="82">
        <v>2598</v>
      </c>
      <c r="D1373" s="1594">
        <v>3.31</v>
      </c>
    </row>
    <row r="1374" spans="1:4">
      <c r="A1374" s="615" t="s">
        <v>3426</v>
      </c>
      <c r="B1374" s="909" t="s">
        <v>2339</v>
      </c>
      <c r="C1374" s="82">
        <v>2431</v>
      </c>
      <c r="D1374" s="1594">
        <v>3.87</v>
      </c>
    </row>
    <row r="1375" spans="1:4">
      <c r="A1375" s="615" t="s">
        <v>6410</v>
      </c>
      <c r="B1375" s="853" t="s">
        <v>6409</v>
      </c>
      <c r="C1375" s="82">
        <v>2339</v>
      </c>
      <c r="D1375" s="1594">
        <v>3.6</v>
      </c>
    </row>
    <row r="1376" spans="1:4">
      <c r="A1376" s="615" t="s">
        <v>3175</v>
      </c>
      <c r="B1376" s="909" t="s">
        <v>5316</v>
      </c>
      <c r="C1376" s="82">
        <v>3458</v>
      </c>
      <c r="D1376" s="1594">
        <v>2.2000000000000002</v>
      </c>
    </row>
    <row r="1377" spans="1:4">
      <c r="A1377" s="615" t="s">
        <v>4922</v>
      </c>
      <c r="B1377" s="909" t="s">
        <v>5099</v>
      </c>
      <c r="C1377" s="82">
        <v>3127</v>
      </c>
      <c r="D1377" s="1594">
        <v>2.93</v>
      </c>
    </row>
    <row r="1378" spans="1:4">
      <c r="A1378" s="615" t="s">
        <v>711</v>
      </c>
      <c r="B1378" s="909" t="s">
        <v>2889</v>
      </c>
      <c r="C1378" s="82">
        <v>14169</v>
      </c>
      <c r="D1378" s="1594">
        <v>3.5</v>
      </c>
    </row>
    <row r="1379" spans="1:4">
      <c r="A1379" s="615" t="s">
        <v>5646</v>
      </c>
      <c r="B1379" s="909" t="s">
        <v>5647</v>
      </c>
      <c r="C1379" s="82">
        <v>18646</v>
      </c>
      <c r="D1379" s="1594">
        <v>2</v>
      </c>
    </row>
    <row r="1380" spans="1:4">
      <c r="A1380" s="615" t="s">
        <v>3462</v>
      </c>
      <c r="B1380" s="909" t="s">
        <v>2380</v>
      </c>
      <c r="C1380" s="82">
        <v>14195</v>
      </c>
      <c r="D1380" s="1594">
        <v>2.95</v>
      </c>
    </row>
    <row r="1381" spans="1:4">
      <c r="A1381" s="615" t="s">
        <v>3947</v>
      </c>
      <c r="B1381" s="909" t="s">
        <v>2890</v>
      </c>
      <c r="C1381" s="82">
        <v>16071</v>
      </c>
      <c r="D1381" s="1594">
        <v>3.3</v>
      </c>
    </row>
    <row r="1382" spans="1:4">
      <c r="A1382" s="615" t="s">
        <v>3559</v>
      </c>
      <c r="B1382" s="909" t="s">
        <v>5100</v>
      </c>
      <c r="C1382" s="82">
        <v>3125</v>
      </c>
      <c r="D1382" s="1594">
        <v>3.55</v>
      </c>
    </row>
    <row r="1383" spans="1:4">
      <c r="A1383" s="615" t="s">
        <v>3562</v>
      </c>
      <c r="B1383" s="909" t="s">
        <v>5255</v>
      </c>
      <c r="C1383" s="82">
        <v>3241</v>
      </c>
      <c r="D1383" s="1594">
        <v>3.86</v>
      </c>
    </row>
    <row r="1384" spans="1:4">
      <c r="A1384" s="615" t="s">
        <v>3555</v>
      </c>
      <c r="B1384" s="909" t="s">
        <v>5256</v>
      </c>
      <c r="C1384" s="82">
        <v>2446</v>
      </c>
      <c r="D1384" s="1594">
        <v>3.49</v>
      </c>
    </row>
    <row r="1385" spans="1:4">
      <c r="A1385" s="615" t="s">
        <v>2748</v>
      </c>
      <c r="B1385" s="909" t="s">
        <v>1663</v>
      </c>
      <c r="C1385" s="82">
        <v>3525</v>
      </c>
      <c r="D1385" s="1594">
        <v>2.1</v>
      </c>
    </row>
    <row r="1386" spans="1:4">
      <c r="A1386" s="615" t="s">
        <v>2768</v>
      </c>
      <c r="B1386" s="909" t="s">
        <v>1664</v>
      </c>
      <c r="C1386" s="82">
        <v>2679</v>
      </c>
      <c r="D1386" s="1594">
        <v>2.1</v>
      </c>
    </row>
    <row r="1387" spans="1:4">
      <c r="A1387" s="615" t="s">
        <v>1221</v>
      </c>
      <c r="B1387" s="909" t="s">
        <v>3750</v>
      </c>
      <c r="C1387" s="82">
        <v>3517</v>
      </c>
      <c r="D1387" s="1594">
        <v>2.1</v>
      </c>
    </row>
    <row r="1388" spans="1:4">
      <c r="A1388" s="615" t="s">
        <v>1339</v>
      </c>
      <c r="B1388" s="909" t="s">
        <v>3751</v>
      </c>
      <c r="C1388" s="82">
        <v>3516</v>
      </c>
      <c r="D1388" s="1594">
        <v>2.1</v>
      </c>
    </row>
    <row r="1389" spans="1:4">
      <c r="A1389" s="615" t="s">
        <v>5196</v>
      </c>
      <c r="B1389" s="909" t="s">
        <v>3752</v>
      </c>
      <c r="C1389" s="82">
        <v>2681</v>
      </c>
      <c r="D1389" s="1594">
        <v>2.1</v>
      </c>
    </row>
    <row r="1390" spans="1:4">
      <c r="A1390" s="615" t="s">
        <v>1642</v>
      </c>
      <c r="B1390" s="909" t="s">
        <v>3753</v>
      </c>
      <c r="C1390" s="82">
        <v>2678</v>
      </c>
      <c r="D1390" s="1594">
        <v>2.1</v>
      </c>
    </row>
    <row r="1391" spans="1:4">
      <c r="A1391" s="615" t="s">
        <v>4097</v>
      </c>
      <c r="B1391" s="909" t="s">
        <v>1302</v>
      </c>
      <c r="C1391" s="82">
        <v>14234</v>
      </c>
      <c r="D1391" s="1594">
        <v>3.5</v>
      </c>
    </row>
    <row r="1392" spans="1:4">
      <c r="A1392" s="615" t="s">
        <v>950</v>
      </c>
      <c r="B1392" s="909" t="s">
        <v>2484</v>
      </c>
      <c r="C1392" s="82">
        <v>2170</v>
      </c>
      <c r="D1392" s="1594">
        <v>3.33</v>
      </c>
    </row>
    <row r="1393" spans="1:4">
      <c r="A1393" s="615" t="s">
        <v>1081</v>
      </c>
      <c r="B1393" s="909" t="s">
        <v>1568</v>
      </c>
      <c r="C1393" s="82">
        <v>2925</v>
      </c>
      <c r="D1393" s="1594">
        <v>3.95</v>
      </c>
    </row>
    <row r="1394" spans="1:4">
      <c r="A1394" s="615" t="s">
        <v>2729</v>
      </c>
      <c r="B1394" s="909" t="s">
        <v>1569</v>
      </c>
      <c r="C1394" s="82">
        <v>14236</v>
      </c>
      <c r="D1394" s="1594">
        <v>4.5</v>
      </c>
    </row>
    <row r="1395" spans="1:4">
      <c r="A1395" s="615" t="s">
        <v>6875</v>
      </c>
      <c r="B1395" s="853" t="s">
        <v>6874</v>
      </c>
      <c r="C1395" s="82">
        <v>14239</v>
      </c>
      <c r="D1395" s="1594">
        <v>2</v>
      </c>
    </row>
    <row r="1396" spans="1:4">
      <c r="A1396" s="615" t="s">
        <v>944</v>
      </c>
      <c r="B1396" s="909" t="s">
        <v>1799</v>
      </c>
      <c r="C1396" s="82">
        <v>3400</v>
      </c>
      <c r="D1396" s="1594">
        <v>2.8</v>
      </c>
    </row>
    <row r="1397" spans="1:4">
      <c r="A1397" s="615" t="s">
        <v>2096</v>
      </c>
      <c r="B1397" s="909" t="s">
        <v>1800</v>
      </c>
      <c r="C1397" s="82">
        <v>3407</v>
      </c>
      <c r="D1397" s="1594">
        <v>2.7</v>
      </c>
    </row>
    <row r="1398" spans="1:4">
      <c r="A1398" s="615" t="s">
        <v>2707</v>
      </c>
      <c r="B1398" s="909" t="s">
        <v>4094</v>
      </c>
      <c r="C1398" s="82">
        <v>3410</v>
      </c>
      <c r="D1398" s="1594">
        <v>2.7</v>
      </c>
    </row>
    <row r="1399" spans="1:4">
      <c r="A1399" s="615" t="s">
        <v>2497</v>
      </c>
      <c r="B1399" s="909" t="s">
        <v>3156</v>
      </c>
      <c r="C1399" s="82">
        <v>3401</v>
      </c>
      <c r="D1399" s="1594">
        <v>2.7</v>
      </c>
    </row>
    <row r="1400" spans="1:4">
      <c r="A1400" s="615" t="s">
        <v>3741</v>
      </c>
      <c r="B1400" s="909" t="s">
        <v>3157</v>
      </c>
      <c r="C1400" s="82">
        <v>2586</v>
      </c>
      <c r="D1400" s="1594">
        <v>2.7</v>
      </c>
    </row>
    <row r="1401" spans="1:4">
      <c r="A1401" s="615" t="s">
        <v>4270</v>
      </c>
      <c r="B1401" s="909" t="s">
        <v>3158</v>
      </c>
      <c r="C1401" s="82">
        <v>3402</v>
      </c>
      <c r="D1401" s="1594">
        <v>3</v>
      </c>
    </row>
    <row r="1402" spans="1:4">
      <c r="A1402" s="615" t="s">
        <v>3282</v>
      </c>
      <c r="B1402" s="909" t="s">
        <v>3159</v>
      </c>
      <c r="C1402" s="82">
        <v>2589</v>
      </c>
      <c r="D1402" s="1594">
        <v>2.7</v>
      </c>
    </row>
    <row r="1403" spans="1:4">
      <c r="A1403" s="615" t="s">
        <v>5195</v>
      </c>
      <c r="B1403" s="909" t="s">
        <v>3160</v>
      </c>
      <c r="C1403" s="82">
        <v>2584</v>
      </c>
      <c r="D1403" s="1594">
        <v>2.7</v>
      </c>
    </row>
    <row r="1404" spans="1:4">
      <c r="A1404" s="615" t="s">
        <v>4495</v>
      </c>
      <c r="B1404" s="909" t="s">
        <v>3161</v>
      </c>
      <c r="C1404" s="82">
        <v>2587</v>
      </c>
      <c r="D1404" s="1594">
        <v>2.7</v>
      </c>
    </row>
    <row r="1405" spans="1:4">
      <c r="A1405" s="615" t="s">
        <v>4880</v>
      </c>
      <c r="B1405" s="909" t="s">
        <v>5057</v>
      </c>
      <c r="C1405" s="82">
        <v>3411</v>
      </c>
      <c r="D1405" s="1594">
        <v>2.7</v>
      </c>
    </row>
    <row r="1406" spans="1:4">
      <c r="A1406" s="615" t="s">
        <v>1547</v>
      </c>
      <c r="B1406" s="909" t="s">
        <v>5058</v>
      </c>
      <c r="C1406" s="82">
        <v>2583</v>
      </c>
      <c r="D1406" s="1594">
        <v>3</v>
      </c>
    </row>
    <row r="1407" spans="1:4">
      <c r="A1407" s="615" t="s">
        <v>3906</v>
      </c>
      <c r="B1407" s="909" t="s">
        <v>5059</v>
      </c>
      <c r="C1407" s="82">
        <v>3405</v>
      </c>
      <c r="D1407" s="1594">
        <v>2.6</v>
      </c>
    </row>
    <row r="1408" spans="1:4">
      <c r="A1408" s="615" t="s">
        <v>4815</v>
      </c>
      <c r="B1408" s="909" t="s">
        <v>2124</v>
      </c>
      <c r="C1408" s="82">
        <v>3413</v>
      </c>
      <c r="D1408" s="1594">
        <v>2.7</v>
      </c>
    </row>
    <row r="1409" spans="1:4">
      <c r="A1409" s="615" t="s">
        <v>2191</v>
      </c>
      <c r="B1409" s="909" t="s">
        <v>2125</v>
      </c>
      <c r="C1409" s="82">
        <v>3412</v>
      </c>
      <c r="D1409" s="1594">
        <v>2.7</v>
      </c>
    </row>
    <row r="1410" spans="1:4">
      <c r="A1410" s="615" t="s">
        <v>4717</v>
      </c>
      <c r="B1410" s="909" t="s">
        <v>2126</v>
      </c>
      <c r="C1410" s="82">
        <v>3414</v>
      </c>
      <c r="D1410" s="1594">
        <v>2.7</v>
      </c>
    </row>
    <row r="1411" spans="1:4">
      <c r="A1411" s="615" t="s">
        <v>3659</v>
      </c>
      <c r="B1411" s="909" t="s">
        <v>2127</v>
      </c>
      <c r="C1411" s="82">
        <v>2590</v>
      </c>
      <c r="D1411" s="1594">
        <v>2.7</v>
      </c>
    </row>
    <row r="1412" spans="1:4">
      <c r="A1412" s="615" t="s">
        <v>4418</v>
      </c>
      <c r="B1412" s="853" t="s">
        <v>6878</v>
      </c>
      <c r="C1412" s="82">
        <v>3403</v>
      </c>
      <c r="D1412" s="1594">
        <v>2</v>
      </c>
    </row>
    <row r="1413" spans="1:4">
      <c r="A1413" s="615" t="s">
        <v>727</v>
      </c>
      <c r="B1413" s="909" t="s">
        <v>2128</v>
      </c>
      <c r="C1413" s="82">
        <v>3408</v>
      </c>
      <c r="D1413" s="1594">
        <v>2.7</v>
      </c>
    </row>
    <row r="1414" spans="1:4">
      <c r="A1414" s="615" t="s">
        <v>4654</v>
      </c>
      <c r="B1414" s="909" t="s">
        <v>2129</v>
      </c>
      <c r="C1414" s="82">
        <v>3409</v>
      </c>
      <c r="D1414" s="1594">
        <v>2.7</v>
      </c>
    </row>
    <row r="1415" spans="1:4">
      <c r="A1415" s="615" t="s">
        <v>4082</v>
      </c>
      <c r="B1415" s="909" t="s">
        <v>2130</v>
      </c>
      <c r="C1415" s="82">
        <v>3399</v>
      </c>
      <c r="D1415" s="1594">
        <v>2.2999999999999998</v>
      </c>
    </row>
    <row r="1416" spans="1:4">
      <c r="A1416" s="615" t="s">
        <v>1644</v>
      </c>
      <c r="B1416" s="909" t="s">
        <v>2131</v>
      </c>
      <c r="C1416" s="82">
        <v>2585</v>
      </c>
      <c r="D1416" s="1594">
        <v>2.7</v>
      </c>
    </row>
    <row r="1417" spans="1:4">
      <c r="A1417" s="615" t="s">
        <v>4033</v>
      </c>
      <c r="B1417" s="909" t="s">
        <v>4034</v>
      </c>
      <c r="C1417" s="82">
        <v>2591</v>
      </c>
      <c r="D1417" s="1594">
        <v>2.7</v>
      </c>
    </row>
    <row r="1418" spans="1:4">
      <c r="A1418" s="615" t="s">
        <v>2666</v>
      </c>
      <c r="B1418" s="909" t="s">
        <v>182</v>
      </c>
      <c r="C1418" s="82">
        <v>3404</v>
      </c>
      <c r="D1418" s="1594">
        <v>2.7</v>
      </c>
    </row>
    <row r="1419" spans="1:4">
      <c r="A1419" s="615" t="s">
        <v>3607</v>
      </c>
      <c r="B1419" s="909" t="s">
        <v>1303</v>
      </c>
      <c r="C1419" s="82">
        <v>18865</v>
      </c>
      <c r="D1419" s="1594">
        <v>3.99</v>
      </c>
    </row>
    <row r="1420" spans="1:4">
      <c r="A1420" s="615" t="s">
        <v>3152</v>
      </c>
      <c r="B1420" s="909" t="s">
        <v>1304</v>
      </c>
      <c r="C1420" s="82">
        <v>3169</v>
      </c>
      <c r="D1420" s="1594">
        <v>3.47</v>
      </c>
    </row>
    <row r="1421" spans="1:4">
      <c r="A1421" s="919" t="s">
        <v>8563</v>
      </c>
      <c r="B1421" s="918" t="s">
        <v>8564</v>
      </c>
      <c r="C1421" s="82">
        <v>19155</v>
      </c>
      <c r="D1421" s="1594">
        <v>2</v>
      </c>
    </row>
    <row r="1422" spans="1:4">
      <c r="A1422" s="615" t="s">
        <v>1403</v>
      </c>
      <c r="B1422" s="909" t="s">
        <v>2794</v>
      </c>
      <c r="C1422" s="82">
        <v>18826</v>
      </c>
      <c r="D1422" s="1594">
        <v>3.33</v>
      </c>
    </row>
    <row r="1423" spans="1:4">
      <c r="A1423" s="615" t="s">
        <v>129</v>
      </c>
      <c r="B1423" s="909" t="s">
        <v>1305</v>
      </c>
      <c r="C1423" s="82">
        <v>2269</v>
      </c>
      <c r="D1423" s="1594">
        <v>3.56</v>
      </c>
    </row>
    <row r="1424" spans="1:4">
      <c r="A1424" s="615" t="s">
        <v>1949</v>
      </c>
      <c r="B1424" s="909" t="s">
        <v>1950</v>
      </c>
      <c r="C1424" s="82">
        <v>14262</v>
      </c>
      <c r="D1424" s="1594">
        <v>4</v>
      </c>
    </row>
    <row r="1425" spans="1:4">
      <c r="A1425" s="615" t="s">
        <v>4239</v>
      </c>
      <c r="B1425" s="909" t="s">
        <v>5101</v>
      </c>
      <c r="C1425" s="82">
        <v>3314</v>
      </c>
      <c r="D1425" s="1594">
        <v>4.09</v>
      </c>
    </row>
    <row r="1426" spans="1:4">
      <c r="A1426" s="615" t="s">
        <v>2576</v>
      </c>
      <c r="B1426" s="909" t="s">
        <v>5102</v>
      </c>
      <c r="C1426" s="82">
        <v>3312</v>
      </c>
      <c r="D1426" s="1594">
        <v>4.0199999999999996</v>
      </c>
    </row>
    <row r="1427" spans="1:4">
      <c r="A1427" s="615" t="s">
        <v>5625</v>
      </c>
      <c r="B1427" s="909" t="s">
        <v>5103</v>
      </c>
      <c r="C1427" s="82">
        <v>3313</v>
      </c>
      <c r="D1427" s="1594">
        <v>3.97</v>
      </c>
    </row>
    <row r="1428" spans="1:4">
      <c r="A1428" s="615" t="s">
        <v>4802</v>
      </c>
      <c r="B1428" s="909" t="s">
        <v>3375</v>
      </c>
      <c r="C1428" s="82">
        <v>3096</v>
      </c>
      <c r="D1428" s="1594">
        <v>3.7</v>
      </c>
    </row>
    <row r="1429" spans="1:4">
      <c r="A1429" s="615" t="s">
        <v>4159</v>
      </c>
      <c r="B1429" s="909" t="s">
        <v>3376</v>
      </c>
      <c r="C1429" s="82">
        <v>2298</v>
      </c>
      <c r="D1429" s="1594">
        <v>4.3499999999999996</v>
      </c>
    </row>
    <row r="1430" spans="1:4">
      <c r="A1430" s="615" t="s">
        <v>2089</v>
      </c>
      <c r="B1430" s="909" t="s">
        <v>3625</v>
      </c>
      <c r="C1430" s="82">
        <v>14264</v>
      </c>
      <c r="D1430" s="1594">
        <v>3.5</v>
      </c>
    </row>
    <row r="1431" spans="1:4">
      <c r="A1431" s="615" t="s">
        <v>5651</v>
      </c>
      <c r="B1431" s="909" t="s">
        <v>2795</v>
      </c>
      <c r="C1431" s="82">
        <v>3063</v>
      </c>
      <c r="D1431" s="1594">
        <v>3.43</v>
      </c>
    </row>
    <row r="1432" spans="1:4">
      <c r="A1432" s="615" t="s">
        <v>5680</v>
      </c>
      <c r="B1432" s="909" t="s">
        <v>2795</v>
      </c>
      <c r="C1432" s="82">
        <v>3064</v>
      </c>
      <c r="D1432" s="1594">
        <v>3.43</v>
      </c>
    </row>
    <row r="1433" spans="1:4">
      <c r="A1433" s="615" t="s">
        <v>3310</v>
      </c>
      <c r="B1433" s="909" t="s">
        <v>2282</v>
      </c>
      <c r="C1433" s="82">
        <v>2273</v>
      </c>
      <c r="D1433" s="1594">
        <v>3.43</v>
      </c>
    </row>
    <row r="1434" spans="1:4">
      <c r="A1434" s="615" t="s">
        <v>1934</v>
      </c>
      <c r="B1434" s="909" t="s">
        <v>1935</v>
      </c>
      <c r="C1434" s="82">
        <v>3233</v>
      </c>
      <c r="D1434" s="1594">
        <v>4.33</v>
      </c>
    </row>
    <row r="1435" spans="1:4">
      <c r="A1435" s="615" t="s">
        <v>5194</v>
      </c>
      <c r="B1435" s="909" t="s">
        <v>981</v>
      </c>
      <c r="C1435" s="82">
        <v>3531</v>
      </c>
      <c r="D1435" s="1594">
        <v>2.1</v>
      </c>
    </row>
    <row r="1436" spans="1:4">
      <c r="A1436" s="615" t="s">
        <v>1552</v>
      </c>
      <c r="B1436" s="909" t="s">
        <v>291</v>
      </c>
      <c r="C1436" s="82">
        <v>2691</v>
      </c>
      <c r="D1436" s="1594">
        <v>2</v>
      </c>
    </row>
    <row r="1437" spans="1:4">
      <c r="A1437" s="615" t="s">
        <v>4136</v>
      </c>
      <c r="B1437" s="909" t="s">
        <v>536</v>
      </c>
      <c r="C1437" s="82">
        <v>14293</v>
      </c>
      <c r="D1437" s="1594">
        <v>4.37</v>
      </c>
    </row>
    <row r="1438" spans="1:4">
      <c r="A1438" s="615" t="s">
        <v>3177</v>
      </c>
      <c r="B1438" s="909" t="s">
        <v>537</v>
      </c>
      <c r="C1438" s="82">
        <v>2000</v>
      </c>
      <c r="D1438" s="1594">
        <v>4.0199999999999996</v>
      </c>
    </row>
    <row r="1439" spans="1:4">
      <c r="A1439" s="615" t="s">
        <v>2597</v>
      </c>
      <c r="B1439" s="909" t="s">
        <v>2283</v>
      </c>
      <c r="C1439" s="82">
        <v>3191</v>
      </c>
      <c r="D1439" s="1594">
        <v>4.5</v>
      </c>
    </row>
    <row r="1440" spans="1:4">
      <c r="A1440" s="615" t="s">
        <v>1514</v>
      </c>
      <c r="B1440" s="909" t="s">
        <v>5593</v>
      </c>
      <c r="C1440" s="82">
        <v>3628</v>
      </c>
      <c r="D1440" s="1594">
        <v>1</v>
      </c>
    </row>
    <row r="1441" spans="1:4">
      <c r="A1441" s="615" t="s">
        <v>6457</v>
      </c>
      <c r="B1441" s="853" t="s">
        <v>6456</v>
      </c>
      <c r="C1441" s="82">
        <v>17311</v>
      </c>
      <c r="D1441" s="1594">
        <v>2</v>
      </c>
    </row>
    <row r="1442" spans="1:4">
      <c r="A1442" s="615" t="s">
        <v>2008</v>
      </c>
      <c r="B1442" s="909" t="s">
        <v>2008</v>
      </c>
      <c r="C1442" s="82"/>
      <c r="D1442" s="1594">
        <v>4</v>
      </c>
    </row>
    <row r="1443" spans="1:4">
      <c r="A1443" s="615" t="s">
        <v>1175</v>
      </c>
      <c r="B1443" s="909" t="s">
        <v>1175</v>
      </c>
      <c r="C1443" s="82"/>
      <c r="D1443" s="1594">
        <v>3.8</v>
      </c>
    </row>
    <row r="1444" spans="1:4">
      <c r="A1444" s="615" t="s">
        <v>1151</v>
      </c>
      <c r="B1444" s="909" t="s">
        <v>1151</v>
      </c>
      <c r="C1444" s="82"/>
      <c r="D1444" s="1594">
        <v>4.3600000000000003</v>
      </c>
    </row>
    <row r="1445" spans="1:4">
      <c r="A1445" s="615" t="s">
        <v>1176</v>
      </c>
      <c r="B1445" s="909" t="s">
        <v>1176</v>
      </c>
      <c r="C1445" s="82"/>
      <c r="D1445" s="1594">
        <v>3.8</v>
      </c>
    </row>
    <row r="1446" spans="1:4">
      <c r="A1446" s="615" t="s">
        <v>1159</v>
      </c>
      <c r="B1446" s="909" t="s">
        <v>1159</v>
      </c>
      <c r="C1446" s="82"/>
      <c r="D1446" s="1594">
        <v>4</v>
      </c>
    </row>
    <row r="1447" spans="1:4">
      <c r="A1447" s="615" t="s">
        <v>1904</v>
      </c>
      <c r="B1447" s="909" t="s">
        <v>1904</v>
      </c>
      <c r="C1447" s="82"/>
      <c r="D1447" s="1594">
        <v>4</v>
      </c>
    </row>
    <row r="1448" spans="1:4">
      <c r="A1448" s="615" t="s">
        <v>1150</v>
      </c>
      <c r="B1448" s="909" t="s">
        <v>1150</v>
      </c>
      <c r="C1448" s="82"/>
      <c r="D1448" s="1594">
        <v>4.5</v>
      </c>
    </row>
    <row r="1449" spans="1:4">
      <c r="A1449" s="615" t="s">
        <v>1149</v>
      </c>
      <c r="B1449" s="909" t="s">
        <v>1149</v>
      </c>
      <c r="C1449" s="82"/>
      <c r="D1449" s="1594">
        <v>4.5</v>
      </c>
    </row>
    <row r="1450" spans="1:4">
      <c r="A1450" s="615" t="s">
        <v>4336</v>
      </c>
      <c r="B1450" s="909" t="s">
        <v>4336</v>
      </c>
      <c r="C1450" s="82"/>
      <c r="D1450" s="1594">
        <v>4.1533011003667903</v>
      </c>
    </row>
    <row r="1451" spans="1:4">
      <c r="A1451" s="615" t="s">
        <v>2007</v>
      </c>
      <c r="B1451" s="909" t="s">
        <v>2007</v>
      </c>
      <c r="C1451" s="82"/>
      <c r="D1451" s="1594">
        <v>4.1533011003667903</v>
      </c>
    </row>
    <row r="1452" spans="1:4">
      <c r="A1452" s="615" t="s">
        <v>2016</v>
      </c>
      <c r="B1452" s="909" t="s">
        <v>2016</v>
      </c>
      <c r="C1452" s="82"/>
      <c r="D1452" s="1594">
        <v>4.5</v>
      </c>
    </row>
    <row r="1453" spans="1:4">
      <c r="A1453" s="615" t="s">
        <v>6811</v>
      </c>
      <c r="B1453" s="853" t="s">
        <v>6810</v>
      </c>
      <c r="C1453" s="82">
        <v>14333</v>
      </c>
      <c r="D1453" s="1594">
        <v>4.2</v>
      </c>
    </row>
    <row r="1454" spans="1:4">
      <c r="A1454" s="615" t="s">
        <v>68</v>
      </c>
      <c r="B1454" s="909" t="s">
        <v>1936</v>
      </c>
      <c r="C1454" s="82">
        <v>2223</v>
      </c>
      <c r="D1454" s="1594">
        <v>3.73</v>
      </c>
    </row>
    <row r="1455" spans="1:4">
      <c r="A1455" s="615" t="s">
        <v>6682</v>
      </c>
      <c r="B1455" s="853" t="s">
        <v>6681</v>
      </c>
      <c r="C1455" s="82">
        <v>14343</v>
      </c>
      <c r="D1455" s="1594">
        <v>2</v>
      </c>
    </row>
    <row r="1456" spans="1:4">
      <c r="A1456" s="615" t="s">
        <v>3486</v>
      </c>
      <c r="B1456" s="909" t="s">
        <v>1937</v>
      </c>
      <c r="C1456" s="82">
        <v>2224</v>
      </c>
      <c r="D1456" s="1594">
        <v>4.26</v>
      </c>
    </row>
    <row r="1457" spans="1:4">
      <c r="A1457" s="615" t="s">
        <v>2219</v>
      </c>
      <c r="B1457" s="909" t="s">
        <v>4152</v>
      </c>
      <c r="C1457" s="82">
        <v>2222</v>
      </c>
      <c r="D1457" s="1594">
        <v>3.72</v>
      </c>
    </row>
    <row r="1458" spans="1:4">
      <c r="A1458" s="615" t="s">
        <v>709</v>
      </c>
      <c r="B1458" s="909" t="s">
        <v>2880</v>
      </c>
      <c r="C1458" s="82">
        <v>6275</v>
      </c>
      <c r="D1458" s="1594">
        <v>1</v>
      </c>
    </row>
    <row r="1459" spans="1:4">
      <c r="A1459" s="615" t="s">
        <v>1190</v>
      </c>
      <c r="B1459" s="909" t="s">
        <v>1190</v>
      </c>
      <c r="C1459" s="82"/>
      <c r="D1459" s="1594">
        <v>4.49</v>
      </c>
    </row>
    <row r="1460" spans="1:4">
      <c r="A1460" s="615" t="s">
        <v>2382</v>
      </c>
      <c r="B1460" s="909" t="s">
        <v>651</v>
      </c>
      <c r="C1460" s="82">
        <v>2150</v>
      </c>
      <c r="D1460" s="1594">
        <v>2.52</v>
      </c>
    </row>
    <row r="1461" spans="1:4">
      <c r="A1461" s="919" t="s">
        <v>8565</v>
      </c>
      <c r="B1461" s="918" t="s">
        <v>8566</v>
      </c>
      <c r="C1461" s="82">
        <v>14365</v>
      </c>
      <c r="D1461" s="1594">
        <v>3.4</v>
      </c>
    </row>
    <row r="1462" spans="1:4">
      <c r="A1462" s="615" t="s">
        <v>6787</v>
      </c>
      <c r="B1462" s="853" t="s">
        <v>6786</v>
      </c>
      <c r="C1462" s="82">
        <v>14372</v>
      </c>
      <c r="D1462" s="1594">
        <v>2</v>
      </c>
    </row>
    <row r="1463" spans="1:4">
      <c r="A1463" s="615" t="s">
        <v>6487</v>
      </c>
      <c r="B1463" s="853" t="s">
        <v>6486</v>
      </c>
      <c r="C1463" s="82">
        <v>14379</v>
      </c>
      <c r="D1463" s="1594">
        <v>2</v>
      </c>
    </row>
    <row r="1464" spans="1:4">
      <c r="A1464" s="615" t="s">
        <v>6528</v>
      </c>
      <c r="B1464" s="853" t="s">
        <v>6527</v>
      </c>
      <c r="C1464" s="82">
        <v>19409</v>
      </c>
      <c r="D1464" s="1594">
        <v>2</v>
      </c>
    </row>
    <row r="1465" spans="1:4">
      <c r="A1465" s="615" t="s">
        <v>4716</v>
      </c>
      <c r="B1465" s="909" t="s">
        <v>4080</v>
      </c>
      <c r="C1465" s="82">
        <v>17260</v>
      </c>
      <c r="D1465" s="1594">
        <v>2.0617598316454031</v>
      </c>
    </row>
    <row r="1466" spans="1:4">
      <c r="A1466" s="615" t="s">
        <v>4648</v>
      </c>
      <c r="B1466" s="909" t="s">
        <v>3754</v>
      </c>
      <c r="C1466" s="82">
        <v>3519</v>
      </c>
      <c r="D1466" s="1594">
        <v>2.1</v>
      </c>
    </row>
    <row r="1467" spans="1:4">
      <c r="A1467" s="615" t="s">
        <v>4009</v>
      </c>
      <c r="B1467" s="909" t="s">
        <v>4010</v>
      </c>
      <c r="C1467" s="82">
        <v>18561</v>
      </c>
      <c r="D1467" s="1594">
        <v>3.4</v>
      </c>
    </row>
    <row r="1468" spans="1:4">
      <c r="A1468" s="615" t="s">
        <v>3516</v>
      </c>
      <c r="B1468" s="909" t="s">
        <v>3517</v>
      </c>
      <c r="C1468" s="82">
        <v>14391</v>
      </c>
      <c r="D1468" s="1594">
        <v>4.3499999999999996</v>
      </c>
    </row>
    <row r="1469" spans="1:4">
      <c r="A1469" s="615" t="s">
        <v>3429</v>
      </c>
      <c r="B1469" s="909" t="s">
        <v>4091</v>
      </c>
      <c r="C1469" s="82">
        <v>3642</v>
      </c>
      <c r="D1469" s="1594">
        <v>1</v>
      </c>
    </row>
    <row r="1470" spans="1:4">
      <c r="A1470" s="615" t="s">
        <v>835</v>
      </c>
      <c r="B1470" s="909" t="s">
        <v>2284</v>
      </c>
      <c r="C1470" s="82">
        <v>2406</v>
      </c>
      <c r="D1470" s="1594">
        <v>3.64</v>
      </c>
    </row>
    <row r="1471" spans="1:4">
      <c r="A1471" s="615" t="s">
        <v>3285</v>
      </c>
      <c r="B1471" s="909" t="s">
        <v>4746</v>
      </c>
      <c r="C1471" s="82">
        <v>2550</v>
      </c>
      <c r="D1471" s="1594">
        <v>3.19</v>
      </c>
    </row>
    <row r="1472" spans="1:4">
      <c r="A1472" s="615" t="s">
        <v>5388</v>
      </c>
      <c r="B1472" s="909" t="s">
        <v>4747</v>
      </c>
      <c r="C1472" s="82">
        <v>18727</v>
      </c>
      <c r="D1472" s="1594">
        <v>3.32</v>
      </c>
    </row>
    <row r="1473" spans="1:4">
      <c r="A1473" s="615" t="s">
        <v>5537</v>
      </c>
      <c r="B1473" s="909" t="s">
        <v>1703</v>
      </c>
      <c r="C1473" s="82">
        <v>3342</v>
      </c>
      <c r="D1473" s="1594">
        <v>3.9</v>
      </c>
    </row>
    <row r="1474" spans="1:4">
      <c r="A1474" s="615" t="s">
        <v>3606</v>
      </c>
      <c r="B1474" s="909" t="s">
        <v>1704</v>
      </c>
      <c r="C1474" s="82">
        <v>2535</v>
      </c>
      <c r="D1474" s="1594">
        <v>3.6</v>
      </c>
    </row>
    <row r="1475" spans="1:4">
      <c r="A1475" s="615" t="s">
        <v>6803</v>
      </c>
      <c r="B1475" s="853" t="s">
        <v>6802</v>
      </c>
      <c r="C1475" s="82">
        <v>14405</v>
      </c>
      <c r="D1475" s="1594">
        <v>3</v>
      </c>
    </row>
    <row r="1476" spans="1:4">
      <c r="A1476" s="615" t="s">
        <v>3062</v>
      </c>
      <c r="B1476" s="909" t="s">
        <v>1343</v>
      </c>
      <c r="C1476" s="82">
        <v>2124</v>
      </c>
      <c r="D1476" s="1594">
        <v>3</v>
      </c>
    </row>
    <row r="1477" spans="1:4">
      <c r="A1477" s="615" t="s">
        <v>3897</v>
      </c>
      <c r="B1477" s="909" t="s">
        <v>2629</v>
      </c>
      <c r="C1477" s="82">
        <v>18951</v>
      </c>
      <c r="D1477" s="1594">
        <v>3.99</v>
      </c>
    </row>
    <row r="1478" spans="1:4">
      <c r="A1478" s="615" t="s">
        <v>2945</v>
      </c>
      <c r="B1478" s="909" t="s">
        <v>3300</v>
      </c>
      <c r="C1478" s="82">
        <v>3144</v>
      </c>
      <c r="D1478" s="1594">
        <v>3.69</v>
      </c>
    </row>
    <row r="1479" spans="1:4">
      <c r="A1479" s="615" t="s">
        <v>2850</v>
      </c>
      <c r="B1479" s="909" t="s">
        <v>3301</v>
      </c>
      <c r="C1479" s="82">
        <v>3145</v>
      </c>
      <c r="D1479" s="1594">
        <v>3.49</v>
      </c>
    </row>
    <row r="1480" spans="1:4">
      <c r="A1480" s="615" t="s">
        <v>4327</v>
      </c>
      <c r="B1480" s="909" t="s">
        <v>3302</v>
      </c>
      <c r="C1480" s="82">
        <v>14425</v>
      </c>
      <c r="D1480" s="1594">
        <v>3.48</v>
      </c>
    </row>
    <row r="1481" spans="1:4">
      <c r="A1481" s="615" t="s">
        <v>2331</v>
      </c>
      <c r="B1481" s="909" t="s">
        <v>3303</v>
      </c>
      <c r="C1481" s="82">
        <v>14426</v>
      </c>
      <c r="D1481" s="1594">
        <v>3.82</v>
      </c>
    </row>
    <row r="1482" spans="1:4">
      <c r="A1482" s="615" t="s">
        <v>4320</v>
      </c>
      <c r="B1482" s="909" t="s">
        <v>4321</v>
      </c>
      <c r="C1482" s="82">
        <v>18952</v>
      </c>
      <c r="D1482" s="1594">
        <v>3.99</v>
      </c>
    </row>
    <row r="1483" spans="1:4">
      <c r="A1483" s="615" t="s">
        <v>5151</v>
      </c>
      <c r="B1483" s="909" t="s">
        <v>5152</v>
      </c>
      <c r="C1483" s="82">
        <v>19138</v>
      </c>
      <c r="D1483" s="1594">
        <v>3.74</v>
      </c>
    </row>
    <row r="1484" spans="1:4">
      <c r="A1484" s="615" t="s">
        <v>5405</v>
      </c>
      <c r="B1484" s="909" t="s">
        <v>3304</v>
      </c>
      <c r="C1484" s="82">
        <v>14431</v>
      </c>
      <c r="D1484" s="1594">
        <v>4.5</v>
      </c>
    </row>
    <row r="1485" spans="1:4">
      <c r="A1485" s="615" t="s">
        <v>306</v>
      </c>
      <c r="B1485" s="909" t="s">
        <v>307</v>
      </c>
      <c r="C1485" s="82">
        <v>14433</v>
      </c>
      <c r="D1485" s="1594">
        <v>4.49</v>
      </c>
    </row>
    <row r="1486" spans="1:4">
      <c r="A1486" s="615" t="s">
        <v>3470</v>
      </c>
      <c r="B1486" s="909" t="s">
        <v>3305</v>
      </c>
      <c r="C1486" s="82">
        <v>14434</v>
      </c>
      <c r="D1486" s="1594">
        <v>4.28</v>
      </c>
    </row>
    <row r="1487" spans="1:4">
      <c r="A1487" s="615" t="s">
        <v>3667</v>
      </c>
      <c r="B1487" s="909" t="s">
        <v>183</v>
      </c>
      <c r="C1487" s="82">
        <v>3437</v>
      </c>
      <c r="D1487" s="1594">
        <v>2.2000000000000002</v>
      </c>
    </row>
    <row r="1488" spans="1:4">
      <c r="A1488" s="615" t="s">
        <v>885</v>
      </c>
      <c r="B1488" s="909" t="s">
        <v>184</v>
      </c>
      <c r="C1488" s="82">
        <v>2611</v>
      </c>
      <c r="D1488" s="1594">
        <v>2.2000000000000002</v>
      </c>
    </row>
    <row r="1489" spans="1:4">
      <c r="A1489" s="615" t="s">
        <v>6613</v>
      </c>
      <c r="B1489" s="853" t="s">
        <v>6612</v>
      </c>
      <c r="C1489" s="82">
        <v>16521</v>
      </c>
      <c r="D1489" s="1594">
        <v>2</v>
      </c>
    </row>
    <row r="1490" spans="1:4">
      <c r="A1490" s="615" t="s">
        <v>3493</v>
      </c>
      <c r="B1490" s="909" t="s">
        <v>107</v>
      </c>
      <c r="C1490" s="82">
        <v>3421</v>
      </c>
      <c r="D1490" s="1594">
        <v>2.2999999999999998</v>
      </c>
    </row>
    <row r="1491" spans="1:4">
      <c r="A1491" s="615" t="s">
        <v>2103</v>
      </c>
      <c r="B1491" s="909" t="s">
        <v>3306</v>
      </c>
      <c r="C1491" s="82">
        <v>3244</v>
      </c>
      <c r="D1491" s="1594">
        <v>3</v>
      </c>
    </row>
    <row r="1492" spans="1:4">
      <c r="A1492" s="615" t="s">
        <v>3047</v>
      </c>
      <c r="B1492" s="909" t="s">
        <v>5380</v>
      </c>
      <c r="C1492" s="82">
        <v>2534</v>
      </c>
      <c r="D1492" s="1594">
        <v>3.58</v>
      </c>
    </row>
    <row r="1493" spans="1:4">
      <c r="A1493" s="615" t="s">
        <v>3477</v>
      </c>
      <c r="B1493" s="909" t="s">
        <v>5381</v>
      </c>
      <c r="C1493" s="82">
        <v>14439</v>
      </c>
      <c r="D1493" s="1594">
        <v>3.33</v>
      </c>
    </row>
    <row r="1494" spans="1:4">
      <c r="A1494" s="615" t="s">
        <v>1544</v>
      </c>
      <c r="B1494" s="909" t="s">
        <v>5578</v>
      </c>
      <c r="C1494" s="82">
        <v>16599</v>
      </c>
      <c r="D1494" s="1594">
        <v>2.0935528537656198</v>
      </c>
    </row>
    <row r="1495" spans="1:4">
      <c r="A1495" s="615" t="s">
        <v>5077</v>
      </c>
      <c r="B1495" s="909" t="s">
        <v>3960</v>
      </c>
      <c r="C1495" s="82">
        <v>16853</v>
      </c>
      <c r="D1495" s="1594">
        <v>2.0935528537656198</v>
      </c>
    </row>
    <row r="1496" spans="1:4">
      <c r="A1496" s="615" t="s">
        <v>4789</v>
      </c>
      <c r="B1496" s="909" t="s">
        <v>4748</v>
      </c>
      <c r="C1496" s="82">
        <v>3354</v>
      </c>
      <c r="D1496" s="1594">
        <v>3.26</v>
      </c>
    </row>
    <row r="1497" spans="1:4">
      <c r="A1497" s="615" t="s">
        <v>2723</v>
      </c>
      <c r="B1497" s="909" t="s">
        <v>4749</v>
      </c>
      <c r="C1497" s="82">
        <v>2543</v>
      </c>
      <c r="D1497" s="1594">
        <v>3.1</v>
      </c>
    </row>
    <row r="1498" spans="1:4">
      <c r="A1498" s="615" t="s">
        <v>3774</v>
      </c>
      <c r="B1498" s="909" t="s">
        <v>4750</v>
      </c>
      <c r="C1498" s="82">
        <v>3355</v>
      </c>
      <c r="D1498" s="1594">
        <v>3.39</v>
      </c>
    </row>
    <row r="1499" spans="1:4">
      <c r="A1499" s="615" t="s">
        <v>4005</v>
      </c>
      <c r="B1499" s="909" t="s">
        <v>4006</v>
      </c>
      <c r="C1499" s="82">
        <v>3352</v>
      </c>
      <c r="D1499" s="1594">
        <v>3.37</v>
      </c>
    </row>
    <row r="1500" spans="1:4">
      <c r="A1500" s="615" t="s">
        <v>4885</v>
      </c>
      <c r="B1500" s="909" t="s">
        <v>189</v>
      </c>
      <c r="C1500" s="82">
        <v>3345</v>
      </c>
      <c r="D1500" s="1594">
        <v>3.51</v>
      </c>
    </row>
    <row r="1501" spans="1:4">
      <c r="A1501" s="615" t="s">
        <v>62</v>
      </c>
      <c r="B1501" s="909" t="s">
        <v>190</v>
      </c>
      <c r="C1501" s="82">
        <v>14449</v>
      </c>
      <c r="D1501" s="1594">
        <v>3.85</v>
      </c>
    </row>
    <row r="1502" spans="1:4">
      <c r="A1502" s="615" t="s">
        <v>1080</v>
      </c>
      <c r="B1502" s="909" t="s">
        <v>5382</v>
      </c>
      <c r="C1502" s="82">
        <v>2183</v>
      </c>
      <c r="D1502" s="1594">
        <v>3.68</v>
      </c>
    </row>
    <row r="1503" spans="1:4">
      <c r="A1503" s="615" t="s">
        <v>1930</v>
      </c>
      <c r="B1503" s="909" t="s">
        <v>5383</v>
      </c>
      <c r="C1503" s="82">
        <v>3161</v>
      </c>
      <c r="D1503" s="1594">
        <v>3.89</v>
      </c>
    </row>
    <row r="1504" spans="1:4">
      <c r="A1504" s="615" t="s">
        <v>5681</v>
      </c>
      <c r="B1504" s="909" t="s">
        <v>5682</v>
      </c>
      <c r="C1504" s="82">
        <v>2454</v>
      </c>
      <c r="D1504" s="1594">
        <v>3.29</v>
      </c>
    </row>
    <row r="1505" spans="1:4">
      <c r="A1505" s="615" t="s">
        <v>198</v>
      </c>
      <c r="B1505" s="909" t="s">
        <v>4153</v>
      </c>
      <c r="C1505" s="82">
        <v>2232</v>
      </c>
      <c r="D1505" s="1594">
        <v>4.1500000000000004</v>
      </c>
    </row>
    <row r="1506" spans="1:4">
      <c r="A1506" s="615" t="s">
        <v>3188</v>
      </c>
      <c r="B1506" s="909" t="s">
        <v>4154</v>
      </c>
      <c r="C1506" s="82">
        <v>3016</v>
      </c>
      <c r="D1506" s="1594">
        <v>4.38</v>
      </c>
    </row>
    <row r="1507" spans="1:4">
      <c r="A1507" s="615" t="s">
        <v>2604</v>
      </c>
      <c r="B1507" s="853" t="s">
        <v>6449</v>
      </c>
      <c r="C1507" s="82">
        <v>2577</v>
      </c>
      <c r="D1507" s="1594">
        <v>2</v>
      </c>
    </row>
    <row r="1508" spans="1:4">
      <c r="A1508" s="919" t="s">
        <v>8567</v>
      </c>
      <c r="B1508" s="918" t="s">
        <v>8568</v>
      </c>
      <c r="C1508" s="82">
        <v>19349</v>
      </c>
      <c r="D1508" s="1594">
        <v>2.61</v>
      </c>
    </row>
    <row r="1509" spans="1:4">
      <c r="A1509" s="615" t="s">
        <v>2476</v>
      </c>
      <c r="B1509" s="909" t="s">
        <v>1361</v>
      </c>
      <c r="C1509" s="82">
        <v>2765</v>
      </c>
      <c r="D1509" s="1594">
        <v>2.2999999999999998</v>
      </c>
    </row>
    <row r="1510" spans="1:4">
      <c r="A1510" s="615" t="s">
        <v>126</v>
      </c>
      <c r="B1510" s="909" t="s">
        <v>5384</v>
      </c>
      <c r="C1510" s="82">
        <v>2266</v>
      </c>
      <c r="D1510" s="1594">
        <v>4.01</v>
      </c>
    </row>
    <row r="1511" spans="1:4">
      <c r="A1511" s="615" t="s">
        <v>5149</v>
      </c>
      <c r="B1511" s="909" t="s">
        <v>5150</v>
      </c>
      <c r="C1511" s="82">
        <v>18872</v>
      </c>
      <c r="D1511" s="1594">
        <v>4.2</v>
      </c>
    </row>
    <row r="1512" spans="1:4">
      <c r="A1512" s="615" t="s">
        <v>4283</v>
      </c>
      <c r="B1512" s="909" t="s">
        <v>5385</v>
      </c>
      <c r="C1512" s="82">
        <v>2265</v>
      </c>
      <c r="D1512" s="1594">
        <v>3.67</v>
      </c>
    </row>
    <row r="1513" spans="1:4">
      <c r="A1513" s="615" t="s">
        <v>2365</v>
      </c>
      <c r="B1513" s="909" t="s">
        <v>1130</v>
      </c>
      <c r="C1513" s="82">
        <v>2880</v>
      </c>
      <c r="D1513" s="1594">
        <v>3</v>
      </c>
    </row>
    <row r="1514" spans="1:4">
      <c r="A1514" s="615" t="s">
        <v>4229</v>
      </c>
      <c r="B1514" s="909" t="s">
        <v>2796</v>
      </c>
      <c r="C1514" s="82">
        <v>3077</v>
      </c>
      <c r="D1514" s="1594">
        <v>4.1399999999999997</v>
      </c>
    </row>
    <row r="1515" spans="1:4">
      <c r="A1515" s="615" t="s">
        <v>2407</v>
      </c>
      <c r="B1515" s="909" t="s">
        <v>2797</v>
      </c>
      <c r="C1515" s="82">
        <v>3078</v>
      </c>
      <c r="D1515" s="1594">
        <v>4.45</v>
      </c>
    </row>
    <row r="1516" spans="1:4">
      <c r="A1516" s="615" t="s">
        <v>840</v>
      </c>
      <c r="B1516" s="909" t="s">
        <v>5386</v>
      </c>
      <c r="C1516" s="82">
        <v>2426</v>
      </c>
      <c r="D1516" s="1594">
        <v>2.8</v>
      </c>
    </row>
    <row r="1517" spans="1:4">
      <c r="A1517" s="615" t="s">
        <v>4781</v>
      </c>
      <c r="B1517" s="909" t="s">
        <v>99</v>
      </c>
      <c r="C1517" s="82">
        <v>18974</v>
      </c>
      <c r="D1517" s="1594">
        <v>2.67</v>
      </c>
    </row>
    <row r="1518" spans="1:4">
      <c r="A1518" s="615" t="s">
        <v>1772</v>
      </c>
      <c r="B1518" s="909" t="s">
        <v>100</v>
      </c>
      <c r="C1518" s="82">
        <v>2340</v>
      </c>
      <c r="D1518" s="1594">
        <v>3.42</v>
      </c>
    </row>
    <row r="1519" spans="1:4">
      <c r="A1519" s="615" t="s">
        <v>3483</v>
      </c>
      <c r="B1519" s="909" t="s">
        <v>1857</v>
      </c>
      <c r="C1519" s="82">
        <v>3146</v>
      </c>
      <c r="D1519" s="1594">
        <v>3.8</v>
      </c>
    </row>
    <row r="1520" spans="1:4">
      <c r="A1520" s="615" t="s">
        <v>4642</v>
      </c>
      <c r="B1520" s="909" t="s">
        <v>1858</v>
      </c>
      <c r="C1520" s="82">
        <v>2341</v>
      </c>
      <c r="D1520" s="1594">
        <v>3.33</v>
      </c>
    </row>
    <row r="1521" spans="1:4">
      <c r="A1521" s="615" t="s">
        <v>4730</v>
      </c>
      <c r="B1521" s="909" t="s">
        <v>1859</v>
      </c>
      <c r="C1521" s="82">
        <v>18668</v>
      </c>
      <c r="D1521" s="1594">
        <v>3.46</v>
      </c>
    </row>
    <row r="1522" spans="1:4">
      <c r="A1522" s="919" t="s">
        <v>8569</v>
      </c>
      <c r="B1522" s="918" t="s">
        <v>8570</v>
      </c>
      <c r="C1522" s="82">
        <v>14512</v>
      </c>
      <c r="D1522" s="1594">
        <v>3.3</v>
      </c>
    </row>
    <row r="1523" spans="1:4">
      <c r="A1523" s="615" t="s">
        <v>4324</v>
      </c>
      <c r="B1523" s="909" t="s">
        <v>1860</v>
      </c>
      <c r="C1523" s="82">
        <v>14513</v>
      </c>
      <c r="D1523" s="1594">
        <v>4.0199999999999996</v>
      </c>
    </row>
    <row r="1524" spans="1:4">
      <c r="A1524" s="615" t="s">
        <v>3987</v>
      </c>
      <c r="B1524" s="909" t="s">
        <v>5104</v>
      </c>
      <c r="C1524" s="82">
        <v>3102</v>
      </c>
      <c r="D1524" s="1594">
        <v>4.5</v>
      </c>
    </row>
    <row r="1525" spans="1:4">
      <c r="A1525" s="615" t="s">
        <v>6546</v>
      </c>
      <c r="B1525" s="853" t="s">
        <v>6545</v>
      </c>
      <c r="C1525" s="82">
        <v>6513</v>
      </c>
      <c r="D1525" s="1594">
        <v>3.3</v>
      </c>
    </row>
    <row r="1526" spans="1:4">
      <c r="A1526" s="615" t="s">
        <v>2069</v>
      </c>
      <c r="B1526" s="909" t="s">
        <v>2070</v>
      </c>
      <c r="C1526" s="82">
        <v>3333</v>
      </c>
      <c r="D1526" s="1594">
        <v>4.05</v>
      </c>
    </row>
    <row r="1527" spans="1:4">
      <c r="A1527" s="615" t="s">
        <v>873</v>
      </c>
      <c r="B1527" s="909" t="s">
        <v>873</v>
      </c>
      <c r="C1527" s="82"/>
      <c r="D1527" s="1594">
        <v>4.5</v>
      </c>
    </row>
    <row r="1528" spans="1:4">
      <c r="A1528" s="615" t="s">
        <v>1450</v>
      </c>
      <c r="B1528" s="909" t="s">
        <v>2881</v>
      </c>
      <c r="C1528" s="82">
        <v>3638</v>
      </c>
      <c r="D1528" s="1594">
        <v>1</v>
      </c>
    </row>
    <row r="1529" spans="1:4">
      <c r="A1529" s="615" t="s">
        <v>5329</v>
      </c>
      <c r="B1529" s="909" t="s">
        <v>1795</v>
      </c>
      <c r="C1529" s="82">
        <v>2790</v>
      </c>
      <c r="D1529" s="1594">
        <v>1</v>
      </c>
    </row>
    <row r="1530" spans="1:4">
      <c r="A1530" s="615" t="s">
        <v>24</v>
      </c>
      <c r="B1530" s="909" t="s">
        <v>175</v>
      </c>
      <c r="C1530" s="82">
        <v>2629</v>
      </c>
      <c r="D1530" s="1594">
        <v>3</v>
      </c>
    </row>
    <row r="1531" spans="1:4">
      <c r="A1531" s="615" t="s">
        <v>3057</v>
      </c>
      <c r="B1531" s="909" t="s">
        <v>176</v>
      </c>
      <c r="C1531" s="82">
        <v>3465</v>
      </c>
      <c r="D1531" s="1594">
        <v>2.5</v>
      </c>
    </row>
    <row r="1532" spans="1:4">
      <c r="A1532" s="615" t="s">
        <v>1071</v>
      </c>
      <c r="B1532" s="909" t="s">
        <v>177</v>
      </c>
      <c r="C1532" s="82">
        <v>2630</v>
      </c>
      <c r="D1532" s="1594">
        <v>2.6</v>
      </c>
    </row>
    <row r="1533" spans="1:4">
      <c r="A1533" s="919" t="s">
        <v>8571</v>
      </c>
      <c r="B1533" s="918" t="s">
        <v>8572</v>
      </c>
      <c r="C1533" s="82">
        <v>6791</v>
      </c>
      <c r="D1533" s="1594">
        <v>3.2</v>
      </c>
    </row>
    <row r="1534" spans="1:4">
      <c r="A1534" s="615" t="s">
        <v>4720</v>
      </c>
      <c r="B1534" s="909" t="s">
        <v>4797</v>
      </c>
      <c r="C1534" s="82">
        <v>3091</v>
      </c>
      <c r="D1534" s="1594">
        <v>4.1100000000000003</v>
      </c>
    </row>
    <row r="1535" spans="1:4">
      <c r="A1535" s="615" t="s">
        <v>5175</v>
      </c>
      <c r="B1535" s="909" t="s">
        <v>4798</v>
      </c>
      <c r="C1535" s="82">
        <v>2295</v>
      </c>
      <c r="D1535" s="1594">
        <v>3.88</v>
      </c>
    </row>
    <row r="1536" spans="1:4">
      <c r="A1536" s="615" t="s">
        <v>123</v>
      </c>
      <c r="B1536" s="909" t="s">
        <v>5075</v>
      </c>
      <c r="C1536" s="82">
        <v>2018</v>
      </c>
      <c r="D1536" s="1594">
        <v>4.24</v>
      </c>
    </row>
    <row r="1537" spans="1:4">
      <c r="A1537" s="615" t="s">
        <v>1924</v>
      </c>
      <c r="B1537" s="909" t="s">
        <v>2798</v>
      </c>
      <c r="C1537" s="82">
        <v>3338</v>
      </c>
      <c r="D1537" s="1594">
        <v>3.83</v>
      </c>
    </row>
    <row r="1538" spans="1:4">
      <c r="A1538" s="615" t="s">
        <v>2097</v>
      </c>
      <c r="B1538" s="909" t="s">
        <v>5087</v>
      </c>
      <c r="C1538" s="82">
        <v>2050</v>
      </c>
      <c r="D1538" s="1594">
        <v>4.0599999999999996</v>
      </c>
    </row>
    <row r="1539" spans="1:4">
      <c r="A1539" s="615" t="s">
        <v>1766</v>
      </c>
      <c r="B1539" s="909" t="s">
        <v>5088</v>
      </c>
      <c r="C1539" s="82">
        <v>18780</v>
      </c>
      <c r="D1539" s="1594">
        <v>3.97</v>
      </c>
    </row>
    <row r="1540" spans="1:4">
      <c r="A1540" s="919" t="s">
        <v>8573</v>
      </c>
      <c r="B1540" s="918" t="s">
        <v>8574</v>
      </c>
      <c r="C1540" s="82">
        <v>14568</v>
      </c>
      <c r="D1540" s="1594">
        <v>3.9</v>
      </c>
    </row>
    <row r="1541" spans="1:4">
      <c r="A1541" s="919" t="s">
        <v>8575</v>
      </c>
      <c r="B1541" s="918" t="s">
        <v>8576</v>
      </c>
      <c r="C1541" s="82">
        <v>20408</v>
      </c>
      <c r="D1541" s="1594">
        <v>3.9</v>
      </c>
    </row>
    <row r="1542" spans="1:4">
      <c r="A1542" s="615" t="s">
        <v>304</v>
      </c>
      <c r="B1542" s="909" t="s">
        <v>305</v>
      </c>
      <c r="C1542" s="82">
        <v>19037</v>
      </c>
      <c r="D1542" s="1594">
        <v>3.84</v>
      </c>
    </row>
    <row r="1543" spans="1:4">
      <c r="A1543" s="615" t="s">
        <v>3307</v>
      </c>
      <c r="B1543" s="909" t="s">
        <v>3308</v>
      </c>
      <c r="C1543" s="82">
        <v>14579</v>
      </c>
      <c r="D1543" s="1594">
        <v>3.14</v>
      </c>
    </row>
    <row r="1544" spans="1:4">
      <c r="A1544" s="615" t="s">
        <v>3848</v>
      </c>
      <c r="B1544" s="909" t="s">
        <v>5317</v>
      </c>
      <c r="C1544" s="82">
        <v>3454</v>
      </c>
      <c r="D1544" s="1594">
        <v>2.2000000000000002</v>
      </c>
    </row>
    <row r="1545" spans="1:4">
      <c r="A1545" s="615" t="s">
        <v>6902</v>
      </c>
      <c r="B1545" s="853" t="s">
        <v>6901</v>
      </c>
      <c r="C1545" s="82">
        <v>2951</v>
      </c>
      <c r="D1545" s="1594">
        <v>2.2000000000000002</v>
      </c>
    </row>
    <row r="1546" spans="1:4">
      <c r="A1546" s="615" t="s">
        <v>5604</v>
      </c>
      <c r="B1546" s="909" t="s">
        <v>652</v>
      </c>
      <c r="C1546" s="82">
        <v>2952</v>
      </c>
      <c r="D1546" s="1594">
        <v>2</v>
      </c>
    </row>
    <row r="1547" spans="1:4">
      <c r="A1547" s="615" t="s">
        <v>3298</v>
      </c>
      <c r="B1547" s="909" t="s">
        <v>653</v>
      </c>
      <c r="C1547" s="82">
        <v>2146</v>
      </c>
      <c r="D1547" s="1594">
        <v>2.09</v>
      </c>
    </row>
    <row r="1548" spans="1:4">
      <c r="A1548" s="919" t="s">
        <v>8577</v>
      </c>
      <c r="B1548" s="918" t="s">
        <v>8578</v>
      </c>
      <c r="C1548" s="82">
        <v>16089</v>
      </c>
      <c r="D1548" s="1594">
        <v>3.2</v>
      </c>
    </row>
    <row r="1549" spans="1:4">
      <c r="A1549" s="615" t="s">
        <v>1452</v>
      </c>
      <c r="B1549" s="909" t="s">
        <v>4799</v>
      </c>
      <c r="C1549" s="82">
        <v>14591</v>
      </c>
      <c r="D1549" s="1594">
        <v>3.7</v>
      </c>
    </row>
    <row r="1550" spans="1:4">
      <c r="A1550" s="615" t="s">
        <v>3080</v>
      </c>
      <c r="B1550" s="909" t="s">
        <v>2799</v>
      </c>
      <c r="C1550" s="82">
        <v>14592</v>
      </c>
      <c r="D1550" s="1594">
        <v>4.18</v>
      </c>
    </row>
    <row r="1551" spans="1:4">
      <c r="A1551" s="615" t="s">
        <v>6934</v>
      </c>
      <c r="B1551" s="853" t="s">
        <v>6933</v>
      </c>
      <c r="C1551" s="82">
        <v>14600</v>
      </c>
      <c r="D1551" s="1594">
        <v>3.4</v>
      </c>
    </row>
    <row r="1552" spans="1:4">
      <c r="A1552" s="615" t="s">
        <v>6700</v>
      </c>
      <c r="B1552" s="853" t="s">
        <v>6699</v>
      </c>
      <c r="C1552" s="82">
        <v>14611</v>
      </c>
      <c r="D1552" s="1594">
        <v>2</v>
      </c>
    </row>
    <row r="1553" spans="1:4">
      <c r="A1553" s="615" t="s">
        <v>369</v>
      </c>
      <c r="B1553" s="909" t="s">
        <v>654</v>
      </c>
      <c r="C1553" s="82">
        <v>2875</v>
      </c>
      <c r="D1553" s="1594">
        <v>3.63</v>
      </c>
    </row>
    <row r="1554" spans="1:4">
      <c r="A1554" s="615" t="s">
        <v>2815</v>
      </c>
      <c r="B1554" s="909" t="s">
        <v>4081</v>
      </c>
      <c r="C1554" s="82">
        <v>3546</v>
      </c>
      <c r="D1554" s="1594">
        <v>2.1</v>
      </c>
    </row>
    <row r="1555" spans="1:4">
      <c r="A1555" s="615" t="s">
        <v>1710</v>
      </c>
      <c r="B1555" s="909" t="s">
        <v>5638</v>
      </c>
      <c r="C1555" s="82">
        <v>2703</v>
      </c>
      <c r="D1555" s="1594">
        <v>2.1</v>
      </c>
    </row>
    <row r="1556" spans="1:4">
      <c r="A1556" s="615" t="s">
        <v>5153</v>
      </c>
      <c r="B1556" s="909" t="s">
        <v>553</v>
      </c>
      <c r="C1556" s="82">
        <v>16600</v>
      </c>
      <c r="D1556" s="1594">
        <v>3.3182763159269002</v>
      </c>
    </row>
    <row r="1557" spans="1:4">
      <c r="A1557" s="615" t="s">
        <v>5584</v>
      </c>
      <c r="B1557" s="909" t="s">
        <v>2800</v>
      </c>
      <c r="C1557" s="82">
        <v>3320</v>
      </c>
      <c r="D1557" s="1594">
        <v>4</v>
      </c>
    </row>
    <row r="1558" spans="1:4">
      <c r="A1558" s="615" t="s">
        <v>3286</v>
      </c>
      <c r="B1558" s="909" t="s">
        <v>191</v>
      </c>
      <c r="C1558" s="82">
        <v>2563</v>
      </c>
      <c r="D1558" s="1594">
        <v>3.96</v>
      </c>
    </row>
    <row r="1559" spans="1:4">
      <c r="A1559" s="615" t="s">
        <v>1914</v>
      </c>
      <c r="B1559" s="909" t="s">
        <v>5047</v>
      </c>
      <c r="C1559" s="82">
        <v>3364</v>
      </c>
      <c r="D1559" s="1594">
        <v>4.0599999999999996</v>
      </c>
    </row>
    <row r="1560" spans="1:4">
      <c r="A1560" s="615" t="s">
        <v>5000</v>
      </c>
      <c r="B1560" s="909" t="s">
        <v>2389</v>
      </c>
      <c r="C1560" s="82">
        <v>3347</v>
      </c>
      <c r="D1560" s="1594">
        <v>4.07</v>
      </c>
    </row>
    <row r="1561" spans="1:4">
      <c r="A1561" s="615" t="s">
        <v>5078</v>
      </c>
      <c r="B1561" s="909" t="s">
        <v>2390</v>
      </c>
      <c r="C1561" s="82">
        <v>3346</v>
      </c>
      <c r="D1561" s="1594">
        <v>4.3899999999999997</v>
      </c>
    </row>
    <row r="1562" spans="1:4">
      <c r="A1562" s="615" t="s">
        <v>4881</v>
      </c>
      <c r="B1562" s="909" t="s">
        <v>5105</v>
      </c>
      <c r="C1562" s="82">
        <v>2316</v>
      </c>
      <c r="D1562" s="1594">
        <v>3.92</v>
      </c>
    </row>
    <row r="1563" spans="1:4">
      <c r="A1563" s="615" t="s">
        <v>4950</v>
      </c>
      <c r="B1563" s="909" t="s">
        <v>4951</v>
      </c>
      <c r="C1563" s="82">
        <v>14647</v>
      </c>
      <c r="D1563" s="1594">
        <v>4.21</v>
      </c>
    </row>
    <row r="1564" spans="1:4">
      <c r="A1564" s="615" t="s">
        <v>4602</v>
      </c>
      <c r="B1564" s="909" t="s">
        <v>5639</v>
      </c>
      <c r="C1564" s="82">
        <v>3536</v>
      </c>
      <c r="D1564" s="1594">
        <v>2.1</v>
      </c>
    </row>
    <row r="1565" spans="1:4">
      <c r="A1565" s="615" t="s">
        <v>1458</v>
      </c>
      <c r="B1565" s="909" t="s">
        <v>2801</v>
      </c>
      <c r="C1565" s="82">
        <v>3246</v>
      </c>
      <c r="D1565" s="1594">
        <v>3.33</v>
      </c>
    </row>
    <row r="1566" spans="1:4">
      <c r="A1566" s="615" t="s">
        <v>6796</v>
      </c>
      <c r="B1566" s="853" t="s">
        <v>6795</v>
      </c>
      <c r="C1566" s="82">
        <v>14657</v>
      </c>
      <c r="D1566" s="1594">
        <v>2</v>
      </c>
    </row>
    <row r="1567" spans="1:4">
      <c r="A1567" s="615" t="s">
        <v>712</v>
      </c>
      <c r="B1567" s="909" t="s">
        <v>3621</v>
      </c>
      <c r="C1567" s="82">
        <v>3046</v>
      </c>
      <c r="D1567" s="1594">
        <v>3.61</v>
      </c>
    </row>
    <row r="1568" spans="1:4">
      <c r="A1568" s="615" t="s">
        <v>512</v>
      </c>
      <c r="B1568" s="909" t="s">
        <v>3622</v>
      </c>
      <c r="C1568" s="82">
        <v>2407</v>
      </c>
      <c r="D1568" s="1594">
        <v>3.5</v>
      </c>
    </row>
    <row r="1569" spans="1:4">
      <c r="A1569" s="615" t="s">
        <v>161</v>
      </c>
      <c r="B1569" s="909" t="s">
        <v>161</v>
      </c>
      <c r="C1569" s="82"/>
      <c r="D1569" s="1594">
        <v>3.46</v>
      </c>
    </row>
    <row r="1570" spans="1:4">
      <c r="A1570" s="615" t="s">
        <v>6857</v>
      </c>
      <c r="B1570" s="853" t="s">
        <v>6856</v>
      </c>
      <c r="C1570" s="82">
        <v>19049</v>
      </c>
      <c r="D1570" s="1594">
        <v>3.4</v>
      </c>
    </row>
    <row r="1571" spans="1:4">
      <c r="A1571" s="615" t="s">
        <v>5555</v>
      </c>
      <c r="B1571" s="909" t="s">
        <v>3890</v>
      </c>
      <c r="C1571" s="82">
        <v>18733</v>
      </c>
      <c r="D1571" s="1594">
        <v>3.88</v>
      </c>
    </row>
    <row r="1572" spans="1:4">
      <c r="A1572" s="615" t="s">
        <v>5022</v>
      </c>
      <c r="B1572" s="909" t="s">
        <v>939</v>
      </c>
      <c r="C1572" s="82">
        <v>2231</v>
      </c>
      <c r="D1572" s="1594">
        <v>4.5</v>
      </c>
    </row>
    <row r="1573" spans="1:4">
      <c r="A1573" s="615" t="s">
        <v>6897</v>
      </c>
      <c r="B1573" s="853" t="s">
        <v>6896</v>
      </c>
      <c r="C1573" s="82">
        <v>14682</v>
      </c>
      <c r="D1573" s="1594">
        <v>4.5</v>
      </c>
    </row>
    <row r="1574" spans="1:4">
      <c r="A1574" s="615" t="s">
        <v>5134</v>
      </c>
      <c r="B1574" s="853" t="s">
        <v>6450</v>
      </c>
      <c r="C1574" s="82">
        <v>2202</v>
      </c>
      <c r="D1574" s="1594">
        <v>4.4000000000000004</v>
      </c>
    </row>
    <row r="1575" spans="1:4">
      <c r="A1575" s="615" t="s">
        <v>6870</v>
      </c>
      <c r="B1575" s="853" t="s">
        <v>6869</v>
      </c>
      <c r="C1575" s="82">
        <v>6614</v>
      </c>
      <c r="D1575" s="1594">
        <v>2</v>
      </c>
    </row>
    <row r="1576" spans="1:4">
      <c r="A1576" s="615" t="s">
        <v>921</v>
      </c>
      <c r="B1576" s="909" t="s">
        <v>2391</v>
      </c>
      <c r="C1576" s="82">
        <v>2551</v>
      </c>
      <c r="D1576" s="1594">
        <v>2.83</v>
      </c>
    </row>
    <row r="1577" spans="1:4">
      <c r="A1577" s="615" t="s">
        <v>5714</v>
      </c>
      <c r="B1577" s="909" t="s">
        <v>1407</v>
      </c>
      <c r="C1577" s="82">
        <v>3365</v>
      </c>
      <c r="D1577" s="1594">
        <v>3.15</v>
      </c>
    </row>
    <row r="1578" spans="1:4">
      <c r="A1578" s="615" t="s">
        <v>6834</v>
      </c>
      <c r="B1578" s="853" t="s">
        <v>6833</v>
      </c>
      <c r="C1578" s="82">
        <v>19410</v>
      </c>
      <c r="D1578" s="1594">
        <v>2</v>
      </c>
    </row>
    <row r="1579" spans="1:4">
      <c r="A1579" s="615" t="s">
        <v>870</v>
      </c>
      <c r="B1579" s="909" t="s">
        <v>870</v>
      </c>
      <c r="C1579" s="82"/>
      <c r="D1579" s="1594">
        <v>4.5</v>
      </c>
    </row>
    <row r="1580" spans="1:4">
      <c r="A1580" s="615" t="s">
        <v>3891</v>
      </c>
      <c r="B1580" s="909" t="s">
        <v>3891</v>
      </c>
      <c r="C1580" s="82"/>
      <c r="D1580" s="1594">
        <v>3.89</v>
      </c>
    </row>
    <row r="1581" spans="1:4">
      <c r="A1581" s="615" t="s">
        <v>4640</v>
      </c>
      <c r="B1581" s="909" t="s">
        <v>3892</v>
      </c>
      <c r="C1581" s="82">
        <v>2365</v>
      </c>
      <c r="D1581" s="1594">
        <v>4.0599999999999996</v>
      </c>
    </row>
    <row r="1582" spans="1:4">
      <c r="A1582" s="615" t="s">
        <v>4641</v>
      </c>
      <c r="B1582" s="909" t="s">
        <v>3893</v>
      </c>
      <c r="C1582" s="82">
        <v>2364</v>
      </c>
      <c r="D1582" s="1594">
        <v>3.84</v>
      </c>
    </row>
    <row r="1583" spans="1:4">
      <c r="A1583" s="615" t="s">
        <v>2849</v>
      </c>
      <c r="B1583" s="853" t="s">
        <v>6664</v>
      </c>
      <c r="C1583" s="82">
        <v>3166</v>
      </c>
      <c r="D1583" s="1594">
        <v>3.9</v>
      </c>
    </row>
    <row r="1584" spans="1:4">
      <c r="A1584" s="615" t="s">
        <v>2246</v>
      </c>
      <c r="B1584" s="909" t="s">
        <v>3894</v>
      </c>
      <c r="C1584" s="82">
        <v>2363</v>
      </c>
      <c r="D1584" s="1594">
        <v>3.78</v>
      </c>
    </row>
    <row r="1585" spans="1:4">
      <c r="A1585" s="615" t="s">
        <v>836</v>
      </c>
      <c r="B1585" s="909" t="s">
        <v>3895</v>
      </c>
      <c r="C1585" s="82">
        <v>3209</v>
      </c>
      <c r="D1585" s="1594">
        <v>3.24</v>
      </c>
    </row>
    <row r="1586" spans="1:4">
      <c r="A1586" s="615" t="s">
        <v>160</v>
      </c>
      <c r="B1586" s="909" t="s">
        <v>3896</v>
      </c>
      <c r="C1586" s="82">
        <v>2383</v>
      </c>
      <c r="D1586" s="1594">
        <v>3.68</v>
      </c>
    </row>
    <row r="1587" spans="1:4">
      <c r="A1587" s="919" t="s">
        <v>8579</v>
      </c>
      <c r="B1587" s="918" t="s">
        <v>8580</v>
      </c>
      <c r="C1587" s="82">
        <v>14740</v>
      </c>
      <c r="D1587" s="1594">
        <v>4.4000000000000004</v>
      </c>
    </row>
    <row r="1588" spans="1:4">
      <c r="A1588" s="615" t="s">
        <v>124</v>
      </c>
      <c r="B1588" s="909" t="s">
        <v>3422</v>
      </c>
      <c r="C1588" s="82">
        <v>2359</v>
      </c>
      <c r="D1588" s="1594">
        <v>3.56</v>
      </c>
    </row>
    <row r="1589" spans="1:4">
      <c r="A1589" s="615" t="s">
        <v>1708</v>
      </c>
      <c r="B1589" s="909" t="s">
        <v>3423</v>
      </c>
      <c r="C1589" s="82">
        <v>2884</v>
      </c>
      <c r="D1589" s="1594">
        <v>3.03</v>
      </c>
    </row>
    <row r="1590" spans="1:4">
      <c r="A1590" s="919" t="s">
        <v>6954</v>
      </c>
      <c r="B1590" s="918" t="s">
        <v>8581</v>
      </c>
      <c r="C1590" s="82">
        <v>19882</v>
      </c>
      <c r="D1590" s="1594">
        <v>2</v>
      </c>
    </row>
    <row r="1591" spans="1:4">
      <c r="A1591" s="615" t="s">
        <v>5708</v>
      </c>
      <c r="B1591" s="909" t="s">
        <v>4116</v>
      </c>
      <c r="C1591" s="82">
        <v>18575</v>
      </c>
      <c r="D1591" s="1594">
        <v>3.68</v>
      </c>
    </row>
    <row r="1592" spans="1:4">
      <c r="A1592" s="615" t="s">
        <v>3256</v>
      </c>
      <c r="B1592" s="909" t="s">
        <v>4117</v>
      </c>
      <c r="C1592" s="82">
        <v>3339</v>
      </c>
      <c r="D1592" s="1594">
        <v>3.77</v>
      </c>
    </row>
    <row r="1593" spans="1:4">
      <c r="A1593" s="615" t="s">
        <v>4719</v>
      </c>
      <c r="B1593" s="909" t="s">
        <v>4567</v>
      </c>
      <c r="C1593" s="82">
        <v>16303</v>
      </c>
      <c r="D1593" s="1594">
        <v>2.9587323501170402</v>
      </c>
    </row>
    <row r="1594" spans="1:4">
      <c r="A1594" s="615" t="s">
        <v>6797</v>
      </c>
      <c r="B1594" s="909" t="s">
        <v>44</v>
      </c>
      <c r="C1594" s="82">
        <v>19132</v>
      </c>
      <c r="D1594" s="1594">
        <v>2.36</v>
      </c>
    </row>
    <row r="1595" spans="1:4">
      <c r="A1595" s="615" t="s">
        <v>3518</v>
      </c>
      <c r="B1595" s="909" t="s">
        <v>3519</v>
      </c>
      <c r="C1595" s="82">
        <v>14763</v>
      </c>
      <c r="D1595" s="1594">
        <v>2.6</v>
      </c>
    </row>
    <row r="1596" spans="1:4">
      <c r="A1596" s="615" t="s">
        <v>2505</v>
      </c>
      <c r="B1596" s="909" t="s">
        <v>2506</v>
      </c>
      <c r="C1596" s="82">
        <v>14780</v>
      </c>
      <c r="D1596" s="1594">
        <v>3.79</v>
      </c>
    </row>
    <row r="1597" spans="1:4">
      <c r="A1597" s="615" t="s">
        <v>244</v>
      </c>
      <c r="B1597" s="909" t="s">
        <v>5489</v>
      </c>
      <c r="C1597" s="82">
        <v>2772</v>
      </c>
      <c r="D1597" s="1594">
        <v>3</v>
      </c>
    </row>
    <row r="1598" spans="1:4">
      <c r="A1598" s="615" t="s">
        <v>2161</v>
      </c>
      <c r="B1598" s="909" t="s">
        <v>5490</v>
      </c>
      <c r="C1598" s="82">
        <v>2771</v>
      </c>
      <c r="D1598" s="1594">
        <v>3</v>
      </c>
    </row>
    <row r="1599" spans="1:4">
      <c r="A1599" s="615" t="s">
        <v>5019</v>
      </c>
      <c r="B1599" s="909" t="s">
        <v>5106</v>
      </c>
      <c r="C1599" s="82">
        <v>2304</v>
      </c>
      <c r="D1599" s="1594">
        <v>3.96</v>
      </c>
    </row>
    <row r="1600" spans="1:4">
      <c r="A1600" s="615" t="s">
        <v>6941</v>
      </c>
      <c r="B1600" s="853" t="s">
        <v>6940</v>
      </c>
      <c r="C1600" s="82">
        <v>2056</v>
      </c>
      <c r="D1600" s="1594">
        <v>2</v>
      </c>
    </row>
    <row r="1601" spans="1:4">
      <c r="A1601" s="615" t="s">
        <v>6718</v>
      </c>
      <c r="B1601" s="853" t="s">
        <v>6717</v>
      </c>
      <c r="C1601" s="82">
        <v>14800</v>
      </c>
      <c r="D1601" s="1594">
        <v>2</v>
      </c>
    </row>
    <row r="1602" spans="1:4">
      <c r="A1602" s="615" t="s">
        <v>4278</v>
      </c>
      <c r="B1602" s="909" t="s">
        <v>5089</v>
      </c>
      <c r="C1602" s="82">
        <v>2051</v>
      </c>
      <c r="D1602" s="1594">
        <v>3.96</v>
      </c>
    </row>
    <row r="1603" spans="1:4">
      <c r="A1603" s="615" t="s">
        <v>886</v>
      </c>
      <c r="B1603" s="909" t="s">
        <v>2693</v>
      </c>
      <c r="C1603" s="82">
        <v>2853</v>
      </c>
      <c r="D1603" s="1594">
        <v>3.98</v>
      </c>
    </row>
    <row r="1604" spans="1:4">
      <c r="A1604" s="615" t="s">
        <v>6895</v>
      </c>
      <c r="B1604" s="853" t="s">
        <v>6894</v>
      </c>
      <c r="C1604" s="82">
        <v>14809</v>
      </c>
      <c r="D1604" s="1594">
        <v>2</v>
      </c>
    </row>
    <row r="1605" spans="1:4">
      <c r="A1605" s="615" t="s">
        <v>1139</v>
      </c>
      <c r="B1605" s="909" t="s">
        <v>3538</v>
      </c>
      <c r="C1605" s="82">
        <v>2053</v>
      </c>
      <c r="D1605" s="1594">
        <v>3.5</v>
      </c>
    </row>
    <row r="1606" spans="1:4">
      <c r="A1606" s="615" t="s">
        <v>3072</v>
      </c>
      <c r="B1606" s="909" t="s">
        <v>3539</v>
      </c>
      <c r="C1606" s="82">
        <v>2851</v>
      </c>
      <c r="D1606" s="1594">
        <v>3.76</v>
      </c>
    </row>
    <row r="1607" spans="1:4">
      <c r="A1607" s="615" t="s">
        <v>6587</v>
      </c>
      <c r="B1607" s="853" t="s">
        <v>6586</v>
      </c>
      <c r="C1607" s="82">
        <v>14817</v>
      </c>
      <c r="D1607" s="1594">
        <v>2</v>
      </c>
    </row>
    <row r="1608" spans="1:4">
      <c r="A1608" s="615" t="s">
        <v>6677</v>
      </c>
      <c r="B1608" s="853" t="s">
        <v>6676</v>
      </c>
      <c r="C1608" s="82">
        <v>2057</v>
      </c>
      <c r="D1608" s="1594">
        <v>2</v>
      </c>
    </row>
    <row r="1609" spans="1:4">
      <c r="A1609" s="615" t="s">
        <v>1140</v>
      </c>
      <c r="B1609" s="909" t="s">
        <v>3540</v>
      </c>
      <c r="C1609" s="82">
        <v>2854</v>
      </c>
      <c r="D1609" s="1594">
        <v>3.5</v>
      </c>
    </row>
    <row r="1610" spans="1:4">
      <c r="A1610" s="615" t="s">
        <v>6822</v>
      </c>
      <c r="B1610" s="853" t="s">
        <v>6821</v>
      </c>
      <c r="C1610" s="82">
        <v>2858</v>
      </c>
      <c r="D1610" s="1594">
        <v>2</v>
      </c>
    </row>
    <row r="1611" spans="1:4">
      <c r="A1611" s="615" t="s">
        <v>1439</v>
      </c>
      <c r="B1611" s="909" t="s">
        <v>3541</v>
      </c>
      <c r="C1611" s="82">
        <v>2859</v>
      </c>
      <c r="D1611" s="1594">
        <v>3.83</v>
      </c>
    </row>
    <row r="1612" spans="1:4">
      <c r="A1612" s="615" t="s">
        <v>4110</v>
      </c>
      <c r="B1612" s="909" t="s">
        <v>2172</v>
      </c>
      <c r="C1612" s="82">
        <v>14830</v>
      </c>
      <c r="D1612" s="1594">
        <v>3.84</v>
      </c>
    </row>
    <row r="1613" spans="1:4">
      <c r="A1613" s="615" t="s">
        <v>1224</v>
      </c>
      <c r="B1613" s="909" t="s">
        <v>3545</v>
      </c>
      <c r="C1613" s="82">
        <v>14842</v>
      </c>
      <c r="D1613" s="1594">
        <v>3.62</v>
      </c>
    </row>
    <row r="1614" spans="1:4">
      <c r="A1614" s="615" t="s">
        <v>6696</v>
      </c>
      <c r="B1614" s="853" t="s">
        <v>6695</v>
      </c>
      <c r="C1614" s="82">
        <v>14844</v>
      </c>
      <c r="D1614" s="1594">
        <v>2</v>
      </c>
    </row>
    <row r="1615" spans="1:4">
      <c r="A1615" s="615" t="s">
        <v>1141</v>
      </c>
      <c r="B1615" s="909" t="s">
        <v>3433</v>
      </c>
      <c r="C1615" s="82">
        <v>2054</v>
      </c>
      <c r="D1615" s="1594">
        <v>3.89</v>
      </c>
    </row>
    <row r="1616" spans="1:4">
      <c r="A1616" s="615" t="s">
        <v>1241</v>
      </c>
      <c r="B1616" s="909" t="s">
        <v>1242</v>
      </c>
      <c r="C1616" s="82">
        <v>14847</v>
      </c>
      <c r="D1616" s="1594">
        <v>3.8</v>
      </c>
    </row>
    <row r="1617" spans="1:4">
      <c r="A1617" s="615" t="s">
        <v>1146</v>
      </c>
      <c r="B1617" s="909" t="s">
        <v>3434</v>
      </c>
      <c r="C1617" s="82">
        <v>2852</v>
      </c>
      <c r="D1617" s="1594">
        <v>3.67</v>
      </c>
    </row>
    <row r="1618" spans="1:4">
      <c r="A1618" s="615" t="s">
        <v>372</v>
      </c>
      <c r="B1618" s="909" t="s">
        <v>3435</v>
      </c>
      <c r="C1618" s="82">
        <v>2855</v>
      </c>
      <c r="D1618" s="1594">
        <v>3.94</v>
      </c>
    </row>
    <row r="1619" spans="1:4">
      <c r="A1619" s="615" t="s">
        <v>6741</v>
      </c>
      <c r="B1619" s="853" t="s">
        <v>6740</v>
      </c>
      <c r="C1619" s="82">
        <v>14849</v>
      </c>
      <c r="D1619" s="1594">
        <v>2</v>
      </c>
    </row>
    <row r="1620" spans="1:4">
      <c r="A1620" s="615" t="s">
        <v>2891</v>
      </c>
      <c r="B1620" s="909" t="s">
        <v>3436</v>
      </c>
      <c r="C1620" s="82">
        <v>2856</v>
      </c>
      <c r="D1620" s="1594">
        <v>3.5</v>
      </c>
    </row>
    <row r="1621" spans="1:4">
      <c r="A1621" s="615" t="s">
        <v>1225</v>
      </c>
      <c r="B1621" s="909" t="s">
        <v>3437</v>
      </c>
      <c r="C1621" s="82">
        <v>2052</v>
      </c>
      <c r="D1621" s="1594">
        <v>4.0199999999999996</v>
      </c>
    </row>
    <row r="1622" spans="1:4">
      <c r="A1622" s="615" t="s">
        <v>200</v>
      </c>
      <c r="B1622" s="909" t="s">
        <v>3438</v>
      </c>
      <c r="C1622" s="82">
        <v>2850</v>
      </c>
      <c r="D1622" s="1594">
        <v>3.94</v>
      </c>
    </row>
    <row r="1623" spans="1:4">
      <c r="A1623" s="615" t="s">
        <v>6801</v>
      </c>
      <c r="B1623" s="853" t="s">
        <v>6800</v>
      </c>
      <c r="C1623" s="82">
        <v>14869</v>
      </c>
      <c r="D1623" s="1594">
        <v>2</v>
      </c>
    </row>
    <row r="1624" spans="1:4">
      <c r="A1624" s="615" t="s">
        <v>6930</v>
      </c>
      <c r="B1624" s="853" t="s">
        <v>6929</v>
      </c>
      <c r="C1624" s="82">
        <v>2055</v>
      </c>
      <c r="D1624" s="1594">
        <v>2</v>
      </c>
    </row>
    <row r="1625" spans="1:4">
      <c r="A1625" s="615" t="s">
        <v>5699</v>
      </c>
      <c r="B1625" s="909" t="s">
        <v>3439</v>
      </c>
      <c r="C1625" s="82">
        <v>2849</v>
      </c>
      <c r="D1625" s="1594">
        <v>3.81</v>
      </c>
    </row>
    <row r="1626" spans="1:4">
      <c r="A1626" s="615" t="s">
        <v>1423</v>
      </c>
      <c r="B1626" s="909" t="s">
        <v>83</v>
      </c>
      <c r="C1626" s="82">
        <v>2845</v>
      </c>
      <c r="D1626" s="1594">
        <v>3.69</v>
      </c>
    </row>
    <row r="1627" spans="1:4">
      <c r="A1627" s="615" t="s">
        <v>3297</v>
      </c>
      <c r="B1627" s="909" t="s">
        <v>3591</v>
      </c>
      <c r="C1627" s="82">
        <v>2746</v>
      </c>
      <c r="D1627" s="1594">
        <v>2.6</v>
      </c>
    </row>
    <row r="1628" spans="1:4">
      <c r="A1628" s="615" t="s">
        <v>4215</v>
      </c>
      <c r="B1628" s="909" t="s">
        <v>379</v>
      </c>
      <c r="C1628" s="82">
        <v>2658</v>
      </c>
      <c r="D1628" s="1594">
        <v>2.1</v>
      </c>
    </row>
    <row r="1629" spans="1:4">
      <c r="A1629" s="615" t="s">
        <v>5258</v>
      </c>
      <c r="B1629" s="909" t="s">
        <v>3513</v>
      </c>
      <c r="C1629" s="82">
        <v>19133</v>
      </c>
      <c r="D1629" s="1594">
        <v>2</v>
      </c>
    </row>
    <row r="1630" spans="1:4">
      <c r="A1630" s="615" t="s">
        <v>5394</v>
      </c>
      <c r="B1630" s="909" t="s">
        <v>5107</v>
      </c>
      <c r="C1630" s="82">
        <v>2477</v>
      </c>
      <c r="D1630" s="1594">
        <v>2.72</v>
      </c>
    </row>
    <row r="1631" spans="1:4">
      <c r="A1631" s="615" t="s">
        <v>3674</v>
      </c>
      <c r="B1631" s="909" t="s">
        <v>5108</v>
      </c>
      <c r="C1631" s="82">
        <v>2478</v>
      </c>
      <c r="D1631" s="1594">
        <v>3.19</v>
      </c>
    </row>
    <row r="1632" spans="1:4">
      <c r="A1632" s="615" t="s">
        <v>186</v>
      </c>
      <c r="B1632" s="909" t="s">
        <v>5109</v>
      </c>
      <c r="C1632" s="82">
        <v>2476</v>
      </c>
      <c r="D1632" s="1594">
        <v>3.1</v>
      </c>
    </row>
    <row r="1633" spans="1:4">
      <c r="A1633" s="615" t="s">
        <v>2474</v>
      </c>
      <c r="B1633" s="909" t="s">
        <v>2901</v>
      </c>
      <c r="C1633" s="82">
        <v>2169</v>
      </c>
      <c r="D1633" s="1594">
        <v>3.41</v>
      </c>
    </row>
    <row r="1634" spans="1:4">
      <c r="A1634" s="615" t="s">
        <v>4777</v>
      </c>
      <c r="B1634" s="909" t="s">
        <v>5110</v>
      </c>
      <c r="C1634" s="82">
        <v>14892</v>
      </c>
      <c r="D1634" s="1594">
        <v>3.2</v>
      </c>
    </row>
    <row r="1635" spans="1:4">
      <c r="A1635" s="615" t="s">
        <v>4740</v>
      </c>
      <c r="B1635" s="909" t="s">
        <v>1408</v>
      </c>
      <c r="C1635" s="82">
        <v>2544</v>
      </c>
      <c r="D1635" s="1594">
        <v>4.4800000000000004</v>
      </c>
    </row>
    <row r="1636" spans="1:4">
      <c r="A1636" s="615" t="s">
        <v>2237</v>
      </c>
      <c r="B1636" s="909" t="s">
        <v>4568</v>
      </c>
      <c r="C1636" s="82">
        <v>2613</v>
      </c>
      <c r="D1636" s="1594">
        <v>2.6</v>
      </c>
    </row>
    <row r="1637" spans="1:4">
      <c r="A1637" s="615" t="s">
        <v>1771</v>
      </c>
      <c r="B1637" s="909" t="s">
        <v>4118</v>
      </c>
      <c r="C1637" s="82">
        <v>3268</v>
      </c>
      <c r="D1637" s="1594">
        <v>4.3099999999999996</v>
      </c>
    </row>
    <row r="1638" spans="1:4">
      <c r="A1638" s="919" t="s">
        <v>5543</v>
      </c>
      <c r="B1638" s="918" t="s">
        <v>8582</v>
      </c>
      <c r="C1638" s="82">
        <v>20200</v>
      </c>
      <c r="D1638" s="1594">
        <v>2.94</v>
      </c>
    </row>
    <row r="1639" spans="1:4">
      <c r="A1639" s="615" t="s">
        <v>2601</v>
      </c>
      <c r="B1639" s="909" t="s">
        <v>5717</v>
      </c>
      <c r="C1639" s="82">
        <v>3192</v>
      </c>
      <c r="D1639" s="1594">
        <v>2.87</v>
      </c>
    </row>
    <row r="1640" spans="1:4">
      <c r="A1640" s="615" t="s">
        <v>4084</v>
      </c>
      <c r="B1640" s="909" t="s">
        <v>5718</v>
      </c>
      <c r="C1640" s="82">
        <v>18956</v>
      </c>
      <c r="D1640" s="1594">
        <v>3.5</v>
      </c>
    </row>
    <row r="1641" spans="1:4">
      <c r="A1641" s="919" t="s">
        <v>8583</v>
      </c>
      <c r="B1641" s="918" t="s">
        <v>8584</v>
      </c>
      <c r="C1641" s="82">
        <v>20104</v>
      </c>
      <c r="D1641" s="1594">
        <v>2.95</v>
      </c>
    </row>
    <row r="1642" spans="1:4">
      <c r="A1642" s="615" t="s">
        <v>2593</v>
      </c>
      <c r="B1642" s="909" t="s">
        <v>2593</v>
      </c>
      <c r="C1642" s="82"/>
      <c r="D1642" s="1594">
        <v>3.44</v>
      </c>
    </row>
    <row r="1643" spans="1:4">
      <c r="A1643" s="615" t="s">
        <v>4416</v>
      </c>
      <c r="B1643" s="853" t="s">
        <v>6871</v>
      </c>
      <c r="C1643" s="82">
        <v>14918</v>
      </c>
      <c r="D1643" s="1594">
        <v>3.2</v>
      </c>
    </row>
    <row r="1644" spans="1:4">
      <c r="A1644" s="615" t="s">
        <v>3417</v>
      </c>
      <c r="B1644" s="909" t="s">
        <v>84</v>
      </c>
      <c r="C1644" s="82">
        <v>2048</v>
      </c>
      <c r="D1644" s="1594">
        <v>3.63</v>
      </c>
    </row>
    <row r="1645" spans="1:4">
      <c r="A1645" s="615" t="s">
        <v>6469</v>
      </c>
      <c r="B1645" s="853" t="s">
        <v>6468</v>
      </c>
      <c r="C1645" s="82">
        <v>14939</v>
      </c>
      <c r="D1645" s="1594">
        <v>4</v>
      </c>
    </row>
    <row r="1646" spans="1:4">
      <c r="A1646" s="615" t="s">
        <v>3954</v>
      </c>
      <c r="B1646" s="909" t="s">
        <v>85</v>
      </c>
      <c r="C1646" s="82">
        <v>2847</v>
      </c>
      <c r="D1646" s="1594">
        <v>3.58</v>
      </c>
    </row>
    <row r="1647" spans="1:4">
      <c r="A1647" s="615" t="s">
        <v>2099</v>
      </c>
      <c r="B1647" s="909" t="s">
        <v>3193</v>
      </c>
      <c r="C1647" s="82">
        <v>2049</v>
      </c>
      <c r="D1647" s="1594">
        <v>3.54</v>
      </c>
    </row>
    <row r="1648" spans="1:4">
      <c r="A1648" s="615" t="s">
        <v>6548</v>
      </c>
      <c r="B1648" s="853" t="s">
        <v>6547</v>
      </c>
      <c r="C1648" s="82">
        <v>14955</v>
      </c>
      <c r="D1648" s="1594">
        <v>2</v>
      </c>
    </row>
    <row r="1649" spans="1:4">
      <c r="A1649" s="615" t="s">
        <v>3476</v>
      </c>
      <c r="B1649" s="909" t="s">
        <v>3824</v>
      </c>
      <c r="C1649" s="82">
        <v>14961</v>
      </c>
      <c r="D1649" s="1594">
        <v>3.55</v>
      </c>
    </row>
    <row r="1650" spans="1:4">
      <c r="A1650" s="615" t="s">
        <v>6553</v>
      </c>
      <c r="B1650" s="853" t="s">
        <v>6552</v>
      </c>
      <c r="C1650" s="82">
        <v>14972</v>
      </c>
      <c r="D1650" s="1594">
        <v>3.5</v>
      </c>
    </row>
    <row r="1651" spans="1:4">
      <c r="A1651" s="615" t="s">
        <v>6694</v>
      </c>
      <c r="B1651" s="853" t="s">
        <v>6693</v>
      </c>
      <c r="C1651" s="82">
        <v>14976</v>
      </c>
      <c r="D1651" s="1594">
        <v>3.8</v>
      </c>
    </row>
    <row r="1652" spans="1:4">
      <c r="A1652" s="615" t="s">
        <v>6727</v>
      </c>
      <c r="B1652" s="853" t="s">
        <v>6726</v>
      </c>
      <c r="C1652" s="82">
        <v>14984</v>
      </c>
      <c r="D1652" s="1594">
        <v>4.3</v>
      </c>
    </row>
    <row r="1653" spans="1:4">
      <c r="A1653" s="615" t="s">
        <v>340</v>
      </c>
      <c r="B1653" s="909" t="s">
        <v>341</v>
      </c>
      <c r="C1653" s="82">
        <v>2820</v>
      </c>
      <c r="D1653" s="1594">
        <v>4.2699999999999996</v>
      </c>
    </row>
    <row r="1654" spans="1:4">
      <c r="A1654" s="615" t="s">
        <v>1515</v>
      </c>
      <c r="B1654" s="909" t="s">
        <v>1796</v>
      </c>
      <c r="C1654" s="82">
        <v>3634</v>
      </c>
      <c r="D1654" s="1594">
        <v>1</v>
      </c>
    </row>
    <row r="1655" spans="1:4">
      <c r="A1655" s="615" t="s">
        <v>5391</v>
      </c>
      <c r="B1655" s="909" t="s">
        <v>3271</v>
      </c>
      <c r="C1655" s="82">
        <v>14996</v>
      </c>
      <c r="D1655" s="1594">
        <v>4.33</v>
      </c>
    </row>
    <row r="1656" spans="1:4">
      <c r="A1656" s="615" t="s">
        <v>6813</v>
      </c>
      <c r="B1656" s="909" t="s">
        <v>1409</v>
      </c>
      <c r="C1656" s="82">
        <v>3366</v>
      </c>
      <c r="D1656" s="1594">
        <v>3.06</v>
      </c>
    </row>
    <row r="1657" spans="1:4">
      <c r="A1657" s="615" t="s">
        <v>6814</v>
      </c>
      <c r="B1657" s="909" t="s">
        <v>5369</v>
      </c>
      <c r="C1657" s="82">
        <v>2758</v>
      </c>
      <c r="D1657" s="1594">
        <v>2.2999999999999998</v>
      </c>
    </row>
    <row r="1658" spans="1:4">
      <c r="A1658" s="615" t="s">
        <v>38</v>
      </c>
      <c r="B1658" s="909" t="s">
        <v>39</v>
      </c>
      <c r="C1658" s="82">
        <v>15002</v>
      </c>
      <c r="D1658" s="1594">
        <v>3.54</v>
      </c>
    </row>
    <row r="1659" spans="1:4">
      <c r="A1659" s="615" t="s">
        <v>909</v>
      </c>
      <c r="B1659" s="909" t="s">
        <v>3825</v>
      </c>
      <c r="C1659" s="82">
        <v>15003</v>
      </c>
      <c r="D1659" s="1594">
        <v>3.6</v>
      </c>
    </row>
    <row r="1660" spans="1:4">
      <c r="A1660" s="615" t="s">
        <v>6816</v>
      </c>
      <c r="B1660" s="853" t="s">
        <v>6815</v>
      </c>
      <c r="C1660" s="82">
        <v>19256</v>
      </c>
      <c r="D1660" s="1594">
        <v>2</v>
      </c>
    </row>
    <row r="1661" spans="1:4">
      <c r="A1661" s="615" t="s">
        <v>3609</v>
      </c>
      <c r="B1661" s="909" t="s">
        <v>5640</v>
      </c>
      <c r="C1661" s="82">
        <v>3542</v>
      </c>
      <c r="D1661" s="1594">
        <v>2.1</v>
      </c>
    </row>
    <row r="1662" spans="1:4">
      <c r="A1662" s="615" t="s">
        <v>5324</v>
      </c>
      <c r="B1662" s="909" t="s">
        <v>1368</v>
      </c>
      <c r="C1662" s="82">
        <v>3543</v>
      </c>
      <c r="D1662" s="1594">
        <v>2.1</v>
      </c>
    </row>
    <row r="1663" spans="1:4">
      <c r="A1663" s="615" t="s">
        <v>4169</v>
      </c>
      <c r="B1663" s="853" t="s">
        <v>6521</v>
      </c>
      <c r="C1663" s="82">
        <v>2700</v>
      </c>
      <c r="D1663" s="1594">
        <v>2</v>
      </c>
    </row>
    <row r="1664" spans="1:4">
      <c r="A1664" s="919" t="s">
        <v>8585</v>
      </c>
      <c r="B1664" s="918" t="s">
        <v>8586</v>
      </c>
      <c r="C1664" s="82">
        <v>19856</v>
      </c>
      <c r="D1664" s="1594">
        <v>3.3</v>
      </c>
    </row>
    <row r="1665" spans="1:4">
      <c r="A1665" s="615" t="s">
        <v>224</v>
      </c>
      <c r="B1665" s="909" t="s">
        <v>2902</v>
      </c>
      <c r="C1665" s="82">
        <v>2158</v>
      </c>
      <c r="D1665" s="1594">
        <v>3.51</v>
      </c>
    </row>
    <row r="1666" spans="1:4">
      <c r="A1666" s="615" t="s">
        <v>4307</v>
      </c>
      <c r="B1666" s="909" t="s">
        <v>2903</v>
      </c>
      <c r="C1666" s="82">
        <v>2157</v>
      </c>
      <c r="D1666" s="1594">
        <v>2.79</v>
      </c>
    </row>
    <row r="1667" spans="1:4">
      <c r="A1667" s="615" t="s">
        <v>3885</v>
      </c>
      <c r="B1667" s="909" t="s">
        <v>2904</v>
      </c>
      <c r="C1667" s="82">
        <v>2960</v>
      </c>
      <c r="D1667" s="1594">
        <v>3.05</v>
      </c>
    </row>
    <row r="1668" spans="1:4">
      <c r="A1668" s="615" t="s">
        <v>3079</v>
      </c>
      <c r="B1668" s="909" t="s">
        <v>2426</v>
      </c>
      <c r="C1668" s="82">
        <v>2467</v>
      </c>
      <c r="D1668" s="1594">
        <v>4.18</v>
      </c>
    </row>
    <row r="1669" spans="1:4">
      <c r="A1669" s="615" t="s">
        <v>6648</v>
      </c>
      <c r="B1669" s="853" t="s">
        <v>6647</v>
      </c>
      <c r="C1669" s="82">
        <v>19146</v>
      </c>
      <c r="D1669" s="1594">
        <v>3.7</v>
      </c>
    </row>
    <row r="1670" spans="1:4">
      <c r="A1670" s="615" t="s">
        <v>1526</v>
      </c>
      <c r="B1670" s="909" t="s">
        <v>3658</v>
      </c>
      <c r="C1670" s="82">
        <v>3008</v>
      </c>
      <c r="D1670" s="1594">
        <v>4.43</v>
      </c>
    </row>
    <row r="1671" spans="1:4">
      <c r="A1671" s="615" t="s">
        <v>6566</v>
      </c>
      <c r="B1671" s="853" t="s">
        <v>6565</v>
      </c>
      <c r="C1671" s="82">
        <v>15055</v>
      </c>
      <c r="D1671" s="1594">
        <v>2</v>
      </c>
    </row>
    <row r="1672" spans="1:4">
      <c r="A1672" s="615" t="s">
        <v>5632</v>
      </c>
      <c r="B1672" s="909" t="s">
        <v>1344</v>
      </c>
      <c r="C1672" s="82">
        <v>2929</v>
      </c>
      <c r="D1672" s="1594">
        <v>4.43</v>
      </c>
    </row>
    <row r="1673" spans="1:4">
      <c r="A1673" s="615" t="s">
        <v>5631</v>
      </c>
      <c r="B1673" s="909" t="s">
        <v>1345</v>
      </c>
      <c r="C1673" s="82">
        <v>2928</v>
      </c>
      <c r="D1673" s="1594">
        <v>3.6659999999999999</v>
      </c>
    </row>
    <row r="1674" spans="1:4">
      <c r="A1674" s="615" t="s">
        <v>1306</v>
      </c>
      <c r="B1674" s="909" t="s">
        <v>1346</v>
      </c>
      <c r="C1674" s="82">
        <v>2115</v>
      </c>
      <c r="D1674" s="1594">
        <v>3.1549999999999998</v>
      </c>
    </row>
    <row r="1675" spans="1:4">
      <c r="A1675" s="615" t="s">
        <v>5409</v>
      </c>
      <c r="B1675" s="909" t="s">
        <v>1347</v>
      </c>
      <c r="C1675" s="82">
        <v>2927</v>
      </c>
      <c r="D1675" s="1594">
        <v>3.56</v>
      </c>
    </row>
    <row r="1676" spans="1:4">
      <c r="A1676" s="615" t="s">
        <v>1481</v>
      </c>
      <c r="B1676" s="909" t="s">
        <v>5491</v>
      </c>
      <c r="C1676" s="82">
        <v>18275</v>
      </c>
      <c r="D1676" s="1594">
        <v>3</v>
      </c>
    </row>
    <row r="1677" spans="1:4">
      <c r="A1677" s="615" t="s">
        <v>1307</v>
      </c>
      <c r="B1677" s="909" t="s">
        <v>3496</v>
      </c>
      <c r="C1677" s="82">
        <v>2120</v>
      </c>
      <c r="D1677" s="1594">
        <v>4.26</v>
      </c>
    </row>
    <row r="1678" spans="1:4">
      <c r="A1678" s="615" t="s">
        <v>4158</v>
      </c>
      <c r="B1678" s="909" t="s">
        <v>3497</v>
      </c>
      <c r="C1678" s="82">
        <v>2935</v>
      </c>
      <c r="D1678" s="1594">
        <v>3.14</v>
      </c>
    </row>
    <row r="1679" spans="1:4">
      <c r="A1679" s="615" t="s">
        <v>1229</v>
      </c>
      <c r="B1679" s="909" t="s">
        <v>3498</v>
      </c>
      <c r="C1679" s="82">
        <v>2121</v>
      </c>
      <c r="D1679" s="1594">
        <v>4.29</v>
      </c>
    </row>
    <row r="1680" spans="1:4">
      <c r="A1680" s="615" t="s">
        <v>3424</v>
      </c>
      <c r="B1680" s="909" t="s">
        <v>3499</v>
      </c>
      <c r="C1680" s="82">
        <v>2119</v>
      </c>
      <c r="D1680" s="1594">
        <v>3.76</v>
      </c>
    </row>
    <row r="1681" spans="1:8">
      <c r="A1681" s="615" t="s">
        <v>1230</v>
      </c>
      <c r="B1681" s="909" t="s">
        <v>1231</v>
      </c>
      <c r="C1681" s="82">
        <v>2300</v>
      </c>
      <c r="D1681" s="1594">
        <v>4.0599999999999996</v>
      </c>
    </row>
    <row r="1682" spans="1:8">
      <c r="A1682" s="615" t="s">
        <v>2676</v>
      </c>
      <c r="B1682" s="909" t="s">
        <v>2731</v>
      </c>
      <c r="C1682" s="82">
        <v>3098</v>
      </c>
      <c r="D1682" s="1594">
        <v>4.25</v>
      </c>
    </row>
    <row r="1683" spans="1:8">
      <c r="A1683" s="615" t="s">
        <v>1232</v>
      </c>
      <c r="B1683" s="909" t="s">
        <v>1233</v>
      </c>
      <c r="C1683" s="82">
        <v>3097</v>
      </c>
      <c r="D1683" s="1594">
        <v>4.46</v>
      </c>
    </row>
    <row r="1684" spans="1:8">
      <c r="A1684" s="615" t="s">
        <v>6830</v>
      </c>
      <c r="B1684" s="853" t="s">
        <v>6829</v>
      </c>
      <c r="C1684" s="82">
        <v>18447</v>
      </c>
      <c r="D1684" s="1594">
        <v>2</v>
      </c>
      <c r="E1684" s="608"/>
      <c r="F1684" s="608"/>
      <c r="G1684" s="608"/>
      <c r="H1684" s="608"/>
    </row>
    <row r="1685" spans="1:8">
      <c r="A1685" s="919" t="s">
        <v>8587</v>
      </c>
      <c r="B1685" s="918" t="s">
        <v>8588</v>
      </c>
      <c r="C1685" s="82">
        <v>2472</v>
      </c>
      <c r="D1685" s="1594">
        <v>4.5</v>
      </c>
    </row>
    <row r="1686" spans="1:8">
      <c r="A1686" s="615" t="s">
        <v>1291</v>
      </c>
      <c r="B1686" s="909" t="s">
        <v>2535</v>
      </c>
      <c r="C1686" s="82">
        <v>3275</v>
      </c>
      <c r="D1686" s="1594">
        <v>4.5</v>
      </c>
    </row>
    <row r="1687" spans="1:8">
      <c r="A1687" s="615" t="s">
        <v>857</v>
      </c>
      <c r="B1687" s="909" t="s">
        <v>2536</v>
      </c>
      <c r="C1687" s="82">
        <v>3274</v>
      </c>
      <c r="D1687" s="1594">
        <v>4.21</v>
      </c>
    </row>
    <row r="1688" spans="1:8">
      <c r="A1688" s="615" t="s">
        <v>961</v>
      </c>
      <c r="B1688" s="909" t="s">
        <v>2537</v>
      </c>
      <c r="C1688" s="82">
        <v>2471</v>
      </c>
      <c r="D1688" s="1594">
        <v>4.5</v>
      </c>
    </row>
    <row r="1689" spans="1:8">
      <c r="A1689" s="615" t="s">
        <v>4103</v>
      </c>
      <c r="B1689" s="909" t="s">
        <v>987</v>
      </c>
      <c r="C1689" s="82">
        <v>2910</v>
      </c>
      <c r="D1689" s="1594">
        <v>3.05</v>
      </c>
    </row>
    <row r="1690" spans="1:8">
      <c r="A1690" s="615" t="s">
        <v>3640</v>
      </c>
      <c r="B1690" s="909" t="s">
        <v>5114</v>
      </c>
      <c r="C1690" s="82">
        <v>2088</v>
      </c>
      <c r="D1690" s="1594">
        <v>3.4</v>
      </c>
    </row>
    <row r="1691" spans="1:8">
      <c r="A1691" s="615" t="s">
        <v>3953</v>
      </c>
      <c r="B1691" s="909" t="s">
        <v>5115</v>
      </c>
      <c r="C1691" s="82">
        <v>2090</v>
      </c>
      <c r="D1691" s="1594">
        <v>3.1</v>
      </c>
    </row>
    <row r="1692" spans="1:8">
      <c r="A1692" s="615" t="s">
        <v>3243</v>
      </c>
      <c r="B1692" s="909" t="s">
        <v>4160</v>
      </c>
      <c r="C1692" s="82">
        <v>2085</v>
      </c>
      <c r="D1692" s="1594">
        <v>2.85</v>
      </c>
    </row>
    <row r="1693" spans="1:8">
      <c r="A1693" s="615" t="s">
        <v>5119</v>
      </c>
      <c r="B1693" s="909" t="s">
        <v>2619</v>
      </c>
      <c r="C1693" s="82">
        <v>2892</v>
      </c>
      <c r="D1693" s="1594">
        <v>2.48</v>
      </c>
    </row>
    <row r="1694" spans="1:8">
      <c r="A1694" s="615" t="s">
        <v>1479</v>
      </c>
      <c r="B1694" s="909" t="s">
        <v>2620</v>
      </c>
      <c r="C1694" s="82">
        <v>2086</v>
      </c>
      <c r="D1694" s="1594">
        <v>2.41</v>
      </c>
    </row>
    <row r="1695" spans="1:8">
      <c r="A1695" s="615" t="s">
        <v>188</v>
      </c>
      <c r="B1695" s="909" t="s">
        <v>2621</v>
      </c>
      <c r="C1695" s="82">
        <v>2089</v>
      </c>
      <c r="D1695" s="1594">
        <v>3.2</v>
      </c>
    </row>
    <row r="1696" spans="1:8">
      <c r="A1696" s="615" t="s">
        <v>1417</v>
      </c>
      <c r="B1696" s="909" t="s">
        <v>3630</v>
      </c>
      <c r="C1696" s="82">
        <v>2084</v>
      </c>
      <c r="D1696" s="1594">
        <v>2.82</v>
      </c>
    </row>
    <row r="1697" spans="1:5">
      <c r="A1697" s="615" t="s">
        <v>2994</v>
      </c>
      <c r="B1697" s="909" t="s">
        <v>3631</v>
      </c>
      <c r="C1697" s="82">
        <v>2891</v>
      </c>
      <c r="D1697" s="1594">
        <v>3.12</v>
      </c>
    </row>
    <row r="1698" spans="1:5">
      <c r="A1698" s="615" t="s">
        <v>2212</v>
      </c>
      <c r="B1698" s="909" t="s">
        <v>3632</v>
      </c>
      <c r="C1698" s="82">
        <v>2894</v>
      </c>
      <c r="D1698" s="1594">
        <v>2.4300000000000002</v>
      </c>
    </row>
    <row r="1699" spans="1:5">
      <c r="A1699" s="615" t="s">
        <v>508</v>
      </c>
      <c r="B1699" s="909" t="s">
        <v>3633</v>
      </c>
      <c r="C1699" s="82">
        <v>2893</v>
      </c>
      <c r="D1699" s="1594">
        <v>2.4300000000000002</v>
      </c>
      <c r="E1699" s="607"/>
    </row>
    <row r="1700" spans="1:5">
      <c r="A1700" s="615" t="s">
        <v>3238</v>
      </c>
      <c r="B1700" s="909" t="s">
        <v>4250</v>
      </c>
      <c r="C1700" s="82">
        <v>3651</v>
      </c>
      <c r="D1700" s="1594">
        <v>2.4300000000000002</v>
      </c>
      <c r="E1700" s="607"/>
    </row>
    <row r="1701" spans="1:5">
      <c r="A1701" s="615" t="s">
        <v>2242</v>
      </c>
      <c r="B1701" s="909" t="s">
        <v>4251</v>
      </c>
      <c r="C1701" s="82">
        <v>2895</v>
      </c>
      <c r="D1701" s="1594">
        <v>2.4300000000000002</v>
      </c>
      <c r="E1701" s="607"/>
    </row>
    <row r="1702" spans="1:5">
      <c r="A1702" s="615" t="s">
        <v>1709</v>
      </c>
      <c r="B1702" s="909" t="s">
        <v>4252</v>
      </c>
      <c r="C1702" s="82">
        <v>2091</v>
      </c>
      <c r="D1702" s="1594">
        <v>2.4300000000000002</v>
      </c>
      <c r="E1702" s="607"/>
    </row>
    <row r="1703" spans="1:5">
      <c r="A1703" s="919" t="s">
        <v>8589</v>
      </c>
      <c r="B1703" s="918" t="s">
        <v>8590</v>
      </c>
      <c r="C1703" s="82">
        <v>20023</v>
      </c>
      <c r="D1703" s="1594">
        <v>3.6</v>
      </c>
      <c r="E1703" s="607"/>
    </row>
    <row r="1704" spans="1:5">
      <c r="A1704" s="615" t="s">
        <v>3472</v>
      </c>
      <c r="B1704" s="909" t="s">
        <v>3272</v>
      </c>
      <c r="C1704" s="82">
        <v>18887</v>
      </c>
      <c r="D1704" s="1594">
        <v>3.54</v>
      </c>
      <c r="E1704" s="607"/>
    </row>
    <row r="1705" spans="1:5">
      <c r="A1705" s="615" t="s">
        <v>4715</v>
      </c>
      <c r="B1705" s="909" t="s">
        <v>3131</v>
      </c>
      <c r="C1705" s="82">
        <v>2413</v>
      </c>
      <c r="D1705" s="1594">
        <v>2.0499999999999998</v>
      </c>
      <c r="E1705" s="607"/>
    </row>
    <row r="1706" spans="1:5">
      <c r="A1706" s="615" t="s">
        <v>5139</v>
      </c>
      <c r="B1706" s="853" t="s">
        <v>6470</v>
      </c>
      <c r="C1706" s="82">
        <v>2414</v>
      </c>
      <c r="D1706" s="1594">
        <v>2</v>
      </c>
      <c r="E1706" s="607"/>
    </row>
    <row r="1707" spans="1:5">
      <c r="A1707" s="615" t="s">
        <v>3641</v>
      </c>
      <c r="B1707" s="909" t="s">
        <v>3273</v>
      </c>
      <c r="C1707" s="82">
        <v>2397</v>
      </c>
      <c r="D1707" s="1594">
        <v>2</v>
      </c>
      <c r="E1707" s="607"/>
    </row>
    <row r="1708" spans="1:5">
      <c r="A1708" s="615" t="s">
        <v>3245</v>
      </c>
      <c r="B1708" s="909" t="s">
        <v>3274</v>
      </c>
      <c r="C1708" s="82">
        <v>2984</v>
      </c>
      <c r="D1708" s="1594">
        <v>4.4000000000000004</v>
      </c>
      <c r="E1708" s="607"/>
    </row>
    <row r="1709" spans="1:5">
      <c r="A1709" s="615" t="s">
        <v>4673</v>
      </c>
      <c r="B1709" s="909" t="s">
        <v>3275</v>
      </c>
      <c r="C1709" s="82">
        <v>2985</v>
      </c>
      <c r="D1709" s="1594">
        <v>4.4800000000000004</v>
      </c>
      <c r="E1709" s="607"/>
    </row>
    <row r="1710" spans="1:5">
      <c r="A1710" s="615" t="s">
        <v>1665</v>
      </c>
      <c r="B1710" s="909" t="s">
        <v>1369</v>
      </c>
      <c r="C1710" s="82">
        <v>2701</v>
      </c>
      <c r="D1710" s="1594">
        <v>2.1</v>
      </c>
      <c r="E1710" s="607"/>
    </row>
    <row r="1711" spans="1:5">
      <c r="A1711" s="615" t="s">
        <v>4601</v>
      </c>
      <c r="B1711" s="909" t="s">
        <v>1370</v>
      </c>
      <c r="C1711" s="82">
        <v>3502</v>
      </c>
      <c r="D1711" s="1594">
        <v>2.1</v>
      </c>
      <c r="E1711" s="607"/>
    </row>
    <row r="1712" spans="1:5">
      <c r="A1712" s="615" t="s">
        <v>4308</v>
      </c>
      <c r="B1712" s="909" t="s">
        <v>2905</v>
      </c>
      <c r="C1712" s="82">
        <v>2159</v>
      </c>
      <c r="D1712" s="1594">
        <v>2.89</v>
      </c>
      <c r="E1712" s="607"/>
    </row>
    <row r="1713" spans="1:5">
      <c r="A1713" s="615" t="s">
        <v>171</v>
      </c>
      <c r="B1713" s="909" t="s">
        <v>3935</v>
      </c>
      <c r="C1713" s="82">
        <v>2425</v>
      </c>
      <c r="D1713" s="1594">
        <v>2.08</v>
      </c>
      <c r="E1713" s="607"/>
    </row>
    <row r="1714" spans="1:5">
      <c r="A1714" s="615" t="s">
        <v>3898</v>
      </c>
      <c r="B1714" s="909" t="s">
        <v>2227</v>
      </c>
      <c r="C1714" s="82">
        <v>18969</v>
      </c>
      <c r="D1714" s="1594">
        <v>2</v>
      </c>
      <c r="E1714" s="607"/>
    </row>
    <row r="1715" spans="1:5">
      <c r="A1715" s="615" t="s">
        <v>911</v>
      </c>
      <c r="B1715" s="909" t="s">
        <v>2228</v>
      </c>
      <c r="C1715" s="82">
        <v>18866</v>
      </c>
      <c r="D1715" s="1594">
        <v>2</v>
      </c>
      <c r="E1715" s="607"/>
    </row>
    <row r="1716" spans="1:5">
      <c r="A1716" s="615" t="s">
        <v>5242</v>
      </c>
      <c r="B1716" s="909" t="s">
        <v>2229</v>
      </c>
      <c r="C1716" s="82">
        <v>3213</v>
      </c>
      <c r="D1716" s="1594">
        <v>2.99</v>
      </c>
      <c r="E1716" s="607"/>
    </row>
    <row r="1717" spans="1:5">
      <c r="A1717" s="615" t="s">
        <v>3488</v>
      </c>
      <c r="B1717" s="909" t="s">
        <v>1206</v>
      </c>
      <c r="C1717" s="82">
        <v>15111</v>
      </c>
      <c r="D1717" s="1594">
        <v>3.54</v>
      </c>
      <c r="E1717" s="607"/>
    </row>
    <row r="1718" spans="1:5">
      <c r="A1718" s="615" t="s">
        <v>2948</v>
      </c>
      <c r="B1718" s="909" t="s">
        <v>1207</v>
      </c>
      <c r="C1718" s="82">
        <v>18870</v>
      </c>
      <c r="D1718" s="1594">
        <v>3.96</v>
      </c>
      <c r="E1718" s="607"/>
    </row>
    <row r="1719" spans="1:5">
      <c r="A1719" s="615" t="s">
        <v>2298</v>
      </c>
      <c r="B1719" s="909" t="s">
        <v>2299</v>
      </c>
      <c r="C1719" s="82">
        <v>16094</v>
      </c>
      <c r="D1719" s="1594">
        <v>4.1500000000000004</v>
      </c>
      <c r="E1719" s="607"/>
    </row>
    <row r="1720" spans="1:5">
      <c r="A1720" s="615" t="s">
        <v>6832</v>
      </c>
      <c r="B1720" s="853" t="s">
        <v>6831</v>
      </c>
      <c r="C1720" s="82">
        <v>15123</v>
      </c>
      <c r="D1720" s="1594">
        <v>2</v>
      </c>
    </row>
    <row r="1721" spans="1:5">
      <c r="A1721" s="615" t="s">
        <v>4274</v>
      </c>
      <c r="B1721" s="909" t="s">
        <v>5024</v>
      </c>
      <c r="C1721" s="82">
        <v>3149</v>
      </c>
      <c r="D1721" s="1594">
        <v>3.7</v>
      </c>
    </row>
    <row r="1722" spans="1:5">
      <c r="A1722" s="615" t="s">
        <v>25</v>
      </c>
      <c r="B1722" s="909" t="s">
        <v>5025</v>
      </c>
      <c r="C1722" s="82">
        <v>3148</v>
      </c>
      <c r="D1722" s="1594">
        <v>3.67</v>
      </c>
    </row>
    <row r="1723" spans="1:5">
      <c r="A1723" s="615" t="s">
        <v>3059</v>
      </c>
      <c r="B1723" s="909" t="s">
        <v>5026</v>
      </c>
      <c r="C1723" s="82">
        <v>3165</v>
      </c>
      <c r="D1723" s="1594">
        <v>4.07</v>
      </c>
    </row>
    <row r="1724" spans="1:5">
      <c r="A1724" s="615" t="s">
        <v>3171</v>
      </c>
      <c r="B1724" s="909" t="s">
        <v>2033</v>
      </c>
      <c r="C1724" s="82">
        <v>2794</v>
      </c>
      <c r="D1724" s="1594">
        <v>1</v>
      </c>
    </row>
    <row r="1725" spans="1:5">
      <c r="A1725" s="615" t="s">
        <v>2651</v>
      </c>
      <c r="B1725" s="909" t="s">
        <v>5247</v>
      </c>
      <c r="C1725" s="82">
        <v>2760</v>
      </c>
      <c r="D1725" s="1594">
        <v>2.2999999999999998</v>
      </c>
    </row>
    <row r="1726" spans="1:5">
      <c r="A1726" s="615" t="s">
        <v>5212</v>
      </c>
      <c r="B1726" s="909" t="s">
        <v>108</v>
      </c>
      <c r="C1726" s="82">
        <v>6290</v>
      </c>
      <c r="D1726" s="1594">
        <v>2.7</v>
      </c>
    </row>
    <row r="1727" spans="1:5">
      <c r="A1727" s="615" t="s">
        <v>424</v>
      </c>
      <c r="B1727" s="909" t="s">
        <v>425</v>
      </c>
      <c r="C1727" s="82">
        <v>19137</v>
      </c>
      <c r="D1727" s="1594">
        <v>3.88</v>
      </c>
    </row>
    <row r="1728" spans="1:5">
      <c r="A1728" s="615" t="s">
        <v>4267</v>
      </c>
      <c r="B1728" s="909" t="s">
        <v>5027</v>
      </c>
      <c r="C1728" s="82">
        <v>2336</v>
      </c>
      <c r="D1728" s="1594">
        <v>3.53</v>
      </c>
    </row>
    <row r="1729" spans="1:4">
      <c r="A1729" s="615" t="s">
        <v>366</v>
      </c>
      <c r="B1729" s="853" t="s">
        <v>6475</v>
      </c>
      <c r="C1729" s="82">
        <v>18949</v>
      </c>
      <c r="D1729" s="1594">
        <v>3.5</v>
      </c>
    </row>
    <row r="1730" spans="1:4">
      <c r="A1730" s="615" t="s">
        <v>5028</v>
      </c>
      <c r="B1730" s="909" t="s">
        <v>5028</v>
      </c>
      <c r="C1730" s="82"/>
      <c r="D1730" s="1594">
        <v>3.51</v>
      </c>
    </row>
    <row r="1731" spans="1:4">
      <c r="A1731" s="615" t="s">
        <v>5020</v>
      </c>
      <c r="B1731" s="909" t="s">
        <v>5111</v>
      </c>
      <c r="C1731" s="82">
        <v>3278</v>
      </c>
      <c r="D1731" s="1594">
        <v>4.2</v>
      </c>
    </row>
    <row r="1732" spans="1:4">
      <c r="A1732" s="615" t="s">
        <v>2230</v>
      </c>
      <c r="B1732" s="909" t="s">
        <v>5112</v>
      </c>
      <c r="C1732" s="82">
        <v>3277</v>
      </c>
      <c r="D1732" s="1594">
        <v>3.09</v>
      </c>
    </row>
    <row r="1733" spans="1:4">
      <c r="A1733" s="615" t="s">
        <v>4230</v>
      </c>
      <c r="B1733" s="909" t="s">
        <v>5113</v>
      </c>
      <c r="C1733" s="82">
        <v>2473</v>
      </c>
      <c r="D1733" s="1594">
        <v>3.65</v>
      </c>
    </row>
    <row r="1734" spans="1:4">
      <c r="A1734" s="615" t="s">
        <v>3643</v>
      </c>
      <c r="B1734" s="909" t="s">
        <v>383</v>
      </c>
      <c r="C1734" s="82">
        <v>3276</v>
      </c>
      <c r="D1734" s="1594">
        <v>3.65</v>
      </c>
    </row>
    <row r="1735" spans="1:4">
      <c r="A1735" s="615" t="s">
        <v>4474</v>
      </c>
      <c r="B1735" s="909" t="s">
        <v>4049</v>
      </c>
      <c r="C1735" s="82">
        <v>3000</v>
      </c>
      <c r="D1735" s="1594">
        <v>3.64</v>
      </c>
    </row>
    <row r="1736" spans="1:4">
      <c r="A1736" s="615" t="s">
        <v>4325</v>
      </c>
      <c r="B1736" s="909" t="s">
        <v>4050</v>
      </c>
      <c r="C1736" s="82">
        <v>15152</v>
      </c>
      <c r="D1736" s="1594">
        <v>4.4800000000000004</v>
      </c>
    </row>
    <row r="1737" spans="1:4">
      <c r="A1737" s="615" t="s">
        <v>234</v>
      </c>
      <c r="B1737" s="909" t="s">
        <v>351</v>
      </c>
      <c r="C1737" s="82">
        <v>15153</v>
      </c>
      <c r="D1737" s="1594">
        <v>4.5</v>
      </c>
    </row>
    <row r="1738" spans="1:4">
      <c r="A1738" s="615" t="s">
        <v>1310</v>
      </c>
      <c r="B1738" s="909" t="s">
        <v>352</v>
      </c>
      <c r="C1738" s="82">
        <v>2324</v>
      </c>
      <c r="D1738" s="1594">
        <v>4.4800000000000004</v>
      </c>
    </row>
    <row r="1739" spans="1:4">
      <c r="A1739" s="615" t="s">
        <v>2332</v>
      </c>
      <c r="B1739" s="909" t="s">
        <v>353</v>
      </c>
      <c r="C1739" s="82">
        <v>15155</v>
      </c>
      <c r="D1739" s="1594">
        <v>4.43</v>
      </c>
    </row>
    <row r="1740" spans="1:4">
      <c r="A1740" s="615" t="s">
        <v>3721</v>
      </c>
      <c r="B1740" s="909" t="s">
        <v>1579</v>
      </c>
      <c r="C1740" s="82">
        <v>3286</v>
      </c>
      <c r="D1740" s="1594">
        <v>3.31</v>
      </c>
    </row>
    <row r="1741" spans="1:4">
      <c r="A1741" s="615" t="s">
        <v>2577</v>
      </c>
      <c r="B1741" s="909" t="s">
        <v>1580</v>
      </c>
      <c r="C1741" s="82">
        <v>2483</v>
      </c>
      <c r="D1741" s="1594">
        <v>4.5</v>
      </c>
    </row>
    <row r="1742" spans="1:4">
      <c r="A1742" s="615" t="s">
        <v>3628</v>
      </c>
      <c r="B1742" s="909" t="s">
        <v>1581</v>
      </c>
      <c r="C1742" s="82">
        <v>3280</v>
      </c>
      <c r="D1742" s="1594">
        <v>4.5</v>
      </c>
    </row>
    <row r="1743" spans="1:4">
      <c r="A1743" s="615" t="s">
        <v>1480</v>
      </c>
      <c r="B1743" s="909" t="s">
        <v>1582</v>
      </c>
      <c r="C1743" s="82">
        <v>3281</v>
      </c>
      <c r="D1743" s="1594">
        <v>4.28</v>
      </c>
    </row>
    <row r="1744" spans="1:4">
      <c r="A1744" s="615" t="s">
        <v>5116</v>
      </c>
      <c r="B1744" s="909" t="s">
        <v>1583</v>
      </c>
      <c r="C1744" s="82">
        <v>2482</v>
      </c>
      <c r="D1744" s="1594">
        <v>4.5</v>
      </c>
    </row>
    <row r="1745" spans="1:4">
      <c r="A1745" s="615" t="s">
        <v>2210</v>
      </c>
      <c r="B1745" s="909" t="s">
        <v>3729</v>
      </c>
      <c r="C1745" s="82">
        <v>3282</v>
      </c>
      <c r="D1745" s="1594">
        <v>4.5</v>
      </c>
    </row>
    <row r="1746" spans="1:4">
      <c r="A1746" s="615" t="s">
        <v>4607</v>
      </c>
      <c r="B1746" s="909" t="s">
        <v>3000</v>
      </c>
      <c r="C1746" s="82">
        <v>3285</v>
      </c>
      <c r="D1746" s="1594">
        <v>4.5</v>
      </c>
    </row>
    <row r="1747" spans="1:4">
      <c r="A1747" s="615" t="s">
        <v>2650</v>
      </c>
      <c r="B1747" s="909" t="s">
        <v>3089</v>
      </c>
      <c r="C1747" s="82">
        <v>2484</v>
      </c>
      <c r="D1747" s="1594">
        <v>4.4800000000000004</v>
      </c>
    </row>
    <row r="1748" spans="1:4">
      <c r="A1748" s="919" t="s">
        <v>8591</v>
      </c>
      <c r="B1748" s="918" t="s">
        <v>8592</v>
      </c>
      <c r="C1748" s="82">
        <v>2486</v>
      </c>
      <c r="D1748" s="1594">
        <v>4.5</v>
      </c>
    </row>
    <row r="1749" spans="1:4">
      <c r="A1749" s="615" t="s">
        <v>2188</v>
      </c>
      <c r="B1749" s="909" t="s">
        <v>3090</v>
      </c>
      <c r="C1749" s="82">
        <v>3283</v>
      </c>
      <c r="D1749" s="1594">
        <v>4.49</v>
      </c>
    </row>
    <row r="1750" spans="1:4">
      <c r="A1750" s="615" t="s">
        <v>1768</v>
      </c>
      <c r="B1750" s="909" t="s">
        <v>4161</v>
      </c>
      <c r="C1750" s="82">
        <v>2480</v>
      </c>
      <c r="D1750" s="1594">
        <v>4.32</v>
      </c>
    </row>
    <row r="1751" spans="1:4">
      <c r="A1751" s="615" t="s">
        <v>837</v>
      </c>
      <c r="B1751" s="909" t="s">
        <v>4162</v>
      </c>
      <c r="C1751" s="82">
        <v>2485</v>
      </c>
      <c r="D1751" s="1594">
        <v>4.26</v>
      </c>
    </row>
    <row r="1752" spans="1:4">
      <c r="A1752" s="615" t="s">
        <v>3046</v>
      </c>
      <c r="B1752" s="909" t="s">
        <v>354</v>
      </c>
      <c r="C1752" s="82">
        <v>3273</v>
      </c>
      <c r="D1752" s="1594">
        <v>4.2</v>
      </c>
    </row>
    <row r="1753" spans="1:4">
      <c r="A1753" s="615" t="s">
        <v>3779</v>
      </c>
      <c r="B1753" s="909" t="s">
        <v>4163</v>
      </c>
      <c r="C1753" s="82">
        <v>3271</v>
      </c>
      <c r="D1753" s="1594">
        <v>3.43</v>
      </c>
    </row>
    <row r="1754" spans="1:4">
      <c r="A1754" s="615" t="s">
        <v>2721</v>
      </c>
      <c r="B1754" s="909" t="s">
        <v>1410</v>
      </c>
      <c r="C1754" s="82">
        <v>2558</v>
      </c>
      <c r="D1754" s="1594">
        <v>3.89</v>
      </c>
    </row>
    <row r="1755" spans="1:4">
      <c r="A1755" s="615" t="s">
        <v>1037</v>
      </c>
      <c r="B1755" s="909" t="s">
        <v>2912</v>
      </c>
      <c r="C1755" s="82">
        <v>3370</v>
      </c>
      <c r="D1755" s="1594">
        <v>3.55</v>
      </c>
    </row>
    <row r="1756" spans="1:4">
      <c r="A1756" s="615" t="s">
        <v>743</v>
      </c>
      <c r="B1756" s="909" t="s">
        <v>2913</v>
      </c>
      <c r="C1756" s="82">
        <v>2562</v>
      </c>
      <c r="D1756" s="1594">
        <v>3.79</v>
      </c>
    </row>
    <row r="1757" spans="1:4">
      <c r="A1757" s="615" t="s">
        <v>6467</v>
      </c>
      <c r="B1757" s="853" t="s">
        <v>6466</v>
      </c>
      <c r="C1757" s="82">
        <v>3331</v>
      </c>
      <c r="D1757" s="1594">
        <v>3.9</v>
      </c>
    </row>
    <row r="1758" spans="1:4">
      <c r="A1758" s="615" t="s">
        <v>3492</v>
      </c>
      <c r="B1758" s="909" t="s">
        <v>1208</v>
      </c>
      <c r="C1758" s="82">
        <v>2527</v>
      </c>
      <c r="D1758" s="1594">
        <v>4.2699999999999996</v>
      </c>
    </row>
    <row r="1759" spans="1:4">
      <c r="A1759" s="615" t="s">
        <v>53</v>
      </c>
      <c r="B1759" s="909" t="s">
        <v>2045</v>
      </c>
      <c r="C1759" s="82">
        <v>15174</v>
      </c>
      <c r="D1759" s="1594">
        <v>3.62</v>
      </c>
    </row>
    <row r="1760" spans="1:4">
      <c r="A1760" s="615" t="s">
        <v>3048</v>
      </c>
      <c r="B1760" s="909" t="s">
        <v>1456</v>
      </c>
      <c r="C1760" s="82">
        <v>2521</v>
      </c>
      <c r="D1760" s="1594">
        <v>3.77</v>
      </c>
    </row>
    <row r="1761" spans="1:4">
      <c r="A1761" s="919" t="s">
        <v>8593</v>
      </c>
      <c r="B1761" s="918" t="s">
        <v>8594</v>
      </c>
      <c r="C1761" s="82">
        <v>15182</v>
      </c>
      <c r="D1761" s="1594">
        <v>3.1</v>
      </c>
    </row>
    <row r="1762" spans="1:4">
      <c r="A1762" s="615" t="s">
        <v>3475</v>
      </c>
      <c r="B1762" s="909" t="s">
        <v>3826</v>
      </c>
      <c r="C1762" s="82">
        <v>2802</v>
      </c>
      <c r="D1762" s="1594">
        <v>3.92</v>
      </c>
    </row>
    <row r="1763" spans="1:4">
      <c r="A1763" s="615" t="s">
        <v>1142</v>
      </c>
      <c r="B1763" s="909" t="s">
        <v>3001</v>
      </c>
      <c r="C1763" s="82">
        <v>2016</v>
      </c>
      <c r="D1763" s="1594">
        <v>3.69</v>
      </c>
    </row>
    <row r="1764" spans="1:4">
      <c r="A1764" s="615" t="s">
        <v>965</v>
      </c>
      <c r="B1764" s="909" t="s">
        <v>3002</v>
      </c>
      <c r="C1764" s="82">
        <v>2804</v>
      </c>
      <c r="D1764" s="1594">
        <v>3.95</v>
      </c>
    </row>
    <row r="1765" spans="1:4">
      <c r="A1765" s="615" t="s">
        <v>1136</v>
      </c>
      <c r="B1765" s="909" t="s">
        <v>3003</v>
      </c>
      <c r="C1765" s="82">
        <v>2805</v>
      </c>
      <c r="D1765" s="1594">
        <v>4.03</v>
      </c>
    </row>
    <row r="1766" spans="1:4">
      <c r="A1766" s="615" t="s">
        <v>3796</v>
      </c>
      <c r="B1766" s="909" t="s">
        <v>178</v>
      </c>
      <c r="C1766" s="82">
        <v>2637</v>
      </c>
      <c r="D1766" s="1594">
        <v>3.1</v>
      </c>
    </row>
    <row r="1767" spans="1:4">
      <c r="A1767" s="615" t="s">
        <v>1773</v>
      </c>
      <c r="B1767" s="909" t="s">
        <v>4569</v>
      </c>
      <c r="C1767" s="82">
        <v>3467</v>
      </c>
      <c r="D1767" s="1594">
        <v>2.8</v>
      </c>
    </row>
    <row r="1768" spans="1:4">
      <c r="A1768" s="615" t="s">
        <v>6884</v>
      </c>
      <c r="B1768" s="853" t="s">
        <v>6883</v>
      </c>
      <c r="C1768" s="82">
        <v>16328</v>
      </c>
      <c r="D1768" s="1594">
        <v>2</v>
      </c>
    </row>
    <row r="1769" spans="1:4">
      <c r="A1769" s="615" t="s">
        <v>3489</v>
      </c>
      <c r="B1769" s="909" t="s">
        <v>3490</v>
      </c>
      <c r="C1769" s="82">
        <v>16323</v>
      </c>
      <c r="D1769" s="1594">
        <v>2.9587323501170402</v>
      </c>
    </row>
    <row r="1770" spans="1:4">
      <c r="A1770" s="615" t="s">
        <v>3787</v>
      </c>
      <c r="B1770" s="909" t="s">
        <v>3788</v>
      </c>
      <c r="C1770" s="82">
        <v>2043</v>
      </c>
      <c r="D1770" s="1594">
        <v>3.88</v>
      </c>
    </row>
    <row r="1771" spans="1:4">
      <c r="A1771" s="615" t="s">
        <v>1690</v>
      </c>
      <c r="B1771" s="909" t="s">
        <v>1353</v>
      </c>
      <c r="C1771" s="82">
        <v>3326</v>
      </c>
      <c r="D1771" s="1594">
        <v>3.5</v>
      </c>
    </row>
    <row r="1772" spans="1:4">
      <c r="A1772" s="615" t="s">
        <v>203</v>
      </c>
      <c r="B1772" s="909" t="s">
        <v>204</v>
      </c>
      <c r="C1772" s="82">
        <v>18730</v>
      </c>
      <c r="D1772" s="1594">
        <v>3.71</v>
      </c>
    </row>
    <row r="1773" spans="1:4">
      <c r="A1773" s="615" t="s">
        <v>6890</v>
      </c>
      <c r="B1773" s="853" t="s">
        <v>6889</v>
      </c>
      <c r="C1773" s="82">
        <v>15208</v>
      </c>
      <c r="D1773" s="1594">
        <v>2</v>
      </c>
    </row>
    <row r="1774" spans="1:4">
      <c r="A1774" s="615" t="s">
        <v>2105</v>
      </c>
      <c r="B1774" s="909" t="s">
        <v>1354</v>
      </c>
      <c r="C1774" s="82">
        <v>2523</v>
      </c>
      <c r="D1774" s="1594">
        <v>3.68</v>
      </c>
    </row>
    <row r="1775" spans="1:4">
      <c r="A1775" s="615" t="s">
        <v>2106</v>
      </c>
      <c r="B1775" s="909" t="s">
        <v>1355</v>
      </c>
      <c r="C1775" s="82">
        <v>3325</v>
      </c>
      <c r="D1775" s="1594">
        <v>4.1100000000000003</v>
      </c>
    </row>
    <row r="1776" spans="1:4">
      <c r="A1776" s="615" t="s">
        <v>59</v>
      </c>
      <c r="B1776" s="909" t="s">
        <v>1356</v>
      </c>
      <c r="C1776" s="82">
        <v>2526</v>
      </c>
      <c r="D1776" s="1594">
        <v>3.46</v>
      </c>
    </row>
    <row r="1777" spans="1:4">
      <c r="A1777" s="615" t="s">
        <v>2645</v>
      </c>
      <c r="B1777" s="909" t="s">
        <v>1357</v>
      </c>
      <c r="C1777" s="82">
        <v>3324</v>
      </c>
      <c r="D1777" s="1594">
        <v>4.04</v>
      </c>
    </row>
    <row r="1778" spans="1:4">
      <c r="A1778" s="615" t="s">
        <v>1681</v>
      </c>
      <c r="B1778" s="909" t="s">
        <v>1358</v>
      </c>
      <c r="C1778" s="82">
        <v>18588</v>
      </c>
      <c r="D1778" s="1594">
        <v>4.38</v>
      </c>
    </row>
    <row r="1779" spans="1:4">
      <c r="A1779" s="615" t="s">
        <v>5628</v>
      </c>
      <c r="B1779" s="909" t="s">
        <v>1359</v>
      </c>
      <c r="C1779" s="82">
        <v>3327</v>
      </c>
      <c r="D1779" s="1594">
        <v>3.65</v>
      </c>
    </row>
    <row r="1780" spans="1:4">
      <c r="A1780" s="615" t="s">
        <v>6773</v>
      </c>
      <c r="B1780" s="853" t="s">
        <v>6772</v>
      </c>
      <c r="C1780" s="82">
        <v>19217</v>
      </c>
      <c r="D1780" s="1594">
        <v>2</v>
      </c>
    </row>
    <row r="1781" spans="1:4">
      <c r="A1781" s="615" t="s">
        <v>4269</v>
      </c>
      <c r="B1781" s="909" t="s">
        <v>1360</v>
      </c>
      <c r="C1781" s="82">
        <v>2524</v>
      </c>
      <c r="D1781" s="1594">
        <v>3.51</v>
      </c>
    </row>
    <row r="1782" spans="1:4">
      <c r="A1782" s="615" t="s">
        <v>57</v>
      </c>
      <c r="B1782" s="909" t="s">
        <v>2222</v>
      </c>
      <c r="C1782" s="82">
        <v>3329</v>
      </c>
      <c r="D1782" s="1594">
        <v>3.8</v>
      </c>
    </row>
    <row r="1783" spans="1:4">
      <c r="A1783" s="615" t="s">
        <v>4785</v>
      </c>
      <c r="B1783" s="909" t="s">
        <v>2223</v>
      </c>
      <c r="C1783" s="82">
        <v>2522</v>
      </c>
      <c r="D1783" s="1594">
        <v>3.68</v>
      </c>
    </row>
    <row r="1784" spans="1:4">
      <c r="A1784" s="615" t="s">
        <v>2065</v>
      </c>
      <c r="B1784" s="909" t="s">
        <v>2066</v>
      </c>
      <c r="C1784" s="82">
        <v>15221</v>
      </c>
      <c r="D1784" s="1594">
        <v>4.03</v>
      </c>
    </row>
    <row r="1785" spans="1:4">
      <c r="A1785" s="615" t="s">
        <v>982</v>
      </c>
      <c r="B1785" s="909" t="s">
        <v>2224</v>
      </c>
      <c r="C1785" s="82">
        <v>15223</v>
      </c>
      <c r="D1785" s="1594">
        <v>3.61</v>
      </c>
    </row>
    <row r="1786" spans="1:4">
      <c r="A1786" s="615" t="s">
        <v>3595</v>
      </c>
      <c r="B1786" s="909" t="s">
        <v>5720</v>
      </c>
      <c r="C1786" s="82">
        <v>3387</v>
      </c>
      <c r="D1786" s="1594">
        <v>3.3182763159269002</v>
      </c>
    </row>
    <row r="1787" spans="1:4">
      <c r="A1787" s="615" t="s">
        <v>3004</v>
      </c>
      <c r="B1787" s="853" t="s">
        <v>3004</v>
      </c>
      <c r="C1787" s="82"/>
      <c r="D1787" s="1597">
        <v>4.3</v>
      </c>
    </row>
    <row r="1788" spans="1:4">
      <c r="A1788" s="615" t="s">
        <v>5433</v>
      </c>
      <c r="B1788" s="909" t="s">
        <v>2749</v>
      </c>
      <c r="C1788" s="82">
        <v>2326</v>
      </c>
      <c r="D1788" s="1594">
        <v>4.0999999999999996</v>
      </c>
    </row>
    <row r="1789" spans="1:4">
      <c r="A1789" s="615" t="s">
        <v>3605</v>
      </c>
      <c r="B1789" s="909" t="s">
        <v>2750</v>
      </c>
      <c r="C1789" s="82">
        <v>3126</v>
      </c>
      <c r="D1789" s="1594">
        <v>3.53</v>
      </c>
    </row>
    <row r="1790" spans="1:4">
      <c r="A1790" s="615" t="s">
        <v>120</v>
      </c>
      <c r="B1790" s="909" t="s">
        <v>4770</v>
      </c>
      <c r="C1790" s="82">
        <v>2318</v>
      </c>
      <c r="D1790" s="1594">
        <v>4.08</v>
      </c>
    </row>
    <row r="1791" spans="1:4">
      <c r="A1791" s="615" t="s">
        <v>1659</v>
      </c>
      <c r="B1791" s="909" t="s">
        <v>1660</v>
      </c>
      <c r="C1791" s="82">
        <v>15237</v>
      </c>
      <c r="D1791" s="1594">
        <v>4.25</v>
      </c>
    </row>
    <row r="1792" spans="1:4">
      <c r="A1792" s="615" t="s">
        <v>4040</v>
      </c>
      <c r="B1792" s="909" t="s">
        <v>4771</v>
      </c>
      <c r="C1792" s="82">
        <v>3114</v>
      </c>
      <c r="D1792" s="1594">
        <v>3.72</v>
      </c>
    </row>
    <row r="1793" spans="1:4">
      <c r="A1793" s="615" t="s">
        <v>6688</v>
      </c>
      <c r="B1793" s="853" t="s">
        <v>6687</v>
      </c>
      <c r="C1793" s="82">
        <v>15238</v>
      </c>
      <c r="D1793" s="1594">
        <v>4.3</v>
      </c>
    </row>
    <row r="1794" spans="1:4">
      <c r="A1794" s="615" t="s">
        <v>6836</v>
      </c>
      <c r="B1794" s="853" t="s">
        <v>6835</v>
      </c>
      <c r="C1794" s="82">
        <v>15241</v>
      </c>
      <c r="D1794" s="1594">
        <v>2</v>
      </c>
    </row>
    <row r="1795" spans="1:4">
      <c r="A1795" s="615" t="s">
        <v>2653</v>
      </c>
      <c r="B1795" s="909" t="s">
        <v>1371</v>
      </c>
      <c r="C1795" s="82">
        <v>18713</v>
      </c>
      <c r="D1795" s="1594">
        <v>2.0617598316454031</v>
      </c>
    </row>
    <row r="1796" spans="1:4">
      <c r="A1796" s="615" t="s">
        <v>56</v>
      </c>
      <c r="B1796" s="909" t="s">
        <v>2046</v>
      </c>
      <c r="C1796" s="82">
        <v>3226</v>
      </c>
      <c r="D1796" s="1594">
        <v>3.56</v>
      </c>
    </row>
    <row r="1797" spans="1:4">
      <c r="A1797" s="615" t="s">
        <v>744</v>
      </c>
      <c r="B1797" s="909" t="s">
        <v>2562</v>
      </c>
      <c r="C1797" s="82">
        <v>2711</v>
      </c>
      <c r="D1797" s="1594">
        <v>3.55</v>
      </c>
    </row>
    <row r="1798" spans="1:4">
      <c r="A1798" s="615" t="s">
        <v>6781</v>
      </c>
      <c r="B1798" s="853" t="s">
        <v>6780</v>
      </c>
      <c r="C1798" s="82">
        <v>17070</v>
      </c>
      <c r="D1798" s="1594">
        <v>2</v>
      </c>
    </row>
    <row r="1799" spans="1:4">
      <c r="A1799" s="615" t="s">
        <v>202</v>
      </c>
      <c r="B1799" s="909" t="s">
        <v>5280</v>
      </c>
      <c r="C1799" s="82">
        <v>3561</v>
      </c>
      <c r="D1799" s="1594">
        <v>3.2</v>
      </c>
    </row>
    <row r="1800" spans="1:4">
      <c r="A1800" s="615" t="s">
        <v>346</v>
      </c>
      <c r="B1800" s="909" t="s">
        <v>347</v>
      </c>
      <c r="C1800" s="82">
        <v>17043</v>
      </c>
      <c r="D1800" s="1594">
        <v>4.5</v>
      </c>
    </row>
    <row r="1801" spans="1:4">
      <c r="A1801" s="615" t="s">
        <v>2207</v>
      </c>
      <c r="B1801" s="909" t="s">
        <v>109</v>
      </c>
      <c r="C1801" s="82">
        <v>3427</v>
      </c>
      <c r="D1801" s="1594">
        <v>2.5</v>
      </c>
    </row>
    <row r="1802" spans="1:4">
      <c r="A1802" s="615" t="s">
        <v>3617</v>
      </c>
      <c r="B1802" s="909" t="s">
        <v>4772</v>
      </c>
      <c r="C1802" s="82">
        <v>3119</v>
      </c>
      <c r="D1802" s="1594">
        <v>4.5</v>
      </c>
    </row>
    <row r="1803" spans="1:4">
      <c r="A1803" s="615" t="s">
        <v>6671</v>
      </c>
      <c r="B1803" s="853" t="s">
        <v>6670</v>
      </c>
      <c r="C1803" s="82">
        <v>15247</v>
      </c>
      <c r="D1803" s="1594">
        <v>4.5</v>
      </c>
    </row>
    <row r="1804" spans="1:4">
      <c r="A1804" s="615" t="s">
        <v>3085</v>
      </c>
      <c r="B1804" s="909" t="s">
        <v>4773</v>
      </c>
      <c r="C1804" s="82">
        <v>3120</v>
      </c>
      <c r="D1804" s="1594">
        <v>4.07</v>
      </c>
    </row>
    <row r="1805" spans="1:4">
      <c r="A1805" s="615" t="s">
        <v>6684</v>
      </c>
      <c r="B1805" s="853" t="s">
        <v>6683</v>
      </c>
      <c r="C1805" s="82">
        <v>15250</v>
      </c>
      <c r="D1805" s="1594">
        <v>4.5</v>
      </c>
    </row>
    <row r="1806" spans="1:4">
      <c r="A1806" s="615" t="s">
        <v>5017</v>
      </c>
      <c r="B1806" s="909" t="s">
        <v>4774</v>
      </c>
      <c r="C1806" s="82">
        <v>2320</v>
      </c>
      <c r="D1806" s="1594">
        <v>4.34</v>
      </c>
    </row>
    <row r="1807" spans="1:4">
      <c r="A1807" s="615" t="s">
        <v>6444</v>
      </c>
      <c r="B1807" s="853" t="s">
        <v>6443</v>
      </c>
      <c r="C1807" s="82">
        <v>15251</v>
      </c>
      <c r="D1807" s="1594">
        <v>4.5</v>
      </c>
    </row>
    <row r="1808" spans="1:4">
      <c r="A1808" s="615" t="s">
        <v>4825</v>
      </c>
      <c r="B1808" s="909" t="s">
        <v>2225</v>
      </c>
      <c r="C1808" s="82">
        <v>2509</v>
      </c>
      <c r="D1808" s="1594">
        <v>3.3</v>
      </c>
    </row>
    <row r="1809" spans="1:4">
      <c r="A1809" s="615" t="s">
        <v>3463</v>
      </c>
      <c r="B1809" s="909" t="s">
        <v>247</v>
      </c>
      <c r="C1809" s="82">
        <v>2511</v>
      </c>
      <c r="D1809" s="1594">
        <v>3.41</v>
      </c>
    </row>
    <row r="1810" spans="1:4">
      <c r="A1810" s="615" t="s">
        <v>3547</v>
      </c>
      <c r="B1810" s="909" t="s">
        <v>248</v>
      </c>
      <c r="C1810" s="82">
        <v>3317</v>
      </c>
      <c r="D1810" s="1594">
        <v>3.4</v>
      </c>
    </row>
    <row r="1811" spans="1:4">
      <c r="A1811" s="615" t="s">
        <v>5704</v>
      </c>
      <c r="B1811" s="909" t="s">
        <v>249</v>
      </c>
      <c r="C1811" s="82">
        <v>3318</v>
      </c>
      <c r="D1811" s="1594">
        <v>3.4</v>
      </c>
    </row>
    <row r="1812" spans="1:4">
      <c r="A1812" s="615" t="s">
        <v>4879</v>
      </c>
      <c r="B1812" s="909" t="s">
        <v>4467</v>
      </c>
      <c r="C1812" s="82">
        <v>2508</v>
      </c>
      <c r="D1812" s="1594">
        <v>3.38</v>
      </c>
    </row>
    <row r="1813" spans="1:4">
      <c r="A1813" s="615" t="s">
        <v>2970</v>
      </c>
      <c r="B1813" s="909" t="s">
        <v>620</v>
      </c>
      <c r="C1813" s="82">
        <v>15252</v>
      </c>
      <c r="D1813" s="1594">
        <v>4.17</v>
      </c>
    </row>
    <row r="1814" spans="1:4">
      <c r="A1814" s="615" t="s">
        <v>3109</v>
      </c>
      <c r="B1814" s="909" t="s">
        <v>530</v>
      </c>
      <c r="C1814" s="82">
        <v>3069</v>
      </c>
      <c r="D1814" s="1594">
        <v>3.89</v>
      </c>
    </row>
    <row r="1815" spans="1:4">
      <c r="A1815" s="615" t="s">
        <v>6477</v>
      </c>
      <c r="B1815" s="853" t="s">
        <v>6476</v>
      </c>
      <c r="C1815" s="82">
        <v>19318</v>
      </c>
      <c r="D1815" s="1594">
        <v>2</v>
      </c>
    </row>
    <row r="1816" spans="1:4">
      <c r="A1816" s="615" t="s">
        <v>6542</v>
      </c>
      <c r="B1816" s="853" t="s">
        <v>6541</v>
      </c>
      <c r="C1816" s="82">
        <v>2284</v>
      </c>
      <c r="D1816" s="1594">
        <v>3.4</v>
      </c>
    </row>
    <row r="1817" spans="1:4">
      <c r="A1817" s="615" t="s">
        <v>6767</v>
      </c>
      <c r="B1817" s="853" t="s">
        <v>6766</v>
      </c>
      <c r="C1817" s="82">
        <v>15260</v>
      </c>
      <c r="D1817" s="1594">
        <v>3.8</v>
      </c>
    </row>
    <row r="1818" spans="1:4">
      <c r="A1818" s="615" t="s">
        <v>6544</v>
      </c>
      <c r="B1818" s="853" t="s">
        <v>6543</v>
      </c>
      <c r="C1818" s="82">
        <v>2283</v>
      </c>
      <c r="D1818" s="1594">
        <v>2</v>
      </c>
    </row>
    <row r="1819" spans="1:4">
      <c r="A1819" s="919" t="s">
        <v>8595</v>
      </c>
      <c r="B1819" s="918" t="s">
        <v>8596</v>
      </c>
      <c r="C1819" s="82">
        <v>6785</v>
      </c>
      <c r="D1819" s="1594">
        <v>3.56</v>
      </c>
    </row>
    <row r="1820" spans="1:4">
      <c r="A1820" s="615" t="s">
        <v>2821</v>
      </c>
      <c r="B1820" s="909" t="s">
        <v>110</v>
      </c>
      <c r="C1820" s="82">
        <v>2610</v>
      </c>
      <c r="D1820" s="1594">
        <v>2.2000000000000002</v>
      </c>
    </row>
    <row r="1821" spans="1:4">
      <c r="A1821" s="615" t="s">
        <v>1489</v>
      </c>
      <c r="B1821" s="909" t="s">
        <v>111</v>
      </c>
      <c r="C1821" s="82">
        <v>16659</v>
      </c>
      <c r="D1821" s="1594">
        <v>2.4713768380352099</v>
      </c>
    </row>
    <row r="1822" spans="1:4">
      <c r="A1822" s="615" t="s">
        <v>428</v>
      </c>
      <c r="B1822" s="909" t="s">
        <v>1966</v>
      </c>
      <c r="C1822" s="82">
        <v>15277</v>
      </c>
      <c r="D1822" s="1594">
        <v>2.77</v>
      </c>
    </row>
    <row r="1823" spans="1:4">
      <c r="A1823" s="919" t="s">
        <v>8597</v>
      </c>
      <c r="B1823" s="918" t="s">
        <v>8598</v>
      </c>
      <c r="C1823" s="82">
        <v>15290</v>
      </c>
      <c r="D1823" s="1594">
        <v>2</v>
      </c>
    </row>
    <row r="1824" spans="1:4">
      <c r="A1824" s="919" t="s">
        <v>4372</v>
      </c>
      <c r="B1824" s="918" t="s">
        <v>8599</v>
      </c>
      <c r="C1824" s="82">
        <v>2463</v>
      </c>
      <c r="D1824" s="1594">
        <v>2</v>
      </c>
    </row>
    <row r="1825" spans="1:4">
      <c r="A1825" s="615" t="s">
        <v>3311</v>
      </c>
      <c r="B1825" s="909" t="s">
        <v>1531</v>
      </c>
      <c r="C1825" s="82">
        <v>3262</v>
      </c>
      <c r="D1825" s="1594">
        <v>2.31</v>
      </c>
    </row>
    <row r="1826" spans="1:4">
      <c r="A1826" s="615" t="s">
        <v>4240</v>
      </c>
      <c r="B1826" s="909" t="s">
        <v>1372</v>
      </c>
      <c r="C1826" s="82">
        <v>2706</v>
      </c>
      <c r="D1826" s="1594">
        <v>2.1</v>
      </c>
    </row>
    <row r="1827" spans="1:4">
      <c r="A1827" s="615" t="s">
        <v>1770</v>
      </c>
      <c r="B1827" s="909" t="s">
        <v>1532</v>
      </c>
      <c r="C1827" s="82">
        <v>3099</v>
      </c>
      <c r="D1827" s="1594">
        <v>3.29</v>
      </c>
    </row>
    <row r="1828" spans="1:4">
      <c r="A1828" s="615" t="s">
        <v>5395</v>
      </c>
      <c r="B1828" s="909" t="s">
        <v>236</v>
      </c>
      <c r="C1828" s="82">
        <v>15315</v>
      </c>
      <c r="D1828" s="1594">
        <v>3.37</v>
      </c>
    </row>
    <row r="1829" spans="1:4">
      <c r="A1829" s="615" t="s">
        <v>3296</v>
      </c>
      <c r="B1829" s="909" t="s">
        <v>4545</v>
      </c>
      <c r="C1829" s="82">
        <v>2180</v>
      </c>
      <c r="D1829" s="1594">
        <v>3.32</v>
      </c>
    </row>
    <row r="1830" spans="1:4">
      <c r="A1830" s="615" t="s">
        <v>6847</v>
      </c>
      <c r="B1830" s="909" t="s">
        <v>4546</v>
      </c>
      <c r="C1830" s="82">
        <v>2973</v>
      </c>
      <c r="D1830" s="1594">
        <v>4.37</v>
      </c>
    </row>
    <row r="1831" spans="1:4">
      <c r="A1831" s="615" t="s">
        <v>2753</v>
      </c>
      <c r="B1831" s="909" t="s">
        <v>2914</v>
      </c>
      <c r="C1831" s="82">
        <v>2553</v>
      </c>
      <c r="D1831" s="1594">
        <v>3.19</v>
      </c>
    </row>
    <row r="1832" spans="1:4">
      <c r="A1832" s="615" t="s">
        <v>4408</v>
      </c>
      <c r="B1832" s="853" t="s">
        <v>6837</v>
      </c>
      <c r="C1832" s="82">
        <v>15344</v>
      </c>
      <c r="D1832" s="1594">
        <v>2</v>
      </c>
    </row>
    <row r="1833" spans="1:4">
      <c r="A1833" s="615" t="s">
        <v>4496</v>
      </c>
      <c r="B1833" s="909" t="s">
        <v>2915</v>
      </c>
      <c r="C1833" s="82">
        <v>3367</v>
      </c>
      <c r="D1833" s="1594">
        <v>3.13</v>
      </c>
    </row>
    <row r="1834" spans="1:4">
      <c r="A1834" s="615" t="s">
        <v>3451</v>
      </c>
      <c r="B1834" s="909" t="s">
        <v>2916</v>
      </c>
      <c r="C1834" s="82">
        <v>2552</v>
      </c>
      <c r="D1834" s="1594">
        <v>3.41</v>
      </c>
    </row>
    <row r="1835" spans="1:4">
      <c r="A1835" s="615" t="s">
        <v>6868</v>
      </c>
      <c r="B1835" s="909" t="s">
        <v>1373</v>
      </c>
      <c r="C1835" s="82">
        <v>2705</v>
      </c>
      <c r="D1835" s="1594">
        <v>2.1</v>
      </c>
    </row>
    <row r="1836" spans="1:4">
      <c r="A1836" s="615" t="s">
        <v>3999</v>
      </c>
      <c r="B1836" s="909" t="s">
        <v>4000</v>
      </c>
      <c r="C1836" s="82">
        <v>3549</v>
      </c>
      <c r="D1836" s="1594">
        <v>2.1</v>
      </c>
    </row>
    <row r="1837" spans="1:4">
      <c r="A1837" s="615" t="s">
        <v>2778</v>
      </c>
      <c r="B1837" s="909" t="s">
        <v>5439</v>
      </c>
      <c r="C1837" s="82">
        <v>3438</v>
      </c>
      <c r="D1837" s="1594">
        <v>2.2000000000000002</v>
      </c>
    </row>
    <row r="1838" spans="1:4">
      <c r="A1838" s="615" t="s">
        <v>4132</v>
      </c>
      <c r="B1838" s="909" t="s">
        <v>3005</v>
      </c>
      <c r="C1838" s="82">
        <v>2033</v>
      </c>
      <c r="D1838" s="1594">
        <v>4.22</v>
      </c>
    </row>
    <row r="1839" spans="1:4">
      <c r="A1839" s="615" t="s">
        <v>593</v>
      </c>
      <c r="B1839" s="909" t="s">
        <v>3006</v>
      </c>
      <c r="C1839" s="82">
        <v>15351</v>
      </c>
      <c r="D1839" s="1594">
        <v>4.25</v>
      </c>
    </row>
    <row r="1840" spans="1:4">
      <c r="A1840" s="615" t="s">
        <v>3789</v>
      </c>
      <c r="B1840" s="909" t="s">
        <v>3007</v>
      </c>
      <c r="C1840" s="82">
        <v>2833</v>
      </c>
      <c r="D1840" s="1594">
        <v>4.2</v>
      </c>
    </row>
    <row r="1841" spans="1:4">
      <c r="A1841" s="615" t="s">
        <v>441</v>
      </c>
      <c r="B1841" s="853" t="s">
        <v>6572</v>
      </c>
      <c r="C1841" s="82">
        <v>2201</v>
      </c>
      <c r="D1841" s="1594">
        <v>4.0999999999999996</v>
      </c>
    </row>
    <row r="1842" spans="1:4">
      <c r="A1842" s="615" t="s">
        <v>4335</v>
      </c>
      <c r="B1842" s="909" t="s">
        <v>4335</v>
      </c>
      <c r="C1842" s="82"/>
      <c r="D1842" s="1594">
        <v>4.1533011003667903</v>
      </c>
    </row>
    <row r="1843" spans="1:4">
      <c r="A1843" s="615" t="s">
        <v>4985</v>
      </c>
      <c r="B1843" s="909" t="s">
        <v>4985</v>
      </c>
      <c r="C1843" s="82"/>
      <c r="D1843" s="1594">
        <v>3.3182763159269002</v>
      </c>
    </row>
    <row r="1844" spans="1:4">
      <c r="A1844" s="615" t="s">
        <v>1155</v>
      </c>
      <c r="B1844" s="909" t="s">
        <v>1155</v>
      </c>
      <c r="C1844" s="82"/>
      <c r="D1844" s="1594">
        <v>4.1533011003667903</v>
      </c>
    </row>
    <row r="1845" spans="1:4">
      <c r="A1845" s="615" t="s">
        <v>3060</v>
      </c>
      <c r="B1845" s="909" t="s">
        <v>237</v>
      </c>
      <c r="C1845" s="82">
        <v>2367</v>
      </c>
      <c r="D1845" s="1594">
        <v>3.4</v>
      </c>
    </row>
    <row r="1846" spans="1:4">
      <c r="A1846" s="615" t="s">
        <v>534</v>
      </c>
      <c r="B1846" s="909" t="s">
        <v>238</v>
      </c>
      <c r="C1846" s="82">
        <v>18581</v>
      </c>
      <c r="D1846" s="1594">
        <v>3.39</v>
      </c>
    </row>
    <row r="1847" spans="1:4">
      <c r="A1847" s="615" t="s">
        <v>3491</v>
      </c>
      <c r="B1847" s="909" t="s">
        <v>239</v>
      </c>
      <c r="C1847" s="82">
        <v>3227</v>
      </c>
      <c r="D1847" s="1594">
        <v>2.86</v>
      </c>
    </row>
    <row r="1848" spans="1:4">
      <c r="A1848" s="615" t="s">
        <v>3841</v>
      </c>
      <c r="B1848" s="909" t="s">
        <v>240</v>
      </c>
      <c r="C1848" s="82">
        <v>2384</v>
      </c>
      <c r="D1848" s="1594">
        <v>3.26</v>
      </c>
    </row>
    <row r="1849" spans="1:4">
      <c r="A1849" s="615" t="s">
        <v>4522</v>
      </c>
      <c r="B1849" s="909" t="s">
        <v>241</v>
      </c>
      <c r="C1849" s="82">
        <v>2568</v>
      </c>
      <c r="D1849" s="1594">
        <v>4.04</v>
      </c>
    </row>
    <row r="1850" spans="1:4">
      <c r="A1850" s="615" t="s">
        <v>1676</v>
      </c>
      <c r="B1850" s="909" t="s">
        <v>4961</v>
      </c>
      <c r="C1850" s="82">
        <v>3375</v>
      </c>
      <c r="D1850" s="1594">
        <v>3.64</v>
      </c>
    </row>
    <row r="1851" spans="1:4">
      <c r="A1851" s="615" t="s">
        <v>3244</v>
      </c>
      <c r="B1851" s="909" t="s">
        <v>5372</v>
      </c>
      <c r="C1851" s="82">
        <v>3048</v>
      </c>
      <c r="D1851" s="1594">
        <v>4.5</v>
      </c>
    </row>
    <row r="1852" spans="1:4">
      <c r="A1852" s="615" t="s">
        <v>6724</v>
      </c>
      <c r="B1852" s="853" t="s">
        <v>6723</v>
      </c>
      <c r="C1852" s="82">
        <v>15378</v>
      </c>
      <c r="D1852" s="1594">
        <v>4.5</v>
      </c>
    </row>
    <row r="1853" spans="1:4">
      <c r="A1853" s="615" t="s">
        <v>308</v>
      </c>
      <c r="B1853" s="909" t="s">
        <v>4743</v>
      </c>
      <c r="C1853" s="82">
        <v>15383</v>
      </c>
      <c r="D1853" s="1594">
        <v>4.5</v>
      </c>
    </row>
    <row r="1854" spans="1:4">
      <c r="A1854" s="615" t="s">
        <v>2333</v>
      </c>
      <c r="B1854" s="909" t="s">
        <v>579</v>
      </c>
      <c r="C1854" s="82">
        <v>15384</v>
      </c>
      <c r="D1854" s="1594">
        <v>4.49</v>
      </c>
    </row>
    <row r="1855" spans="1:4">
      <c r="A1855" s="919" t="s">
        <v>8600</v>
      </c>
      <c r="B1855" s="918" t="s">
        <v>8601</v>
      </c>
      <c r="C1855" s="82">
        <v>16089</v>
      </c>
      <c r="D1855" s="1594">
        <v>4.5</v>
      </c>
    </row>
    <row r="1856" spans="1:4">
      <c r="A1856" s="615" t="s">
        <v>211</v>
      </c>
      <c r="B1856" s="909" t="s">
        <v>212</v>
      </c>
      <c r="C1856" s="82">
        <v>15387</v>
      </c>
      <c r="D1856" s="1594">
        <v>4.04</v>
      </c>
    </row>
    <row r="1857" spans="1:4">
      <c r="A1857" s="615" t="s">
        <v>875</v>
      </c>
      <c r="B1857" s="909" t="s">
        <v>580</v>
      </c>
      <c r="C1857" s="82">
        <v>2255</v>
      </c>
      <c r="D1857" s="1594">
        <v>4.32</v>
      </c>
    </row>
    <row r="1858" spans="1:4">
      <c r="A1858" s="615" t="s">
        <v>3720</v>
      </c>
      <c r="B1858" s="909" t="s">
        <v>3922</v>
      </c>
      <c r="C1858" s="82">
        <v>2028</v>
      </c>
      <c r="D1858" s="1594">
        <v>4.08</v>
      </c>
    </row>
    <row r="1859" spans="1:4">
      <c r="A1859" s="919" t="s">
        <v>8602</v>
      </c>
      <c r="B1859" s="918" t="s">
        <v>8603</v>
      </c>
      <c r="C1859" s="82">
        <v>2824</v>
      </c>
      <c r="D1859" s="1594">
        <v>4.3</v>
      </c>
    </row>
    <row r="1860" spans="1:4">
      <c r="A1860" s="615" t="s">
        <v>6483</v>
      </c>
      <c r="B1860" s="853" t="s">
        <v>6482</v>
      </c>
      <c r="C1860" s="82">
        <v>2823</v>
      </c>
      <c r="D1860" s="1594">
        <v>3.9</v>
      </c>
    </row>
    <row r="1861" spans="1:4">
      <c r="A1861" s="615" t="s">
        <v>4225</v>
      </c>
      <c r="B1861" s="909" t="s">
        <v>4535</v>
      </c>
      <c r="C1861" s="82">
        <v>2822</v>
      </c>
      <c r="D1861" s="1594">
        <v>4.5</v>
      </c>
    </row>
    <row r="1862" spans="1:4">
      <c r="A1862" s="615" t="s">
        <v>127</v>
      </c>
      <c r="B1862" s="909" t="s">
        <v>4536</v>
      </c>
      <c r="C1862" s="82">
        <v>2027</v>
      </c>
      <c r="D1862" s="1594">
        <v>4.09</v>
      </c>
    </row>
    <row r="1863" spans="1:4">
      <c r="A1863" s="615" t="s">
        <v>5431</v>
      </c>
      <c r="B1863" s="909" t="s">
        <v>4962</v>
      </c>
      <c r="C1863" s="82">
        <v>3205</v>
      </c>
      <c r="D1863" s="1594">
        <v>4.1500000000000004</v>
      </c>
    </row>
    <row r="1864" spans="1:4">
      <c r="A1864" s="615" t="s">
        <v>6783</v>
      </c>
      <c r="B1864" s="853" t="s">
        <v>6782</v>
      </c>
      <c r="C1864" s="82">
        <v>3652</v>
      </c>
      <c r="D1864" s="1594">
        <v>3</v>
      </c>
    </row>
    <row r="1865" spans="1:4">
      <c r="A1865" s="615" t="s">
        <v>2136</v>
      </c>
      <c r="B1865" s="909" t="s">
        <v>1989</v>
      </c>
      <c r="C1865" s="82">
        <v>2400</v>
      </c>
      <c r="D1865" s="1594">
        <v>3.55</v>
      </c>
    </row>
    <row r="1866" spans="1:4">
      <c r="A1866" s="615" t="s">
        <v>2808</v>
      </c>
      <c r="B1866" s="909" t="s">
        <v>2034</v>
      </c>
      <c r="C1866" s="82">
        <v>2773</v>
      </c>
      <c r="D1866" s="1594">
        <v>1</v>
      </c>
    </row>
    <row r="1867" spans="1:4">
      <c r="A1867" s="615" t="s">
        <v>1106</v>
      </c>
      <c r="B1867" s="909" t="s">
        <v>1374</v>
      </c>
      <c r="C1867" s="82">
        <v>2696</v>
      </c>
      <c r="D1867" s="1594">
        <v>2.1</v>
      </c>
    </row>
    <row r="1868" spans="1:4">
      <c r="A1868" s="615" t="s">
        <v>2649</v>
      </c>
      <c r="B1868" s="909" t="s">
        <v>1375</v>
      </c>
      <c r="C1868" s="82">
        <v>17369</v>
      </c>
      <c r="D1868" s="1594">
        <v>2.1</v>
      </c>
    </row>
    <row r="1869" spans="1:4">
      <c r="A1869" s="615" t="s">
        <v>3771</v>
      </c>
      <c r="B1869" s="909" t="s">
        <v>4761</v>
      </c>
      <c r="C1869" s="82">
        <v>3538</v>
      </c>
      <c r="D1869" s="1594">
        <v>2.1</v>
      </c>
    </row>
    <row r="1870" spans="1:4">
      <c r="A1870" s="615" t="s">
        <v>2677</v>
      </c>
      <c r="B1870" s="909" t="s">
        <v>4762</v>
      </c>
      <c r="C1870" s="82">
        <v>3658</v>
      </c>
      <c r="D1870" s="1594">
        <v>2.1</v>
      </c>
    </row>
    <row r="1871" spans="1:4">
      <c r="A1871" s="615" t="s">
        <v>6906</v>
      </c>
      <c r="B1871" s="853" t="s">
        <v>6905</v>
      </c>
      <c r="C1871" s="82">
        <v>17381</v>
      </c>
      <c r="D1871" s="1594">
        <v>2</v>
      </c>
    </row>
    <row r="1872" spans="1:4">
      <c r="A1872" s="615" t="s">
        <v>5331</v>
      </c>
      <c r="B1872" s="909" t="s">
        <v>1990</v>
      </c>
      <c r="C1872" s="82">
        <v>2376</v>
      </c>
      <c r="D1872" s="1594">
        <v>3.29</v>
      </c>
    </row>
    <row r="1873" spans="1:4">
      <c r="A1873" s="615" t="s">
        <v>6946</v>
      </c>
      <c r="B1873" s="853" t="s">
        <v>6945</v>
      </c>
      <c r="C1873" s="82">
        <v>18284</v>
      </c>
      <c r="D1873" s="1594">
        <v>2</v>
      </c>
    </row>
    <row r="1874" spans="1:4">
      <c r="A1874" s="615" t="s">
        <v>6609</v>
      </c>
      <c r="B1874" s="853" t="s">
        <v>6608</v>
      </c>
      <c r="C1874" s="82">
        <v>18285</v>
      </c>
      <c r="D1874" s="1594">
        <v>2</v>
      </c>
    </row>
    <row r="1875" spans="1:4">
      <c r="A1875" s="615" t="s">
        <v>1513</v>
      </c>
      <c r="B1875" s="853" t="s">
        <v>6891</v>
      </c>
      <c r="C1875" s="82">
        <v>2757</v>
      </c>
      <c r="D1875" s="1594">
        <v>2.2999999999999998</v>
      </c>
    </row>
    <row r="1876" spans="1:4">
      <c r="A1876" s="919" t="s">
        <v>8604</v>
      </c>
      <c r="B1876" s="918" t="s">
        <v>8605</v>
      </c>
      <c r="C1876" s="82">
        <v>20449</v>
      </c>
      <c r="D1876" s="1594">
        <v>2</v>
      </c>
    </row>
    <row r="1877" spans="1:4">
      <c r="A1877" s="615" t="s">
        <v>73</v>
      </c>
      <c r="B1877" s="909" t="s">
        <v>4253</v>
      </c>
      <c r="C1877" s="82">
        <v>2100</v>
      </c>
      <c r="D1877" s="1594">
        <v>3.04</v>
      </c>
    </row>
    <row r="1878" spans="1:4">
      <c r="A1878" s="615" t="s">
        <v>1292</v>
      </c>
      <c r="B1878" s="909" t="s">
        <v>4254</v>
      </c>
      <c r="C1878" s="82">
        <v>2911</v>
      </c>
      <c r="D1878" s="1594">
        <v>3.4</v>
      </c>
    </row>
    <row r="1879" spans="1:4">
      <c r="A1879" s="615" t="s">
        <v>3939</v>
      </c>
      <c r="B1879" s="909" t="s">
        <v>4255</v>
      </c>
      <c r="C1879" s="82">
        <v>2102</v>
      </c>
      <c r="D1879" s="1594">
        <v>3</v>
      </c>
    </row>
    <row r="1880" spans="1:4">
      <c r="A1880" s="615" t="s">
        <v>4188</v>
      </c>
      <c r="B1880" s="909" t="s">
        <v>4537</v>
      </c>
      <c r="C1880" s="82">
        <v>2831</v>
      </c>
      <c r="D1880" s="1594">
        <v>4.3</v>
      </c>
    </row>
    <row r="1881" spans="1:4">
      <c r="A1881" s="615" t="s">
        <v>4787</v>
      </c>
      <c r="B1881" s="909" t="s">
        <v>5453</v>
      </c>
      <c r="C1881" s="82">
        <v>2832</v>
      </c>
      <c r="D1881" s="1594">
        <v>4.16</v>
      </c>
    </row>
    <row r="1882" spans="1:4">
      <c r="A1882" s="615" t="s">
        <v>2719</v>
      </c>
      <c r="B1882" s="909" t="s">
        <v>5454</v>
      </c>
      <c r="C1882" s="82">
        <v>2830</v>
      </c>
      <c r="D1882" s="1594">
        <v>4.16</v>
      </c>
    </row>
    <row r="1883" spans="1:4">
      <c r="A1883" s="615" t="s">
        <v>197</v>
      </c>
      <c r="B1883" s="909" t="s">
        <v>5455</v>
      </c>
      <c r="C1883" s="82">
        <v>2834</v>
      </c>
      <c r="D1883" s="1594">
        <v>4.3</v>
      </c>
    </row>
    <row r="1884" spans="1:4">
      <c r="A1884" s="615" t="s">
        <v>2377</v>
      </c>
      <c r="B1884" s="19" t="s">
        <v>6952</v>
      </c>
      <c r="C1884" s="82">
        <v>15408</v>
      </c>
      <c r="D1884" s="1594">
        <v>3.97</v>
      </c>
    </row>
    <row r="1885" spans="1:4">
      <c r="A1885" s="615" t="s">
        <v>6564</v>
      </c>
      <c r="B1885" s="853" t="s">
        <v>6563</v>
      </c>
      <c r="C1885" s="82">
        <v>2034</v>
      </c>
      <c r="D1885" s="1594">
        <v>4.3</v>
      </c>
    </row>
    <row r="1886" spans="1:4">
      <c r="A1886" s="615" t="s">
        <v>1442</v>
      </c>
      <c r="B1886" s="909" t="s">
        <v>5456</v>
      </c>
      <c r="C1886" s="82">
        <v>15416</v>
      </c>
      <c r="D1886" s="1594">
        <v>4.1100000000000003</v>
      </c>
    </row>
    <row r="1887" spans="1:4">
      <c r="A1887" s="615" t="s">
        <v>2071</v>
      </c>
      <c r="B1887" s="909" t="s">
        <v>2072</v>
      </c>
      <c r="C1887" s="82">
        <v>15418</v>
      </c>
      <c r="D1887" s="1594">
        <v>4.1399999999999997</v>
      </c>
    </row>
    <row r="1888" spans="1:4">
      <c r="A1888" s="615" t="s">
        <v>3830</v>
      </c>
      <c r="B1888" s="909" t="s">
        <v>5457</v>
      </c>
      <c r="C1888" s="82">
        <v>2046</v>
      </c>
      <c r="D1888" s="1594">
        <v>4.05</v>
      </c>
    </row>
    <row r="1889" spans="1:4">
      <c r="A1889" s="615" t="s">
        <v>959</v>
      </c>
      <c r="B1889" s="909" t="s">
        <v>5458</v>
      </c>
      <c r="C1889" s="82">
        <v>2842</v>
      </c>
      <c r="D1889" s="1594">
        <v>4.05</v>
      </c>
    </row>
    <row r="1890" spans="1:4">
      <c r="A1890" s="615" t="s">
        <v>1145</v>
      </c>
      <c r="B1890" s="909" t="s">
        <v>564</v>
      </c>
      <c r="C1890" s="82">
        <v>3392</v>
      </c>
      <c r="D1890" s="1594">
        <v>2.6</v>
      </c>
    </row>
    <row r="1891" spans="1:4">
      <c r="A1891" s="615" t="s">
        <v>5580</v>
      </c>
      <c r="B1891" s="909" t="s">
        <v>565</v>
      </c>
      <c r="C1891" s="82">
        <v>3391</v>
      </c>
      <c r="D1891" s="1594">
        <v>2.2999999999999998</v>
      </c>
    </row>
    <row r="1892" spans="1:4">
      <c r="A1892" s="615" t="s">
        <v>1171</v>
      </c>
      <c r="B1892" s="909" t="s">
        <v>1171</v>
      </c>
      <c r="C1892" s="82"/>
      <c r="D1892" s="1594">
        <v>4.5</v>
      </c>
    </row>
    <row r="1893" spans="1:4">
      <c r="A1893" s="615" t="s">
        <v>2009</v>
      </c>
      <c r="B1893" s="909" t="s">
        <v>2009</v>
      </c>
      <c r="C1893" s="82"/>
      <c r="D1893" s="1594">
        <v>4.1533011003667903</v>
      </c>
    </row>
    <row r="1894" spans="1:4">
      <c r="A1894" s="615" t="s">
        <v>4333</v>
      </c>
      <c r="B1894" s="909" t="s">
        <v>4333</v>
      </c>
      <c r="C1894" s="82"/>
      <c r="D1894" s="1594">
        <v>4.2</v>
      </c>
    </row>
    <row r="1895" spans="1:4">
      <c r="A1895" s="615" t="s">
        <v>1900</v>
      </c>
      <c r="B1895" s="909" t="s">
        <v>1900</v>
      </c>
      <c r="C1895" s="82"/>
      <c r="D1895" s="1594">
        <v>4.1533011003667903</v>
      </c>
    </row>
    <row r="1896" spans="1:4">
      <c r="A1896" s="615" t="s">
        <v>4328</v>
      </c>
      <c r="B1896" s="909" t="s">
        <v>4328</v>
      </c>
      <c r="C1896" s="82"/>
      <c r="D1896" s="1594">
        <v>4.4400000000000004</v>
      </c>
    </row>
    <row r="1897" spans="1:4">
      <c r="A1897" s="615" t="s">
        <v>4329</v>
      </c>
      <c r="B1897" s="909" t="s">
        <v>4329</v>
      </c>
      <c r="C1897" s="82"/>
      <c r="D1897" s="1594">
        <v>4.3</v>
      </c>
    </row>
    <row r="1898" spans="1:4">
      <c r="A1898" s="615" t="s">
        <v>1178</v>
      </c>
      <c r="B1898" s="909" t="s">
        <v>1178</v>
      </c>
      <c r="C1898" s="82"/>
      <c r="D1898" s="1594">
        <v>4.1533011003667903</v>
      </c>
    </row>
    <row r="1899" spans="1:4">
      <c r="A1899" s="615" t="s">
        <v>1112</v>
      </c>
      <c r="B1899" s="909" t="s">
        <v>1991</v>
      </c>
      <c r="C1899" s="82">
        <v>2399</v>
      </c>
      <c r="D1899" s="1594">
        <v>3.9</v>
      </c>
    </row>
    <row r="1900" spans="1:4">
      <c r="A1900" s="615" t="s">
        <v>3049</v>
      </c>
      <c r="B1900" s="909" t="s">
        <v>2740</v>
      </c>
      <c r="C1900" s="82">
        <v>2567</v>
      </c>
      <c r="D1900" s="1594">
        <v>2.84</v>
      </c>
    </row>
    <row r="1901" spans="1:4">
      <c r="A1901" s="615" t="s">
        <v>1414</v>
      </c>
      <c r="B1901" s="909" t="s">
        <v>2741</v>
      </c>
      <c r="C1901" s="82">
        <v>3088</v>
      </c>
      <c r="D1901" s="1594">
        <v>4.5</v>
      </c>
    </row>
    <row r="1902" spans="1:4">
      <c r="A1902" s="615" t="s">
        <v>5326</v>
      </c>
      <c r="B1902" s="909" t="s">
        <v>848</v>
      </c>
      <c r="C1902" s="82">
        <v>3622</v>
      </c>
      <c r="D1902" s="1594">
        <v>2.2999999999999998</v>
      </c>
    </row>
    <row r="1903" spans="1:4">
      <c r="A1903" s="615" t="s">
        <v>6900</v>
      </c>
      <c r="B1903" s="909" t="s">
        <v>4256</v>
      </c>
      <c r="C1903" s="82">
        <v>2110</v>
      </c>
      <c r="D1903" s="1594">
        <v>3.23</v>
      </c>
    </row>
    <row r="1904" spans="1:4">
      <c r="A1904" s="615" t="s">
        <v>6663</v>
      </c>
      <c r="B1904" s="853" t="s">
        <v>6662</v>
      </c>
      <c r="C1904" s="82">
        <v>15484</v>
      </c>
      <c r="D1904" s="1594">
        <v>2.7</v>
      </c>
    </row>
    <row r="1905" spans="1:4">
      <c r="A1905" s="615" t="s">
        <v>3460</v>
      </c>
      <c r="B1905" s="909" t="s">
        <v>4547</v>
      </c>
      <c r="C1905" s="82">
        <v>2077</v>
      </c>
      <c r="D1905" s="1594">
        <v>3.11</v>
      </c>
    </row>
    <row r="1906" spans="1:4">
      <c r="A1906" s="615" t="s">
        <v>2971</v>
      </c>
      <c r="B1906" s="909" t="s">
        <v>566</v>
      </c>
      <c r="C1906" s="82">
        <v>18708</v>
      </c>
      <c r="D1906" s="1594">
        <v>2.2618765205246363</v>
      </c>
    </row>
    <row r="1907" spans="1:4">
      <c r="A1907" s="615" t="s">
        <v>6515</v>
      </c>
      <c r="B1907" s="853" t="s">
        <v>6514</v>
      </c>
      <c r="C1907" s="82">
        <v>18293</v>
      </c>
      <c r="D1907" s="1594">
        <v>2</v>
      </c>
    </row>
    <row r="1908" spans="1:4">
      <c r="A1908" s="615" t="s">
        <v>4473</v>
      </c>
      <c r="B1908" s="909" t="s">
        <v>4257</v>
      </c>
      <c r="C1908" s="82">
        <v>2913</v>
      </c>
      <c r="D1908" s="1594">
        <v>2.69</v>
      </c>
    </row>
    <row r="1909" spans="1:4">
      <c r="A1909" s="615" t="s">
        <v>3452</v>
      </c>
      <c r="B1909" s="909" t="s">
        <v>581</v>
      </c>
      <c r="C1909" s="82">
        <v>3309</v>
      </c>
      <c r="D1909" s="1594">
        <v>3.73</v>
      </c>
    </row>
    <row r="1910" spans="1:4">
      <c r="A1910" s="615" t="s">
        <v>1726</v>
      </c>
      <c r="B1910" s="909" t="s">
        <v>1727</v>
      </c>
      <c r="C1910" s="82">
        <v>15490</v>
      </c>
      <c r="D1910" s="1594">
        <v>3.4</v>
      </c>
    </row>
    <row r="1911" spans="1:4">
      <c r="A1911" s="615" t="s">
        <v>1063</v>
      </c>
      <c r="B1911" s="909" t="s">
        <v>582</v>
      </c>
      <c r="C1911" s="82">
        <v>2504</v>
      </c>
      <c r="D1911" s="1594">
        <v>4.03</v>
      </c>
    </row>
    <row r="1912" spans="1:4">
      <c r="A1912" s="615" t="s">
        <v>5237</v>
      </c>
      <c r="B1912" s="909" t="s">
        <v>380</v>
      </c>
      <c r="C1912" s="82">
        <v>3500</v>
      </c>
      <c r="D1912" s="1594">
        <v>2</v>
      </c>
    </row>
    <row r="1913" spans="1:4">
      <c r="A1913" s="615" t="s">
        <v>4216</v>
      </c>
      <c r="B1913" s="909" t="s">
        <v>849</v>
      </c>
      <c r="C1913" s="82">
        <v>3619</v>
      </c>
      <c r="D1913" s="1594">
        <v>2.2999999999999998</v>
      </c>
    </row>
    <row r="1914" spans="1:4">
      <c r="A1914" s="615" t="s">
        <v>6432</v>
      </c>
      <c r="B1914" s="853" t="s">
        <v>6431</v>
      </c>
      <c r="C1914" s="82">
        <v>2209</v>
      </c>
      <c r="D1914" s="1594">
        <v>3.8</v>
      </c>
    </row>
    <row r="1915" spans="1:4">
      <c r="A1915" s="615" t="s">
        <v>6551</v>
      </c>
      <c r="B1915" s="853" t="s">
        <v>6550</v>
      </c>
      <c r="C1915" s="82">
        <v>15520</v>
      </c>
      <c r="D1915" s="1594">
        <v>3.2</v>
      </c>
    </row>
    <row r="1916" spans="1:4">
      <c r="A1916" s="615" t="s">
        <v>6461</v>
      </c>
      <c r="B1916" s="853" t="s">
        <v>6460</v>
      </c>
      <c r="C1916" s="82">
        <v>19258</v>
      </c>
      <c r="D1916" s="1594">
        <v>3.7</v>
      </c>
    </row>
    <row r="1917" spans="1:4">
      <c r="A1917" s="615" t="s">
        <v>6861</v>
      </c>
      <c r="B1917" s="853" t="s">
        <v>6860</v>
      </c>
      <c r="C1917" s="82">
        <v>19257</v>
      </c>
      <c r="D1917" s="1594">
        <v>3.9</v>
      </c>
    </row>
    <row r="1918" spans="1:4">
      <c r="A1918" s="615" t="s">
        <v>4131</v>
      </c>
      <c r="B1918" s="909" t="s">
        <v>4468</v>
      </c>
      <c r="C1918" s="82">
        <v>3095</v>
      </c>
      <c r="D1918" s="1594">
        <v>4.2699999999999996</v>
      </c>
    </row>
    <row r="1919" spans="1:4">
      <c r="A1919" s="615" t="s">
        <v>6702</v>
      </c>
      <c r="B1919" s="853" t="s">
        <v>6701</v>
      </c>
      <c r="C1919" s="82">
        <v>15540</v>
      </c>
      <c r="D1919" s="1594">
        <v>2.8</v>
      </c>
    </row>
    <row r="1920" spans="1:4">
      <c r="A1920" s="615" t="s">
        <v>891</v>
      </c>
      <c r="B1920" s="909" t="s">
        <v>2742</v>
      </c>
      <c r="C1920" s="82">
        <v>2199</v>
      </c>
      <c r="D1920" s="1594">
        <v>4.3499999999999996</v>
      </c>
    </row>
    <row r="1921" spans="1:4">
      <c r="A1921" s="615" t="s">
        <v>932</v>
      </c>
      <c r="B1921" s="909" t="s">
        <v>4548</v>
      </c>
      <c r="C1921" s="82">
        <v>2946</v>
      </c>
      <c r="D1921" s="1594">
        <v>2.82</v>
      </c>
    </row>
    <row r="1922" spans="1:4">
      <c r="A1922" s="615" t="s">
        <v>6430</v>
      </c>
      <c r="B1922" s="853" t="s">
        <v>6429</v>
      </c>
      <c r="C1922" s="82">
        <v>15569</v>
      </c>
      <c r="D1922" s="1594">
        <v>4.5</v>
      </c>
    </row>
    <row r="1923" spans="1:4">
      <c r="A1923" s="615" t="s">
        <v>2743</v>
      </c>
      <c r="B1923" s="909" t="s">
        <v>2743</v>
      </c>
      <c r="C1923" s="82"/>
      <c r="D1923" s="1594">
        <v>3.31</v>
      </c>
    </row>
    <row r="1924" spans="1:4">
      <c r="A1924" s="615" t="s">
        <v>3081</v>
      </c>
      <c r="B1924" s="909" t="s">
        <v>3082</v>
      </c>
      <c r="C1924" s="82">
        <v>15600</v>
      </c>
      <c r="D1924" s="1594">
        <v>4.32</v>
      </c>
    </row>
    <row r="1925" spans="1:4">
      <c r="A1925" s="615" t="s">
        <v>5389</v>
      </c>
      <c r="B1925" s="909" t="s">
        <v>2744</v>
      </c>
      <c r="C1925" s="82">
        <v>2424</v>
      </c>
      <c r="D1925" s="1594">
        <v>3.32</v>
      </c>
    </row>
    <row r="1926" spans="1:4">
      <c r="A1926" s="615" t="s">
        <v>61</v>
      </c>
      <c r="B1926" s="909" t="s">
        <v>4659</v>
      </c>
      <c r="C1926" s="82">
        <v>3225</v>
      </c>
      <c r="D1926" s="1594">
        <v>3.54</v>
      </c>
    </row>
    <row r="1927" spans="1:4">
      <c r="A1927" s="615" t="s">
        <v>2405</v>
      </c>
      <c r="B1927" s="909" t="s">
        <v>4763</v>
      </c>
      <c r="C1927" s="82">
        <v>17571</v>
      </c>
      <c r="D1927" s="1594">
        <v>2.0617598316454031</v>
      </c>
    </row>
    <row r="1928" spans="1:4">
      <c r="A1928" s="615" t="s">
        <v>6912</v>
      </c>
      <c r="B1928" s="853" t="s">
        <v>6911</v>
      </c>
      <c r="C1928" s="82">
        <v>18577</v>
      </c>
      <c r="D1928" s="1594">
        <v>2</v>
      </c>
    </row>
    <row r="1929" spans="1:4">
      <c r="A1929" s="615" t="s">
        <v>2668</v>
      </c>
      <c r="B1929" s="909" t="s">
        <v>1570</v>
      </c>
      <c r="C1929" s="82">
        <v>2904</v>
      </c>
      <c r="D1929" s="1594">
        <v>2.04</v>
      </c>
    </row>
    <row r="1930" spans="1:4">
      <c r="A1930" s="615" t="s">
        <v>3148</v>
      </c>
      <c r="B1930" s="909" t="s">
        <v>1571</v>
      </c>
      <c r="C1930" s="82">
        <v>2905</v>
      </c>
      <c r="D1930" s="1594">
        <v>2.48</v>
      </c>
    </row>
    <row r="1931" spans="1:4">
      <c r="A1931" s="615" t="s">
        <v>3147</v>
      </c>
      <c r="B1931" s="909" t="s">
        <v>2556</v>
      </c>
      <c r="C1931" s="82">
        <v>2288</v>
      </c>
      <c r="D1931" s="1594">
        <v>3.5</v>
      </c>
    </row>
    <row r="1932" spans="1:4">
      <c r="A1932" s="919" t="s">
        <v>8606</v>
      </c>
      <c r="B1932" s="918" t="s">
        <v>8607</v>
      </c>
      <c r="C1932" s="82">
        <v>15623</v>
      </c>
      <c r="D1932" s="1594">
        <v>3.5</v>
      </c>
    </row>
    <row r="1933" spans="1:4">
      <c r="A1933" s="615" t="s">
        <v>5670</v>
      </c>
      <c r="B1933" s="909" t="s">
        <v>3864</v>
      </c>
      <c r="C1933" s="82">
        <v>3603</v>
      </c>
      <c r="D1933" s="1594">
        <v>2.4</v>
      </c>
    </row>
    <row r="1934" spans="1:4">
      <c r="A1934" s="615" t="s">
        <v>5685</v>
      </c>
      <c r="B1934" s="909" t="s">
        <v>3864</v>
      </c>
      <c r="C1934" s="82">
        <v>3604</v>
      </c>
      <c r="D1934" s="1594">
        <v>2.4</v>
      </c>
    </row>
    <row r="1935" spans="1:4">
      <c r="A1935" s="615" t="s">
        <v>3847</v>
      </c>
      <c r="B1935" s="909" t="s">
        <v>2557</v>
      </c>
      <c r="C1935" s="82">
        <v>3374</v>
      </c>
      <c r="D1935" s="1594">
        <v>3.41</v>
      </c>
    </row>
    <row r="1936" spans="1:4">
      <c r="A1936" s="615" t="s">
        <v>4614</v>
      </c>
      <c r="B1936" s="909" t="s">
        <v>4164</v>
      </c>
      <c r="C1936" s="82">
        <v>3305</v>
      </c>
      <c r="D1936" s="1594">
        <v>4.4800000000000004</v>
      </c>
    </row>
    <row r="1937" spans="1:4">
      <c r="A1937" s="615" t="s">
        <v>1769</v>
      </c>
      <c r="B1937" s="909" t="s">
        <v>325</v>
      </c>
      <c r="C1937" s="82">
        <v>2502</v>
      </c>
      <c r="D1937" s="1594">
        <v>4.5</v>
      </c>
    </row>
    <row r="1938" spans="1:4">
      <c r="A1938" s="615" t="s">
        <v>4876</v>
      </c>
      <c r="B1938" s="909" t="s">
        <v>326</v>
      </c>
      <c r="C1938" s="82">
        <v>2501</v>
      </c>
      <c r="D1938" s="1594">
        <v>4.58</v>
      </c>
    </row>
    <row r="1939" spans="1:4">
      <c r="A1939" s="615" t="s">
        <v>6716</v>
      </c>
      <c r="B1939" s="853" t="s">
        <v>6715</v>
      </c>
      <c r="C1939" s="82">
        <v>3304</v>
      </c>
      <c r="D1939" s="1594">
        <v>4.5</v>
      </c>
    </row>
    <row r="1940" spans="1:4">
      <c r="A1940" s="615" t="s">
        <v>6824</v>
      </c>
      <c r="B1940" s="853" t="s">
        <v>6823</v>
      </c>
      <c r="C1940" s="82">
        <v>3307</v>
      </c>
      <c r="D1940" s="1594">
        <v>4.4000000000000004</v>
      </c>
    </row>
    <row r="1941" spans="1:4">
      <c r="A1941" s="615" t="s">
        <v>2747</v>
      </c>
      <c r="B1941" s="909" t="s">
        <v>2392</v>
      </c>
      <c r="C1941" s="82">
        <v>3306</v>
      </c>
      <c r="D1941" s="1594">
        <v>4.28</v>
      </c>
    </row>
    <row r="1942" spans="1:4">
      <c r="A1942" s="615" t="s">
        <v>2504</v>
      </c>
      <c r="B1942" s="909" t="s">
        <v>77</v>
      </c>
      <c r="C1942" s="82">
        <v>2130</v>
      </c>
      <c r="D1942" s="1594">
        <v>3.25</v>
      </c>
    </row>
    <row r="1943" spans="1:4">
      <c r="A1943" s="615" t="s">
        <v>3995</v>
      </c>
      <c r="B1943" s="909" t="s">
        <v>3996</v>
      </c>
      <c r="C1943" s="82">
        <v>18375</v>
      </c>
      <c r="D1943" s="1594">
        <v>3.3182763159269002</v>
      </c>
    </row>
    <row r="1944" spans="1:4">
      <c r="A1944" s="615" t="s">
        <v>5241</v>
      </c>
      <c r="B1944" s="909" t="s">
        <v>4570</v>
      </c>
      <c r="C1944" s="82">
        <v>16342</v>
      </c>
      <c r="D1944" s="1594">
        <v>2.9587323501170402</v>
      </c>
    </row>
    <row r="1945" spans="1:4">
      <c r="A1945" s="615" t="s">
        <v>4645</v>
      </c>
      <c r="B1945" s="909" t="s">
        <v>5536</v>
      </c>
      <c r="C1945" s="82">
        <v>3017</v>
      </c>
      <c r="D1945" s="1594">
        <v>3.45</v>
      </c>
    </row>
    <row r="1946" spans="1:4">
      <c r="A1946" s="615" t="s">
        <v>2998</v>
      </c>
      <c r="B1946" s="909" t="s">
        <v>2393</v>
      </c>
      <c r="C1946" s="82">
        <v>2496</v>
      </c>
      <c r="D1946" s="1594">
        <v>4.3099999999999996</v>
      </c>
    </row>
    <row r="1947" spans="1:4">
      <c r="A1947" s="615" t="s">
        <v>4769</v>
      </c>
      <c r="B1947" s="909" t="s">
        <v>2394</v>
      </c>
      <c r="C1947" s="82">
        <v>2497</v>
      </c>
      <c r="D1947" s="1594">
        <v>4.34</v>
      </c>
    </row>
    <row r="1948" spans="1:4">
      <c r="A1948" s="615" t="s">
        <v>5297</v>
      </c>
      <c r="B1948" s="909" t="s">
        <v>2395</v>
      </c>
      <c r="C1948" s="82">
        <v>3297</v>
      </c>
      <c r="D1948" s="1594">
        <v>4.13</v>
      </c>
    </row>
    <row r="1949" spans="1:4">
      <c r="A1949" s="615" t="s">
        <v>2988</v>
      </c>
      <c r="B1949" s="909" t="s">
        <v>2396</v>
      </c>
      <c r="C1949" s="82">
        <v>3298</v>
      </c>
      <c r="D1949" s="1594">
        <v>3.93</v>
      </c>
    </row>
    <row r="1950" spans="1:4">
      <c r="A1950" s="615" t="s">
        <v>2999</v>
      </c>
      <c r="B1950" s="909" t="s">
        <v>2397</v>
      </c>
      <c r="C1950" s="82">
        <v>2498</v>
      </c>
      <c r="D1950" s="1594">
        <v>4.49</v>
      </c>
    </row>
    <row r="1951" spans="1:4">
      <c r="A1951" s="615" t="s">
        <v>4767</v>
      </c>
      <c r="B1951" s="909" t="s">
        <v>2398</v>
      </c>
      <c r="C1951" s="82">
        <v>18734</v>
      </c>
      <c r="D1951" s="1594">
        <v>4.21</v>
      </c>
    </row>
    <row r="1952" spans="1:4">
      <c r="A1952" s="615" t="s">
        <v>1391</v>
      </c>
      <c r="B1952" s="909" t="s">
        <v>2399</v>
      </c>
      <c r="C1952" s="82">
        <v>3296</v>
      </c>
      <c r="D1952" s="1594">
        <v>4.43</v>
      </c>
    </row>
    <row r="1953" spans="1:4">
      <c r="A1953" s="615" t="s">
        <v>4557</v>
      </c>
      <c r="B1953" s="909" t="s">
        <v>2400</v>
      </c>
      <c r="C1953" s="82">
        <v>2495</v>
      </c>
      <c r="D1953" s="1594">
        <v>4.5</v>
      </c>
    </row>
    <row r="1954" spans="1:4">
      <c r="A1954" s="615" t="s">
        <v>4306</v>
      </c>
      <c r="B1954" s="909" t="s">
        <v>78</v>
      </c>
      <c r="C1954" s="82">
        <v>2122</v>
      </c>
      <c r="D1954" s="1594">
        <v>3.1</v>
      </c>
    </row>
    <row r="1955" spans="1:4">
      <c r="A1955" s="615" t="s">
        <v>2790</v>
      </c>
      <c r="B1955" s="909" t="s">
        <v>2791</v>
      </c>
      <c r="C1955" s="82">
        <v>16282</v>
      </c>
      <c r="D1955" s="1594">
        <v>3.3182763159269002</v>
      </c>
    </row>
    <row r="1956" spans="1:4">
      <c r="A1956" s="615" t="s">
        <v>6917</v>
      </c>
      <c r="B1956" s="909" t="s">
        <v>420</v>
      </c>
      <c r="C1956" s="82">
        <v>19134</v>
      </c>
      <c r="D1956" s="1594">
        <v>2.64</v>
      </c>
    </row>
    <row r="1957" spans="1:4">
      <c r="A1957" s="615" t="s">
        <v>1774</v>
      </c>
      <c r="B1957" s="909" t="s">
        <v>4469</v>
      </c>
      <c r="C1957" s="82">
        <v>2465</v>
      </c>
      <c r="D1957" s="1594">
        <v>3.74</v>
      </c>
    </row>
    <row r="1958" spans="1:4">
      <c r="A1958" s="615" t="s">
        <v>168</v>
      </c>
      <c r="B1958" s="909" t="s">
        <v>5044</v>
      </c>
      <c r="C1958" s="82">
        <v>2466</v>
      </c>
      <c r="D1958" s="1594">
        <v>3.86</v>
      </c>
    </row>
    <row r="1959" spans="1:4">
      <c r="A1959" s="615" t="s">
        <v>3356</v>
      </c>
      <c r="B1959" s="909" t="s">
        <v>2906</v>
      </c>
      <c r="C1959" s="82">
        <v>2154</v>
      </c>
      <c r="D1959" s="1594">
        <v>3.49</v>
      </c>
    </row>
    <row r="1960" spans="1:4">
      <c r="A1960" s="615" t="s">
        <v>278</v>
      </c>
      <c r="B1960" s="909" t="s">
        <v>4764</v>
      </c>
      <c r="C1960" s="82">
        <v>17573</v>
      </c>
      <c r="D1960" s="1594">
        <v>2.0617598316454031</v>
      </c>
    </row>
    <row r="1961" spans="1:4">
      <c r="A1961" s="615" t="s">
        <v>6416</v>
      </c>
      <c r="B1961" s="853" t="s">
        <v>6415</v>
      </c>
      <c r="C1961" s="82">
        <v>16946</v>
      </c>
      <c r="D1961" s="1594">
        <v>2</v>
      </c>
    </row>
    <row r="1962" spans="1:4">
      <c r="A1962" s="615" t="s">
        <v>4603</v>
      </c>
      <c r="B1962" s="909" t="s">
        <v>5281</v>
      </c>
      <c r="C1962" s="82">
        <v>3567</v>
      </c>
      <c r="D1962" s="1594">
        <v>4.28</v>
      </c>
    </row>
    <row r="1963" spans="1:4">
      <c r="A1963" s="615" t="s">
        <v>4138</v>
      </c>
      <c r="B1963" s="909" t="s">
        <v>5282</v>
      </c>
      <c r="C1963" s="82">
        <v>3566</v>
      </c>
      <c r="D1963" s="1594">
        <v>4.01</v>
      </c>
    </row>
    <row r="1964" spans="1:4">
      <c r="A1964" s="615" t="s">
        <v>4056</v>
      </c>
      <c r="B1964" s="909" t="s">
        <v>2733</v>
      </c>
      <c r="C1964" s="82">
        <v>17821</v>
      </c>
      <c r="D1964" s="1594">
        <v>1.9785341879407026</v>
      </c>
    </row>
    <row r="1965" spans="1:4">
      <c r="A1965" s="615" t="s">
        <v>2594</v>
      </c>
      <c r="B1965" s="909" t="s">
        <v>2595</v>
      </c>
      <c r="C1965" s="82">
        <v>19135</v>
      </c>
      <c r="D1965" s="1594">
        <v>3.02</v>
      </c>
    </row>
    <row r="1966" spans="1:4">
      <c r="A1966" s="615" t="s">
        <v>3074</v>
      </c>
      <c r="B1966" s="909" t="s">
        <v>5459</v>
      </c>
      <c r="C1966" s="82">
        <v>2065</v>
      </c>
      <c r="D1966" s="1594">
        <v>4.3099999999999996</v>
      </c>
    </row>
    <row r="1967" spans="1:4">
      <c r="A1967" s="615" t="s">
        <v>2218</v>
      </c>
      <c r="B1967" s="909" t="s">
        <v>2558</v>
      </c>
      <c r="C1967" s="82">
        <v>2345</v>
      </c>
      <c r="D1967" s="1594">
        <v>4.0599999999999996</v>
      </c>
    </row>
    <row r="1968" spans="1:4">
      <c r="A1968" s="615" t="s">
        <v>3514</v>
      </c>
      <c r="B1968" s="909" t="s">
        <v>3515</v>
      </c>
      <c r="C1968" s="82">
        <v>19136</v>
      </c>
      <c r="D1968" s="1594">
        <v>3.15</v>
      </c>
    </row>
    <row r="1969" spans="1:4">
      <c r="A1969" s="615" t="s">
        <v>5705</v>
      </c>
      <c r="B1969" s="909" t="s">
        <v>5045</v>
      </c>
      <c r="C1969" s="82">
        <v>3041</v>
      </c>
      <c r="D1969" s="1594">
        <v>3.72</v>
      </c>
    </row>
    <row r="1970" spans="1:4">
      <c r="A1970" s="615" t="s">
        <v>2300</v>
      </c>
      <c r="B1970" s="909" t="s">
        <v>2301</v>
      </c>
      <c r="C1970" s="82">
        <v>3231</v>
      </c>
      <c r="D1970" s="1594">
        <v>4.3</v>
      </c>
    </row>
    <row r="1971" spans="1:4">
      <c r="A1971" s="615" t="s">
        <v>2173</v>
      </c>
      <c r="B1971" s="909" t="s">
        <v>583</v>
      </c>
      <c r="C1971" s="82">
        <v>3116</v>
      </c>
      <c r="D1971" s="1594">
        <v>3.74</v>
      </c>
    </row>
    <row r="1972" spans="1:4">
      <c r="A1972" s="615" t="s">
        <v>532</v>
      </c>
      <c r="B1972" s="909" t="s">
        <v>3014</v>
      </c>
      <c r="C1972" s="82">
        <v>2319</v>
      </c>
      <c r="D1972" s="1594">
        <v>3.5</v>
      </c>
    </row>
    <row r="1973" spans="1:4">
      <c r="A1973" s="919" t="s">
        <v>8608</v>
      </c>
      <c r="B1973" s="918" t="s">
        <v>8609</v>
      </c>
      <c r="C1973" s="82">
        <v>15753</v>
      </c>
      <c r="D1973" s="1594">
        <v>4</v>
      </c>
    </row>
    <row r="1974" spans="1:4">
      <c r="A1974" s="615" t="s">
        <v>912</v>
      </c>
      <c r="B1974" s="909" t="s">
        <v>3015</v>
      </c>
      <c r="C1974" s="82">
        <v>15758</v>
      </c>
      <c r="D1974" s="1594">
        <v>3.72</v>
      </c>
    </row>
    <row r="1975" spans="1:4">
      <c r="A1975" s="615" t="s">
        <v>2238</v>
      </c>
      <c r="B1975" s="909" t="s">
        <v>3016</v>
      </c>
      <c r="C1975" s="82">
        <v>3117</v>
      </c>
      <c r="D1975" s="1594">
        <v>3.73</v>
      </c>
    </row>
    <row r="1976" spans="1:4">
      <c r="A1976" s="615" t="s">
        <v>5357</v>
      </c>
      <c r="B1976" s="909" t="s">
        <v>3017</v>
      </c>
      <c r="C1976" s="82">
        <v>3115</v>
      </c>
      <c r="D1976" s="1594">
        <v>3.66</v>
      </c>
    </row>
    <row r="1977" spans="1:4">
      <c r="A1977" s="615" t="s">
        <v>45</v>
      </c>
      <c r="B1977" s="909" t="s">
        <v>1015</v>
      </c>
      <c r="C1977" s="82">
        <v>2433</v>
      </c>
      <c r="D1977" s="1594">
        <v>4.18</v>
      </c>
    </row>
    <row r="1978" spans="1:4">
      <c r="A1978" s="615" t="s">
        <v>2302</v>
      </c>
      <c r="B1978" s="909" t="s">
        <v>2303</v>
      </c>
      <c r="C1978" s="82">
        <v>3232</v>
      </c>
      <c r="D1978" s="1594">
        <v>4.18</v>
      </c>
    </row>
    <row r="1979" spans="1:4">
      <c r="A1979" s="615" t="s">
        <v>205</v>
      </c>
      <c r="B1979" s="909" t="s">
        <v>206</v>
      </c>
      <c r="C1979" s="82">
        <v>15765</v>
      </c>
      <c r="D1979" s="1594">
        <v>4.5</v>
      </c>
    </row>
    <row r="1980" spans="1:4">
      <c r="A1980" s="615" t="s">
        <v>3942</v>
      </c>
      <c r="B1980" s="909" t="s">
        <v>5279</v>
      </c>
      <c r="C1980" s="82">
        <v>3038</v>
      </c>
      <c r="D1980" s="1594">
        <v>4.0599999999999996</v>
      </c>
    </row>
    <row r="1981" spans="1:4">
      <c r="A1981" s="615" t="s">
        <v>6708</v>
      </c>
      <c r="B1981" s="853" t="s">
        <v>6707</v>
      </c>
      <c r="C1981" s="82">
        <v>16082</v>
      </c>
      <c r="D1981" s="1594">
        <v>2</v>
      </c>
    </row>
    <row r="1982" spans="1:4">
      <c r="A1982" s="615" t="s">
        <v>1064</v>
      </c>
      <c r="B1982" s="909" t="s">
        <v>3184</v>
      </c>
      <c r="C1982" s="82">
        <v>3105</v>
      </c>
      <c r="D1982" s="1594">
        <v>3.47</v>
      </c>
    </row>
    <row r="1983" spans="1:4">
      <c r="A1983" s="615" t="s">
        <v>5541</v>
      </c>
      <c r="B1983" s="909" t="s">
        <v>3185</v>
      </c>
      <c r="C1983" s="82">
        <v>2313</v>
      </c>
      <c r="D1983" s="1594">
        <v>3.93</v>
      </c>
    </row>
    <row r="1984" spans="1:4">
      <c r="A1984" s="615" t="s">
        <v>1073</v>
      </c>
      <c r="B1984" s="909" t="s">
        <v>3186</v>
      </c>
      <c r="C1984" s="82">
        <v>2308</v>
      </c>
      <c r="D1984" s="1594">
        <v>3.4</v>
      </c>
    </row>
    <row r="1985" spans="1:4">
      <c r="A1985" s="615" t="s">
        <v>3568</v>
      </c>
      <c r="B1985" s="909" t="s">
        <v>4937</v>
      </c>
      <c r="C1985" s="82">
        <v>2312</v>
      </c>
      <c r="D1985" s="1594">
        <v>3.99</v>
      </c>
    </row>
    <row r="1986" spans="1:4">
      <c r="A1986" s="615" t="s">
        <v>1980</v>
      </c>
      <c r="B1986" s="909" t="s">
        <v>4938</v>
      </c>
      <c r="C1986" s="82">
        <v>2311</v>
      </c>
      <c r="D1986" s="1594">
        <v>3.59</v>
      </c>
    </row>
    <row r="1987" spans="1:4">
      <c r="A1987" s="615" t="s">
        <v>1289</v>
      </c>
      <c r="B1987" s="909" t="s">
        <v>4197</v>
      </c>
      <c r="C1987" s="82">
        <v>2309</v>
      </c>
      <c r="D1987" s="1594">
        <v>3.49</v>
      </c>
    </row>
    <row r="1988" spans="1:4">
      <c r="A1988" s="615" t="s">
        <v>3484</v>
      </c>
      <c r="B1988" s="909" t="s">
        <v>4198</v>
      </c>
      <c r="C1988" s="82">
        <v>2307</v>
      </c>
      <c r="D1988" s="1594">
        <v>3.32</v>
      </c>
    </row>
    <row r="1989" spans="1:4">
      <c r="A1989" s="615" t="s">
        <v>1072</v>
      </c>
      <c r="B1989" s="909" t="s">
        <v>4199</v>
      </c>
      <c r="C1989" s="82">
        <v>2305</v>
      </c>
      <c r="D1989" s="1594">
        <v>3.58</v>
      </c>
    </row>
    <row r="1990" spans="1:4">
      <c r="A1990" s="615" t="s">
        <v>1985</v>
      </c>
      <c r="B1990" s="909" t="s">
        <v>4200</v>
      </c>
      <c r="C1990" s="82">
        <v>2310</v>
      </c>
      <c r="D1990" s="1594">
        <v>3.56</v>
      </c>
    </row>
    <row r="1991" spans="1:4">
      <c r="A1991" s="615" t="s">
        <v>4784</v>
      </c>
      <c r="B1991" s="909" t="s">
        <v>4201</v>
      </c>
      <c r="C1991" s="82">
        <v>2306</v>
      </c>
      <c r="D1991" s="1594">
        <v>3.64</v>
      </c>
    </row>
    <row r="1992" spans="1:4">
      <c r="A1992" s="615" t="s">
        <v>2232</v>
      </c>
      <c r="B1992" s="909" t="s">
        <v>4202</v>
      </c>
      <c r="C1992" s="82">
        <v>3106</v>
      </c>
      <c r="D1992" s="1594">
        <v>3.49</v>
      </c>
    </row>
    <row r="1993" spans="1:4">
      <c r="A1993" s="615" t="s">
        <v>336</v>
      </c>
      <c r="B1993" s="909" t="s">
        <v>337</v>
      </c>
      <c r="C1993" s="82">
        <v>17178</v>
      </c>
      <c r="D1993" s="1594">
        <v>3.3182763159269002</v>
      </c>
    </row>
    <row r="1994" spans="1:4">
      <c r="A1994" s="615" t="s">
        <v>3155</v>
      </c>
      <c r="B1994" s="909" t="s">
        <v>5440</v>
      </c>
      <c r="C1994" s="82">
        <v>3419</v>
      </c>
      <c r="D1994" s="1594">
        <v>2.7</v>
      </c>
    </row>
    <row r="1995" spans="1:4">
      <c r="A1995" s="615" t="s">
        <v>592</v>
      </c>
      <c r="B1995" s="909" t="s">
        <v>1079</v>
      </c>
      <c r="C1995" s="82">
        <v>15778</v>
      </c>
      <c r="D1995" s="1594">
        <v>3.47</v>
      </c>
    </row>
    <row r="1996" spans="1:4">
      <c r="A1996" s="615" t="s">
        <v>1144</v>
      </c>
      <c r="B1996" s="909" t="s">
        <v>5505</v>
      </c>
      <c r="C1996" s="82">
        <v>18999</v>
      </c>
      <c r="D1996" s="1594">
        <v>3.67</v>
      </c>
    </row>
    <row r="1997" spans="1:4">
      <c r="A1997" s="615" t="s">
        <v>6686</v>
      </c>
      <c r="B1997" s="853" t="s">
        <v>6685</v>
      </c>
      <c r="C1997" s="82">
        <v>15781</v>
      </c>
      <c r="D1997" s="1594">
        <v>3.5</v>
      </c>
    </row>
    <row r="1998" spans="1:4">
      <c r="A1998" s="615" t="s">
        <v>6920</v>
      </c>
      <c r="B1998" s="909" t="s">
        <v>5725</v>
      </c>
      <c r="C1998" s="82">
        <v>2447</v>
      </c>
      <c r="D1998" s="1594">
        <v>3.31</v>
      </c>
    </row>
    <row r="1999" spans="1:4">
      <c r="A1999" s="615" t="s">
        <v>6921</v>
      </c>
      <c r="B1999" s="909" t="s">
        <v>5648</v>
      </c>
      <c r="C1999" s="82">
        <v>3242</v>
      </c>
      <c r="D1999" s="1594">
        <v>3.45</v>
      </c>
    </row>
    <row r="2000" spans="1:4">
      <c r="A2000" s="615" t="s">
        <v>4238</v>
      </c>
      <c r="B2000" s="909" t="s">
        <v>4765</v>
      </c>
      <c r="C2000" s="82">
        <v>18707</v>
      </c>
      <c r="D2000" s="1594">
        <v>2.0617598316454031</v>
      </c>
    </row>
    <row r="2001" spans="1:4">
      <c r="A2001" s="615" t="s">
        <v>5460</v>
      </c>
      <c r="B2001" s="909" t="s">
        <v>5460</v>
      </c>
      <c r="C2001" s="82"/>
      <c r="D2001" s="1594">
        <v>3.84</v>
      </c>
    </row>
    <row r="2002" spans="1:4">
      <c r="A2002" s="615" t="s">
        <v>4017</v>
      </c>
      <c r="B2002" s="909" t="s">
        <v>4018</v>
      </c>
      <c r="C2002" s="82">
        <v>15799</v>
      </c>
      <c r="D2002" s="1594">
        <v>4</v>
      </c>
    </row>
    <row r="2003" spans="1:4">
      <c r="A2003" s="615" t="s">
        <v>2727</v>
      </c>
      <c r="B2003" s="909" t="s">
        <v>3590</v>
      </c>
      <c r="C2003" s="82">
        <v>3587</v>
      </c>
      <c r="D2003" s="1594">
        <v>2</v>
      </c>
    </row>
    <row r="2004" spans="1:4">
      <c r="A2004" s="615" t="s">
        <v>3673</v>
      </c>
      <c r="B2004" s="909" t="s">
        <v>5506</v>
      </c>
      <c r="C2004" s="82">
        <v>3269</v>
      </c>
      <c r="D2004" s="1594">
        <v>4.24</v>
      </c>
    </row>
    <row r="2005" spans="1:4">
      <c r="A2005" s="615" t="s">
        <v>3554</v>
      </c>
      <c r="B2005" s="909" t="s">
        <v>5507</v>
      </c>
      <c r="C2005" s="82">
        <v>2468</v>
      </c>
      <c r="D2005" s="1594">
        <v>4.45</v>
      </c>
    </row>
    <row r="2006" spans="1:4">
      <c r="A2006" s="615" t="s">
        <v>3058</v>
      </c>
      <c r="B2006" s="909" t="s">
        <v>4549</v>
      </c>
      <c r="C2006" s="82">
        <v>3321</v>
      </c>
      <c r="D2006" s="1594">
        <v>2.3199999999999998</v>
      </c>
    </row>
    <row r="2007" spans="1:4">
      <c r="A2007" s="615" t="s">
        <v>757</v>
      </c>
      <c r="B2007" s="909" t="s">
        <v>758</v>
      </c>
      <c r="C2007" s="82">
        <v>15804</v>
      </c>
      <c r="D2007" s="1594">
        <v>2.68</v>
      </c>
    </row>
    <row r="2008" spans="1:4">
      <c r="A2008" s="615" t="s">
        <v>3418</v>
      </c>
      <c r="B2008" s="909" t="s">
        <v>3278</v>
      </c>
      <c r="C2008" s="82">
        <v>3334</v>
      </c>
      <c r="D2008" s="1594">
        <v>3.63</v>
      </c>
    </row>
    <row r="2009" spans="1:4">
      <c r="A2009" s="615" t="s">
        <v>6922</v>
      </c>
      <c r="B2009" s="909" t="s">
        <v>3865</v>
      </c>
      <c r="C2009" s="82">
        <v>2749</v>
      </c>
      <c r="D2009" s="1594">
        <v>2.25</v>
      </c>
    </row>
    <row r="2010" spans="1:4">
      <c r="A2010" s="615" t="s">
        <v>6924</v>
      </c>
      <c r="B2010" s="853" t="s">
        <v>6923</v>
      </c>
      <c r="C2010" s="82">
        <v>15834</v>
      </c>
      <c r="D2010" s="1594">
        <v>2.7</v>
      </c>
    </row>
    <row r="2011" spans="1:4">
      <c r="A2011" s="615" t="s">
        <v>3950</v>
      </c>
      <c r="B2011" s="909" t="s">
        <v>4155</v>
      </c>
      <c r="C2011" s="82">
        <v>15836</v>
      </c>
      <c r="D2011" s="1594">
        <v>3.03</v>
      </c>
    </row>
    <row r="2012" spans="1:4">
      <c r="A2012" s="615" t="s">
        <v>2646</v>
      </c>
      <c r="B2012" s="909" t="s">
        <v>4156</v>
      </c>
      <c r="C2012" s="82">
        <v>3019</v>
      </c>
      <c r="D2012" s="1594">
        <v>3.24</v>
      </c>
    </row>
    <row r="2013" spans="1:4">
      <c r="A2013" s="615" t="s">
        <v>199</v>
      </c>
      <c r="B2013" s="909" t="s">
        <v>4157</v>
      </c>
      <c r="C2013" s="82">
        <v>2235</v>
      </c>
      <c r="D2013" s="1594">
        <v>3.73</v>
      </c>
    </row>
    <row r="2014" spans="1:4">
      <c r="A2014" s="615" t="s">
        <v>2137</v>
      </c>
      <c r="B2014" s="909" t="s">
        <v>3828</v>
      </c>
      <c r="C2014" s="82">
        <v>3020</v>
      </c>
      <c r="D2014" s="1594">
        <v>3.83</v>
      </c>
    </row>
    <row r="2015" spans="1:4">
      <c r="A2015" s="615" t="s">
        <v>1250</v>
      </c>
      <c r="B2015" s="909" t="s">
        <v>384</v>
      </c>
      <c r="C2015" s="82">
        <v>3653</v>
      </c>
      <c r="D2015" s="1594">
        <v>3.3182763159269002</v>
      </c>
    </row>
    <row r="2016" spans="1:4">
      <c r="A2016" s="615" t="s">
        <v>1111</v>
      </c>
      <c r="B2016" s="909" t="s">
        <v>2734</v>
      </c>
      <c r="C2016" s="82">
        <v>2656</v>
      </c>
      <c r="D2016" s="1594">
        <v>2.1</v>
      </c>
    </row>
    <row r="2017" spans="1:4">
      <c r="A2017" s="615" t="s">
        <v>1156</v>
      </c>
      <c r="B2017" s="909" t="s">
        <v>1156</v>
      </c>
      <c r="C2017" s="82"/>
      <c r="D2017" s="1594">
        <v>3.3182763159269002</v>
      </c>
    </row>
    <row r="2018" spans="1:4">
      <c r="A2018" s="615" t="s">
        <v>2003</v>
      </c>
      <c r="B2018" s="909" t="s">
        <v>2003</v>
      </c>
      <c r="C2018" s="82"/>
      <c r="D2018" s="1594">
        <v>4.5</v>
      </c>
    </row>
    <row r="2019" spans="1:4">
      <c r="A2019" s="615" t="s">
        <v>3263</v>
      </c>
      <c r="B2019" s="909" t="s">
        <v>4203</v>
      </c>
      <c r="C2019" s="82">
        <v>15861</v>
      </c>
      <c r="D2019" s="1594">
        <v>4.47</v>
      </c>
    </row>
    <row r="2020" spans="1:4">
      <c r="A2020" s="615" t="s">
        <v>989</v>
      </c>
      <c r="B2020" s="909" t="s">
        <v>4204</v>
      </c>
      <c r="C2020" s="82">
        <v>2998</v>
      </c>
      <c r="D2020" s="1594">
        <v>4.4400000000000004</v>
      </c>
    </row>
    <row r="2021" spans="1:4">
      <c r="A2021" s="615" t="s">
        <v>6698</v>
      </c>
      <c r="B2021" s="853" t="s">
        <v>6697</v>
      </c>
      <c r="C2021" s="82">
        <v>16196</v>
      </c>
      <c r="D2021" s="1594">
        <v>2</v>
      </c>
    </row>
    <row r="2022" spans="1:4">
      <c r="A2022" s="615" t="s">
        <v>4528</v>
      </c>
      <c r="B2022" s="909" t="s">
        <v>1798</v>
      </c>
      <c r="C2022" s="82">
        <v>2775</v>
      </c>
      <c r="D2022" s="1594">
        <v>1</v>
      </c>
    </row>
    <row r="2023" spans="1:4">
      <c r="A2023" s="919" t="s">
        <v>8610</v>
      </c>
      <c r="B2023" s="918" t="s">
        <v>8611</v>
      </c>
      <c r="C2023" s="82">
        <v>20407</v>
      </c>
      <c r="D2023" s="1594">
        <v>1</v>
      </c>
    </row>
    <row r="2024" spans="1:4">
      <c r="A2024" s="615" t="s">
        <v>6928</v>
      </c>
      <c r="B2024" s="909" t="s">
        <v>1894</v>
      </c>
      <c r="C2024" s="82">
        <v>2356</v>
      </c>
      <c r="D2024" s="1594">
        <v>3.37</v>
      </c>
    </row>
    <row r="2025" spans="1:4">
      <c r="A2025" s="615" t="s">
        <v>1444</v>
      </c>
      <c r="B2025" s="909" t="s">
        <v>1895</v>
      </c>
      <c r="C2025" s="82">
        <v>3155</v>
      </c>
      <c r="D2025" s="1594">
        <v>3.85</v>
      </c>
    </row>
    <row r="2026" spans="1:4">
      <c r="A2026" s="615" t="s">
        <v>3284</v>
      </c>
      <c r="B2026" s="909" t="s">
        <v>1896</v>
      </c>
      <c r="C2026" s="82">
        <v>3154</v>
      </c>
      <c r="D2026" s="1594">
        <v>3.46</v>
      </c>
    </row>
    <row r="2027" spans="1:4">
      <c r="A2027" s="615" t="s">
        <v>4217</v>
      </c>
      <c r="B2027" s="909" t="s">
        <v>2025</v>
      </c>
      <c r="C2027" s="82">
        <v>2777</v>
      </c>
      <c r="D2027" s="1594">
        <v>1</v>
      </c>
    </row>
    <row r="2028" spans="1:4">
      <c r="A2028" s="615" t="s">
        <v>5582</v>
      </c>
      <c r="B2028" s="909" t="s">
        <v>1897</v>
      </c>
      <c r="C2028" s="82">
        <v>2402</v>
      </c>
      <c r="D2028" s="1594">
        <v>3.5</v>
      </c>
    </row>
    <row r="2029" spans="1:4">
      <c r="A2029" s="615" t="s">
        <v>4268</v>
      </c>
      <c r="B2029" s="909" t="s">
        <v>5300</v>
      </c>
      <c r="C2029" s="82">
        <v>16352</v>
      </c>
      <c r="D2029" s="1594">
        <v>2.9587323501170402</v>
      </c>
    </row>
    <row r="2030" spans="1:4">
      <c r="A2030" s="615" t="s">
        <v>5605</v>
      </c>
      <c r="B2030" s="909" t="s">
        <v>3279</v>
      </c>
      <c r="C2030" s="82">
        <v>15903</v>
      </c>
      <c r="D2030" s="1594">
        <v>4.38</v>
      </c>
    </row>
    <row r="2031" spans="1:4">
      <c r="A2031" s="615" t="s">
        <v>6899</v>
      </c>
      <c r="B2031" s="853" t="s">
        <v>6898</v>
      </c>
      <c r="C2031" s="82">
        <v>2434</v>
      </c>
      <c r="D2031" s="1594">
        <v>2</v>
      </c>
    </row>
    <row r="2032" spans="1:4">
      <c r="A2032" s="615" t="s">
        <v>1933</v>
      </c>
      <c r="B2032" s="909" t="s">
        <v>3232</v>
      </c>
      <c r="C2032" s="82">
        <v>2225</v>
      </c>
      <c r="D2032" s="1594">
        <v>3.79</v>
      </c>
    </row>
    <row r="2033" spans="1:4">
      <c r="A2033" s="615" t="s">
        <v>1986</v>
      </c>
      <c r="B2033" s="909" t="s">
        <v>3414</v>
      </c>
      <c r="C2033" s="82">
        <v>2226</v>
      </c>
      <c r="D2033" s="1594">
        <v>3.64</v>
      </c>
    </row>
    <row r="2034" spans="1:4">
      <c r="A2034" s="615" t="s">
        <v>920</v>
      </c>
      <c r="B2034" s="909" t="s">
        <v>1999</v>
      </c>
      <c r="C2034" s="82">
        <v>2227</v>
      </c>
      <c r="D2034" s="1594">
        <v>4.2</v>
      </c>
    </row>
    <row r="2035" spans="1:4">
      <c r="A2035" s="615" t="s">
        <v>3608</v>
      </c>
      <c r="B2035" s="909" t="s">
        <v>1898</v>
      </c>
      <c r="C2035" s="82">
        <v>15945</v>
      </c>
      <c r="D2035" s="1594">
        <v>2.3199999999999998</v>
      </c>
    </row>
    <row r="2036" spans="1:4">
      <c r="A2036" s="919" t="s">
        <v>8612</v>
      </c>
      <c r="B2036" s="918" t="s">
        <v>8613</v>
      </c>
      <c r="C2036" s="82">
        <v>20405</v>
      </c>
      <c r="D2036" s="1594">
        <v>2.7</v>
      </c>
    </row>
    <row r="2037" spans="1:4">
      <c r="A2037" s="615" t="s">
        <v>2569</v>
      </c>
      <c r="B2037" s="909" t="s">
        <v>1048</v>
      </c>
      <c r="C2037" s="82">
        <v>15958</v>
      </c>
      <c r="D2037" s="1594">
        <v>4.33</v>
      </c>
    </row>
    <row r="2038" spans="1:4">
      <c r="A2038" s="615" t="s">
        <v>1546</v>
      </c>
      <c r="B2038" s="909" t="s">
        <v>4727</v>
      </c>
      <c r="C2038" s="82">
        <v>3540</v>
      </c>
      <c r="D2038" s="1594">
        <v>2.1</v>
      </c>
    </row>
    <row r="2039" spans="1:4">
      <c r="A2039" s="615" t="s">
        <v>745</v>
      </c>
      <c r="B2039" s="909" t="s">
        <v>1482</v>
      </c>
      <c r="C2039" s="82">
        <v>3544</v>
      </c>
      <c r="D2039" s="1594">
        <v>2.1</v>
      </c>
    </row>
    <row r="2040" spans="1:4">
      <c r="A2040" s="615" t="s">
        <v>342</v>
      </c>
      <c r="B2040" s="909" t="s">
        <v>343</v>
      </c>
      <c r="C2040" s="82">
        <v>17577</v>
      </c>
      <c r="D2040" s="1594">
        <v>3.3182763159269002</v>
      </c>
    </row>
    <row r="2041" spans="1:4">
      <c r="A2041" s="615" t="s">
        <v>4435</v>
      </c>
      <c r="B2041" s="853" t="s">
        <v>6937</v>
      </c>
      <c r="C2041" s="82">
        <v>17580</v>
      </c>
      <c r="D2041" s="1594">
        <v>2</v>
      </c>
    </row>
    <row r="2042" spans="1:4">
      <c r="A2042" s="615" t="s">
        <v>3459</v>
      </c>
      <c r="B2042" s="909" t="s">
        <v>2907</v>
      </c>
      <c r="C2042" s="82">
        <v>15973</v>
      </c>
      <c r="D2042" s="1594">
        <v>3.16</v>
      </c>
    </row>
    <row r="2043" spans="1:4">
      <c r="A2043" s="919" t="s">
        <v>8614</v>
      </c>
      <c r="B2043" s="918" t="s">
        <v>8615</v>
      </c>
      <c r="C2043" s="82">
        <v>15998</v>
      </c>
      <c r="D2043" s="1594">
        <v>2.9</v>
      </c>
    </row>
    <row r="2044" spans="1:4">
      <c r="A2044" s="615" t="s">
        <v>4228</v>
      </c>
      <c r="B2044" s="909" t="s">
        <v>2401</v>
      </c>
      <c r="C2044" s="82">
        <v>2503</v>
      </c>
      <c r="D2044" s="1594">
        <v>4.49</v>
      </c>
    </row>
    <row r="2045" spans="1:4">
      <c r="A2045" s="615" t="s">
        <v>4041</v>
      </c>
      <c r="B2045" s="909" t="s">
        <v>1696</v>
      </c>
      <c r="C2045" s="82">
        <v>2600</v>
      </c>
      <c r="D2045" s="1594">
        <v>2.7</v>
      </c>
    </row>
    <row r="2046" spans="1:4">
      <c r="A2046" s="615" t="s">
        <v>2187</v>
      </c>
      <c r="B2046" s="909" t="s">
        <v>1697</v>
      </c>
      <c r="C2046" s="82">
        <v>3418</v>
      </c>
      <c r="D2046" s="1594">
        <v>2.7</v>
      </c>
    </row>
    <row r="2047" spans="1:4">
      <c r="A2047" s="615" t="s">
        <v>2708</v>
      </c>
      <c r="B2047" s="996" t="s">
        <v>6944</v>
      </c>
      <c r="C2047" s="82">
        <v>2582</v>
      </c>
      <c r="D2047" s="1594">
        <v>2.2999999999999998</v>
      </c>
    </row>
    <row r="2048" spans="1:4">
      <c r="A2048" s="615" t="s">
        <v>1655</v>
      </c>
      <c r="B2048" s="909" t="s">
        <v>1656</v>
      </c>
      <c r="C2048" s="82">
        <v>16030</v>
      </c>
      <c r="D2048" s="1594">
        <v>3.14</v>
      </c>
    </row>
    <row r="2049" spans="1:4">
      <c r="A2049" s="615" t="s">
        <v>6600</v>
      </c>
      <c r="B2049" s="853" t="s">
        <v>6599</v>
      </c>
      <c r="C2049" s="82">
        <v>16037</v>
      </c>
      <c r="D2049" s="1594">
        <v>2</v>
      </c>
    </row>
    <row r="2050" spans="1:4">
      <c r="A2050" s="615" t="s">
        <v>5644</v>
      </c>
      <c r="B2050" s="909" t="s">
        <v>5645</v>
      </c>
      <c r="C2050" s="82">
        <v>16042</v>
      </c>
      <c r="D2050" s="1594">
        <v>3.2850000000000001</v>
      </c>
    </row>
    <row r="2051" spans="1:4">
      <c r="A2051" s="615" t="s">
        <v>6735</v>
      </c>
      <c r="B2051" s="853" t="s">
        <v>6734</v>
      </c>
      <c r="C2051" s="82">
        <v>19223</v>
      </c>
      <c r="D2051" s="1594">
        <v>3.7</v>
      </c>
    </row>
    <row r="2052" spans="1:4">
      <c r="A2052" s="615" t="s">
        <v>3944</v>
      </c>
      <c r="B2052" s="909" t="s">
        <v>3280</v>
      </c>
      <c r="C2052" s="82">
        <v>3043</v>
      </c>
      <c r="D2052" s="1594">
        <v>4.3600000000000003</v>
      </c>
    </row>
    <row r="2053" spans="1:4">
      <c r="A2053" s="615" t="s">
        <v>3495</v>
      </c>
      <c r="B2053" s="909" t="s">
        <v>5535</v>
      </c>
      <c r="C2053" s="82">
        <v>3044</v>
      </c>
      <c r="D2053" s="1594">
        <v>4.5</v>
      </c>
    </row>
    <row r="2054" spans="1:4">
      <c r="A2054" s="615" t="s">
        <v>3445</v>
      </c>
      <c r="B2054" s="909" t="s">
        <v>2853</v>
      </c>
      <c r="C2054" s="82">
        <v>18586</v>
      </c>
      <c r="D2054" s="1594">
        <v>3.98</v>
      </c>
    </row>
    <row r="2055" spans="1:4">
      <c r="A2055" s="615" t="s">
        <v>3419</v>
      </c>
      <c r="B2055" s="909" t="s">
        <v>3923</v>
      </c>
      <c r="C2055" s="82">
        <v>2250</v>
      </c>
      <c r="D2055" s="1594">
        <v>4.5</v>
      </c>
    </row>
    <row r="2056" spans="1:4">
      <c r="A2056" s="615" t="s">
        <v>1951</v>
      </c>
      <c r="B2056" s="909" t="s">
        <v>2735</v>
      </c>
      <c r="C2056" s="82">
        <v>18711</v>
      </c>
      <c r="D2056" s="1594">
        <v>1.9785341879407026</v>
      </c>
    </row>
    <row r="2057" spans="1:4">
      <c r="A2057" s="615" t="s">
        <v>2014</v>
      </c>
      <c r="B2057" s="909" t="s">
        <v>2014</v>
      </c>
      <c r="C2057" s="82"/>
      <c r="D2057" s="1594">
        <v>4.3600000000000003</v>
      </c>
    </row>
    <row r="2058" spans="1:4">
      <c r="A2058" s="615" t="s">
        <v>4279</v>
      </c>
      <c r="B2058" s="909" t="s">
        <v>578</v>
      </c>
      <c r="C2058" s="82">
        <v>3254</v>
      </c>
      <c r="D2058" s="1594">
        <v>3.47</v>
      </c>
    </row>
    <row r="2059" spans="1:4">
      <c r="A2059" s="615" t="s">
        <v>3833</v>
      </c>
      <c r="B2059" s="909" t="s">
        <v>2035</v>
      </c>
      <c r="C2059" s="82">
        <v>2793</v>
      </c>
      <c r="D2059" s="1594">
        <v>1</v>
      </c>
    </row>
    <row r="2060" spans="1:4">
      <c r="A2060" s="919" t="s">
        <v>8616</v>
      </c>
      <c r="B2060" s="918" t="s">
        <v>8617</v>
      </c>
      <c r="C2060" s="82">
        <v>16068</v>
      </c>
      <c r="D2060" s="1594">
        <v>4.5</v>
      </c>
    </row>
    <row r="2061" spans="1:4">
      <c r="A2061" s="615" t="s">
        <v>3943</v>
      </c>
      <c r="B2061" s="853" t="s">
        <v>6949</v>
      </c>
      <c r="C2061" s="82">
        <v>17523</v>
      </c>
      <c r="D2061" s="1594">
        <v>1.9639160018591753</v>
      </c>
    </row>
    <row r="2062" spans="1:4">
      <c r="A2062" s="28" t="s">
        <v>3563</v>
      </c>
      <c r="B2062" s="717" t="s">
        <v>6950</v>
      </c>
      <c r="C2062" s="718">
        <v>17524</v>
      </c>
      <c r="D2062" s="1598">
        <v>1.9639160018591753</v>
      </c>
    </row>
  </sheetData>
  <conditionalFormatting sqref="E1699:E1719">
    <cfRule type="cellIs" dxfId="7" priority="14" stopIfTrue="1" operator="notEqual">
      <formula>#REF!</formula>
    </cfRule>
  </conditionalFormatting>
  <conditionalFormatting sqref="D1685:D1697 D1719:D1816 D43:D1682">
    <cfRule type="cellIs" dxfId="6" priority="6" stopIfTrue="1" operator="notEqual">
      <formula>#REF!</formula>
    </cfRule>
  </conditionalFormatting>
  <conditionalFormatting sqref="B1698:B1718 D7:D42 D1698:D1721 A1684:A1721 B1722:B1819 A7:A1682 A1724:A1816 A1842:A1844 A1892:A1898 A1923 A2001 A2017:A2018 A2057 C7:C2061">
    <cfRule type="cellIs" dxfId="5" priority="5" stopIfTrue="1" operator="equal">
      <formula>"h3:h400"</formula>
    </cfRule>
  </conditionalFormatting>
  <conditionalFormatting sqref="D1688:D1700 D1722:D1819 D43:D1685">
    <cfRule type="cellIs" dxfId="4" priority="4" stopIfTrue="1" operator="notEqual">
      <formula>#REF!</formula>
    </cfRule>
  </conditionalFormatting>
  <conditionalFormatting sqref="D1685:D1697 D1719:D1816 D43:D1682">
    <cfRule type="cellIs" dxfId="3" priority="3" stopIfTrue="1" operator="notEqual">
      <formula>#REF!</formula>
    </cfRule>
  </conditionalFormatting>
  <conditionalFormatting sqref="B1698:B1718 A1724:A1816 D7:D42 D1698:D1721 A1684:A1721 B1722:B1819">
    <cfRule type="cellIs" dxfId="2" priority="2" stopIfTrue="1" operator="equal">
      <formula>"h3:h400"</formula>
    </cfRule>
  </conditionalFormatting>
  <conditionalFormatting sqref="D1688:D1700 D1722:D1819">
    <cfRule type="cellIs" dxfId="1" priority="1" stopIfTrue="1" operator="notEqual">
      <formula>#REF!</formula>
    </cfRule>
  </conditionalFormatting>
  <hyperlinks>
    <hyperlink ref="F3" location="fish_marine_efp!A1" display="fish_marine_efp"/>
    <hyperlink ref="D3" location="fish_capture_yield!A1" display="fish_capture_yield"/>
    <hyperlink ref="H3" location="fish_inland_efp!A1" display="fish_inland_efp"/>
    <hyperlink ref="E3" location="fish_marine_efp!A1" display="fish_marine_efp"/>
  </hyperlink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enableFormatConditionsCalculation="0">
    <tabColor rgb="FFB0CA90"/>
    <pageSetUpPr autoPageBreaks="0"/>
  </sheetPr>
  <dimension ref="A1:K56"/>
  <sheetViews>
    <sheetView workbookViewId="0">
      <selection activeCell="A65536" sqref="A65536"/>
    </sheetView>
  </sheetViews>
  <sheetFormatPr baseColWidth="10" defaultColWidth="9.1640625" defaultRowHeight="12.75" customHeight="1" x14ac:dyDescent="0"/>
  <cols>
    <col min="1" max="1" width="39" style="53" customWidth="1"/>
    <col min="2" max="2" width="10.1640625" style="150" bestFit="1" customWidth="1"/>
    <col min="3" max="3" width="14.83203125" style="53" bestFit="1" customWidth="1"/>
    <col min="4" max="4" width="18.6640625" style="736" customWidth="1"/>
    <col min="5" max="5" width="18.6640625" style="53" customWidth="1"/>
    <col min="6" max="6" width="18.6640625" style="889" customWidth="1"/>
    <col min="7" max="8" width="18.6640625" style="53" customWidth="1"/>
    <col min="9" max="9" width="16" style="53" customWidth="1"/>
    <col min="10" max="10" width="15.83203125" style="53" bestFit="1" customWidth="1"/>
    <col min="11" max="11" width="12.83203125" style="53" bestFit="1" customWidth="1"/>
    <col min="12" max="16384" width="9.1640625" style="53"/>
  </cols>
  <sheetData>
    <row r="1" spans="1:11" ht="12.75" customHeight="1">
      <c r="B1" s="185"/>
      <c r="C1" s="185"/>
      <c r="D1" s="185"/>
      <c r="E1" s="185"/>
      <c r="F1" s="185"/>
      <c r="G1" s="185"/>
      <c r="H1" s="185"/>
      <c r="I1" s="185"/>
      <c r="J1" s="185"/>
      <c r="K1" s="185"/>
    </row>
    <row r="2" spans="1:11" ht="12.75" customHeight="1">
      <c r="C2" s="54" t="s">
        <v>1005</v>
      </c>
      <c r="D2" s="1064" t="s">
        <v>7130</v>
      </c>
      <c r="E2" s="1064" t="s">
        <v>6346</v>
      </c>
      <c r="F2" s="1064" t="s">
        <v>2117</v>
      </c>
      <c r="G2" s="1064" t="s">
        <v>6348</v>
      </c>
    </row>
    <row r="3" spans="1:11" ht="12.75" customHeight="1">
      <c r="C3" s="54" t="s">
        <v>1006</v>
      </c>
      <c r="D3" s="1064" t="s">
        <v>7129</v>
      </c>
      <c r="E3" s="1064" t="s">
        <v>7131</v>
      </c>
      <c r="F3" s="1064"/>
      <c r="G3" s="1064"/>
      <c r="H3" s="185"/>
      <c r="I3" s="185"/>
      <c r="J3" s="185"/>
    </row>
    <row r="4" spans="1:11" ht="12.75" customHeight="1">
      <c r="B4" s="53"/>
      <c r="K4" s="122"/>
    </row>
    <row r="5" spans="1:11" ht="12">
      <c r="A5" s="379" t="s">
        <v>2036</v>
      </c>
      <c r="B5" s="380" t="s">
        <v>2019</v>
      </c>
      <c r="C5" s="381" t="s">
        <v>2655</v>
      </c>
      <c r="D5" s="381" t="s">
        <v>2038</v>
      </c>
      <c r="E5" s="381" t="s">
        <v>2039</v>
      </c>
      <c r="F5" s="820" t="s">
        <v>6223</v>
      </c>
      <c r="G5" s="382" t="s">
        <v>1855</v>
      </c>
      <c r="H5" s="340" t="s">
        <v>3983</v>
      </c>
      <c r="J5" s="379" t="s">
        <v>2922</v>
      </c>
      <c r="K5" s="387" t="s">
        <v>7176</v>
      </c>
    </row>
    <row r="6" spans="1:11" ht="12.75" customHeight="1">
      <c r="A6" s="383" t="s">
        <v>548</v>
      </c>
      <c r="B6" s="384" t="s">
        <v>548</v>
      </c>
      <c r="C6" s="385" t="s">
        <v>548</v>
      </c>
      <c r="D6" s="811" t="s">
        <v>7126</v>
      </c>
      <c r="E6" s="385" t="s">
        <v>3368</v>
      </c>
      <c r="F6" s="585" t="s">
        <v>548</v>
      </c>
      <c r="G6" s="386" t="s">
        <v>2963</v>
      </c>
      <c r="H6" s="343" t="s">
        <v>732</v>
      </c>
      <c r="J6" s="383" t="s">
        <v>548</v>
      </c>
      <c r="K6" s="388" t="s">
        <v>548</v>
      </c>
    </row>
    <row r="7" spans="1:11" ht="12">
      <c r="A7" s="1282" t="s">
        <v>7149</v>
      </c>
      <c r="B7" s="1283">
        <v>1864</v>
      </c>
      <c r="C7" s="1284" t="s">
        <v>7150</v>
      </c>
      <c r="D7" s="1177">
        <v>41880800</v>
      </c>
      <c r="E7" s="1463">
        <f t="shared" ref="E7:E38" si="0">VLOOKUP("world",constant_forest_increment,2,FALSE)*IF(J7="p",1,1/VLOOKUP(B7,constant_forest_extr,5,FALSE))</f>
        <v>3.3465612092733341</v>
      </c>
      <c r="F7" s="1466">
        <f>VLOOKUP("Forest Land",iyf,2,FALSE)</f>
        <v>1</v>
      </c>
      <c r="G7" s="1276">
        <f>VLOOKUP("Forest Land",eqf,2,FALSE)</f>
        <v>1.2941439511867201</v>
      </c>
      <c r="H7" s="1277">
        <f t="shared" ref="H7:H48" si="1">IFERROR(D7/E7*G7*F7,0)</f>
        <v>16195664.92334668</v>
      </c>
      <c r="J7" s="1469" t="s">
        <v>2921</v>
      </c>
      <c r="K7" s="1537" t="s">
        <v>6219</v>
      </c>
    </row>
    <row r="8" spans="1:11" ht="12">
      <c r="A8" s="1285" t="s">
        <v>3602</v>
      </c>
      <c r="B8" s="1286">
        <v>1627</v>
      </c>
      <c r="C8" s="1287" t="s">
        <v>7151</v>
      </c>
      <c r="D8" s="1178">
        <v>8216670</v>
      </c>
      <c r="E8" s="1464">
        <f t="shared" si="0"/>
        <v>3.3465612092733341</v>
      </c>
      <c r="F8" s="1467">
        <f t="shared" ref="F8:F39" si="2">$F$7</f>
        <v>1</v>
      </c>
      <c r="G8" s="1278">
        <f t="shared" ref="G8:G39" si="3">$G$7</f>
        <v>1.2941439511867201</v>
      </c>
      <c r="H8" s="1279">
        <f t="shared" si="1"/>
        <v>3177456.8323841705</v>
      </c>
      <c r="J8" s="1470" t="s">
        <v>2921</v>
      </c>
      <c r="K8" s="1538" t="s">
        <v>6221</v>
      </c>
    </row>
    <row r="9" spans="1:11" ht="12">
      <c r="A9" s="1288" t="s">
        <v>3603</v>
      </c>
      <c r="B9" s="1289">
        <v>1628</v>
      </c>
      <c r="C9" s="1290" t="s">
        <v>7151</v>
      </c>
      <c r="D9" s="1249">
        <v>33664200</v>
      </c>
      <c r="E9" s="1465">
        <f t="shared" si="0"/>
        <v>3.3465612092733341</v>
      </c>
      <c r="F9" s="1468">
        <f t="shared" si="2"/>
        <v>1</v>
      </c>
      <c r="G9" s="1280">
        <f t="shared" si="3"/>
        <v>1.2941439511867201</v>
      </c>
      <c r="H9" s="1281">
        <f t="shared" si="1"/>
        <v>13018235.160563488</v>
      </c>
      <c r="J9" s="1471" t="s">
        <v>2921</v>
      </c>
      <c r="K9" s="1539" t="s">
        <v>6221</v>
      </c>
    </row>
    <row r="10" spans="1:11" ht="12">
      <c r="A10" s="578" t="s">
        <v>7152</v>
      </c>
      <c r="B10" s="1163">
        <v>1865</v>
      </c>
      <c r="C10" s="1164" t="s">
        <v>7153</v>
      </c>
      <c r="D10" s="1177">
        <v>354936992</v>
      </c>
      <c r="E10" s="1173">
        <f t="shared" si="0"/>
        <v>1.8187832659094201</v>
      </c>
      <c r="F10" s="1173">
        <f t="shared" si="2"/>
        <v>1</v>
      </c>
      <c r="G10" s="1173">
        <f t="shared" si="3"/>
        <v>1.2941439511867201</v>
      </c>
      <c r="H10" s="859">
        <f t="shared" si="1"/>
        <v>252553215.0305618</v>
      </c>
      <c r="J10" s="1469" t="s">
        <v>415</v>
      </c>
      <c r="K10" s="1537" t="s">
        <v>6219</v>
      </c>
    </row>
    <row r="11" spans="1:11" ht="12">
      <c r="A11" s="1165" t="s">
        <v>7154</v>
      </c>
      <c r="B11" s="1166">
        <v>1866</v>
      </c>
      <c r="C11" s="872" t="s">
        <v>7155</v>
      </c>
      <c r="D11" s="1178">
        <v>259642000</v>
      </c>
      <c r="E11" s="891">
        <f t="shared" si="0"/>
        <v>1.8187832659094201</v>
      </c>
      <c r="F11" s="891">
        <f t="shared" si="2"/>
        <v>1</v>
      </c>
      <c r="G11" s="891">
        <f t="shared" si="3"/>
        <v>1.2941439511867201</v>
      </c>
      <c r="H11" s="1174">
        <f t="shared" si="1"/>
        <v>184746654.57514536</v>
      </c>
      <c r="J11" s="1470" t="s">
        <v>415</v>
      </c>
      <c r="K11" s="1538" t="s">
        <v>6221</v>
      </c>
    </row>
    <row r="12" spans="1:11" ht="12">
      <c r="A12" s="1165" t="s">
        <v>7156</v>
      </c>
      <c r="B12" s="1166">
        <v>1867</v>
      </c>
      <c r="C12" s="872" t="s">
        <v>7151</v>
      </c>
      <c r="D12" s="1178">
        <v>95295000</v>
      </c>
      <c r="E12" s="891">
        <f t="shared" si="0"/>
        <v>1.8187832659094201</v>
      </c>
      <c r="F12" s="891">
        <f t="shared" si="2"/>
        <v>1</v>
      </c>
      <c r="G12" s="891">
        <f t="shared" si="3"/>
        <v>1.2941439511867201</v>
      </c>
      <c r="H12" s="1174">
        <f t="shared" si="1"/>
        <v>67806566.147766829</v>
      </c>
      <c r="J12" s="1470" t="s">
        <v>415</v>
      </c>
      <c r="K12" s="1538" t="s">
        <v>6221</v>
      </c>
    </row>
    <row r="13" spans="1:11" ht="12">
      <c r="A13" s="1167" t="s">
        <v>7157</v>
      </c>
      <c r="B13" s="1166">
        <v>1868</v>
      </c>
      <c r="C13" s="872" t="s">
        <v>7151</v>
      </c>
      <c r="D13" s="1178">
        <v>153323008</v>
      </c>
      <c r="E13" s="891">
        <f t="shared" si="0"/>
        <v>1.8187832659094201</v>
      </c>
      <c r="F13" s="891">
        <f t="shared" si="2"/>
        <v>1</v>
      </c>
      <c r="G13" s="891">
        <f t="shared" si="3"/>
        <v>1.2941439511867201</v>
      </c>
      <c r="H13" s="1174">
        <f t="shared" si="1"/>
        <v>109096035.3001373</v>
      </c>
      <c r="J13" s="1470" t="s">
        <v>415</v>
      </c>
      <c r="K13" s="1538" t="s">
        <v>6221</v>
      </c>
    </row>
    <row r="14" spans="1:11" ht="12">
      <c r="A14" s="1168" t="s">
        <v>7158</v>
      </c>
      <c r="B14" s="1166">
        <v>1601</v>
      </c>
      <c r="C14" s="872" t="s">
        <v>7151</v>
      </c>
      <c r="D14" s="1178">
        <v>121323000</v>
      </c>
      <c r="E14" s="891">
        <f t="shared" si="0"/>
        <v>1.8187832659094201</v>
      </c>
      <c r="F14" s="891">
        <f t="shared" si="2"/>
        <v>1</v>
      </c>
      <c r="G14" s="891">
        <f t="shared" si="3"/>
        <v>1.2941439511867201</v>
      </c>
      <c r="H14" s="1174">
        <f t="shared" si="1"/>
        <v>86326628.099538445</v>
      </c>
      <c r="J14" s="1470" t="s">
        <v>415</v>
      </c>
      <c r="K14" s="1538" t="s">
        <v>6221</v>
      </c>
    </row>
    <row r="15" spans="1:11" ht="12">
      <c r="A15" s="1168" t="s">
        <v>7159</v>
      </c>
      <c r="B15" s="1166">
        <v>1604</v>
      </c>
      <c r="C15" s="872" t="s">
        <v>7151</v>
      </c>
      <c r="D15" s="1178">
        <v>32000000</v>
      </c>
      <c r="E15" s="891">
        <f t="shared" si="0"/>
        <v>1.8187832659094201</v>
      </c>
      <c r="F15" s="891">
        <f t="shared" si="2"/>
        <v>1</v>
      </c>
      <c r="G15" s="891">
        <f t="shared" si="3"/>
        <v>1.2941439511867201</v>
      </c>
      <c r="H15" s="1174">
        <f t="shared" si="1"/>
        <v>22769401.508248478</v>
      </c>
      <c r="J15" s="1470" t="s">
        <v>415</v>
      </c>
      <c r="K15" s="1538" t="s">
        <v>6221</v>
      </c>
    </row>
    <row r="16" spans="1:11" ht="12">
      <c r="A16" s="1167" t="s">
        <v>7160</v>
      </c>
      <c r="B16" s="1166">
        <v>2038</v>
      </c>
      <c r="C16" s="872" t="s">
        <v>7151</v>
      </c>
      <c r="D16" s="1178">
        <v>186390000</v>
      </c>
      <c r="E16" s="891">
        <f t="shared" si="0"/>
        <v>1.8187832659094201</v>
      </c>
      <c r="F16" s="891">
        <f t="shared" si="2"/>
        <v>1</v>
      </c>
      <c r="G16" s="891">
        <f t="shared" si="3"/>
        <v>1.2941439511867201</v>
      </c>
      <c r="H16" s="1174">
        <f t="shared" si="1"/>
        <v>132624648.34757607</v>
      </c>
      <c r="J16" s="1470" t="s">
        <v>415</v>
      </c>
      <c r="K16" s="1538" t="s">
        <v>6221</v>
      </c>
    </row>
    <row r="17" spans="1:11" ht="12">
      <c r="A17" s="1168" t="s">
        <v>7161</v>
      </c>
      <c r="B17" s="1166">
        <v>1602</v>
      </c>
      <c r="C17" s="872" t="s">
        <v>7151</v>
      </c>
      <c r="D17" s="1178">
        <v>134314000</v>
      </c>
      <c r="E17" s="891">
        <f t="shared" si="0"/>
        <v>1.8187832659094201</v>
      </c>
      <c r="F17" s="891">
        <f t="shared" si="2"/>
        <v>1</v>
      </c>
      <c r="G17" s="891">
        <f t="shared" si="3"/>
        <v>1.2941439511867201</v>
      </c>
      <c r="H17" s="1174">
        <f t="shared" si="1"/>
        <v>95570293.568090186</v>
      </c>
      <c r="J17" s="1470" t="s">
        <v>415</v>
      </c>
      <c r="K17" s="1538" t="s">
        <v>6221</v>
      </c>
    </row>
    <row r="18" spans="1:11" ht="12">
      <c r="A18" s="1168" t="s">
        <v>7162</v>
      </c>
      <c r="B18" s="1166">
        <v>1603</v>
      </c>
      <c r="C18" s="872" t="s">
        <v>7151</v>
      </c>
      <c r="D18" s="1178">
        <v>52076000</v>
      </c>
      <c r="E18" s="891">
        <f t="shared" si="0"/>
        <v>1.8187832659094201</v>
      </c>
      <c r="F18" s="891">
        <f t="shared" si="2"/>
        <v>1</v>
      </c>
      <c r="G18" s="891">
        <f t="shared" si="3"/>
        <v>1.2941439511867201</v>
      </c>
      <c r="H18" s="1174">
        <f t="shared" si="1"/>
        <v>37054354.779485866</v>
      </c>
      <c r="J18" s="1470" t="s">
        <v>415</v>
      </c>
      <c r="K18" s="1538" t="s">
        <v>6221</v>
      </c>
    </row>
    <row r="19" spans="1:11" ht="12">
      <c r="A19" s="1167" t="s">
        <v>7163</v>
      </c>
      <c r="B19" s="1166">
        <v>1870</v>
      </c>
      <c r="C19" s="872" t="s">
        <v>7151</v>
      </c>
      <c r="D19" s="1178"/>
      <c r="E19" s="891">
        <f t="shared" si="0"/>
        <v>1.8187832659094201</v>
      </c>
      <c r="F19" s="891">
        <f t="shared" si="2"/>
        <v>1</v>
      </c>
      <c r="G19" s="891">
        <f t="shared" si="3"/>
        <v>1.2941439511867201</v>
      </c>
      <c r="H19" s="1174">
        <f t="shared" si="1"/>
        <v>0</v>
      </c>
      <c r="J19" s="1470" t="s">
        <v>415</v>
      </c>
      <c r="K19" s="1538" t="s">
        <v>6221</v>
      </c>
    </row>
    <row r="20" spans="1:11" ht="12">
      <c r="A20" s="1168" t="s">
        <v>7164</v>
      </c>
      <c r="B20" s="1166">
        <v>1608</v>
      </c>
      <c r="C20" s="872" t="s">
        <v>7151</v>
      </c>
      <c r="D20" s="1178"/>
      <c r="E20" s="891">
        <f t="shared" si="0"/>
        <v>1.8187832659094201</v>
      </c>
      <c r="F20" s="891">
        <f t="shared" si="2"/>
        <v>1</v>
      </c>
      <c r="G20" s="891">
        <f t="shared" si="3"/>
        <v>1.2941439511867201</v>
      </c>
      <c r="H20" s="1174">
        <f t="shared" si="1"/>
        <v>0</v>
      </c>
      <c r="J20" s="1470" t="s">
        <v>415</v>
      </c>
      <c r="K20" s="1538" t="s">
        <v>6221</v>
      </c>
    </row>
    <row r="21" spans="1:11" ht="12">
      <c r="A21" s="1168" t="s">
        <v>7165</v>
      </c>
      <c r="B21" s="1166">
        <v>1611</v>
      </c>
      <c r="C21" s="872" t="s">
        <v>7151</v>
      </c>
      <c r="D21" s="1178"/>
      <c r="E21" s="891">
        <f t="shared" si="0"/>
        <v>1.8187832659094201</v>
      </c>
      <c r="F21" s="891">
        <f t="shared" si="2"/>
        <v>1</v>
      </c>
      <c r="G21" s="891">
        <f t="shared" si="3"/>
        <v>1.2941439511867201</v>
      </c>
      <c r="H21" s="1174">
        <f t="shared" si="1"/>
        <v>0</v>
      </c>
      <c r="J21" s="1470" t="s">
        <v>415</v>
      </c>
      <c r="K21" s="1538" t="s">
        <v>6221</v>
      </c>
    </row>
    <row r="22" spans="1:11" ht="12">
      <c r="A22" s="1167" t="s">
        <v>7166</v>
      </c>
      <c r="B22" s="1166">
        <v>1871</v>
      </c>
      <c r="C22" s="872" t="s">
        <v>7151</v>
      </c>
      <c r="D22" s="1178">
        <v>15224000</v>
      </c>
      <c r="E22" s="891">
        <f t="shared" si="0"/>
        <v>1.8187832659094201</v>
      </c>
      <c r="F22" s="891">
        <f t="shared" si="2"/>
        <v>1</v>
      </c>
      <c r="G22" s="891">
        <f t="shared" si="3"/>
        <v>1.2941439511867201</v>
      </c>
      <c r="H22" s="1174">
        <f t="shared" si="1"/>
        <v>10832542.767549213</v>
      </c>
      <c r="J22" s="1470" t="s">
        <v>415</v>
      </c>
      <c r="K22" s="1538" t="s">
        <v>6221</v>
      </c>
    </row>
    <row r="23" spans="1:11" ht="12">
      <c r="A23" s="1168" t="s">
        <v>7167</v>
      </c>
      <c r="B23" s="1166">
        <v>1623</v>
      </c>
      <c r="C23" s="872" t="s">
        <v>7151</v>
      </c>
      <c r="D23" s="1178">
        <v>4005000</v>
      </c>
      <c r="E23" s="891">
        <f t="shared" si="0"/>
        <v>1.8187832659094201</v>
      </c>
      <c r="F23" s="891">
        <f t="shared" si="2"/>
        <v>1</v>
      </c>
      <c r="G23" s="891">
        <f t="shared" si="3"/>
        <v>1.2941439511867201</v>
      </c>
      <c r="H23" s="1174">
        <f t="shared" si="1"/>
        <v>2849732.907516724</v>
      </c>
      <c r="J23" s="1470" t="s">
        <v>415</v>
      </c>
      <c r="K23" s="1538" t="s">
        <v>6221</v>
      </c>
    </row>
    <row r="24" spans="1:11" ht="12">
      <c r="A24" s="1168" t="s">
        <v>7168</v>
      </c>
      <c r="B24" s="1166">
        <v>1626</v>
      </c>
      <c r="C24" s="872" t="s">
        <v>7151</v>
      </c>
      <c r="D24" s="1178">
        <v>11219000</v>
      </c>
      <c r="E24" s="891">
        <f t="shared" si="0"/>
        <v>1.8187832659094201</v>
      </c>
      <c r="F24" s="891">
        <f t="shared" si="2"/>
        <v>1</v>
      </c>
      <c r="G24" s="891">
        <f t="shared" si="3"/>
        <v>1.2941439511867201</v>
      </c>
      <c r="H24" s="1174">
        <f t="shared" si="1"/>
        <v>7982809.8600324905</v>
      </c>
      <c r="J24" s="1470" t="s">
        <v>415</v>
      </c>
      <c r="K24" s="1538" t="s">
        <v>6221</v>
      </c>
    </row>
    <row r="25" spans="1:11" ht="12">
      <c r="A25" s="528" t="s">
        <v>3601</v>
      </c>
      <c r="B25" s="1169">
        <v>1630</v>
      </c>
      <c r="C25" s="1170" t="s">
        <v>3728</v>
      </c>
      <c r="D25" s="1179">
        <v>982260</v>
      </c>
      <c r="E25" s="1175">
        <f t="shared" si="0"/>
        <v>1.8187832659094201</v>
      </c>
      <c r="F25" s="1175">
        <f t="shared" si="2"/>
        <v>1</v>
      </c>
      <c r="G25" s="1175">
        <f t="shared" si="3"/>
        <v>1.2941439511867201</v>
      </c>
      <c r="H25" s="859">
        <f t="shared" si="1"/>
        <v>698921.01017162972</v>
      </c>
      <c r="J25" s="1472" t="s">
        <v>2921</v>
      </c>
      <c r="K25" s="1540" t="s">
        <v>6221</v>
      </c>
    </row>
    <row r="26" spans="1:11" ht="12">
      <c r="A26" s="528" t="s">
        <v>7169</v>
      </c>
      <c r="B26" s="1169">
        <v>1872</v>
      </c>
      <c r="C26" s="1170" t="s">
        <v>7150</v>
      </c>
      <c r="D26" s="1179">
        <v>71115000</v>
      </c>
      <c r="E26" s="1175">
        <f t="shared" si="0"/>
        <v>1.8187832659094201</v>
      </c>
      <c r="F26" s="1175">
        <f t="shared" si="2"/>
        <v>1</v>
      </c>
      <c r="G26" s="1175">
        <f t="shared" si="3"/>
        <v>1.2941439511867201</v>
      </c>
      <c r="H26" s="859">
        <f t="shared" si="1"/>
        <v>50601437.133096576</v>
      </c>
      <c r="J26" s="1472" t="s">
        <v>2921</v>
      </c>
      <c r="K26" s="1540" t="s">
        <v>6221</v>
      </c>
    </row>
    <row r="27" spans="1:11" ht="12.75" customHeight="1">
      <c r="A27" s="1165" t="s">
        <v>1027</v>
      </c>
      <c r="B27" s="1166">
        <v>1632</v>
      </c>
      <c r="C27" s="872" t="s">
        <v>7151</v>
      </c>
      <c r="D27" s="1178">
        <v>51051000</v>
      </c>
      <c r="E27" s="891">
        <f t="shared" si="0"/>
        <v>1.8187832659094201</v>
      </c>
      <c r="F27" s="891">
        <f t="shared" si="2"/>
        <v>1</v>
      </c>
      <c r="G27" s="891">
        <f t="shared" si="3"/>
        <v>1.2941439511867201</v>
      </c>
      <c r="H27" s="1174">
        <f t="shared" si="1"/>
        <v>36325022.387424789</v>
      </c>
      <c r="J27" s="1470" t="s">
        <v>2921</v>
      </c>
      <c r="K27" s="1538" t="s">
        <v>6221</v>
      </c>
    </row>
    <row r="28" spans="1:11" ht="12.75" customHeight="1">
      <c r="A28" s="1165" t="s">
        <v>1028</v>
      </c>
      <c r="B28" s="1166">
        <v>1633</v>
      </c>
      <c r="C28" s="872" t="s">
        <v>7151</v>
      </c>
      <c r="D28" s="1178">
        <v>20064000</v>
      </c>
      <c r="E28" s="891">
        <f t="shared" si="0"/>
        <v>1.8187832659094201</v>
      </c>
      <c r="F28" s="891">
        <f t="shared" si="2"/>
        <v>1</v>
      </c>
      <c r="G28" s="891">
        <f t="shared" si="3"/>
        <v>1.2941439511867201</v>
      </c>
      <c r="H28" s="1174">
        <f t="shared" si="1"/>
        <v>14276414.745671796</v>
      </c>
      <c r="J28" s="1470" t="s">
        <v>2921</v>
      </c>
      <c r="K28" s="1538" t="s">
        <v>6221</v>
      </c>
    </row>
    <row r="29" spans="1:11" ht="12.75" customHeight="1">
      <c r="A29" s="528" t="s">
        <v>3600</v>
      </c>
      <c r="B29" s="1169">
        <v>1634</v>
      </c>
      <c r="C29" s="1170" t="s">
        <v>7150</v>
      </c>
      <c r="D29" s="1179">
        <v>400000</v>
      </c>
      <c r="E29" s="1175">
        <f t="shared" si="0"/>
        <v>1.8187832659094201</v>
      </c>
      <c r="F29" s="1175">
        <f t="shared" si="2"/>
        <v>1</v>
      </c>
      <c r="G29" s="1175">
        <f t="shared" si="3"/>
        <v>1.2941439511867201</v>
      </c>
      <c r="H29" s="859">
        <f t="shared" si="1"/>
        <v>284617.51885310595</v>
      </c>
      <c r="J29" s="1472" t="s">
        <v>2921</v>
      </c>
      <c r="K29" s="1540" t="s">
        <v>6221</v>
      </c>
    </row>
    <row r="30" spans="1:11" ht="12.75" customHeight="1">
      <c r="A30" s="528" t="s">
        <v>2961</v>
      </c>
      <c r="B30" s="1169">
        <v>1640</v>
      </c>
      <c r="C30" s="1170" t="s">
        <v>7150</v>
      </c>
      <c r="D30" s="1179">
        <v>9680210</v>
      </c>
      <c r="E30" s="1175">
        <f t="shared" si="0"/>
        <v>1.8187832659094201</v>
      </c>
      <c r="F30" s="1175">
        <f t="shared" si="2"/>
        <v>1</v>
      </c>
      <c r="G30" s="1175">
        <f t="shared" si="3"/>
        <v>1.2941439511867201</v>
      </c>
      <c r="H30" s="859">
        <f t="shared" si="1"/>
        <v>6887893.3804425625</v>
      </c>
      <c r="J30" s="1472" t="s">
        <v>2921</v>
      </c>
      <c r="K30" s="1540" t="s">
        <v>6221</v>
      </c>
    </row>
    <row r="31" spans="1:11" s="814" customFormat="1" ht="12.75" customHeight="1">
      <c r="A31" s="528" t="s">
        <v>2960</v>
      </c>
      <c r="B31" s="1169">
        <v>1646</v>
      </c>
      <c r="C31" s="1170" t="s">
        <v>7150</v>
      </c>
      <c r="D31" s="1179">
        <v>15184800</v>
      </c>
      <c r="E31" s="1175">
        <f t="shared" si="0"/>
        <v>1.2775358643913595</v>
      </c>
      <c r="F31" s="1175">
        <f t="shared" si="2"/>
        <v>1</v>
      </c>
      <c r="G31" s="1175">
        <f t="shared" si="3"/>
        <v>1.2941439511867201</v>
      </c>
      <c r="H31" s="859">
        <f t="shared" si="1"/>
        <v>15382203.832956456</v>
      </c>
      <c r="J31" s="1472" t="s">
        <v>2921</v>
      </c>
      <c r="K31" s="1540" t="s">
        <v>6221</v>
      </c>
    </row>
    <row r="32" spans="1:11" ht="12.75" customHeight="1">
      <c r="A32" s="528" t="s">
        <v>7170</v>
      </c>
      <c r="B32" s="1169">
        <v>1874</v>
      </c>
      <c r="C32" s="1170" t="s">
        <v>7150</v>
      </c>
      <c r="D32" s="1179">
        <v>8197350</v>
      </c>
      <c r="E32" s="1175">
        <f t="shared" si="0"/>
        <v>0.98247769627669745</v>
      </c>
      <c r="F32" s="1175">
        <f t="shared" si="2"/>
        <v>1</v>
      </c>
      <c r="G32" s="1175">
        <f t="shared" si="3"/>
        <v>1.2941439511867201</v>
      </c>
      <c r="H32" s="859">
        <f t="shared" si="1"/>
        <v>10797752.415615905</v>
      </c>
      <c r="J32" s="1472" t="s">
        <v>2921</v>
      </c>
      <c r="K32" s="1540" t="s">
        <v>6221</v>
      </c>
    </row>
    <row r="33" spans="1:11" ht="12.75" customHeight="1">
      <c r="A33" s="1167" t="s">
        <v>3034</v>
      </c>
      <c r="B33" s="1166">
        <v>1647</v>
      </c>
      <c r="C33" s="872" t="s">
        <v>7151</v>
      </c>
      <c r="D33" s="1178">
        <v>377000</v>
      </c>
      <c r="E33" s="891">
        <f t="shared" si="0"/>
        <v>0.98247769627669745</v>
      </c>
      <c r="F33" s="891">
        <f t="shared" si="2"/>
        <v>1</v>
      </c>
      <c r="G33" s="891">
        <f t="shared" si="3"/>
        <v>1.2941439511867201</v>
      </c>
      <c r="H33" s="1174">
        <f t="shared" si="1"/>
        <v>496593.7358642972</v>
      </c>
      <c r="J33" s="1470" t="s">
        <v>2921</v>
      </c>
      <c r="K33" s="1538" t="s">
        <v>6221</v>
      </c>
    </row>
    <row r="34" spans="1:11" ht="12.75" customHeight="1">
      <c r="A34" s="1167" t="s">
        <v>3036</v>
      </c>
      <c r="B34" s="1166">
        <v>1648</v>
      </c>
      <c r="C34" s="872" t="s">
        <v>7151</v>
      </c>
      <c r="D34" s="1178">
        <v>2944000</v>
      </c>
      <c r="E34" s="891">
        <f t="shared" si="0"/>
        <v>0.98247769627669745</v>
      </c>
      <c r="F34" s="891">
        <f t="shared" si="2"/>
        <v>1</v>
      </c>
      <c r="G34" s="891">
        <f t="shared" si="3"/>
        <v>1.2941439511867201</v>
      </c>
      <c r="H34" s="1174">
        <f t="shared" si="1"/>
        <v>3877909.7039376418</v>
      </c>
      <c r="J34" s="1470" t="s">
        <v>2921</v>
      </c>
      <c r="K34" s="1538" t="s">
        <v>6221</v>
      </c>
    </row>
    <row r="35" spans="1:11" ht="12.75" customHeight="1">
      <c r="A35" s="1167" t="s">
        <v>3035</v>
      </c>
      <c r="B35" s="1166">
        <v>1650</v>
      </c>
      <c r="C35" s="872" t="s">
        <v>7151</v>
      </c>
      <c r="D35" s="1178">
        <v>4876350</v>
      </c>
      <c r="E35" s="891">
        <f t="shared" si="0"/>
        <v>0.98247769627669745</v>
      </c>
      <c r="F35" s="891">
        <f t="shared" si="2"/>
        <v>1</v>
      </c>
      <c r="G35" s="891">
        <f t="shared" si="3"/>
        <v>1.2941439511867201</v>
      </c>
      <c r="H35" s="1174">
        <f t="shared" si="1"/>
        <v>6423248.9758139662</v>
      </c>
      <c r="J35" s="1470" t="s">
        <v>2921</v>
      </c>
      <c r="K35" s="1538" t="s">
        <v>6221</v>
      </c>
    </row>
    <row r="36" spans="1:11" ht="12.75" customHeight="1">
      <c r="A36" s="528" t="s">
        <v>3037</v>
      </c>
      <c r="B36" s="1169">
        <v>1654</v>
      </c>
      <c r="C36" s="1170" t="s">
        <v>3728</v>
      </c>
      <c r="D36" s="1179">
        <v>3385000</v>
      </c>
      <c r="E36" s="1175">
        <f t="shared" si="0"/>
        <v>0.75450012766468955</v>
      </c>
      <c r="F36" s="1175">
        <f t="shared" si="2"/>
        <v>1</v>
      </c>
      <c r="G36" s="1175">
        <f t="shared" si="3"/>
        <v>1.2941439511867201</v>
      </c>
      <c r="H36" s="859">
        <f t="shared" si="1"/>
        <v>5806065.6508117672</v>
      </c>
      <c r="J36" s="1472" t="s">
        <v>2921</v>
      </c>
      <c r="K36" s="1540" t="s">
        <v>6221</v>
      </c>
    </row>
    <row r="37" spans="1:11" ht="12.75" customHeight="1">
      <c r="A37" s="528" t="s">
        <v>1029</v>
      </c>
      <c r="B37" s="1169">
        <v>1655</v>
      </c>
      <c r="C37" s="1170" t="s">
        <v>3728</v>
      </c>
      <c r="D37" s="1179">
        <v>3614490</v>
      </c>
      <c r="E37" s="1175">
        <f t="shared" si="0"/>
        <v>0.68839718774100256</v>
      </c>
      <c r="F37" s="1175">
        <f t="shared" si="2"/>
        <v>1</v>
      </c>
      <c r="G37" s="1175">
        <f t="shared" si="3"/>
        <v>1.2941439511867201</v>
      </c>
      <c r="H37" s="859">
        <f t="shared" si="1"/>
        <v>6795016.6755834864</v>
      </c>
      <c r="J37" s="1472" t="s">
        <v>2921</v>
      </c>
      <c r="K37" s="1540" t="s">
        <v>6221</v>
      </c>
    </row>
    <row r="38" spans="1:11" ht="12.75" customHeight="1">
      <c r="A38" s="528" t="s">
        <v>4945</v>
      </c>
      <c r="B38" s="1169">
        <v>1656</v>
      </c>
      <c r="C38" s="1170" t="s">
        <v>3728</v>
      </c>
      <c r="D38" s="1179">
        <v>40940100</v>
      </c>
      <c r="E38" s="1175">
        <f t="shared" si="0"/>
        <v>0.38204597970177367</v>
      </c>
      <c r="F38" s="1175">
        <f t="shared" si="2"/>
        <v>1</v>
      </c>
      <c r="G38" s="1175">
        <f t="shared" si="3"/>
        <v>1.2941439511867201</v>
      </c>
      <c r="H38" s="859">
        <f t="shared" si="1"/>
        <v>138680644.71542838</v>
      </c>
      <c r="J38" s="1472" t="s">
        <v>2921</v>
      </c>
      <c r="K38" s="1540" t="s">
        <v>6221</v>
      </c>
    </row>
    <row r="39" spans="1:11" ht="12.75" customHeight="1">
      <c r="A39" s="1167" t="s">
        <v>6079</v>
      </c>
      <c r="B39" s="1166">
        <v>1660</v>
      </c>
      <c r="C39" s="872" t="s">
        <v>3728</v>
      </c>
      <c r="D39" s="1178">
        <v>169000</v>
      </c>
      <c r="E39" s="891">
        <f t="shared" ref="E39:E56" si="4">VLOOKUP("world",constant_forest_increment,2,FALSE)*IF(J39="p",1,1/VLOOKUP(B39,constant_forest_extr,5,FALSE))</f>
        <v>0.68839718774100256</v>
      </c>
      <c r="F39" s="891">
        <f t="shared" si="2"/>
        <v>1</v>
      </c>
      <c r="G39" s="891">
        <f t="shared" si="3"/>
        <v>1.2941439511867201</v>
      </c>
      <c r="H39" s="1174">
        <f t="shared" si="1"/>
        <v>317709.50208012998</v>
      </c>
      <c r="J39" s="1470" t="s">
        <v>2921</v>
      </c>
      <c r="K39" s="1538" t="s">
        <v>6221</v>
      </c>
    </row>
    <row r="40" spans="1:11" ht="12.75" customHeight="1">
      <c r="A40" s="1167" t="s">
        <v>6080</v>
      </c>
      <c r="B40" s="1166">
        <v>1661</v>
      </c>
      <c r="C40" s="872" t="s">
        <v>3728</v>
      </c>
      <c r="D40" s="1178">
        <v>989100</v>
      </c>
      <c r="E40" s="891">
        <f t="shared" si="4"/>
        <v>0.68839718774100256</v>
      </c>
      <c r="F40" s="891">
        <f t="shared" ref="F40:F56" si="5">$F$7</f>
        <v>1</v>
      </c>
      <c r="G40" s="891">
        <f t="shared" ref="G40:G56" si="6">$G$7</f>
        <v>1.2941439511867201</v>
      </c>
      <c r="H40" s="1174">
        <f t="shared" si="1"/>
        <v>1859446.5592157196</v>
      </c>
      <c r="J40" s="1470" t="s">
        <v>2921</v>
      </c>
      <c r="K40" s="1538" t="s">
        <v>6221</v>
      </c>
    </row>
    <row r="41" spans="1:11" ht="12.75" customHeight="1">
      <c r="A41" s="1167" t="s">
        <v>6081</v>
      </c>
      <c r="B41" s="1166">
        <v>1662</v>
      </c>
      <c r="C41" s="872" t="s">
        <v>3728</v>
      </c>
      <c r="D41" s="1178">
        <v>16370000</v>
      </c>
      <c r="E41" s="891">
        <f t="shared" si="4"/>
        <v>0.68839718774100256</v>
      </c>
      <c r="F41" s="891">
        <f t="shared" si="5"/>
        <v>1</v>
      </c>
      <c r="G41" s="891">
        <f t="shared" si="6"/>
        <v>1.2941439511867201</v>
      </c>
      <c r="H41" s="1174">
        <f t="shared" si="1"/>
        <v>30774583.130483601</v>
      </c>
      <c r="J41" s="1470" t="s">
        <v>2921</v>
      </c>
      <c r="K41" s="1538" t="s">
        <v>6221</v>
      </c>
    </row>
    <row r="42" spans="1:11" ht="12.75" customHeight="1">
      <c r="A42" s="1167" t="s">
        <v>6082</v>
      </c>
      <c r="B42" s="1166">
        <v>1663</v>
      </c>
      <c r="C42" s="872" t="s">
        <v>3728</v>
      </c>
      <c r="D42" s="1178">
        <v>23412000</v>
      </c>
      <c r="E42" s="891">
        <f t="shared" si="4"/>
        <v>0.68839718774100256</v>
      </c>
      <c r="F42" s="891">
        <f t="shared" si="5"/>
        <v>1</v>
      </c>
      <c r="G42" s="891">
        <f t="shared" si="6"/>
        <v>1.2941439511867201</v>
      </c>
      <c r="H42" s="1174">
        <f t="shared" si="1"/>
        <v>44013105.696449727</v>
      </c>
      <c r="J42" s="1470" t="s">
        <v>2921</v>
      </c>
      <c r="K42" s="1538" t="s">
        <v>6221</v>
      </c>
    </row>
    <row r="43" spans="1:11" ht="12.75" customHeight="1">
      <c r="A43" s="528" t="s">
        <v>4946</v>
      </c>
      <c r="B43" s="1169">
        <v>1667</v>
      </c>
      <c r="C43" s="1170" t="s">
        <v>3728</v>
      </c>
      <c r="D43" s="1179">
        <v>1116000</v>
      </c>
      <c r="E43" s="1175">
        <f t="shared" si="4"/>
        <v>0.38204597970177367</v>
      </c>
      <c r="F43" s="1175">
        <f t="shared" si="5"/>
        <v>1</v>
      </c>
      <c r="G43" s="1175">
        <f t="shared" si="6"/>
        <v>1.2941439511867201</v>
      </c>
      <c r="H43" s="859">
        <f t="shared" si="1"/>
        <v>3780342.4882308072</v>
      </c>
      <c r="J43" s="1472" t="s">
        <v>2921</v>
      </c>
      <c r="K43" s="1540" t="s">
        <v>6221</v>
      </c>
    </row>
    <row r="44" spans="1:11" ht="12.75" customHeight="1">
      <c r="A44" s="528" t="s">
        <v>3038</v>
      </c>
      <c r="B44" s="1169">
        <v>1671</v>
      </c>
      <c r="C44" s="1170" t="s">
        <v>3728</v>
      </c>
      <c r="D44" s="1179">
        <v>2471000</v>
      </c>
      <c r="E44" s="1175">
        <f t="shared" si="4"/>
        <v>0.56049242623846374</v>
      </c>
      <c r="F44" s="1175">
        <f t="shared" si="5"/>
        <v>1</v>
      </c>
      <c r="G44" s="1175">
        <f t="shared" si="6"/>
        <v>1.2941439511867201</v>
      </c>
      <c r="H44" s="859">
        <f t="shared" si="1"/>
        <v>5705393.2465125881</v>
      </c>
      <c r="J44" s="1472" t="s">
        <v>2921</v>
      </c>
      <c r="K44" s="1540" t="s">
        <v>6221</v>
      </c>
    </row>
    <row r="45" spans="1:11" ht="12.75" customHeight="1">
      <c r="A45" s="528" t="s">
        <v>50</v>
      </c>
      <c r="B45" s="1169">
        <v>1674</v>
      </c>
      <c r="C45" s="1170" t="s">
        <v>3728</v>
      </c>
      <c r="D45" s="1179">
        <v>16141200</v>
      </c>
      <c r="E45" s="1175">
        <f t="shared" si="4"/>
        <v>0.45433714175146378</v>
      </c>
      <c r="F45" s="1175">
        <f t="shared" si="5"/>
        <v>1</v>
      </c>
      <c r="G45" s="1175">
        <f t="shared" si="6"/>
        <v>1.2941439511867201</v>
      </c>
      <c r="H45" s="859">
        <f t="shared" si="1"/>
        <v>45976950.650277287</v>
      </c>
      <c r="J45" s="1472" t="s">
        <v>2921</v>
      </c>
      <c r="K45" s="1540" t="s">
        <v>6221</v>
      </c>
    </row>
    <row r="46" spans="1:11" ht="12.75" customHeight="1">
      <c r="A46" s="1167" t="s">
        <v>6070</v>
      </c>
      <c r="B46" s="1166">
        <v>1612</v>
      </c>
      <c r="C46" s="872" t="s">
        <v>3728</v>
      </c>
      <c r="D46" s="1178">
        <v>1405220</v>
      </c>
      <c r="E46" s="891">
        <f t="shared" si="4"/>
        <v>1.8187832659094201</v>
      </c>
      <c r="F46" s="891">
        <f t="shared" si="5"/>
        <v>1</v>
      </c>
      <c r="G46" s="891">
        <f t="shared" si="6"/>
        <v>1.2941439511867201</v>
      </c>
      <c r="H46" s="1174">
        <f t="shared" si="1"/>
        <v>999875.57460690406</v>
      </c>
      <c r="J46" s="1470" t="s">
        <v>2921</v>
      </c>
      <c r="K46" s="1538" t="s">
        <v>6221</v>
      </c>
    </row>
    <row r="47" spans="1:11" ht="12.75" customHeight="1">
      <c r="A47" s="1167" t="s">
        <v>6071</v>
      </c>
      <c r="B47" s="1166">
        <v>1615</v>
      </c>
      <c r="C47" s="872" t="s">
        <v>3728</v>
      </c>
      <c r="D47" s="1178">
        <v>8571000</v>
      </c>
      <c r="E47" s="891">
        <f t="shared" si="4"/>
        <v>1.8187832659094201</v>
      </c>
      <c r="F47" s="891">
        <f t="shared" si="5"/>
        <v>1</v>
      </c>
      <c r="G47" s="891">
        <f t="shared" si="6"/>
        <v>1.2941439511867201</v>
      </c>
      <c r="H47" s="1174">
        <f t="shared" si="1"/>
        <v>6098641.8852249281</v>
      </c>
      <c r="J47" s="1470" t="s">
        <v>2921</v>
      </c>
      <c r="K47" s="1538" t="s">
        <v>6221</v>
      </c>
    </row>
    <row r="48" spans="1:11" ht="12.75" customHeight="1">
      <c r="A48" s="1167" t="s">
        <v>6072</v>
      </c>
      <c r="B48" s="1166">
        <v>1616</v>
      </c>
      <c r="C48" s="872" t="s">
        <v>3728</v>
      </c>
      <c r="D48" s="1178">
        <v>6165000</v>
      </c>
      <c r="E48" s="891">
        <f t="shared" si="4"/>
        <v>0.45433714175146378</v>
      </c>
      <c r="F48" s="891">
        <f t="shared" si="5"/>
        <v>1</v>
      </c>
      <c r="G48" s="891">
        <f t="shared" si="6"/>
        <v>1.2941439511867201</v>
      </c>
      <c r="H48" s="1174">
        <f t="shared" si="1"/>
        <v>17560522.18911602</v>
      </c>
      <c r="J48" s="1470" t="s">
        <v>2921</v>
      </c>
      <c r="K48" s="1538" t="s">
        <v>6221</v>
      </c>
    </row>
    <row r="49" spans="1:11" s="814" customFormat="1" ht="12.75" customHeight="1">
      <c r="A49" s="528" t="s">
        <v>4561</v>
      </c>
      <c r="B49" s="1169">
        <v>1675</v>
      </c>
      <c r="C49" s="1170" t="s">
        <v>3728</v>
      </c>
      <c r="D49" s="1179">
        <v>55111000</v>
      </c>
      <c r="E49" s="1175">
        <f t="shared" si="4"/>
        <v>0.52462263266501807</v>
      </c>
      <c r="F49" s="1175">
        <f t="shared" si="5"/>
        <v>1</v>
      </c>
      <c r="G49" s="1175">
        <f t="shared" si="6"/>
        <v>1.2941439511867201</v>
      </c>
      <c r="H49" s="859">
        <f>IFERROR(IF(VLOOKUP(1676,$B$10:$D$56,3,FALSE)+VLOOKUP(1681,$B$10:$D$56,3,FALSE)+VLOOKUP(1683,$B$10:$D$56,3,FALSE)&lt;=VLOOKUP(1675,$B$10:$D$56,3,FALSE),D49/E49*G49*F49,0),0)</f>
        <v>135948323.33394882</v>
      </c>
      <c r="J49" s="1472" t="s">
        <v>2921</v>
      </c>
      <c r="K49" s="1540" t="s">
        <v>6221</v>
      </c>
    </row>
    <row r="50" spans="1:11" ht="12.75" customHeight="1">
      <c r="A50" s="528" t="s">
        <v>7171</v>
      </c>
      <c r="B50" s="1169">
        <v>1676</v>
      </c>
      <c r="C50" s="1170" t="s">
        <v>3728</v>
      </c>
      <c r="D50" s="1179">
        <v>6848000</v>
      </c>
      <c r="E50" s="1175">
        <f t="shared" si="4"/>
        <v>0.52462263266501807</v>
      </c>
      <c r="F50" s="1175">
        <f t="shared" si="5"/>
        <v>1</v>
      </c>
      <c r="G50" s="1175">
        <f t="shared" si="6"/>
        <v>1.2941439511867201</v>
      </c>
      <c r="H50" s="859">
        <f>IFERROR(IF(VLOOKUP(1676,$B$10:$D$56,3,FALSE)+VLOOKUP(1681,$B$10:$D$56,3,FALSE)+VLOOKUP(1683,$B$10:$D$56,3,FALSE)&gt;VLOOKUP(1675,$B$10:$D$56,3,FALSE),D50/E50*G50*F50,0),0)</f>
        <v>0</v>
      </c>
      <c r="J50" s="1472" t="s">
        <v>2921</v>
      </c>
      <c r="K50" s="1540" t="s">
        <v>6221</v>
      </c>
    </row>
    <row r="51" spans="1:11" ht="12.75" customHeight="1">
      <c r="A51" s="528" t="s">
        <v>7172</v>
      </c>
      <c r="B51" s="1169">
        <v>1681</v>
      </c>
      <c r="C51" s="1170" t="s">
        <v>3728</v>
      </c>
      <c r="D51" s="1179">
        <v>45226000</v>
      </c>
      <c r="E51" s="1175">
        <f t="shared" si="4"/>
        <v>0.52462263266501807</v>
      </c>
      <c r="F51" s="1175">
        <f t="shared" si="5"/>
        <v>1</v>
      </c>
      <c r="G51" s="1175">
        <f t="shared" si="6"/>
        <v>1.2941439511867201</v>
      </c>
      <c r="H51" s="859">
        <f>IFERROR(IF(VLOOKUP(1676,$B$10:$D$56,3,FALSE)+VLOOKUP(1681,$B$10:$D$56,3,FALSE)+VLOOKUP(1683,$B$10:$D$56,3,FALSE)&gt;VLOOKUP(1675,$B$10:$D$56,3,FALSE),D51/E51*G51*F51,0),0)</f>
        <v>0</v>
      </c>
      <c r="J51" s="1472" t="s">
        <v>2921</v>
      </c>
      <c r="K51" s="1540" t="s">
        <v>6221</v>
      </c>
    </row>
    <row r="52" spans="1:11" ht="12.75" customHeight="1">
      <c r="A52" s="1167" t="s">
        <v>6073</v>
      </c>
      <c r="B52" s="1166">
        <v>1617</v>
      </c>
      <c r="C52" s="872" t="s">
        <v>3728</v>
      </c>
      <c r="D52" s="1178">
        <v>31499000</v>
      </c>
      <c r="E52" s="891">
        <f t="shared" si="4"/>
        <v>0.52462263266501807</v>
      </c>
      <c r="F52" s="891">
        <f t="shared" si="5"/>
        <v>1</v>
      </c>
      <c r="G52" s="891">
        <f t="shared" si="6"/>
        <v>1.2941439511867201</v>
      </c>
      <c r="H52" s="1174">
        <f>IFERROR(D52/E52*G52*F52,0)</f>
        <v>77702023.855420038</v>
      </c>
      <c r="J52" s="1470" t="s">
        <v>2921</v>
      </c>
      <c r="K52" s="1538" t="s">
        <v>6221</v>
      </c>
    </row>
    <row r="53" spans="1:11" ht="12.75" customHeight="1">
      <c r="A53" s="1167" t="s">
        <v>6074</v>
      </c>
      <c r="B53" s="1166">
        <v>1618</v>
      </c>
      <c r="C53" s="872" t="s">
        <v>3728</v>
      </c>
      <c r="D53" s="1178">
        <v>9142000</v>
      </c>
      <c r="E53" s="891">
        <f t="shared" si="4"/>
        <v>0.52462263266501807</v>
      </c>
      <c r="F53" s="891">
        <f t="shared" si="5"/>
        <v>1</v>
      </c>
      <c r="G53" s="891">
        <f t="shared" si="6"/>
        <v>1.2941439511867201</v>
      </c>
      <c r="H53" s="1174">
        <f>IFERROR(D53/E53*G53*F53,0)</f>
        <v>22551569.957339916</v>
      </c>
      <c r="J53" s="1470" t="s">
        <v>2921</v>
      </c>
      <c r="K53" s="1538" t="s">
        <v>6221</v>
      </c>
    </row>
    <row r="54" spans="1:11" ht="12.75" customHeight="1">
      <c r="A54" s="1167" t="s">
        <v>6077</v>
      </c>
      <c r="B54" s="1166">
        <v>1621</v>
      </c>
      <c r="C54" s="872" t="s">
        <v>3728</v>
      </c>
      <c r="D54" s="1178">
        <v>1408000</v>
      </c>
      <c r="E54" s="891">
        <f t="shared" si="4"/>
        <v>0.52462263266501807</v>
      </c>
      <c r="F54" s="891">
        <f t="shared" si="5"/>
        <v>1</v>
      </c>
      <c r="G54" s="891">
        <f t="shared" si="6"/>
        <v>1.2941439511867201</v>
      </c>
      <c r="H54" s="1174">
        <f>IFERROR(D54/E54*G54*F54,0)</f>
        <v>3473267.3922483702</v>
      </c>
      <c r="J54" s="1470" t="s">
        <v>2921</v>
      </c>
      <c r="K54" s="1538" t="s">
        <v>6221</v>
      </c>
    </row>
    <row r="55" spans="1:11" ht="12.75" customHeight="1">
      <c r="A55" s="1167" t="s">
        <v>7173</v>
      </c>
      <c r="B55" s="1166">
        <v>1622</v>
      </c>
      <c r="C55" s="872" t="s">
        <v>3728</v>
      </c>
      <c r="D55" s="1178">
        <v>3177000</v>
      </c>
      <c r="E55" s="891">
        <f t="shared" si="4"/>
        <v>0.52462263266501807</v>
      </c>
      <c r="F55" s="891">
        <f t="shared" si="5"/>
        <v>1</v>
      </c>
      <c r="G55" s="891">
        <f t="shared" si="6"/>
        <v>1.2941439511867201</v>
      </c>
      <c r="H55" s="1174">
        <f>IFERROR(D55/E55*G55*F55,0)</f>
        <v>7837052.9156058747</v>
      </c>
      <c r="J55" s="1470" t="s">
        <v>2921</v>
      </c>
      <c r="K55" s="1538" t="s">
        <v>6221</v>
      </c>
    </row>
    <row r="56" spans="1:11" ht="12.75" customHeight="1">
      <c r="A56" s="675" t="s">
        <v>7174</v>
      </c>
      <c r="B56" s="1171">
        <v>1683</v>
      </c>
      <c r="C56" s="1172" t="s">
        <v>3728</v>
      </c>
      <c r="D56" s="1180">
        <v>3037000</v>
      </c>
      <c r="E56" s="1176">
        <f t="shared" si="4"/>
        <v>0.52462263266501807</v>
      </c>
      <c r="F56" s="1176">
        <f t="shared" si="5"/>
        <v>1</v>
      </c>
      <c r="G56" s="1176">
        <f t="shared" si="6"/>
        <v>1.2941439511867201</v>
      </c>
      <c r="H56" s="862">
        <f>IFERROR(IF(VLOOKUP(1676,$B$10:$D$56,3,FALSE)+VLOOKUP(1681,$B$10:$D$56,3,FALSE)+VLOOKUP(1683,$B$10:$D$56,3,FALSE)&gt;VLOOKUP(1675,$B$10:$D$56,3,FALSE),D56/E56*G56*F56,0),0)</f>
        <v>0</v>
      </c>
      <c r="J56" s="1473" t="s">
        <v>2921</v>
      </c>
      <c r="K56" s="1541" t="s">
        <v>6221</v>
      </c>
    </row>
  </sheetData>
  <phoneticPr fontId="5" type="noConversion"/>
  <hyperlinks>
    <hyperlink ref="D3" location="ef_forest_products!A1" tooltip="Go to ef_forest" display="ef_forest_products"/>
    <hyperlink ref="E2" location="constant_forest_increment" tooltip="Go to eqf" display="constant_forest_increment"/>
    <hyperlink ref="G2" location="iyf" display="iyf"/>
    <hyperlink ref="E3" location="forest_trade!A1" display="forest_trade"/>
    <hyperlink ref="D2" location="constant_forest_extr!A1" tooltip="Go to eqf" display="constant_forest_extr"/>
    <hyperlink ref="F2" location="eqf" tooltip="Go to eqf" display="eqf"/>
  </hyperlinks>
  <pageMargins left="0.75" right="0.75" top="1" bottom="1" header="0.5" footer="0.5"/>
  <pageSetup orientation="portrait" verticalDpi="0"/>
  <headerFooter alignWithMargins="0"/>
  <drawing r:id="rId1"/>
  <legacyDrawing r:id="rId2"/>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enableFormatConditionsCalculation="0">
    <tabColor theme="8"/>
    <pageSetUpPr autoPageBreaks="0"/>
  </sheetPr>
  <dimension ref="A1:M56"/>
  <sheetViews>
    <sheetView workbookViewId="0">
      <selection activeCell="A65536" sqref="A65536"/>
    </sheetView>
  </sheetViews>
  <sheetFormatPr baseColWidth="10" defaultColWidth="9.1640625" defaultRowHeight="12.75" customHeight="1" x14ac:dyDescent="0"/>
  <cols>
    <col min="1" max="1" width="38.33203125" style="53" customWidth="1"/>
    <col min="2" max="2" width="10.1640625" style="53" bestFit="1" customWidth="1"/>
    <col min="3" max="3" width="14.83203125" style="53" bestFit="1" customWidth="1"/>
    <col min="4" max="5" width="18.6640625" style="53" customWidth="1"/>
    <col min="6" max="6" width="18.6640625" style="814" customWidth="1"/>
    <col min="7" max="7" width="18.6640625" style="889" customWidth="1"/>
    <col min="8" max="8" width="18.6640625" style="814" customWidth="1"/>
    <col min="9" max="10" width="18.6640625" style="53" customWidth="1"/>
    <col min="11" max="11" width="11.1640625" style="53" customWidth="1"/>
    <col min="12" max="12" width="15.83203125" style="53" bestFit="1" customWidth="1"/>
    <col min="13" max="13" width="12.83203125" style="53" bestFit="1" customWidth="1"/>
    <col min="14" max="16384" width="9.1640625" style="53"/>
  </cols>
  <sheetData>
    <row r="1" spans="1:13" ht="12.75" customHeight="1">
      <c r="B1" s="185"/>
      <c r="C1" s="185"/>
      <c r="D1" s="185"/>
      <c r="E1" s="185"/>
      <c r="F1" s="185"/>
      <c r="G1" s="185"/>
      <c r="I1" s="185"/>
      <c r="J1" s="185"/>
      <c r="K1" s="185"/>
      <c r="L1" s="185"/>
      <c r="M1" s="185"/>
    </row>
    <row r="2" spans="1:13" ht="12.75" customHeight="1">
      <c r="C2" s="54" t="s">
        <v>1005</v>
      </c>
      <c r="D2" s="1028" t="s">
        <v>7130</v>
      </c>
      <c r="E2" s="1028" t="s">
        <v>2117</v>
      </c>
      <c r="F2" s="1028" t="s">
        <v>6348</v>
      </c>
      <c r="G2" s="1028" t="s">
        <v>6346</v>
      </c>
    </row>
    <row r="3" spans="1:13" ht="12.75" customHeight="1">
      <c r="C3" s="54" t="s">
        <v>1006</v>
      </c>
      <c r="D3" s="1028" t="s">
        <v>7129</v>
      </c>
      <c r="E3" s="1028" t="s">
        <v>3367</v>
      </c>
      <c r="F3" s="185"/>
      <c r="G3" s="890"/>
      <c r="H3" s="185"/>
      <c r="I3" s="185"/>
    </row>
    <row r="4" spans="1:13" ht="12.75" customHeight="1">
      <c r="L4" s="122"/>
    </row>
    <row r="5" spans="1:13" ht="12">
      <c r="A5" s="379" t="s">
        <v>2036</v>
      </c>
      <c r="B5" s="380" t="s">
        <v>2019</v>
      </c>
      <c r="C5" s="381" t="s">
        <v>2655</v>
      </c>
      <c r="D5" s="818" t="s">
        <v>5570</v>
      </c>
      <c r="E5" s="818" t="s">
        <v>1025</v>
      </c>
      <c r="F5" s="381" t="s">
        <v>2039</v>
      </c>
      <c r="G5" s="382" t="s">
        <v>6223</v>
      </c>
      <c r="H5" s="382" t="s">
        <v>1855</v>
      </c>
      <c r="I5" s="813" t="s">
        <v>3982</v>
      </c>
      <c r="J5" s="819" t="s">
        <v>3984</v>
      </c>
      <c r="L5" s="1380" t="s">
        <v>2922</v>
      </c>
      <c r="M5" s="387" t="s">
        <v>7176</v>
      </c>
    </row>
    <row r="6" spans="1:13" ht="12">
      <c r="A6" s="383" t="s">
        <v>548</v>
      </c>
      <c r="B6" s="384" t="s">
        <v>548</v>
      </c>
      <c r="C6" s="384" t="s">
        <v>548</v>
      </c>
      <c r="D6" s="342" t="s">
        <v>7126</v>
      </c>
      <c r="E6" s="342" t="s">
        <v>7126</v>
      </c>
      <c r="F6" s="385" t="s">
        <v>3368</v>
      </c>
      <c r="G6" s="585" t="s">
        <v>548</v>
      </c>
      <c r="H6" s="386" t="s">
        <v>2963</v>
      </c>
      <c r="I6" s="812" t="s">
        <v>732</v>
      </c>
      <c r="J6" s="343" t="s">
        <v>732</v>
      </c>
      <c r="L6" s="1381" t="s">
        <v>548</v>
      </c>
      <c r="M6" s="388" t="s">
        <v>548</v>
      </c>
    </row>
    <row r="7" spans="1:13" s="814" customFormat="1" ht="12">
      <c r="A7" s="1291" t="s">
        <v>7149</v>
      </c>
      <c r="B7" s="1292">
        <v>1864</v>
      </c>
      <c r="C7" s="1293" t="s">
        <v>7150</v>
      </c>
      <c r="D7" s="1146">
        <v>140425</v>
      </c>
      <c r="E7" s="1181">
        <v>428339</v>
      </c>
      <c r="F7" s="1300">
        <f t="shared" ref="F7:F38" si="0">VLOOKUP("world",constant_forest_increment,2,FALSE)*IF(L7="p",1,1/VLOOKUP(B7,constant_forest_extr,5,FALSE))</f>
        <v>3.3465612092733341</v>
      </c>
      <c r="G7" s="1300">
        <f t="shared" ref="G7:G56" si="1">VLOOKUP("Forest Land",iyf,2,FALSE)</f>
        <v>1</v>
      </c>
      <c r="H7" s="1300">
        <f t="shared" ref="H7:H56" si="2">VLOOKUP("Forest Land",eqf,2,FALSE)</f>
        <v>1.2941439511867201</v>
      </c>
      <c r="I7" s="1301">
        <f t="shared" ref="I7:I48" si="3">IFERROR(D7/F7*H7*G7,0)</f>
        <v>54303.553104548089</v>
      </c>
      <c r="J7" s="1302">
        <f t="shared" ref="J7:J48" si="4">IFERROR(E7/F7*H7*G7,0)</f>
        <v>165642.36876089743</v>
      </c>
      <c r="L7" s="1474" t="s">
        <v>2921</v>
      </c>
      <c r="M7" s="1533" t="s">
        <v>6219</v>
      </c>
    </row>
    <row r="8" spans="1:13" ht="12">
      <c r="A8" s="1294" t="s">
        <v>3602</v>
      </c>
      <c r="B8" s="1295">
        <v>1627</v>
      </c>
      <c r="C8" s="1296" t="s">
        <v>7151</v>
      </c>
      <c r="D8" s="1147"/>
      <c r="E8" s="1182"/>
      <c r="F8" s="1303">
        <f t="shared" si="0"/>
        <v>3.3465612092733341</v>
      </c>
      <c r="G8" s="1303">
        <f>VLOOKUP("Forest Land",iyf,2,FALSE)</f>
        <v>1</v>
      </c>
      <c r="H8" s="1303">
        <f t="shared" si="2"/>
        <v>1.2941439511867201</v>
      </c>
      <c r="I8" s="1304">
        <f t="shared" si="3"/>
        <v>0</v>
      </c>
      <c r="J8" s="1305">
        <f t="shared" si="4"/>
        <v>0</v>
      </c>
      <c r="L8" s="1475" t="s">
        <v>2921</v>
      </c>
      <c r="M8" s="1534" t="s">
        <v>6221</v>
      </c>
    </row>
    <row r="9" spans="1:13" ht="12">
      <c r="A9" s="1297" t="s">
        <v>3603</v>
      </c>
      <c r="B9" s="1298">
        <v>1628</v>
      </c>
      <c r="C9" s="1299" t="s">
        <v>7151</v>
      </c>
      <c r="D9" s="1183"/>
      <c r="E9" s="1250"/>
      <c r="F9" s="1306">
        <f t="shared" si="0"/>
        <v>3.3465612092733341</v>
      </c>
      <c r="G9" s="1306">
        <f t="shared" si="1"/>
        <v>1</v>
      </c>
      <c r="H9" s="1306">
        <f>VLOOKUP("Forest Land",eqf,2,FALSE)</f>
        <v>1.2941439511867201</v>
      </c>
      <c r="I9" s="1307">
        <f t="shared" si="3"/>
        <v>0</v>
      </c>
      <c r="J9" s="1308">
        <f t="shared" si="4"/>
        <v>0</v>
      </c>
      <c r="L9" s="1476" t="s">
        <v>2921</v>
      </c>
      <c r="M9" s="1535" t="s">
        <v>6221</v>
      </c>
    </row>
    <row r="10" spans="1:13" s="854" customFormat="1" ht="12">
      <c r="A10" s="877" t="s">
        <v>7152</v>
      </c>
      <c r="B10" s="878">
        <v>1865</v>
      </c>
      <c r="C10" s="879" t="s">
        <v>7153</v>
      </c>
      <c r="D10" s="1146">
        <v>926035</v>
      </c>
      <c r="E10" s="1146">
        <v>14699700</v>
      </c>
      <c r="F10" s="860">
        <f t="shared" si="0"/>
        <v>1.8187832659094201</v>
      </c>
      <c r="G10" s="858">
        <f t="shared" si="1"/>
        <v>1</v>
      </c>
      <c r="H10" s="858">
        <f t="shared" si="2"/>
        <v>1.2941439511867201</v>
      </c>
      <c r="I10" s="865">
        <f>IFERROR(D10/F10*H10*G10,0)</f>
        <v>658914.46017783997</v>
      </c>
      <c r="J10" s="852">
        <f t="shared" si="4"/>
        <v>10459480.354712505</v>
      </c>
      <c r="L10" s="1474" t="s">
        <v>415</v>
      </c>
      <c r="M10" s="1533" t="s">
        <v>6219</v>
      </c>
    </row>
    <row r="11" spans="1:13" ht="12">
      <c r="A11" s="869" t="s">
        <v>7154</v>
      </c>
      <c r="B11" s="870">
        <v>1866</v>
      </c>
      <c r="C11" s="871" t="s">
        <v>7155</v>
      </c>
      <c r="D11" s="1147">
        <v>555282</v>
      </c>
      <c r="E11" s="1147">
        <v>12795000</v>
      </c>
      <c r="F11" s="892">
        <f t="shared" si="0"/>
        <v>1.8187832659094201</v>
      </c>
      <c r="G11" s="892">
        <f t="shared" si="1"/>
        <v>1</v>
      </c>
      <c r="H11" s="892">
        <f t="shared" si="2"/>
        <v>1.2941439511867201</v>
      </c>
      <c r="I11" s="886">
        <f t="shared" si="3"/>
        <v>395107.46275947598</v>
      </c>
      <c r="J11" s="885">
        <f>IFERROR(E11/F11*H11*G11,0)</f>
        <v>9104202.8843137268</v>
      </c>
      <c r="L11" s="1475" t="s">
        <v>415</v>
      </c>
      <c r="M11" s="1534" t="s">
        <v>6221</v>
      </c>
    </row>
    <row r="12" spans="1:13" ht="12">
      <c r="A12" s="869" t="s">
        <v>7156</v>
      </c>
      <c r="B12" s="870">
        <v>1867</v>
      </c>
      <c r="C12" s="872" t="s">
        <v>7151</v>
      </c>
      <c r="D12" s="1147">
        <v>370753</v>
      </c>
      <c r="E12" s="1147">
        <v>1904730</v>
      </c>
      <c r="F12" s="892">
        <f t="shared" si="0"/>
        <v>1.8187832659094201</v>
      </c>
      <c r="G12" s="891">
        <f t="shared" si="1"/>
        <v>1</v>
      </c>
      <c r="H12" s="892">
        <f t="shared" si="2"/>
        <v>1.2941439511867201</v>
      </c>
      <c r="I12" s="886">
        <f t="shared" si="3"/>
        <v>263806.99741836404</v>
      </c>
      <c r="J12" s="885">
        <f t="shared" si="4"/>
        <v>1355298.8167126912</v>
      </c>
      <c r="L12" s="1475" t="s">
        <v>415</v>
      </c>
      <c r="M12" s="1534" t="s">
        <v>6221</v>
      </c>
    </row>
    <row r="13" spans="1:13" ht="12">
      <c r="A13" s="873" t="s">
        <v>7157</v>
      </c>
      <c r="B13" s="870">
        <v>1868</v>
      </c>
      <c r="C13" s="872" t="s">
        <v>7151</v>
      </c>
      <c r="D13" s="1147"/>
      <c r="E13" s="1147"/>
      <c r="F13" s="892">
        <f t="shared" si="0"/>
        <v>1.8187832659094201</v>
      </c>
      <c r="G13" s="891">
        <f t="shared" si="1"/>
        <v>1</v>
      </c>
      <c r="H13" s="892">
        <f t="shared" si="2"/>
        <v>1.2941439511867201</v>
      </c>
      <c r="I13" s="886">
        <f t="shared" si="3"/>
        <v>0</v>
      </c>
      <c r="J13" s="885">
        <f t="shared" si="4"/>
        <v>0</v>
      </c>
      <c r="L13" s="1475" t="s">
        <v>415</v>
      </c>
      <c r="M13" s="1534" t="s">
        <v>6221</v>
      </c>
    </row>
    <row r="14" spans="1:13" ht="12">
      <c r="A14" s="874" t="s">
        <v>7158</v>
      </c>
      <c r="B14" s="870">
        <v>1601</v>
      </c>
      <c r="C14" s="872" t="s">
        <v>7151</v>
      </c>
      <c r="D14" s="1147"/>
      <c r="E14" s="1147"/>
      <c r="F14" s="892">
        <f t="shared" si="0"/>
        <v>1.8187832659094201</v>
      </c>
      <c r="G14" s="891">
        <f t="shared" si="1"/>
        <v>1</v>
      </c>
      <c r="H14" s="892">
        <f t="shared" si="2"/>
        <v>1.2941439511867201</v>
      </c>
      <c r="I14" s="886">
        <f t="shared" si="3"/>
        <v>0</v>
      </c>
      <c r="J14" s="885">
        <f t="shared" si="4"/>
        <v>0</v>
      </c>
      <c r="L14" s="1475" t="s">
        <v>415</v>
      </c>
      <c r="M14" s="1534" t="s">
        <v>6221</v>
      </c>
    </row>
    <row r="15" spans="1:13" ht="12">
      <c r="A15" s="874" t="s">
        <v>7159</v>
      </c>
      <c r="B15" s="870">
        <v>1604</v>
      </c>
      <c r="C15" s="872" t="s">
        <v>7151</v>
      </c>
      <c r="D15" s="1147"/>
      <c r="E15" s="1147"/>
      <c r="F15" s="892">
        <f t="shared" si="0"/>
        <v>1.8187832659094201</v>
      </c>
      <c r="G15" s="891">
        <f t="shared" si="1"/>
        <v>1</v>
      </c>
      <c r="H15" s="892">
        <f t="shared" si="2"/>
        <v>1.2941439511867201</v>
      </c>
      <c r="I15" s="886">
        <f t="shared" si="3"/>
        <v>0</v>
      </c>
      <c r="J15" s="885">
        <f t="shared" si="4"/>
        <v>0</v>
      </c>
      <c r="L15" s="1475" t="s">
        <v>415</v>
      </c>
      <c r="M15" s="1534" t="s">
        <v>6221</v>
      </c>
    </row>
    <row r="16" spans="1:13" ht="12">
      <c r="A16" s="873" t="s">
        <v>7160</v>
      </c>
      <c r="B16" s="870">
        <v>2038</v>
      </c>
      <c r="C16" s="872" t="s">
        <v>7151</v>
      </c>
      <c r="D16" s="1147"/>
      <c r="E16" s="1147"/>
      <c r="F16" s="892">
        <f t="shared" si="0"/>
        <v>1.8187832659094201</v>
      </c>
      <c r="G16" s="891">
        <f t="shared" si="1"/>
        <v>1</v>
      </c>
      <c r="H16" s="892">
        <f t="shared" si="2"/>
        <v>1.2941439511867201</v>
      </c>
      <c r="I16" s="886">
        <f t="shared" si="3"/>
        <v>0</v>
      </c>
      <c r="J16" s="885">
        <f t="shared" si="4"/>
        <v>0</v>
      </c>
      <c r="L16" s="1475" t="s">
        <v>415</v>
      </c>
      <c r="M16" s="1534" t="s">
        <v>6221</v>
      </c>
    </row>
    <row r="17" spans="1:13" ht="12">
      <c r="A17" s="874" t="s">
        <v>7161</v>
      </c>
      <c r="B17" s="870">
        <v>1602</v>
      </c>
      <c r="C17" s="872" t="s">
        <v>7151</v>
      </c>
      <c r="D17" s="1147"/>
      <c r="E17" s="1147"/>
      <c r="F17" s="892">
        <f t="shared" si="0"/>
        <v>1.8187832659094201</v>
      </c>
      <c r="G17" s="891">
        <f t="shared" si="1"/>
        <v>1</v>
      </c>
      <c r="H17" s="892">
        <f t="shared" si="2"/>
        <v>1.2941439511867201</v>
      </c>
      <c r="I17" s="886">
        <f t="shared" si="3"/>
        <v>0</v>
      </c>
      <c r="J17" s="885">
        <f t="shared" si="4"/>
        <v>0</v>
      </c>
      <c r="L17" s="1475" t="s">
        <v>415</v>
      </c>
      <c r="M17" s="1534" t="s">
        <v>6221</v>
      </c>
    </row>
    <row r="18" spans="1:13" ht="12">
      <c r="A18" s="874" t="s">
        <v>7162</v>
      </c>
      <c r="B18" s="870">
        <v>1603</v>
      </c>
      <c r="C18" s="872" t="s">
        <v>7151</v>
      </c>
      <c r="D18" s="1147"/>
      <c r="E18" s="1147"/>
      <c r="F18" s="892">
        <f t="shared" si="0"/>
        <v>1.8187832659094201</v>
      </c>
      <c r="G18" s="891">
        <f t="shared" si="1"/>
        <v>1</v>
      </c>
      <c r="H18" s="892">
        <f t="shared" si="2"/>
        <v>1.2941439511867201</v>
      </c>
      <c r="I18" s="886">
        <f t="shared" si="3"/>
        <v>0</v>
      </c>
      <c r="J18" s="885">
        <f t="shared" si="4"/>
        <v>0</v>
      </c>
      <c r="L18" s="1475" t="s">
        <v>415</v>
      </c>
      <c r="M18" s="1534" t="s">
        <v>6221</v>
      </c>
    </row>
    <row r="19" spans="1:13" ht="12">
      <c r="A19" s="873" t="s">
        <v>7163</v>
      </c>
      <c r="B19" s="870">
        <v>1870</v>
      </c>
      <c r="C19" s="872" t="s">
        <v>7151</v>
      </c>
      <c r="D19" s="1147"/>
      <c r="E19" s="1147"/>
      <c r="F19" s="892">
        <f t="shared" si="0"/>
        <v>1.8187832659094201</v>
      </c>
      <c r="G19" s="891">
        <f t="shared" si="1"/>
        <v>1</v>
      </c>
      <c r="H19" s="892">
        <f t="shared" si="2"/>
        <v>1.2941439511867201</v>
      </c>
      <c r="I19" s="886">
        <f t="shared" si="3"/>
        <v>0</v>
      </c>
      <c r="J19" s="885">
        <f t="shared" si="4"/>
        <v>0</v>
      </c>
      <c r="L19" s="1475" t="s">
        <v>415</v>
      </c>
      <c r="M19" s="1534" t="s">
        <v>6221</v>
      </c>
    </row>
    <row r="20" spans="1:13" ht="12">
      <c r="A20" s="874" t="s">
        <v>7164</v>
      </c>
      <c r="B20" s="870">
        <v>1608</v>
      </c>
      <c r="C20" s="872" t="s">
        <v>7151</v>
      </c>
      <c r="D20" s="1147"/>
      <c r="E20" s="1147"/>
      <c r="F20" s="892">
        <f t="shared" si="0"/>
        <v>1.8187832659094201</v>
      </c>
      <c r="G20" s="891">
        <f t="shared" si="1"/>
        <v>1</v>
      </c>
      <c r="H20" s="892">
        <f t="shared" si="2"/>
        <v>1.2941439511867201</v>
      </c>
      <c r="I20" s="886">
        <f t="shared" si="3"/>
        <v>0</v>
      </c>
      <c r="J20" s="885">
        <f t="shared" si="4"/>
        <v>0</v>
      </c>
      <c r="L20" s="1475" t="s">
        <v>415</v>
      </c>
      <c r="M20" s="1534" t="s">
        <v>6221</v>
      </c>
    </row>
    <row r="21" spans="1:13" ht="12">
      <c r="A21" s="874" t="s">
        <v>7165</v>
      </c>
      <c r="B21" s="870">
        <v>1611</v>
      </c>
      <c r="C21" s="872" t="s">
        <v>7151</v>
      </c>
      <c r="D21" s="1147"/>
      <c r="E21" s="1147"/>
      <c r="F21" s="892">
        <f t="shared" si="0"/>
        <v>1.8187832659094201</v>
      </c>
      <c r="G21" s="892">
        <f t="shared" si="1"/>
        <v>1</v>
      </c>
      <c r="H21" s="892">
        <f t="shared" si="2"/>
        <v>1.2941439511867201</v>
      </c>
      <c r="I21" s="886">
        <f t="shared" si="3"/>
        <v>0</v>
      </c>
      <c r="J21" s="885">
        <f t="shared" si="4"/>
        <v>0</v>
      </c>
      <c r="L21" s="1475" t="s">
        <v>415</v>
      </c>
      <c r="M21" s="1534" t="s">
        <v>6221</v>
      </c>
    </row>
    <row r="22" spans="1:13" ht="12">
      <c r="A22" s="873" t="s">
        <v>7166</v>
      </c>
      <c r="B22" s="870">
        <v>1871</v>
      </c>
      <c r="C22" s="872" t="s">
        <v>7151</v>
      </c>
      <c r="D22" s="1147"/>
      <c r="E22" s="1147"/>
      <c r="F22" s="892">
        <f t="shared" si="0"/>
        <v>1.8187832659094201</v>
      </c>
      <c r="G22" s="892">
        <f t="shared" si="1"/>
        <v>1</v>
      </c>
      <c r="H22" s="892">
        <f t="shared" si="2"/>
        <v>1.2941439511867201</v>
      </c>
      <c r="I22" s="886">
        <f t="shared" si="3"/>
        <v>0</v>
      </c>
      <c r="J22" s="885">
        <f t="shared" si="4"/>
        <v>0</v>
      </c>
      <c r="L22" s="1475" t="s">
        <v>415</v>
      </c>
      <c r="M22" s="1534" t="s">
        <v>6221</v>
      </c>
    </row>
    <row r="23" spans="1:13" ht="12">
      <c r="A23" s="874" t="s">
        <v>7167</v>
      </c>
      <c r="B23" s="870">
        <v>1623</v>
      </c>
      <c r="C23" s="872" t="s">
        <v>7151</v>
      </c>
      <c r="D23" s="1147"/>
      <c r="E23" s="1147"/>
      <c r="F23" s="892">
        <f t="shared" si="0"/>
        <v>1.8187832659094201</v>
      </c>
      <c r="G23" s="892">
        <f t="shared" si="1"/>
        <v>1</v>
      </c>
      <c r="H23" s="892">
        <f t="shared" si="2"/>
        <v>1.2941439511867201</v>
      </c>
      <c r="I23" s="886">
        <f t="shared" si="3"/>
        <v>0</v>
      </c>
      <c r="J23" s="885">
        <f t="shared" si="4"/>
        <v>0</v>
      </c>
      <c r="L23" s="1475" t="s">
        <v>415</v>
      </c>
      <c r="M23" s="1534" t="s">
        <v>6221</v>
      </c>
    </row>
    <row r="24" spans="1:13" ht="12">
      <c r="A24" s="874" t="s">
        <v>7168</v>
      </c>
      <c r="B24" s="870">
        <v>1626</v>
      </c>
      <c r="C24" s="871" t="s">
        <v>7151</v>
      </c>
      <c r="D24" s="1147"/>
      <c r="E24" s="1147"/>
      <c r="F24" s="892">
        <f t="shared" si="0"/>
        <v>1.8187832659094201</v>
      </c>
      <c r="G24" s="892">
        <f t="shared" si="1"/>
        <v>1</v>
      </c>
      <c r="H24" s="892">
        <f t="shared" si="2"/>
        <v>1.2941439511867201</v>
      </c>
      <c r="I24" s="886">
        <f t="shared" si="3"/>
        <v>0</v>
      </c>
      <c r="J24" s="885">
        <f t="shared" si="4"/>
        <v>0</v>
      </c>
      <c r="L24" s="1475" t="s">
        <v>415</v>
      </c>
      <c r="M24" s="1534" t="s">
        <v>6221</v>
      </c>
    </row>
    <row r="25" spans="1:13" s="854" customFormat="1" ht="12">
      <c r="A25" s="880" t="s">
        <v>3601</v>
      </c>
      <c r="B25" s="881">
        <v>1630</v>
      </c>
      <c r="C25" s="882" t="s">
        <v>3728</v>
      </c>
      <c r="D25" s="1147">
        <v>78875</v>
      </c>
      <c r="E25" s="1147">
        <v>24000</v>
      </c>
      <c r="F25" s="860">
        <f t="shared" si="0"/>
        <v>1.8187832659094201</v>
      </c>
      <c r="G25" s="860">
        <f t="shared" si="1"/>
        <v>1</v>
      </c>
      <c r="H25" s="860">
        <f t="shared" si="2"/>
        <v>1.2941439511867201</v>
      </c>
      <c r="I25" s="867">
        <f t="shared" si="3"/>
        <v>56123.016998846833</v>
      </c>
      <c r="J25" s="866">
        <f t="shared" si="4"/>
        <v>17077.051131186359</v>
      </c>
      <c r="L25" s="1475" t="s">
        <v>2921</v>
      </c>
      <c r="M25" s="1534" t="s">
        <v>6219</v>
      </c>
    </row>
    <row r="26" spans="1:13" s="854" customFormat="1" ht="12">
      <c r="A26" s="880" t="s">
        <v>7169</v>
      </c>
      <c r="B26" s="881">
        <v>1872</v>
      </c>
      <c r="C26" s="882" t="s">
        <v>7150</v>
      </c>
      <c r="D26" s="1147">
        <v>20512600</v>
      </c>
      <c r="E26" s="1147">
        <v>6595420</v>
      </c>
      <c r="F26" s="860">
        <f t="shared" si="0"/>
        <v>1.8187832659094201</v>
      </c>
      <c r="G26" s="860">
        <f t="shared" si="1"/>
        <v>1</v>
      </c>
      <c r="H26" s="860">
        <f t="shared" si="2"/>
        <v>1.2941439511867201</v>
      </c>
      <c r="I26" s="867">
        <f t="shared" si="3"/>
        <v>14595613.293065555</v>
      </c>
      <c r="J26" s="866">
        <f t="shared" si="4"/>
        <v>4692930.1904853806</v>
      </c>
      <c r="L26" s="1475" t="s">
        <v>2921</v>
      </c>
      <c r="M26" s="1534" t="s">
        <v>6219</v>
      </c>
    </row>
    <row r="27" spans="1:13" ht="12">
      <c r="A27" s="869" t="s">
        <v>1027</v>
      </c>
      <c r="B27" s="870">
        <v>1632</v>
      </c>
      <c r="C27" s="871" t="s">
        <v>7151</v>
      </c>
      <c r="D27" s="1147">
        <v>19675000</v>
      </c>
      <c r="E27" s="1147">
        <v>3112420</v>
      </c>
      <c r="F27" s="892">
        <f t="shared" si="0"/>
        <v>1.8187832659094201</v>
      </c>
      <c r="G27" s="892">
        <f t="shared" si="1"/>
        <v>1</v>
      </c>
      <c r="H27" s="892">
        <f t="shared" si="2"/>
        <v>1.2941439511867201</v>
      </c>
      <c r="I27" s="886">
        <f t="shared" si="3"/>
        <v>13999624.208587151</v>
      </c>
      <c r="J27" s="885">
        <f t="shared" si="4"/>
        <v>2214623.1450719601</v>
      </c>
      <c r="L27" s="1475" t="s">
        <v>2921</v>
      </c>
      <c r="M27" s="1534" t="s">
        <v>6221</v>
      </c>
    </row>
    <row r="28" spans="1:13" ht="12">
      <c r="A28" s="869" t="s">
        <v>1028</v>
      </c>
      <c r="B28" s="870">
        <v>1633</v>
      </c>
      <c r="C28" s="871" t="s">
        <v>7151</v>
      </c>
      <c r="D28" s="1147">
        <v>837607</v>
      </c>
      <c r="E28" s="1147">
        <v>3483000</v>
      </c>
      <c r="F28" s="892">
        <f t="shared" si="0"/>
        <v>1.8187832659094201</v>
      </c>
      <c r="G28" s="892">
        <f t="shared" si="1"/>
        <v>1</v>
      </c>
      <c r="H28" s="892">
        <f t="shared" si="2"/>
        <v>1.2941439511867201</v>
      </c>
      <c r="I28" s="886">
        <f t="shared" si="3"/>
        <v>595994.06528498384</v>
      </c>
      <c r="J28" s="885">
        <f t="shared" si="4"/>
        <v>2478307.0454134201</v>
      </c>
      <c r="L28" s="1475" t="s">
        <v>2921</v>
      </c>
      <c r="M28" s="1534" t="s">
        <v>6221</v>
      </c>
    </row>
    <row r="29" spans="1:13" s="854" customFormat="1" ht="12.75" customHeight="1">
      <c r="A29" s="880" t="s">
        <v>3600</v>
      </c>
      <c r="B29" s="881">
        <v>1634</v>
      </c>
      <c r="C29" s="882" t="s">
        <v>7150</v>
      </c>
      <c r="D29" s="1147">
        <v>275045</v>
      </c>
      <c r="E29" s="1147">
        <v>140251</v>
      </c>
      <c r="F29" s="860">
        <f t="shared" si="0"/>
        <v>1.8187832659094201</v>
      </c>
      <c r="G29" s="860">
        <f t="shared" si="1"/>
        <v>1</v>
      </c>
      <c r="H29" s="860">
        <f t="shared" si="2"/>
        <v>1.2941439511867201</v>
      </c>
      <c r="I29" s="867">
        <f t="shared" si="3"/>
        <v>195706.56368238135</v>
      </c>
      <c r="J29" s="866">
        <f t="shared" si="4"/>
        <v>99794.72909166741</v>
      </c>
      <c r="L29" s="1475" t="s">
        <v>2921</v>
      </c>
      <c r="M29" s="1534" t="s">
        <v>6219</v>
      </c>
    </row>
    <row r="30" spans="1:13" s="854" customFormat="1" ht="12.75" customHeight="1">
      <c r="A30" s="880" t="s">
        <v>2961</v>
      </c>
      <c r="B30" s="881">
        <v>1640</v>
      </c>
      <c r="C30" s="882" t="s">
        <v>7150</v>
      </c>
      <c r="D30" s="1147">
        <v>2829000</v>
      </c>
      <c r="E30" s="1147">
        <v>887842</v>
      </c>
      <c r="F30" s="860">
        <f t="shared" si="0"/>
        <v>1.8187832659094201</v>
      </c>
      <c r="G30" s="860">
        <f t="shared" si="1"/>
        <v>1</v>
      </c>
      <c r="H30" s="860">
        <f t="shared" si="2"/>
        <v>1.2941439511867201</v>
      </c>
      <c r="I30" s="867">
        <f t="shared" si="3"/>
        <v>2012957.4020885921</v>
      </c>
      <c r="J30" s="866">
        <f t="shared" si="4"/>
        <v>631738.46793394827</v>
      </c>
      <c r="L30" s="1475" t="s">
        <v>2921</v>
      </c>
      <c r="M30" s="1534" t="s">
        <v>6219</v>
      </c>
    </row>
    <row r="31" spans="1:13" s="854" customFormat="1" ht="12.75" customHeight="1">
      <c r="A31" s="880" t="s">
        <v>2960</v>
      </c>
      <c r="B31" s="881">
        <v>1646</v>
      </c>
      <c r="C31" s="882" t="s">
        <v>7175</v>
      </c>
      <c r="D31" s="1147">
        <v>4051000</v>
      </c>
      <c r="E31" s="1147">
        <v>564000</v>
      </c>
      <c r="F31" s="860">
        <f t="shared" si="0"/>
        <v>1.2775358643913595</v>
      </c>
      <c r="G31" s="860">
        <f t="shared" si="1"/>
        <v>1</v>
      </c>
      <c r="H31" s="860">
        <f t="shared" si="2"/>
        <v>1.2941439511867201</v>
      </c>
      <c r="I31" s="867">
        <f t="shared" si="3"/>
        <v>4103663.382284034</v>
      </c>
      <c r="J31" s="866">
        <f t="shared" si="4"/>
        <v>571332.05322344974</v>
      </c>
      <c r="L31" s="1475" t="s">
        <v>2921</v>
      </c>
      <c r="M31" s="1534" t="s">
        <v>6219</v>
      </c>
    </row>
    <row r="32" spans="1:13" s="854" customFormat="1" ht="12.75" customHeight="1">
      <c r="A32" s="880" t="s">
        <v>7170</v>
      </c>
      <c r="B32" s="881">
        <v>1874</v>
      </c>
      <c r="C32" s="882" t="s">
        <v>7150</v>
      </c>
      <c r="D32" s="1147">
        <v>1664410</v>
      </c>
      <c r="E32" s="1147">
        <v>826660</v>
      </c>
      <c r="F32" s="860">
        <f t="shared" si="0"/>
        <v>0.98247769627669745</v>
      </c>
      <c r="G32" s="860">
        <f t="shared" si="1"/>
        <v>1</v>
      </c>
      <c r="H32" s="860">
        <f t="shared" si="2"/>
        <v>1.2941439511867201</v>
      </c>
      <c r="I32" s="867">
        <f t="shared" si="3"/>
        <v>2192402.0687265117</v>
      </c>
      <c r="J32" s="866">
        <f t="shared" si="4"/>
        <v>1088897.0230492835</v>
      </c>
      <c r="L32" s="1475" t="s">
        <v>2921</v>
      </c>
      <c r="M32" s="1534" t="s">
        <v>6219</v>
      </c>
    </row>
    <row r="33" spans="1:13" ht="12.75" customHeight="1">
      <c r="A33" s="873" t="s">
        <v>3034</v>
      </c>
      <c r="B33" s="870">
        <v>1647</v>
      </c>
      <c r="C33" s="871" t="s">
        <v>7151</v>
      </c>
      <c r="D33" s="1147">
        <v>210000</v>
      </c>
      <c r="E33" s="1147">
        <v>218000</v>
      </c>
      <c r="F33" s="892">
        <f t="shared" si="0"/>
        <v>0.98247769627669745</v>
      </c>
      <c r="G33" s="892">
        <f t="shared" si="1"/>
        <v>1</v>
      </c>
      <c r="H33" s="892">
        <f t="shared" si="2"/>
        <v>1.2941439511867201</v>
      </c>
      <c r="I33" s="886">
        <f t="shared" si="3"/>
        <v>276617.20034881274</v>
      </c>
      <c r="J33" s="885">
        <f t="shared" si="4"/>
        <v>287154.99845733895</v>
      </c>
      <c r="L33" s="1475" t="s">
        <v>2921</v>
      </c>
      <c r="M33" s="1534" t="s">
        <v>6221</v>
      </c>
    </row>
    <row r="34" spans="1:13" ht="12.75" customHeight="1">
      <c r="A34" s="873" t="s">
        <v>3036</v>
      </c>
      <c r="B34" s="870">
        <v>1648</v>
      </c>
      <c r="C34" s="871" t="s">
        <v>7151</v>
      </c>
      <c r="D34" s="1147">
        <v>1261770</v>
      </c>
      <c r="E34" s="1147">
        <v>364420</v>
      </c>
      <c r="F34" s="892">
        <f t="shared" si="0"/>
        <v>0.98247769627669745</v>
      </c>
      <c r="G34" s="892">
        <f t="shared" si="1"/>
        <v>1</v>
      </c>
      <c r="H34" s="892">
        <f t="shared" si="2"/>
        <v>1.2941439511867201</v>
      </c>
      <c r="I34" s="886">
        <f t="shared" si="3"/>
        <v>1662034.689924388</v>
      </c>
      <c r="J34" s="885">
        <f t="shared" si="4"/>
        <v>480023.04833863967</v>
      </c>
      <c r="L34" s="1475" t="s">
        <v>2921</v>
      </c>
      <c r="M34" s="1534" t="s">
        <v>6221</v>
      </c>
    </row>
    <row r="35" spans="1:13" ht="12.75" customHeight="1">
      <c r="A35" s="873" t="s">
        <v>3035</v>
      </c>
      <c r="B35" s="870">
        <v>1650</v>
      </c>
      <c r="C35" s="871" t="s">
        <v>7151</v>
      </c>
      <c r="D35" s="1147">
        <v>192640</v>
      </c>
      <c r="E35" s="1147">
        <v>244240</v>
      </c>
      <c r="F35" s="892">
        <f t="shared" si="0"/>
        <v>0.98247769627669745</v>
      </c>
      <c r="G35" s="892">
        <f t="shared" si="1"/>
        <v>1</v>
      </c>
      <c r="H35" s="892">
        <f t="shared" si="2"/>
        <v>1.2941439511867201</v>
      </c>
      <c r="I35" s="886">
        <f t="shared" si="3"/>
        <v>253750.17845331092</v>
      </c>
      <c r="J35" s="885">
        <f t="shared" si="4"/>
        <v>321718.97625330486</v>
      </c>
      <c r="L35" s="1475" t="s">
        <v>2921</v>
      </c>
      <c r="M35" s="1534" t="s">
        <v>6221</v>
      </c>
    </row>
    <row r="36" spans="1:13" s="854" customFormat="1" ht="12.75" customHeight="1">
      <c r="A36" s="880" t="s">
        <v>3037</v>
      </c>
      <c r="B36" s="881">
        <v>1654</v>
      </c>
      <c r="C36" s="882" t="s">
        <v>3728</v>
      </c>
      <c r="D36" s="1147">
        <v>39000</v>
      </c>
      <c r="E36" s="1147">
        <v>29000</v>
      </c>
      <c r="F36" s="860">
        <f t="shared" si="0"/>
        <v>0.75450012766468955</v>
      </c>
      <c r="G36" s="860">
        <f t="shared" si="1"/>
        <v>1</v>
      </c>
      <c r="H36" s="860">
        <f t="shared" si="2"/>
        <v>1.2941439511867201</v>
      </c>
      <c r="I36" s="867">
        <f t="shared" si="3"/>
        <v>66894.109418510765</v>
      </c>
      <c r="J36" s="866">
        <f t="shared" si="4"/>
        <v>49741.773670174676</v>
      </c>
      <c r="L36" s="1475" t="s">
        <v>2921</v>
      </c>
      <c r="M36" s="1534" t="s">
        <v>6219</v>
      </c>
    </row>
    <row r="37" spans="1:13" s="854" customFormat="1" ht="12.75" customHeight="1">
      <c r="A37" s="880" t="s">
        <v>1029</v>
      </c>
      <c r="B37" s="881">
        <v>1655</v>
      </c>
      <c r="C37" s="882" t="s">
        <v>3728</v>
      </c>
      <c r="D37" s="1147">
        <v>239000</v>
      </c>
      <c r="E37" s="1147">
        <v>278000</v>
      </c>
      <c r="F37" s="860">
        <f t="shared" si="0"/>
        <v>0.68839718774100256</v>
      </c>
      <c r="G37" s="860">
        <f t="shared" si="1"/>
        <v>1</v>
      </c>
      <c r="H37" s="860">
        <f t="shared" si="2"/>
        <v>1.2941439511867201</v>
      </c>
      <c r="I37" s="867">
        <f t="shared" si="3"/>
        <v>449305.15382929624</v>
      </c>
      <c r="J37" s="866">
        <f t="shared" si="4"/>
        <v>522622.7312324032</v>
      </c>
      <c r="L37" s="1475" t="s">
        <v>2921</v>
      </c>
      <c r="M37" s="1534" t="s">
        <v>6219</v>
      </c>
    </row>
    <row r="38" spans="1:13" s="854" customFormat="1" ht="12.75" customHeight="1">
      <c r="A38" s="880" t="s">
        <v>4945</v>
      </c>
      <c r="B38" s="881">
        <v>1656</v>
      </c>
      <c r="C38" s="882" t="s">
        <v>3728</v>
      </c>
      <c r="D38" s="1147">
        <v>5064110</v>
      </c>
      <c r="E38" s="1147">
        <v>6993820</v>
      </c>
      <c r="F38" s="860">
        <f t="shared" si="0"/>
        <v>0.38204597970177367</v>
      </c>
      <c r="G38" s="860">
        <f t="shared" si="1"/>
        <v>1</v>
      </c>
      <c r="H38" s="860">
        <f t="shared" si="2"/>
        <v>1.2941439511867201</v>
      </c>
      <c r="I38" s="867">
        <f t="shared" si="3"/>
        <v>17154184.765299745</v>
      </c>
      <c r="J38" s="866">
        <f t="shared" si="4"/>
        <v>23690891.488385648</v>
      </c>
      <c r="L38" s="1475" t="s">
        <v>2921</v>
      </c>
      <c r="M38" s="1534" t="s">
        <v>6219</v>
      </c>
    </row>
    <row r="39" spans="1:13" ht="12.75" customHeight="1">
      <c r="A39" s="873" t="s">
        <v>6079</v>
      </c>
      <c r="B39" s="870">
        <v>1660</v>
      </c>
      <c r="C39" s="871" t="s">
        <v>3728</v>
      </c>
      <c r="D39" s="1147">
        <v>843</v>
      </c>
      <c r="E39" s="1147">
        <v>17721</v>
      </c>
      <c r="F39" s="892">
        <f t="shared" ref="F39:F56" si="5">VLOOKUP("world",constant_forest_increment,2,FALSE)*IF(L39="p",1,1/VLOOKUP(B39,constant_forest_extr,5,FALSE))</f>
        <v>0.68839718774100256</v>
      </c>
      <c r="G39" s="892">
        <f t="shared" si="1"/>
        <v>1</v>
      </c>
      <c r="H39" s="892">
        <f t="shared" si="2"/>
        <v>1.2941439511867201</v>
      </c>
      <c r="I39" s="886">
        <f t="shared" si="3"/>
        <v>1584.787634636388</v>
      </c>
      <c r="J39" s="885">
        <f t="shared" si="4"/>
        <v>33314.379209242506</v>
      </c>
      <c r="L39" s="1475" t="s">
        <v>2921</v>
      </c>
      <c r="M39" s="1534" t="s">
        <v>6221</v>
      </c>
    </row>
    <row r="40" spans="1:13" ht="12.75" customHeight="1">
      <c r="A40" s="873" t="s">
        <v>6080</v>
      </c>
      <c r="B40" s="870">
        <v>1661</v>
      </c>
      <c r="C40" s="871" t="s">
        <v>3728</v>
      </c>
      <c r="D40" s="1147">
        <v>215269</v>
      </c>
      <c r="E40" s="1147">
        <v>42072</v>
      </c>
      <c r="F40" s="892">
        <f t="shared" si="5"/>
        <v>0.68839718774100256</v>
      </c>
      <c r="G40" s="892">
        <f t="shared" si="1"/>
        <v>1</v>
      </c>
      <c r="H40" s="892">
        <f t="shared" si="2"/>
        <v>1.2941439511867201</v>
      </c>
      <c r="I40" s="886">
        <f t="shared" si="3"/>
        <v>404692.34794844681</v>
      </c>
      <c r="J40" s="885">
        <f t="shared" si="4"/>
        <v>79092.746577013182</v>
      </c>
      <c r="L40" s="1475" t="s">
        <v>2921</v>
      </c>
      <c r="M40" s="1534" t="s">
        <v>6221</v>
      </c>
    </row>
    <row r="41" spans="1:13" ht="12.75" customHeight="1">
      <c r="A41" s="873" t="s">
        <v>6081</v>
      </c>
      <c r="B41" s="870">
        <v>1662</v>
      </c>
      <c r="C41" s="871" t="s">
        <v>3728</v>
      </c>
      <c r="D41" s="1147">
        <v>216000</v>
      </c>
      <c r="E41" s="1147">
        <v>220024</v>
      </c>
      <c r="F41" s="892">
        <f t="shared" si="5"/>
        <v>0.68839718774100256</v>
      </c>
      <c r="G41" s="892">
        <f t="shared" si="1"/>
        <v>1</v>
      </c>
      <c r="H41" s="892">
        <f t="shared" si="2"/>
        <v>1.2941439511867201</v>
      </c>
      <c r="I41" s="886">
        <f t="shared" si="3"/>
        <v>406066.58254028449</v>
      </c>
      <c r="J41" s="885">
        <f t="shared" si="4"/>
        <v>413631.45257797948</v>
      </c>
      <c r="L41" s="1475" t="s">
        <v>2921</v>
      </c>
      <c r="M41" s="1534" t="s">
        <v>6221</v>
      </c>
    </row>
    <row r="42" spans="1:13" ht="12.75" customHeight="1">
      <c r="A42" s="873" t="s">
        <v>6082</v>
      </c>
      <c r="B42" s="870">
        <v>1663</v>
      </c>
      <c r="C42" s="871" t="s">
        <v>3728</v>
      </c>
      <c r="D42" s="1147">
        <v>4632000</v>
      </c>
      <c r="E42" s="1147">
        <v>6714000</v>
      </c>
      <c r="F42" s="892">
        <f t="shared" si="5"/>
        <v>0.68839718774100256</v>
      </c>
      <c r="G42" s="892">
        <f t="shared" si="1"/>
        <v>1</v>
      </c>
      <c r="H42" s="892">
        <f t="shared" si="2"/>
        <v>1.2941439511867201</v>
      </c>
      <c r="I42" s="886">
        <f t="shared" si="3"/>
        <v>8707872.2700305451</v>
      </c>
      <c r="J42" s="885">
        <f t="shared" si="4"/>
        <v>12621902.940627178</v>
      </c>
      <c r="L42" s="1475" t="s">
        <v>2921</v>
      </c>
      <c r="M42" s="1534" t="s">
        <v>6221</v>
      </c>
    </row>
    <row r="43" spans="1:13" s="854" customFormat="1" ht="12.75" customHeight="1">
      <c r="A43" s="880" t="s">
        <v>4946</v>
      </c>
      <c r="B43" s="881">
        <v>1667</v>
      </c>
      <c r="C43" s="882" t="s">
        <v>3728</v>
      </c>
      <c r="D43" s="1147">
        <v>203000</v>
      </c>
      <c r="E43" s="1147">
        <v>779000</v>
      </c>
      <c r="F43" s="860">
        <f t="shared" si="5"/>
        <v>0.38204597970177367</v>
      </c>
      <c r="G43" s="860">
        <f t="shared" si="1"/>
        <v>1</v>
      </c>
      <c r="H43" s="860">
        <f t="shared" si="2"/>
        <v>1.2941439511867201</v>
      </c>
      <c r="I43" s="867">
        <f t="shared" si="3"/>
        <v>687642.94364771852</v>
      </c>
      <c r="J43" s="866">
        <f t="shared" si="4"/>
        <v>2638787.4537023287</v>
      </c>
      <c r="L43" s="1475" t="s">
        <v>2921</v>
      </c>
      <c r="M43" s="1534" t="s">
        <v>6219</v>
      </c>
    </row>
    <row r="44" spans="1:13" s="854" customFormat="1" ht="12.75" customHeight="1">
      <c r="A44" s="880" t="s">
        <v>3038</v>
      </c>
      <c r="B44" s="881">
        <v>1671</v>
      </c>
      <c r="C44" s="882" t="s">
        <v>3728</v>
      </c>
      <c r="D44" s="1147">
        <v>2116000</v>
      </c>
      <c r="E44" s="1147">
        <v>799000</v>
      </c>
      <c r="F44" s="860">
        <f t="shared" si="5"/>
        <v>0.56049242623846374</v>
      </c>
      <c r="G44" s="860">
        <f t="shared" si="1"/>
        <v>1</v>
      </c>
      <c r="H44" s="860">
        <f t="shared" si="2"/>
        <v>1.2941439511867201</v>
      </c>
      <c r="I44" s="867">
        <f t="shared" si="3"/>
        <v>4885719.1864106162</v>
      </c>
      <c r="J44" s="866">
        <f t="shared" si="4"/>
        <v>1844843.8704830261</v>
      </c>
      <c r="L44" s="1475" t="s">
        <v>2921</v>
      </c>
      <c r="M44" s="1534" t="s">
        <v>6219</v>
      </c>
    </row>
    <row r="45" spans="1:13" s="854" customFormat="1" ht="12.75" customHeight="1">
      <c r="A45" s="880" t="s">
        <v>50</v>
      </c>
      <c r="B45" s="881">
        <v>1674</v>
      </c>
      <c r="C45" s="882" t="s">
        <v>3728</v>
      </c>
      <c r="D45" s="1147">
        <v>4924750</v>
      </c>
      <c r="E45" s="1147">
        <v>2326470</v>
      </c>
      <c r="F45" s="860">
        <f t="shared" si="5"/>
        <v>0.45433714175146378</v>
      </c>
      <c r="G45" s="860">
        <f t="shared" si="1"/>
        <v>1</v>
      </c>
      <c r="H45" s="860">
        <f t="shared" si="2"/>
        <v>1.2941439511867201</v>
      </c>
      <c r="I45" s="867">
        <f t="shared" si="3"/>
        <v>14027766.691135298</v>
      </c>
      <c r="J45" s="866">
        <f t="shared" si="4"/>
        <v>6626768.5413321564</v>
      </c>
      <c r="L45" s="1475" t="s">
        <v>2921</v>
      </c>
      <c r="M45" s="1534" t="s">
        <v>6219</v>
      </c>
    </row>
    <row r="46" spans="1:13" ht="12.75" customHeight="1">
      <c r="A46" s="873" t="s">
        <v>6070</v>
      </c>
      <c r="B46" s="870">
        <v>1612</v>
      </c>
      <c r="C46" s="871" t="s">
        <v>3728</v>
      </c>
      <c r="D46" s="1147">
        <v>2301750</v>
      </c>
      <c r="E46" s="1147">
        <v>274470</v>
      </c>
      <c r="F46" s="892">
        <f t="shared" si="5"/>
        <v>1.8187832659094201</v>
      </c>
      <c r="G46" s="892">
        <f t="shared" si="1"/>
        <v>1</v>
      </c>
      <c r="H46" s="892">
        <f t="shared" si="2"/>
        <v>1.2941439511867201</v>
      </c>
      <c r="I46" s="886">
        <f t="shared" si="3"/>
        <v>1637795.9350503418</v>
      </c>
      <c r="J46" s="885">
        <f t="shared" si="4"/>
        <v>195297.42599903001</v>
      </c>
      <c r="L46" s="1475" t="s">
        <v>2921</v>
      </c>
      <c r="M46" s="1534" t="s">
        <v>6221</v>
      </c>
    </row>
    <row r="47" spans="1:13" ht="12.75" customHeight="1">
      <c r="A47" s="873" t="s">
        <v>6071</v>
      </c>
      <c r="B47" s="870">
        <v>1615</v>
      </c>
      <c r="C47" s="871" t="s">
        <v>3728</v>
      </c>
      <c r="D47" s="1147">
        <v>1027000</v>
      </c>
      <c r="E47" s="1147">
        <v>933000</v>
      </c>
      <c r="F47" s="892">
        <f t="shared" si="5"/>
        <v>1.8187832659094201</v>
      </c>
      <c r="G47" s="892">
        <f t="shared" si="1"/>
        <v>1</v>
      </c>
      <c r="H47" s="892">
        <f t="shared" si="2"/>
        <v>1.2941439511867201</v>
      </c>
      <c r="I47" s="886">
        <f t="shared" si="3"/>
        <v>730755.47965534963</v>
      </c>
      <c r="J47" s="885">
        <f t="shared" si="4"/>
        <v>663870.36272486974</v>
      </c>
      <c r="L47" s="1475" t="s">
        <v>2921</v>
      </c>
      <c r="M47" s="1534" t="s">
        <v>6221</v>
      </c>
    </row>
    <row r="48" spans="1:13" ht="12.75" customHeight="1">
      <c r="A48" s="873" t="s">
        <v>6072</v>
      </c>
      <c r="B48" s="870">
        <v>1616</v>
      </c>
      <c r="C48" s="871" t="s">
        <v>3728</v>
      </c>
      <c r="D48" s="1147">
        <v>1596000</v>
      </c>
      <c r="E48" s="1147">
        <v>1119000</v>
      </c>
      <c r="F48" s="892">
        <f t="shared" si="5"/>
        <v>0.45433714175146378</v>
      </c>
      <c r="G48" s="892">
        <f t="shared" si="1"/>
        <v>1</v>
      </c>
      <c r="H48" s="892">
        <f t="shared" si="2"/>
        <v>1.2941439511867201</v>
      </c>
      <c r="I48" s="886">
        <f t="shared" si="3"/>
        <v>4546081.6567443898</v>
      </c>
      <c r="J48" s="885">
        <f t="shared" si="4"/>
        <v>3187384.3194843191</v>
      </c>
      <c r="L48" s="1475" t="s">
        <v>2921</v>
      </c>
      <c r="M48" s="1534" t="s">
        <v>6221</v>
      </c>
    </row>
    <row r="49" spans="1:13" s="889" customFormat="1" ht="12.75" customHeight="1">
      <c r="A49" s="893" t="s">
        <v>4561</v>
      </c>
      <c r="B49" s="894">
        <v>1675</v>
      </c>
      <c r="C49" s="895" t="s">
        <v>3728</v>
      </c>
      <c r="D49" s="1147">
        <v>2726000</v>
      </c>
      <c r="E49" s="1147">
        <v>8996450</v>
      </c>
      <c r="F49" s="896">
        <f t="shared" si="5"/>
        <v>0.52462263266501807</v>
      </c>
      <c r="G49" s="896">
        <f t="shared" si="1"/>
        <v>1</v>
      </c>
      <c r="H49" s="896">
        <f t="shared" si="2"/>
        <v>1.2941439511867201</v>
      </c>
      <c r="I49" s="867">
        <f>IFERROR(IF(VLOOKUP(1676,$B$10:$D$56,3,FALSE)+VLOOKUP(1681,$B$10:$D$56,3,FALSE)+VLOOKUP(1683,$B$10:$D$56,3,FALSE)&lt;=VLOOKUP(1675,$B$10:$D$56,3,FALSE),D49/F49*H49*G49,0),0)</f>
        <v>6724521.9540263182</v>
      </c>
      <c r="J49" s="859">
        <f>IFERROR(IF(VLOOKUP(1676,$B$10:$E$56,4,FALSE)+VLOOKUP(1681,$B$10:$E$56,4,FALSE)+VLOOKUP(1683,$B$10:$E$56,4,FALSE)&lt;=VLOOKUP(1675,$B$10:$E$56,4,FALSE),E49/F49*H49*G49,0),0)</f>
        <v>22192525.874284692</v>
      </c>
      <c r="L49" s="1475" t="s">
        <v>2921</v>
      </c>
      <c r="M49" s="1534" t="s">
        <v>6219</v>
      </c>
    </row>
    <row r="50" spans="1:13" s="854" customFormat="1" ht="12.75" customHeight="1">
      <c r="A50" s="880" t="s">
        <v>7171</v>
      </c>
      <c r="B50" s="881">
        <v>1676</v>
      </c>
      <c r="C50" s="882" t="s">
        <v>3728</v>
      </c>
      <c r="D50" s="1147">
        <v>298000</v>
      </c>
      <c r="E50" s="1147">
        <v>152450</v>
      </c>
      <c r="F50" s="860">
        <f t="shared" si="5"/>
        <v>0.52462263266501807</v>
      </c>
      <c r="G50" s="860">
        <f t="shared" si="1"/>
        <v>1</v>
      </c>
      <c r="H50" s="860">
        <f t="shared" si="2"/>
        <v>1.2941439511867201</v>
      </c>
      <c r="I50" s="867">
        <f>IFERROR(IF(VLOOKUP(1676,$B$10:$D$56,3,FALSE)+VLOOKUP(1681,$B$10:$D$56,3,FALSE)+VLOOKUP(1683,$B$10:$D$56,3,FALSE)&gt;VLOOKUP(1675,$B$10:$D$56,3,FALSE),D50/F50*H50*G50,0),0)</f>
        <v>0</v>
      </c>
      <c r="J50" s="859">
        <f>IFERROR(IF(VLOOKUP(1676,$B$10:$E$56,4,FALSE)+VLOOKUP(1681,$B$10:$E$56,4,FALSE)+VLOOKUP(1683,$B$10:$E$56,4,FALSE)&gt;VLOOKUP(1675,$B$10:$E$56,4,FALSE),E50/F50*H50*G50,0),0)</f>
        <v>0</v>
      </c>
      <c r="L50" s="1475" t="s">
        <v>2921</v>
      </c>
      <c r="M50" s="1534" t="s">
        <v>6219</v>
      </c>
    </row>
    <row r="51" spans="1:13" s="854" customFormat="1" ht="12.75" customHeight="1">
      <c r="A51" s="880" t="s">
        <v>7172</v>
      </c>
      <c r="B51" s="881">
        <v>1681</v>
      </c>
      <c r="C51" s="882" t="s">
        <v>3728</v>
      </c>
      <c r="D51" s="1147">
        <v>2349000</v>
      </c>
      <c r="E51" s="1147">
        <v>8475000</v>
      </c>
      <c r="F51" s="860">
        <f t="shared" si="5"/>
        <v>0.52462263266501807</v>
      </c>
      <c r="G51" s="860">
        <f t="shared" si="1"/>
        <v>1</v>
      </c>
      <c r="H51" s="860">
        <f t="shared" si="2"/>
        <v>1.2941439511867201</v>
      </c>
      <c r="I51" s="867">
        <f>IFERROR(IF(VLOOKUP(1676,$B$10:$D$56,3,FALSE)+VLOOKUP(1681,$B$10:$D$56,3,FALSE)+VLOOKUP(1683,$B$10:$D$56,3,FALSE)&gt;VLOOKUP(1675,$B$10:$D$56,3,FALSE),D51/F51*H51*G51,0),0)</f>
        <v>0</v>
      </c>
      <c r="J51" s="859">
        <f>IFERROR(IF(VLOOKUP(1676,$B$10:$E$56,4,FALSE)+VLOOKUP(1681,$B$10:$E$56,4,FALSE)+VLOOKUP(1683,$B$10:$E$56,4,FALSE)&gt;VLOOKUP(1675,$B$10:$E$56,4,FALSE),E51/F51*H51*G51,0),0)</f>
        <v>0</v>
      </c>
      <c r="L51" s="1475" t="s">
        <v>2921</v>
      </c>
      <c r="M51" s="1534" t="s">
        <v>6219</v>
      </c>
    </row>
    <row r="52" spans="1:13" ht="12.75" customHeight="1">
      <c r="A52" s="873" t="s">
        <v>6073</v>
      </c>
      <c r="B52" s="870">
        <v>1617</v>
      </c>
      <c r="C52" s="871" t="s">
        <v>3728</v>
      </c>
      <c r="D52" s="1147">
        <v>847000</v>
      </c>
      <c r="E52" s="1147">
        <v>4640000</v>
      </c>
      <c r="F52" s="892">
        <f t="shared" si="5"/>
        <v>0.52462263266501807</v>
      </c>
      <c r="G52" s="892">
        <f t="shared" si="1"/>
        <v>1</v>
      </c>
      <c r="H52" s="892">
        <f t="shared" si="2"/>
        <v>1.2941439511867201</v>
      </c>
      <c r="I52" s="886">
        <f>IFERROR(D52/F52*H52*G52,0)</f>
        <v>2089387.4156494099</v>
      </c>
      <c r="J52" s="885">
        <f>IFERROR(E52/F52*H52*G52,0)</f>
        <v>11445994.815363947</v>
      </c>
      <c r="L52" s="1475" t="s">
        <v>2921</v>
      </c>
      <c r="M52" s="1534" t="s">
        <v>6221</v>
      </c>
    </row>
    <row r="53" spans="1:13" ht="12.75" customHeight="1">
      <c r="A53" s="873" t="s">
        <v>6074</v>
      </c>
      <c r="B53" s="870">
        <v>1618</v>
      </c>
      <c r="C53" s="871" t="s">
        <v>3728</v>
      </c>
      <c r="D53" s="1147">
        <v>970000</v>
      </c>
      <c r="E53" s="1147">
        <v>2720000</v>
      </c>
      <c r="F53" s="892">
        <f t="shared" si="5"/>
        <v>0.52462263266501807</v>
      </c>
      <c r="G53" s="892">
        <f t="shared" si="1"/>
        <v>1</v>
      </c>
      <c r="H53" s="892">
        <f t="shared" si="2"/>
        <v>1.2941439511867201</v>
      </c>
      <c r="I53" s="886">
        <f>IFERROR(D53/F53*H53*G53,0)</f>
        <v>2392804.9506256529</v>
      </c>
      <c r="J53" s="885">
        <f>IFERROR(E53/F53*H53*G53,0)</f>
        <v>6709721.098661623</v>
      </c>
      <c r="L53" s="1475" t="s">
        <v>2921</v>
      </c>
      <c r="M53" s="1534" t="s">
        <v>6221</v>
      </c>
    </row>
    <row r="54" spans="1:13" ht="12.75" customHeight="1">
      <c r="A54" s="873" t="s">
        <v>6077</v>
      </c>
      <c r="B54" s="870">
        <v>1621</v>
      </c>
      <c r="C54" s="871" t="s">
        <v>3728</v>
      </c>
      <c r="D54" s="1147">
        <v>460000</v>
      </c>
      <c r="E54" s="1147">
        <v>1072000</v>
      </c>
      <c r="F54" s="892">
        <f t="shared" si="5"/>
        <v>0.52462263266501807</v>
      </c>
      <c r="G54" s="892">
        <f t="shared" si="1"/>
        <v>1</v>
      </c>
      <c r="H54" s="892">
        <f t="shared" si="2"/>
        <v>1.2941439511867201</v>
      </c>
      <c r="I54" s="886">
        <f>IFERROR(D54/F54*H54*G54,0)</f>
        <v>1134732.2446265982</v>
      </c>
      <c r="J54" s="885">
        <f>IFERROR(E54/F54*H54*G54,0)</f>
        <v>2644419.4918254633</v>
      </c>
      <c r="L54" s="1475" t="s">
        <v>2921</v>
      </c>
      <c r="M54" s="1534" t="s">
        <v>6221</v>
      </c>
    </row>
    <row r="55" spans="1:13" ht="12.75" customHeight="1">
      <c r="A55" s="873" t="s">
        <v>7173</v>
      </c>
      <c r="B55" s="870">
        <v>1622</v>
      </c>
      <c r="C55" s="871" t="s">
        <v>3728</v>
      </c>
      <c r="D55" s="1147">
        <v>72000</v>
      </c>
      <c r="E55" s="1147">
        <v>43000</v>
      </c>
      <c r="F55" s="892">
        <f t="shared" si="5"/>
        <v>0.52462263266501807</v>
      </c>
      <c r="G55" s="892">
        <f t="shared" si="1"/>
        <v>1</v>
      </c>
      <c r="H55" s="892">
        <f t="shared" si="2"/>
        <v>1.2941439511867201</v>
      </c>
      <c r="I55" s="886">
        <f>IFERROR(D55/F55*H55*G55,0)</f>
        <v>177610.26437633712</v>
      </c>
      <c r="J55" s="885">
        <f>IFERROR(E55/F55*H55*G55,0)</f>
        <v>106072.79678031245</v>
      </c>
      <c r="L55" s="1475" t="s">
        <v>2921</v>
      </c>
      <c r="M55" s="1534" t="s">
        <v>6221</v>
      </c>
    </row>
    <row r="56" spans="1:13" s="854" customFormat="1" ht="12.75" customHeight="1">
      <c r="A56" s="875" t="s">
        <v>7174</v>
      </c>
      <c r="B56" s="883">
        <v>1683</v>
      </c>
      <c r="C56" s="884" t="s">
        <v>3728</v>
      </c>
      <c r="D56" s="1183">
        <v>79000</v>
      </c>
      <c r="E56" s="1183">
        <v>369000</v>
      </c>
      <c r="F56" s="864">
        <f t="shared" si="5"/>
        <v>0.52462263266501807</v>
      </c>
      <c r="G56" s="861">
        <f t="shared" si="1"/>
        <v>1</v>
      </c>
      <c r="H56" s="861">
        <f t="shared" si="2"/>
        <v>1.2941439511867201</v>
      </c>
      <c r="I56" s="868">
        <f>IFERROR(IF(VLOOKUP(1676,$B$10:$D$56,3,FALSE)+VLOOKUP(1681,$B$10:$D$56,3,FALSE)+VLOOKUP(1683,$B$10:$D$56,3,FALSE)&gt;VLOOKUP(1675,$B$10:$D$56,3,FALSE),D56/F56*H56*G56,0),0)</f>
        <v>0</v>
      </c>
      <c r="J56" s="862">
        <f>IFERROR(IF(VLOOKUP(1676,$B$10:$E$56,4,FALSE)+VLOOKUP(1681,$B$10:$E$56,4,FALSE)+VLOOKUP(1683,$B$10:$E$56,4,FALSE)&gt;VLOOKUP(1675,$B$10:$E$56,4,FALSE),E56/F56*H56*G56,0),0)</f>
        <v>0</v>
      </c>
      <c r="L56" s="1477" t="s">
        <v>2921</v>
      </c>
      <c r="M56" s="1536" t="s">
        <v>6219</v>
      </c>
    </row>
  </sheetData>
  <phoneticPr fontId="5" type="noConversion"/>
  <hyperlinks>
    <hyperlink ref="D3" location="ef_forest_products!A1" tooltip="Go to ef_forest" display="ef_forest_products"/>
    <hyperlink ref="D2" location="constant_forest_extr!A1" tooltip="Go to eqf" display="constant_forest_extr"/>
    <hyperlink ref="E2" location="eqf!A1" tooltip="Go to eqf" display="eqf"/>
    <hyperlink ref="E3" location="forest_efe!A1" display="forest_efe"/>
    <hyperlink ref="G2" location="constant_forest_increment!A1" tooltip="Go to eqf" display="constant_forest_increment"/>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enableFormatConditionsCalculation="0">
    <tabColor rgb="FFB0CA90"/>
  </sheetPr>
  <dimension ref="A1:F61"/>
  <sheetViews>
    <sheetView workbookViewId="0">
      <selection activeCell="A65536" sqref="A65536"/>
    </sheetView>
  </sheetViews>
  <sheetFormatPr baseColWidth="10" defaultColWidth="9.1640625" defaultRowHeight="12" x14ac:dyDescent="0"/>
  <cols>
    <col min="1" max="1" width="47.33203125" style="604" customWidth="1"/>
    <col min="2" max="2" width="10.1640625" style="604" customWidth="1"/>
    <col min="3" max="3" width="8.1640625" style="604" customWidth="1"/>
    <col min="4" max="8" width="9.1640625" style="604"/>
    <col min="9" max="9" width="12.6640625" style="604" customWidth="1"/>
    <col min="10" max="10" width="10.6640625" style="604" customWidth="1"/>
    <col min="11" max="16384" width="9.1640625" style="604"/>
  </cols>
  <sheetData>
    <row r="1" spans="1:6">
      <c r="A1" s="53"/>
    </row>
    <row r="2" spans="1:6">
      <c r="A2" s="53"/>
      <c r="C2" s="54" t="s">
        <v>1005</v>
      </c>
      <c r="E2" s="604" t="s">
        <v>6362</v>
      </c>
    </row>
    <row r="3" spans="1:6">
      <c r="A3" s="53"/>
      <c r="C3" s="609" t="s">
        <v>1006</v>
      </c>
      <c r="E3" s="1064" t="s">
        <v>3366</v>
      </c>
      <c r="F3" s="1064" t="s">
        <v>7131</v>
      </c>
    </row>
    <row r="4" spans="1:6">
      <c r="A4" s="53"/>
    </row>
    <row r="5" spans="1:6">
      <c r="A5" s="379" t="s">
        <v>2036</v>
      </c>
      <c r="B5" s="380" t="s">
        <v>2019</v>
      </c>
      <c r="C5" s="381" t="s">
        <v>2655</v>
      </c>
      <c r="D5" s="380" t="s">
        <v>5965</v>
      </c>
      <c r="E5" s="381" t="s">
        <v>5966</v>
      </c>
      <c r="F5" s="612" t="s">
        <v>3094</v>
      </c>
    </row>
    <row r="6" spans="1:6">
      <c r="A6" s="616" t="s">
        <v>548</v>
      </c>
      <c r="B6" s="385" t="s">
        <v>548</v>
      </c>
      <c r="C6" s="385" t="s">
        <v>548</v>
      </c>
      <c r="D6" s="385" t="s">
        <v>548</v>
      </c>
      <c r="E6" s="385"/>
      <c r="F6" s="388"/>
    </row>
    <row r="7" spans="1:6">
      <c r="A7" s="24" t="s">
        <v>1026</v>
      </c>
      <c r="B7" s="546">
        <v>1601</v>
      </c>
      <c r="C7" s="24" t="s">
        <v>4562</v>
      </c>
      <c r="D7" s="24" t="s">
        <v>5968</v>
      </c>
      <c r="E7" s="1251">
        <v>1</v>
      </c>
      <c r="F7" s="1252">
        <v>1</v>
      </c>
    </row>
    <row r="8" spans="1:6">
      <c r="A8" s="26" t="s">
        <v>3360</v>
      </c>
      <c r="B8" s="711">
        <v>1602</v>
      </c>
      <c r="C8" s="26" t="s">
        <v>4562</v>
      </c>
      <c r="D8" s="26" t="s">
        <v>5968</v>
      </c>
      <c r="E8" s="1253">
        <v>1</v>
      </c>
      <c r="F8" s="1248">
        <v>1</v>
      </c>
    </row>
    <row r="9" spans="1:6">
      <c r="A9" s="26" t="s">
        <v>3361</v>
      </c>
      <c r="B9" s="711">
        <v>1603</v>
      </c>
      <c r="C9" s="26" t="s">
        <v>6068</v>
      </c>
      <c r="D9" s="26" t="s">
        <v>5968</v>
      </c>
      <c r="E9" s="1253">
        <v>1</v>
      </c>
      <c r="F9" s="1248">
        <v>1</v>
      </c>
    </row>
    <row r="10" spans="1:6">
      <c r="A10" s="26" t="s">
        <v>47</v>
      </c>
      <c r="B10" s="711">
        <v>1604</v>
      </c>
      <c r="C10" s="26" t="s">
        <v>6068</v>
      </c>
      <c r="D10" s="26" t="s">
        <v>5968</v>
      </c>
      <c r="E10" s="1253">
        <v>1</v>
      </c>
      <c r="F10" s="1248">
        <v>1</v>
      </c>
    </row>
    <row r="11" spans="1:6">
      <c r="A11" s="26" t="s">
        <v>48</v>
      </c>
      <c r="B11" s="711">
        <v>1608</v>
      </c>
      <c r="C11" s="26" t="s">
        <v>6068</v>
      </c>
      <c r="D11" s="26"/>
      <c r="E11" s="1253">
        <v>1</v>
      </c>
      <c r="F11" s="1248">
        <v>1</v>
      </c>
    </row>
    <row r="12" spans="1:6">
      <c r="A12" s="26" t="s">
        <v>6069</v>
      </c>
      <c r="B12" s="711">
        <v>1609</v>
      </c>
      <c r="C12" s="26" t="s">
        <v>3728</v>
      </c>
      <c r="D12" s="26" t="s">
        <v>5969</v>
      </c>
      <c r="E12" s="1253">
        <v>2.4105804614491899</v>
      </c>
      <c r="F12" s="1248">
        <v>2.4105804614491899</v>
      </c>
    </row>
    <row r="13" spans="1:6">
      <c r="A13" s="26" t="s">
        <v>49</v>
      </c>
      <c r="B13" s="711">
        <v>1611</v>
      </c>
      <c r="C13" s="26" t="s">
        <v>6068</v>
      </c>
      <c r="D13" s="26"/>
      <c r="E13" s="1253">
        <v>1</v>
      </c>
      <c r="F13" s="1248">
        <v>1</v>
      </c>
    </row>
    <row r="14" spans="1:6">
      <c r="A14" s="26" t="s">
        <v>6070</v>
      </c>
      <c r="B14" s="711">
        <v>1612</v>
      </c>
      <c r="C14" s="26" t="s">
        <v>3728</v>
      </c>
      <c r="D14" s="26" t="s">
        <v>5969</v>
      </c>
      <c r="E14" s="1253">
        <v>2.4105804614491899</v>
      </c>
      <c r="F14" s="1248">
        <v>1</v>
      </c>
    </row>
    <row r="15" spans="1:6">
      <c r="A15" s="26" t="s">
        <v>3359</v>
      </c>
      <c r="B15" s="711">
        <v>1614</v>
      </c>
      <c r="C15" s="26" t="s">
        <v>6068</v>
      </c>
      <c r="D15" s="26" t="s">
        <v>5968</v>
      </c>
      <c r="E15" s="1253">
        <v>1</v>
      </c>
      <c r="F15" s="1248">
        <v>1</v>
      </c>
    </row>
    <row r="16" spans="1:6">
      <c r="A16" s="26" t="s">
        <v>6071</v>
      </c>
      <c r="B16" s="711">
        <v>1615</v>
      </c>
      <c r="C16" s="26" t="s">
        <v>3728</v>
      </c>
      <c r="D16" s="26" t="s">
        <v>5969</v>
      </c>
      <c r="E16" s="1253">
        <v>3.4668410256534798</v>
      </c>
      <c r="F16" s="1248">
        <v>1</v>
      </c>
    </row>
    <row r="17" spans="1:6">
      <c r="A17" s="26" t="s">
        <v>6072</v>
      </c>
      <c r="B17" s="711">
        <v>1616</v>
      </c>
      <c r="C17" s="26" t="s">
        <v>3728</v>
      </c>
      <c r="D17" s="26" t="s">
        <v>5969</v>
      </c>
      <c r="E17" s="1253">
        <v>4.0031577847631699</v>
      </c>
      <c r="F17" s="1248">
        <v>4.0031577847631699</v>
      </c>
    </row>
    <row r="18" spans="1:6">
      <c r="A18" s="26" t="s">
        <v>6073</v>
      </c>
      <c r="B18" s="711">
        <v>1617</v>
      </c>
      <c r="C18" s="26" t="s">
        <v>3728</v>
      </c>
      <c r="D18" s="26" t="s">
        <v>5969</v>
      </c>
      <c r="E18" s="1253">
        <v>3.4668410256534798</v>
      </c>
      <c r="F18" s="1248">
        <v>3.4668410256534798</v>
      </c>
    </row>
    <row r="19" spans="1:6">
      <c r="A19" s="26" t="s">
        <v>6074</v>
      </c>
      <c r="B19" s="711">
        <v>1618</v>
      </c>
      <c r="C19" s="26" t="s">
        <v>3728</v>
      </c>
      <c r="D19" s="26" t="s">
        <v>5969</v>
      </c>
      <c r="E19" s="1253">
        <v>3.4668410256534798</v>
      </c>
      <c r="F19" s="1248">
        <v>3.4668410256534798</v>
      </c>
    </row>
    <row r="20" spans="1:6">
      <c r="A20" s="26" t="s">
        <v>6075</v>
      </c>
      <c r="B20" s="711">
        <v>1619</v>
      </c>
      <c r="C20" s="26" t="s">
        <v>6068</v>
      </c>
      <c r="D20" s="26" t="s">
        <v>5969</v>
      </c>
      <c r="E20" s="1253">
        <v>1</v>
      </c>
      <c r="F20" s="1248">
        <v>1</v>
      </c>
    </row>
    <row r="21" spans="1:6">
      <c r="A21" s="26" t="s">
        <v>6076</v>
      </c>
      <c r="B21" s="711">
        <v>1620</v>
      </c>
      <c r="C21" s="26" t="s">
        <v>6068</v>
      </c>
      <c r="D21" s="26" t="s">
        <v>5969</v>
      </c>
      <c r="E21" s="1253">
        <v>1</v>
      </c>
      <c r="F21" s="1248">
        <v>1</v>
      </c>
    </row>
    <row r="22" spans="1:6">
      <c r="A22" s="26" t="s">
        <v>6077</v>
      </c>
      <c r="B22" s="711">
        <v>1621</v>
      </c>
      <c r="C22" s="26" t="s">
        <v>3728</v>
      </c>
      <c r="D22" s="26" t="s">
        <v>5969</v>
      </c>
      <c r="E22" s="1253">
        <v>3.4668410256534798</v>
      </c>
      <c r="F22" s="1248">
        <v>3.4668410256534798</v>
      </c>
    </row>
    <row r="23" spans="1:6">
      <c r="A23" s="26" t="s">
        <v>6078</v>
      </c>
      <c r="B23" s="711">
        <v>1622</v>
      </c>
      <c r="C23" s="26" t="s">
        <v>3728</v>
      </c>
      <c r="D23" s="26" t="s">
        <v>5969</v>
      </c>
      <c r="E23" s="1253">
        <v>3.4668410256534798</v>
      </c>
      <c r="F23" s="1248">
        <v>3.4668410256534798</v>
      </c>
    </row>
    <row r="24" spans="1:6">
      <c r="A24" s="26" t="s">
        <v>3165</v>
      </c>
      <c r="B24" s="711">
        <v>1623</v>
      </c>
      <c r="C24" s="26" t="s">
        <v>6068</v>
      </c>
      <c r="D24" s="26" t="s">
        <v>5968</v>
      </c>
      <c r="E24" s="1253">
        <v>1</v>
      </c>
      <c r="F24" s="1248">
        <v>1</v>
      </c>
    </row>
    <row r="25" spans="1:6">
      <c r="A25" s="26" t="s">
        <v>1323</v>
      </c>
      <c r="B25" s="711">
        <v>1625</v>
      </c>
      <c r="C25" s="26" t="s">
        <v>6068</v>
      </c>
      <c r="D25" s="26" t="s">
        <v>5968</v>
      </c>
      <c r="E25" s="1253">
        <v>1</v>
      </c>
      <c r="F25" s="1248">
        <v>1</v>
      </c>
    </row>
    <row r="26" spans="1:6">
      <c r="A26" s="26" t="s">
        <v>3166</v>
      </c>
      <c r="B26" s="711">
        <v>1626</v>
      </c>
      <c r="C26" s="26" t="s">
        <v>6068</v>
      </c>
      <c r="D26" s="26" t="s">
        <v>5968</v>
      </c>
      <c r="E26" s="1253">
        <v>1</v>
      </c>
      <c r="F26" s="1248">
        <v>1</v>
      </c>
    </row>
    <row r="27" spans="1:6">
      <c r="A27" s="26" t="s">
        <v>3602</v>
      </c>
      <c r="B27" s="711">
        <v>1627</v>
      </c>
      <c r="C27" s="26" t="s">
        <v>6068</v>
      </c>
      <c r="D27" s="26" t="s">
        <v>5969</v>
      </c>
      <c r="E27" s="1253">
        <v>0.54347826086956497</v>
      </c>
      <c r="F27" s="1248">
        <v>0.54347826086956497</v>
      </c>
    </row>
    <row r="28" spans="1:6">
      <c r="A28" s="26" t="s">
        <v>3603</v>
      </c>
      <c r="B28" s="711">
        <v>1628</v>
      </c>
      <c r="C28" s="26" t="s">
        <v>6068</v>
      </c>
      <c r="D28" s="26" t="s">
        <v>5969</v>
      </c>
      <c r="E28" s="1253">
        <v>0.54347826086956497</v>
      </c>
      <c r="F28" s="1248">
        <v>0.54347826086956497</v>
      </c>
    </row>
    <row r="29" spans="1:6">
      <c r="A29" s="26" t="s">
        <v>1324</v>
      </c>
      <c r="B29" s="711">
        <v>1629</v>
      </c>
      <c r="C29" s="26" t="s">
        <v>6068</v>
      </c>
      <c r="D29" s="26" t="s">
        <v>5969</v>
      </c>
      <c r="E29" s="1253">
        <v>0.54347826086956497</v>
      </c>
      <c r="F29" s="1248">
        <v>0.54347826086956497</v>
      </c>
    </row>
    <row r="30" spans="1:6">
      <c r="A30" s="26" t="s">
        <v>3601</v>
      </c>
      <c r="B30" s="711">
        <v>1630</v>
      </c>
      <c r="C30" s="26" t="s">
        <v>3728</v>
      </c>
      <c r="D30" s="26" t="s">
        <v>5969</v>
      </c>
      <c r="E30" s="1253">
        <v>1</v>
      </c>
      <c r="F30" s="1248">
        <v>1</v>
      </c>
    </row>
    <row r="31" spans="1:6">
      <c r="A31" s="26" t="s">
        <v>1027</v>
      </c>
      <c r="B31" s="711">
        <v>1632</v>
      </c>
      <c r="C31" s="26" t="s">
        <v>6068</v>
      </c>
      <c r="D31" s="26" t="s">
        <v>5969</v>
      </c>
      <c r="E31" s="1253">
        <v>1</v>
      </c>
      <c r="F31" s="1248">
        <v>1</v>
      </c>
    </row>
    <row r="32" spans="1:6">
      <c r="A32" s="26" t="s">
        <v>1028</v>
      </c>
      <c r="B32" s="711">
        <v>1633</v>
      </c>
      <c r="C32" s="26" t="s">
        <v>6068</v>
      </c>
      <c r="D32" s="26" t="s">
        <v>5969</v>
      </c>
      <c r="E32" s="1253">
        <v>1</v>
      </c>
      <c r="F32" s="1248">
        <v>1</v>
      </c>
    </row>
    <row r="33" spans="1:6" s="610" customFormat="1">
      <c r="A33" s="26" t="s">
        <v>3600</v>
      </c>
      <c r="B33" s="711">
        <v>1634</v>
      </c>
      <c r="C33" s="26" t="s">
        <v>6068</v>
      </c>
      <c r="D33" s="26" t="s">
        <v>5969</v>
      </c>
      <c r="E33" s="1253">
        <v>1</v>
      </c>
      <c r="F33" s="1248">
        <v>1</v>
      </c>
    </row>
    <row r="34" spans="1:6" s="610" customFormat="1">
      <c r="A34" s="26" t="s">
        <v>2961</v>
      </c>
      <c r="B34" s="711">
        <v>1640</v>
      </c>
      <c r="C34" s="26" t="s">
        <v>6068</v>
      </c>
      <c r="D34" s="26" t="s">
        <v>5969</v>
      </c>
      <c r="E34" s="1253">
        <v>1</v>
      </c>
      <c r="F34" s="1248">
        <v>1</v>
      </c>
    </row>
    <row r="35" spans="1:6" s="610" customFormat="1">
      <c r="A35" s="26" t="s">
        <v>2960</v>
      </c>
      <c r="B35" s="711">
        <v>1646</v>
      </c>
      <c r="C35" s="26" t="s">
        <v>6068</v>
      </c>
      <c r="D35" s="26" t="s">
        <v>5969</v>
      </c>
      <c r="E35" s="1253">
        <v>1.4236651327013199</v>
      </c>
      <c r="F35" s="1248">
        <v>1.4236651327013199</v>
      </c>
    </row>
    <row r="36" spans="1:6" s="610" customFormat="1">
      <c r="A36" s="26" t="s">
        <v>3034</v>
      </c>
      <c r="B36" s="711">
        <v>1647</v>
      </c>
      <c r="C36" s="26" t="s">
        <v>6068</v>
      </c>
      <c r="D36" s="26" t="s">
        <v>5969</v>
      </c>
      <c r="E36" s="1253">
        <v>1.8512209211487201</v>
      </c>
      <c r="F36" s="1248">
        <v>1.8512209211487201</v>
      </c>
    </row>
    <row r="37" spans="1:6">
      <c r="A37" s="26" t="s">
        <v>3036</v>
      </c>
      <c r="B37" s="711">
        <v>1648</v>
      </c>
      <c r="C37" s="26" t="s">
        <v>6068</v>
      </c>
      <c r="D37" s="26" t="s">
        <v>5969</v>
      </c>
      <c r="E37" s="1253">
        <v>1.8512209211487201</v>
      </c>
      <c r="F37" s="1248">
        <v>1.8512209211487201</v>
      </c>
    </row>
    <row r="38" spans="1:6" s="611" customFormat="1">
      <c r="A38" s="26" t="s">
        <v>4795</v>
      </c>
      <c r="B38" s="711">
        <v>1649</v>
      </c>
      <c r="C38" s="26" t="s">
        <v>6068</v>
      </c>
      <c r="D38" s="26" t="s">
        <v>5969</v>
      </c>
      <c r="E38" s="1253">
        <v>1.8512209211487201</v>
      </c>
      <c r="F38" s="1248">
        <v>1.8512209211487201</v>
      </c>
    </row>
    <row r="39" spans="1:6" s="611" customFormat="1">
      <c r="A39" s="26" t="s">
        <v>3035</v>
      </c>
      <c r="B39" s="711">
        <v>1650</v>
      </c>
      <c r="C39" s="26" t="s">
        <v>6068</v>
      </c>
      <c r="D39" s="26" t="s">
        <v>5969</v>
      </c>
      <c r="E39" s="1253">
        <v>1.8512209211487201</v>
      </c>
      <c r="F39" s="1248">
        <v>1.8512209211487201</v>
      </c>
    </row>
    <row r="40" spans="1:6">
      <c r="A40" s="26" t="s">
        <v>1325</v>
      </c>
      <c r="B40" s="711">
        <v>1651</v>
      </c>
      <c r="C40" s="26" t="s">
        <v>6068</v>
      </c>
      <c r="D40" s="26" t="s">
        <v>5968</v>
      </c>
      <c r="E40" s="1253">
        <v>1</v>
      </c>
      <c r="F40" s="1248">
        <v>1</v>
      </c>
    </row>
    <row r="41" spans="1:6">
      <c r="A41" s="26" t="s">
        <v>3037</v>
      </c>
      <c r="B41" s="711">
        <v>1654</v>
      </c>
      <c r="C41" s="26" t="s">
        <v>3728</v>
      </c>
      <c r="D41" s="26" t="s">
        <v>5969</v>
      </c>
      <c r="E41" s="1253">
        <v>2.4105804614491899</v>
      </c>
      <c r="F41" s="1248">
        <v>2.4105804614491899</v>
      </c>
    </row>
    <row r="42" spans="1:6">
      <c r="A42" s="26" t="s">
        <v>1029</v>
      </c>
      <c r="B42" s="711">
        <v>1655</v>
      </c>
      <c r="C42" s="26" t="s">
        <v>3728</v>
      </c>
      <c r="D42" s="26" t="s">
        <v>5969</v>
      </c>
      <c r="E42" s="1253">
        <v>2.6420550494661601</v>
      </c>
      <c r="F42" s="1248">
        <v>2.6420550494661601</v>
      </c>
    </row>
    <row r="43" spans="1:6" s="608" customFormat="1">
      <c r="A43" s="26" t="s">
        <v>4945</v>
      </c>
      <c r="B43" s="711">
        <v>1656</v>
      </c>
      <c r="C43" s="26" t="s">
        <v>3728</v>
      </c>
      <c r="D43" s="26" t="s">
        <v>5969</v>
      </c>
      <c r="E43" s="1253">
        <v>4.7606397201958996</v>
      </c>
      <c r="F43" s="1248">
        <v>4.7606397201958996</v>
      </c>
    </row>
    <row r="44" spans="1:6" s="608" customFormat="1">
      <c r="A44" s="26" t="s">
        <v>1352</v>
      </c>
      <c r="B44" s="711">
        <v>1657</v>
      </c>
      <c r="C44" s="26" t="s">
        <v>6068</v>
      </c>
      <c r="D44" s="26" t="s">
        <v>5968</v>
      </c>
      <c r="E44" s="1253">
        <v>1</v>
      </c>
      <c r="F44" s="1248">
        <v>1</v>
      </c>
    </row>
    <row r="45" spans="1:6" s="608" customFormat="1">
      <c r="A45" s="26" t="s">
        <v>6079</v>
      </c>
      <c r="B45" s="711">
        <v>1660</v>
      </c>
      <c r="C45" s="26" t="s">
        <v>3728</v>
      </c>
      <c r="D45" s="26" t="s">
        <v>5969</v>
      </c>
      <c r="E45" s="1253">
        <v>2.6420550494661601</v>
      </c>
      <c r="F45" s="1248">
        <v>2.6420550494661601</v>
      </c>
    </row>
    <row r="46" spans="1:6">
      <c r="A46" s="26" t="s">
        <v>6080</v>
      </c>
      <c r="B46" s="711">
        <v>1661</v>
      </c>
      <c r="C46" s="26" t="s">
        <v>3728</v>
      </c>
      <c r="D46" s="26" t="s">
        <v>5969</v>
      </c>
      <c r="E46" s="1253">
        <v>2.6420550494661601</v>
      </c>
      <c r="F46" s="1248">
        <v>2.6420550494661601</v>
      </c>
    </row>
    <row r="47" spans="1:6">
      <c r="A47" s="26" t="s">
        <v>6081</v>
      </c>
      <c r="B47" s="711">
        <v>1662</v>
      </c>
      <c r="C47" s="26" t="s">
        <v>3728</v>
      </c>
      <c r="D47" s="26" t="s">
        <v>5969</v>
      </c>
      <c r="E47" s="1253">
        <v>2.6420550494661601</v>
      </c>
      <c r="F47" s="1248">
        <v>2.6420550494661601</v>
      </c>
    </row>
    <row r="48" spans="1:6">
      <c r="A48" s="26" t="s">
        <v>6082</v>
      </c>
      <c r="B48" s="711">
        <v>1663</v>
      </c>
      <c r="C48" s="26" t="s">
        <v>3728</v>
      </c>
      <c r="D48" s="26" t="s">
        <v>5969</v>
      </c>
      <c r="E48" s="1253">
        <v>2.6420550494661601</v>
      </c>
      <c r="F48" s="1248">
        <v>2.6420550494661601</v>
      </c>
    </row>
    <row r="49" spans="1:6">
      <c r="A49" s="26" t="s">
        <v>4946</v>
      </c>
      <c r="B49" s="711">
        <v>1667</v>
      </c>
      <c r="C49" s="26" t="s">
        <v>3728</v>
      </c>
      <c r="D49" s="26" t="s">
        <v>5969</v>
      </c>
      <c r="E49" s="1253">
        <v>4.7606397201958996</v>
      </c>
      <c r="F49" s="1248">
        <v>4.7606397201958996</v>
      </c>
    </row>
    <row r="50" spans="1:6">
      <c r="A50" s="26" t="s">
        <v>6083</v>
      </c>
      <c r="B50" s="711">
        <v>1668</v>
      </c>
      <c r="C50" s="26" t="s">
        <v>3728</v>
      </c>
      <c r="D50" s="26" t="s">
        <v>5969</v>
      </c>
      <c r="E50" s="1253">
        <v>2.4105804614491899</v>
      </c>
      <c r="F50" s="1248">
        <v>2.4105804614491899</v>
      </c>
    </row>
    <row r="51" spans="1:6">
      <c r="A51" s="26" t="s">
        <v>6084</v>
      </c>
      <c r="B51" s="711">
        <v>1669</v>
      </c>
      <c r="C51" s="26" t="s">
        <v>3728</v>
      </c>
      <c r="D51" s="26" t="s">
        <v>5969</v>
      </c>
      <c r="E51" s="1253">
        <v>3.8</v>
      </c>
      <c r="F51" s="1248">
        <v>3.8</v>
      </c>
    </row>
    <row r="52" spans="1:6">
      <c r="A52" s="26" t="s">
        <v>4296</v>
      </c>
      <c r="B52" s="711">
        <v>1670</v>
      </c>
      <c r="C52" s="26" t="s">
        <v>6068</v>
      </c>
      <c r="D52" s="26" t="s">
        <v>5968</v>
      </c>
      <c r="E52" s="1253">
        <v>1</v>
      </c>
      <c r="F52" s="1248">
        <v>1</v>
      </c>
    </row>
    <row r="53" spans="1:6">
      <c r="A53" s="26" t="s">
        <v>3038</v>
      </c>
      <c r="B53" s="711">
        <v>1671</v>
      </c>
      <c r="C53" s="26" t="s">
        <v>3728</v>
      </c>
      <c r="D53" s="26" t="s">
        <v>5969</v>
      </c>
      <c r="E53" s="1253">
        <v>3.24497384936226</v>
      </c>
      <c r="F53" s="1248">
        <v>3.24497384936226</v>
      </c>
    </row>
    <row r="54" spans="1:6">
      <c r="A54" s="26" t="s">
        <v>50</v>
      </c>
      <c r="B54" s="711">
        <v>1674</v>
      </c>
      <c r="C54" s="26" t="s">
        <v>3728</v>
      </c>
      <c r="D54" s="26" t="s">
        <v>5969</v>
      </c>
      <c r="E54" s="1253">
        <v>4.0031577847631699</v>
      </c>
      <c r="F54" s="1248">
        <v>4.0031577847631699</v>
      </c>
    </row>
    <row r="55" spans="1:6">
      <c r="A55" s="26" t="s">
        <v>4561</v>
      </c>
      <c r="B55" s="711">
        <v>1675</v>
      </c>
      <c r="C55" s="26" t="s">
        <v>3728</v>
      </c>
      <c r="D55" s="26" t="s">
        <v>5969</v>
      </c>
      <c r="E55" s="1253">
        <v>3.4668410256534798</v>
      </c>
      <c r="F55" s="1248">
        <v>3.4668410256534798</v>
      </c>
    </row>
    <row r="56" spans="1:6">
      <c r="A56" s="26" t="s">
        <v>6085</v>
      </c>
      <c r="B56" s="711">
        <v>1676</v>
      </c>
      <c r="C56" s="26" t="s">
        <v>3728</v>
      </c>
      <c r="D56" s="26" t="s">
        <v>5969</v>
      </c>
      <c r="E56" s="1253">
        <v>3.4668410256534798</v>
      </c>
      <c r="F56" s="1248">
        <v>3.4668410256534798</v>
      </c>
    </row>
    <row r="57" spans="1:6">
      <c r="A57" s="26" t="s">
        <v>6086</v>
      </c>
      <c r="B57" s="711">
        <v>1681</v>
      </c>
      <c r="C57" s="26" t="s">
        <v>3728</v>
      </c>
      <c r="D57" s="26" t="s">
        <v>5969</v>
      </c>
      <c r="E57" s="1253">
        <v>3.4668410256534798</v>
      </c>
      <c r="F57" s="1248">
        <v>3.4668410256534798</v>
      </c>
    </row>
    <row r="58" spans="1:6">
      <c r="A58" s="853" t="s">
        <v>6087</v>
      </c>
      <c r="B58" s="855">
        <v>1683</v>
      </c>
      <c r="C58" s="853" t="s">
        <v>3728</v>
      </c>
      <c r="D58" s="853" t="s">
        <v>5969</v>
      </c>
      <c r="E58" s="1253">
        <v>3.4668410256534798</v>
      </c>
      <c r="F58" s="1248">
        <v>3.4668410256534798</v>
      </c>
    </row>
    <row r="59" spans="1:6" s="856" customFormat="1">
      <c r="A59" s="853" t="s">
        <v>7149</v>
      </c>
      <c r="B59" s="855">
        <v>1864</v>
      </c>
      <c r="C59" s="853" t="s">
        <v>4563</v>
      </c>
      <c r="D59" s="853" t="s">
        <v>5969</v>
      </c>
      <c r="E59" s="1253">
        <v>0.54347826086956497</v>
      </c>
      <c r="F59" s="1248">
        <v>0.54347826086956497</v>
      </c>
    </row>
    <row r="60" spans="1:6">
      <c r="A60" s="853" t="s">
        <v>7169</v>
      </c>
      <c r="B60" s="855">
        <v>1872</v>
      </c>
      <c r="C60" s="853" t="s">
        <v>4563</v>
      </c>
      <c r="D60" s="853" t="s">
        <v>5969</v>
      </c>
      <c r="E60" s="1253">
        <v>1</v>
      </c>
      <c r="F60" s="1248">
        <v>1</v>
      </c>
    </row>
    <row r="61" spans="1:6">
      <c r="A61" s="857" t="s">
        <v>7170</v>
      </c>
      <c r="B61" s="863">
        <v>1874</v>
      </c>
      <c r="C61" s="857" t="s">
        <v>4563</v>
      </c>
      <c r="D61" s="857" t="s">
        <v>5969</v>
      </c>
      <c r="E61" s="1254">
        <v>1.8512209211487201</v>
      </c>
      <c r="F61" s="1255">
        <v>1.8512209211487201</v>
      </c>
    </row>
  </sheetData>
  <hyperlinks>
    <hyperlink ref="E3" location="forest_efp!A1" display="forest_efp"/>
    <hyperlink ref="F3" location="forest_trade!A1" display="forest_trade"/>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enableFormatConditionsCalculation="0">
    <tabColor theme="8"/>
  </sheetPr>
  <dimension ref="A1:F8"/>
  <sheetViews>
    <sheetView workbookViewId="0">
      <selection activeCell="A65536" sqref="A65536"/>
    </sheetView>
  </sheetViews>
  <sheetFormatPr baseColWidth="10" defaultColWidth="9.1640625" defaultRowHeight="12" x14ac:dyDescent="0"/>
  <cols>
    <col min="1" max="1" width="20" style="608" customWidth="1"/>
    <col min="2" max="2" width="34.6640625" style="608" customWidth="1"/>
    <col min="3" max="3" width="17.83203125" style="608" customWidth="1"/>
    <col min="4" max="4" width="15" style="608" customWidth="1"/>
    <col min="5" max="5" width="10.6640625" style="608" customWidth="1"/>
    <col min="6" max="7" width="9.1640625" style="608"/>
    <col min="8" max="8" width="13.5" style="608" bestFit="1" customWidth="1"/>
    <col min="9" max="9" width="12.6640625" style="608" bestFit="1" customWidth="1"/>
    <col min="10" max="16384" width="9.1640625" style="608"/>
  </cols>
  <sheetData>
    <row r="1" spans="1:6">
      <c r="A1" s="53"/>
    </row>
    <row r="2" spans="1:6">
      <c r="A2" s="53"/>
      <c r="C2" s="605" t="s">
        <v>1005</v>
      </c>
      <c r="D2" s="608" t="s">
        <v>6363</v>
      </c>
    </row>
    <row r="3" spans="1:6">
      <c r="A3" s="53"/>
      <c r="C3" s="609" t="s">
        <v>1006</v>
      </c>
      <c r="D3" s="1064" t="s">
        <v>3366</v>
      </c>
      <c r="E3" s="1064" t="s">
        <v>7131</v>
      </c>
      <c r="F3" s="1064" t="s">
        <v>3369</v>
      </c>
    </row>
    <row r="4" spans="1:6">
      <c r="A4" s="53"/>
    </row>
    <row r="5" spans="1:6">
      <c r="A5" s="379" t="s">
        <v>2036</v>
      </c>
      <c r="B5" s="380" t="s">
        <v>4929</v>
      </c>
      <c r="C5" s="387" t="s">
        <v>8464</v>
      </c>
    </row>
    <row r="6" spans="1:6">
      <c r="A6" s="1575" t="s">
        <v>548</v>
      </c>
      <c r="B6" s="385" t="s">
        <v>548</v>
      </c>
      <c r="C6" s="1576" t="s">
        <v>6361</v>
      </c>
    </row>
    <row r="7" spans="1:6">
      <c r="A7" s="741" t="s">
        <v>8463</v>
      </c>
      <c r="B7" s="741" t="str">
        <f>COUNTRY</f>
        <v>United States of America</v>
      </c>
      <c r="C7" s="1577">
        <v>2.2584848992469699</v>
      </c>
    </row>
    <row r="8" spans="1:6">
      <c r="A8" s="521" t="s">
        <v>8463</v>
      </c>
      <c r="B8" s="521" t="s">
        <v>3094</v>
      </c>
      <c r="C8" s="1578">
        <v>1.8187832659094201</v>
      </c>
    </row>
  </sheetData>
  <hyperlinks>
    <hyperlink ref="F3" location="yf" display="yf"/>
    <hyperlink ref="D3" location="forest_efp!A1" display="forest_efp"/>
    <hyperlink ref="E3" location="forest_trade!A1" display="forest_trade"/>
  </hyperlinks>
  <pageMargins left="0.75" right="0.75" top="1" bottom="1" header="0.5" footer="0.5"/>
  <pageSetup orientation="portrait"/>
  <headerFooter alignWithMargins="0"/>
  <drawing r:id="rId1"/>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rgb="FFC60C13"/>
    <pageSetUpPr autoPageBreaks="0"/>
  </sheetPr>
  <dimension ref="A1:G7"/>
  <sheetViews>
    <sheetView workbookViewId="0">
      <selection activeCell="A65536" sqref="A65536"/>
    </sheetView>
  </sheetViews>
  <sheetFormatPr baseColWidth="10" defaultColWidth="9.1640625" defaultRowHeight="12.75" customHeight="1" x14ac:dyDescent="0"/>
  <cols>
    <col min="1" max="1" width="50.6640625" style="53" customWidth="1"/>
    <col min="2" max="4" width="21.6640625" style="53" customWidth="1"/>
    <col min="5" max="5" width="21.6640625" style="889" customWidth="1"/>
    <col min="6" max="6" width="11.83203125" style="53" customWidth="1"/>
    <col min="7" max="7" width="21.6640625" style="53" customWidth="1"/>
    <col min="8" max="16384" width="9.1640625" style="53"/>
  </cols>
  <sheetData>
    <row r="1" spans="1:7" ht="12.75" customHeight="1">
      <c r="B1" s="185"/>
      <c r="C1" s="185"/>
      <c r="D1" s="185"/>
      <c r="E1" s="185"/>
      <c r="F1" s="185"/>
      <c r="G1" s="185"/>
    </row>
    <row r="2" spans="1:7" ht="12.75" customHeight="1">
      <c r="B2" s="54" t="s">
        <v>1005</v>
      </c>
      <c r="C2" s="1064" t="s">
        <v>3369</v>
      </c>
      <c r="D2" s="1064" t="s">
        <v>2117</v>
      </c>
      <c r="E2" s="1064"/>
      <c r="F2" s="1064" t="s">
        <v>6348</v>
      </c>
      <c r="G2" s="1064" t="s">
        <v>6349</v>
      </c>
    </row>
    <row r="3" spans="1:7" ht="12.75" customHeight="1">
      <c r="B3" s="54" t="s">
        <v>1006</v>
      </c>
      <c r="C3" s="1064" t="s">
        <v>3370</v>
      </c>
      <c r="D3" s="1064" t="s">
        <v>1819</v>
      </c>
      <c r="E3" s="1064"/>
      <c r="F3" s="1064"/>
      <c r="G3" s="1064"/>
    </row>
    <row r="5" spans="1:7" ht="12">
      <c r="A5" s="351" t="s">
        <v>2036</v>
      </c>
      <c r="B5" s="352" t="s">
        <v>5426</v>
      </c>
      <c r="C5" s="352" t="s">
        <v>4232</v>
      </c>
      <c r="D5" s="1478" t="s">
        <v>6223</v>
      </c>
      <c r="E5" s="352" t="s">
        <v>1855</v>
      </c>
      <c r="F5" s="353" t="s">
        <v>3106</v>
      </c>
    </row>
    <row r="6" spans="1:7" ht="12">
      <c r="A6" s="354" t="s">
        <v>548</v>
      </c>
      <c r="B6" s="355" t="s">
        <v>5148</v>
      </c>
      <c r="C6" s="355" t="s">
        <v>603</v>
      </c>
      <c r="D6" s="356" t="s">
        <v>548</v>
      </c>
      <c r="E6" s="356" t="s">
        <v>606</v>
      </c>
      <c r="F6" s="337" t="s">
        <v>732</v>
      </c>
    </row>
    <row r="7" spans="1:7" ht="12">
      <c r="A7" s="134" t="s">
        <v>3671</v>
      </c>
      <c r="B7" s="263">
        <f>IF(bioproductive_area!D11&gt;0,bioproductive_area!D11,(IF(bioproductive_area!D20&gt;0,bioproductive_area!D20,IF(bioproductive_area!D22&gt;0,bioproductive_area!D22,0))))*1000</f>
        <v>8596089.84375</v>
      </c>
      <c r="C7" s="264">
        <f>VLOOKUP(A7,yf,4,FALSE)</f>
        <v>1.382342939797971</v>
      </c>
      <c r="D7" s="710">
        <f>VLOOKUP(A7,iyf,2,FALSE)</f>
        <v>1</v>
      </c>
      <c r="E7" s="264">
        <f>VLOOKUP(A7,eqf,2,FALSE)</f>
        <v>2.5252766180478901</v>
      </c>
      <c r="F7" s="265">
        <f>B7*C7*E7*D7</f>
        <v>30007215.847554568</v>
      </c>
    </row>
  </sheetData>
  <phoneticPr fontId="5" type="noConversion"/>
  <hyperlinks>
    <hyperlink ref="C3" location="ef_built!A1" tooltip="Go to ef_built" display="ef_built"/>
    <hyperlink ref="D3" location="biocap!A1" tooltip="Go to biocap" display="biocap"/>
    <hyperlink ref="C2" location="yf" tooltip="Go to yf" display="yf"/>
    <hyperlink ref="D2" location="eqf" tooltip="Go to eqf" display="eqf"/>
    <hyperlink ref="F2" location="iyf" display="iyf"/>
    <hyperlink ref="G2" location="bioproductive_area!A1" display="bioproductive_area"/>
  </hyperlinks>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4" enableFormatConditionsCalculation="0">
    <tabColor rgb="FF4D7002"/>
    <pageSetUpPr autoPageBreaks="0"/>
  </sheetPr>
  <dimension ref="A1:U13"/>
  <sheetViews>
    <sheetView workbookViewId="0">
      <selection activeCell="A65536" sqref="A65536"/>
    </sheetView>
  </sheetViews>
  <sheetFormatPr baseColWidth="10" defaultColWidth="9.1640625" defaultRowHeight="12.75" customHeight="1" x14ac:dyDescent="0"/>
  <cols>
    <col min="1" max="1" width="50.6640625" style="53" customWidth="1"/>
    <col min="2" max="2" width="21.6640625" style="53" customWidth="1"/>
    <col min="3" max="3" width="9" style="53" customWidth="1"/>
    <col min="4" max="4" width="8.6640625" style="53" customWidth="1"/>
    <col min="5" max="5" width="11.1640625" style="53" customWidth="1"/>
    <col min="6" max="6" width="8" style="53" customWidth="1"/>
    <col min="7" max="7" width="9.6640625" style="53" customWidth="1"/>
    <col min="8" max="8" width="19.83203125" style="53" customWidth="1"/>
    <col min="9" max="9" width="14.1640625" style="53" customWidth="1"/>
    <col min="10" max="10" width="14.83203125" style="53" customWidth="1"/>
    <col min="11" max="11" width="14" style="53" customWidth="1"/>
    <col min="12" max="12" width="13.33203125" style="53" customWidth="1"/>
    <col min="13" max="13" width="17" style="53" customWidth="1"/>
    <col min="14" max="14" width="17.6640625" style="53" customWidth="1"/>
    <col min="15" max="15" width="9" style="53" customWidth="1"/>
    <col min="16" max="16" width="10.6640625" style="53" customWidth="1"/>
    <col min="17" max="17" width="15.33203125" style="53" customWidth="1"/>
    <col min="18" max="18" width="9" style="53" customWidth="1"/>
    <col min="19" max="19" width="21.5" style="53" customWidth="1"/>
    <col min="20" max="20" width="21" style="53" customWidth="1"/>
    <col min="21" max="21" width="16.5" style="53" customWidth="1"/>
    <col min="22" max="16384" width="9.1640625" style="53"/>
  </cols>
  <sheetData>
    <row r="1" spans="1:21" ht="12.75" customHeight="1">
      <c r="B1" s="185"/>
      <c r="C1" s="185"/>
      <c r="D1" s="185"/>
      <c r="E1" s="185"/>
      <c r="F1" s="185"/>
      <c r="G1" s="185"/>
      <c r="H1" s="185"/>
      <c r="I1" s="185"/>
      <c r="J1" s="185"/>
      <c r="K1" s="185"/>
      <c r="L1" s="185"/>
      <c r="M1" s="185"/>
      <c r="N1" s="185"/>
      <c r="O1" s="125"/>
      <c r="P1" s="125"/>
    </row>
    <row r="2" spans="1:21" ht="12.75" customHeight="1">
      <c r="B2" s="54" t="s">
        <v>1005</v>
      </c>
      <c r="C2" s="184" t="s">
        <v>1813</v>
      </c>
      <c r="D2" s="185"/>
      <c r="E2" s="185"/>
      <c r="F2" s="185"/>
    </row>
    <row r="3" spans="1:21" ht="12.75" customHeight="1">
      <c r="B3" s="54" t="s">
        <v>1006</v>
      </c>
      <c r="C3" s="1064" t="s">
        <v>1819</v>
      </c>
      <c r="D3" s="1064" t="s">
        <v>3362</v>
      </c>
      <c r="E3" s="1064" t="s">
        <v>1008</v>
      </c>
      <c r="F3" s="1064" t="s">
        <v>2118</v>
      </c>
      <c r="G3" s="1064" t="s">
        <v>7132</v>
      </c>
      <c r="H3" s="1064" t="s">
        <v>2</v>
      </c>
      <c r="I3" s="1064" t="s">
        <v>3</v>
      </c>
      <c r="J3" s="1064" t="s">
        <v>1818</v>
      </c>
      <c r="K3" s="1064" t="s">
        <v>1835</v>
      </c>
      <c r="L3" s="1064" t="s">
        <v>1836</v>
      </c>
      <c r="M3" s="1064" t="s">
        <v>1837</v>
      </c>
      <c r="N3" s="1064" t="s">
        <v>1838</v>
      </c>
      <c r="O3" s="1064" t="s">
        <v>3366</v>
      </c>
      <c r="P3" s="1064" t="s">
        <v>7131</v>
      </c>
      <c r="Q3" s="1064" t="s">
        <v>3372</v>
      </c>
      <c r="R3" s="1064" t="s">
        <v>3373</v>
      </c>
      <c r="S3" s="1064" t="s">
        <v>5421</v>
      </c>
      <c r="T3" s="1064" t="s">
        <v>5262</v>
      </c>
      <c r="U3" s="1064" t="s">
        <v>5419</v>
      </c>
    </row>
    <row r="5" spans="1:21" ht="12">
      <c r="A5" s="357" t="s">
        <v>2793</v>
      </c>
      <c r="B5" s="395" t="s">
        <v>605</v>
      </c>
    </row>
    <row r="6" spans="1:21" ht="12">
      <c r="A6" s="359" t="s">
        <v>548</v>
      </c>
      <c r="B6" s="360" t="s">
        <v>4969</v>
      </c>
    </row>
    <row r="7" spans="1:21" ht="12">
      <c r="A7" s="273" t="s">
        <v>6387</v>
      </c>
      <c r="B7" s="1130">
        <v>2.5252766180478901</v>
      </c>
    </row>
    <row r="8" spans="1:21" ht="12">
      <c r="A8" s="127" t="s">
        <v>2925</v>
      </c>
      <c r="B8" s="1184">
        <v>1.2941439511867201</v>
      </c>
    </row>
    <row r="9" spans="1:21" ht="12">
      <c r="A9" s="127" t="s">
        <v>908</v>
      </c>
      <c r="B9" s="1184">
        <v>0.45647944663940498</v>
      </c>
    </row>
    <row r="10" spans="1:21" ht="12">
      <c r="A10" s="127" t="s">
        <v>6384</v>
      </c>
      <c r="B10" s="1184">
        <v>0.367192066876738</v>
      </c>
    </row>
    <row r="11" spans="1:21" ht="12">
      <c r="A11" s="127" t="s">
        <v>3671</v>
      </c>
      <c r="B11" s="1184">
        <f>B7</f>
        <v>2.5252766180478901</v>
      </c>
    </row>
    <row r="12" spans="1:21" ht="12">
      <c r="A12" s="127" t="s">
        <v>6385</v>
      </c>
      <c r="B12" s="1184">
        <f>B10</f>
        <v>0.367192066876738</v>
      </c>
    </row>
    <row r="13" spans="1:21" ht="12.75" customHeight="1">
      <c r="A13" s="274" t="s">
        <v>4210</v>
      </c>
      <c r="B13" s="1185">
        <f>B8</f>
        <v>1.2941439511867201</v>
      </c>
    </row>
  </sheetData>
  <phoneticPr fontId="5" type="noConversion"/>
  <hyperlinks>
    <hyperlink ref="H3" location="market_feed_supply_n!A1" tooltip="Go to market_feed_supply_n" display="market_feed_supply_n"/>
    <hyperlink ref="I3" location="grass_supply_n!A1" tooltip="Go to grass_supply_n" display="grass_supply_n"/>
    <hyperlink ref="C3" location="biocap!A1" tooltip="Go to biocap" display="biocap"/>
    <hyperlink ref="F3" location="crop_efp!A1" tooltip="Got to crop_efp" display="crop_efp"/>
    <hyperlink ref="G3" location="crop_trade!A1" tooltip="Go to crop_efi" display="crop_trade"/>
    <hyperlink ref="D3" location="fossil_efp!A1" tooltip="Go to fossil_efp" display="fossil_efp"/>
    <hyperlink ref="E3" location="cnst_carbon!A1" tooltip="Go to cnst_carbon" display="cnst_carbon"/>
    <hyperlink ref="J3" location="feed_intensity_w!A1" tooltip="Go to feed_intensity_w" display="feed_intensity_w"/>
    <hyperlink ref="K3" location="fish_marine_efp!A1" tooltip="Go to fish_marine_efp" display="fish_marine_efp"/>
    <hyperlink ref="L3" location="fish_inland_efp!A1" tooltip="Go to fish_inland_efp" display="fish_inland_efp"/>
    <hyperlink ref="M3" location="fish_commodity_efi!A1" tooltip="Go to fish_commodity_efi" display="fish_commodity_efi"/>
    <hyperlink ref="N3" location="fish_commodity_efe!A1" tooltip="Go to fish_commodity_efe" display="fish_commodity_efe"/>
    <hyperlink ref="P3" location="forest_trade!A1" tooltip="Go to forest_efi" display="forest_trade"/>
    <hyperlink ref="O3" location="forest_efp!A1" tooltip="Go to forest_efp" display="forest_efp"/>
    <hyperlink ref="Q3" location="infrastructure_efp!A1" tooltip="Go to infrastructure_efp" display="infrastructure_efp"/>
    <hyperlink ref="R3" location="hydro_efp!A1" tooltip="Go to hyfro_efp" display="hydro_efp"/>
    <hyperlink ref="S3" location="fish_feed_group_yield_w!A1" display="fish_feed_group_yield_w"/>
    <hyperlink ref="T3" location="fish_feed_group_yield_n!A1" display="fish_feed_group_yield_n"/>
    <hyperlink ref="U3" location="aquaculture_yields!A1" display="aquaculture_yields"/>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5" enableFormatConditionsCalculation="0">
    <tabColor rgb="FF4D7002"/>
    <pageSetUpPr autoPageBreaks="0"/>
  </sheetPr>
  <dimension ref="A1:F12"/>
  <sheetViews>
    <sheetView workbookViewId="0">
      <selection activeCell="A65536" sqref="A65536"/>
    </sheetView>
  </sheetViews>
  <sheetFormatPr baseColWidth="10" defaultColWidth="9.1640625" defaultRowHeight="12.75" customHeight="1" x14ac:dyDescent="0"/>
  <cols>
    <col min="1" max="1" width="50.6640625" style="53" customWidth="1"/>
    <col min="2" max="6" width="21.6640625" style="53" customWidth="1"/>
    <col min="7" max="16384" width="9.1640625" style="53"/>
  </cols>
  <sheetData>
    <row r="1" spans="1:6" ht="12.75" customHeight="1">
      <c r="B1" s="185"/>
      <c r="C1" s="185"/>
      <c r="D1" s="185"/>
      <c r="E1" s="185"/>
      <c r="F1" s="185"/>
    </row>
    <row r="2" spans="1:6" ht="12.75" customHeight="1">
      <c r="B2" s="54" t="s">
        <v>1005</v>
      </c>
      <c r="C2" s="1064" t="s">
        <v>4</v>
      </c>
      <c r="D2" s="1064" t="s">
        <v>6346</v>
      </c>
      <c r="E2" s="1064" t="s">
        <v>7811</v>
      </c>
      <c r="F2" s="1064" t="s">
        <v>6347</v>
      </c>
    </row>
    <row r="3" spans="1:6" ht="12.75" customHeight="1">
      <c r="B3" s="54" t="s">
        <v>1006</v>
      </c>
      <c r="C3" s="1064" t="s">
        <v>1819</v>
      </c>
      <c r="D3" s="1064" t="s">
        <v>3372</v>
      </c>
      <c r="E3" s="1064"/>
      <c r="F3" s="1064"/>
    </row>
    <row r="4" spans="1:6" ht="12.75" customHeight="1">
      <c r="D4" s="185"/>
    </row>
    <row r="5" spans="1:6" ht="12">
      <c r="A5" s="357" t="s">
        <v>2793</v>
      </c>
      <c r="B5" s="345" t="s">
        <v>2959</v>
      </c>
      <c r="C5" s="345" t="s">
        <v>1039</v>
      </c>
      <c r="D5" s="395" t="s">
        <v>4232</v>
      </c>
    </row>
    <row r="6" spans="1:6" ht="12">
      <c r="A6" s="359" t="s">
        <v>548</v>
      </c>
      <c r="B6" s="349" t="s">
        <v>604</v>
      </c>
      <c r="C6" s="349" t="s">
        <v>3374</v>
      </c>
      <c r="D6" s="360" t="s">
        <v>603</v>
      </c>
    </row>
    <row r="7" spans="1:6" ht="12">
      <c r="A7" s="273" t="s">
        <v>6387</v>
      </c>
      <c r="B7" s="1532">
        <f>SUMPRODUCT(crop_efp!$J$7:$J$183,crop_efp!$R$7:$R$183)/SUM(crop_efp!$D$7:$D$183)</f>
        <v>0.14718756366387389</v>
      </c>
      <c r="C7" s="1532">
        <f>SUM(crop_efp!$J$7:$J$183)/SUM(crop_efp!$D$7:$D$183)</f>
        <v>0.10647688024896725</v>
      </c>
      <c r="D7" s="159">
        <f>IFERROR(VLOOKUP("TOTAL",crop_efp!$A$7:$R$185,18,FALSE),0)</f>
        <v>1.382342939797971</v>
      </c>
    </row>
    <row r="8" spans="1:6" ht="12">
      <c r="A8" s="127" t="s">
        <v>908</v>
      </c>
      <c r="B8" s="62">
        <f>VLOOKUP(COUNTRY,constant_grazing_npp,3,FALSE)</f>
        <v>4.4800000000000004</v>
      </c>
      <c r="C8" s="62">
        <f>VLOOKUP("world",constant_grazing_npp,3,FALSE)</f>
        <v>6.19</v>
      </c>
      <c r="D8" s="114">
        <f>IF(ISERROR(B8/C8),1,B8/C8)</f>
        <v>0.72374798061389345</v>
      </c>
    </row>
    <row r="9" spans="1:6" ht="12">
      <c r="A9" s="127" t="s">
        <v>6384</v>
      </c>
      <c r="B9" s="47">
        <f>IFERROR(VLOOKUP(COUNTRY,constant_area_shelf,5,FALSE),0)</f>
        <v>533.17585505494321</v>
      </c>
      <c r="C9" s="47">
        <f>VLOOKUP("World",constant_area_shelf,5,FALSE)</f>
        <v>503.83624634550057</v>
      </c>
      <c r="D9" s="114">
        <f>IF(ISERROR(B9/C9),1,B9/C9)</f>
        <v>1.0582324295289451</v>
      </c>
    </row>
    <row r="10" spans="1:6" ht="12">
      <c r="A10" s="127" t="s">
        <v>6385</v>
      </c>
      <c r="B10" s="275">
        <v>0</v>
      </c>
      <c r="C10" s="275">
        <v>0</v>
      </c>
      <c r="D10" s="902">
        <v>1</v>
      </c>
    </row>
    <row r="11" spans="1:6" ht="12">
      <c r="A11" s="127" t="s">
        <v>2925</v>
      </c>
      <c r="B11" s="117">
        <f>VLOOKUP(COUNTRY,constant_forest_increment,2,FALSE)</f>
        <v>2.2584848992469699</v>
      </c>
      <c r="C11" s="117">
        <f>VLOOKUP("World",constant_forest_increment,2,FALSE)</f>
        <v>1.8187832659094201</v>
      </c>
      <c r="D11" s="114">
        <f>IF(ISERROR(B11/C11),1,B11/C11)</f>
        <v>1.2417559263817464</v>
      </c>
    </row>
    <row r="12" spans="1:6" ht="12">
      <c r="A12" s="274" t="s">
        <v>3671</v>
      </c>
      <c r="B12" s="276">
        <v>0</v>
      </c>
      <c r="C12" s="276">
        <v>0</v>
      </c>
      <c r="D12" s="133">
        <f>D7</f>
        <v>1.382342939797971</v>
      </c>
    </row>
  </sheetData>
  <phoneticPr fontId="5" type="noConversion"/>
  <conditionalFormatting sqref="B9">
    <cfRule type="cellIs" dxfId="0" priority="1" stopIfTrue="1" operator="equal">
      <formula>0</formula>
    </cfRule>
  </conditionalFormatting>
  <hyperlinks>
    <hyperlink ref="C3" location="biocap!A1" tooltip="Go to biocap" display="biocap"/>
    <hyperlink ref="C2" location="yf!A1" tooltip="Go to yf_crop" display="yf_crop"/>
    <hyperlink ref="D3" location="infrastructure_efp!A1" tooltip="Go to infrastructure_efp" display="infrastructure_efp"/>
    <hyperlink ref="D2" location="constant_forest_increment" display="constant_forest_increment"/>
    <hyperlink ref="E2" location="constant_area_shelf" display="constant_area_shelf"/>
    <hyperlink ref="F2" location="constant_grazing_npp" display="constant_grazing_npp"/>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enableFormatConditionsCalculation="0">
    <tabColor rgb="FF4D7002"/>
  </sheetPr>
  <dimension ref="A1:O12"/>
  <sheetViews>
    <sheetView workbookViewId="0">
      <selection activeCell="A65536" sqref="A65536"/>
    </sheetView>
  </sheetViews>
  <sheetFormatPr baseColWidth="10" defaultColWidth="9.1640625" defaultRowHeight="12" x14ac:dyDescent="0"/>
  <cols>
    <col min="1" max="1" width="50.6640625" style="53" customWidth="1"/>
    <col min="2" max="2" width="25" style="53" customWidth="1"/>
    <col min="3" max="3" width="9" style="53" customWidth="1"/>
    <col min="4" max="4" width="15.33203125" style="53" customWidth="1"/>
    <col min="5" max="5" width="19.83203125" style="53" customWidth="1"/>
    <col min="6" max="6" width="8.6640625" style="53" customWidth="1"/>
    <col min="7" max="7" width="8" style="53" customWidth="1"/>
    <col min="8" max="8" width="9.6640625" style="53" customWidth="1"/>
    <col min="9" max="9" width="14.83203125" style="53" customWidth="1"/>
    <col min="10" max="10" width="14" style="53" customWidth="1"/>
    <col min="11" max="11" width="13.33203125" style="53" customWidth="1"/>
    <col min="12" max="12" width="17" style="53" customWidth="1"/>
    <col min="13" max="13" width="17.6640625" style="53" customWidth="1"/>
    <col min="14" max="14" width="9" style="53" customWidth="1"/>
    <col min="15" max="15" width="10.6640625" style="53" customWidth="1"/>
    <col min="16" max="16384" width="9.1640625" style="53"/>
  </cols>
  <sheetData>
    <row r="1" spans="1:15" ht="12.75" customHeight="1">
      <c r="B1" s="185"/>
      <c r="C1" s="185"/>
      <c r="D1" s="185"/>
      <c r="E1" s="185"/>
      <c r="F1" s="185"/>
      <c r="G1" s="185"/>
      <c r="H1" s="185"/>
      <c r="I1" s="185"/>
      <c r="J1" s="185"/>
      <c r="K1" s="185"/>
      <c r="L1" s="185"/>
      <c r="M1" s="185"/>
      <c r="N1" s="185"/>
      <c r="O1" s="185"/>
    </row>
    <row r="2" spans="1:15" ht="12.75" customHeight="1">
      <c r="B2" s="54" t="s">
        <v>1005</v>
      </c>
      <c r="C2" s="617" t="s">
        <v>1813</v>
      </c>
      <c r="D2" s="185"/>
      <c r="E2" s="185"/>
      <c r="F2" s="185"/>
    </row>
    <row r="3" spans="1:15" ht="12.75" customHeight="1">
      <c r="B3" s="54" t="s">
        <v>1006</v>
      </c>
      <c r="C3" s="1064" t="s">
        <v>1819</v>
      </c>
      <c r="D3" s="1064" t="s">
        <v>3372</v>
      </c>
      <c r="E3" s="1064" t="s">
        <v>2</v>
      </c>
      <c r="F3" s="1064" t="s">
        <v>3362</v>
      </c>
      <c r="G3" s="1064" t="s">
        <v>2118</v>
      </c>
      <c r="H3" s="1064" t="s">
        <v>7132</v>
      </c>
      <c r="I3" s="1064" t="s">
        <v>1818</v>
      </c>
      <c r="J3" s="1064" t="s">
        <v>1835</v>
      </c>
      <c r="K3" s="1064" t="s">
        <v>1836</v>
      </c>
      <c r="L3" s="1064" t="s">
        <v>1837</v>
      </c>
      <c r="M3" s="1064" t="s">
        <v>1838</v>
      </c>
      <c r="N3" s="1064" t="s">
        <v>3366</v>
      </c>
      <c r="O3" s="1064" t="s">
        <v>7131</v>
      </c>
    </row>
    <row r="4" spans="1:15" ht="12.75" customHeight="1">
      <c r="D4" s="185"/>
      <c r="H4" s="122"/>
    </row>
    <row r="5" spans="1:15">
      <c r="A5" s="357" t="s">
        <v>2793</v>
      </c>
      <c r="B5" s="395" t="s">
        <v>6222</v>
      </c>
      <c r="C5" s="582"/>
      <c r="D5" s="583"/>
    </row>
    <row r="6" spans="1:15">
      <c r="A6" s="359" t="s">
        <v>548</v>
      </c>
      <c r="B6" s="360" t="s">
        <v>548</v>
      </c>
      <c r="C6" s="584"/>
      <c r="D6" s="583"/>
    </row>
    <row r="7" spans="1:15">
      <c r="A7" s="127" t="s">
        <v>6387</v>
      </c>
      <c r="B7" s="1130">
        <v>1</v>
      </c>
      <c r="C7" s="581"/>
      <c r="D7" s="583"/>
    </row>
    <row r="8" spans="1:15">
      <c r="A8" s="127" t="s">
        <v>908</v>
      </c>
      <c r="B8" s="1184">
        <v>1</v>
      </c>
      <c r="C8" s="579"/>
      <c r="D8" s="583"/>
    </row>
    <row r="9" spans="1:15">
      <c r="A9" s="127" t="s">
        <v>3671</v>
      </c>
      <c r="B9" s="1184">
        <v>1</v>
      </c>
      <c r="C9" s="580"/>
      <c r="D9" s="583"/>
    </row>
    <row r="10" spans="1:15">
      <c r="A10" s="127" t="s">
        <v>2925</v>
      </c>
      <c r="B10" s="1184">
        <v>1</v>
      </c>
      <c r="C10" s="579"/>
      <c r="D10" s="583"/>
    </row>
    <row r="11" spans="1:15">
      <c r="A11" s="25" t="s">
        <v>6384</v>
      </c>
      <c r="B11" s="1184">
        <v>1</v>
      </c>
      <c r="C11" s="579"/>
      <c r="D11" s="583"/>
    </row>
    <row r="12" spans="1:15">
      <c r="A12" s="28" t="s">
        <v>6385</v>
      </c>
      <c r="B12" s="1186">
        <f>B11</f>
        <v>1</v>
      </c>
      <c r="C12" s="579"/>
      <c r="D12" s="583"/>
    </row>
  </sheetData>
  <hyperlinks>
    <hyperlink ref="C3" location="biocap!A1" tooltip="Go to biocap" display="biocap"/>
    <hyperlink ref="D3" location="infrastructure_efp!A1" tooltip="Go to infrastructure_efp" display="infrastructure_efp"/>
    <hyperlink ref="E3" location="market_feed_supply_n!A1" display="market_feed_supply_n"/>
    <hyperlink ref="F3" location="fossil_efp!A1" display="fossil_efp"/>
    <hyperlink ref="G3" location="crop_efp!A1" display="crop_efp"/>
    <hyperlink ref="H3" location="crop_trade!A1" display="crop_trade"/>
    <hyperlink ref="I3" location="feed_intensity_w!A1" display="feed_intensity_w"/>
    <hyperlink ref="J3" location="fish_marine_efp!A1" display="fish_marine_efp"/>
    <hyperlink ref="K3" location="fish_inland_efp!A1" display="fish_inland_efp"/>
    <hyperlink ref="L3" location="fish_commodity_efi!A1" display="fish_commodity_efi"/>
    <hyperlink ref="M3" location="fish_commodity_efe!A1" display="fish_commodity_efe"/>
    <hyperlink ref="N3" location="forest_efp!A1" display="forest_efp"/>
    <hyperlink ref="O3" location="forest_trade!A1" display="forest_trade"/>
  </hyperlinks>
  <pageMargins left="0.7" right="0.7" top="0.75" bottom="0.75" header="0.3" footer="0.3"/>
  <pageSetup orientation="portrait"/>
  <drawing r:id="rId1"/>
  <legacyDrawing r:id="rId2"/>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enableFormatConditionsCalculation="0">
    <tabColor rgb="FF4D7002"/>
    <pageSetUpPr autoPageBreaks="0"/>
  </sheetPr>
  <dimension ref="A1:E26"/>
  <sheetViews>
    <sheetView workbookViewId="0">
      <selection activeCell="A65536" sqref="A65536"/>
    </sheetView>
  </sheetViews>
  <sheetFormatPr baseColWidth="10" defaultColWidth="9.1640625" defaultRowHeight="12" x14ac:dyDescent="0"/>
  <cols>
    <col min="1" max="1" width="50.6640625" style="124" customWidth="1"/>
    <col min="2" max="2" width="21.6640625" style="124" customWidth="1"/>
    <col min="3" max="3" width="38.83203125" style="124" customWidth="1"/>
    <col min="4" max="4" width="21.6640625" style="56" customWidth="1"/>
    <col min="5" max="5" width="21.6640625" style="124" customWidth="1"/>
    <col min="6" max="16384" width="9.1640625" style="124"/>
  </cols>
  <sheetData>
    <row r="1" spans="1:5" s="53" customFormat="1" ht="12.75" customHeight="1">
      <c r="B1" s="185"/>
      <c r="C1" s="185"/>
      <c r="D1" s="185"/>
      <c r="E1" s="185"/>
    </row>
    <row r="2" spans="1:5" s="53" customFormat="1" ht="12.75" customHeight="1">
      <c r="B2" s="54" t="s">
        <v>1005</v>
      </c>
      <c r="C2" s="184" t="s">
        <v>1813</v>
      </c>
      <c r="D2" s="1064" t="s">
        <v>6366</v>
      </c>
      <c r="E2" s="1064" t="s">
        <v>7015</v>
      </c>
    </row>
    <row r="3" spans="1:5" s="53" customFormat="1" ht="12.75" customHeight="1">
      <c r="B3" s="54" t="s">
        <v>1006</v>
      </c>
      <c r="C3" s="1064" t="s">
        <v>1819</v>
      </c>
      <c r="D3" s="1064" t="s">
        <v>3372</v>
      </c>
      <c r="E3" s="1064"/>
    </row>
    <row r="4" spans="1:5" s="53" customFormat="1" ht="12.75" customHeight="1"/>
    <row r="5" spans="1:5">
      <c r="A5" s="357" t="s">
        <v>5147</v>
      </c>
      <c r="B5" s="361" t="s">
        <v>2644</v>
      </c>
      <c r="C5" s="361" t="s">
        <v>4191</v>
      </c>
      <c r="D5" s="358" t="s">
        <v>5426</v>
      </c>
      <c r="E5" s="395" t="s">
        <v>6395</v>
      </c>
    </row>
    <row r="6" spans="1:5">
      <c r="A6" s="362" t="s">
        <v>548</v>
      </c>
      <c r="B6" s="363" t="s">
        <v>548</v>
      </c>
      <c r="C6" s="363" t="s">
        <v>548</v>
      </c>
      <c r="D6" s="364" t="s">
        <v>1534</v>
      </c>
      <c r="E6" s="364" t="s">
        <v>1534</v>
      </c>
    </row>
    <row r="7" spans="1:5">
      <c r="A7" s="23" t="s">
        <v>5254</v>
      </c>
      <c r="B7" s="613" t="s">
        <v>6387</v>
      </c>
      <c r="C7" s="24" t="s">
        <v>4515</v>
      </c>
      <c r="D7" s="1187"/>
      <c r="E7" s="279"/>
    </row>
    <row r="8" spans="1:5">
      <c r="A8" s="25" t="s">
        <v>5254</v>
      </c>
      <c r="B8" s="520" t="s">
        <v>6390</v>
      </c>
      <c r="C8" s="26" t="s">
        <v>2317</v>
      </c>
      <c r="D8" s="1188"/>
      <c r="E8" s="279"/>
    </row>
    <row r="9" spans="1:5">
      <c r="A9" s="25" t="s">
        <v>5254</v>
      </c>
      <c r="B9" s="520" t="s">
        <v>2925</v>
      </c>
      <c r="C9" s="26" t="s">
        <v>2316</v>
      </c>
      <c r="D9" s="1188"/>
      <c r="E9" s="279"/>
    </row>
    <row r="10" spans="1:5">
      <c r="A10" s="27" t="s">
        <v>5254</v>
      </c>
      <c r="B10" s="16" t="s">
        <v>908</v>
      </c>
      <c r="C10" s="3" t="s">
        <v>4516</v>
      </c>
      <c r="D10" s="1188"/>
      <c r="E10" s="279"/>
    </row>
    <row r="11" spans="1:5">
      <c r="A11" s="28" t="s">
        <v>5254</v>
      </c>
      <c r="B11" s="29" t="s">
        <v>3671</v>
      </c>
      <c r="C11" s="29" t="s">
        <v>2615</v>
      </c>
      <c r="D11" s="1189"/>
      <c r="E11" s="279"/>
    </row>
    <row r="12" spans="1:5" ht="3" customHeight="1">
      <c r="A12" s="277"/>
      <c r="B12" s="278"/>
      <c r="C12" s="278"/>
      <c r="D12" s="677"/>
      <c r="E12" s="279"/>
    </row>
    <row r="13" spans="1:5">
      <c r="A13" s="23" t="s">
        <v>3276</v>
      </c>
      <c r="B13" s="613" t="s">
        <v>6387</v>
      </c>
      <c r="C13" s="24" t="s">
        <v>4760</v>
      </c>
      <c r="D13" s="1187">
        <v>136759.70657325399</v>
      </c>
      <c r="E13" s="1187">
        <v>1575263.14</v>
      </c>
    </row>
    <row r="14" spans="1:5">
      <c r="A14" s="25" t="s">
        <v>3276</v>
      </c>
      <c r="B14" s="520" t="s">
        <v>6390</v>
      </c>
      <c r="C14" s="26" t="s">
        <v>3523</v>
      </c>
      <c r="D14" s="1188">
        <v>68409</v>
      </c>
      <c r="E14" s="1188">
        <v>457255.1</v>
      </c>
    </row>
    <row r="15" spans="1:5">
      <c r="A15" s="25" t="s">
        <v>3276</v>
      </c>
      <c r="B15" s="520" t="s">
        <v>2925</v>
      </c>
      <c r="C15" s="26" t="s">
        <v>4611</v>
      </c>
      <c r="D15" s="1188">
        <v>309545</v>
      </c>
      <c r="E15" s="1188">
        <v>4005749.36</v>
      </c>
    </row>
    <row r="16" spans="1:5">
      <c r="A16" s="25" t="s">
        <v>3276</v>
      </c>
      <c r="B16" s="520" t="s">
        <v>908</v>
      </c>
      <c r="C16" s="26" t="s">
        <v>3277</v>
      </c>
      <c r="D16" s="1188">
        <v>251000</v>
      </c>
      <c r="E16" s="1188">
        <v>3353666</v>
      </c>
    </row>
    <row r="17" spans="1:5">
      <c r="A17" s="615" t="s">
        <v>3276</v>
      </c>
      <c r="B17" s="747" t="s">
        <v>908</v>
      </c>
      <c r="C17" s="853" t="s">
        <v>8453</v>
      </c>
      <c r="D17" s="1549">
        <v>17677.293426746299</v>
      </c>
      <c r="E17" s="1549"/>
    </row>
    <row r="18" spans="1:5">
      <c r="A18" s="28" t="s">
        <v>3276</v>
      </c>
      <c r="B18" s="29" t="s">
        <v>6359</v>
      </c>
      <c r="C18" s="521" t="s">
        <v>6360</v>
      </c>
      <c r="D18" s="1189">
        <v>914742</v>
      </c>
      <c r="E18" s="1189">
        <v>13009336.630000001</v>
      </c>
    </row>
    <row r="19" spans="1:5" ht="3" customHeight="1">
      <c r="A19" s="277"/>
      <c r="B19" s="278"/>
      <c r="C19" s="278"/>
      <c r="D19" s="677"/>
      <c r="E19" s="279"/>
    </row>
    <row r="20" spans="1:5">
      <c r="A20" s="30" t="s">
        <v>1751</v>
      </c>
      <c r="B20" s="31" t="s">
        <v>3671</v>
      </c>
      <c r="C20" s="31" t="s">
        <v>1752</v>
      </c>
      <c r="D20" s="1031">
        <v>8596.08984375</v>
      </c>
      <c r="E20" s="1017">
        <v>182242</v>
      </c>
    </row>
    <row r="21" spans="1:5" ht="3" customHeight="1">
      <c r="A21" s="277"/>
      <c r="B21" s="278"/>
      <c r="C21" s="278"/>
      <c r="D21" s="677"/>
      <c r="E21" s="279"/>
    </row>
    <row r="22" spans="1:5">
      <c r="A22" s="28" t="s">
        <v>411</v>
      </c>
      <c r="B22" s="29" t="s">
        <v>3671</v>
      </c>
      <c r="C22" s="29" t="s">
        <v>2318</v>
      </c>
      <c r="D22" s="1029">
        <v>9188.7802734375</v>
      </c>
      <c r="E22" s="1030">
        <v>3331.4599609375</v>
      </c>
    </row>
    <row r="23" spans="1:5" ht="3" customHeight="1">
      <c r="A23" s="277"/>
      <c r="B23" s="278"/>
      <c r="C23" s="278"/>
      <c r="D23" s="677"/>
      <c r="E23" s="279"/>
    </row>
    <row r="24" spans="1:5">
      <c r="A24" s="30" t="s">
        <v>4192</v>
      </c>
      <c r="B24" s="667" t="s">
        <v>6391</v>
      </c>
      <c r="C24" s="31" t="s">
        <v>4193</v>
      </c>
      <c r="D24" s="1032">
        <f>(VLOOKUP(COUNTRY,constant_area_shelf,4,FALSE)*100)/1000</f>
        <v>1024057</v>
      </c>
      <c r="E24" s="266">
        <f>(VLOOKUP("world",constant_area_shelf,4,FALSE)*100)/1000</f>
        <v>14177249.4</v>
      </c>
    </row>
    <row r="25" spans="1:5" ht="3" customHeight="1">
      <c r="A25" s="277"/>
      <c r="B25" s="278"/>
      <c r="C25" s="278"/>
      <c r="D25" s="677"/>
      <c r="E25" s="279"/>
    </row>
    <row r="26" spans="1:5">
      <c r="A26" s="30" t="s">
        <v>648</v>
      </c>
      <c r="B26" s="667" t="s">
        <v>6392</v>
      </c>
      <c r="C26" s="31" t="s">
        <v>649</v>
      </c>
      <c r="D26" s="1032">
        <f>(VLOOKUP(COUNTRY,constant_area_shelf,6,FALSE)*100)/1000</f>
        <v>206794</v>
      </c>
      <c r="E26" s="266">
        <f>(VLOOKUP("World",constant_area_shelf,6,FALSE)*100)/1000</f>
        <v>2521763.65</v>
      </c>
    </row>
  </sheetData>
  <phoneticPr fontId="5" type="noConversion"/>
  <hyperlinks>
    <hyperlink ref="C3" location="biocap!A1" tooltip="Go to biocap" display="biocap"/>
    <hyperlink ref="D3" location="infrastructure_efp!A1" tooltip="Go to infrastructure_efp" display="infrastructure_efp"/>
    <hyperlink ref="D2" location="const_area_EEZ!A1" display="const_area_EEZ"/>
    <hyperlink ref="E2" location="constant_area_shelf" display="const_area_shelf"/>
  </hyperlinks>
  <pageMargins left="0.75" right="0.75" top="1" bottom="1" header="0.5" footer="0.5"/>
  <pageSetup orientation="portrait"/>
  <headerFooter alignWithMargins="0"/>
  <drawing r:id="rId1"/>
  <legacyDrawing r:id="rId2"/>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enableFormatConditionsCalculation="0">
    <tabColor rgb="FF4D7002"/>
  </sheetPr>
  <dimension ref="A1:G352"/>
  <sheetViews>
    <sheetView workbookViewId="0">
      <selection activeCell="A65536" sqref="A65536"/>
    </sheetView>
  </sheetViews>
  <sheetFormatPr baseColWidth="10" defaultColWidth="9.1640625" defaultRowHeight="12" x14ac:dyDescent="0"/>
  <cols>
    <col min="1" max="1" width="13.5" style="774" customWidth="1"/>
    <col min="2" max="2" width="35.6640625" style="742" customWidth="1"/>
    <col min="3" max="3" width="18.6640625" style="742" customWidth="1"/>
    <col min="4" max="4" width="26.5" style="742" customWidth="1"/>
    <col min="5" max="5" width="16.5" style="742" customWidth="1"/>
    <col min="6" max="6" width="19" style="742" customWidth="1"/>
    <col min="7" max="7" width="14" style="742" customWidth="1"/>
    <col min="8" max="16384" width="9.1640625" style="743"/>
  </cols>
  <sheetData>
    <row r="1" spans="1:7">
      <c r="A1" s="462"/>
      <c r="B1" s="736"/>
      <c r="G1" s="743"/>
    </row>
    <row r="2" spans="1:7">
      <c r="A2" s="462"/>
      <c r="C2" s="54" t="s">
        <v>1005</v>
      </c>
      <c r="D2" s="409" t="s">
        <v>1813</v>
      </c>
      <c r="E2" s="743"/>
      <c r="G2" s="743"/>
    </row>
    <row r="3" spans="1:7">
      <c r="A3" s="462"/>
      <c r="C3" s="54" t="s">
        <v>1006</v>
      </c>
      <c r="D3" s="1338" t="s">
        <v>3369</v>
      </c>
      <c r="E3" s="1338" t="s">
        <v>6349</v>
      </c>
      <c r="G3" s="743"/>
    </row>
    <row r="4" spans="1:7">
      <c r="A4" s="462"/>
      <c r="B4" s="736"/>
    </row>
    <row r="5" spans="1:7" ht="12.75" customHeight="1">
      <c r="A5" s="1716" t="s">
        <v>7079</v>
      </c>
      <c r="B5" s="1717" t="s">
        <v>6157</v>
      </c>
      <c r="C5" s="1719" t="s">
        <v>7018</v>
      </c>
      <c r="D5" s="1719" t="s">
        <v>7019</v>
      </c>
      <c r="E5" s="1711" t="s">
        <v>6168</v>
      </c>
      <c r="F5" s="1711" t="s">
        <v>7020</v>
      </c>
      <c r="G5" s="1718" t="s">
        <v>7017</v>
      </c>
    </row>
    <row r="6" spans="1:7">
      <c r="A6" s="1716"/>
      <c r="B6" s="1717"/>
      <c r="C6" s="1719"/>
      <c r="D6" s="1719"/>
      <c r="E6" s="1711"/>
      <c r="F6" s="1711"/>
      <c r="G6" s="1718"/>
    </row>
    <row r="7" spans="1:7" s="746" customFormat="1">
      <c r="A7" s="770"/>
      <c r="B7" s="744"/>
      <c r="C7" s="745" t="s">
        <v>7021</v>
      </c>
      <c r="D7" s="745" t="s">
        <v>7022</v>
      </c>
      <c r="E7" s="363" t="s">
        <v>7021</v>
      </c>
      <c r="F7" s="363" t="s">
        <v>7023</v>
      </c>
      <c r="G7" s="767" t="s">
        <v>7021</v>
      </c>
    </row>
    <row r="8" spans="1:7">
      <c r="A8" s="1271">
        <v>2</v>
      </c>
      <c r="B8" s="693" t="s">
        <v>5727</v>
      </c>
      <c r="C8" s="1272">
        <v>0</v>
      </c>
      <c r="D8" s="1273">
        <v>0</v>
      </c>
      <c r="E8" s="1273">
        <v>0</v>
      </c>
      <c r="F8" s="1274">
        <v>0</v>
      </c>
      <c r="G8" s="1275">
        <v>0</v>
      </c>
    </row>
    <row r="9" spans="1:7">
      <c r="A9" s="771">
        <v>3</v>
      </c>
      <c r="B9" s="716" t="s">
        <v>5728</v>
      </c>
      <c r="C9" s="1256">
        <v>11138</v>
      </c>
      <c r="D9" s="1257">
        <v>507</v>
      </c>
      <c r="E9" s="1257">
        <v>11138</v>
      </c>
      <c r="F9" s="1258">
        <v>507</v>
      </c>
      <c r="G9" s="1267">
        <v>5903</v>
      </c>
    </row>
    <row r="10" spans="1:7">
      <c r="A10" s="771">
        <v>4</v>
      </c>
      <c r="B10" s="716" t="s">
        <v>5729</v>
      </c>
      <c r="C10" s="1256">
        <v>128865</v>
      </c>
      <c r="D10" s="1257">
        <v>480</v>
      </c>
      <c r="E10" s="1257">
        <v>128865</v>
      </c>
      <c r="F10" s="1258">
        <v>480</v>
      </c>
      <c r="G10" s="1267">
        <v>9171</v>
      </c>
    </row>
    <row r="11" spans="1:7">
      <c r="A11" s="771">
        <v>5</v>
      </c>
      <c r="B11" s="716" t="s">
        <v>5730</v>
      </c>
      <c r="C11" s="1256">
        <v>404391</v>
      </c>
      <c r="D11" s="1257">
        <v>184</v>
      </c>
      <c r="E11" s="1257">
        <v>404391</v>
      </c>
      <c r="F11" s="1258">
        <v>184</v>
      </c>
      <c r="G11" s="1267">
        <v>154</v>
      </c>
    </row>
    <row r="12" spans="1:7">
      <c r="A12" s="771">
        <v>6</v>
      </c>
      <c r="B12" s="716" t="s">
        <v>5731</v>
      </c>
      <c r="C12" s="1256">
        <v>0</v>
      </c>
      <c r="D12" s="1257">
        <v>0</v>
      </c>
      <c r="E12" s="1257">
        <v>0</v>
      </c>
      <c r="F12" s="1258">
        <v>0</v>
      </c>
      <c r="G12" s="1267">
        <v>0</v>
      </c>
    </row>
    <row r="13" spans="1:7">
      <c r="A13" s="771">
        <v>7</v>
      </c>
      <c r="B13" s="716" t="s">
        <v>5732</v>
      </c>
      <c r="C13" s="1256">
        <v>501050</v>
      </c>
      <c r="D13" s="1257">
        <v>1411</v>
      </c>
      <c r="E13" s="1257">
        <v>501050</v>
      </c>
      <c r="F13" s="1258">
        <v>1411</v>
      </c>
      <c r="G13" s="1267">
        <v>52869</v>
      </c>
    </row>
    <row r="14" spans="1:7">
      <c r="A14" s="771">
        <v>8</v>
      </c>
      <c r="B14" s="716" t="s">
        <v>5733</v>
      </c>
      <c r="C14" s="1256">
        <v>107914</v>
      </c>
      <c r="D14" s="1257">
        <v>261</v>
      </c>
      <c r="E14" s="1257">
        <v>107914</v>
      </c>
      <c r="F14" s="1258">
        <v>261</v>
      </c>
      <c r="G14" s="1267">
        <v>3710</v>
      </c>
    </row>
    <row r="15" spans="1:7">
      <c r="A15" s="771">
        <v>9</v>
      </c>
      <c r="B15" s="716" t="s">
        <v>5735</v>
      </c>
      <c r="C15" s="1256">
        <v>1084386</v>
      </c>
      <c r="D15" s="1257">
        <v>1180</v>
      </c>
      <c r="E15" s="1257">
        <v>1084386</v>
      </c>
      <c r="F15" s="1258">
        <v>1180</v>
      </c>
      <c r="G15" s="1267">
        <v>785879</v>
      </c>
    </row>
    <row r="16" spans="1:7">
      <c r="A16" s="771">
        <v>1</v>
      </c>
      <c r="B16" s="716" t="s">
        <v>5736</v>
      </c>
      <c r="C16" s="1256">
        <v>0</v>
      </c>
      <c r="D16" s="1257">
        <v>0</v>
      </c>
      <c r="E16" s="1257">
        <v>0</v>
      </c>
      <c r="F16" s="1258">
        <v>0</v>
      </c>
      <c r="G16" s="1267">
        <v>0</v>
      </c>
    </row>
    <row r="17" spans="1:7">
      <c r="A17" s="771">
        <v>10</v>
      </c>
      <c r="B17" s="716" t="s">
        <v>5738</v>
      </c>
      <c r="C17" s="1256">
        <v>6362934</v>
      </c>
      <c r="D17" s="1257">
        <v>518</v>
      </c>
      <c r="E17" s="1257">
        <f>SUM(C17:C20)</f>
        <v>7799142</v>
      </c>
      <c r="F17" s="1258">
        <f>SUMPRODUCT(C17:C20,D17:D20)/SUM(C17:C20)</f>
        <v>478.17938280903206</v>
      </c>
      <c r="G17" s="1267">
        <f>2056241+SUM(G18:G20)</f>
        <v>2061874</v>
      </c>
    </row>
    <row r="18" spans="1:7">
      <c r="A18" s="771" t="s">
        <v>7773</v>
      </c>
      <c r="B18" s="716" t="s">
        <v>7024</v>
      </c>
      <c r="C18" s="1256">
        <v>417015</v>
      </c>
      <c r="D18" s="1257">
        <v>310</v>
      </c>
      <c r="E18" s="1259">
        <v>0</v>
      </c>
      <c r="F18" s="1260">
        <v>0</v>
      </c>
      <c r="G18" s="1268">
        <v>4268</v>
      </c>
    </row>
    <row r="19" spans="1:7">
      <c r="A19" s="771" t="s">
        <v>7773</v>
      </c>
      <c r="B19" s="747" t="s">
        <v>7025</v>
      </c>
      <c r="C19" s="1256">
        <v>543346</v>
      </c>
      <c r="D19" s="1257">
        <v>325</v>
      </c>
      <c r="E19" s="1259">
        <v>0</v>
      </c>
      <c r="F19" s="1260">
        <v>0</v>
      </c>
      <c r="G19" s="1268">
        <v>611</v>
      </c>
    </row>
    <row r="20" spans="1:7">
      <c r="A20" s="771" t="s">
        <v>7773</v>
      </c>
      <c r="B20" s="716" t="s">
        <v>7026</v>
      </c>
      <c r="C20" s="1256">
        <v>475847</v>
      </c>
      <c r="D20" s="1257">
        <v>268</v>
      </c>
      <c r="E20" s="1259">
        <v>0</v>
      </c>
      <c r="F20" s="1260">
        <v>0</v>
      </c>
      <c r="G20" s="1268">
        <v>754</v>
      </c>
    </row>
    <row r="21" spans="1:7">
      <c r="A21" s="771">
        <v>42</v>
      </c>
      <c r="B21" s="716" t="s">
        <v>5770</v>
      </c>
      <c r="C21" s="1256">
        <v>277345</v>
      </c>
      <c r="D21" s="1257">
        <v>310</v>
      </c>
      <c r="E21" s="1257">
        <v>277345</v>
      </c>
      <c r="F21" s="1258">
        <v>310</v>
      </c>
      <c r="G21" s="1267">
        <v>105</v>
      </c>
    </row>
    <row r="22" spans="1:7">
      <c r="A22" s="771">
        <v>43</v>
      </c>
      <c r="B22" s="716" t="s">
        <v>5771</v>
      </c>
      <c r="C22" s="1256">
        <v>467249</v>
      </c>
      <c r="D22" s="1257">
        <v>257</v>
      </c>
      <c r="E22" s="1257">
        <v>467249</v>
      </c>
      <c r="F22" s="1258">
        <v>257</v>
      </c>
      <c r="G22" s="1267">
        <v>113</v>
      </c>
    </row>
    <row r="23" spans="1:7">
      <c r="A23" s="771">
        <v>161</v>
      </c>
      <c r="B23" s="716" t="s">
        <v>5882</v>
      </c>
      <c r="C23" s="1256">
        <v>431121</v>
      </c>
      <c r="D23" s="1257">
        <v>278</v>
      </c>
      <c r="E23" s="1257">
        <v>431121</v>
      </c>
      <c r="F23" s="1258">
        <v>278</v>
      </c>
      <c r="G23" s="1267">
        <v>2911</v>
      </c>
    </row>
    <row r="24" spans="1:7">
      <c r="A24" s="771">
        <v>11</v>
      </c>
      <c r="B24" s="716" t="s">
        <v>5739</v>
      </c>
      <c r="C24" s="1256">
        <v>0</v>
      </c>
      <c r="D24" s="1257">
        <v>0</v>
      </c>
      <c r="E24" s="1257">
        <v>0</v>
      </c>
      <c r="F24" s="1258">
        <v>0</v>
      </c>
      <c r="G24" s="1267">
        <v>0</v>
      </c>
    </row>
    <row r="25" spans="1:7">
      <c r="A25" s="771">
        <v>52</v>
      </c>
      <c r="B25" s="716" t="s">
        <v>5740</v>
      </c>
      <c r="C25" s="1256">
        <v>0</v>
      </c>
      <c r="D25" s="1257">
        <v>0</v>
      </c>
      <c r="E25" s="1257">
        <v>0</v>
      </c>
      <c r="F25" s="1258">
        <v>0</v>
      </c>
      <c r="G25" s="1267">
        <v>0</v>
      </c>
    </row>
    <row r="26" spans="1:7">
      <c r="A26" s="771">
        <v>12</v>
      </c>
      <c r="B26" s="716" t="s">
        <v>5741</v>
      </c>
      <c r="C26" s="1256">
        <v>654715</v>
      </c>
      <c r="D26" s="1257">
        <v>375</v>
      </c>
      <c r="E26" s="1257">
        <v>654715</v>
      </c>
      <c r="F26" s="1258">
        <v>375</v>
      </c>
      <c r="G26" s="1267">
        <v>108265</v>
      </c>
    </row>
    <row r="27" spans="1:7">
      <c r="A27" s="771">
        <v>13</v>
      </c>
      <c r="B27" s="716" t="s">
        <v>5742</v>
      </c>
      <c r="C27" s="1256">
        <v>10225</v>
      </c>
      <c r="D27" s="1257">
        <v>1098</v>
      </c>
      <c r="E27" s="1257">
        <v>10225</v>
      </c>
      <c r="F27" s="1258">
        <v>1098</v>
      </c>
      <c r="G27" s="1267">
        <v>7671</v>
      </c>
    </row>
    <row r="28" spans="1:7">
      <c r="A28" s="771">
        <v>16</v>
      </c>
      <c r="B28" s="716" t="s">
        <v>5743</v>
      </c>
      <c r="C28" s="1256">
        <v>78538</v>
      </c>
      <c r="D28" s="1257">
        <v>1709</v>
      </c>
      <c r="E28" s="1257">
        <v>78538</v>
      </c>
      <c r="F28" s="1258">
        <v>1709</v>
      </c>
      <c r="G28" s="1267">
        <v>61731</v>
      </c>
    </row>
    <row r="29" spans="1:7">
      <c r="A29" s="771">
        <v>14</v>
      </c>
      <c r="B29" s="716" t="s">
        <v>5744</v>
      </c>
      <c r="C29" s="1256">
        <v>186107</v>
      </c>
      <c r="D29" s="1257">
        <v>419</v>
      </c>
      <c r="E29" s="1257">
        <v>186107</v>
      </c>
      <c r="F29" s="1258">
        <v>419</v>
      </c>
      <c r="G29" s="1267">
        <v>407</v>
      </c>
    </row>
    <row r="30" spans="1:7">
      <c r="A30" s="771">
        <v>57</v>
      </c>
      <c r="B30" s="716" t="s">
        <v>5745</v>
      </c>
      <c r="C30" s="1256">
        <v>0</v>
      </c>
      <c r="D30" s="1257">
        <v>0</v>
      </c>
      <c r="E30" s="1257">
        <v>0</v>
      </c>
      <c r="F30" s="1258">
        <v>0</v>
      </c>
      <c r="G30" s="1267">
        <v>0</v>
      </c>
    </row>
    <row r="31" spans="1:7">
      <c r="A31" s="771">
        <v>255</v>
      </c>
      <c r="B31" s="716" t="s">
        <v>5719</v>
      </c>
      <c r="C31" s="1256">
        <v>3453</v>
      </c>
      <c r="D31" s="1257">
        <v>1774</v>
      </c>
      <c r="E31" s="1257">
        <v>3453</v>
      </c>
      <c r="F31" s="1258">
        <v>1908</v>
      </c>
      <c r="G31" s="1267">
        <v>3438</v>
      </c>
    </row>
    <row r="32" spans="1:7">
      <c r="A32" s="771">
        <v>23</v>
      </c>
      <c r="B32" s="716" t="s">
        <v>5747</v>
      </c>
      <c r="C32" s="1256">
        <v>35995</v>
      </c>
      <c r="D32" s="1257">
        <v>517</v>
      </c>
      <c r="E32" s="1257">
        <v>35995</v>
      </c>
      <c r="F32" s="1258">
        <v>517</v>
      </c>
      <c r="G32" s="1267">
        <v>9431</v>
      </c>
    </row>
    <row r="33" spans="1:7">
      <c r="A33" s="771">
        <v>53</v>
      </c>
      <c r="B33" s="716" t="s">
        <v>5748</v>
      </c>
      <c r="C33" s="1256">
        <v>30024</v>
      </c>
      <c r="D33" s="1257">
        <v>740</v>
      </c>
      <c r="E33" s="1257">
        <v>30024</v>
      </c>
      <c r="F33" s="1258">
        <v>740</v>
      </c>
      <c r="G33" s="1267">
        <v>2852</v>
      </c>
    </row>
    <row r="34" spans="1:7">
      <c r="A34" s="771">
        <v>18</v>
      </c>
      <c r="B34" s="716" t="s">
        <v>5750</v>
      </c>
      <c r="C34" s="1256">
        <v>0</v>
      </c>
      <c r="D34" s="1257">
        <v>0</v>
      </c>
      <c r="E34" s="1261">
        <v>0</v>
      </c>
      <c r="F34" s="1262">
        <v>0</v>
      </c>
      <c r="G34" s="1267">
        <v>0</v>
      </c>
    </row>
    <row r="35" spans="1:7">
      <c r="A35" s="771">
        <v>19</v>
      </c>
      <c r="B35" s="716" t="s">
        <v>5751</v>
      </c>
      <c r="C35" s="1256">
        <v>0</v>
      </c>
      <c r="D35" s="1257">
        <v>0</v>
      </c>
      <c r="E35" s="1257">
        <v>0</v>
      </c>
      <c r="F35" s="1258">
        <v>0</v>
      </c>
      <c r="G35" s="1267">
        <v>0</v>
      </c>
    </row>
    <row r="36" spans="1:7">
      <c r="A36" s="771">
        <v>80</v>
      </c>
      <c r="B36" s="716" t="s">
        <v>5752</v>
      </c>
      <c r="C36" s="1256">
        <v>14</v>
      </c>
      <c r="D36" s="1257">
        <v>390</v>
      </c>
      <c r="E36" s="1261">
        <v>14</v>
      </c>
      <c r="F36" s="1262">
        <v>390</v>
      </c>
      <c r="G36" s="1267">
        <v>14</v>
      </c>
    </row>
    <row r="37" spans="1:7">
      <c r="A37" s="771">
        <v>20</v>
      </c>
      <c r="B37" s="716" t="s">
        <v>5753</v>
      </c>
      <c r="C37" s="1256">
        <v>0</v>
      </c>
      <c r="D37" s="1257">
        <v>0</v>
      </c>
      <c r="E37" s="1257">
        <v>0</v>
      </c>
      <c r="F37" s="1258">
        <v>0</v>
      </c>
      <c r="G37" s="1267">
        <v>0</v>
      </c>
    </row>
    <row r="38" spans="1:7">
      <c r="A38" s="771">
        <v>21</v>
      </c>
      <c r="B38" s="716" t="s">
        <v>5754</v>
      </c>
      <c r="C38" s="1256">
        <v>3179693</v>
      </c>
      <c r="D38" s="1257">
        <v>605</v>
      </c>
      <c r="E38" s="1257">
        <f>SUM(C38:C39)</f>
        <v>3648308</v>
      </c>
      <c r="F38" s="1258">
        <f>SUMPRODUCT(C38:C39,D38:D39)/SUM(C38:C39)</f>
        <v>547.32720071879896</v>
      </c>
      <c r="G38" s="1267">
        <f>708805+G39</f>
        <v>708816</v>
      </c>
    </row>
    <row r="39" spans="1:7">
      <c r="A39" s="771" t="s">
        <v>7773</v>
      </c>
      <c r="B39" s="716" t="s">
        <v>7027</v>
      </c>
      <c r="C39" s="1256">
        <v>468615</v>
      </c>
      <c r="D39" s="1257">
        <v>156</v>
      </c>
      <c r="E39" s="1257">
        <v>0</v>
      </c>
      <c r="F39" s="1263">
        <v>0</v>
      </c>
      <c r="G39" s="1268">
        <v>11</v>
      </c>
    </row>
    <row r="40" spans="1:7">
      <c r="A40" s="771">
        <v>26</v>
      </c>
      <c r="B40" s="716" t="s">
        <v>5757</v>
      </c>
      <c r="C40" s="1256">
        <v>25427</v>
      </c>
      <c r="D40" s="1257">
        <v>792</v>
      </c>
      <c r="E40" s="1257">
        <v>25427</v>
      </c>
      <c r="F40" s="1258">
        <v>792</v>
      </c>
      <c r="G40" s="1267">
        <v>8633</v>
      </c>
    </row>
    <row r="41" spans="1:7">
      <c r="A41" s="771">
        <v>27</v>
      </c>
      <c r="B41" s="716" t="s">
        <v>5758</v>
      </c>
      <c r="C41" s="1256">
        <v>35156</v>
      </c>
      <c r="D41" s="1257">
        <v>964</v>
      </c>
      <c r="E41" s="1257">
        <v>35156</v>
      </c>
      <c r="F41" s="1258">
        <v>964</v>
      </c>
      <c r="G41" s="1267">
        <v>11896</v>
      </c>
    </row>
    <row r="42" spans="1:7">
      <c r="A42" s="771">
        <v>233</v>
      </c>
      <c r="B42" s="716" t="s">
        <v>5759</v>
      </c>
      <c r="C42" s="1256">
        <v>0</v>
      </c>
      <c r="D42" s="1257">
        <v>0</v>
      </c>
      <c r="E42" s="1257">
        <v>0</v>
      </c>
      <c r="F42" s="1258">
        <v>0</v>
      </c>
      <c r="G42" s="1267">
        <v>0</v>
      </c>
    </row>
    <row r="43" spans="1:7">
      <c r="A43" s="771">
        <v>29</v>
      </c>
      <c r="B43" s="716" t="s">
        <v>5760</v>
      </c>
      <c r="C43" s="1256">
        <v>0</v>
      </c>
      <c r="D43" s="1257">
        <v>0</v>
      </c>
      <c r="E43" s="1257">
        <v>0</v>
      </c>
      <c r="F43" s="1258">
        <v>0</v>
      </c>
      <c r="G43" s="1267">
        <v>0</v>
      </c>
    </row>
    <row r="44" spans="1:7">
      <c r="A44" s="771">
        <v>115</v>
      </c>
      <c r="B44" s="716" t="s">
        <v>5761</v>
      </c>
      <c r="C44" s="1256">
        <v>47827</v>
      </c>
      <c r="D44" s="1257">
        <v>681</v>
      </c>
      <c r="E44" s="1257">
        <v>47827</v>
      </c>
      <c r="F44" s="1258">
        <v>681</v>
      </c>
      <c r="G44" s="1267">
        <v>47827</v>
      </c>
    </row>
    <row r="45" spans="1:7">
      <c r="A45" s="771">
        <v>32</v>
      </c>
      <c r="B45" s="716" t="s">
        <v>5762</v>
      </c>
      <c r="C45" s="1256">
        <v>14693</v>
      </c>
      <c r="D45" s="1257">
        <v>2153</v>
      </c>
      <c r="E45" s="1257">
        <v>14693</v>
      </c>
      <c r="F45" s="1258">
        <v>2158</v>
      </c>
      <c r="G45" s="1267">
        <v>10125</v>
      </c>
    </row>
    <row r="46" spans="1:7">
      <c r="A46" s="771">
        <v>33</v>
      </c>
      <c r="B46" s="716" t="s">
        <v>5763</v>
      </c>
      <c r="C46" s="1256">
        <v>6006154</v>
      </c>
      <c r="D46" s="1257">
        <v>469</v>
      </c>
      <c r="E46" s="1257">
        <v>6006154</v>
      </c>
      <c r="F46" s="1258">
        <v>469</v>
      </c>
      <c r="G46" s="1267">
        <v>2545259</v>
      </c>
    </row>
    <row r="47" spans="1:7">
      <c r="A47" s="771">
        <v>35</v>
      </c>
      <c r="B47" s="716" t="s">
        <v>7780</v>
      </c>
      <c r="C47" s="1256">
        <v>796840</v>
      </c>
      <c r="D47" s="1257">
        <v>689</v>
      </c>
      <c r="E47" s="1257">
        <v>769840</v>
      </c>
      <c r="F47" s="1258">
        <v>689</v>
      </c>
      <c r="G47" s="1267">
        <v>3768</v>
      </c>
    </row>
    <row r="48" spans="1:7">
      <c r="A48" s="771">
        <v>37</v>
      </c>
      <c r="B48" s="716" t="s">
        <v>5765</v>
      </c>
      <c r="C48" s="1256">
        <v>0</v>
      </c>
      <c r="D48" s="1257">
        <v>0</v>
      </c>
      <c r="E48" s="1257">
        <v>0</v>
      </c>
      <c r="F48" s="1258">
        <v>0</v>
      </c>
      <c r="G48" s="1267">
        <v>0</v>
      </c>
    </row>
    <row r="49" spans="1:7">
      <c r="A49" s="771">
        <v>39</v>
      </c>
      <c r="B49" s="716" t="s">
        <v>5766</v>
      </c>
      <c r="C49" s="1256">
        <v>0</v>
      </c>
      <c r="D49" s="1257">
        <v>0</v>
      </c>
      <c r="E49" s="1257">
        <v>0</v>
      </c>
      <c r="F49" s="1258">
        <v>0</v>
      </c>
      <c r="G49" s="1267">
        <v>0</v>
      </c>
    </row>
    <row r="50" spans="1:7">
      <c r="A50" s="771">
        <v>40</v>
      </c>
      <c r="B50" s="716" t="s">
        <v>5768</v>
      </c>
      <c r="C50" s="1256">
        <v>2009299</v>
      </c>
      <c r="D50" s="1257">
        <v>771</v>
      </c>
      <c r="E50" s="1257">
        <f>SUM(C50:C53)</f>
        <v>3681989</v>
      </c>
      <c r="F50" s="1258">
        <f>SUMPRODUCT(C50:C53,D50:D53)/SUM(C50:C53)</f>
        <v>530.13266851150286</v>
      </c>
      <c r="G50" s="1267">
        <f>160916+SUM(G51:G53)</f>
        <v>161338</v>
      </c>
    </row>
    <row r="51" spans="1:7">
      <c r="A51" s="771" t="s">
        <v>7773</v>
      </c>
      <c r="B51" s="716" t="s">
        <v>7028</v>
      </c>
      <c r="C51" s="1256">
        <v>449805</v>
      </c>
      <c r="D51" s="1257">
        <v>285</v>
      </c>
      <c r="E51" s="1259">
        <v>0</v>
      </c>
      <c r="F51" s="1260">
        <v>0</v>
      </c>
      <c r="G51" s="1268">
        <v>31</v>
      </c>
    </row>
    <row r="52" spans="1:7">
      <c r="A52" s="771" t="s">
        <v>7773</v>
      </c>
      <c r="B52" s="716" t="s">
        <v>7029</v>
      </c>
      <c r="C52" s="1256">
        <v>720395</v>
      </c>
      <c r="D52" s="1257">
        <v>114</v>
      </c>
      <c r="E52" s="1259">
        <v>0</v>
      </c>
      <c r="F52" s="1260">
        <v>0</v>
      </c>
      <c r="G52" s="1268">
        <v>69</v>
      </c>
    </row>
    <row r="53" spans="1:7">
      <c r="A53" s="771" t="s">
        <v>7773</v>
      </c>
      <c r="B53" s="716" t="s">
        <v>7030</v>
      </c>
      <c r="C53" s="1256">
        <v>502490</v>
      </c>
      <c r="D53" s="1257">
        <v>383</v>
      </c>
      <c r="E53" s="1259">
        <v>0</v>
      </c>
      <c r="F53" s="1260">
        <v>0</v>
      </c>
      <c r="G53" s="1268">
        <v>322</v>
      </c>
    </row>
    <row r="54" spans="1:7">
      <c r="A54" s="771">
        <v>41</v>
      </c>
      <c r="B54" s="944" t="s">
        <v>7779</v>
      </c>
      <c r="C54" s="1256">
        <v>2285872</v>
      </c>
      <c r="D54" s="1257">
        <v>755</v>
      </c>
      <c r="E54" s="1256">
        <v>2285872</v>
      </c>
      <c r="F54" s="1258">
        <v>755</v>
      </c>
      <c r="G54" s="1267">
        <f>1013154</f>
        <v>1013154</v>
      </c>
    </row>
    <row r="55" spans="1:7">
      <c r="A55" s="771">
        <v>96</v>
      </c>
      <c r="B55" s="944" t="s">
        <v>7781</v>
      </c>
      <c r="C55" s="1256">
        <v>2097</v>
      </c>
      <c r="D55" s="1257">
        <v>1402</v>
      </c>
      <c r="E55" s="1256">
        <v>2097</v>
      </c>
      <c r="F55" s="1258">
        <v>1402</v>
      </c>
      <c r="G55" s="1269">
        <v>1473</v>
      </c>
    </row>
    <row r="56" spans="1:7">
      <c r="A56" s="771">
        <v>214</v>
      </c>
      <c r="B56" s="716" t="s">
        <v>5932</v>
      </c>
      <c r="C56" s="1256">
        <v>1149189</v>
      </c>
      <c r="D56" s="1257">
        <v>407</v>
      </c>
      <c r="E56" s="1256">
        <v>1149189</v>
      </c>
      <c r="F56" s="1258">
        <v>407</v>
      </c>
      <c r="G56" s="1269">
        <v>162343</v>
      </c>
    </row>
    <row r="57" spans="1:7">
      <c r="A57" s="771">
        <v>44</v>
      </c>
      <c r="B57" s="716" t="s">
        <v>5772</v>
      </c>
      <c r="C57" s="1256">
        <v>817816</v>
      </c>
      <c r="D57" s="1257">
        <v>623</v>
      </c>
      <c r="E57" s="1257">
        <v>817816</v>
      </c>
      <c r="F57" s="1258">
        <v>623</v>
      </c>
      <c r="G57" s="1267">
        <v>46316</v>
      </c>
    </row>
    <row r="58" spans="1:7">
      <c r="A58" s="771">
        <v>45</v>
      </c>
      <c r="B58" s="716" t="s">
        <v>5773</v>
      </c>
      <c r="C58" s="1256">
        <v>164691</v>
      </c>
      <c r="D58" s="1257">
        <v>400</v>
      </c>
      <c r="E58" s="1257">
        <v>164691</v>
      </c>
      <c r="F58" s="1258">
        <v>400</v>
      </c>
      <c r="G58" s="1267">
        <v>1618</v>
      </c>
    </row>
    <row r="59" spans="1:7">
      <c r="A59" s="771">
        <v>46</v>
      </c>
      <c r="B59" s="716" t="s">
        <v>5774</v>
      </c>
      <c r="C59" s="1256">
        <v>40499</v>
      </c>
      <c r="D59" s="1257">
        <v>2667</v>
      </c>
      <c r="E59" s="1257">
        <v>40499</v>
      </c>
      <c r="F59" s="1258">
        <v>2667</v>
      </c>
      <c r="G59" s="1267">
        <v>7849</v>
      </c>
    </row>
    <row r="60" spans="1:7">
      <c r="A60" s="771">
        <v>250</v>
      </c>
      <c r="B60" s="716" t="s">
        <v>5775</v>
      </c>
      <c r="C60" s="1256">
        <v>1072</v>
      </c>
      <c r="D60" s="1257">
        <v>3601</v>
      </c>
      <c r="E60" s="1257">
        <v>1072</v>
      </c>
      <c r="F60" s="1258">
        <v>3601</v>
      </c>
      <c r="G60" s="1267">
        <v>756</v>
      </c>
    </row>
    <row r="61" spans="1:7">
      <c r="A61" s="771">
        <v>48</v>
      </c>
      <c r="B61" s="716" t="s">
        <v>5777</v>
      </c>
      <c r="C61" s="1256">
        <v>572014</v>
      </c>
      <c r="D61" s="1257">
        <v>423</v>
      </c>
      <c r="E61" s="1257">
        <v>572014</v>
      </c>
      <c r="F61" s="1258">
        <v>423</v>
      </c>
      <c r="G61" s="1267">
        <v>18600</v>
      </c>
    </row>
    <row r="62" spans="1:7">
      <c r="A62" s="771">
        <v>107</v>
      </c>
      <c r="B62" s="716" t="s">
        <v>5778</v>
      </c>
      <c r="C62" s="1256">
        <v>174545</v>
      </c>
      <c r="D62" s="1257">
        <v>774</v>
      </c>
      <c r="E62" s="1257">
        <v>174545</v>
      </c>
      <c r="F62" s="1258">
        <v>774</v>
      </c>
      <c r="G62" s="1267">
        <v>11824</v>
      </c>
    </row>
    <row r="63" spans="1:7">
      <c r="A63" s="771">
        <v>98</v>
      </c>
      <c r="B63" s="716" t="s">
        <v>5779</v>
      </c>
      <c r="C63" s="1257">
        <v>56374</v>
      </c>
      <c r="D63" s="1257">
        <v>465</v>
      </c>
      <c r="E63" s="1257">
        <v>56374</v>
      </c>
      <c r="F63" s="1258">
        <v>465</v>
      </c>
      <c r="G63" s="1267">
        <v>42019</v>
      </c>
    </row>
    <row r="64" spans="1:7">
      <c r="A64" s="771">
        <v>49</v>
      </c>
      <c r="B64" s="716" t="s">
        <v>5780</v>
      </c>
      <c r="C64" s="1257">
        <v>365448</v>
      </c>
      <c r="D64" s="1257">
        <v>415</v>
      </c>
      <c r="E64" s="1257">
        <v>365448</v>
      </c>
      <c r="F64" s="1258">
        <v>415</v>
      </c>
      <c r="G64" s="1267">
        <v>54888</v>
      </c>
    </row>
    <row r="65" spans="1:7">
      <c r="A65" s="771">
        <v>50</v>
      </c>
      <c r="B65" s="716" t="s">
        <v>5781</v>
      </c>
      <c r="C65" s="1257">
        <v>98550</v>
      </c>
      <c r="D65" s="1257">
        <v>328</v>
      </c>
      <c r="E65" s="1257">
        <v>98550</v>
      </c>
      <c r="F65" s="1258">
        <v>328</v>
      </c>
      <c r="G65" s="1267">
        <v>2670</v>
      </c>
    </row>
    <row r="66" spans="1:7">
      <c r="A66" s="771">
        <v>167</v>
      </c>
      <c r="B66" s="716" t="s">
        <v>5782</v>
      </c>
      <c r="C66" s="1257">
        <v>0</v>
      </c>
      <c r="D66" s="1257">
        <v>0</v>
      </c>
      <c r="E66" s="1257">
        <v>0</v>
      </c>
      <c r="F66" s="1258">
        <v>0</v>
      </c>
      <c r="G66" s="1267">
        <v>0</v>
      </c>
    </row>
    <row r="67" spans="1:7">
      <c r="A67" s="771">
        <v>51</v>
      </c>
      <c r="B67" s="716" t="s">
        <v>5783</v>
      </c>
      <c r="C67" s="1257">
        <v>0</v>
      </c>
      <c r="D67" s="1257">
        <v>0</v>
      </c>
      <c r="E67" s="1257">
        <v>0</v>
      </c>
      <c r="F67" s="1258">
        <v>0</v>
      </c>
      <c r="G67" s="1267">
        <v>0</v>
      </c>
    </row>
    <row r="68" spans="1:7">
      <c r="A68" s="771">
        <v>54</v>
      </c>
      <c r="B68" s="716" t="s">
        <v>5784</v>
      </c>
      <c r="C68" s="1257">
        <v>107579</v>
      </c>
      <c r="D68" s="1257">
        <v>1404</v>
      </c>
      <c r="E68" s="1257">
        <v>107579</v>
      </c>
      <c r="F68" s="1258">
        <v>1404</v>
      </c>
      <c r="G68" s="1267">
        <f>99258</f>
        <v>99258</v>
      </c>
    </row>
    <row r="69" spans="1:7">
      <c r="A69" s="771">
        <v>85</v>
      </c>
      <c r="B69" s="716" t="s">
        <v>5810</v>
      </c>
      <c r="C69" s="1257">
        <v>2353703</v>
      </c>
      <c r="D69" s="1257">
        <v>365</v>
      </c>
      <c r="E69" s="1257">
        <v>2353703</v>
      </c>
      <c r="F69" s="1258">
        <v>365</v>
      </c>
      <c r="G69" s="1267">
        <v>337856</v>
      </c>
    </row>
    <row r="70" spans="1:7">
      <c r="A70" s="771">
        <v>64</v>
      </c>
      <c r="B70" s="716" t="s">
        <v>5797</v>
      </c>
      <c r="C70" s="1257">
        <v>269866</v>
      </c>
      <c r="D70" s="1257">
        <v>453</v>
      </c>
      <c r="E70" s="1257">
        <v>269866</v>
      </c>
      <c r="F70" s="1258">
        <v>453</v>
      </c>
      <c r="G70" s="1267">
        <v>23480</v>
      </c>
    </row>
    <row r="71" spans="1:7">
      <c r="A71" s="771">
        <v>72</v>
      </c>
      <c r="B71" s="716" t="s">
        <v>5785</v>
      </c>
      <c r="C71" s="1257">
        <v>6947</v>
      </c>
      <c r="D71" s="1257">
        <v>1566</v>
      </c>
      <c r="E71" s="1257">
        <v>6947</v>
      </c>
      <c r="F71" s="1258">
        <v>1566</v>
      </c>
      <c r="G71" s="1267">
        <v>2285</v>
      </c>
    </row>
    <row r="72" spans="1:7">
      <c r="A72" s="771">
        <v>55</v>
      </c>
      <c r="B72" s="716" t="s">
        <v>5786</v>
      </c>
      <c r="C72" s="1257">
        <v>28626</v>
      </c>
      <c r="D72" s="1257">
        <v>346</v>
      </c>
      <c r="E72" s="1257">
        <v>28626</v>
      </c>
      <c r="F72" s="1258">
        <v>346</v>
      </c>
      <c r="G72" s="1267">
        <v>286</v>
      </c>
    </row>
    <row r="73" spans="1:7">
      <c r="A73" s="771">
        <v>56</v>
      </c>
      <c r="B73" s="716" t="s">
        <v>5787</v>
      </c>
      <c r="C73" s="1257">
        <v>269285</v>
      </c>
      <c r="D73" s="1257">
        <v>305</v>
      </c>
      <c r="E73" s="1257">
        <v>269285</v>
      </c>
      <c r="F73" s="1258">
        <v>305</v>
      </c>
      <c r="G73" s="1267">
        <v>10725</v>
      </c>
    </row>
    <row r="74" spans="1:7">
      <c r="A74" s="771">
        <v>176</v>
      </c>
      <c r="B74" s="716" t="s">
        <v>5936</v>
      </c>
      <c r="C74" s="1257">
        <v>77256</v>
      </c>
      <c r="D74" s="1257">
        <v>606</v>
      </c>
      <c r="E74" s="1257">
        <v>77256</v>
      </c>
      <c r="F74" s="1258">
        <v>606</v>
      </c>
      <c r="G74" s="1267">
        <v>24003</v>
      </c>
    </row>
    <row r="75" spans="1:7">
      <c r="A75" s="771">
        <v>58</v>
      </c>
      <c r="B75" s="716" t="s">
        <v>5788</v>
      </c>
      <c r="C75" s="1257">
        <v>236597</v>
      </c>
      <c r="D75" s="1257">
        <v>999</v>
      </c>
      <c r="E75" s="1257">
        <f>SUM(C75:C76)</f>
        <v>1072533</v>
      </c>
      <c r="F75" s="1258">
        <f>SUMPRODUCT(C75:C76,D75:D76)/SUM(C75:C76)</f>
        <v>590.59255332936141</v>
      </c>
      <c r="G75" s="1267">
        <f>24679+G76</f>
        <v>32091</v>
      </c>
    </row>
    <row r="76" spans="1:7">
      <c r="A76" s="771" t="s">
        <v>7773</v>
      </c>
      <c r="B76" s="716" t="s">
        <v>7031</v>
      </c>
      <c r="C76" s="1257">
        <v>835936</v>
      </c>
      <c r="D76" s="1257">
        <v>475</v>
      </c>
      <c r="E76" s="1259">
        <v>0</v>
      </c>
      <c r="F76" s="1260">
        <v>0</v>
      </c>
      <c r="G76" s="1268">
        <v>7412</v>
      </c>
    </row>
    <row r="77" spans="1:7">
      <c r="A77" s="771">
        <v>59</v>
      </c>
      <c r="B77" s="716" t="s">
        <v>5789</v>
      </c>
      <c r="C77" s="1257">
        <v>261824</v>
      </c>
      <c r="D77" s="1257">
        <v>412</v>
      </c>
      <c r="E77" s="1257">
        <v>261824</v>
      </c>
      <c r="F77" s="1258">
        <v>412</v>
      </c>
      <c r="G77" s="1267">
        <v>47555</v>
      </c>
    </row>
    <row r="78" spans="1:7">
      <c r="A78" s="771">
        <v>60</v>
      </c>
      <c r="B78" s="716" t="s">
        <v>5790</v>
      </c>
      <c r="C78" s="1257">
        <v>93761</v>
      </c>
      <c r="D78" s="1257">
        <v>529</v>
      </c>
      <c r="E78" s="1257">
        <v>93761</v>
      </c>
      <c r="F78" s="1258">
        <v>529</v>
      </c>
      <c r="G78" s="1267">
        <v>18025</v>
      </c>
    </row>
    <row r="79" spans="1:7">
      <c r="A79" s="771">
        <v>61</v>
      </c>
      <c r="B79" s="716" t="s">
        <v>5791</v>
      </c>
      <c r="C79" s="1257">
        <v>308337</v>
      </c>
      <c r="D79" s="1257">
        <v>996</v>
      </c>
      <c r="E79" s="1257">
        <v>308337</v>
      </c>
      <c r="F79" s="1258">
        <v>996</v>
      </c>
      <c r="G79" s="1267">
        <v>10318</v>
      </c>
    </row>
    <row r="80" spans="1:7">
      <c r="A80" s="771">
        <v>178</v>
      </c>
      <c r="B80" s="716" t="s">
        <v>5792</v>
      </c>
      <c r="C80" s="1257">
        <v>78703</v>
      </c>
      <c r="D80" s="1257">
        <v>1232</v>
      </c>
      <c r="E80" s="1257">
        <v>78703</v>
      </c>
      <c r="F80" s="1258">
        <v>1232</v>
      </c>
      <c r="G80" s="1267">
        <v>56964</v>
      </c>
    </row>
    <row r="81" spans="1:7">
      <c r="A81" s="771">
        <v>63</v>
      </c>
      <c r="B81" s="716" t="s">
        <v>5793</v>
      </c>
      <c r="C81" s="1257">
        <v>39940</v>
      </c>
      <c r="D81" s="1257">
        <v>2156</v>
      </c>
      <c r="E81" s="1257">
        <v>39940</v>
      </c>
      <c r="F81" s="1258">
        <v>2156</v>
      </c>
      <c r="G81" s="1267">
        <v>35689</v>
      </c>
    </row>
    <row r="82" spans="1:7">
      <c r="A82" s="771">
        <v>238</v>
      </c>
      <c r="B82" s="716" t="s">
        <v>5794</v>
      </c>
      <c r="C82" s="1257">
        <v>0</v>
      </c>
      <c r="D82" s="1257">
        <v>0</v>
      </c>
      <c r="E82" s="1257">
        <v>0</v>
      </c>
      <c r="F82" s="1258">
        <v>0</v>
      </c>
      <c r="G82" s="1267">
        <v>0</v>
      </c>
    </row>
    <row r="83" spans="1:7">
      <c r="A83" s="771">
        <v>66</v>
      </c>
      <c r="B83" s="716" t="s">
        <v>5798</v>
      </c>
      <c r="C83" s="1257">
        <v>1281122</v>
      </c>
      <c r="D83" s="1257">
        <v>264</v>
      </c>
      <c r="E83" s="1257">
        <v>1281122</v>
      </c>
      <c r="F83" s="1258">
        <v>264</v>
      </c>
      <c r="G83" s="1267">
        <v>29926</v>
      </c>
    </row>
    <row r="84" spans="1:7">
      <c r="A84" s="771">
        <v>67</v>
      </c>
      <c r="B84" s="716" t="s">
        <v>5799</v>
      </c>
      <c r="C84" s="1257">
        <v>90828</v>
      </c>
      <c r="D84" s="1257">
        <v>2041</v>
      </c>
      <c r="E84" s="1257">
        <v>90828</v>
      </c>
      <c r="F84" s="1258">
        <v>2041</v>
      </c>
      <c r="G84" s="1267">
        <v>77006</v>
      </c>
    </row>
    <row r="85" spans="1:7">
      <c r="A85" s="771">
        <v>68</v>
      </c>
      <c r="B85" s="716" t="s">
        <v>5800</v>
      </c>
      <c r="C85" s="1257">
        <v>334604</v>
      </c>
      <c r="D85" s="1257">
        <v>852</v>
      </c>
      <c r="E85" s="1257">
        <f>SUM(C85:C91)</f>
        <v>3039744</v>
      </c>
      <c r="F85" s="1258">
        <f>SUMPRODUCT(C85:C91,D85:D91)/SUM(C85:C91)</f>
        <v>425.47302536003031</v>
      </c>
      <c r="G85" s="1267">
        <f>160111+SUM(G86:G91)</f>
        <v>228623</v>
      </c>
    </row>
    <row r="86" spans="1:7">
      <c r="A86" s="771" t="s">
        <v>7773</v>
      </c>
      <c r="B86" s="716" t="s">
        <v>7032</v>
      </c>
      <c r="C86" s="1257">
        <v>431263</v>
      </c>
      <c r="D86" s="1257">
        <v>290</v>
      </c>
      <c r="E86" s="1259">
        <v>0</v>
      </c>
      <c r="F86" s="1260">
        <v>0</v>
      </c>
      <c r="G86" s="1268">
        <v>2</v>
      </c>
    </row>
    <row r="87" spans="1:7">
      <c r="A87" s="771" t="s">
        <v>7773</v>
      </c>
      <c r="B87" s="716" t="s">
        <v>7033</v>
      </c>
      <c r="C87" s="1257">
        <v>574558</v>
      </c>
      <c r="D87" s="1257">
        <v>399</v>
      </c>
      <c r="E87" s="1259">
        <v>0</v>
      </c>
      <c r="F87" s="1260">
        <v>0</v>
      </c>
      <c r="G87" s="1268">
        <v>4621</v>
      </c>
    </row>
    <row r="88" spans="1:7">
      <c r="A88" s="771" t="s">
        <v>7773</v>
      </c>
      <c r="B88" s="716" t="s">
        <v>7034</v>
      </c>
      <c r="C88" s="1257">
        <v>352117</v>
      </c>
      <c r="D88" s="1257">
        <v>480</v>
      </c>
      <c r="E88" s="1259">
        <v>0</v>
      </c>
      <c r="F88" s="1260">
        <v>0</v>
      </c>
      <c r="G88" s="1268">
        <v>2439</v>
      </c>
    </row>
    <row r="89" spans="1:7">
      <c r="A89" s="771" t="s">
        <v>7773</v>
      </c>
      <c r="B89" s="716" t="s">
        <v>7035</v>
      </c>
      <c r="C89" s="1257">
        <v>567732</v>
      </c>
      <c r="D89" s="1257">
        <v>378</v>
      </c>
      <c r="E89" s="1259">
        <v>0</v>
      </c>
      <c r="F89" s="1260">
        <v>0</v>
      </c>
      <c r="G89" s="1268">
        <v>61296</v>
      </c>
    </row>
    <row r="90" spans="1:7">
      <c r="A90" s="771" t="s">
        <v>7773</v>
      </c>
      <c r="B90" s="716" t="s">
        <v>7036</v>
      </c>
      <c r="C90" s="1257">
        <v>509015</v>
      </c>
      <c r="D90" s="1257">
        <v>403</v>
      </c>
      <c r="E90" s="1259">
        <v>0</v>
      </c>
      <c r="F90" s="1260">
        <v>0</v>
      </c>
      <c r="G90" s="1268">
        <v>153</v>
      </c>
    </row>
    <row r="91" spans="1:7">
      <c r="A91" s="771" t="s">
        <v>7773</v>
      </c>
      <c r="B91" s="716" t="s">
        <v>7037</v>
      </c>
      <c r="C91" s="1257">
        <v>270455</v>
      </c>
      <c r="D91" s="1257">
        <v>241</v>
      </c>
      <c r="E91" s="1259">
        <v>0</v>
      </c>
      <c r="F91" s="1260">
        <v>0</v>
      </c>
      <c r="G91" s="1268">
        <v>1</v>
      </c>
    </row>
    <row r="92" spans="1:7">
      <c r="A92" s="771">
        <v>69</v>
      </c>
      <c r="B92" s="716" t="s">
        <v>5801</v>
      </c>
      <c r="C92" s="1257">
        <v>133949</v>
      </c>
      <c r="D92" s="1257">
        <v>1193</v>
      </c>
      <c r="E92" s="1257">
        <v>133949</v>
      </c>
      <c r="F92" s="1258">
        <v>1193</v>
      </c>
      <c r="G92" s="1267">
        <v>44690</v>
      </c>
    </row>
    <row r="93" spans="1:7">
      <c r="A93" s="771">
        <v>70</v>
      </c>
      <c r="B93" s="716" t="s">
        <v>5802</v>
      </c>
      <c r="C93" s="1257">
        <v>4767242</v>
      </c>
      <c r="D93" s="1257">
        <v>212</v>
      </c>
      <c r="E93" s="1257">
        <v>4767242</v>
      </c>
      <c r="F93" s="1258">
        <v>212</v>
      </c>
      <c r="G93" s="1267">
        <v>6713</v>
      </c>
    </row>
    <row r="94" spans="1:7">
      <c r="A94" s="771">
        <v>87</v>
      </c>
      <c r="B94" s="716" t="s">
        <v>5812</v>
      </c>
      <c r="C94" s="1257">
        <v>95978</v>
      </c>
      <c r="D94" s="1257">
        <v>304</v>
      </c>
      <c r="E94" s="1257">
        <v>95978</v>
      </c>
      <c r="F94" s="1258">
        <v>304</v>
      </c>
      <c r="G94" s="1267">
        <v>3735</v>
      </c>
    </row>
    <row r="95" spans="1:7">
      <c r="A95" s="771">
        <v>135</v>
      </c>
      <c r="B95" s="716" t="s">
        <v>5858</v>
      </c>
      <c r="C95" s="1257">
        <v>47640</v>
      </c>
      <c r="D95" s="1257">
        <v>354</v>
      </c>
      <c r="E95" s="1257">
        <v>47640</v>
      </c>
      <c r="F95" s="1258">
        <v>354</v>
      </c>
      <c r="G95" s="1267">
        <v>1310</v>
      </c>
    </row>
    <row r="96" spans="1:7">
      <c r="A96" s="771">
        <v>270</v>
      </c>
      <c r="B96" s="716" t="s">
        <v>5861</v>
      </c>
      <c r="C96" s="1257">
        <v>63078</v>
      </c>
      <c r="D96" s="1257">
        <v>457</v>
      </c>
      <c r="E96" s="1261">
        <v>63078</v>
      </c>
      <c r="F96" s="1258">
        <v>457</v>
      </c>
      <c r="G96" s="1267">
        <v>1805</v>
      </c>
    </row>
    <row r="97" spans="1:7">
      <c r="A97" s="771">
        <v>153</v>
      </c>
      <c r="B97" s="716" t="s">
        <v>5876</v>
      </c>
      <c r="C97" s="1261">
        <v>1422543</v>
      </c>
      <c r="D97" s="1257">
        <v>294</v>
      </c>
      <c r="E97" s="1261">
        <v>1422543</v>
      </c>
      <c r="F97" s="1258">
        <v>294</v>
      </c>
      <c r="G97" s="1267">
        <v>63159</v>
      </c>
    </row>
    <row r="98" spans="1:7">
      <c r="A98" s="771">
        <v>182</v>
      </c>
      <c r="B98" s="716" t="s">
        <v>5900</v>
      </c>
      <c r="C98" s="1261">
        <v>315058</v>
      </c>
      <c r="D98" s="1257">
        <v>229</v>
      </c>
      <c r="E98" s="1257">
        <v>315058</v>
      </c>
      <c r="F98" s="1258">
        <v>229</v>
      </c>
      <c r="G98" s="1267">
        <v>182</v>
      </c>
    </row>
    <row r="99" spans="1:7">
      <c r="A99" s="771">
        <v>190</v>
      </c>
      <c r="B99" s="716" t="s">
        <v>5907</v>
      </c>
      <c r="C99" s="1261">
        <v>12334</v>
      </c>
      <c r="D99" s="1257">
        <v>877</v>
      </c>
      <c r="E99" s="1257">
        <v>12334</v>
      </c>
      <c r="F99" s="1258">
        <v>877</v>
      </c>
      <c r="G99" s="1267">
        <v>7737</v>
      </c>
    </row>
    <row r="100" spans="1:7">
      <c r="A100" s="771">
        <v>243</v>
      </c>
      <c r="B100" s="716" t="s">
        <v>5958</v>
      </c>
      <c r="C100" s="1261"/>
      <c r="D100" s="1257">
        <v>195</v>
      </c>
      <c r="E100" s="1257">
        <v>258269</v>
      </c>
      <c r="F100" s="1258">
        <v>195</v>
      </c>
      <c r="G100" s="1267">
        <v>418</v>
      </c>
    </row>
    <row r="101" spans="1:7">
      <c r="A101" s="771">
        <v>74</v>
      </c>
      <c r="B101" s="716" t="s">
        <v>5803</v>
      </c>
      <c r="C101" s="1257">
        <v>193627</v>
      </c>
      <c r="D101" s="1257">
        <v>1672</v>
      </c>
      <c r="E101" s="1257">
        <v>193627</v>
      </c>
      <c r="F101" s="1258">
        <v>1672</v>
      </c>
      <c r="G101" s="1267">
        <v>36572</v>
      </c>
    </row>
    <row r="102" spans="1:7">
      <c r="A102" s="771">
        <v>75</v>
      </c>
      <c r="B102" s="716" t="s">
        <v>5804</v>
      </c>
      <c r="C102" s="1257">
        <v>22630</v>
      </c>
      <c r="D102" s="1257">
        <v>1436</v>
      </c>
      <c r="E102" s="1257">
        <v>22630</v>
      </c>
      <c r="F102" s="1258">
        <v>1436</v>
      </c>
      <c r="G102" s="1267">
        <v>5094</v>
      </c>
    </row>
    <row r="103" spans="1:7">
      <c r="A103" s="771">
        <v>73</v>
      </c>
      <c r="B103" s="716" t="s">
        <v>5805</v>
      </c>
      <c r="C103" s="1257">
        <v>22765</v>
      </c>
      <c r="D103" s="1257">
        <v>1057</v>
      </c>
      <c r="E103" s="1257">
        <v>22765</v>
      </c>
      <c r="F103" s="1258">
        <v>1057</v>
      </c>
      <c r="G103" s="1267">
        <v>2467</v>
      </c>
    </row>
    <row r="104" spans="1:7">
      <c r="A104" s="771">
        <v>79</v>
      </c>
      <c r="B104" s="716" t="s">
        <v>5806</v>
      </c>
      <c r="C104" s="1257">
        <v>57259</v>
      </c>
      <c r="D104" s="1257">
        <v>1464</v>
      </c>
      <c r="E104" s="1257">
        <v>57259</v>
      </c>
      <c r="F104" s="1258">
        <v>1464</v>
      </c>
      <c r="G104" s="1267">
        <v>55253</v>
      </c>
    </row>
    <row r="105" spans="1:7">
      <c r="A105" s="771">
        <v>81</v>
      </c>
      <c r="B105" s="716" t="s">
        <v>5807</v>
      </c>
      <c r="C105" s="1257">
        <v>224908</v>
      </c>
      <c r="D105" s="1257">
        <v>691</v>
      </c>
      <c r="E105" s="1257">
        <v>224908</v>
      </c>
      <c r="F105" s="1258">
        <v>691</v>
      </c>
      <c r="G105" s="1267">
        <v>22501</v>
      </c>
    </row>
    <row r="106" spans="1:7">
      <c r="A106" s="771">
        <v>84</v>
      </c>
      <c r="B106" s="716" t="s">
        <v>5809</v>
      </c>
      <c r="C106" s="1257">
        <v>494605</v>
      </c>
      <c r="D106" s="1257">
        <v>381</v>
      </c>
      <c r="E106" s="1257">
        <v>494605</v>
      </c>
      <c r="F106" s="1258">
        <v>381</v>
      </c>
      <c r="G106" s="1267">
        <v>67885</v>
      </c>
    </row>
    <row r="107" spans="1:7">
      <c r="A107" s="771">
        <v>86</v>
      </c>
      <c r="B107" s="716" t="s">
        <v>5811</v>
      </c>
      <c r="C107" s="1257">
        <v>26158</v>
      </c>
      <c r="D107" s="1257">
        <v>1011</v>
      </c>
      <c r="E107" s="1257">
        <v>26158</v>
      </c>
      <c r="F107" s="1258">
        <v>1011</v>
      </c>
      <c r="G107" s="1267">
        <v>2292</v>
      </c>
    </row>
    <row r="108" spans="1:7">
      <c r="A108" s="771">
        <v>89</v>
      </c>
      <c r="B108" s="716" t="s">
        <v>5814</v>
      </c>
      <c r="C108" s="1257">
        <v>117743</v>
      </c>
      <c r="D108" s="1257">
        <v>565</v>
      </c>
      <c r="E108" s="1257">
        <v>117743</v>
      </c>
      <c r="F108" s="1258">
        <v>565</v>
      </c>
      <c r="G108" s="1267">
        <v>15707</v>
      </c>
    </row>
    <row r="109" spans="1:7">
      <c r="A109" s="771">
        <v>90</v>
      </c>
      <c r="B109" s="716" t="s">
        <v>5815</v>
      </c>
      <c r="C109" s="1257">
        <v>109456</v>
      </c>
      <c r="D109" s="1257">
        <v>1002</v>
      </c>
      <c r="E109" s="1257">
        <v>109456</v>
      </c>
      <c r="F109" s="1258">
        <v>1002</v>
      </c>
      <c r="G109" s="1267">
        <v>48122</v>
      </c>
    </row>
    <row r="110" spans="1:7">
      <c r="A110" s="771">
        <v>175</v>
      </c>
      <c r="B110" s="716" t="s">
        <v>5816</v>
      </c>
      <c r="C110" s="1257">
        <v>106117</v>
      </c>
      <c r="D110" s="1257">
        <v>1038</v>
      </c>
      <c r="E110" s="1257">
        <v>106117</v>
      </c>
      <c r="F110" s="1258">
        <v>1038</v>
      </c>
      <c r="G110" s="1267">
        <v>35837</v>
      </c>
    </row>
    <row r="111" spans="1:7">
      <c r="A111" s="771">
        <v>91</v>
      </c>
      <c r="B111" s="716" t="s">
        <v>5817</v>
      </c>
      <c r="C111" s="1257">
        <v>135900</v>
      </c>
      <c r="D111" s="1257">
        <v>907</v>
      </c>
      <c r="E111" s="1257">
        <v>135900</v>
      </c>
      <c r="F111" s="1258">
        <v>907</v>
      </c>
      <c r="G111" s="1267">
        <v>51978</v>
      </c>
    </row>
    <row r="112" spans="1:7">
      <c r="A112" s="771">
        <v>93</v>
      </c>
      <c r="B112" s="716" t="s">
        <v>5818</v>
      </c>
      <c r="C112" s="1257">
        <v>112025</v>
      </c>
      <c r="D112" s="1257">
        <v>315</v>
      </c>
      <c r="E112" s="1257">
        <f>SUM(C112:C113)</f>
        <v>123519</v>
      </c>
      <c r="F112" s="1258">
        <f>SUMPRODUCT(C112:C113,D112:D113)/SUM(C112:C113)</f>
        <v>312.48752823452264</v>
      </c>
      <c r="G112" s="1267">
        <f>5082+G113</f>
        <v>5104</v>
      </c>
    </row>
    <row r="113" spans="1:7">
      <c r="A113" s="771" t="s">
        <v>7773</v>
      </c>
      <c r="B113" s="747" t="s">
        <v>7038</v>
      </c>
      <c r="C113" s="1257">
        <v>11494</v>
      </c>
      <c r="D113" s="1257">
        <v>288</v>
      </c>
      <c r="E113" s="1259">
        <v>0</v>
      </c>
      <c r="F113" s="1260">
        <v>0</v>
      </c>
      <c r="G113" s="1268">
        <v>22</v>
      </c>
    </row>
    <row r="114" spans="1:7">
      <c r="A114" s="771">
        <v>94</v>
      </c>
      <c r="B114" s="716" t="s">
        <v>5819</v>
      </c>
      <c r="C114" s="1257">
        <v>0</v>
      </c>
      <c r="D114" s="1257">
        <v>0</v>
      </c>
      <c r="E114" s="1257">
        <v>0</v>
      </c>
      <c r="F114" s="1258">
        <v>0</v>
      </c>
      <c r="G114" s="1267">
        <v>0</v>
      </c>
    </row>
    <row r="115" spans="1:7">
      <c r="A115" s="771">
        <v>95</v>
      </c>
      <c r="B115" s="716" t="s">
        <v>5820</v>
      </c>
      <c r="C115" s="1257">
        <v>240240</v>
      </c>
      <c r="D115" s="1257">
        <v>375</v>
      </c>
      <c r="E115" s="1257">
        <v>240240</v>
      </c>
      <c r="F115" s="1258">
        <v>375</v>
      </c>
      <c r="G115" s="1267">
        <v>67366</v>
      </c>
    </row>
    <row r="116" spans="1:7">
      <c r="A116" s="771">
        <v>97</v>
      </c>
      <c r="B116" s="716" t="s">
        <v>5821</v>
      </c>
      <c r="C116" s="1257">
        <v>0</v>
      </c>
      <c r="D116" s="1257">
        <v>0</v>
      </c>
      <c r="E116" s="1257">
        <v>0</v>
      </c>
      <c r="F116" s="1258">
        <v>0</v>
      </c>
      <c r="G116" s="1267">
        <v>0</v>
      </c>
    </row>
    <row r="117" spans="1:7">
      <c r="A117" s="771">
        <v>99</v>
      </c>
      <c r="B117" s="716" t="s">
        <v>5822</v>
      </c>
      <c r="C117" s="1257">
        <v>772218</v>
      </c>
      <c r="D117" s="1257">
        <v>492</v>
      </c>
      <c r="E117" s="1257">
        <v>772218</v>
      </c>
      <c r="F117" s="1258">
        <v>492</v>
      </c>
      <c r="G117" s="1267">
        <v>109010</v>
      </c>
    </row>
    <row r="118" spans="1:7">
      <c r="A118" s="771">
        <v>100</v>
      </c>
      <c r="B118" s="716" t="s">
        <v>5823</v>
      </c>
      <c r="C118" s="1257">
        <v>1630356</v>
      </c>
      <c r="D118" s="1257">
        <v>993</v>
      </c>
      <c r="E118" s="1257">
        <f>SUM(C118:C119)</f>
        <v>2290268</v>
      </c>
      <c r="F118" s="1258">
        <f>SUMPRODUCT(C118:C119,D118:D119)/SUM(C118:C119)</f>
        <v>838.55832243213456</v>
      </c>
      <c r="G118" s="1267">
        <f>382632+G119</f>
        <v>412246</v>
      </c>
    </row>
    <row r="119" spans="1:7">
      <c r="A119" s="771" t="s">
        <v>7773</v>
      </c>
      <c r="B119" s="716" t="s">
        <v>7039</v>
      </c>
      <c r="C119" s="1257">
        <v>659912</v>
      </c>
      <c r="D119" s="1257">
        <v>457</v>
      </c>
      <c r="E119" s="1259">
        <v>0</v>
      </c>
      <c r="F119" s="1260">
        <v>0</v>
      </c>
      <c r="G119" s="1268">
        <v>29614</v>
      </c>
    </row>
    <row r="120" spans="1:7">
      <c r="A120" s="771">
        <v>101</v>
      </c>
      <c r="B120" s="716" t="s">
        <v>5824</v>
      </c>
      <c r="C120" s="1257">
        <f>SUM(3617349,2462028)</f>
        <v>6079377</v>
      </c>
      <c r="D120" s="1257">
        <v>693.60419283094302</v>
      </c>
      <c r="E120" s="1257">
        <v>6079377</v>
      </c>
      <c r="F120" s="1258">
        <v>693.60419283094302</v>
      </c>
      <c r="G120" s="1267">
        <v>1810102</v>
      </c>
    </row>
    <row r="121" spans="1:7">
      <c r="A121" s="771">
        <v>102</v>
      </c>
      <c r="B121" s="716" t="s">
        <v>5825</v>
      </c>
      <c r="C121" s="1257">
        <v>164051</v>
      </c>
      <c r="D121" s="1257">
        <v>1349</v>
      </c>
      <c r="E121" s="1257">
        <v>164051</v>
      </c>
      <c r="F121" s="1258">
        <v>1349</v>
      </c>
      <c r="G121" s="1267">
        <v>108534</v>
      </c>
    </row>
    <row r="122" spans="1:7">
      <c r="A122" s="771">
        <v>103</v>
      </c>
      <c r="B122" s="716" t="s">
        <v>5826</v>
      </c>
      <c r="C122" s="1257">
        <v>597</v>
      </c>
      <c r="D122" s="1257">
        <v>1720</v>
      </c>
      <c r="E122" s="1257">
        <v>597</v>
      </c>
      <c r="F122" s="1258">
        <v>1720</v>
      </c>
      <c r="G122" s="1267">
        <v>362</v>
      </c>
    </row>
    <row r="123" spans="1:7">
      <c r="A123" s="771">
        <v>104</v>
      </c>
      <c r="B123" s="716" t="s">
        <v>5827</v>
      </c>
      <c r="C123" s="1257">
        <v>410534</v>
      </c>
      <c r="D123" s="1257">
        <v>701</v>
      </c>
      <c r="E123" s="1257">
        <v>410534</v>
      </c>
      <c r="F123" s="1258">
        <v>701</v>
      </c>
      <c r="G123" s="1267">
        <v>133965</v>
      </c>
    </row>
    <row r="124" spans="1:7">
      <c r="A124" s="771">
        <v>105</v>
      </c>
      <c r="B124" s="716" t="s">
        <v>5829</v>
      </c>
      <c r="C124" s="1257">
        <v>27346</v>
      </c>
      <c r="D124" s="1257">
        <v>386</v>
      </c>
      <c r="E124" s="1257">
        <v>27346</v>
      </c>
      <c r="F124" s="1258">
        <v>386</v>
      </c>
      <c r="G124" s="1267">
        <v>3833</v>
      </c>
    </row>
    <row r="125" spans="1:7">
      <c r="A125" s="771">
        <v>106</v>
      </c>
      <c r="B125" s="716" t="s">
        <v>5830</v>
      </c>
      <c r="C125" s="1257">
        <v>537932</v>
      </c>
      <c r="D125" s="1257">
        <v>452</v>
      </c>
      <c r="E125" s="1257">
        <v>537932</v>
      </c>
      <c r="F125" s="1258">
        <v>452</v>
      </c>
      <c r="G125" s="1267">
        <v>110313</v>
      </c>
    </row>
    <row r="126" spans="1:7">
      <c r="A126" s="771">
        <v>109</v>
      </c>
      <c r="B126" s="716" t="s">
        <v>5831</v>
      </c>
      <c r="C126" s="1257">
        <v>263283</v>
      </c>
      <c r="D126" s="1257">
        <v>319</v>
      </c>
      <c r="E126" s="1257">
        <v>26328</v>
      </c>
      <c r="F126" s="1258">
        <v>319</v>
      </c>
      <c r="G126" s="1267">
        <v>13401</v>
      </c>
    </row>
    <row r="127" spans="1:7">
      <c r="A127" s="771">
        <v>110</v>
      </c>
      <c r="B127" s="716" t="s">
        <v>5832</v>
      </c>
      <c r="C127" s="1257">
        <v>1843270</v>
      </c>
      <c r="D127" s="1257">
        <v>570</v>
      </c>
      <c r="E127" s="1257">
        <f>SUM(C127:C128)</f>
        <v>4469020</v>
      </c>
      <c r="F127" s="1258">
        <f>SUMPRODUCT(C127:C128,D127:D128)/SUM(C127:C128)</f>
        <v>395.4991586522325</v>
      </c>
      <c r="G127" s="1267">
        <f>263298+G128</f>
        <v>426940</v>
      </c>
    </row>
    <row r="128" spans="1:7">
      <c r="A128" s="771" t="s">
        <v>7773</v>
      </c>
      <c r="B128" s="716" t="s">
        <v>7040</v>
      </c>
      <c r="C128" s="1257">
        <v>2625750</v>
      </c>
      <c r="D128" s="1257">
        <v>273</v>
      </c>
      <c r="E128" s="1257">
        <v>0</v>
      </c>
      <c r="F128" s="1258">
        <v>0</v>
      </c>
      <c r="G128" s="1268">
        <v>163642</v>
      </c>
    </row>
    <row r="129" spans="1:7">
      <c r="A129" s="771">
        <v>112</v>
      </c>
      <c r="B129" s="716" t="s">
        <v>5833</v>
      </c>
      <c r="C129" s="1257">
        <v>95</v>
      </c>
      <c r="D129" s="1257">
        <v>361</v>
      </c>
      <c r="E129" s="1257">
        <v>95</v>
      </c>
      <c r="F129" s="1258">
        <v>361</v>
      </c>
      <c r="G129" s="1267">
        <v>24</v>
      </c>
    </row>
    <row r="130" spans="1:7">
      <c r="A130" s="771">
        <v>108</v>
      </c>
      <c r="B130" s="716" t="s">
        <v>5834</v>
      </c>
      <c r="C130" s="1257">
        <v>0</v>
      </c>
      <c r="D130" s="1257">
        <v>0</v>
      </c>
      <c r="E130" s="1257">
        <v>0</v>
      </c>
      <c r="F130" s="1258">
        <v>0</v>
      </c>
      <c r="G130" s="1267">
        <v>0</v>
      </c>
    </row>
    <row r="131" spans="1:7">
      <c r="A131" s="771">
        <v>114</v>
      </c>
      <c r="B131" s="716" t="s">
        <v>5835</v>
      </c>
      <c r="C131" s="1257">
        <v>111999</v>
      </c>
      <c r="D131" s="1257">
        <v>611</v>
      </c>
      <c r="E131" s="1257">
        <v>111999</v>
      </c>
      <c r="F131" s="1258">
        <v>611</v>
      </c>
      <c r="G131" s="1267">
        <v>8874</v>
      </c>
    </row>
    <row r="132" spans="1:7">
      <c r="A132" s="771">
        <v>83</v>
      </c>
      <c r="B132" s="716" t="s">
        <v>5836</v>
      </c>
      <c r="C132" s="1257">
        <v>3437345</v>
      </c>
      <c r="D132" s="1257">
        <v>330</v>
      </c>
      <c r="E132" s="1257">
        <v>347345</v>
      </c>
      <c r="F132" s="1258">
        <v>330</v>
      </c>
      <c r="G132" s="1267">
        <v>3920</v>
      </c>
    </row>
    <row r="133" spans="1:7">
      <c r="A133" s="771">
        <v>116</v>
      </c>
      <c r="B133" s="716" t="s">
        <v>5837</v>
      </c>
      <c r="C133" s="1257">
        <v>115649</v>
      </c>
      <c r="D133" s="1257">
        <v>927</v>
      </c>
      <c r="E133" s="1257">
        <v>115649</v>
      </c>
      <c r="F133" s="1258">
        <v>927</v>
      </c>
      <c r="G133" s="1267">
        <v>34769</v>
      </c>
    </row>
    <row r="134" spans="1:7">
      <c r="A134" s="771">
        <v>117</v>
      </c>
      <c r="B134" s="716" t="s">
        <v>5838</v>
      </c>
      <c r="C134" s="1257">
        <v>475469</v>
      </c>
      <c r="D134" s="1257">
        <v>923</v>
      </c>
      <c r="E134" s="1257">
        <v>475469</v>
      </c>
      <c r="F134" s="1258">
        <v>923</v>
      </c>
      <c r="G134" s="1267">
        <v>292522</v>
      </c>
    </row>
    <row r="135" spans="1:7">
      <c r="A135" s="771">
        <v>118</v>
      </c>
      <c r="B135" s="716" t="s">
        <v>5839</v>
      </c>
      <c r="C135" s="1257">
        <v>12236</v>
      </c>
      <c r="D135" s="1257">
        <v>1564</v>
      </c>
      <c r="E135" s="1257">
        <v>12236</v>
      </c>
      <c r="F135" s="1258">
        <v>1564</v>
      </c>
      <c r="G135" s="1267">
        <v>10651</v>
      </c>
    </row>
    <row r="136" spans="1:7">
      <c r="A136" s="771">
        <v>113</v>
      </c>
      <c r="B136" s="716" t="s">
        <v>5840</v>
      </c>
      <c r="C136" s="1257">
        <v>0</v>
      </c>
      <c r="D136" s="1257">
        <v>0</v>
      </c>
      <c r="E136" s="1257">
        <v>0</v>
      </c>
      <c r="F136" s="1258">
        <v>0</v>
      </c>
      <c r="G136" s="1267">
        <v>0</v>
      </c>
    </row>
    <row r="137" spans="1:7">
      <c r="A137" s="771">
        <v>120</v>
      </c>
      <c r="B137" s="716" t="s">
        <v>5841</v>
      </c>
      <c r="C137" s="1257">
        <v>0</v>
      </c>
      <c r="D137" s="1257">
        <v>0</v>
      </c>
      <c r="E137" s="1257">
        <v>0</v>
      </c>
      <c r="F137" s="1258">
        <v>0</v>
      </c>
      <c r="G137" s="1270">
        <v>0</v>
      </c>
    </row>
    <row r="138" spans="1:7">
      <c r="A138" s="771">
        <v>119</v>
      </c>
      <c r="B138" s="716" t="s">
        <v>5842</v>
      </c>
      <c r="C138" s="1257">
        <v>32021</v>
      </c>
      <c r="D138" s="1257">
        <v>1941</v>
      </c>
      <c r="E138" s="1257">
        <v>32021</v>
      </c>
      <c r="F138" s="1258">
        <v>1941</v>
      </c>
      <c r="G138" s="1267">
        <v>27990</v>
      </c>
    </row>
    <row r="139" spans="1:7">
      <c r="A139" s="771">
        <v>121</v>
      </c>
      <c r="B139" s="716" t="s">
        <v>5843</v>
      </c>
      <c r="C139" s="1257">
        <v>19196</v>
      </c>
      <c r="D139" s="1257">
        <v>350</v>
      </c>
      <c r="E139" s="1257">
        <v>19196</v>
      </c>
      <c r="F139" s="1258">
        <v>350</v>
      </c>
      <c r="G139" s="1267">
        <v>1021</v>
      </c>
    </row>
    <row r="140" spans="1:7">
      <c r="A140" s="771">
        <v>122</v>
      </c>
      <c r="B140" s="716" t="s">
        <v>5844</v>
      </c>
      <c r="C140" s="1257">
        <v>0</v>
      </c>
      <c r="D140" s="1257">
        <v>0</v>
      </c>
      <c r="E140" s="1257">
        <v>0</v>
      </c>
      <c r="F140" s="1258">
        <v>0</v>
      </c>
      <c r="G140" s="1267">
        <v>0</v>
      </c>
    </row>
    <row r="141" spans="1:7">
      <c r="A141" s="771">
        <v>123</v>
      </c>
      <c r="B141" s="716" t="s">
        <v>5845</v>
      </c>
      <c r="C141" s="1261">
        <v>246152</v>
      </c>
      <c r="D141" s="1257">
        <v>613</v>
      </c>
      <c r="E141" s="1261">
        <v>246152</v>
      </c>
      <c r="F141" s="1258">
        <v>613</v>
      </c>
      <c r="G141" s="1267">
        <v>17962</v>
      </c>
    </row>
    <row r="142" spans="1:7">
      <c r="A142" s="771">
        <v>124</v>
      </c>
      <c r="B142" s="716" t="s">
        <v>5846</v>
      </c>
      <c r="C142" s="1261">
        <v>355120</v>
      </c>
      <c r="D142" s="1257">
        <v>334</v>
      </c>
      <c r="E142" s="1261">
        <v>355120</v>
      </c>
      <c r="F142" s="1258">
        <v>334</v>
      </c>
      <c r="G142" s="1267">
        <v>64894</v>
      </c>
    </row>
    <row r="143" spans="1:7">
      <c r="A143" s="771">
        <v>125</v>
      </c>
      <c r="B143" s="716" t="s">
        <v>5847</v>
      </c>
      <c r="C143" s="1257">
        <v>0</v>
      </c>
      <c r="D143" s="1257">
        <v>0</v>
      </c>
      <c r="E143" s="1257">
        <v>0</v>
      </c>
      <c r="F143" s="1258">
        <v>0</v>
      </c>
      <c r="G143" s="1267">
        <v>0</v>
      </c>
    </row>
    <row r="144" spans="1:7">
      <c r="A144" s="771">
        <v>126</v>
      </c>
      <c r="B144" s="716" t="s">
        <v>5848</v>
      </c>
      <c r="C144" s="1261">
        <v>6104</v>
      </c>
      <c r="D144" s="1257">
        <v>2006</v>
      </c>
      <c r="E144" s="1261">
        <v>6104</v>
      </c>
      <c r="F144" s="1258">
        <v>2006</v>
      </c>
      <c r="G144" s="1267">
        <v>5871</v>
      </c>
    </row>
    <row r="145" spans="1:7">
      <c r="A145" s="771">
        <v>129</v>
      </c>
      <c r="B145" s="716" t="s">
        <v>5851</v>
      </c>
      <c r="C145" s="1261">
        <v>1198722</v>
      </c>
      <c r="D145" s="1257">
        <v>504</v>
      </c>
      <c r="E145" s="1261">
        <v>1198722</v>
      </c>
      <c r="F145" s="1258">
        <v>504</v>
      </c>
      <c r="G145" s="1267">
        <v>124551</v>
      </c>
    </row>
    <row r="146" spans="1:7">
      <c r="A146" s="771">
        <v>130</v>
      </c>
      <c r="B146" s="716" t="s">
        <v>5852</v>
      </c>
      <c r="C146" s="1257">
        <v>0</v>
      </c>
      <c r="D146" s="1257">
        <v>0</v>
      </c>
      <c r="E146" s="1257">
        <v>0</v>
      </c>
      <c r="F146" s="1258">
        <v>0</v>
      </c>
      <c r="G146" s="1267">
        <v>0</v>
      </c>
    </row>
    <row r="147" spans="1:7">
      <c r="A147" s="771">
        <v>131</v>
      </c>
      <c r="B147" s="716" t="s">
        <v>5853</v>
      </c>
      <c r="C147" s="1257">
        <v>0</v>
      </c>
      <c r="D147" s="1257">
        <v>0</v>
      </c>
      <c r="E147" s="1257">
        <f>SUM(C148:C151)</f>
        <v>447276</v>
      </c>
      <c r="F147" s="1258">
        <f>SUMPRODUCT(C148:C151,D148:D151)/SUM(C148:C151)</f>
        <v>876.52720915050213</v>
      </c>
      <c r="G147" s="1267">
        <f>SUM(G148:G151)</f>
        <v>386178</v>
      </c>
    </row>
    <row r="148" spans="1:7">
      <c r="A148" s="771" t="s">
        <v>7773</v>
      </c>
      <c r="B148" s="716" t="s">
        <v>7078</v>
      </c>
      <c r="C148" s="1261">
        <v>132973</v>
      </c>
      <c r="D148" s="1257">
        <v>760</v>
      </c>
      <c r="E148" s="1257">
        <v>0</v>
      </c>
      <c r="F148" s="1258">
        <v>0</v>
      </c>
      <c r="G148" s="1268">
        <v>132465</v>
      </c>
    </row>
    <row r="149" spans="1:7">
      <c r="A149" s="771" t="s">
        <v>7773</v>
      </c>
      <c r="B149" s="716" t="s">
        <v>7041</v>
      </c>
      <c r="C149" s="1257">
        <v>68747</v>
      </c>
      <c r="D149" s="1257">
        <v>1364</v>
      </c>
      <c r="E149" s="1257">
        <v>0</v>
      </c>
      <c r="F149" s="1258">
        <v>0</v>
      </c>
      <c r="G149" s="1268">
        <v>67524</v>
      </c>
    </row>
    <row r="150" spans="1:7">
      <c r="A150" s="771" t="s">
        <v>7773</v>
      </c>
      <c r="B150" s="716" t="s">
        <v>7042</v>
      </c>
      <c r="C150" s="1257">
        <v>89618</v>
      </c>
      <c r="D150" s="1257">
        <v>746</v>
      </c>
      <c r="E150" s="1257">
        <v>0</v>
      </c>
      <c r="F150" s="1258">
        <v>0</v>
      </c>
      <c r="G150" s="1268">
        <v>51303</v>
      </c>
    </row>
    <row r="151" spans="1:7">
      <c r="A151" s="771" t="s">
        <v>7773</v>
      </c>
      <c r="B151" s="716" t="s">
        <v>7043</v>
      </c>
      <c r="C151" s="1257">
        <v>155938</v>
      </c>
      <c r="D151" s="1257">
        <v>836</v>
      </c>
      <c r="E151" s="1257">
        <v>0</v>
      </c>
      <c r="F151" s="1258">
        <v>0</v>
      </c>
      <c r="G151" s="1268">
        <v>134886</v>
      </c>
    </row>
    <row r="152" spans="1:7">
      <c r="A152" s="771">
        <v>132</v>
      </c>
      <c r="B152" s="716" t="s">
        <v>5854</v>
      </c>
      <c r="C152" s="1257">
        <v>916189</v>
      </c>
      <c r="D152" s="1257">
        <v>384</v>
      </c>
      <c r="E152" s="1257">
        <v>916189</v>
      </c>
      <c r="F152" s="1258">
        <v>384</v>
      </c>
      <c r="G152" s="1267">
        <v>19231</v>
      </c>
    </row>
    <row r="153" spans="1:7">
      <c r="A153" s="771">
        <v>133</v>
      </c>
      <c r="B153" s="716" t="s">
        <v>5855</v>
      </c>
      <c r="C153" s="1257">
        <v>0</v>
      </c>
      <c r="D153" s="1257">
        <v>0</v>
      </c>
      <c r="E153" s="1257">
        <v>0</v>
      </c>
      <c r="F153" s="1258">
        <v>0</v>
      </c>
      <c r="G153" s="1267">
        <v>0</v>
      </c>
    </row>
    <row r="154" spans="1:7">
      <c r="A154" s="771">
        <v>134</v>
      </c>
      <c r="B154" s="716" t="s">
        <v>5856</v>
      </c>
      <c r="C154" s="1261">
        <v>55556</v>
      </c>
      <c r="D154" s="1257">
        <v>361</v>
      </c>
      <c r="E154" s="1257">
        <v>55556</v>
      </c>
      <c r="F154" s="1258">
        <v>361</v>
      </c>
      <c r="G154" s="1267">
        <v>7529</v>
      </c>
    </row>
    <row r="155" spans="1:7">
      <c r="A155" s="771">
        <v>127</v>
      </c>
      <c r="B155" s="716" t="s">
        <v>5857</v>
      </c>
      <c r="C155" s="1261">
        <v>1992232</v>
      </c>
      <c r="D155" s="1257">
        <v>227</v>
      </c>
      <c r="E155" s="1257">
        <v>1992232</v>
      </c>
      <c r="F155" s="1258">
        <v>227</v>
      </c>
      <c r="G155" s="1267">
        <v>13210</v>
      </c>
    </row>
    <row r="156" spans="1:7">
      <c r="A156" s="771">
        <v>136</v>
      </c>
      <c r="B156" s="716" t="s">
        <v>5859</v>
      </c>
      <c r="C156" s="1261">
        <v>155422</v>
      </c>
      <c r="D156" s="1257">
        <v>2549</v>
      </c>
      <c r="E156" s="1261">
        <v>155422</v>
      </c>
      <c r="F156" s="1258">
        <v>2549</v>
      </c>
      <c r="G156" s="1267">
        <v>28341</v>
      </c>
    </row>
    <row r="157" spans="1:7">
      <c r="A157" s="771">
        <v>137</v>
      </c>
      <c r="B157" s="716" t="s">
        <v>5860</v>
      </c>
      <c r="C157" s="1261">
        <v>1272787</v>
      </c>
      <c r="D157" s="1257">
        <v>239</v>
      </c>
      <c r="E157" s="1261">
        <v>1272787</v>
      </c>
      <c r="F157" s="1258">
        <v>239</v>
      </c>
      <c r="G157" s="1267">
        <v>39855</v>
      </c>
    </row>
    <row r="158" spans="1:7">
      <c r="A158" s="771">
        <v>138</v>
      </c>
      <c r="B158" s="716" t="s">
        <v>5862</v>
      </c>
      <c r="C158" s="1261">
        <v>3269386</v>
      </c>
      <c r="D158" s="1257">
        <v>550</v>
      </c>
      <c r="E158" s="1261">
        <v>3269386</v>
      </c>
      <c r="F158" s="1258">
        <v>550</v>
      </c>
      <c r="G158" s="1267">
        <v>402064</v>
      </c>
    </row>
    <row r="159" spans="1:7">
      <c r="A159" s="771">
        <v>145</v>
      </c>
      <c r="B159" s="716" t="s">
        <v>5863</v>
      </c>
      <c r="C159" s="1261">
        <v>2992597</v>
      </c>
      <c r="D159" s="1257">
        <v>242</v>
      </c>
      <c r="E159" s="1261">
        <v>2992597</v>
      </c>
      <c r="F159" s="1258">
        <v>242</v>
      </c>
      <c r="G159" s="1267">
        <v>16099</v>
      </c>
    </row>
    <row r="160" spans="1:7">
      <c r="A160" s="771">
        <v>146</v>
      </c>
      <c r="B160" s="716" t="s">
        <v>5864</v>
      </c>
      <c r="C160" s="1261">
        <v>0</v>
      </c>
      <c r="D160" s="1257">
        <v>0</v>
      </c>
      <c r="E160" s="1257">
        <v>0</v>
      </c>
      <c r="F160" s="1258">
        <v>0</v>
      </c>
      <c r="G160" s="1267">
        <v>0</v>
      </c>
    </row>
    <row r="161" spans="1:7">
      <c r="A161" s="771">
        <v>141</v>
      </c>
      <c r="B161" s="716" t="s">
        <v>5865</v>
      </c>
      <c r="C161" s="1257">
        <v>0</v>
      </c>
      <c r="D161" s="1257">
        <v>0</v>
      </c>
      <c r="E161" s="1257">
        <v>0</v>
      </c>
      <c r="F161" s="1258">
        <v>0</v>
      </c>
      <c r="G161" s="1267">
        <v>0</v>
      </c>
    </row>
    <row r="162" spans="1:7">
      <c r="A162" s="771">
        <v>273</v>
      </c>
      <c r="B162" s="716" t="s">
        <v>5866</v>
      </c>
      <c r="C162" s="1261">
        <v>7415</v>
      </c>
      <c r="D162" s="1257">
        <v>538</v>
      </c>
      <c r="E162" s="1257">
        <v>7415</v>
      </c>
      <c r="F162" s="1258">
        <v>538</v>
      </c>
      <c r="G162" s="1267">
        <v>3620</v>
      </c>
    </row>
    <row r="163" spans="1:7">
      <c r="A163" s="771">
        <v>143</v>
      </c>
      <c r="B163" s="716" t="s">
        <v>5868</v>
      </c>
      <c r="C163" s="1261">
        <v>272059</v>
      </c>
      <c r="D163" s="1257">
        <v>641</v>
      </c>
      <c r="E163" s="1261">
        <v>272059</v>
      </c>
      <c r="F163" s="1258">
        <v>641</v>
      </c>
      <c r="G163" s="1267">
        <v>51919</v>
      </c>
    </row>
    <row r="164" spans="1:7">
      <c r="A164" s="771">
        <v>205</v>
      </c>
      <c r="B164" s="716" t="s">
        <v>5959</v>
      </c>
      <c r="C164" s="1257">
        <v>300653</v>
      </c>
      <c r="D164" s="1257">
        <v>1385</v>
      </c>
      <c r="E164" s="1257">
        <v>300653</v>
      </c>
      <c r="F164" s="1258">
        <v>1385</v>
      </c>
      <c r="G164" s="1267">
        <v>61411</v>
      </c>
    </row>
    <row r="165" spans="1:7">
      <c r="A165" s="771">
        <v>144</v>
      </c>
      <c r="B165" s="716" t="s">
        <v>5869</v>
      </c>
      <c r="C165" s="1261">
        <v>571955</v>
      </c>
      <c r="D165" s="1257">
        <v>647</v>
      </c>
      <c r="E165" s="1261">
        <v>571955</v>
      </c>
      <c r="F165" s="1258">
        <v>647</v>
      </c>
      <c r="G165" s="1267">
        <v>79451</v>
      </c>
    </row>
    <row r="166" spans="1:7">
      <c r="A166" s="771">
        <v>28</v>
      </c>
      <c r="B166" s="716" t="s">
        <v>5870</v>
      </c>
      <c r="C166" s="1261">
        <v>520262</v>
      </c>
      <c r="D166" s="1257">
        <v>940</v>
      </c>
      <c r="E166" s="1261">
        <v>520262</v>
      </c>
      <c r="F166" s="1258">
        <v>940</v>
      </c>
      <c r="G166" s="1267">
        <v>208705</v>
      </c>
    </row>
    <row r="167" spans="1:7">
      <c r="A167" s="771">
        <v>147</v>
      </c>
      <c r="B167" s="716" t="s">
        <v>5871</v>
      </c>
      <c r="C167" s="1261">
        <v>560152</v>
      </c>
      <c r="D167" s="1257">
        <v>1581</v>
      </c>
      <c r="E167" s="1261">
        <v>560152</v>
      </c>
      <c r="F167" s="1258">
        <v>1581</v>
      </c>
      <c r="G167" s="1267">
        <v>93695</v>
      </c>
    </row>
    <row r="168" spans="1:7">
      <c r="A168" s="771">
        <v>148</v>
      </c>
      <c r="B168" s="716" t="s">
        <v>5872</v>
      </c>
      <c r="C168" s="1261">
        <v>308502</v>
      </c>
      <c r="D168" s="1257">
        <v>416</v>
      </c>
      <c r="E168" s="1257">
        <v>308502</v>
      </c>
      <c r="F168" s="1258">
        <v>416</v>
      </c>
      <c r="G168" s="1267">
        <v>11</v>
      </c>
    </row>
    <row r="169" spans="1:7">
      <c r="A169" s="771">
        <v>149</v>
      </c>
      <c r="B169" s="716" t="s">
        <v>5873</v>
      </c>
      <c r="C169" s="1257">
        <v>0</v>
      </c>
      <c r="D169" s="1257">
        <v>0</v>
      </c>
      <c r="E169" s="1257">
        <v>0</v>
      </c>
      <c r="F169" s="1258">
        <v>0</v>
      </c>
      <c r="G169" s="1267">
        <v>0</v>
      </c>
    </row>
    <row r="170" spans="1:7">
      <c r="A170" s="771">
        <v>150</v>
      </c>
      <c r="B170" s="716" t="s">
        <v>5874</v>
      </c>
      <c r="C170" s="1261">
        <v>63912</v>
      </c>
      <c r="D170" s="1257">
        <v>1551</v>
      </c>
      <c r="E170" s="1261">
        <v>63912</v>
      </c>
      <c r="F170" s="1258">
        <v>1551</v>
      </c>
      <c r="G170" s="1267">
        <f>62501</f>
        <v>62501</v>
      </c>
    </row>
    <row r="171" spans="1:7">
      <c r="A171" s="771">
        <v>151</v>
      </c>
      <c r="B171" s="716" t="s">
        <v>5875</v>
      </c>
      <c r="C171" s="1257">
        <f>SUM(68783,12169)</f>
        <v>80952</v>
      </c>
      <c r="D171" s="1257">
        <f>SUM(439,358)</f>
        <v>797</v>
      </c>
      <c r="E171" s="1257">
        <f>SUM(68783,12169)</f>
        <v>80952</v>
      </c>
      <c r="F171" s="1258">
        <f>SUM(439,358)</f>
        <v>797</v>
      </c>
      <c r="G171" s="1269">
        <f>1833+2324</f>
        <v>4157</v>
      </c>
    </row>
    <row r="172" spans="1:7">
      <c r="A172" s="771">
        <v>22</v>
      </c>
      <c r="B172" s="716" t="s">
        <v>5737</v>
      </c>
      <c r="C172" s="1257">
        <v>68783</v>
      </c>
      <c r="D172" s="1257">
        <v>439</v>
      </c>
      <c r="E172" s="1257">
        <v>68783</v>
      </c>
      <c r="F172" s="1258">
        <v>439</v>
      </c>
      <c r="G172" s="1269">
        <v>1833</v>
      </c>
    </row>
    <row r="173" spans="1:7">
      <c r="A173" s="771">
        <v>156</v>
      </c>
      <c r="B173" s="716" t="s">
        <v>5877</v>
      </c>
      <c r="C173" s="1261">
        <v>3423231</v>
      </c>
      <c r="D173" s="1264">
        <v>180</v>
      </c>
      <c r="E173" s="1257">
        <f>SUM(C173:C174)</f>
        <v>4101633</v>
      </c>
      <c r="F173" s="1258">
        <f>SUMPRODUCT(C173:C174,D173:D174)/SUM(C173:C174)</f>
        <v>196.37440453594945</v>
      </c>
      <c r="G173" s="1267">
        <f>258973+G174</f>
        <v>259263</v>
      </c>
    </row>
    <row r="174" spans="1:7">
      <c r="A174" s="771" t="s">
        <v>7773</v>
      </c>
      <c r="B174" s="716" t="s">
        <v>7044</v>
      </c>
      <c r="C174" s="1257">
        <v>678402</v>
      </c>
      <c r="D174" s="1257">
        <v>279</v>
      </c>
      <c r="E174" s="1259">
        <v>0</v>
      </c>
      <c r="F174" s="1260">
        <v>0</v>
      </c>
      <c r="G174" s="1268">
        <v>290</v>
      </c>
    </row>
    <row r="175" spans="1:7">
      <c r="A175" s="771">
        <v>47</v>
      </c>
      <c r="B175" s="716" t="s">
        <v>5776</v>
      </c>
      <c r="C175" s="1257">
        <v>1960135</v>
      </c>
      <c r="D175" s="1257">
        <v>198</v>
      </c>
      <c r="E175" s="1257">
        <v>1960135</v>
      </c>
      <c r="F175" s="1258">
        <v>198</v>
      </c>
      <c r="G175" s="1267">
        <v>200</v>
      </c>
    </row>
    <row r="176" spans="1:7">
      <c r="A176" s="771">
        <v>160</v>
      </c>
      <c r="B176" s="716" t="s">
        <v>5881</v>
      </c>
      <c r="C176" s="1261">
        <v>316629</v>
      </c>
      <c r="D176" s="1257">
        <v>160</v>
      </c>
      <c r="E176" s="1261">
        <v>316629</v>
      </c>
      <c r="F176" s="1258">
        <v>160</v>
      </c>
      <c r="G176" s="1267">
        <v>78</v>
      </c>
    </row>
    <row r="177" spans="1:7">
      <c r="A177" s="771">
        <v>218</v>
      </c>
      <c r="B177" s="716" t="s">
        <v>5938</v>
      </c>
      <c r="C177" s="1257">
        <v>319031</v>
      </c>
      <c r="D177" s="1257">
        <v>224</v>
      </c>
      <c r="E177" s="1257">
        <v>319031</v>
      </c>
      <c r="F177" s="1258">
        <v>224</v>
      </c>
      <c r="G177" s="1267">
        <v>120</v>
      </c>
    </row>
    <row r="178" spans="1:7">
      <c r="A178" s="771">
        <v>157</v>
      </c>
      <c r="B178" s="716" t="s">
        <v>5878</v>
      </c>
      <c r="C178" s="1261">
        <v>127488</v>
      </c>
      <c r="D178" s="1257">
        <v>516</v>
      </c>
      <c r="E178" s="1261">
        <v>127488</v>
      </c>
      <c r="F178" s="1258">
        <v>516</v>
      </c>
      <c r="G178" s="1267">
        <v>68556.5</v>
      </c>
    </row>
    <row r="179" spans="1:7">
      <c r="A179" s="771">
        <v>158</v>
      </c>
      <c r="B179" s="716" t="s">
        <v>5879</v>
      </c>
      <c r="C179" s="1257">
        <v>0</v>
      </c>
      <c r="D179" s="1257">
        <v>0</v>
      </c>
      <c r="E179" s="1257">
        <v>0</v>
      </c>
      <c r="F179" s="1258">
        <v>0</v>
      </c>
      <c r="G179" s="1267">
        <v>0</v>
      </c>
    </row>
    <row r="180" spans="1:7">
      <c r="A180" s="771">
        <v>159</v>
      </c>
      <c r="B180" s="716" t="s">
        <v>5880</v>
      </c>
      <c r="C180" s="1261">
        <v>216789</v>
      </c>
      <c r="D180" s="1257">
        <v>927</v>
      </c>
      <c r="E180" s="1261">
        <v>216789</v>
      </c>
      <c r="F180" s="1258">
        <v>927</v>
      </c>
      <c r="G180" s="1267">
        <v>39644</v>
      </c>
    </row>
    <row r="181" spans="1:7">
      <c r="A181" s="771">
        <v>162</v>
      </c>
      <c r="B181" s="716" t="s">
        <v>5884</v>
      </c>
      <c r="C181" s="1261">
        <v>1395753</v>
      </c>
      <c r="D181" s="1261">
        <v>503</v>
      </c>
      <c r="E181" s="1257">
        <f>SUM(C181:C184)</f>
        <v>2555602</v>
      </c>
      <c r="F181" s="1258">
        <f>SUMPRODUCT(C181:C184,D181:D184)/SUM(C181:C184)</f>
        <v>456.70702519406387</v>
      </c>
      <c r="G181" s="1267">
        <f>226177+SUM(G182:G184)</f>
        <v>445640</v>
      </c>
    </row>
    <row r="182" spans="1:7">
      <c r="A182" s="771" t="s">
        <v>7773</v>
      </c>
      <c r="B182" s="716" t="s">
        <v>7045</v>
      </c>
      <c r="C182" s="1257">
        <v>441163</v>
      </c>
      <c r="D182" s="1257">
        <v>271</v>
      </c>
      <c r="E182" s="1259">
        <v>0</v>
      </c>
      <c r="F182" s="1260">
        <v>0</v>
      </c>
      <c r="G182" s="1268">
        <v>140</v>
      </c>
    </row>
    <row r="183" spans="1:7">
      <c r="A183" s="771" t="s">
        <v>7773</v>
      </c>
      <c r="B183" s="716" t="s">
        <v>7046</v>
      </c>
      <c r="C183" s="1257">
        <v>292567</v>
      </c>
      <c r="D183" s="1257">
        <v>581</v>
      </c>
      <c r="E183" s="1259">
        <v>0</v>
      </c>
      <c r="F183" s="1260">
        <v>0</v>
      </c>
      <c r="G183" s="1268">
        <v>1452</v>
      </c>
    </row>
    <row r="184" spans="1:7">
      <c r="A184" s="771" t="s">
        <v>7773</v>
      </c>
      <c r="B184" s="716" t="s">
        <v>7047</v>
      </c>
      <c r="C184" s="1257">
        <v>426119</v>
      </c>
      <c r="D184" s="1257">
        <v>412</v>
      </c>
      <c r="E184" s="1259">
        <v>0</v>
      </c>
      <c r="F184" s="1260">
        <v>0</v>
      </c>
      <c r="G184" s="1268">
        <v>217871</v>
      </c>
    </row>
    <row r="185" spans="1:7">
      <c r="A185" s="771">
        <v>299</v>
      </c>
      <c r="B185" s="716" t="s">
        <v>5885</v>
      </c>
      <c r="C185" s="1257">
        <v>2584</v>
      </c>
      <c r="D185" s="1261">
        <v>435</v>
      </c>
      <c r="E185" s="1257">
        <v>2584</v>
      </c>
      <c r="F185" s="1262">
        <v>435</v>
      </c>
      <c r="G185" s="1267">
        <v>927</v>
      </c>
    </row>
    <row r="186" spans="1:7">
      <c r="A186" s="771">
        <v>221</v>
      </c>
      <c r="B186" s="716" t="s">
        <v>5886</v>
      </c>
      <c r="C186" s="1261">
        <v>535912</v>
      </c>
      <c r="D186" s="1257">
        <v>1362</v>
      </c>
      <c r="E186" s="1257">
        <v>535912</v>
      </c>
      <c r="F186" s="1260">
        <v>1362</v>
      </c>
      <c r="G186" s="1267">
        <v>54206</v>
      </c>
    </row>
    <row r="187" spans="1:7">
      <c r="A187" s="771">
        <v>164</v>
      </c>
      <c r="B187" s="716" t="s">
        <v>5887</v>
      </c>
      <c r="C187" s="1257">
        <v>0</v>
      </c>
      <c r="D187" s="1261">
        <v>0</v>
      </c>
      <c r="E187" s="1261">
        <v>0</v>
      </c>
      <c r="F187" s="1262">
        <v>0</v>
      </c>
      <c r="G187" s="1267">
        <v>0</v>
      </c>
    </row>
    <row r="188" spans="1:7">
      <c r="A188" s="771">
        <v>165</v>
      </c>
      <c r="B188" s="716" t="s">
        <v>5888</v>
      </c>
      <c r="C188" s="1261">
        <v>221435</v>
      </c>
      <c r="D188" s="1261">
        <v>1601</v>
      </c>
      <c r="E188" s="1261">
        <v>221435</v>
      </c>
      <c r="F188" s="1262">
        <v>1601</v>
      </c>
      <c r="G188" s="1267">
        <v>47343</v>
      </c>
    </row>
    <row r="189" spans="1:7">
      <c r="A189" s="771">
        <v>180</v>
      </c>
      <c r="B189" s="716" t="s">
        <v>5889</v>
      </c>
      <c r="C189" s="1261">
        <v>604289</v>
      </c>
      <c r="D189" s="1261">
        <v>256</v>
      </c>
      <c r="E189" s="1261">
        <v>604289</v>
      </c>
      <c r="F189" s="1262">
        <v>256</v>
      </c>
      <c r="G189" s="1267">
        <v>1884</v>
      </c>
    </row>
    <row r="190" spans="1:7">
      <c r="A190" s="771">
        <v>166</v>
      </c>
      <c r="B190" s="716" t="s">
        <v>5890</v>
      </c>
      <c r="C190" s="1261">
        <v>331465</v>
      </c>
      <c r="D190" s="1261">
        <v>638</v>
      </c>
      <c r="E190" s="1261">
        <v>331465</v>
      </c>
      <c r="F190" s="1262">
        <v>638</v>
      </c>
      <c r="G190" s="1267">
        <v>48976</v>
      </c>
    </row>
    <row r="191" spans="1:7">
      <c r="A191" s="771">
        <v>168</v>
      </c>
      <c r="B191" s="716" t="s">
        <v>5891</v>
      </c>
      <c r="C191" s="1257">
        <v>2396214</v>
      </c>
      <c r="D191" s="1257">
        <v>376</v>
      </c>
      <c r="E191" s="1257">
        <v>2396214</v>
      </c>
      <c r="F191" s="1258">
        <v>376</v>
      </c>
      <c r="G191" s="1267">
        <v>177864</v>
      </c>
    </row>
    <row r="192" spans="1:7">
      <c r="A192" s="771">
        <v>169</v>
      </c>
      <c r="B192" s="716" t="s">
        <v>5892</v>
      </c>
      <c r="C192" s="1257">
        <v>0</v>
      </c>
      <c r="D192" s="1257">
        <v>0</v>
      </c>
      <c r="E192" s="1257">
        <v>0</v>
      </c>
      <c r="F192" s="1258">
        <v>0</v>
      </c>
      <c r="G192" s="1267">
        <v>0</v>
      </c>
    </row>
    <row r="193" spans="1:7">
      <c r="A193" s="771">
        <v>170</v>
      </c>
      <c r="B193" s="716" t="s">
        <v>5893</v>
      </c>
      <c r="C193" s="1257">
        <v>906454</v>
      </c>
      <c r="D193" s="1261">
        <v>1029</v>
      </c>
      <c r="E193" s="1257">
        <v>906454</v>
      </c>
      <c r="F193" s="1262">
        <v>1029</v>
      </c>
      <c r="G193" s="1267">
        <v>79198</v>
      </c>
    </row>
    <row r="194" spans="1:7">
      <c r="A194" s="771">
        <v>171</v>
      </c>
      <c r="B194" s="716" t="s">
        <v>5894</v>
      </c>
      <c r="C194" s="1257">
        <v>2265684</v>
      </c>
      <c r="D194" s="1261">
        <v>355</v>
      </c>
      <c r="E194" s="1257">
        <v>2265684</v>
      </c>
      <c r="F194" s="1262">
        <v>355</v>
      </c>
      <c r="G194" s="1267">
        <v>251653</v>
      </c>
    </row>
    <row r="195" spans="1:7">
      <c r="A195" s="771">
        <v>173</v>
      </c>
      <c r="B195" s="716" t="s">
        <v>5896</v>
      </c>
      <c r="C195" s="1257">
        <v>31600</v>
      </c>
      <c r="D195" s="1257">
        <v>1744</v>
      </c>
      <c r="E195" s="1257">
        <v>29797</v>
      </c>
      <c r="F195" s="1258">
        <v>1744</v>
      </c>
      <c r="G195" s="1267">
        <v>31160</v>
      </c>
    </row>
    <row r="196" spans="1:7">
      <c r="A196" s="771">
        <v>174</v>
      </c>
      <c r="B196" s="716" t="s">
        <v>5897</v>
      </c>
      <c r="C196" s="1257">
        <v>322197</v>
      </c>
      <c r="D196" s="1257">
        <v>557</v>
      </c>
      <c r="E196" s="1257">
        <f>SUM(C196:C198)</f>
        <v>1832848</v>
      </c>
      <c r="F196" s="1260">
        <f>SUMPRODUCT(C196:C198,D196:D198)/SUM(C196:C198)</f>
        <v>400.01517256204551</v>
      </c>
      <c r="G196" s="1267">
        <f>23265+SUM(G197:G198)</f>
        <v>25553</v>
      </c>
    </row>
    <row r="197" spans="1:7">
      <c r="A197" s="771" t="s">
        <v>7773</v>
      </c>
      <c r="B197" s="716" t="s">
        <v>7048</v>
      </c>
      <c r="C197" s="1257">
        <v>1056156</v>
      </c>
      <c r="D197" s="1257">
        <v>390</v>
      </c>
      <c r="E197" s="1259">
        <v>0</v>
      </c>
      <c r="F197" s="1260">
        <v>0</v>
      </c>
      <c r="G197" s="1268">
        <v>1955</v>
      </c>
    </row>
    <row r="198" spans="1:7">
      <c r="A198" s="771" t="s">
        <v>7773</v>
      </c>
      <c r="B198" s="716" t="s">
        <v>7049</v>
      </c>
      <c r="C198" s="1261">
        <v>454495</v>
      </c>
      <c r="D198" s="1257">
        <v>312</v>
      </c>
      <c r="E198" s="1259">
        <v>0</v>
      </c>
      <c r="F198" s="1260">
        <v>0</v>
      </c>
      <c r="G198" s="1268">
        <v>333</v>
      </c>
    </row>
    <row r="199" spans="1:7">
      <c r="A199" s="771">
        <v>179</v>
      </c>
      <c r="B199" s="716" t="s">
        <v>5899</v>
      </c>
      <c r="C199" s="1257">
        <v>31870</v>
      </c>
      <c r="D199" s="1257">
        <v>1101</v>
      </c>
      <c r="E199" s="1257">
        <v>31870</v>
      </c>
      <c r="F199" s="1258">
        <v>1101</v>
      </c>
      <c r="G199" s="1267">
        <v>30176</v>
      </c>
    </row>
    <row r="200" spans="1:7">
      <c r="A200" s="771">
        <v>183</v>
      </c>
      <c r="B200" s="716" t="s">
        <v>5901</v>
      </c>
      <c r="C200" s="1257">
        <v>20598</v>
      </c>
      <c r="D200" s="1257">
        <v>1369</v>
      </c>
      <c r="E200" s="1257">
        <v>20598</v>
      </c>
      <c r="F200" s="1258">
        <v>1369</v>
      </c>
      <c r="G200" s="1267">
        <v>16852</v>
      </c>
    </row>
    <row r="201" spans="1:7">
      <c r="A201" s="771">
        <v>185</v>
      </c>
      <c r="B201" s="716" t="s">
        <v>5902</v>
      </c>
      <c r="C201" s="1257">
        <f>SUM(C202:C204)</f>
        <v>8095881</v>
      </c>
      <c r="D201" s="1257">
        <v>484</v>
      </c>
      <c r="E201" s="1257">
        <f>SUM(C202:C204)</f>
        <v>8095881</v>
      </c>
      <c r="F201" s="1258">
        <f>SUMPRODUCT(C202:C204,D202:D204)/SUM(C202:C204)</f>
        <v>483.86578409440557</v>
      </c>
      <c r="G201" s="1267">
        <f>SUM(G202:G204)</f>
        <v>4099812</v>
      </c>
    </row>
    <row r="202" spans="1:7">
      <c r="A202" s="771" t="s">
        <v>7773</v>
      </c>
      <c r="B202" s="716" t="s">
        <v>7050</v>
      </c>
      <c r="C202" s="1257">
        <v>6763348</v>
      </c>
      <c r="D202" s="1257">
        <v>504.43762408795175</v>
      </c>
      <c r="E202" s="1257">
        <v>0</v>
      </c>
      <c r="F202" s="1258">
        <v>0</v>
      </c>
      <c r="G202" s="1268">
        <v>3453696</v>
      </c>
    </row>
    <row r="203" spans="1:7">
      <c r="A203" s="771" t="s">
        <v>7773</v>
      </c>
      <c r="B203" s="716" t="s">
        <v>7051</v>
      </c>
      <c r="C203" s="1257">
        <v>24393</v>
      </c>
      <c r="D203" s="1257">
        <v>2387.9281761160987</v>
      </c>
      <c r="E203" s="1257">
        <v>0</v>
      </c>
      <c r="F203" s="1258">
        <v>0</v>
      </c>
      <c r="G203" s="1268">
        <v>21325</v>
      </c>
    </row>
    <row r="204" spans="1:7">
      <c r="A204" s="771" t="s">
        <v>7773</v>
      </c>
      <c r="B204" s="716" t="s">
        <v>7052</v>
      </c>
      <c r="C204" s="1257">
        <v>1308140</v>
      </c>
      <c r="D204" s="1257">
        <v>342</v>
      </c>
      <c r="E204" s="1257">
        <v>0</v>
      </c>
      <c r="F204" s="1258">
        <v>0</v>
      </c>
      <c r="G204" s="1268">
        <v>624791</v>
      </c>
    </row>
    <row r="205" spans="1:7">
      <c r="A205" s="771">
        <v>184</v>
      </c>
      <c r="B205" s="716" t="s">
        <v>5903</v>
      </c>
      <c r="C205" s="1257">
        <v>0</v>
      </c>
      <c r="D205" s="1257">
        <v>0</v>
      </c>
      <c r="E205" s="1257">
        <v>0</v>
      </c>
      <c r="F205" s="1258">
        <v>0</v>
      </c>
      <c r="G205" s="1267">
        <v>0</v>
      </c>
    </row>
    <row r="206" spans="1:7">
      <c r="A206" s="771">
        <v>188</v>
      </c>
      <c r="B206" s="716" t="s">
        <v>5905</v>
      </c>
      <c r="C206" s="1257">
        <v>10201</v>
      </c>
      <c r="D206" s="1257">
        <v>358</v>
      </c>
      <c r="E206" s="1257">
        <v>10201</v>
      </c>
      <c r="F206" s="1258">
        <v>358</v>
      </c>
      <c r="G206" s="1267">
        <v>788</v>
      </c>
    </row>
    <row r="207" spans="1:7">
      <c r="A207" s="771">
        <v>189</v>
      </c>
      <c r="B207" s="716" t="s">
        <v>5906</v>
      </c>
      <c r="C207" s="1257">
        <v>15484</v>
      </c>
      <c r="D207" s="1257">
        <v>430</v>
      </c>
      <c r="E207" s="1257">
        <v>15484</v>
      </c>
      <c r="F207" s="1258">
        <v>430</v>
      </c>
      <c r="G207" s="1267">
        <v>811</v>
      </c>
    </row>
    <row r="208" spans="1:7">
      <c r="A208" s="771">
        <v>191</v>
      </c>
      <c r="B208" s="716" t="s">
        <v>5908</v>
      </c>
      <c r="C208" s="1257">
        <v>36314</v>
      </c>
      <c r="D208" s="1257">
        <v>553</v>
      </c>
      <c r="E208" s="1257">
        <v>36314</v>
      </c>
      <c r="F208" s="1258">
        <v>553</v>
      </c>
      <c r="G208" s="1267">
        <v>2082</v>
      </c>
    </row>
    <row r="209" spans="1:7">
      <c r="A209" s="771">
        <v>244</v>
      </c>
      <c r="B209" s="716" t="s">
        <v>5909</v>
      </c>
      <c r="C209" s="1257">
        <v>131812</v>
      </c>
      <c r="D209" s="1257">
        <v>195</v>
      </c>
      <c r="E209" s="1257">
        <v>131812</v>
      </c>
      <c r="F209" s="1258">
        <v>195</v>
      </c>
      <c r="G209" s="1267">
        <v>731</v>
      </c>
    </row>
    <row r="210" spans="1:7">
      <c r="A210" s="771">
        <v>192</v>
      </c>
      <c r="B210" s="716" t="s">
        <v>5910</v>
      </c>
      <c r="C210" s="1257">
        <v>0</v>
      </c>
      <c r="D210" s="1257">
        <v>0</v>
      </c>
      <c r="E210" s="1257">
        <v>0</v>
      </c>
      <c r="F210" s="1258">
        <v>0</v>
      </c>
      <c r="G210" s="1267">
        <v>0</v>
      </c>
    </row>
    <row r="211" spans="1:7">
      <c r="A211" s="771">
        <v>193</v>
      </c>
      <c r="B211" s="716" t="s">
        <v>5911</v>
      </c>
      <c r="C211" s="1257">
        <v>165364</v>
      </c>
      <c r="D211" s="1257">
        <v>716</v>
      </c>
      <c r="E211" s="1257">
        <v>165364</v>
      </c>
      <c r="F211" s="1258">
        <v>716</v>
      </c>
      <c r="G211" s="1267">
        <v>1441</v>
      </c>
    </row>
    <row r="212" spans="1:7">
      <c r="A212" s="771">
        <v>194</v>
      </c>
      <c r="B212" s="716" t="s">
        <v>5912</v>
      </c>
      <c r="C212" s="1257">
        <v>0</v>
      </c>
      <c r="D212" s="1257">
        <v>0</v>
      </c>
      <c r="E212" s="1257">
        <f>SUM(C213:C214)</f>
        <v>219905</v>
      </c>
      <c r="F212" s="1258">
        <f>SUMPRODUCT(C213:C214,D213:D214)/SUM(C213:C214)</f>
        <v>785.70936995520788</v>
      </c>
      <c r="G212" s="1267">
        <f>SUM(G213:G214)</f>
        <v>88946</v>
      </c>
    </row>
    <row r="213" spans="1:7">
      <c r="A213" s="771" t="s">
        <v>7773</v>
      </c>
      <c r="B213" s="716" t="s">
        <v>7053</v>
      </c>
      <c r="C213" s="1257">
        <v>34023</v>
      </c>
      <c r="D213" s="1257">
        <v>1101</v>
      </c>
      <c r="E213" s="1257">
        <v>0</v>
      </c>
      <c r="F213" s="1258">
        <v>0</v>
      </c>
      <c r="G213" s="1268">
        <v>30395</v>
      </c>
    </row>
    <row r="214" spans="1:7">
      <c r="A214" s="771" t="s">
        <v>7773</v>
      </c>
      <c r="B214" s="716" t="s">
        <v>7054</v>
      </c>
      <c r="C214" s="1257">
        <v>185882</v>
      </c>
      <c r="D214" s="1257">
        <v>728</v>
      </c>
      <c r="E214" s="1257">
        <v>0</v>
      </c>
      <c r="F214" s="1258">
        <v>0</v>
      </c>
      <c r="G214" s="1268">
        <v>58551</v>
      </c>
    </row>
    <row r="215" spans="1:7">
      <c r="A215" s="771">
        <v>195</v>
      </c>
      <c r="B215" s="716" t="s">
        <v>5913</v>
      </c>
      <c r="C215" s="1257">
        <v>157550</v>
      </c>
      <c r="D215" s="1257">
        <v>1396</v>
      </c>
      <c r="E215" s="1257">
        <v>157550</v>
      </c>
      <c r="F215" s="1258">
        <v>1396</v>
      </c>
      <c r="G215" s="1267">
        <v>21835</v>
      </c>
    </row>
    <row r="216" spans="1:7">
      <c r="A216" s="771">
        <v>196</v>
      </c>
      <c r="B216" s="716" t="s">
        <v>5916</v>
      </c>
      <c r="C216" s="1257">
        <v>1332031</v>
      </c>
      <c r="D216" s="1257">
        <v>354</v>
      </c>
      <c r="E216" s="1257">
        <v>1332031</v>
      </c>
      <c r="F216" s="1258">
        <v>354</v>
      </c>
      <c r="G216" s="1267">
        <v>48787</v>
      </c>
    </row>
    <row r="217" spans="1:7">
      <c r="A217" s="771">
        <v>197</v>
      </c>
      <c r="B217" s="716" t="s">
        <v>5917</v>
      </c>
      <c r="C217" s="1257">
        <v>159744</v>
      </c>
      <c r="D217" s="1257">
        <v>686</v>
      </c>
      <c r="E217" s="1257">
        <v>159744</v>
      </c>
      <c r="F217" s="1258">
        <v>686</v>
      </c>
      <c r="G217" s="1267">
        <v>26934</v>
      </c>
    </row>
    <row r="218" spans="1:7">
      <c r="A218" s="771">
        <v>200</v>
      </c>
      <c r="B218" s="716" t="s">
        <v>5918</v>
      </c>
      <c r="C218" s="1257">
        <v>823</v>
      </c>
      <c r="D218" s="1257">
        <v>1785</v>
      </c>
      <c r="E218" s="1257">
        <v>823</v>
      </c>
      <c r="F218" s="1258">
        <v>1785</v>
      </c>
      <c r="G218" s="1267">
        <v>552</v>
      </c>
    </row>
    <row r="219" spans="1:7">
      <c r="A219" s="771">
        <v>199</v>
      </c>
      <c r="B219" s="716" t="s">
        <v>5919</v>
      </c>
      <c r="C219" s="1257">
        <v>0</v>
      </c>
      <c r="D219" s="1257">
        <v>0</v>
      </c>
      <c r="E219" s="1257">
        <v>0</v>
      </c>
      <c r="F219" s="1258">
        <v>0</v>
      </c>
      <c r="G219" s="1267">
        <v>0</v>
      </c>
    </row>
    <row r="220" spans="1:7">
      <c r="A220" s="771">
        <v>198</v>
      </c>
      <c r="B220" s="716" t="s">
        <v>5920</v>
      </c>
      <c r="C220" s="1265">
        <v>186</v>
      </c>
      <c r="D220" s="1265">
        <v>510</v>
      </c>
      <c r="E220" s="1257">
        <v>186</v>
      </c>
      <c r="F220" s="1258">
        <v>510</v>
      </c>
      <c r="G220" s="1267">
        <v>158</v>
      </c>
    </row>
    <row r="221" spans="1:7">
      <c r="A221" s="771">
        <v>25</v>
      </c>
      <c r="B221" s="716" t="s">
        <v>5921</v>
      </c>
      <c r="C221" s="1257">
        <v>1597492</v>
      </c>
      <c r="D221" s="1257">
        <v>263</v>
      </c>
      <c r="E221" s="1257">
        <v>1597492</v>
      </c>
      <c r="F221" s="1258">
        <v>263</v>
      </c>
      <c r="G221" s="1267">
        <v>32759</v>
      </c>
    </row>
    <row r="222" spans="1:7">
      <c r="A222" s="771">
        <v>201</v>
      </c>
      <c r="B222" s="716" t="s">
        <v>5922</v>
      </c>
      <c r="C222" s="1257">
        <v>830389</v>
      </c>
      <c r="D222" s="1257">
        <v>882</v>
      </c>
      <c r="E222" s="1257">
        <v>830389</v>
      </c>
      <c r="F222" s="1258">
        <v>882</v>
      </c>
      <c r="G222" s="1267">
        <v>47511</v>
      </c>
    </row>
    <row r="223" spans="1:7">
      <c r="A223" s="771">
        <v>202</v>
      </c>
      <c r="B223" s="716" t="s">
        <v>5923</v>
      </c>
      <c r="C223" s="1257">
        <v>1066655</v>
      </c>
      <c r="D223" s="1257">
        <v>919</v>
      </c>
      <c r="E223" s="1257">
        <f>SUM(C223:C224)</f>
        <v>1540035</v>
      </c>
      <c r="F223" s="1258">
        <f>SUMPRODUCT(C223:C224,D223:D224)/SUM(C223:C224)</f>
        <v>748.40264344641514</v>
      </c>
      <c r="G223" s="1267">
        <f>159541+G224</f>
        <v>160096</v>
      </c>
    </row>
    <row r="224" spans="1:7">
      <c r="A224" s="771" t="s">
        <v>7773</v>
      </c>
      <c r="B224" s="716" t="s">
        <v>7055</v>
      </c>
      <c r="C224" s="1257">
        <v>473380</v>
      </c>
      <c r="D224" s="1257">
        <v>364</v>
      </c>
      <c r="E224" s="1259">
        <v>0</v>
      </c>
      <c r="F224" s="1260">
        <v>0</v>
      </c>
      <c r="G224" s="1268">
        <v>555</v>
      </c>
    </row>
    <row r="225" spans="1:7">
      <c r="A225" s="944">
        <v>277</v>
      </c>
      <c r="B225" s="716" t="s">
        <v>6397</v>
      </c>
      <c r="C225" s="1257" t="s">
        <v>6394</v>
      </c>
      <c r="D225" s="1257" t="s">
        <v>6394</v>
      </c>
      <c r="E225" s="1259" t="s">
        <v>6394</v>
      </c>
      <c r="F225" s="1260" t="s">
        <v>6394</v>
      </c>
      <c r="G225" s="1267">
        <v>0</v>
      </c>
    </row>
    <row r="226" spans="1:7">
      <c r="A226" s="771">
        <v>203</v>
      </c>
      <c r="B226" s="716" t="s">
        <v>5924</v>
      </c>
      <c r="C226" s="1257">
        <v>551874</v>
      </c>
      <c r="D226" s="1257">
        <v>592</v>
      </c>
      <c r="E226" s="1257">
        <f>SUM(C226:C227)</f>
        <v>1007271</v>
      </c>
      <c r="F226" s="1258">
        <f>SUMPRODUCT(C226:C227,D226:D227)/SUM(C226:C227)</f>
        <v>499.31750938923091</v>
      </c>
      <c r="G226" s="1267">
        <f>67979+G227</f>
        <v>72471</v>
      </c>
    </row>
    <row r="227" spans="1:7">
      <c r="A227" s="771" t="s">
        <v>7773</v>
      </c>
      <c r="B227" s="747" t="s">
        <v>7056</v>
      </c>
      <c r="C227" s="1261">
        <v>455397</v>
      </c>
      <c r="D227" s="1266">
        <v>387</v>
      </c>
      <c r="E227" s="1259">
        <v>0</v>
      </c>
      <c r="F227" s="1260">
        <v>0</v>
      </c>
      <c r="G227" s="1268">
        <v>4492</v>
      </c>
    </row>
    <row r="228" spans="1:7">
      <c r="A228" s="771">
        <v>38</v>
      </c>
      <c r="B228" s="716" t="s">
        <v>5925</v>
      </c>
      <c r="C228" s="1257">
        <v>530684</v>
      </c>
      <c r="D228" s="1257">
        <v>607</v>
      </c>
      <c r="E228" s="1257">
        <v>530684</v>
      </c>
      <c r="F228" s="1258">
        <v>607</v>
      </c>
      <c r="G228" s="1267">
        <v>29885</v>
      </c>
    </row>
    <row r="229" spans="1:7">
      <c r="A229" s="944">
        <v>276</v>
      </c>
      <c r="B229" s="716" t="s">
        <v>5926</v>
      </c>
      <c r="C229" s="1257">
        <v>88067</v>
      </c>
      <c r="D229" s="1257">
        <v>743</v>
      </c>
      <c r="E229" s="1257">
        <v>88067</v>
      </c>
      <c r="F229" s="1258">
        <v>743</v>
      </c>
      <c r="G229" s="1267">
        <v>13047</v>
      </c>
    </row>
    <row r="230" spans="1:7">
      <c r="A230" s="771">
        <v>207</v>
      </c>
      <c r="B230" s="716" t="s">
        <v>5927</v>
      </c>
      <c r="C230" s="1257">
        <v>128318</v>
      </c>
      <c r="D230" s="1257">
        <v>911</v>
      </c>
      <c r="E230" s="1257">
        <v>128318</v>
      </c>
      <c r="F230" s="1258">
        <v>911</v>
      </c>
      <c r="G230" s="1267">
        <v>55700</v>
      </c>
    </row>
    <row r="231" spans="1:7">
      <c r="A231" s="771">
        <v>209</v>
      </c>
      <c r="B231" s="716" t="s">
        <v>5928</v>
      </c>
      <c r="C231" s="1257">
        <v>0</v>
      </c>
      <c r="D231" s="1257">
        <v>0</v>
      </c>
      <c r="E231" s="1257">
        <v>0</v>
      </c>
      <c r="F231" s="1258">
        <v>0</v>
      </c>
      <c r="G231" s="1267">
        <v>0</v>
      </c>
    </row>
    <row r="232" spans="1:7">
      <c r="A232" s="771">
        <v>210</v>
      </c>
      <c r="B232" s="716" t="s">
        <v>5929</v>
      </c>
      <c r="C232" s="1257">
        <v>170086</v>
      </c>
      <c r="D232" s="1257">
        <v>1799</v>
      </c>
      <c r="E232" s="1257">
        <v>170086</v>
      </c>
      <c r="F232" s="1258">
        <v>1799</v>
      </c>
      <c r="G232" s="1267">
        <v>149848</v>
      </c>
    </row>
    <row r="233" spans="1:7">
      <c r="A233" s="771">
        <v>211</v>
      </c>
      <c r="B233" s="716" t="s">
        <v>5930</v>
      </c>
      <c r="C233" s="1257">
        <v>0</v>
      </c>
      <c r="D233" s="1257">
        <v>0</v>
      </c>
      <c r="E233" s="1257">
        <v>0</v>
      </c>
      <c r="F233" s="1258">
        <v>0</v>
      </c>
      <c r="G233" s="1267">
        <v>0</v>
      </c>
    </row>
    <row r="234" spans="1:7">
      <c r="A234" s="771">
        <v>212</v>
      </c>
      <c r="B234" s="716" t="s">
        <v>5931</v>
      </c>
      <c r="C234" s="1257">
        <v>10222</v>
      </c>
      <c r="D234" s="1257">
        <v>366</v>
      </c>
      <c r="E234" s="1257">
        <v>10222</v>
      </c>
      <c r="F234" s="1258">
        <v>366</v>
      </c>
      <c r="G234" s="1267">
        <v>969</v>
      </c>
    </row>
    <row r="235" spans="1:7">
      <c r="A235" s="771">
        <v>208</v>
      </c>
      <c r="B235" s="716" t="s">
        <v>5933</v>
      </c>
      <c r="C235" s="1257">
        <v>0</v>
      </c>
      <c r="D235" s="1257">
        <v>0</v>
      </c>
      <c r="E235" s="1257">
        <v>0</v>
      </c>
      <c r="F235" s="1258">
        <v>0</v>
      </c>
      <c r="G235" s="1267">
        <v>0</v>
      </c>
    </row>
    <row r="236" spans="1:7">
      <c r="A236" s="771">
        <v>215</v>
      </c>
      <c r="B236" s="716" t="s">
        <v>5934</v>
      </c>
      <c r="C236" s="1257">
        <v>241541</v>
      </c>
      <c r="D236" s="1257">
        <v>547</v>
      </c>
      <c r="E236" s="1257">
        <v>241541</v>
      </c>
      <c r="F236" s="1258">
        <v>547</v>
      </c>
      <c r="G236" s="1267">
        <v>16929</v>
      </c>
    </row>
    <row r="237" spans="1:7">
      <c r="A237" s="771">
        <v>216</v>
      </c>
      <c r="B237" s="716" t="s">
        <v>5935</v>
      </c>
      <c r="C237" s="1265">
        <v>306365</v>
      </c>
      <c r="D237" s="1265">
        <v>769</v>
      </c>
      <c r="E237" s="1257">
        <v>306365</v>
      </c>
      <c r="F237" s="1258">
        <v>769</v>
      </c>
      <c r="G237" s="1267">
        <v>232634</v>
      </c>
    </row>
    <row r="238" spans="1:7">
      <c r="A238" s="771">
        <v>176</v>
      </c>
      <c r="B238" s="716" t="s">
        <v>5936</v>
      </c>
      <c r="C238" s="1257">
        <v>77256</v>
      </c>
      <c r="D238" s="1257">
        <v>606</v>
      </c>
      <c r="E238" s="1257">
        <v>77256</v>
      </c>
      <c r="F238" s="1258">
        <v>606</v>
      </c>
      <c r="G238" s="1267">
        <v>24003</v>
      </c>
    </row>
    <row r="239" spans="1:7">
      <c r="A239" s="771">
        <v>217</v>
      </c>
      <c r="B239" s="716" t="s">
        <v>5937</v>
      </c>
      <c r="C239" s="1257">
        <v>15375</v>
      </c>
      <c r="D239" s="1257">
        <v>729</v>
      </c>
      <c r="E239" s="1257">
        <v>15375</v>
      </c>
      <c r="F239" s="1258">
        <v>729</v>
      </c>
      <c r="G239" s="1267">
        <v>1048</v>
      </c>
    </row>
    <row r="240" spans="1:7">
      <c r="A240" s="771">
        <v>219</v>
      </c>
      <c r="B240" s="716" t="s">
        <v>5939</v>
      </c>
      <c r="C240" s="1257">
        <v>664853</v>
      </c>
      <c r="D240" s="1257">
        <v>217</v>
      </c>
      <c r="E240" s="1257">
        <v>664853</v>
      </c>
      <c r="F240" s="1258">
        <v>217</v>
      </c>
      <c r="G240" s="1267">
        <v>3431</v>
      </c>
    </row>
    <row r="241" spans="1:7">
      <c r="A241" s="771">
        <v>220</v>
      </c>
      <c r="B241" s="716" t="s">
        <v>5940</v>
      </c>
      <c r="C241" s="1257">
        <v>77502</v>
      </c>
      <c r="D241" s="1257">
        <v>1195</v>
      </c>
      <c r="E241" s="1257">
        <v>77502</v>
      </c>
      <c r="F241" s="1258">
        <v>1195</v>
      </c>
      <c r="G241" s="1267">
        <v>21136</v>
      </c>
    </row>
    <row r="242" spans="1:7">
      <c r="A242" s="771">
        <v>222</v>
      </c>
      <c r="B242" s="716" t="s">
        <v>5941</v>
      </c>
      <c r="C242" s="1257">
        <v>102362</v>
      </c>
      <c r="D242" s="1257">
        <v>472</v>
      </c>
      <c r="E242" s="1257">
        <v>102362</v>
      </c>
      <c r="F242" s="1258">
        <v>472</v>
      </c>
      <c r="G242" s="1267">
        <v>66322</v>
      </c>
    </row>
    <row r="243" spans="1:7">
      <c r="A243" s="771">
        <v>223</v>
      </c>
      <c r="B243" s="716" t="s">
        <v>5942</v>
      </c>
      <c r="C243" s="1257">
        <v>0</v>
      </c>
      <c r="D243" s="1257">
        <v>0</v>
      </c>
      <c r="E243" s="1257">
        <f>SUM(C244:C245)</f>
        <v>255787</v>
      </c>
      <c r="F243" s="1258">
        <f>SUMPRODUCT(C244:C245,D244:D245)/SUM(C244:C245)</f>
        <v>811.8011040435988</v>
      </c>
      <c r="G243" s="1267">
        <f>SUM(G244:G245)</f>
        <v>46698</v>
      </c>
    </row>
    <row r="244" spans="1:7">
      <c r="A244" s="771" t="s">
        <v>7773</v>
      </c>
      <c r="B244" s="716" t="s">
        <v>7057</v>
      </c>
      <c r="C244" s="1257">
        <v>172199</v>
      </c>
      <c r="D244" s="1257">
        <v>935</v>
      </c>
      <c r="E244" s="1257">
        <v>0</v>
      </c>
      <c r="F244" s="1258">
        <v>0</v>
      </c>
      <c r="G244" s="1268">
        <v>17848</v>
      </c>
    </row>
    <row r="245" spans="1:7">
      <c r="A245" s="771" t="s">
        <v>7773</v>
      </c>
      <c r="B245" s="716" t="s">
        <v>7058</v>
      </c>
      <c r="C245" s="1257">
        <v>83588</v>
      </c>
      <c r="D245" s="1257">
        <v>558</v>
      </c>
      <c r="E245" s="1257">
        <v>0</v>
      </c>
      <c r="F245" s="1258">
        <v>0</v>
      </c>
      <c r="G245" s="1268">
        <v>28850</v>
      </c>
    </row>
    <row r="246" spans="1:7">
      <c r="A246" s="771">
        <v>213</v>
      </c>
      <c r="B246" s="716" t="s">
        <v>5943</v>
      </c>
      <c r="C246" s="1257">
        <v>0</v>
      </c>
      <c r="D246" s="1257">
        <v>0</v>
      </c>
      <c r="E246" s="1257">
        <v>0</v>
      </c>
      <c r="F246" s="1258">
        <v>0</v>
      </c>
      <c r="G246" s="1267">
        <v>0</v>
      </c>
    </row>
    <row r="247" spans="1:7">
      <c r="A247" s="771">
        <v>227</v>
      </c>
      <c r="B247" s="716" t="s">
        <v>5945</v>
      </c>
      <c r="C247" s="1257">
        <v>751797</v>
      </c>
      <c r="D247" s="1257">
        <v>215</v>
      </c>
      <c r="E247" s="1257">
        <v>751797</v>
      </c>
      <c r="F247" s="1258">
        <v>215</v>
      </c>
      <c r="G247" s="1267">
        <v>1422</v>
      </c>
    </row>
    <row r="248" spans="1:7">
      <c r="A248" s="771">
        <v>226</v>
      </c>
      <c r="B248" s="716" t="s">
        <v>5946</v>
      </c>
      <c r="C248" s="1257">
        <v>0</v>
      </c>
      <c r="D248" s="1257">
        <v>0</v>
      </c>
      <c r="E248" s="1257">
        <v>0</v>
      </c>
      <c r="F248" s="1258">
        <v>0</v>
      </c>
      <c r="G248" s="1267">
        <v>0</v>
      </c>
    </row>
    <row r="249" spans="1:7">
      <c r="A249" s="771">
        <v>229</v>
      </c>
      <c r="B249" s="716" t="s">
        <v>5949</v>
      </c>
      <c r="C249" s="1257">
        <v>773676</v>
      </c>
      <c r="D249" s="1257">
        <v>870</v>
      </c>
      <c r="E249" s="1257">
        <f>SUM(C249:C252)</f>
        <v>3419586</v>
      </c>
      <c r="F249" s="1258">
        <f>SUMPRODUCT(C249:C252,D249:D252)/SUM(C249:C252)</f>
        <v>498.76515929121246</v>
      </c>
      <c r="G249" s="1267">
        <f>524645+SUM(G250:G252)</f>
        <v>527060</v>
      </c>
    </row>
    <row r="250" spans="1:7">
      <c r="A250" s="771" t="s">
        <v>7773</v>
      </c>
      <c r="B250" s="716" t="s">
        <v>7059</v>
      </c>
      <c r="C250" s="1257">
        <v>441658</v>
      </c>
      <c r="D250" s="1257">
        <v>312</v>
      </c>
      <c r="E250" s="1259">
        <v>0</v>
      </c>
      <c r="F250" s="1260">
        <v>0</v>
      </c>
      <c r="G250" s="1268">
        <v>2109</v>
      </c>
    </row>
    <row r="251" spans="1:7">
      <c r="A251" s="771" t="s">
        <v>7773</v>
      </c>
      <c r="B251" s="716" t="s">
        <v>7060</v>
      </c>
      <c r="C251" s="1257">
        <v>1449532</v>
      </c>
      <c r="D251" s="1257">
        <v>385</v>
      </c>
      <c r="E251" s="1259">
        <v>0</v>
      </c>
      <c r="F251" s="1260">
        <v>0</v>
      </c>
      <c r="G251" s="1268">
        <v>15</v>
      </c>
    </row>
    <row r="252" spans="1:7">
      <c r="A252" s="771" t="s">
        <v>7773</v>
      </c>
      <c r="B252" s="716" t="s">
        <v>7061</v>
      </c>
      <c r="C252" s="1257">
        <v>754720</v>
      </c>
      <c r="D252" s="1257">
        <v>446</v>
      </c>
      <c r="E252" s="1259">
        <v>0</v>
      </c>
      <c r="F252" s="1260">
        <v>0</v>
      </c>
      <c r="G252" s="1268">
        <v>291</v>
      </c>
    </row>
    <row r="253" spans="1:7">
      <c r="A253" s="771">
        <v>258</v>
      </c>
      <c r="B253" s="716" t="s">
        <v>5734</v>
      </c>
      <c r="C253" s="1257">
        <v>92178</v>
      </c>
      <c r="D253" s="1257">
        <v>229</v>
      </c>
      <c r="E253" s="1257">
        <v>92178</v>
      </c>
      <c r="F253" s="1258">
        <v>229</v>
      </c>
      <c r="G253" s="1267">
        <v>2109</v>
      </c>
    </row>
    <row r="254" spans="1:7">
      <c r="A254" s="771">
        <v>17</v>
      </c>
      <c r="B254" s="716" t="s">
        <v>5749</v>
      </c>
      <c r="C254" s="1257">
        <v>450370</v>
      </c>
      <c r="D254" s="1257">
        <v>304</v>
      </c>
      <c r="E254" s="1257">
        <v>450370</v>
      </c>
      <c r="F254" s="1258">
        <v>304</v>
      </c>
      <c r="G254" s="1267">
        <v>291</v>
      </c>
    </row>
    <row r="255" spans="1:7">
      <c r="A255" s="771">
        <v>24</v>
      </c>
      <c r="B255" s="716" t="s">
        <v>5755</v>
      </c>
      <c r="C255" s="1257">
        <v>638568</v>
      </c>
      <c r="D255" s="1261">
        <v>300</v>
      </c>
      <c r="E255" s="1257">
        <v>638568</v>
      </c>
      <c r="F255" s="1262">
        <v>300</v>
      </c>
      <c r="G255" s="1267">
        <v>17194</v>
      </c>
    </row>
    <row r="256" spans="1:7">
      <c r="A256" s="771">
        <v>239</v>
      </c>
      <c r="B256" s="716" t="s">
        <v>5756</v>
      </c>
      <c r="C256" s="1257">
        <v>80117</v>
      </c>
      <c r="D256" s="1257">
        <v>234</v>
      </c>
      <c r="E256" s="1257">
        <v>80117</v>
      </c>
      <c r="F256" s="1258">
        <v>234</v>
      </c>
      <c r="G256" s="1267">
        <v>3062</v>
      </c>
    </row>
    <row r="257" spans="1:7">
      <c r="A257" s="771">
        <v>36</v>
      </c>
      <c r="B257" s="716" t="s">
        <v>5764</v>
      </c>
      <c r="C257" s="1257">
        <v>119137</v>
      </c>
      <c r="D257" s="1257">
        <v>288</v>
      </c>
      <c r="E257" s="1257">
        <v>119137</v>
      </c>
      <c r="F257" s="1258">
        <v>288</v>
      </c>
      <c r="G257" s="1267">
        <v>268</v>
      </c>
    </row>
    <row r="258" spans="1:7">
      <c r="A258" s="771">
        <v>259</v>
      </c>
      <c r="B258" s="716" t="s">
        <v>5767</v>
      </c>
      <c r="C258" s="1257">
        <v>11658</v>
      </c>
      <c r="D258" s="1257">
        <v>1166</v>
      </c>
      <c r="E258" s="1257">
        <v>11658</v>
      </c>
      <c r="F258" s="1258">
        <v>1166</v>
      </c>
      <c r="G258" s="1267">
        <v>11521</v>
      </c>
    </row>
    <row r="259" spans="1:7">
      <c r="A259" s="771">
        <v>65</v>
      </c>
      <c r="B259" s="716" t="s">
        <v>5796</v>
      </c>
      <c r="C259" s="1257">
        <v>550872</v>
      </c>
      <c r="D259" s="1257">
        <v>876</v>
      </c>
      <c r="E259" s="1257">
        <v>550872</v>
      </c>
      <c r="F259" s="1258">
        <v>876</v>
      </c>
      <c r="G259" s="1267">
        <v>179234</v>
      </c>
    </row>
    <row r="260" spans="1:7">
      <c r="A260" s="771">
        <v>142</v>
      </c>
      <c r="B260" s="716" t="s">
        <v>5867</v>
      </c>
      <c r="C260" s="1261">
        <v>7582</v>
      </c>
      <c r="D260" s="1257">
        <v>355</v>
      </c>
      <c r="E260" s="1261">
        <v>7582</v>
      </c>
      <c r="F260" s="1258">
        <v>355</v>
      </c>
      <c r="G260" s="1267">
        <v>145</v>
      </c>
    </row>
    <row r="261" spans="1:7">
      <c r="A261" s="771">
        <v>172</v>
      </c>
      <c r="B261" s="716" t="s">
        <v>5895</v>
      </c>
      <c r="C261" s="1257">
        <v>836108</v>
      </c>
      <c r="D261" s="1257">
        <v>126</v>
      </c>
      <c r="E261" s="1257">
        <v>836108</v>
      </c>
      <c r="F261" s="1258">
        <v>126</v>
      </c>
      <c r="G261" s="1267">
        <v>48</v>
      </c>
    </row>
    <row r="262" spans="1:7">
      <c r="A262" s="771">
        <v>187</v>
      </c>
      <c r="B262" s="716" t="s">
        <v>5904</v>
      </c>
      <c r="C262" s="1257">
        <v>444916</v>
      </c>
      <c r="D262" s="1257">
        <v>252</v>
      </c>
      <c r="E262" s="1257">
        <v>444916</v>
      </c>
      <c r="F262" s="1258">
        <v>252</v>
      </c>
      <c r="G262" s="1267">
        <v>185</v>
      </c>
    </row>
    <row r="263" spans="1:7">
      <c r="A263" s="771">
        <v>224</v>
      </c>
      <c r="B263" s="716" t="s">
        <v>5944</v>
      </c>
      <c r="C263" s="1257">
        <v>154068</v>
      </c>
      <c r="D263" s="1257">
        <v>221</v>
      </c>
      <c r="E263" s="1257">
        <v>154068</v>
      </c>
      <c r="F263" s="1258">
        <v>221</v>
      </c>
      <c r="G263" s="1267">
        <v>7395</v>
      </c>
    </row>
    <row r="264" spans="1:7">
      <c r="A264" s="771">
        <v>230</v>
      </c>
      <c r="B264" s="716" t="s">
        <v>5947</v>
      </c>
      <c r="C264" s="1257">
        <v>144038</v>
      </c>
      <c r="D264" s="1257">
        <v>1046</v>
      </c>
      <c r="E264" s="1257">
        <v>144038</v>
      </c>
      <c r="F264" s="1258">
        <v>1046</v>
      </c>
      <c r="G264" s="1267">
        <v>78552</v>
      </c>
    </row>
    <row r="265" spans="1:7">
      <c r="A265" s="771">
        <v>225</v>
      </c>
      <c r="B265" s="716" t="s">
        <v>5948</v>
      </c>
      <c r="C265" s="1257">
        <v>57194</v>
      </c>
      <c r="D265" s="1257">
        <v>1134</v>
      </c>
      <c r="E265" s="1257">
        <v>57194</v>
      </c>
      <c r="F265" s="1258">
        <v>1134</v>
      </c>
      <c r="G265" s="1267">
        <v>51080</v>
      </c>
    </row>
    <row r="266" spans="1:7">
      <c r="A266" s="771">
        <v>234</v>
      </c>
      <c r="B266" s="716" t="s">
        <v>5951</v>
      </c>
      <c r="C266" s="1257">
        <v>132286</v>
      </c>
      <c r="D266" s="1257">
        <v>1594</v>
      </c>
      <c r="E266" s="1257">
        <v>132286</v>
      </c>
      <c r="F266" s="1258">
        <v>1594</v>
      </c>
      <c r="G266" s="1267">
        <v>63854</v>
      </c>
    </row>
    <row r="267" spans="1:7">
      <c r="A267" s="771">
        <v>231</v>
      </c>
      <c r="B267" s="716" t="s">
        <v>5950</v>
      </c>
      <c r="C267" s="1257">
        <v>0</v>
      </c>
      <c r="D267" s="1257">
        <v>0</v>
      </c>
      <c r="E267" s="1257">
        <f>SUM(C268:C276)</f>
        <v>10240570</v>
      </c>
      <c r="F267" s="1258">
        <f>SUMPRODUCT(C268:C276,D268:D276)/SUM(C268:C276)</f>
        <v>533.17585505494321</v>
      </c>
      <c r="G267" s="1267">
        <f>SUM(G268:G276)</f>
        <v>2067940</v>
      </c>
    </row>
    <row r="268" spans="1:7">
      <c r="A268" s="772" t="s">
        <v>7773</v>
      </c>
      <c r="B268" s="716" t="s">
        <v>7062</v>
      </c>
      <c r="C268" s="1257">
        <v>825549</v>
      </c>
      <c r="D268" s="1257">
        <v>885</v>
      </c>
      <c r="E268" s="1257"/>
      <c r="F268" s="1258">
        <v>0</v>
      </c>
      <c r="G268" s="1268">
        <v>62989</v>
      </c>
    </row>
    <row r="269" spans="1:7">
      <c r="A269" s="772" t="s">
        <v>7773</v>
      </c>
      <c r="B269" s="750" t="s">
        <v>7063</v>
      </c>
      <c r="C269" s="1257">
        <v>915763</v>
      </c>
      <c r="D269" s="1257">
        <v>796</v>
      </c>
      <c r="E269" s="1259">
        <v>0</v>
      </c>
      <c r="F269" s="1260">
        <v>0</v>
      </c>
      <c r="G269" s="1268">
        <v>345839</v>
      </c>
    </row>
    <row r="270" spans="1:7">
      <c r="A270" s="772" t="s">
        <v>7773</v>
      </c>
      <c r="B270" s="750" t="s">
        <v>7064</v>
      </c>
      <c r="C270" s="1257">
        <v>707832</v>
      </c>
      <c r="D270" s="1257">
        <v>660</v>
      </c>
      <c r="E270" s="1259">
        <v>0</v>
      </c>
      <c r="F270" s="1260">
        <v>0</v>
      </c>
      <c r="G270" s="1268">
        <v>328217</v>
      </c>
    </row>
    <row r="271" spans="1:7">
      <c r="A271" s="772" t="s">
        <v>7773</v>
      </c>
      <c r="B271" s="750" t="s">
        <v>7065</v>
      </c>
      <c r="C271" s="1257">
        <v>3770021</v>
      </c>
      <c r="D271" s="1257">
        <v>650</v>
      </c>
      <c r="E271" s="1259">
        <v>0</v>
      </c>
      <c r="F271" s="1260">
        <v>0</v>
      </c>
      <c r="G271" s="1268">
        <v>1319692</v>
      </c>
    </row>
    <row r="272" spans="1:7">
      <c r="A272" s="771" t="s">
        <v>7773</v>
      </c>
      <c r="B272" s="716" t="s">
        <v>7066</v>
      </c>
      <c r="C272" s="1257">
        <v>434921</v>
      </c>
      <c r="D272" s="1257">
        <v>402</v>
      </c>
      <c r="E272" s="1259">
        <v>0</v>
      </c>
      <c r="F272" s="1260">
        <v>0</v>
      </c>
      <c r="G272" s="1268">
        <v>0</v>
      </c>
    </row>
    <row r="273" spans="1:7">
      <c r="A273" s="771" t="s">
        <v>7773</v>
      </c>
      <c r="B273" s="716" t="s">
        <v>7067</v>
      </c>
      <c r="C273" s="1257">
        <v>2474884</v>
      </c>
      <c r="D273" s="1257">
        <v>235.84986043790335</v>
      </c>
      <c r="E273" s="1259">
        <v>0</v>
      </c>
      <c r="F273" s="1260">
        <v>0</v>
      </c>
      <c r="G273" s="1268">
        <v>11106</v>
      </c>
    </row>
    <row r="274" spans="1:7">
      <c r="A274" s="771" t="s">
        <v>7773</v>
      </c>
      <c r="B274" s="716" t="s">
        <v>7068</v>
      </c>
      <c r="C274" s="1257">
        <v>316665</v>
      </c>
      <c r="D274" s="1257">
        <v>402</v>
      </c>
      <c r="E274" s="1259">
        <v>0</v>
      </c>
      <c r="F274" s="1260">
        <v>0</v>
      </c>
      <c r="G274" s="1268">
        <v>0</v>
      </c>
    </row>
    <row r="275" spans="1:7">
      <c r="A275" s="771" t="s">
        <v>7773</v>
      </c>
      <c r="B275" s="716" t="s">
        <v>7069</v>
      </c>
      <c r="C275" s="1257">
        <v>442635</v>
      </c>
      <c r="D275" s="1257">
        <v>199</v>
      </c>
      <c r="E275" s="1259">
        <v>0</v>
      </c>
      <c r="F275" s="1260">
        <v>0</v>
      </c>
      <c r="G275" s="1268">
        <v>17</v>
      </c>
    </row>
    <row r="276" spans="1:7">
      <c r="A276" s="771" t="s">
        <v>7773</v>
      </c>
      <c r="B276" s="716" t="s">
        <v>7070</v>
      </c>
      <c r="C276" s="1257">
        <v>352300</v>
      </c>
      <c r="D276" s="1257">
        <v>309</v>
      </c>
      <c r="E276" s="1259">
        <v>0</v>
      </c>
      <c r="F276" s="1260">
        <v>0</v>
      </c>
      <c r="G276" s="1268">
        <v>80</v>
      </c>
    </row>
    <row r="277" spans="1:7">
      <c r="A277" s="771">
        <v>88</v>
      </c>
      <c r="B277" s="716" t="s">
        <v>5813</v>
      </c>
      <c r="C277" s="1257">
        <v>221504</v>
      </c>
      <c r="D277" s="1257">
        <v>174</v>
      </c>
      <c r="E277" s="1257">
        <v>221504</v>
      </c>
      <c r="F277" s="1258">
        <v>174</v>
      </c>
      <c r="G277" s="1267">
        <v>274</v>
      </c>
    </row>
    <row r="278" spans="1:7">
      <c r="A278" s="771">
        <v>163</v>
      </c>
      <c r="B278" s="716" t="s">
        <v>5883</v>
      </c>
      <c r="C278" s="1261">
        <v>749268</v>
      </c>
      <c r="D278" s="1257">
        <v>186</v>
      </c>
      <c r="E278" s="1261">
        <v>749268</v>
      </c>
      <c r="F278" s="1258">
        <v>186</v>
      </c>
      <c r="G278" s="1267">
        <v>1463</v>
      </c>
    </row>
    <row r="279" spans="1:7">
      <c r="A279" s="771">
        <v>177</v>
      </c>
      <c r="B279" s="716" t="s">
        <v>5898</v>
      </c>
      <c r="C279" s="1257">
        <v>177685</v>
      </c>
      <c r="D279" s="1257">
        <v>321</v>
      </c>
      <c r="E279" s="1257">
        <v>177685</v>
      </c>
      <c r="F279" s="1258">
        <v>321</v>
      </c>
      <c r="G279" s="1267">
        <v>5093</v>
      </c>
    </row>
    <row r="280" spans="1:7">
      <c r="A280" s="771">
        <v>240</v>
      </c>
      <c r="B280" s="716" t="s">
        <v>6153</v>
      </c>
      <c r="C280" s="1257">
        <v>6107</v>
      </c>
      <c r="D280" s="1257">
        <v>347</v>
      </c>
      <c r="E280" s="1257">
        <v>6107</v>
      </c>
      <c r="F280" s="1258">
        <v>347</v>
      </c>
      <c r="G280" s="1267">
        <v>1901</v>
      </c>
    </row>
    <row r="281" spans="1:7">
      <c r="A281" s="771">
        <v>242</v>
      </c>
      <c r="B281" s="716" t="s">
        <v>5957</v>
      </c>
      <c r="C281" s="1257">
        <v>407241</v>
      </c>
      <c r="D281" s="1257">
        <v>170</v>
      </c>
      <c r="E281" s="1257">
        <v>407241</v>
      </c>
      <c r="F281" s="1258">
        <v>170</v>
      </c>
      <c r="G281" s="1267">
        <v>13</v>
      </c>
    </row>
    <row r="282" spans="1:7">
      <c r="A282" s="771">
        <v>235</v>
      </c>
      <c r="B282" s="716" t="s">
        <v>5953</v>
      </c>
      <c r="C282" s="1257">
        <v>0</v>
      </c>
      <c r="D282" s="1257">
        <v>0</v>
      </c>
      <c r="E282" s="1257">
        <v>0</v>
      </c>
      <c r="F282" s="1258">
        <v>0</v>
      </c>
      <c r="G282" s="1267">
        <v>0</v>
      </c>
    </row>
    <row r="283" spans="1:7">
      <c r="A283" s="771">
        <v>155</v>
      </c>
      <c r="B283" s="716" t="s">
        <v>5954</v>
      </c>
      <c r="C283" s="1257">
        <v>827891</v>
      </c>
      <c r="D283" s="1257">
        <v>292</v>
      </c>
      <c r="E283" s="1257">
        <v>827891</v>
      </c>
      <c r="F283" s="1258">
        <v>292</v>
      </c>
      <c r="G283" s="1267">
        <v>7744</v>
      </c>
    </row>
    <row r="284" spans="1:7">
      <c r="A284" s="771">
        <v>236</v>
      </c>
      <c r="B284" s="716" t="s">
        <v>5955</v>
      </c>
      <c r="C284" s="1257">
        <v>471507</v>
      </c>
      <c r="D284" s="1257">
        <v>851</v>
      </c>
      <c r="E284" s="1257">
        <v>471507</v>
      </c>
      <c r="F284" s="1258">
        <v>851</v>
      </c>
      <c r="G284" s="1267">
        <v>99889</v>
      </c>
    </row>
    <row r="285" spans="1:7">
      <c r="A285" s="771">
        <v>237</v>
      </c>
      <c r="B285" s="716" t="s">
        <v>5956</v>
      </c>
      <c r="C285" s="1257">
        <v>1396299</v>
      </c>
      <c r="D285" s="1257">
        <v>452</v>
      </c>
      <c r="E285" s="1257">
        <v>1396299</v>
      </c>
      <c r="F285" s="1258">
        <v>452</v>
      </c>
      <c r="G285" s="1267">
        <v>424969</v>
      </c>
    </row>
    <row r="286" spans="1:7">
      <c r="A286" s="771">
        <v>249</v>
      </c>
      <c r="B286" s="716" t="s">
        <v>5960</v>
      </c>
      <c r="C286" s="1257">
        <v>544416</v>
      </c>
      <c r="D286" s="1257">
        <v>1145</v>
      </c>
      <c r="E286" s="1257">
        <v>544416</v>
      </c>
      <c r="F286" s="1258">
        <v>1145</v>
      </c>
      <c r="G286" s="1267">
        <v>59021</v>
      </c>
    </row>
    <row r="287" spans="1:7">
      <c r="A287" s="771">
        <v>251</v>
      </c>
      <c r="B287" s="716" t="s">
        <v>5962</v>
      </c>
      <c r="C287" s="1257">
        <v>0</v>
      </c>
      <c r="D287" s="1257">
        <v>0</v>
      </c>
      <c r="E287" s="1257">
        <v>0</v>
      </c>
      <c r="F287" s="1258">
        <v>0</v>
      </c>
      <c r="G287" s="1267">
        <v>0</v>
      </c>
    </row>
    <row r="288" spans="1:7">
      <c r="A288" s="771">
        <v>181</v>
      </c>
      <c r="B288" s="716" t="s">
        <v>5963</v>
      </c>
      <c r="C288" s="1257">
        <v>0</v>
      </c>
      <c r="D288" s="1257">
        <v>0</v>
      </c>
      <c r="E288" s="1257">
        <v>0</v>
      </c>
      <c r="F288" s="1258">
        <v>0</v>
      </c>
      <c r="G288" s="1267">
        <v>0</v>
      </c>
    </row>
    <row r="289" spans="1:7">
      <c r="A289" s="771">
        <v>5001</v>
      </c>
      <c r="B289" s="753" t="s">
        <v>3094</v>
      </c>
      <c r="C289" s="903" t="s">
        <v>6394</v>
      </c>
      <c r="D289" s="903" t="s">
        <v>6394</v>
      </c>
      <c r="E289" s="790">
        <f>SUM(E8:E288)</f>
        <v>141772494</v>
      </c>
      <c r="F289" s="903">
        <f>SUMPRODUCT(E8:E288,F8:F288)/SUM(E8:E288)</f>
        <v>503.83624634550057</v>
      </c>
      <c r="G289" s="1033">
        <f>SUMIF(F8:F288,"&gt;0",G8:G288)</f>
        <v>25217636.5</v>
      </c>
    </row>
    <row r="290" spans="1:7">
      <c r="A290" s="771"/>
      <c r="B290" s="750"/>
      <c r="C290" s="766"/>
      <c r="D290" s="750"/>
      <c r="E290" s="766"/>
      <c r="F290" s="716"/>
      <c r="G290" s="768"/>
    </row>
    <row r="291" spans="1:7">
      <c r="A291" s="771">
        <v>351</v>
      </c>
      <c r="B291" s="975" t="s">
        <v>5769</v>
      </c>
      <c r="C291" s="975" t="s">
        <v>6394</v>
      </c>
      <c r="D291" s="975" t="s">
        <v>6394</v>
      </c>
      <c r="E291" s="976">
        <v>3437158</v>
      </c>
      <c r="F291" s="978">
        <v>639.04344141293473</v>
      </c>
      <c r="G291" s="977">
        <v>1176970</v>
      </c>
    </row>
    <row r="292" spans="1:7">
      <c r="A292" s="771">
        <v>62</v>
      </c>
      <c r="B292" s="749" t="s">
        <v>5795</v>
      </c>
      <c r="C292" s="786">
        <f>C320</f>
        <v>0</v>
      </c>
      <c r="D292" s="786">
        <f>D320</f>
        <v>0</v>
      </c>
      <c r="E292" s="786">
        <f>E320</f>
        <v>78703</v>
      </c>
      <c r="F292" s="786">
        <f>F320</f>
        <v>1232</v>
      </c>
      <c r="G292" s="789">
        <f>G320</f>
        <v>56964</v>
      </c>
    </row>
    <row r="293" spans="1:7">
      <c r="A293" s="944">
        <v>206</v>
      </c>
      <c r="B293" s="716" t="s">
        <v>6396</v>
      </c>
      <c r="C293" s="781">
        <v>88067</v>
      </c>
      <c r="D293" s="80">
        <v>743</v>
      </c>
      <c r="E293" s="781">
        <v>88067</v>
      </c>
      <c r="F293" s="80">
        <v>743</v>
      </c>
      <c r="G293" s="780">
        <v>13047</v>
      </c>
    </row>
    <row r="294" spans="1:7">
      <c r="A294" s="771">
        <v>228</v>
      </c>
      <c r="B294" s="751" t="s">
        <v>5952</v>
      </c>
      <c r="C294" s="792">
        <f>C298</f>
        <v>0</v>
      </c>
      <c r="D294" s="792">
        <f>D298</f>
        <v>0</v>
      </c>
      <c r="E294" s="792">
        <f t="shared" ref="E294:G294" si="0">E298</f>
        <v>8340749</v>
      </c>
      <c r="F294" s="792">
        <f t="shared" si="0"/>
        <v>509.98307010557443</v>
      </c>
      <c r="G294" s="949">
        <f t="shared" si="0"/>
        <v>4250381</v>
      </c>
    </row>
    <row r="295" spans="1:7">
      <c r="A295" s="773">
        <v>248</v>
      </c>
      <c r="B295" s="769" t="s">
        <v>5961</v>
      </c>
      <c r="C295" s="793">
        <f>C312</f>
        <v>0</v>
      </c>
      <c r="D295" s="793">
        <f t="shared" ref="D295:G295" si="1">D312</f>
        <v>0</v>
      </c>
      <c r="E295" s="793">
        <f t="shared" si="1"/>
        <v>63989</v>
      </c>
      <c r="F295" s="793">
        <f t="shared" si="1"/>
        <v>473.57358295957118</v>
      </c>
      <c r="G295" s="950">
        <f t="shared" si="1"/>
        <v>45811</v>
      </c>
    </row>
    <row r="298" spans="1:7">
      <c r="A298" s="778">
        <v>228</v>
      </c>
      <c r="B298" s="779" t="s">
        <v>5952</v>
      </c>
      <c r="C298" s="791">
        <v>0</v>
      </c>
      <c r="D298" s="791">
        <v>0</v>
      </c>
      <c r="E298" s="791">
        <f>SUM(E299:E310)</f>
        <v>8340749</v>
      </c>
      <c r="F298" s="791">
        <f>SUMPRODUCT(E299:E310,D299:D310)/SUM(E299:E310)</f>
        <v>509.98307010557443</v>
      </c>
      <c r="G298" s="791">
        <f>SUM(G299:G310)</f>
        <v>4250381</v>
      </c>
    </row>
    <row r="299" spans="1:7">
      <c r="A299" s="771">
        <v>1</v>
      </c>
      <c r="B299" s="716" t="s">
        <v>5736</v>
      </c>
      <c r="C299" s="750">
        <f t="shared" ref="C299:C310" si="2">VLOOKUP($B299,$B$8:$F$289,2,FALSE)</f>
        <v>0</v>
      </c>
      <c r="D299" s="750">
        <f t="shared" ref="D299:D310" si="3">VLOOKUP($B299,$B$8:$F$289,3,FALSE)</f>
        <v>0</v>
      </c>
      <c r="E299" s="750">
        <f t="shared" ref="E299:E310" si="4">VLOOKUP($B299,$B$8:$F$289,4,FALSE)</f>
        <v>0</v>
      </c>
      <c r="F299" s="781">
        <v>0</v>
      </c>
      <c r="G299" s="783">
        <f t="shared" ref="G299:G310" si="5">VLOOKUP($B299,$B$8:$G$289,6,FALSE)</f>
        <v>0</v>
      </c>
    </row>
    <row r="300" spans="1:7">
      <c r="A300" s="771">
        <v>52</v>
      </c>
      <c r="B300" s="716" t="s">
        <v>5740</v>
      </c>
      <c r="C300" s="750">
        <f t="shared" si="2"/>
        <v>0</v>
      </c>
      <c r="D300" s="750">
        <f t="shared" si="3"/>
        <v>0</v>
      </c>
      <c r="E300" s="750">
        <f t="shared" si="4"/>
        <v>0</v>
      </c>
      <c r="F300" s="781">
        <v>0</v>
      </c>
      <c r="G300" s="783">
        <f t="shared" si="5"/>
        <v>0</v>
      </c>
    </row>
    <row r="301" spans="1:7">
      <c r="A301" s="771">
        <v>57</v>
      </c>
      <c r="B301" s="716" t="s">
        <v>5745</v>
      </c>
      <c r="C301" s="750">
        <f t="shared" si="2"/>
        <v>0</v>
      </c>
      <c r="D301" s="750">
        <f t="shared" si="3"/>
        <v>0</v>
      </c>
      <c r="E301" s="750">
        <f t="shared" si="4"/>
        <v>0</v>
      </c>
      <c r="F301" s="781">
        <v>0</v>
      </c>
      <c r="G301" s="783">
        <f t="shared" si="5"/>
        <v>0</v>
      </c>
    </row>
    <row r="302" spans="1:7">
      <c r="A302" s="771">
        <v>63</v>
      </c>
      <c r="B302" s="716" t="s">
        <v>5793</v>
      </c>
      <c r="C302" s="750">
        <f t="shared" si="2"/>
        <v>39940</v>
      </c>
      <c r="D302" s="750">
        <f t="shared" si="3"/>
        <v>2156</v>
      </c>
      <c r="E302" s="750">
        <f t="shared" si="4"/>
        <v>39940</v>
      </c>
      <c r="F302" s="781">
        <v>0</v>
      </c>
      <c r="G302" s="783">
        <f t="shared" si="5"/>
        <v>35689</v>
      </c>
    </row>
    <row r="303" spans="1:7">
      <c r="A303" s="771">
        <v>73</v>
      </c>
      <c r="B303" s="716" t="s">
        <v>5805</v>
      </c>
      <c r="C303" s="750">
        <f t="shared" si="2"/>
        <v>22765</v>
      </c>
      <c r="D303" s="750">
        <f t="shared" si="3"/>
        <v>1057</v>
      </c>
      <c r="E303" s="750">
        <f t="shared" si="4"/>
        <v>22765</v>
      </c>
      <c r="F303" s="781">
        <v>0</v>
      </c>
      <c r="G303" s="783">
        <f t="shared" si="5"/>
        <v>2467</v>
      </c>
    </row>
    <row r="304" spans="1:7">
      <c r="A304" s="771">
        <v>108</v>
      </c>
      <c r="B304" s="716" t="s">
        <v>5834</v>
      </c>
      <c r="C304" s="750">
        <f t="shared" si="2"/>
        <v>0</v>
      </c>
      <c r="D304" s="750">
        <f t="shared" si="3"/>
        <v>0</v>
      </c>
      <c r="E304" s="750">
        <f t="shared" si="4"/>
        <v>0</v>
      </c>
      <c r="F304" s="781">
        <v>0</v>
      </c>
      <c r="G304" s="783">
        <f t="shared" si="5"/>
        <v>0</v>
      </c>
    </row>
    <row r="305" spans="1:7">
      <c r="A305" s="771">
        <v>119</v>
      </c>
      <c r="B305" s="716" t="s">
        <v>5842</v>
      </c>
      <c r="C305" s="750">
        <f t="shared" si="2"/>
        <v>32021</v>
      </c>
      <c r="D305" s="750">
        <f t="shared" si="3"/>
        <v>1941</v>
      </c>
      <c r="E305" s="750">
        <f t="shared" si="4"/>
        <v>32021</v>
      </c>
      <c r="F305" s="781">
        <v>0</v>
      </c>
      <c r="G305" s="783">
        <f t="shared" si="5"/>
        <v>27990</v>
      </c>
    </row>
    <row r="306" spans="1:7">
      <c r="A306" s="771">
        <v>126</v>
      </c>
      <c r="B306" s="716" t="s">
        <v>5848</v>
      </c>
      <c r="C306" s="750">
        <f t="shared" si="2"/>
        <v>6104</v>
      </c>
      <c r="D306" s="750">
        <f t="shared" si="3"/>
        <v>2006</v>
      </c>
      <c r="E306" s="750">
        <f t="shared" si="4"/>
        <v>6104</v>
      </c>
      <c r="F306" s="781">
        <v>0</v>
      </c>
      <c r="G306" s="783">
        <f t="shared" si="5"/>
        <v>5871</v>
      </c>
    </row>
    <row r="307" spans="1:7">
      <c r="A307" s="771">
        <v>146</v>
      </c>
      <c r="B307" s="716" t="s">
        <v>5864</v>
      </c>
      <c r="C307" s="750">
        <f t="shared" si="2"/>
        <v>0</v>
      </c>
      <c r="D307" s="750">
        <f t="shared" si="3"/>
        <v>0</v>
      </c>
      <c r="E307" s="750">
        <f t="shared" si="4"/>
        <v>0</v>
      </c>
      <c r="F307" s="781">
        <v>0</v>
      </c>
      <c r="G307" s="783">
        <f t="shared" si="5"/>
        <v>0</v>
      </c>
    </row>
    <row r="308" spans="1:7">
      <c r="A308" s="771">
        <v>185</v>
      </c>
      <c r="B308" s="716" t="s">
        <v>5902</v>
      </c>
      <c r="C308" s="750">
        <f t="shared" si="2"/>
        <v>8095881</v>
      </c>
      <c r="D308" s="750">
        <f t="shared" si="3"/>
        <v>484</v>
      </c>
      <c r="E308" s="750">
        <f t="shared" si="4"/>
        <v>8095881</v>
      </c>
      <c r="F308" s="781">
        <v>0</v>
      </c>
      <c r="G308" s="783">
        <f t="shared" si="5"/>
        <v>4099812</v>
      </c>
    </row>
    <row r="309" spans="1:7">
      <c r="A309" s="771">
        <v>230</v>
      </c>
      <c r="B309" s="716" t="s">
        <v>5947</v>
      </c>
      <c r="C309" s="750">
        <f t="shared" si="2"/>
        <v>144038</v>
      </c>
      <c r="D309" s="750">
        <f t="shared" si="3"/>
        <v>1046</v>
      </c>
      <c r="E309" s="750">
        <f t="shared" si="4"/>
        <v>144038</v>
      </c>
      <c r="F309" s="781">
        <v>0</v>
      </c>
      <c r="G309" s="783">
        <f t="shared" si="5"/>
        <v>78552</v>
      </c>
    </row>
    <row r="310" spans="1:7">
      <c r="A310" s="771">
        <v>235</v>
      </c>
      <c r="B310" s="716" t="s">
        <v>5953</v>
      </c>
      <c r="C310" s="750">
        <f t="shared" si="2"/>
        <v>0</v>
      </c>
      <c r="D310" s="750">
        <f t="shared" si="3"/>
        <v>0</v>
      </c>
      <c r="E310" s="750">
        <f t="shared" si="4"/>
        <v>0</v>
      </c>
      <c r="F310" s="781">
        <v>0</v>
      </c>
      <c r="G310" s="783">
        <f t="shared" si="5"/>
        <v>0</v>
      </c>
    </row>
    <row r="311" spans="1:7">
      <c r="A311" s="772"/>
      <c r="B311" s="755"/>
      <c r="C311" s="750"/>
      <c r="D311" s="750"/>
      <c r="E311" s="750"/>
      <c r="F311" s="716"/>
      <c r="G311" s="764"/>
    </row>
    <row r="312" spans="1:7">
      <c r="A312" s="775">
        <v>248</v>
      </c>
      <c r="B312" s="752" t="s">
        <v>5961</v>
      </c>
      <c r="C312" s="782">
        <v>0</v>
      </c>
      <c r="D312" s="782">
        <v>0</v>
      </c>
      <c r="E312" s="782">
        <f>SUM(E313:E318)</f>
        <v>63989</v>
      </c>
      <c r="F312" s="782">
        <f>SUMPRODUCT(E313:E318,D313:D318)/SUM(E313:E318)</f>
        <v>473.57358295957118</v>
      </c>
      <c r="G312" s="784">
        <f>SUM(G313:G318)</f>
        <v>45811</v>
      </c>
    </row>
    <row r="313" spans="1:7">
      <c r="A313" s="771">
        <v>80</v>
      </c>
      <c r="B313" s="716" t="s">
        <v>5752</v>
      </c>
      <c r="C313" s="781">
        <f>VLOOKUP($B313,$B$8:$F$289,2,FALSE)</f>
        <v>14</v>
      </c>
      <c r="D313" s="781">
        <f>VLOOKUP($B313,$B$8:$F$289,3,FALSE)</f>
        <v>390</v>
      </c>
      <c r="E313" s="781">
        <f>VLOOKUP($B313,$B$8:$F$289,4,FALSE)</f>
        <v>14</v>
      </c>
      <c r="F313" s="781">
        <v>0</v>
      </c>
      <c r="G313" s="785">
        <f>VLOOKUP($B313,$B$8:$G$289,6,FALSE)</f>
        <v>14</v>
      </c>
    </row>
    <row r="314" spans="1:7">
      <c r="A314" s="771">
        <v>98</v>
      </c>
      <c r="B314" s="716" t="s">
        <v>5779</v>
      </c>
      <c r="C314" s="781">
        <f>VLOOKUP($B314,$B$8:$F$289,2,FALSE)</f>
        <v>56374</v>
      </c>
      <c r="D314" s="781">
        <f>VLOOKUP($B314,$B$8:$F$289,3,FALSE)</f>
        <v>465</v>
      </c>
      <c r="E314" s="781">
        <f>VLOOKUP($B314,$B$8:$F$289,4,FALSE)</f>
        <v>56374</v>
      </c>
      <c r="F314" s="781">
        <v>0</v>
      </c>
      <c r="G314" s="785">
        <f>VLOOKUP($B314,$B$8:$G$289,6,FALSE)</f>
        <v>42019</v>
      </c>
    </row>
    <row r="315" spans="1:7">
      <c r="A315" s="771">
        <v>154</v>
      </c>
      <c r="B315" s="716" t="s">
        <v>5850</v>
      </c>
      <c r="C315" s="781">
        <v>0</v>
      </c>
      <c r="D315" s="781">
        <v>0</v>
      </c>
      <c r="E315" s="781">
        <v>0</v>
      </c>
      <c r="F315" s="781">
        <v>0</v>
      </c>
      <c r="G315" s="785">
        <v>0</v>
      </c>
    </row>
    <row r="316" spans="1:7">
      <c r="A316" s="771">
        <v>273</v>
      </c>
      <c r="B316" s="716" t="s">
        <v>5866</v>
      </c>
      <c r="C316" s="781">
        <f>VLOOKUP($B316,$B$8:$F$289,2,FALSE)</f>
        <v>7415</v>
      </c>
      <c r="D316" s="781">
        <f>VLOOKUP($B316,$B$8:$F$289,3,FALSE)</f>
        <v>538</v>
      </c>
      <c r="E316" s="781">
        <f>VLOOKUP($B316,$B$8:$F$289,4,FALSE)</f>
        <v>7415</v>
      </c>
      <c r="F316" s="781">
        <v>0</v>
      </c>
      <c r="G316" s="785">
        <f>VLOOKUP($B316,$B$8:$G$289,6,FALSE)</f>
        <v>3620</v>
      </c>
    </row>
    <row r="317" spans="1:7">
      <c r="A317" s="771">
        <v>272</v>
      </c>
      <c r="B317" s="716" t="s">
        <v>5914</v>
      </c>
      <c r="C317" s="781">
        <v>0</v>
      </c>
      <c r="D317" s="781">
        <v>0</v>
      </c>
      <c r="E317" s="781">
        <v>0</v>
      </c>
      <c r="F317" s="781">
        <v>0</v>
      </c>
      <c r="G317" s="785">
        <v>0</v>
      </c>
    </row>
    <row r="318" spans="1:7">
      <c r="A318" s="771">
        <v>198</v>
      </c>
      <c r="B318" s="716" t="s">
        <v>5920</v>
      </c>
      <c r="C318" s="781">
        <f>VLOOKUP($B318,$B$8:$F$289,2,FALSE)</f>
        <v>186</v>
      </c>
      <c r="D318" s="781">
        <f>VLOOKUP($B318,$B$8:$F$289,3,FALSE)</f>
        <v>510</v>
      </c>
      <c r="E318" s="781">
        <f>VLOOKUP($B318,$B$8:$F$289,4,FALSE)</f>
        <v>186</v>
      </c>
      <c r="F318" s="781">
        <v>0</v>
      </c>
      <c r="G318" s="785">
        <f>VLOOKUP($B318,$B$8:$G$289,6,FALSE)</f>
        <v>158</v>
      </c>
    </row>
    <row r="319" spans="1:7">
      <c r="A319" s="772"/>
      <c r="B319" s="755"/>
      <c r="C319" s="750"/>
      <c r="D319" s="750"/>
      <c r="E319" s="750"/>
      <c r="F319" s="716"/>
      <c r="G319" s="764"/>
    </row>
    <row r="320" spans="1:7">
      <c r="A320" s="776">
        <v>62</v>
      </c>
      <c r="B320" s="749" t="s">
        <v>5795</v>
      </c>
      <c r="C320" s="786">
        <v>0</v>
      </c>
      <c r="D320" s="786">
        <v>0</v>
      </c>
      <c r="E320" s="786">
        <f>SUM(E321:E322)</f>
        <v>78703</v>
      </c>
      <c r="F320" s="786">
        <f>SUMPRODUCT(E321:E322,F321:F322)/E320</f>
        <v>1232</v>
      </c>
      <c r="G320" s="787">
        <f t="shared" ref="G320" si="6">SUM(G321:G322)</f>
        <v>56964</v>
      </c>
    </row>
    <row r="321" spans="1:7">
      <c r="A321" s="771">
        <v>178</v>
      </c>
      <c r="B321" s="716" t="s">
        <v>5792</v>
      </c>
      <c r="C321" s="781">
        <f>VLOOKUP($B321,$B$8:$F$289,2,FALSE)</f>
        <v>78703</v>
      </c>
      <c r="D321" s="781">
        <f>VLOOKUP($B321,$B$8:$F$289,3,FALSE)</f>
        <v>1232</v>
      </c>
      <c r="E321" s="781">
        <f>VLOOKUP($B321,$B$8:$F$289,4,FALSE)</f>
        <v>78703</v>
      </c>
      <c r="F321" s="781">
        <f>VLOOKUP($B321,$B$8:$F$289,5,FALSE)</f>
        <v>1232</v>
      </c>
      <c r="G321" s="785">
        <f>VLOOKUP($B321,$B$8:$G$289,6,FALSE)</f>
        <v>56964</v>
      </c>
    </row>
    <row r="322" spans="1:7">
      <c r="A322" s="771">
        <v>238</v>
      </c>
      <c r="B322" s="716" t="s">
        <v>5794</v>
      </c>
      <c r="C322" s="750">
        <f>VLOOKUP($B322,$B$8:$F$289,2,FALSE)</f>
        <v>0</v>
      </c>
      <c r="D322" s="750">
        <f>VLOOKUP($B322,$B$8:$F$289,3,FALSE)</f>
        <v>0</v>
      </c>
      <c r="E322" s="750">
        <f>VLOOKUP($B322,$B$8:$F$289,4,FALSE)</f>
        <v>0</v>
      </c>
      <c r="F322" s="750">
        <f>VLOOKUP($B322,$B$8:$F$289,5,FALSE)</f>
        <v>0</v>
      </c>
      <c r="G322" s="783">
        <f>VLOOKUP($B322,$B$8:$G$289,6,FALSE)</f>
        <v>0</v>
      </c>
    </row>
    <row r="323" spans="1:7">
      <c r="A323" s="772"/>
      <c r="B323" s="750"/>
      <c r="C323" s="750"/>
      <c r="D323" s="750"/>
      <c r="E323" s="750"/>
      <c r="F323" s="750"/>
      <c r="G323" s="765"/>
    </row>
    <row r="324" spans="1:7">
      <c r="A324" s="772"/>
      <c r="B324" s="750"/>
      <c r="C324" s="750"/>
      <c r="D324" s="750"/>
      <c r="E324" s="750"/>
      <c r="F324" s="750"/>
      <c r="G324" s="973"/>
    </row>
    <row r="325" spans="1:7">
      <c r="A325" s="974">
        <v>351</v>
      </c>
      <c r="B325" s="975" t="s">
        <v>5769</v>
      </c>
      <c r="C325" s="975" t="s">
        <v>6394</v>
      </c>
      <c r="D325" s="975" t="s">
        <v>6394</v>
      </c>
      <c r="E325" s="976">
        <f>SUM(E326:E329)</f>
        <v>3437158</v>
      </c>
      <c r="F325" s="976">
        <f>SUMPRODUCT(E326:E329,F326:F329)/E325</f>
        <v>639.04344141293473</v>
      </c>
      <c r="G325" s="977">
        <f>SUM(G326:G329)</f>
        <v>1176970</v>
      </c>
    </row>
    <row r="326" spans="1:7">
      <c r="A326" s="771">
        <v>41</v>
      </c>
      <c r="B326" s="944" t="s">
        <v>7779</v>
      </c>
      <c r="C326" s="748">
        <v>2285872</v>
      </c>
      <c r="D326" s="80">
        <v>755</v>
      </c>
      <c r="E326" s="748">
        <v>2285872</v>
      </c>
      <c r="F326" s="80">
        <v>755</v>
      </c>
      <c r="G326" s="780">
        <f>1013154</f>
        <v>1013154</v>
      </c>
    </row>
    <row r="327" spans="1:7">
      <c r="A327" s="771">
        <v>96</v>
      </c>
      <c r="B327" s="944" t="s">
        <v>7781</v>
      </c>
      <c r="C327" s="748">
        <v>2097</v>
      </c>
      <c r="D327" s="80">
        <v>1402</v>
      </c>
      <c r="E327" s="748">
        <v>2097</v>
      </c>
      <c r="F327" s="80">
        <v>1402</v>
      </c>
      <c r="G327" s="794">
        <v>1473</v>
      </c>
    </row>
    <row r="328" spans="1:7">
      <c r="A328" s="771">
        <v>214</v>
      </c>
      <c r="B328" s="716" t="s">
        <v>5932</v>
      </c>
      <c r="C328" s="748">
        <v>1149189</v>
      </c>
      <c r="D328" s="80">
        <v>407</v>
      </c>
      <c r="E328" s="748">
        <v>1149189</v>
      </c>
      <c r="F328" s="80">
        <v>407</v>
      </c>
      <c r="G328" s="794">
        <v>162343</v>
      </c>
    </row>
    <row r="329" spans="1:7">
      <c r="A329" s="944">
        <v>128</v>
      </c>
      <c r="B329" s="944" t="s">
        <v>7782</v>
      </c>
      <c r="C329" s="750"/>
      <c r="D329" s="750"/>
      <c r="E329" s="750"/>
      <c r="F329" s="750"/>
      <c r="G329" s="973"/>
    </row>
    <row r="330" spans="1:7">
      <c r="A330" s="772"/>
      <c r="B330" s="750"/>
      <c r="C330" s="750"/>
      <c r="D330" s="750"/>
      <c r="E330" s="750"/>
      <c r="F330" s="750"/>
      <c r="G330" s="973"/>
    </row>
    <row r="331" spans="1:7">
      <c r="A331" s="772"/>
      <c r="B331" s="750"/>
      <c r="C331" s="750"/>
      <c r="D331" s="750"/>
      <c r="E331" s="750"/>
      <c r="F331" s="750"/>
      <c r="G331" s="973"/>
    </row>
    <row r="332" spans="1:7">
      <c r="A332" s="772"/>
      <c r="B332" s="750"/>
      <c r="C332" s="750"/>
      <c r="D332" s="750"/>
      <c r="E332" s="750"/>
      <c r="F332" s="750"/>
      <c r="G332" s="973"/>
    </row>
    <row r="333" spans="1:7">
      <c r="A333" s="772"/>
      <c r="B333" s="750"/>
      <c r="C333" s="750"/>
      <c r="D333" s="750"/>
      <c r="E333" s="750"/>
      <c r="F333" s="750"/>
      <c r="G333" s="973"/>
    </row>
    <row r="334" spans="1:7">
      <c r="A334" s="1712" t="s">
        <v>7071</v>
      </c>
      <c r="B334" s="1712"/>
      <c r="C334" s="1712"/>
      <c r="D334" s="1712"/>
      <c r="E334" s="1712"/>
      <c r="F334" s="1712"/>
      <c r="G334" s="1713"/>
    </row>
    <row r="335" spans="1:7">
      <c r="A335" s="1714"/>
      <c r="B335" s="1714"/>
      <c r="C335" s="1714"/>
      <c r="D335" s="1714"/>
      <c r="E335" s="1714"/>
      <c r="F335" s="1714"/>
      <c r="G335" s="1715"/>
    </row>
    <row r="336" spans="1:7">
      <c r="A336" s="1714"/>
      <c r="B336" s="1714"/>
      <c r="C336" s="1714"/>
      <c r="D336" s="1714"/>
      <c r="E336" s="1714"/>
      <c r="F336" s="1714"/>
      <c r="G336" s="1715"/>
    </row>
    <row r="337" spans="1:7">
      <c r="A337" s="771" t="e">
        <v>#N/A</v>
      </c>
      <c r="B337" s="758" t="s">
        <v>6169</v>
      </c>
      <c r="C337" s="753" t="s">
        <v>7072</v>
      </c>
      <c r="D337" s="123"/>
      <c r="E337" s="123"/>
      <c r="F337" s="123"/>
      <c r="G337" s="788"/>
    </row>
    <row r="338" spans="1:7">
      <c r="A338" s="771" t="e">
        <v>#N/A</v>
      </c>
      <c r="B338" s="758" t="s">
        <v>6170</v>
      </c>
      <c r="C338" s="759" t="s">
        <v>7073</v>
      </c>
      <c r="D338" s="760"/>
      <c r="E338" s="123"/>
      <c r="F338" s="123"/>
      <c r="G338" s="788"/>
    </row>
    <row r="339" spans="1:7">
      <c r="A339" s="771" t="e">
        <v>#N/A</v>
      </c>
      <c r="B339" s="758" t="s">
        <v>6171</v>
      </c>
      <c r="C339" s="754" t="s">
        <v>7074</v>
      </c>
      <c r="D339" s="761"/>
      <c r="E339" s="123"/>
      <c r="F339" s="123"/>
      <c r="G339" s="788"/>
    </row>
    <row r="340" spans="1:7">
      <c r="A340" s="771" t="e">
        <v>#N/A</v>
      </c>
      <c r="B340" s="758" t="s">
        <v>6172</v>
      </c>
      <c r="C340" s="756" t="s">
        <v>7075</v>
      </c>
      <c r="D340" s="762"/>
      <c r="E340" s="123"/>
      <c r="F340" s="123"/>
      <c r="G340" s="788"/>
    </row>
    <row r="341" spans="1:7">
      <c r="A341" s="771" t="e">
        <v>#N/A</v>
      </c>
      <c r="B341" s="758" t="s">
        <v>6173</v>
      </c>
      <c r="C341" s="757" t="s">
        <v>7076</v>
      </c>
      <c r="D341" s="763"/>
      <c r="E341" s="123"/>
      <c r="F341" s="123"/>
      <c r="G341" s="788"/>
    </row>
    <row r="342" spans="1:7">
      <c r="A342" s="771" t="e">
        <v>#N/A</v>
      </c>
      <c r="B342" s="758" t="s">
        <v>6174</v>
      </c>
      <c r="C342" s="975" t="s">
        <v>7783</v>
      </c>
      <c r="D342" s="975"/>
      <c r="E342" s="123"/>
      <c r="F342" s="123"/>
      <c r="G342" s="788"/>
    </row>
    <row r="343" spans="1:7">
      <c r="A343" s="771" t="e">
        <v>#N/A</v>
      </c>
      <c r="B343" s="758" t="s">
        <v>6175</v>
      </c>
      <c r="C343" s="123"/>
      <c r="D343" s="123"/>
      <c r="E343" s="123"/>
      <c r="F343" s="123"/>
      <c r="G343" s="788"/>
    </row>
    <row r="344" spans="1:7">
      <c r="A344" s="771">
        <v>256</v>
      </c>
      <c r="B344" s="759" t="s">
        <v>5849</v>
      </c>
      <c r="C344" s="123"/>
      <c r="D344" s="123"/>
      <c r="E344" s="123"/>
      <c r="F344" s="123"/>
      <c r="G344" s="788"/>
    </row>
    <row r="345" spans="1:7">
      <c r="A345" s="771">
        <v>154</v>
      </c>
      <c r="B345" s="759" t="s">
        <v>5850</v>
      </c>
      <c r="C345" s="123"/>
      <c r="D345" s="123"/>
      <c r="E345" s="123"/>
      <c r="F345" s="123"/>
      <c r="G345" s="788"/>
    </row>
    <row r="346" spans="1:7">
      <c r="A346" s="771">
        <v>128</v>
      </c>
      <c r="B346" s="759" t="s">
        <v>7782</v>
      </c>
      <c r="C346" s="743"/>
      <c r="D346" s="123"/>
      <c r="E346" s="123"/>
      <c r="F346" s="123"/>
      <c r="G346" s="788"/>
    </row>
    <row r="347" spans="1:7">
      <c r="A347" s="771">
        <v>140</v>
      </c>
      <c r="B347" s="759" t="s">
        <v>6151</v>
      </c>
      <c r="C347" s="123"/>
      <c r="D347" s="123"/>
      <c r="E347" s="123"/>
      <c r="F347" s="123"/>
      <c r="G347" s="788"/>
    </row>
    <row r="348" spans="1:7">
      <c r="A348" s="771">
        <v>186</v>
      </c>
      <c r="B348" s="759" t="s">
        <v>5915</v>
      </c>
      <c r="C348" s="123"/>
      <c r="D348" s="123"/>
      <c r="E348" s="123"/>
      <c r="F348" s="123"/>
      <c r="G348" s="788"/>
    </row>
    <row r="349" spans="1:7">
      <c r="A349" s="771">
        <v>264</v>
      </c>
      <c r="B349" s="759" t="s">
        <v>5828</v>
      </c>
      <c r="C349" s="123"/>
      <c r="D349" s="123"/>
      <c r="E349" s="123"/>
      <c r="F349" s="123"/>
      <c r="G349" s="788"/>
    </row>
    <row r="350" spans="1:7">
      <c r="A350" s="771" t="e">
        <v>#N/A</v>
      </c>
      <c r="B350" s="758" t="s">
        <v>7077</v>
      </c>
      <c r="C350" s="123"/>
      <c r="D350" s="123"/>
      <c r="E350" s="123"/>
      <c r="F350" s="123"/>
      <c r="G350" s="788"/>
    </row>
    <row r="351" spans="1:7">
      <c r="A351" s="771"/>
      <c r="B351" s="758" t="s">
        <v>6176</v>
      </c>
      <c r="C351" s="123"/>
      <c r="D351" s="123"/>
      <c r="E351" s="123"/>
      <c r="F351" s="123"/>
      <c r="G351" s="788"/>
    </row>
    <row r="352" spans="1:7">
      <c r="A352" s="777"/>
      <c r="B352" s="123"/>
      <c r="C352" s="123"/>
      <c r="D352" s="123"/>
      <c r="E352" s="123"/>
      <c r="F352" s="123"/>
      <c r="G352" s="788"/>
    </row>
  </sheetData>
  <mergeCells count="8">
    <mergeCell ref="F5:F6"/>
    <mergeCell ref="A334:G336"/>
    <mergeCell ref="A5:A6"/>
    <mergeCell ref="B5:B6"/>
    <mergeCell ref="G5:G6"/>
    <mergeCell ref="C5:C6"/>
    <mergeCell ref="D5:D6"/>
    <mergeCell ref="E5:E6"/>
  </mergeCells>
  <hyperlinks>
    <hyperlink ref="D3" location="yf!A1" display="yf"/>
    <hyperlink ref="E3" location="bioproductive_area!A1" display="bioproductive_area"/>
  </hyperlinks>
  <pageMargins left="0.7" right="0.7" top="0.75" bottom="0.75" header="0.3" footer="0.3"/>
  <pageSetup orientation="portrait"/>
  <drawing r:id="rId1"/>
  <legacyDrawing r:id="rId2"/>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enableFormatConditionsCalculation="0">
    <tabColor indexed="8"/>
    <pageSetUpPr autoPageBreaks="0"/>
  </sheetPr>
  <dimension ref="A1:E8"/>
  <sheetViews>
    <sheetView workbookViewId="0">
      <selection activeCell="A65536" sqref="A65536"/>
    </sheetView>
  </sheetViews>
  <sheetFormatPr baseColWidth="10" defaultColWidth="9.1640625" defaultRowHeight="12.75" customHeight="1" x14ac:dyDescent="0"/>
  <cols>
    <col min="1" max="1" width="50.6640625" style="921" customWidth="1"/>
    <col min="2" max="3" width="14.83203125" style="921" customWidth="1"/>
    <col min="4" max="5" width="21.6640625" style="921" customWidth="1"/>
    <col min="6" max="16384" width="9.1640625" style="53"/>
  </cols>
  <sheetData>
    <row r="1" spans="1:5" ht="12.75" customHeight="1">
      <c r="A1" s="53"/>
      <c r="B1" s="814"/>
      <c r="C1" s="889"/>
      <c r="D1" s="185"/>
      <c r="E1" s="185"/>
    </row>
    <row r="2" spans="1:5" ht="12.75" customHeight="1">
      <c r="A2" s="53"/>
      <c r="B2" s="54" t="s">
        <v>1005</v>
      </c>
      <c r="C2" s="876"/>
      <c r="D2" s="184" t="s">
        <v>1813</v>
      </c>
      <c r="E2" s="53"/>
    </row>
    <row r="3" spans="1:5" ht="12.75" customHeight="1">
      <c r="A3" s="53"/>
      <c r="B3" s="54" t="s">
        <v>1006</v>
      </c>
      <c r="C3" s="876"/>
      <c r="D3" s="185" t="s">
        <v>3371</v>
      </c>
      <c r="E3" s="53"/>
    </row>
    <row r="4" spans="1:5" ht="12.75" customHeight="1">
      <c r="A4" s="53"/>
      <c r="B4" s="814"/>
      <c r="C4" s="889"/>
      <c r="D4" s="53"/>
      <c r="E4" s="53"/>
    </row>
    <row r="5" spans="1:5" ht="12">
      <c r="A5" s="267" t="s">
        <v>2036</v>
      </c>
      <c r="B5" s="839" t="s">
        <v>4929</v>
      </c>
      <c r="C5" s="839"/>
      <c r="D5" s="268" t="s">
        <v>2037</v>
      </c>
      <c r="E5" s="269" t="s">
        <v>4211</v>
      </c>
    </row>
    <row r="6" spans="1:5" ht="12">
      <c r="A6" s="270" t="s">
        <v>548</v>
      </c>
      <c r="B6" s="271" t="s">
        <v>548</v>
      </c>
      <c r="C6" s="271"/>
      <c r="D6" s="271" t="s">
        <v>548</v>
      </c>
      <c r="E6" s="272" t="s">
        <v>1092</v>
      </c>
    </row>
    <row r="7" spans="1:5" ht="12.75" customHeight="1">
      <c r="A7" s="32" t="s">
        <v>283</v>
      </c>
      <c r="B7" s="741" t="str">
        <f>COUNTRY</f>
        <v>United States of America</v>
      </c>
      <c r="C7" s="741"/>
      <c r="D7" s="1378">
        <v>511</v>
      </c>
      <c r="E7" s="1379">
        <v>317136</v>
      </c>
    </row>
    <row r="8" spans="1:5" ht="12.75" customHeight="1">
      <c r="A8" s="119" t="s">
        <v>283</v>
      </c>
      <c r="B8" s="979" t="s">
        <v>3094</v>
      </c>
      <c r="C8" s="979"/>
      <c r="D8" s="717">
        <v>511</v>
      </c>
      <c r="E8" s="1377">
        <v>7181720</v>
      </c>
    </row>
  </sheetData>
  <phoneticPr fontId="5" type="noConversion"/>
  <hyperlinks>
    <hyperlink ref="D3" location="summary!A1" tooltip="Go to summary" display="summary"/>
  </hyperlinks>
  <pageMargins left="0.75" right="0.75" top="1" bottom="1" header="0.5" footer="0.5"/>
  <headerFooter alignWithMargins="0"/>
  <drawing r:id="rId1"/>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enableFormatConditionsCalculation="0">
    <tabColor rgb="FF3D5D19"/>
  </sheetPr>
  <dimension ref="A1:G54"/>
  <sheetViews>
    <sheetView workbookViewId="0"/>
  </sheetViews>
  <sheetFormatPr baseColWidth="10" defaultColWidth="8.83203125" defaultRowHeight="12" x14ac:dyDescent="0"/>
  <cols>
    <col min="1" max="2" width="12" customWidth="1"/>
    <col min="3" max="3" width="14" customWidth="1"/>
    <col min="4" max="4" width="14.5" customWidth="1"/>
    <col min="5" max="5" width="13.1640625" customWidth="1"/>
    <col min="6" max="6" width="9.33203125" style="971" customWidth="1"/>
    <col min="7" max="7" width="11" style="971" customWidth="1"/>
  </cols>
  <sheetData>
    <row r="1" spans="1:6">
      <c r="A1" s="952" t="s">
        <v>6228</v>
      </c>
      <c r="B1" t="s">
        <v>6229</v>
      </c>
      <c r="C1" t="s">
        <v>6177</v>
      </c>
      <c r="D1" t="s">
        <v>6178</v>
      </c>
      <c r="E1" t="s">
        <v>6179</v>
      </c>
      <c r="F1" s="970" t="s">
        <v>8762</v>
      </c>
    </row>
    <row r="2" spans="1:6">
      <c r="A2" s="1606">
        <v>73</v>
      </c>
      <c r="B2" s="1606">
        <v>1961</v>
      </c>
      <c r="C2" s="1606">
        <v>6984540733.7976503</v>
      </c>
      <c r="D2" s="1606">
        <v>9533935834.2299595</v>
      </c>
      <c r="E2" s="1606">
        <v>3075073250</v>
      </c>
      <c r="F2" s="972"/>
    </row>
    <row r="3" spans="1:6">
      <c r="A3" s="1606">
        <v>73</v>
      </c>
      <c r="B3" s="1606">
        <v>1962</v>
      </c>
      <c r="C3" s="1606">
        <v>7207388018.6548204</v>
      </c>
      <c r="D3" s="1606">
        <v>9594198850.6621704</v>
      </c>
      <c r="E3" s="1606">
        <v>3133554250</v>
      </c>
      <c r="F3" s="972"/>
    </row>
    <row r="4" spans="1:6">
      <c r="A4" s="1606">
        <v>73</v>
      </c>
      <c r="B4" s="1606">
        <v>1963</v>
      </c>
      <c r="C4" s="1606">
        <v>7496168930.18431</v>
      </c>
      <c r="D4" s="1606">
        <v>9595257519.7532196</v>
      </c>
      <c r="E4" s="1606">
        <v>3194075250</v>
      </c>
      <c r="F4" s="972"/>
    </row>
    <row r="5" spans="1:6">
      <c r="A5" s="1606">
        <v>73</v>
      </c>
      <c r="B5" s="1606">
        <v>1964</v>
      </c>
      <c r="C5" s="1606">
        <v>7815084492.3767405</v>
      </c>
      <c r="D5" s="1606">
        <v>9673320592.9464607</v>
      </c>
      <c r="E5" s="1606">
        <v>3256988500</v>
      </c>
      <c r="F5" s="972"/>
    </row>
    <row r="6" spans="1:6">
      <c r="A6" s="1606">
        <v>73</v>
      </c>
      <c r="B6" s="1606">
        <v>1965</v>
      </c>
      <c r="C6" s="1606">
        <v>8103872313.3945904</v>
      </c>
      <c r="D6" s="1606">
        <v>9698228918.7962093</v>
      </c>
      <c r="E6" s="1606">
        <v>3322495000</v>
      </c>
      <c r="F6" s="972"/>
    </row>
    <row r="7" spans="1:6">
      <c r="A7" s="1606">
        <v>73</v>
      </c>
      <c r="B7" s="1606">
        <v>1966</v>
      </c>
      <c r="C7" s="1606">
        <v>8472614849.8145504</v>
      </c>
      <c r="D7" s="1606">
        <v>9816913163.2379799</v>
      </c>
      <c r="E7" s="1606">
        <v>3390685500</v>
      </c>
      <c r="F7" s="972"/>
    </row>
    <row r="8" spans="1:6">
      <c r="A8" s="1606">
        <v>73</v>
      </c>
      <c r="B8" s="1606">
        <v>1967</v>
      </c>
      <c r="C8" s="1606">
        <v>8700604067.7436409</v>
      </c>
      <c r="D8" s="1606">
        <v>9866191187.9710102</v>
      </c>
      <c r="E8" s="1606">
        <v>3461343250</v>
      </c>
      <c r="F8" s="972"/>
    </row>
    <row r="9" spans="1:6">
      <c r="A9" s="1606">
        <v>73</v>
      </c>
      <c r="B9" s="1606">
        <v>1968</v>
      </c>
      <c r="C9" s="1606">
        <v>9049213543.1938992</v>
      </c>
      <c r="D9" s="1606">
        <v>9902078683.2129707</v>
      </c>
      <c r="E9" s="1606">
        <v>3533967000</v>
      </c>
      <c r="F9" s="972"/>
    </row>
    <row r="10" spans="1:6">
      <c r="A10" s="1606">
        <v>73</v>
      </c>
      <c r="B10" s="1606">
        <v>1969</v>
      </c>
      <c r="C10" s="1606">
        <v>9440855553.9676495</v>
      </c>
      <c r="D10" s="1606">
        <v>9918485512.9742603</v>
      </c>
      <c r="E10" s="1606">
        <v>3607865500</v>
      </c>
      <c r="F10" s="972"/>
    </row>
    <row r="11" spans="1:6">
      <c r="A11" s="1606">
        <v>73</v>
      </c>
      <c r="B11" s="1606">
        <v>1970</v>
      </c>
      <c r="C11" s="1606">
        <v>10011705903.590799</v>
      </c>
      <c r="D11" s="1606">
        <v>9972572099.3999596</v>
      </c>
      <c r="E11" s="1606">
        <v>3682487750</v>
      </c>
      <c r="F11" s="972"/>
    </row>
    <row r="12" spans="1:6">
      <c r="A12" s="1606">
        <v>73</v>
      </c>
      <c r="B12" s="1606">
        <v>1971</v>
      </c>
      <c r="C12" s="1606">
        <v>10354095389.3111</v>
      </c>
      <c r="D12" s="1606">
        <v>10062811995.0086</v>
      </c>
      <c r="E12" s="1606">
        <v>3757734750</v>
      </c>
      <c r="F12" s="972"/>
    </row>
    <row r="13" spans="1:6">
      <c r="A13" s="1606">
        <v>73</v>
      </c>
      <c r="B13" s="1606">
        <v>1972</v>
      </c>
      <c r="C13" s="1606">
        <v>10627580118.3356</v>
      </c>
      <c r="D13" s="1606">
        <v>10022368160.4935</v>
      </c>
      <c r="E13" s="1606">
        <v>3833595000</v>
      </c>
      <c r="F13" s="972"/>
    </row>
    <row r="14" spans="1:6">
      <c r="A14" s="1606">
        <v>73</v>
      </c>
      <c r="B14" s="1606">
        <v>1973</v>
      </c>
      <c r="C14" s="1606">
        <v>11196531191.358101</v>
      </c>
      <c r="D14" s="1606">
        <v>10137038335.954399</v>
      </c>
      <c r="E14" s="1606">
        <v>3909722000</v>
      </c>
      <c r="F14" s="972"/>
    </row>
    <row r="15" spans="1:6">
      <c r="A15" s="1606">
        <v>73</v>
      </c>
      <c r="B15" s="1606">
        <v>1974</v>
      </c>
      <c r="C15" s="1606">
        <v>11084581054.862101</v>
      </c>
      <c r="D15" s="1606">
        <v>10084579163.160601</v>
      </c>
      <c r="E15" s="1606">
        <v>3985733750</v>
      </c>
      <c r="F15" s="972"/>
    </row>
    <row r="16" spans="1:6">
      <c r="A16" s="1606">
        <v>73</v>
      </c>
      <c r="B16" s="1606">
        <v>1975</v>
      </c>
      <c r="C16" s="1606">
        <v>11029790377.9405</v>
      </c>
      <c r="D16" s="1606">
        <v>10103860809.43</v>
      </c>
      <c r="E16" s="1606">
        <v>4061399250</v>
      </c>
      <c r="F16" s="972"/>
    </row>
    <row r="17" spans="1:6">
      <c r="A17" s="1606">
        <v>73</v>
      </c>
      <c r="B17" s="1606">
        <v>1976</v>
      </c>
      <c r="C17" s="1606">
        <v>11587957668.7882</v>
      </c>
      <c r="D17" s="1606">
        <v>10187710084.4333</v>
      </c>
      <c r="E17" s="1606">
        <v>4136542000</v>
      </c>
      <c r="F17" s="972"/>
    </row>
    <row r="18" spans="1:6">
      <c r="A18" s="1606">
        <v>73</v>
      </c>
      <c r="B18" s="1606">
        <v>1977</v>
      </c>
      <c r="C18" s="1606">
        <v>11818883624.6863</v>
      </c>
      <c r="D18" s="1606">
        <v>10207272523.646999</v>
      </c>
      <c r="E18" s="1606">
        <v>4211322500</v>
      </c>
      <c r="F18" s="972"/>
    </row>
    <row r="19" spans="1:6">
      <c r="A19" s="1606">
        <v>73</v>
      </c>
      <c r="B19" s="1606">
        <v>1978</v>
      </c>
      <c r="C19" s="1606">
        <v>12140450432.500601</v>
      </c>
      <c r="D19" s="1606">
        <v>10350732295.069</v>
      </c>
      <c r="E19" s="1606">
        <v>4286282500</v>
      </c>
      <c r="F19" s="972"/>
    </row>
    <row r="20" spans="1:6">
      <c r="A20" s="1606">
        <v>73</v>
      </c>
      <c r="B20" s="1606">
        <v>1979</v>
      </c>
      <c r="C20" s="1606">
        <v>12447523401.1824</v>
      </c>
      <c r="D20" s="1606">
        <v>10333497317.072399</v>
      </c>
      <c r="E20" s="1606">
        <v>4362189500</v>
      </c>
      <c r="F20" s="972"/>
    </row>
    <row r="21" spans="1:6">
      <c r="A21" s="1606">
        <v>73</v>
      </c>
      <c r="B21" s="1606">
        <v>1980</v>
      </c>
      <c r="C21" s="1606">
        <v>12237360272.633301</v>
      </c>
      <c r="D21" s="1606">
        <v>10335049420.071699</v>
      </c>
      <c r="E21" s="1606">
        <v>4439632500</v>
      </c>
      <c r="F21" s="972"/>
    </row>
    <row r="22" spans="1:6">
      <c r="A22" s="1606">
        <v>73</v>
      </c>
      <c r="B22" s="1606">
        <v>1981</v>
      </c>
      <c r="C22" s="1606">
        <v>12083014805.366301</v>
      </c>
      <c r="D22" s="1606">
        <v>10443145336.9111</v>
      </c>
      <c r="E22" s="1606">
        <v>4518602000</v>
      </c>
      <c r="F22" s="972"/>
    </row>
    <row r="23" spans="1:6">
      <c r="A23" s="1606">
        <v>73</v>
      </c>
      <c r="B23" s="1606">
        <v>1982</v>
      </c>
      <c r="C23" s="1606">
        <v>12049877708.2537</v>
      </c>
      <c r="D23" s="1606">
        <v>10553137967.9207</v>
      </c>
      <c r="E23" s="1606">
        <v>4599003500</v>
      </c>
      <c r="F23" s="972"/>
    </row>
    <row r="24" spans="1:6">
      <c r="A24" s="1606">
        <v>73</v>
      </c>
      <c r="B24" s="1606">
        <v>1983</v>
      </c>
      <c r="C24" s="1606">
        <v>12001816418.9687</v>
      </c>
      <c r="D24" s="1606">
        <v>10484374435.746099</v>
      </c>
      <c r="E24" s="1606">
        <v>4681210500</v>
      </c>
      <c r="F24" s="972"/>
    </row>
    <row r="25" spans="1:6">
      <c r="A25" s="1606">
        <v>73</v>
      </c>
      <c r="B25" s="1606">
        <v>1984</v>
      </c>
      <c r="C25" s="1606">
        <v>12510782620.0641</v>
      </c>
      <c r="D25" s="1606">
        <v>10677321266.2561</v>
      </c>
      <c r="E25" s="1606">
        <v>4765657500</v>
      </c>
      <c r="F25" s="972"/>
    </row>
    <row r="26" spans="1:6">
      <c r="A26" s="1606">
        <v>73</v>
      </c>
      <c r="B26" s="1606">
        <v>1985</v>
      </c>
      <c r="C26" s="1606">
        <v>12797867396.913601</v>
      </c>
      <c r="D26" s="1606">
        <v>10836366841.2901</v>
      </c>
      <c r="E26" s="1606">
        <v>4852540500</v>
      </c>
      <c r="F26" s="972"/>
    </row>
    <row r="27" spans="1:6">
      <c r="A27" s="1606">
        <v>73</v>
      </c>
      <c r="B27" s="1606">
        <v>1986</v>
      </c>
      <c r="C27" s="1606">
        <v>13053411858.4254</v>
      </c>
      <c r="D27" s="1606">
        <v>10877000592.773001</v>
      </c>
      <c r="E27" s="1606">
        <v>4942056000</v>
      </c>
      <c r="F27" s="972"/>
    </row>
    <row r="28" spans="1:6">
      <c r="A28" s="1606">
        <v>73</v>
      </c>
      <c r="B28" s="1606">
        <v>1987</v>
      </c>
      <c r="C28" s="1606">
        <v>13402864599.062</v>
      </c>
      <c r="D28" s="1606">
        <v>10900770840.389601</v>
      </c>
      <c r="E28" s="1606">
        <v>5033805000</v>
      </c>
      <c r="F28" s="972"/>
    </row>
    <row r="29" spans="1:6">
      <c r="A29" s="1606">
        <v>73</v>
      </c>
      <c r="B29" s="1606">
        <v>1988</v>
      </c>
      <c r="C29" s="1606">
        <v>13663077094.559401</v>
      </c>
      <c r="D29" s="1606">
        <v>10811595516.118099</v>
      </c>
      <c r="E29" s="1606">
        <v>5126632500</v>
      </c>
      <c r="F29" s="972"/>
    </row>
    <row r="30" spans="1:6">
      <c r="A30" s="1606">
        <v>73</v>
      </c>
      <c r="B30" s="1606">
        <v>1989</v>
      </c>
      <c r="C30" s="1606">
        <v>14038564328.350201</v>
      </c>
      <c r="D30" s="1606">
        <v>10976048730.659</v>
      </c>
      <c r="E30" s="1606">
        <v>5218978000</v>
      </c>
      <c r="F30" s="972"/>
    </row>
    <row r="31" spans="1:6">
      <c r="A31" s="1606">
        <v>73</v>
      </c>
      <c r="B31" s="1606">
        <v>1990</v>
      </c>
      <c r="C31" s="1606">
        <v>14255376573.1019</v>
      </c>
      <c r="D31" s="1606">
        <v>11136959916.109501</v>
      </c>
      <c r="E31" s="1606">
        <v>5309667500</v>
      </c>
      <c r="F31" s="972"/>
    </row>
    <row r="32" spans="1:6">
      <c r="A32" s="1606">
        <v>73</v>
      </c>
      <c r="B32" s="1606">
        <v>1991</v>
      </c>
      <c r="C32" s="1606">
        <v>14208418459.938801</v>
      </c>
      <c r="D32" s="1606">
        <v>11054762467.828699</v>
      </c>
      <c r="E32" s="1606">
        <v>5398329000</v>
      </c>
      <c r="F32" s="972"/>
    </row>
    <row r="33" spans="1:6">
      <c r="A33" s="1606">
        <v>73</v>
      </c>
      <c r="B33" s="1606">
        <v>1992</v>
      </c>
      <c r="C33" s="1606">
        <v>14320756536.629801</v>
      </c>
      <c r="D33" s="1606">
        <v>11236378750.8533</v>
      </c>
      <c r="E33" s="1606">
        <v>5485115500</v>
      </c>
      <c r="F33" s="972"/>
    </row>
    <row r="34" spans="1:6">
      <c r="A34" s="1606">
        <v>73</v>
      </c>
      <c r="B34" s="1606">
        <v>1993</v>
      </c>
      <c r="C34" s="1606">
        <v>14301904583.765699</v>
      </c>
      <c r="D34" s="1606">
        <v>11207427909.849001</v>
      </c>
      <c r="E34" s="1606">
        <v>5570045500</v>
      </c>
      <c r="F34" s="972"/>
    </row>
    <row r="35" spans="1:6">
      <c r="A35" s="1606">
        <v>73</v>
      </c>
      <c r="B35" s="1606">
        <v>1994</v>
      </c>
      <c r="C35" s="1606">
        <v>14521918434.4063</v>
      </c>
      <c r="D35" s="1606">
        <v>11307171170.531</v>
      </c>
      <c r="E35" s="1606">
        <v>5653316000</v>
      </c>
      <c r="F35" s="972"/>
    </row>
    <row r="36" spans="1:6">
      <c r="A36" s="1606">
        <v>73</v>
      </c>
      <c r="B36" s="1606">
        <v>1995</v>
      </c>
      <c r="C36" s="1606">
        <v>14723736346.527</v>
      </c>
      <c r="D36" s="1606">
        <v>11203246919.239</v>
      </c>
      <c r="E36" s="1606">
        <v>5735123000</v>
      </c>
      <c r="F36" s="972"/>
    </row>
    <row r="37" spans="1:6">
      <c r="A37" s="1606">
        <v>73</v>
      </c>
      <c r="B37" s="1606">
        <v>1996</v>
      </c>
      <c r="C37" s="1606">
        <v>15080631850.535299</v>
      </c>
      <c r="D37" s="1606">
        <v>11380988408.1549</v>
      </c>
      <c r="E37" s="1606">
        <v>5815392500</v>
      </c>
      <c r="F37" s="972"/>
    </row>
    <row r="38" spans="1:6">
      <c r="A38" s="1606">
        <v>73</v>
      </c>
      <c r="B38" s="1606">
        <v>1997</v>
      </c>
      <c r="C38" s="1606">
        <v>15302934828.813999</v>
      </c>
      <c r="D38" s="1606">
        <v>11432130692.735001</v>
      </c>
      <c r="E38" s="1606">
        <v>5894155000</v>
      </c>
      <c r="F38" s="972"/>
    </row>
    <row r="39" spans="1:6">
      <c r="A39" s="1606">
        <v>73</v>
      </c>
      <c r="B39" s="1606">
        <v>1998</v>
      </c>
      <c r="C39" s="1606">
        <v>15341418791.771799</v>
      </c>
      <c r="D39" s="1606">
        <v>11497594350.4748</v>
      </c>
      <c r="E39" s="1606">
        <v>5971883000</v>
      </c>
      <c r="F39" s="972"/>
    </row>
    <row r="40" spans="1:6">
      <c r="A40" s="1606">
        <v>73</v>
      </c>
      <c r="B40" s="1606">
        <v>1999</v>
      </c>
      <c r="C40" s="1606">
        <v>15419289269.6784</v>
      </c>
      <c r="D40" s="1606">
        <v>11537781379.9963</v>
      </c>
      <c r="E40" s="1606">
        <v>6049205000</v>
      </c>
      <c r="F40" s="972"/>
    </row>
    <row r="41" spans="1:6">
      <c r="A41" s="1606">
        <v>73</v>
      </c>
      <c r="B41" s="1606">
        <v>2000</v>
      </c>
      <c r="C41" s="1606">
        <v>15779039189.775801</v>
      </c>
      <c r="D41" s="1606">
        <v>11528405414.5133</v>
      </c>
      <c r="E41" s="1606">
        <v>6126622000</v>
      </c>
      <c r="F41" s="972"/>
    </row>
    <row r="42" spans="1:6">
      <c r="A42" s="1606">
        <v>73</v>
      </c>
      <c r="B42" s="1606">
        <v>2001</v>
      </c>
      <c r="C42" s="1606">
        <v>15946455042.7202</v>
      </c>
      <c r="D42" s="1606">
        <v>11609674693.133499</v>
      </c>
      <c r="E42" s="1606">
        <v>6204310500</v>
      </c>
      <c r="F42" s="972"/>
    </row>
    <row r="43" spans="1:6">
      <c r="A43" s="1606">
        <v>73</v>
      </c>
      <c r="B43" s="1606">
        <v>2002</v>
      </c>
      <c r="C43" s="1606">
        <v>16105039157.3304</v>
      </c>
      <c r="D43" s="1606">
        <v>11566301767.1446</v>
      </c>
      <c r="E43" s="1606">
        <v>6282302000</v>
      </c>
      <c r="F43" s="972"/>
    </row>
    <row r="44" spans="1:6">
      <c r="A44" s="1606">
        <v>73</v>
      </c>
      <c r="B44" s="1606">
        <v>2003</v>
      </c>
      <c r="C44" s="1606">
        <v>16726933889.103399</v>
      </c>
      <c r="D44" s="1606">
        <v>11586996348.336399</v>
      </c>
      <c r="E44" s="1606">
        <v>6360764500</v>
      </c>
      <c r="F44" s="972"/>
    </row>
    <row r="45" spans="1:6">
      <c r="A45" s="1606">
        <v>73</v>
      </c>
      <c r="B45" s="1606">
        <v>2004</v>
      </c>
      <c r="C45" s="1606">
        <v>17592705103.2836</v>
      </c>
      <c r="D45" s="1606">
        <v>11810747161.201</v>
      </c>
      <c r="E45" s="1606">
        <v>6439842500</v>
      </c>
      <c r="F45" s="972"/>
    </row>
    <row r="46" spans="1:6">
      <c r="A46" s="1606">
        <v>73</v>
      </c>
      <c r="B46" s="1606">
        <v>2005</v>
      </c>
      <c r="C46" s="1606">
        <v>18029028104.529499</v>
      </c>
      <c r="D46" s="1606">
        <v>11767866166.485701</v>
      </c>
      <c r="E46" s="1606">
        <v>6519636000</v>
      </c>
      <c r="F46" s="972"/>
    </row>
    <row r="47" spans="1:6">
      <c r="A47" s="1606">
        <v>73</v>
      </c>
      <c r="B47" s="1606">
        <v>2006</v>
      </c>
      <c r="C47" s="1606">
        <v>18472636399.047298</v>
      </c>
      <c r="D47" s="1606">
        <v>11779852486.952101</v>
      </c>
      <c r="E47" s="1606">
        <v>6600220000</v>
      </c>
      <c r="F47" s="972"/>
    </row>
    <row r="48" spans="1:6">
      <c r="A48" s="1606">
        <v>73</v>
      </c>
      <c r="B48" s="1606">
        <v>2007</v>
      </c>
      <c r="C48" s="1606">
        <v>19028576780.7808</v>
      </c>
      <c r="D48" s="1606">
        <v>11848515464.3633</v>
      </c>
      <c r="E48" s="1606">
        <v>6681607500</v>
      </c>
      <c r="F48" s="972"/>
    </row>
    <row r="49" spans="1:6">
      <c r="A49" s="1606">
        <v>73</v>
      </c>
      <c r="B49" s="1606">
        <v>2008</v>
      </c>
      <c r="C49" s="1606">
        <v>19258229287.5406</v>
      </c>
      <c r="D49" s="1606">
        <v>12039414076.7437</v>
      </c>
      <c r="E49" s="1606">
        <v>6763733000</v>
      </c>
      <c r="F49" s="972"/>
    </row>
    <row r="50" spans="1:6">
      <c r="A50" s="1606">
        <v>73</v>
      </c>
      <c r="B50" s="1606">
        <v>2009</v>
      </c>
      <c r="C50" s="1606">
        <v>18936778174.2425</v>
      </c>
      <c r="D50" s="1606">
        <v>12016086430.7446</v>
      </c>
      <c r="E50" s="1606">
        <v>6846479500</v>
      </c>
      <c r="F50" s="972"/>
    </row>
    <row r="51" spans="1:6">
      <c r="A51" s="1606">
        <v>73</v>
      </c>
      <c r="B51" s="1606">
        <v>2010</v>
      </c>
      <c r="C51" s="1606">
        <v>19910533395.5383</v>
      </c>
      <c r="D51" s="1606">
        <v>12038038081.523399</v>
      </c>
      <c r="E51" s="1606">
        <v>6929725000</v>
      </c>
      <c r="F51" s="972"/>
    </row>
    <row r="52" spans="1:6">
      <c r="A52" s="1606">
        <v>73</v>
      </c>
      <c r="B52" s="1606">
        <v>2011</v>
      </c>
      <c r="C52" s="1606">
        <v>20311271121.0392</v>
      </c>
      <c r="D52" s="1606">
        <v>12070765973.4128</v>
      </c>
      <c r="E52" s="1606">
        <v>7013427000</v>
      </c>
      <c r="F52" s="972"/>
    </row>
    <row r="53" spans="1:6">
      <c r="A53" s="1606">
        <v>73</v>
      </c>
      <c r="B53" s="1606">
        <v>2012</v>
      </c>
      <c r="C53" s="1606">
        <v>20166925731.168999</v>
      </c>
      <c r="D53" s="1606">
        <v>12037896682.9289</v>
      </c>
      <c r="E53" s="1606">
        <v>7097500500</v>
      </c>
    </row>
    <row r="54" spans="1:6">
      <c r="A54" s="1606">
        <v>73</v>
      </c>
      <c r="B54" s="1606">
        <v>2013</v>
      </c>
      <c r="C54" s="1606">
        <v>20602785165.685902</v>
      </c>
      <c r="D54" s="1606">
        <v>12233516313.8981</v>
      </c>
      <c r="E54" s="1606">
        <v>7181715000</v>
      </c>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66</vt:i4>
      </vt:variant>
    </vt:vector>
  </HeadingPairs>
  <TitlesOfParts>
    <vt:vector size="66" baseType="lpstr">
      <vt:lpstr>intro</vt:lpstr>
      <vt:lpstr>summary</vt:lpstr>
      <vt:lpstr>ef_carbon</vt:lpstr>
      <vt:lpstr>ef_crop</vt:lpstr>
      <vt:lpstr>ef_grazing</vt:lpstr>
      <vt:lpstr>ef_fish</vt:lpstr>
      <vt:lpstr>ef_forest_products</vt:lpstr>
      <vt:lpstr>ef_built</vt:lpstr>
      <vt:lpstr>biocap</vt:lpstr>
      <vt:lpstr>fossil_efp</vt:lpstr>
      <vt:lpstr>other_co2_efp</vt:lpstr>
      <vt:lpstr>carbon_efi_efe</vt:lpstr>
      <vt:lpstr>Int_transport</vt:lpstr>
      <vt:lpstr>electricity_trade</vt:lpstr>
      <vt:lpstr>carbon_intensity_n</vt:lpstr>
      <vt:lpstr>cnst_carbon</vt:lpstr>
      <vt:lpstr>crop_efp</vt:lpstr>
      <vt:lpstr>crop_efi_efe</vt:lpstr>
      <vt:lpstr>crop_intensity</vt:lpstr>
      <vt:lpstr>constant_crop_factor</vt:lpstr>
      <vt:lpstr>grazing_efp</vt:lpstr>
      <vt:lpstr>feed_demand_n</vt:lpstr>
      <vt:lpstr>market_feed_supply_n</vt:lpstr>
      <vt:lpstr>grass_supply_n</vt:lpstr>
      <vt:lpstr>residue_supply_n</vt:lpstr>
      <vt:lpstr>prodstat_livestock_n</vt:lpstr>
      <vt:lpstr>resourcestat_livestock_n</vt:lpstr>
      <vt:lpstr>cnst_grazing</vt:lpstr>
      <vt:lpstr>livestock_efi_efe</vt:lpstr>
      <vt:lpstr>livestock_intensity</vt:lpstr>
      <vt:lpstr>livestock_feed_ef_n</vt:lpstr>
      <vt:lpstr>feed_intensity_w</vt:lpstr>
      <vt:lpstr>feed_mix_w</vt:lpstr>
      <vt:lpstr>crop_feed_cnst</vt:lpstr>
      <vt:lpstr>constant_ag_extr</vt:lpstr>
      <vt:lpstr>const_grazing_npp</vt:lpstr>
      <vt:lpstr>constant_feed_region</vt:lpstr>
      <vt:lpstr>constant_livestock_residue</vt:lpstr>
      <vt:lpstr>constant_livestock_demand</vt:lpstr>
      <vt:lpstr>fish_efp</vt:lpstr>
      <vt:lpstr>fish_efi_efe</vt:lpstr>
      <vt:lpstr>fish_commodity_yield_n</vt:lpstr>
      <vt:lpstr>fish_group_yield_n</vt:lpstr>
      <vt:lpstr>fish_group_yield_w</vt:lpstr>
      <vt:lpstr>aquaculture_yields</vt:lpstr>
      <vt:lpstr>fish_feed_group_yield_n</vt:lpstr>
      <vt:lpstr>fish_feed_group_yield_w</vt:lpstr>
      <vt:lpstr>fishmeal_fishes</vt:lpstr>
      <vt:lpstr>aquaculture_production_n</vt:lpstr>
      <vt:lpstr>aquaculture_production_w</vt:lpstr>
      <vt:lpstr>cnst_fish</vt:lpstr>
      <vt:lpstr>constant_aquafeed_factors</vt:lpstr>
      <vt:lpstr>constant_fish_extr</vt:lpstr>
      <vt:lpstr>constant_fish_trophic</vt:lpstr>
      <vt:lpstr>forest_efp</vt:lpstr>
      <vt:lpstr>forest_efi_efe</vt:lpstr>
      <vt:lpstr>constant_forest_extr</vt:lpstr>
      <vt:lpstr>constant_forest_increment</vt:lpstr>
      <vt:lpstr>infrastructure_efp</vt:lpstr>
      <vt:lpstr>eqf</vt:lpstr>
      <vt:lpstr>yf</vt:lpstr>
      <vt:lpstr>iyf</vt:lpstr>
      <vt:lpstr>bioproductive_area</vt:lpstr>
      <vt:lpstr>const_npp_EEZ_shelf_area</vt:lpstr>
      <vt:lpstr>popstat</vt:lpstr>
      <vt:lpstr>world_data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Borucke;Eli Lazarus</dc:creator>
  <cp:keywords>NFA 2015 Baseline</cp:keywords>
  <cp:lastModifiedBy>Scott Kaplan</cp:lastModifiedBy>
  <cp:lastPrinted>2008-09-22T16:59:19Z</cp:lastPrinted>
  <dcterms:created xsi:type="dcterms:W3CDTF">2007-01-09T18:34:16Z</dcterms:created>
  <dcterms:modified xsi:type="dcterms:W3CDTF">2018-02-14T18:25:06Z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atchID">
    <vt:i4>94</vt:i4>
  </property>
</Properties>
</file>